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tables/table3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showInkAnnotation="0"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roseblanchetn-my.sharepoint.com/personal/rihab_khouaja_rose-blanche_com/Documents/Bureau/FORMATION TB/BASE DES DONNEES/PATES WARDA/"/>
    </mc:Choice>
  </mc:AlternateContent>
  <xr:revisionPtr revIDLastSave="2635" documentId="14_{D6F12017-2561-4067-9158-A377A4F86B5D}" xr6:coauthVersionLast="47" xr6:coauthVersionMax="47" xr10:uidLastSave="{286F07E7-4117-4F16-AEBC-8D5B744B6A0F}"/>
  <bookViews>
    <workbookView xWindow="-110" yWindow="-110" windowWidth="19420" windowHeight="10420" tabRatio="819" firstSheet="5" activeTab="3" xr2:uid="{00000000-000D-0000-FFFF-FFFF00000000}"/>
  </bookViews>
  <sheets>
    <sheet name="Sheet1" sheetId="1" r:id="rId1"/>
    <sheet name="JOURNAL FACTURES" sheetId="9" r:id="rId2"/>
    <sheet name="TRANSPORT" sheetId="18" r:id="rId3"/>
    <sheet name="COMMERCIAL 2019 - 2021" sheetId="17" r:id="rId4"/>
    <sheet name="2024" sheetId="32" r:id="rId5"/>
    <sheet name="2025" sheetId="33" r:id="rId6"/>
    <sheet name="INTEGRATION PAR CLIENT " sheetId="25" r:id="rId7"/>
  </sheets>
  <definedNames>
    <definedName name="_xlnm._FilterDatabase" localSheetId="4" hidden="1">'2024'!$A$1:$W$326</definedName>
    <definedName name="_xlnm._FilterDatabase" localSheetId="3" hidden="1">'COMMERCIAL 2019 - 2021'!$A$2:$AO$324</definedName>
    <definedName name="_xlnm._FilterDatabase" localSheetId="6" hidden="1">'INTEGRATION PAR CLIENT '!$A$1387:$Q$1493</definedName>
    <definedName name="_xlnm._FilterDatabase" localSheetId="1" hidden="1">'JOURNAL FACTURES'!$A$1:$AE$1037</definedName>
    <definedName name="_xlnm._FilterDatabase" localSheetId="0" hidden="1">Sheet1!$A$1:$N$1</definedName>
    <definedName name="_xlnm._FilterDatabase" localSheetId="2" hidden="1">TRANSPORT!$A$6:$J$1913</definedName>
    <definedName name="_xlnm.Print_Area" localSheetId="3">'COMMERCIAL 2019 - 2021'!#REF!</definedName>
  </definedNames>
  <calcPr calcId="191028"/>
  <pivotCaches>
    <pivotCache cacheId="2725" r:id="rId8"/>
    <pivotCache cacheId="272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27" i="17" l="1"/>
  <c r="B2127" i="17" s="1"/>
  <c r="E2127" i="17"/>
  <c r="F2127" i="17"/>
  <c r="G2127" i="17"/>
  <c r="I2127" i="17"/>
  <c r="J2127" i="17"/>
  <c r="K2127" i="17"/>
  <c r="N2127" i="17"/>
  <c r="O2127" i="17"/>
  <c r="P2127" i="17"/>
  <c r="Q2127" i="17"/>
  <c r="R2127" i="17"/>
  <c r="S2127" i="17"/>
  <c r="T2127" i="17"/>
  <c r="U2127" i="17"/>
  <c r="W2127" i="17"/>
  <c r="X2127" i="17"/>
  <c r="Y2127" i="17"/>
  <c r="Z2127" i="17"/>
  <c r="AA2127" i="17"/>
  <c r="AB2127" i="17"/>
  <c r="AC2127" i="17"/>
  <c r="AD2127" i="17"/>
  <c r="AE2127" i="17"/>
  <c r="AF2127" i="17"/>
  <c r="AG2127" i="17"/>
  <c r="AH2127" i="17"/>
  <c r="AI2127" i="17"/>
  <c r="AJ2127" i="17"/>
  <c r="AK2127" i="17"/>
  <c r="AL2127" i="17"/>
  <c r="AM2127" i="17"/>
  <c r="AN2127" i="17"/>
  <c r="AO2127" i="17"/>
  <c r="D2128" i="17"/>
  <c r="B2128" i="17" s="1"/>
  <c r="E2128" i="17"/>
  <c r="F2128" i="17"/>
  <c r="G2128" i="17"/>
  <c r="I2128" i="17"/>
  <c r="J2128" i="17"/>
  <c r="K2128" i="17"/>
  <c r="N2128" i="17"/>
  <c r="O2128" i="17"/>
  <c r="P2128" i="17"/>
  <c r="Q2128" i="17"/>
  <c r="R2128" i="17"/>
  <c r="S2128" i="17"/>
  <c r="T2128" i="17"/>
  <c r="U2128" i="17"/>
  <c r="W2128" i="17"/>
  <c r="X2128" i="17"/>
  <c r="Y2128" i="17"/>
  <c r="Z2128" i="17"/>
  <c r="AA2128" i="17"/>
  <c r="AB2128" i="17"/>
  <c r="AC2128" i="17"/>
  <c r="AD2128" i="17"/>
  <c r="AE2128" i="17"/>
  <c r="AF2128" i="17"/>
  <c r="AG2128" i="17"/>
  <c r="AH2128" i="17"/>
  <c r="AI2128" i="17"/>
  <c r="AJ2128" i="17"/>
  <c r="AK2128" i="17"/>
  <c r="AL2128" i="17"/>
  <c r="AM2128" i="17"/>
  <c r="AN2128" i="17"/>
  <c r="AO2128" i="17"/>
  <c r="D2129" i="17"/>
  <c r="B2129" i="17" s="1"/>
  <c r="E2129" i="17"/>
  <c r="F2129" i="17"/>
  <c r="G2129" i="17"/>
  <c r="I2129" i="17"/>
  <c r="J2129" i="17"/>
  <c r="K2129" i="17"/>
  <c r="N2129" i="17"/>
  <c r="O2129" i="17"/>
  <c r="P2129" i="17"/>
  <c r="Q2129" i="17"/>
  <c r="R2129" i="17"/>
  <c r="S2129" i="17"/>
  <c r="T2129" i="17"/>
  <c r="U2129" i="17"/>
  <c r="W2129" i="17"/>
  <c r="X2129" i="17"/>
  <c r="Y2129" i="17"/>
  <c r="Z2129" i="17"/>
  <c r="AA2129" i="17"/>
  <c r="AB2129" i="17"/>
  <c r="AC2129" i="17"/>
  <c r="AD2129" i="17"/>
  <c r="AE2129" i="17"/>
  <c r="AF2129" i="17"/>
  <c r="AG2129" i="17"/>
  <c r="AH2129" i="17"/>
  <c r="AI2129" i="17"/>
  <c r="AJ2129" i="17"/>
  <c r="AK2129" i="17"/>
  <c r="AL2129" i="17"/>
  <c r="AM2129" i="17"/>
  <c r="AN2129" i="17"/>
  <c r="AO2129" i="17"/>
  <c r="D2130" i="17"/>
  <c r="B2130" i="17" s="1"/>
  <c r="E2130" i="17"/>
  <c r="F2130" i="17"/>
  <c r="G2130" i="17"/>
  <c r="I2130" i="17"/>
  <c r="J2130" i="17"/>
  <c r="K2130" i="17"/>
  <c r="N2130" i="17"/>
  <c r="O2130" i="17"/>
  <c r="P2130" i="17"/>
  <c r="Q2130" i="17"/>
  <c r="R2130" i="17"/>
  <c r="S2130" i="17"/>
  <c r="T2130" i="17"/>
  <c r="U2130" i="17"/>
  <c r="W2130" i="17"/>
  <c r="X2130" i="17"/>
  <c r="Y2130" i="17"/>
  <c r="Z2130" i="17"/>
  <c r="AA2130" i="17"/>
  <c r="AB2130" i="17"/>
  <c r="AC2130" i="17"/>
  <c r="AD2130" i="17"/>
  <c r="AE2130" i="17"/>
  <c r="AF2130" i="17"/>
  <c r="AG2130" i="17"/>
  <c r="AH2130" i="17"/>
  <c r="AI2130" i="17"/>
  <c r="AJ2130" i="17"/>
  <c r="AK2130" i="17"/>
  <c r="AL2130" i="17"/>
  <c r="AM2130" i="17"/>
  <c r="AN2130" i="17"/>
  <c r="AO2130" i="17"/>
  <c r="D2131" i="17"/>
  <c r="B2131" i="17" s="1"/>
  <c r="E2131" i="17"/>
  <c r="F2131" i="17"/>
  <c r="G2131" i="17"/>
  <c r="I2131" i="17"/>
  <c r="J2131" i="17"/>
  <c r="K2131" i="17"/>
  <c r="N2131" i="17"/>
  <c r="O2131" i="17"/>
  <c r="P2131" i="17"/>
  <c r="Q2131" i="17"/>
  <c r="R2131" i="17"/>
  <c r="S2131" i="17"/>
  <c r="T2131" i="17"/>
  <c r="U2131" i="17"/>
  <c r="W2131" i="17"/>
  <c r="X2131" i="17"/>
  <c r="Y2131" i="17"/>
  <c r="Z2131" i="17"/>
  <c r="AA2131" i="17"/>
  <c r="AB2131" i="17"/>
  <c r="AC2131" i="17"/>
  <c r="AD2131" i="17"/>
  <c r="AE2131" i="17"/>
  <c r="AF2131" i="17"/>
  <c r="AG2131" i="17"/>
  <c r="AH2131" i="17"/>
  <c r="AI2131" i="17"/>
  <c r="AJ2131" i="17"/>
  <c r="AK2131" i="17"/>
  <c r="AL2131" i="17"/>
  <c r="AM2131" i="17"/>
  <c r="AN2131" i="17"/>
  <c r="AO2131" i="17"/>
  <c r="D2132" i="17"/>
  <c r="B2132" i="17" s="1"/>
  <c r="E2132" i="17"/>
  <c r="F2132" i="17"/>
  <c r="G2132" i="17"/>
  <c r="I2132" i="17"/>
  <c r="J2132" i="17"/>
  <c r="K2132" i="17"/>
  <c r="N2132" i="17"/>
  <c r="O2132" i="17"/>
  <c r="P2132" i="17"/>
  <c r="Q2132" i="17"/>
  <c r="R2132" i="17"/>
  <c r="S2132" i="17"/>
  <c r="T2132" i="17"/>
  <c r="U2132" i="17"/>
  <c r="W2132" i="17"/>
  <c r="X2132" i="17"/>
  <c r="Y2132" i="17"/>
  <c r="Z2132" i="17"/>
  <c r="AA2132" i="17"/>
  <c r="AB2132" i="17"/>
  <c r="AC2132" i="17"/>
  <c r="AD2132" i="17"/>
  <c r="AE2132" i="17"/>
  <c r="AF2132" i="17"/>
  <c r="AG2132" i="17"/>
  <c r="AH2132" i="17"/>
  <c r="AI2132" i="17"/>
  <c r="AJ2132" i="17"/>
  <c r="AK2132" i="17"/>
  <c r="AL2132" i="17"/>
  <c r="AM2132" i="17"/>
  <c r="AN2132" i="17"/>
  <c r="AO2132" i="17"/>
  <c r="D2133" i="17"/>
  <c r="B2133" i="17" s="1"/>
  <c r="E2133" i="17"/>
  <c r="F2133" i="17"/>
  <c r="G2133" i="17"/>
  <c r="I2133" i="17"/>
  <c r="J2133" i="17"/>
  <c r="K2133" i="17"/>
  <c r="N2133" i="17"/>
  <c r="O2133" i="17"/>
  <c r="P2133" i="17"/>
  <c r="Q2133" i="17"/>
  <c r="R2133" i="17"/>
  <c r="S2133" i="17"/>
  <c r="T2133" i="17"/>
  <c r="U2133" i="17"/>
  <c r="W2133" i="17"/>
  <c r="X2133" i="17"/>
  <c r="Y2133" i="17"/>
  <c r="Z2133" i="17"/>
  <c r="AA2133" i="17"/>
  <c r="AB2133" i="17"/>
  <c r="AC2133" i="17"/>
  <c r="AD2133" i="17"/>
  <c r="AE2133" i="17"/>
  <c r="AF2133" i="17"/>
  <c r="AG2133" i="17"/>
  <c r="AH2133" i="17"/>
  <c r="AI2133" i="17"/>
  <c r="AJ2133" i="17"/>
  <c r="AK2133" i="17"/>
  <c r="AL2133" i="17"/>
  <c r="AM2133" i="17"/>
  <c r="AN2133" i="17"/>
  <c r="AO2133" i="17"/>
  <c r="D2134" i="17"/>
  <c r="B2134" i="17" s="1"/>
  <c r="E2134" i="17"/>
  <c r="F2134" i="17"/>
  <c r="G2134" i="17"/>
  <c r="I2134" i="17"/>
  <c r="J2134" i="17"/>
  <c r="K2134" i="17"/>
  <c r="N2134" i="17"/>
  <c r="O2134" i="17"/>
  <c r="P2134" i="17"/>
  <c r="Q2134" i="17"/>
  <c r="R2134" i="17"/>
  <c r="S2134" i="17"/>
  <c r="T2134" i="17"/>
  <c r="U2134" i="17"/>
  <c r="W2134" i="17"/>
  <c r="X2134" i="17"/>
  <c r="Y2134" i="17"/>
  <c r="Z2134" i="17"/>
  <c r="AA2134" i="17"/>
  <c r="AB2134" i="17"/>
  <c r="AC2134" i="17"/>
  <c r="AD2134" i="17"/>
  <c r="AE2134" i="17"/>
  <c r="AF2134" i="17"/>
  <c r="AG2134" i="17"/>
  <c r="AH2134" i="17"/>
  <c r="AI2134" i="17"/>
  <c r="AJ2134" i="17"/>
  <c r="AK2134" i="17"/>
  <c r="AL2134" i="17"/>
  <c r="AM2134" i="17"/>
  <c r="AN2134" i="17"/>
  <c r="AO2134" i="17"/>
  <c r="D2135" i="17"/>
  <c r="B2135" i="17" s="1"/>
  <c r="E2135" i="17"/>
  <c r="F2135" i="17"/>
  <c r="G2135" i="17"/>
  <c r="I2135" i="17"/>
  <c r="J2135" i="17"/>
  <c r="K2135" i="17"/>
  <c r="N2135" i="17"/>
  <c r="O2135" i="17"/>
  <c r="P2135" i="17"/>
  <c r="Q2135" i="17"/>
  <c r="R2135" i="17"/>
  <c r="S2135" i="17"/>
  <c r="T2135" i="17"/>
  <c r="U2135" i="17"/>
  <c r="W2135" i="17"/>
  <c r="X2135" i="17"/>
  <c r="Y2135" i="17"/>
  <c r="Z2135" i="17"/>
  <c r="AA2135" i="17"/>
  <c r="AB2135" i="17"/>
  <c r="AC2135" i="17"/>
  <c r="AD2135" i="17"/>
  <c r="AE2135" i="17"/>
  <c r="AF2135" i="17"/>
  <c r="AG2135" i="17"/>
  <c r="AH2135" i="17"/>
  <c r="AI2135" i="17"/>
  <c r="AJ2135" i="17"/>
  <c r="AK2135" i="17"/>
  <c r="AL2135" i="17"/>
  <c r="AM2135" i="17"/>
  <c r="AN2135" i="17"/>
  <c r="AO2135" i="17"/>
  <c r="D2136" i="17"/>
  <c r="B2136" i="17" s="1"/>
  <c r="E2136" i="17"/>
  <c r="F2136" i="17"/>
  <c r="G2136" i="17"/>
  <c r="I2136" i="17"/>
  <c r="J2136" i="17"/>
  <c r="K2136" i="17"/>
  <c r="N2136" i="17"/>
  <c r="O2136" i="17"/>
  <c r="P2136" i="17"/>
  <c r="Q2136" i="17"/>
  <c r="R2136" i="17"/>
  <c r="S2136" i="17"/>
  <c r="T2136" i="17"/>
  <c r="U2136" i="17"/>
  <c r="W2136" i="17"/>
  <c r="X2136" i="17"/>
  <c r="Y2136" i="17"/>
  <c r="Z2136" i="17"/>
  <c r="AA2136" i="17"/>
  <c r="AB2136" i="17"/>
  <c r="AC2136" i="17"/>
  <c r="AD2136" i="17"/>
  <c r="AE2136" i="17"/>
  <c r="AF2136" i="17"/>
  <c r="AG2136" i="17"/>
  <c r="AH2136" i="17"/>
  <c r="AI2136" i="17"/>
  <c r="AJ2136" i="17"/>
  <c r="AK2136" i="17"/>
  <c r="AL2136" i="17"/>
  <c r="AM2136" i="17"/>
  <c r="AN2136" i="17"/>
  <c r="AO2136" i="17"/>
  <c r="D2137" i="17"/>
  <c r="B2137" i="17" s="1"/>
  <c r="E2137" i="17"/>
  <c r="F2137" i="17"/>
  <c r="G2137" i="17"/>
  <c r="I2137" i="17"/>
  <c r="J2137" i="17"/>
  <c r="K2137" i="17"/>
  <c r="N2137" i="17"/>
  <c r="O2137" i="17"/>
  <c r="P2137" i="17"/>
  <c r="Q2137" i="17"/>
  <c r="R2137" i="17"/>
  <c r="S2137" i="17"/>
  <c r="T2137" i="17"/>
  <c r="U2137" i="17"/>
  <c r="W2137" i="17"/>
  <c r="X2137" i="17"/>
  <c r="Y2137" i="17"/>
  <c r="Z2137" i="17"/>
  <c r="AA2137" i="17"/>
  <c r="AB2137" i="17"/>
  <c r="AC2137" i="17"/>
  <c r="AD2137" i="17"/>
  <c r="AE2137" i="17"/>
  <c r="AF2137" i="17"/>
  <c r="AG2137" i="17"/>
  <c r="AH2137" i="17"/>
  <c r="AI2137" i="17"/>
  <c r="AJ2137" i="17"/>
  <c r="AK2137" i="17"/>
  <c r="AL2137" i="17"/>
  <c r="AM2137" i="17"/>
  <c r="AN2137" i="17"/>
  <c r="AO2137" i="17"/>
  <c r="D2138" i="17"/>
  <c r="B2138" i="17" s="1"/>
  <c r="E2138" i="17"/>
  <c r="F2138" i="17"/>
  <c r="G2138" i="17"/>
  <c r="I2138" i="17"/>
  <c r="J2138" i="17"/>
  <c r="K2138" i="17"/>
  <c r="N2138" i="17"/>
  <c r="O2138" i="17"/>
  <c r="P2138" i="17"/>
  <c r="Q2138" i="17"/>
  <c r="R2138" i="17"/>
  <c r="S2138" i="17"/>
  <c r="T2138" i="17"/>
  <c r="U2138" i="17"/>
  <c r="W2138" i="17"/>
  <c r="X2138" i="17"/>
  <c r="Y2138" i="17"/>
  <c r="Z2138" i="17"/>
  <c r="AA2138" i="17"/>
  <c r="AB2138" i="17"/>
  <c r="AC2138" i="17"/>
  <c r="AD2138" i="17"/>
  <c r="AE2138" i="17"/>
  <c r="AF2138" i="17"/>
  <c r="AG2138" i="17"/>
  <c r="AH2138" i="17"/>
  <c r="AI2138" i="17"/>
  <c r="AJ2138" i="17"/>
  <c r="AK2138" i="17"/>
  <c r="AL2138" i="17"/>
  <c r="AM2138" i="17"/>
  <c r="AN2138" i="17"/>
  <c r="AO2138" i="17"/>
  <c r="D2139" i="17"/>
  <c r="B2139" i="17" s="1"/>
  <c r="E2139" i="17"/>
  <c r="F2139" i="17"/>
  <c r="G2139" i="17"/>
  <c r="I2139" i="17"/>
  <c r="J2139" i="17"/>
  <c r="K2139" i="17"/>
  <c r="N2139" i="17"/>
  <c r="O2139" i="17"/>
  <c r="P2139" i="17"/>
  <c r="Q2139" i="17"/>
  <c r="R2139" i="17"/>
  <c r="S2139" i="17"/>
  <c r="T2139" i="17"/>
  <c r="U2139" i="17"/>
  <c r="W2139" i="17"/>
  <c r="X2139" i="17"/>
  <c r="Y2139" i="17"/>
  <c r="Z2139" i="17"/>
  <c r="AA2139" i="17"/>
  <c r="AB2139" i="17"/>
  <c r="AC2139" i="17"/>
  <c r="AD2139" i="17"/>
  <c r="AE2139" i="17"/>
  <c r="AF2139" i="17"/>
  <c r="AG2139" i="17"/>
  <c r="AH2139" i="17"/>
  <c r="AI2139" i="17"/>
  <c r="AJ2139" i="17"/>
  <c r="AK2139" i="17"/>
  <c r="AL2139" i="17"/>
  <c r="AM2139" i="17"/>
  <c r="AN2139" i="17"/>
  <c r="AO2139" i="17"/>
  <c r="D2140" i="17"/>
  <c r="B2140" i="17" s="1"/>
  <c r="E2140" i="17"/>
  <c r="F2140" i="17"/>
  <c r="G2140" i="17"/>
  <c r="I2140" i="17"/>
  <c r="J2140" i="17"/>
  <c r="K2140" i="17"/>
  <c r="N2140" i="17"/>
  <c r="O2140" i="17"/>
  <c r="P2140" i="17"/>
  <c r="Q2140" i="17"/>
  <c r="R2140" i="17"/>
  <c r="S2140" i="17"/>
  <c r="T2140" i="17"/>
  <c r="U2140" i="17"/>
  <c r="W2140" i="17"/>
  <c r="X2140" i="17"/>
  <c r="Y2140" i="17"/>
  <c r="Z2140" i="17"/>
  <c r="AA2140" i="17"/>
  <c r="AB2140" i="17"/>
  <c r="AC2140" i="17"/>
  <c r="AD2140" i="17"/>
  <c r="AE2140" i="17"/>
  <c r="AF2140" i="17"/>
  <c r="AG2140" i="17"/>
  <c r="AH2140" i="17"/>
  <c r="AI2140" i="17"/>
  <c r="AJ2140" i="17"/>
  <c r="AK2140" i="17"/>
  <c r="AL2140" i="17"/>
  <c r="AM2140" i="17"/>
  <c r="AN2140" i="17"/>
  <c r="AO2140" i="17"/>
  <c r="B246" i="33"/>
  <c r="P239" i="33"/>
  <c r="B239" i="33"/>
  <c r="B247" i="33"/>
  <c r="P226" i="33"/>
  <c r="B226" i="33"/>
  <c r="B237" i="33"/>
  <c r="D2123" i="17"/>
  <c r="B2123" i="17" s="1"/>
  <c r="E2123" i="17"/>
  <c r="F2123" i="17"/>
  <c r="G2123" i="17"/>
  <c r="I2123" i="17"/>
  <c r="J2123" i="17"/>
  <c r="K2123" i="17"/>
  <c r="N2123" i="17"/>
  <c r="O2123" i="17"/>
  <c r="P2123" i="17"/>
  <c r="Q2123" i="17"/>
  <c r="R2123" i="17"/>
  <c r="S2123" i="17"/>
  <c r="T2123" i="17"/>
  <c r="U2123" i="17"/>
  <c r="W2123" i="17"/>
  <c r="X2123" i="17"/>
  <c r="Y2123" i="17"/>
  <c r="Z2123" i="17"/>
  <c r="AA2123" i="17"/>
  <c r="AB2123" i="17"/>
  <c r="AC2123" i="17"/>
  <c r="AD2123" i="17"/>
  <c r="AE2123" i="17"/>
  <c r="AF2123" i="17"/>
  <c r="AG2123" i="17"/>
  <c r="AH2123" i="17"/>
  <c r="AI2123" i="17"/>
  <c r="AJ2123" i="17"/>
  <c r="AK2123" i="17"/>
  <c r="AL2123" i="17"/>
  <c r="AM2123" i="17"/>
  <c r="AN2123" i="17"/>
  <c r="AO2123" i="17"/>
  <c r="D2124" i="17"/>
  <c r="B2124" i="17" s="1"/>
  <c r="E2124" i="17"/>
  <c r="F2124" i="17"/>
  <c r="G2124" i="17"/>
  <c r="I2124" i="17"/>
  <c r="J2124" i="17"/>
  <c r="K2124" i="17"/>
  <c r="N2124" i="17"/>
  <c r="O2124" i="17"/>
  <c r="P2124" i="17"/>
  <c r="Q2124" i="17"/>
  <c r="R2124" i="17"/>
  <c r="S2124" i="17"/>
  <c r="T2124" i="17"/>
  <c r="U2124" i="17"/>
  <c r="W2124" i="17"/>
  <c r="X2124" i="17"/>
  <c r="Y2124" i="17"/>
  <c r="Z2124" i="17"/>
  <c r="AA2124" i="17"/>
  <c r="AB2124" i="17"/>
  <c r="AC2124" i="17"/>
  <c r="AD2124" i="17"/>
  <c r="AE2124" i="17"/>
  <c r="AF2124" i="17"/>
  <c r="AG2124" i="17"/>
  <c r="AH2124" i="17"/>
  <c r="AI2124" i="17"/>
  <c r="AJ2124" i="17"/>
  <c r="AK2124" i="17"/>
  <c r="AL2124" i="17"/>
  <c r="AM2124" i="17"/>
  <c r="AN2124" i="17"/>
  <c r="AO2124" i="17"/>
  <c r="D2125" i="17"/>
  <c r="B2125" i="17" s="1"/>
  <c r="E2125" i="17"/>
  <c r="F2125" i="17"/>
  <c r="G2125" i="17"/>
  <c r="I2125" i="17"/>
  <c r="J2125" i="17"/>
  <c r="K2125" i="17"/>
  <c r="N2125" i="17"/>
  <c r="O2125" i="17"/>
  <c r="P2125" i="17"/>
  <c r="Q2125" i="17"/>
  <c r="R2125" i="17"/>
  <c r="S2125" i="17"/>
  <c r="T2125" i="17"/>
  <c r="U2125" i="17"/>
  <c r="W2125" i="17"/>
  <c r="X2125" i="17"/>
  <c r="Y2125" i="17"/>
  <c r="Z2125" i="17"/>
  <c r="AA2125" i="17"/>
  <c r="AB2125" i="17"/>
  <c r="AC2125" i="17"/>
  <c r="AD2125" i="17"/>
  <c r="AE2125" i="17"/>
  <c r="AF2125" i="17"/>
  <c r="AG2125" i="17"/>
  <c r="AH2125" i="17"/>
  <c r="AI2125" i="17"/>
  <c r="AJ2125" i="17"/>
  <c r="AK2125" i="17"/>
  <c r="AL2125" i="17"/>
  <c r="AM2125" i="17"/>
  <c r="AN2125" i="17"/>
  <c r="AO2125" i="17"/>
  <c r="D2126" i="17"/>
  <c r="B2126" i="17" s="1"/>
  <c r="E2126" i="17"/>
  <c r="F2126" i="17"/>
  <c r="G2126" i="17"/>
  <c r="I2126" i="17"/>
  <c r="J2126" i="17"/>
  <c r="K2126" i="17"/>
  <c r="N2126" i="17"/>
  <c r="O2126" i="17"/>
  <c r="P2126" i="17"/>
  <c r="Q2126" i="17"/>
  <c r="R2126" i="17"/>
  <c r="S2126" i="17"/>
  <c r="T2126" i="17"/>
  <c r="U2126" i="17"/>
  <c r="W2126" i="17"/>
  <c r="X2126" i="17"/>
  <c r="Y2126" i="17"/>
  <c r="Z2126" i="17"/>
  <c r="AA2126" i="17"/>
  <c r="AB2126" i="17"/>
  <c r="AC2126" i="17"/>
  <c r="AD2126" i="17"/>
  <c r="AE2126" i="17"/>
  <c r="AF2126" i="17"/>
  <c r="AG2126" i="17"/>
  <c r="AH2126" i="17"/>
  <c r="AI2126" i="17"/>
  <c r="AJ2126" i="17"/>
  <c r="AK2126" i="17"/>
  <c r="AL2126" i="17"/>
  <c r="AM2126" i="17"/>
  <c r="AN2126" i="17"/>
  <c r="AO2126" i="17"/>
  <c r="B224" i="33"/>
  <c r="B238" i="33"/>
  <c r="P235" i="33"/>
  <c r="B235" i="33"/>
  <c r="B236" i="33"/>
  <c r="P234" i="33"/>
  <c r="B234" i="33"/>
  <c r="B231" i="33"/>
  <c r="B232" i="33"/>
  <c r="I2108" i="17"/>
  <c r="B229" i="33"/>
  <c r="B230" i="33"/>
  <c r="D2103" i="17"/>
  <c r="B2103" i="17" s="1"/>
  <c r="E2103" i="17"/>
  <c r="F2103" i="17"/>
  <c r="G2103" i="17"/>
  <c r="I2103" i="17"/>
  <c r="J2103" i="17"/>
  <c r="K2103" i="17"/>
  <c r="N2103" i="17"/>
  <c r="O2103" i="17"/>
  <c r="P2103" i="17"/>
  <c r="Q2103" i="17"/>
  <c r="R2103" i="17"/>
  <c r="S2103" i="17"/>
  <c r="T2103" i="17"/>
  <c r="U2103" i="17"/>
  <c r="W2103" i="17"/>
  <c r="X2103" i="17"/>
  <c r="Y2103" i="17"/>
  <c r="Z2103" i="17"/>
  <c r="AA2103" i="17"/>
  <c r="AB2103" i="17"/>
  <c r="AC2103" i="17"/>
  <c r="AD2103" i="17"/>
  <c r="AE2103" i="17"/>
  <c r="AF2103" i="17"/>
  <c r="AG2103" i="17"/>
  <c r="AH2103" i="17"/>
  <c r="AI2103" i="17"/>
  <c r="AJ2103" i="17"/>
  <c r="AK2103" i="17"/>
  <c r="AL2103" i="17"/>
  <c r="AM2103" i="17"/>
  <c r="AN2103" i="17"/>
  <c r="AO2103" i="17"/>
  <c r="D2104" i="17"/>
  <c r="B2104" i="17" s="1"/>
  <c r="E2104" i="17"/>
  <c r="F2104" i="17"/>
  <c r="G2104" i="17"/>
  <c r="I2104" i="17"/>
  <c r="J2104" i="17"/>
  <c r="K2104" i="17"/>
  <c r="N2104" i="17"/>
  <c r="O2104" i="17"/>
  <c r="P2104" i="17"/>
  <c r="Q2104" i="17"/>
  <c r="R2104" i="17"/>
  <c r="S2104" i="17"/>
  <c r="T2104" i="17"/>
  <c r="U2104" i="17"/>
  <c r="W2104" i="17"/>
  <c r="X2104" i="17"/>
  <c r="Y2104" i="17"/>
  <c r="Z2104" i="17"/>
  <c r="AA2104" i="17"/>
  <c r="AB2104" i="17"/>
  <c r="AC2104" i="17"/>
  <c r="AD2104" i="17"/>
  <c r="AE2104" i="17"/>
  <c r="AF2104" i="17"/>
  <c r="AG2104" i="17"/>
  <c r="AH2104" i="17"/>
  <c r="AI2104" i="17"/>
  <c r="AJ2104" i="17"/>
  <c r="AK2104" i="17"/>
  <c r="AL2104" i="17"/>
  <c r="AM2104" i="17"/>
  <c r="AN2104" i="17"/>
  <c r="AO2104" i="17"/>
  <c r="D2105" i="17"/>
  <c r="B2105" i="17" s="1"/>
  <c r="E2105" i="17"/>
  <c r="F2105" i="17"/>
  <c r="G2105" i="17"/>
  <c r="I2105" i="17"/>
  <c r="J2105" i="17"/>
  <c r="K2105" i="17"/>
  <c r="N2105" i="17"/>
  <c r="O2105" i="17"/>
  <c r="P2105" i="17"/>
  <c r="Q2105" i="17"/>
  <c r="R2105" i="17"/>
  <c r="S2105" i="17"/>
  <c r="T2105" i="17"/>
  <c r="U2105" i="17"/>
  <c r="W2105" i="17"/>
  <c r="X2105" i="17"/>
  <c r="Y2105" i="17"/>
  <c r="Z2105" i="17"/>
  <c r="AA2105" i="17"/>
  <c r="AB2105" i="17"/>
  <c r="AC2105" i="17"/>
  <c r="AD2105" i="17"/>
  <c r="AE2105" i="17"/>
  <c r="AF2105" i="17"/>
  <c r="AG2105" i="17"/>
  <c r="AH2105" i="17"/>
  <c r="AI2105" i="17"/>
  <c r="AJ2105" i="17"/>
  <c r="AK2105" i="17"/>
  <c r="AL2105" i="17"/>
  <c r="AM2105" i="17"/>
  <c r="AN2105" i="17"/>
  <c r="AO2105" i="17"/>
  <c r="D2106" i="17"/>
  <c r="B2106" i="17" s="1"/>
  <c r="E2106" i="17"/>
  <c r="F2106" i="17"/>
  <c r="G2106" i="17"/>
  <c r="I2106" i="17"/>
  <c r="J2106" i="17"/>
  <c r="K2106" i="17"/>
  <c r="N2106" i="17"/>
  <c r="O2106" i="17"/>
  <c r="P2106" i="17"/>
  <c r="Q2106" i="17"/>
  <c r="R2106" i="17"/>
  <c r="S2106" i="17"/>
  <c r="T2106" i="17"/>
  <c r="U2106" i="17"/>
  <c r="W2106" i="17"/>
  <c r="X2106" i="17"/>
  <c r="Y2106" i="17"/>
  <c r="Z2106" i="17"/>
  <c r="AA2106" i="17"/>
  <c r="AB2106" i="17"/>
  <c r="AC2106" i="17"/>
  <c r="AD2106" i="17"/>
  <c r="AE2106" i="17"/>
  <c r="AF2106" i="17"/>
  <c r="AG2106" i="17"/>
  <c r="AH2106" i="17"/>
  <c r="AI2106" i="17"/>
  <c r="AJ2106" i="17"/>
  <c r="AK2106" i="17"/>
  <c r="AL2106" i="17"/>
  <c r="AM2106" i="17"/>
  <c r="AN2106" i="17"/>
  <c r="AO2106" i="17"/>
  <c r="D2107" i="17"/>
  <c r="B2107" i="17" s="1"/>
  <c r="E2107" i="17"/>
  <c r="F2107" i="17"/>
  <c r="G2107" i="17"/>
  <c r="I2107" i="17"/>
  <c r="J2107" i="17"/>
  <c r="K2107" i="17"/>
  <c r="N2107" i="17"/>
  <c r="O2107" i="17"/>
  <c r="P2107" i="17"/>
  <c r="Q2107" i="17"/>
  <c r="R2107" i="17"/>
  <c r="S2107" i="17"/>
  <c r="T2107" i="17"/>
  <c r="U2107" i="17"/>
  <c r="W2107" i="17"/>
  <c r="X2107" i="17"/>
  <c r="Y2107" i="17"/>
  <c r="Z2107" i="17"/>
  <c r="AA2107" i="17"/>
  <c r="AB2107" i="17"/>
  <c r="AC2107" i="17"/>
  <c r="AD2107" i="17"/>
  <c r="AE2107" i="17"/>
  <c r="AF2107" i="17"/>
  <c r="AG2107" i="17"/>
  <c r="AH2107" i="17"/>
  <c r="AI2107" i="17"/>
  <c r="AJ2107" i="17"/>
  <c r="AK2107" i="17"/>
  <c r="AL2107" i="17"/>
  <c r="AM2107" i="17"/>
  <c r="AN2107" i="17"/>
  <c r="AO2107" i="17"/>
  <c r="D2108" i="17"/>
  <c r="B2108" i="17" s="1"/>
  <c r="E2108" i="17"/>
  <c r="F2108" i="17"/>
  <c r="G2108" i="17"/>
  <c r="J2108" i="17"/>
  <c r="K2108" i="17"/>
  <c r="N2108" i="17"/>
  <c r="O2108" i="17"/>
  <c r="P2108" i="17"/>
  <c r="Q2108" i="17"/>
  <c r="R2108" i="17"/>
  <c r="S2108" i="17"/>
  <c r="T2108" i="17"/>
  <c r="U2108" i="17"/>
  <c r="W2108" i="17"/>
  <c r="X2108" i="17"/>
  <c r="Y2108" i="17"/>
  <c r="Z2108" i="17"/>
  <c r="AA2108" i="17"/>
  <c r="AB2108" i="17"/>
  <c r="AC2108" i="17"/>
  <c r="AD2108" i="17"/>
  <c r="AE2108" i="17"/>
  <c r="AF2108" i="17"/>
  <c r="AG2108" i="17"/>
  <c r="AH2108" i="17"/>
  <c r="AI2108" i="17"/>
  <c r="AJ2108" i="17"/>
  <c r="AK2108" i="17"/>
  <c r="AL2108" i="17"/>
  <c r="AM2108" i="17"/>
  <c r="AN2108" i="17"/>
  <c r="AO2108" i="17"/>
  <c r="D2109" i="17"/>
  <c r="B2109" i="17" s="1"/>
  <c r="E2109" i="17"/>
  <c r="F2109" i="17"/>
  <c r="G2109" i="17"/>
  <c r="I2109" i="17"/>
  <c r="J2109" i="17"/>
  <c r="K2109" i="17"/>
  <c r="N2109" i="17"/>
  <c r="O2109" i="17"/>
  <c r="P2109" i="17"/>
  <c r="Q2109" i="17"/>
  <c r="R2109" i="17"/>
  <c r="S2109" i="17"/>
  <c r="T2109" i="17"/>
  <c r="U2109" i="17"/>
  <c r="W2109" i="17"/>
  <c r="X2109" i="17"/>
  <c r="Y2109" i="17"/>
  <c r="Z2109" i="17"/>
  <c r="AA2109" i="17"/>
  <c r="AB2109" i="17"/>
  <c r="AC2109" i="17"/>
  <c r="AD2109" i="17"/>
  <c r="AE2109" i="17"/>
  <c r="AF2109" i="17"/>
  <c r="AG2109" i="17"/>
  <c r="AH2109" i="17"/>
  <c r="AI2109" i="17"/>
  <c r="AJ2109" i="17"/>
  <c r="AK2109" i="17"/>
  <c r="AL2109" i="17"/>
  <c r="AM2109" i="17"/>
  <c r="AN2109" i="17"/>
  <c r="AO2109" i="17"/>
  <c r="D2110" i="17"/>
  <c r="B2110" i="17" s="1"/>
  <c r="E2110" i="17"/>
  <c r="F2110" i="17"/>
  <c r="G2110" i="17"/>
  <c r="I2110" i="17"/>
  <c r="J2110" i="17"/>
  <c r="K2110" i="17"/>
  <c r="N2110" i="17"/>
  <c r="O2110" i="17"/>
  <c r="P2110" i="17"/>
  <c r="Q2110" i="17"/>
  <c r="R2110" i="17"/>
  <c r="S2110" i="17"/>
  <c r="T2110" i="17"/>
  <c r="U2110" i="17"/>
  <c r="W2110" i="17"/>
  <c r="X2110" i="17"/>
  <c r="Y2110" i="17"/>
  <c r="Z2110" i="17"/>
  <c r="AA2110" i="17"/>
  <c r="AB2110" i="17"/>
  <c r="AC2110" i="17"/>
  <c r="AD2110" i="17"/>
  <c r="AE2110" i="17"/>
  <c r="AF2110" i="17"/>
  <c r="AG2110" i="17"/>
  <c r="AH2110" i="17"/>
  <c r="AI2110" i="17"/>
  <c r="AJ2110" i="17"/>
  <c r="AK2110" i="17"/>
  <c r="AL2110" i="17"/>
  <c r="AM2110" i="17"/>
  <c r="AN2110" i="17"/>
  <c r="AO2110" i="17"/>
  <c r="D2111" i="17"/>
  <c r="B2111" i="17" s="1"/>
  <c r="E2111" i="17"/>
  <c r="F2111" i="17"/>
  <c r="G2111" i="17"/>
  <c r="I2111" i="17"/>
  <c r="J2111" i="17"/>
  <c r="K2111" i="17"/>
  <c r="N2111" i="17"/>
  <c r="O2111" i="17"/>
  <c r="P2111" i="17"/>
  <c r="Q2111" i="17"/>
  <c r="R2111" i="17"/>
  <c r="S2111" i="17"/>
  <c r="T2111" i="17"/>
  <c r="U2111" i="17"/>
  <c r="W2111" i="17"/>
  <c r="X2111" i="17"/>
  <c r="Y2111" i="17"/>
  <c r="Z2111" i="17"/>
  <c r="AA2111" i="17"/>
  <c r="AB2111" i="17"/>
  <c r="AC2111" i="17"/>
  <c r="AD2111" i="17"/>
  <c r="AE2111" i="17"/>
  <c r="AF2111" i="17"/>
  <c r="AG2111" i="17"/>
  <c r="AH2111" i="17"/>
  <c r="AI2111" i="17"/>
  <c r="AJ2111" i="17"/>
  <c r="AK2111" i="17"/>
  <c r="AL2111" i="17"/>
  <c r="AM2111" i="17"/>
  <c r="AN2111" i="17"/>
  <c r="AO2111" i="17"/>
  <c r="D2112" i="17"/>
  <c r="B2112" i="17" s="1"/>
  <c r="E2112" i="17"/>
  <c r="F2112" i="17"/>
  <c r="G2112" i="17"/>
  <c r="I2112" i="17"/>
  <c r="J2112" i="17"/>
  <c r="K2112" i="17"/>
  <c r="N2112" i="17"/>
  <c r="O2112" i="17"/>
  <c r="P2112" i="17"/>
  <c r="Q2112" i="17"/>
  <c r="R2112" i="17"/>
  <c r="S2112" i="17"/>
  <c r="T2112" i="17"/>
  <c r="U2112" i="17"/>
  <c r="W2112" i="17"/>
  <c r="X2112" i="17"/>
  <c r="Y2112" i="17"/>
  <c r="Z2112" i="17"/>
  <c r="AA2112" i="17"/>
  <c r="AB2112" i="17"/>
  <c r="AC2112" i="17"/>
  <c r="AD2112" i="17"/>
  <c r="AE2112" i="17"/>
  <c r="AF2112" i="17"/>
  <c r="AG2112" i="17"/>
  <c r="AH2112" i="17"/>
  <c r="AI2112" i="17"/>
  <c r="AJ2112" i="17"/>
  <c r="AK2112" i="17"/>
  <c r="AL2112" i="17"/>
  <c r="AM2112" i="17"/>
  <c r="AN2112" i="17"/>
  <c r="AO2112" i="17"/>
  <c r="D2113" i="17"/>
  <c r="B2113" i="17" s="1"/>
  <c r="E2113" i="17"/>
  <c r="F2113" i="17"/>
  <c r="G2113" i="17"/>
  <c r="I2113" i="17"/>
  <c r="J2113" i="17"/>
  <c r="K2113" i="17"/>
  <c r="N2113" i="17"/>
  <c r="O2113" i="17"/>
  <c r="P2113" i="17"/>
  <c r="Q2113" i="17"/>
  <c r="R2113" i="17"/>
  <c r="S2113" i="17"/>
  <c r="T2113" i="17"/>
  <c r="U2113" i="17"/>
  <c r="W2113" i="17"/>
  <c r="X2113" i="17"/>
  <c r="Y2113" i="17"/>
  <c r="Z2113" i="17"/>
  <c r="AA2113" i="17"/>
  <c r="AB2113" i="17"/>
  <c r="AC2113" i="17"/>
  <c r="AD2113" i="17"/>
  <c r="AE2113" i="17"/>
  <c r="AF2113" i="17"/>
  <c r="AG2113" i="17"/>
  <c r="AH2113" i="17"/>
  <c r="AI2113" i="17"/>
  <c r="AJ2113" i="17"/>
  <c r="AK2113" i="17"/>
  <c r="AL2113" i="17"/>
  <c r="AM2113" i="17"/>
  <c r="AN2113" i="17"/>
  <c r="AO2113" i="17"/>
  <c r="D2114" i="17"/>
  <c r="B2114" i="17" s="1"/>
  <c r="E2114" i="17"/>
  <c r="F2114" i="17"/>
  <c r="G2114" i="17"/>
  <c r="I2114" i="17"/>
  <c r="J2114" i="17"/>
  <c r="K2114" i="17"/>
  <c r="N2114" i="17"/>
  <c r="O2114" i="17"/>
  <c r="P2114" i="17"/>
  <c r="Q2114" i="17"/>
  <c r="R2114" i="17"/>
  <c r="S2114" i="17"/>
  <c r="T2114" i="17"/>
  <c r="U2114" i="17"/>
  <c r="W2114" i="17"/>
  <c r="X2114" i="17"/>
  <c r="Y2114" i="17"/>
  <c r="Z2114" i="17"/>
  <c r="AA2114" i="17"/>
  <c r="AB2114" i="17"/>
  <c r="AC2114" i="17"/>
  <c r="AD2114" i="17"/>
  <c r="AE2114" i="17"/>
  <c r="AF2114" i="17"/>
  <c r="AG2114" i="17"/>
  <c r="AH2114" i="17"/>
  <c r="AI2114" i="17"/>
  <c r="AJ2114" i="17"/>
  <c r="AK2114" i="17"/>
  <c r="AL2114" i="17"/>
  <c r="AM2114" i="17"/>
  <c r="AN2114" i="17"/>
  <c r="AO2114" i="17"/>
  <c r="D2115" i="17"/>
  <c r="B2115" i="17" s="1"/>
  <c r="E2115" i="17"/>
  <c r="F2115" i="17"/>
  <c r="G2115" i="17"/>
  <c r="I2115" i="17"/>
  <c r="J2115" i="17"/>
  <c r="K2115" i="17"/>
  <c r="N2115" i="17"/>
  <c r="O2115" i="17"/>
  <c r="P2115" i="17"/>
  <c r="Q2115" i="17"/>
  <c r="R2115" i="17"/>
  <c r="S2115" i="17"/>
  <c r="T2115" i="17"/>
  <c r="U2115" i="17"/>
  <c r="W2115" i="17"/>
  <c r="X2115" i="17"/>
  <c r="Y2115" i="17"/>
  <c r="Z2115" i="17"/>
  <c r="AA2115" i="17"/>
  <c r="AB2115" i="17"/>
  <c r="AC2115" i="17"/>
  <c r="AD2115" i="17"/>
  <c r="AE2115" i="17"/>
  <c r="AF2115" i="17"/>
  <c r="AG2115" i="17"/>
  <c r="AH2115" i="17"/>
  <c r="AI2115" i="17"/>
  <c r="AJ2115" i="17"/>
  <c r="AK2115" i="17"/>
  <c r="AL2115" i="17"/>
  <c r="AM2115" i="17"/>
  <c r="AN2115" i="17"/>
  <c r="AO2115" i="17"/>
  <c r="D2116" i="17"/>
  <c r="B2116" i="17" s="1"/>
  <c r="E2116" i="17"/>
  <c r="F2116" i="17"/>
  <c r="G2116" i="17"/>
  <c r="I2116" i="17"/>
  <c r="J2116" i="17"/>
  <c r="K2116" i="17"/>
  <c r="N2116" i="17"/>
  <c r="O2116" i="17"/>
  <c r="P2116" i="17"/>
  <c r="Q2116" i="17"/>
  <c r="R2116" i="17"/>
  <c r="S2116" i="17"/>
  <c r="T2116" i="17"/>
  <c r="U2116" i="17"/>
  <c r="W2116" i="17"/>
  <c r="X2116" i="17"/>
  <c r="Y2116" i="17"/>
  <c r="Z2116" i="17"/>
  <c r="AA2116" i="17"/>
  <c r="AB2116" i="17"/>
  <c r="AC2116" i="17"/>
  <c r="AD2116" i="17"/>
  <c r="AE2116" i="17"/>
  <c r="AF2116" i="17"/>
  <c r="AG2116" i="17"/>
  <c r="AH2116" i="17"/>
  <c r="AI2116" i="17"/>
  <c r="AJ2116" i="17"/>
  <c r="AK2116" i="17"/>
  <c r="AL2116" i="17"/>
  <c r="AM2116" i="17"/>
  <c r="AN2116" i="17"/>
  <c r="AO2116" i="17"/>
  <c r="D2117" i="17"/>
  <c r="B2117" i="17" s="1"/>
  <c r="E2117" i="17"/>
  <c r="F2117" i="17"/>
  <c r="G2117" i="17"/>
  <c r="I2117" i="17"/>
  <c r="J2117" i="17"/>
  <c r="K2117" i="17"/>
  <c r="N2117" i="17"/>
  <c r="O2117" i="17"/>
  <c r="P2117" i="17"/>
  <c r="Q2117" i="17"/>
  <c r="R2117" i="17"/>
  <c r="S2117" i="17"/>
  <c r="T2117" i="17"/>
  <c r="U2117" i="17"/>
  <c r="W2117" i="17"/>
  <c r="X2117" i="17"/>
  <c r="Y2117" i="17"/>
  <c r="Z2117" i="17"/>
  <c r="AA2117" i="17"/>
  <c r="AB2117" i="17"/>
  <c r="AC2117" i="17"/>
  <c r="AD2117" i="17"/>
  <c r="AE2117" i="17"/>
  <c r="AF2117" i="17"/>
  <c r="AG2117" i="17"/>
  <c r="AH2117" i="17"/>
  <c r="AI2117" i="17"/>
  <c r="AJ2117" i="17"/>
  <c r="AK2117" i="17"/>
  <c r="AL2117" i="17"/>
  <c r="AM2117" i="17"/>
  <c r="AN2117" i="17"/>
  <c r="AO2117" i="17"/>
  <c r="D2118" i="17"/>
  <c r="B2118" i="17" s="1"/>
  <c r="E2118" i="17"/>
  <c r="F2118" i="17"/>
  <c r="G2118" i="17"/>
  <c r="I2118" i="17"/>
  <c r="J2118" i="17"/>
  <c r="K2118" i="17"/>
  <c r="N2118" i="17"/>
  <c r="O2118" i="17"/>
  <c r="P2118" i="17"/>
  <c r="Q2118" i="17"/>
  <c r="R2118" i="17"/>
  <c r="S2118" i="17"/>
  <c r="T2118" i="17"/>
  <c r="U2118" i="17"/>
  <c r="W2118" i="17"/>
  <c r="X2118" i="17"/>
  <c r="Y2118" i="17"/>
  <c r="Z2118" i="17"/>
  <c r="AA2118" i="17"/>
  <c r="AB2118" i="17"/>
  <c r="AC2118" i="17"/>
  <c r="AD2118" i="17"/>
  <c r="AE2118" i="17"/>
  <c r="AF2118" i="17"/>
  <c r="AG2118" i="17"/>
  <c r="AH2118" i="17"/>
  <c r="AI2118" i="17"/>
  <c r="AJ2118" i="17"/>
  <c r="AK2118" i="17"/>
  <c r="AL2118" i="17"/>
  <c r="AM2118" i="17"/>
  <c r="AN2118" i="17"/>
  <c r="AO2118" i="17"/>
  <c r="D2119" i="17"/>
  <c r="B2119" i="17" s="1"/>
  <c r="E2119" i="17"/>
  <c r="F2119" i="17"/>
  <c r="G2119" i="17"/>
  <c r="I2119" i="17"/>
  <c r="J2119" i="17"/>
  <c r="K2119" i="17"/>
  <c r="N2119" i="17"/>
  <c r="O2119" i="17"/>
  <c r="P2119" i="17"/>
  <c r="Q2119" i="17"/>
  <c r="R2119" i="17"/>
  <c r="S2119" i="17"/>
  <c r="T2119" i="17"/>
  <c r="U2119" i="17"/>
  <c r="W2119" i="17"/>
  <c r="X2119" i="17"/>
  <c r="Y2119" i="17"/>
  <c r="Z2119" i="17"/>
  <c r="AA2119" i="17"/>
  <c r="AB2119" i="17"/>
  <c r="AC2119" i="17"/>
  <c r="AD2119" i="17"/>
  <c r="AE2119" i="17"/>
  <c r="AF2119" i="17"/>
  <c r="AG2119" i="17"/>
  <c r="AH2119" i="17"/>
  <c r="AI2119" i="17"/>
  <c r="AJ2119" i="17"/>
  <c r="AK2119" i="17"/>
  <c r="AL2119" i="17"/>
  <c r="AM2119" i="17"/>
  <c r="AN2119" i="17"/>
  <c r="AO2119" i="17"/>
  <c r="D2120" i="17"/>
  <c r="B2120" i="17" s="1"/>
  <c r="E2120" i="17"/>
  <c r="F2120" i="17"/>
  <c r="G2120" i="17"/>
  <c r="I2120" i="17"/>
  <c r="J2120" i="17"/>
  <c r="K2120" i="17"/>
  <c r="N2120" i="17"/>
  <c r="O2120" i="17"/>
  <c r="P2120" i="17"/>
  <c r="Q2120" i="17"/>
  <c r="R2120" i="17"/>
  <c r="S2120" i="17"/>
  <c r="T2120" i="17"/>
  <c r="U2120" i="17"/>
  <c r="W2120" i="17"/>
  <c r="X2120" i="17"/>
  <c r="Y2120" i="17"/>
  <c r="Z2120" i="17"/>
  <c r="AA2120" i="17"/>
  <c r="AB2120" i="17"/>
  <c r="AC2120" i="17"/>
  <c r="AD2120" i="17"/>
  <c r="AE2120" i="17"/>
  <c r="AF2120" i="17"/>
  <c r="AG2120" i="17"/>
  <c r="AH2120" i="17"/>
  <c r="AI2120" i="17"/>
  <c r="AJ2120" i="17"/>
  <c r="AK2120" i="17"/>
  <c r="AL2120" i="17"/>
  <c r="AM2120" i="17"/>
  <c r="AN2120" i="17"/>
  <c r="AO2120" i="17"/>
  <c r="D2121" i="17"/>
  <c r="B2121" i="17" s="1"/>
  <c r="E2121" i="17"/>
  <c r="F2121" i="17"/>
  <c r="G2121" i="17"/>
  <c r="I2121" i="17"/>
  <c r="J2121" i="17"/>
  <c r="K2121" i="17"/>
  <c r="N2121" i="17"/>
  <c r="O2121" i="17"/>
  <c r="P2121" i="17"/>
  <c r="Q2121" i="17"/>
  <c r="R2121" i="17"/>
  <c r="S2121" i="17"/>
  <c r="T2121" i="17"/>
  <c r="U2121" i="17"/>
  <c r="W2121" i="17"/>
  <c r="X2121" i="17"/>
  <c r="Y2121" i="17"/>
  <c r="Z2121" i="17"/>
  <c r="AA2121" i="17"/>
  <c r="AB2121" i="17"/>
  <c r="AC2121" i="17"/>
  <c r="AD2121" i="17"/>
  <c r="AE2121" i="17"/>
  <c r="AF2121" i="17"/>
  <c r="AG2121" i="17"/>
  <c r="AH2121" i="17"/>
  <c r="AI2121" i="17"/>
  <c r="AJ2121" i="17"/>
  <c r="AK2121" i="17"/>
  <c r="AL2121" i="17"/>
  <c r="AM2121" i="17"/>
  <c r="AN2121" i="17"/>
  <c r="AO2121" i="17"/>
  <c r="D2122" i="17"/>
  <c r="B2122" i="17" s="1"/>
  <c r="E2122" i="17"/>
  <c r="F2122" i="17"/>
  <c r="G2122" i="17"/>
  <c r="I2122" i="17"/>
  <c r="J2122" i="17"/>
  <c r="K2122" i="17"/>
  <c r="N2122" i="17"/>
  <c r="O2122" i="17"/>
  <c r="P2122" i="17"/>
  <c r="Q2122" i="17"/>
  <c r="R2122" i="17"/>
  <c r="S2122" i="17"/>
  <c r="T2122" i="17"/>
  <c r="U2122" i="17"/>
  <c r="W2122" i="17"/>
  <c r="X2122" i="17"/>
  <c r="Y2122" i="17"/>
  <c r="Z2122" i="17"/>
  <c r="AA2122" i="17"/>
  <c r="AB2122" i="17"/>
  <c r="AC2122" i="17"/>
  <c r="AD2122" i="17"/>
  <c r="AE2122" i="17"/>
  <c r="AF2122" i="17"/>
  <c r="AG2122" i="17"/>
  <c r="AH2122" i="17"/>
  <c r="AI2122" i="17"/>
  <c r="AJ2122" i="17"/>
  <c r="AK2122" i="17"/>
  <c r="AL2122" i="17"/>
  <c r="AM2122" i="17"/>
  <c r="AN2122" i="17"/>
  <c r="AO2122" i="17"/>
  <c r="B220" i="33"/>
  <c r="B219" i="33"/>
  <c r="B218" i="33"/>
  <c r="B217" i="33"/>
  <c r="B216" i="33"/>
  <c r="D2097" i="17"/>
  <c r="B2097" i="17" s="1"/>
  <c r="E2097" i="17"/>
  <c r="F2097" i="17"/>
  <c r="G2097" i="17"/>
  <c r="I2097" i="17"/>
  <c r="J2097" i="17"/>
  <c r="K2097" i="17"/>
  <c r="N2097" i="17"/>
  <c r="O2097" i="17"/>
  <c r="P2097" i="17"/>
  <c r="Q2097" i="17"/>
  <c r="R2097" i="17"/>
  <c r="S2097" i="17"/>
  <c r="T2097" i="17"/>
  <c r="U2097" i="17"/>
  <c r="W2097" i="17"/>
  <c r="X2097" i="17"/>
  <c r="Y2097" i="17"/>
  <c r="Z2097" i="17"/>
  <c r="AA2097" i="17"/>
  <c r="AB2097" i="17"/>
  <c r="AC2097" i="17"/>
  <c r="AD2097" i="17"/>
  <c r="AE2097" i="17"/>
  <c r="AF2097" i="17"/>
  <c r="AG2097" i="17"/>
  <c r="AH2097" i="17"/>
  <c r="AI2097" i="17"/>
  <c r="AJ2097" i="17"/>
  <c r="AK2097" i="17"/>
  <c r="D2098" i="17"/>
  <c r="B2098" i="17" s="1"/>
  <c r="E2098" i="17"/>
  <c r="F2098" i="17"/>
  <c r="G2098" i="17"/>
  <c r="I2098" i="17"/>
  <c r="J2098" i="17"/>
  <c r="K2098" i="17"/>
  <c r="N2098" i="17"/>
  <c r="O2098" i="17"/>
  <c r="P2098" i="17"/>
  <c r="Q2098" i="17"/>
  <c r="R2098" i="17"/>
  <c r="S2098" i="17"/>
  <c r="T2098" i="17"/>
  <c r="U2098" i="17"/>
  <c r="W2098" i="17"/>
  <c r="X2098" i="17"/>
  <c r="Y2098" i="17"/>
  <c r="Z2098" i="17"/>
  <c r="AA2098" i="17"/>
  <c r="AB2098" i="17"/>
  <c r="AC2098" i="17"/>
  <c r="AD2098" i="17"/>
  <c r="AE2098" i="17"/>
  <c r="AF2098" i="17"/>
  <c r="AG2098" i="17"/>
  <c r="AH2098" i="17"/>
  <c r="AI2098" i="17"/>
  <c r="AJ2098" i="17"/>
  <c r="AK2098" i="17"/>
  <c r="AL2098" i="17"/>
  <c r="AM2098" i="17"/>
  <c r="AN2098" i="17"/>
  <c r="AO2098" i="17"/>
  <c r="D2099" i="17"/>
  <c r="B2099" i="17" s="1"/>
  <c r="E2099" i="17"/>
  <c r="F2099" i="17"/>
  <c r="G2099" i="17"/>
  <c r="I2099" i="17"/>
  <c r="J2099" i="17"/>
  <c r="K2099" i="17"/>
  <c r="N2099" i="17"/>
  <c r="O2099" i="17"/>
  <c r="P2099" i="17"/>
  <c r="Q2099" i="17"/>
  <c r="R2099" i="17"/>
  <c r="S2099" i="17"/>
  <c r="T2099" i="17"/>
  <c r="U2099" i="17"/>
  <c r="W2099" i="17"/>
  <c r="X2099" i="17"/>
  <c r="Y2099" i="17"/>
  <c r="Z2099" i="17"/>
  <c r="AA2099" i="17"/>
  <c r="AB2099" i="17"/>
  <c r="AC2099" i="17"/>
  <c r="AD2099" i="17"/>
  <c r="AE2099" i="17"/>
  <c r="AF2099" i="17"/>
  <c r="AG2099" i="17"/>
  <c r="AH2099" i="17"/>
  <c r="AI2099" i="17"/>
  <c r="AJ2099" i="17"/>
  <c r="AK2099" i="17"/>
  <c r="AL2099" i="17"/>
  <c r="AM2099" i="17"/>
  <c r="AN2099" i="17"/>
  <c r="AO2099" i="17"/>
  <c r="D2100" i="17"/>
  <c r="B2100" i="17" s="1"/>
  <c r="E2100" i="17"/>
  <c r="F2100" i="17"/>
  <c r="G2100" i="17"/>
  <c r="I2100" i="17"/>
  <c r="J2100" i="17"/>
  <c r="K2100" i="17"/>
  <c r="N2100" i="17"/>
  <c r="O2100" i="17"/>
  <c r="P2100" i="17"/>
  <c r="Q2100" i="17"/>
  <c r="R2100" i="17"/>
  <c r="S2100" i="17"/>
  <c r="T2100" i="17"/>
  <c r="U2100" i="17"/>
  <c r="W2100" i="17"/>
  <c r="X2100" i="17"/>
  <c r="Y2100" i="17"/>
  <c r="Z2100" i="17"/>
  <c r="AA2100" i="17"/>
  <c r="AB2100" i="17"/>
  <c r="AC2100" i="17"/>
  <c r="AD2100" i="17"/>
  <c r="AE2100" i="17"/>
  <c r="AF2100" i="17"/>
  <c r="AG2100" i="17"/>
  <c r="AH2100" i="17"/>
  <c r="AI2100" i="17"/>
  <c r="AJ2100" i="17"/>
  <c r="AK2100" i="17"/>
  <c r="AL2100" i="17"/>
  <c r="AM2100" i="17"/>
  <c r="AN2100" i="17"/>
  <c r="AO2100" i="17"/>
  <c r="D2101" i="17"/>
  <c r="B2101" i="17" s="1"/>
  <c r="E2101" i="17"/>
  <c r="F2101" i="17"/>
  <c r="G2101" i="17"/>
  <c r="I2101" i="17"/>
  <c r="J2101" i="17"/>
  <c r="K2101" i="17"/>
  <c r="N2101" i="17"/>
  <c r="O2101" i="17"/>
  <c r="P2101" i="17"/>
  <c r="Q2101" i="17"/>
  <c r="R2101" i="17"/>
  <c r="S2101" i="17"/>
  <c r="T2101" i="17"/>
  <c r="U2101" i="17"/>
  <c r="W2101" i="17"/>
  <c r="X2101" i="17"/>
  <c r="Y2101" i="17"/>
  <c r="Z2101" i="17"/>
  <c r="AA2101" i="17"/>
  <c r="AB2101" i="17"/>
  <c r="AC2101" i="17"/>
  <c r="AD2101" i="17"/>
  <c r="AE2101" i="17"/>
  <c r="AF2101" i="17"/>
  <c r="AG2101" i="17"/>
  <c r="AH2101" i="17"/>
  <c r="AI2101" i="17"/>
  <c r="AJ2101" i="17"/>
  <c r="AK2101" i="17"/>
  <c r="AL2101" i="17"/>
  <c r="AM2101" i="17"/>
  <c r="AN2101" i="17"/>
  <c r="AO2101" i="17"/>
  <c r="D2102" i="17"/>
  <c r="B2102" i="17" s="1"/>
  <c r="E2102" i="17"/>
  <c r="F2102" i="17"/>
  <c r="G2102" i="17"/>
  <c r="I2102" i="17"/>
  <c r="J2102" i="17"/>
  <c r="K2102" i="17"/>
  <c r="N2102" i="17"/>
  <c r="O2102" i="17"/>
  <c r="P2102" i="17"/>
  <c r="Q2102" i="17"/>
  <c r="R2102" i="17"/>
  <c r="S2102" i="17"/>
  <c r="T2102" i="17"/>
  <c r="U2102" i="17"/>
  <c r="W2102" i="17"/>
  <c r="X2102" i="17"/>
  <c r="Y2102" i="17"/>
  <c r="Z2102" i="17"/>
  <c r="AA2102" i="17"/>
  <c r="AB2102" i="17"/>
  <c r="AC2102" i="17"/>
  <c r="AD2102" i="17"/>
  <c r="AE2102" i="17"/>
  <c r="AF2102" i="17"/>
  <c r="AG2102" i="17"/>
  <c r="AH2102" i="17"/>
  <c r="AI2102" i="17"/>
  <c r="AJ2102" i="17"/>
  <c r="AK2102" i="17"/>
  <c r="AL2102" i="17"/>
  <c r="AM2102" i="17"/>
  <c r="AN2102" i="17"/>
  <c r="AO2102" i="17"/>
  <c r="B214" i="33"/>
  <c r="AE1965" i="17"/>
  <c r="AF1965" i="17"/>
  <c r="J2124" i="18"/>
  <c r="J2115" i="18"/>
  <c r="J2114" i="18"/>
  <c r="J2113" i="18"/>
  <c r="J2109" i="18"/>
  <c r="J2108" i="18"/>
  <c r="J2107" i="18"/>
  <c r="J2105" i="18"/>
  <c r="J2104" i="18"/>
  <c r="J2100" i="18"/>
  <c r="J2099" i="18"/>
  <c r="J2097" i="18"/>
  <c r="J2095" i="18"/>
  <c r="J2086" i="18"/>
  <c r="J2084" i="18"/>
  <c r="C2124" i="18"/>
  <c r="E2124" i="18" s="1"/>
  <c r="F2124" i="18" s="1"/>
  <c r="C2123" i="18"/>
  <c r="E2123" i="18" s="1"/>
  <c r="F2123" i="18" s="1"/>
  <c r="E2122" i="18"/>
  <c r="F2122" i="18" s="1"/>
  <c r="F2121" i="18"/>
  <c r="E2121" i="18"/>
  <c r="E2120" i="18"/>
  <c r="F2120" i="18" s="1"/>
  <c r="C2119" i="18"/>
  <c r="E2119" i="18" s="1"/>
  <c r="F2119" i="18" s="1"/>
  <c r="E2118" i="18"/>
  <c r="F2118" i="18" s="1"/>
  <c r="C2118" i="18"/>
  <c r="E2117" i="18"/>
  <c r="F2117" i="18" s="1"/>
  <c r="C2116" i="18"/>
  <c r="E2116" i="18" s="1"/>
  <c r="F2116" i="18" s="1"/>
  <c r="E2115" i="18"/>
  <c r="F2115" i="18" s="1"/>
  <c r="C2115" i="18"/>
  <c r="C2114" i="18"/>
  <c r="E2114" i="18" s="1"/>
  <c r="F2114" i="18" s="1"/>
  <c r="C2113" i="18"/>
  <c r="E2113" i="18" s="1"/>
  <c r="F2113" i="18" s="1"/>
  <c r="F2112" i="18"/>
  <c r="E2112" i="18"/>
  <c r="E2111" i="18"/>
  <c r="F2111" i="18" s="1"/>
  <c r="E2110" i="18"/>
  <c r="F2110" i="18" s="1"/>
  <c r="C2109" i="18"/>
  <c r="E2109" i="18" s="1"/>
  <c r="F2109" i="18" s="1"/>
  <c r="C2108" i="18"/>
  <c r="E2108" i="18" s="1"/>
  <c r="F2108" i="18" s="1"/>
  <c r="C2107" i="18"/>
  <c r="E2107" i="18" s="1"/>
  <c r="F2107" i="18" s="1"/>
  <c r="E2106" i="18"/>
  <c r="F2106" i="18" s="1"/>
  <c r="C2105" i="18"/>
  <c r="E2105" i="18" s="1"/>
  <c r="F2105" i="18" s="1"/>
  <c r="C2104" i="18"/>
  <c r="E2104" i="18" s="1"/>
  <c r="F2104" i="18" s="1"/>
  <c r="E2103" i="18"/>
  <c r="F2103" i="18" s="1"/>
  <c r="C2103" i="18"/>
  <c r="E2102" i="18"/>
  <c r="F2102" i="18" s="1"/>
  <c r="E2101" i="18"/>
  <c r="F2101" i="18" s="1"/>
  <c r="C2100" i="18"/>
  <c r="E2100" i="18" s="1"/>
  <c r="F2100" i="18" s="1"/>
  <c r="C2099" i="18"/>
  <c r="E2099" i="18" s="1"/>
  <c r="F2099" i="18" s="1"/>
  <c r="E2098" i="18"/>
  <c r="F2098" i="18" s="1"/>
  <c r="C2097" i="18"/>
  <c r="E2097" i="18" s="1"/>
  <c r="F2097" i="18" s="1"/>
  <c r="E2096" i="18"/>
  <c r="F2096" i="18" s="1"/>
  <c r="C2095" i="18"/>
  <c r="E2095" i="18" s="1"/>
  <c r="F2095" i="18" s="1"/>
  <c r="E2094" i="18"/>
  <c r="F2094" i="18" s="1"/>
  <c r="F2093" i="18"/>
  <c r="E2093" i="18"/>
  <c r="E2092" i="18"/>
  <c r="F2092" i="18" s="1"/>
  <c r="E2091" i="18"/>
  <c r="F2091" i="18" s="1"/>
  <c r="E2090" i="18"/>
  <c r="F2090" i="18" s="1"/>
  <c r="F2089" i="18"/>
  <c r="E2089" i="18"/>
  <c r="C2088" i="18"/>
  <c r="E2088" i="18" s="1"/>
  <c r="F2088" i="18" s="1"/>
  <c r="C2087" i="18"/>
  <c r="E2087" i="18" s="1"/>
  <c r="F2087" i="18" s="1"/>
  <c r="F2086" i="18"/>
  <c r="E2086" i="18"/>
  <c r="C2086" i="18"/>
  <c r="E2085" i="18"/>
  <c r="F2085" i="18" s="1"/>
  <c r="C2084" i="18"/>
  <c r="E2084" i="18" s="1"/>
  <c r="F2084" i="18" s="1"/>
  <c r="J2081" i="18" l="1"/>
  <c r="J2080" i="18"/>
  <c r="J2075" i="18"/>
  <c r="J2072" i="18"/>
  <c r="J2070" i="18"/>
  <c r="E2083" i="18"/>
  <c r="F2083" i="18" s="1"/>
  <c r="E2082" i="18"/>
  <c r="F2082" i="18" s="1"/>
  <c r="C2081" i="18"/>
  <c r="E2081" i="18" s="1"/>
  <c r="F2081" i="18" s="1"/>
  <c r="C2080" i="18"/>
  <c r="E2080" i="18" s="1"/>
  <c r="F2080" i="18" s="1"/>
  <c r="E2079" i="18"/>
  <c r="F2079" i="18" s="1"/>
  <c r="E2078" i="18"/>
  <c r="F2078" i="18" s="1"/>
  <c r="E2077" i="18"/>
  <c r="F2077" i="18" s="1"/>
  <c r="E2076" i="18"/>
  <c r="F2076" i="18" s="1"/>
  <c r="E2075" i="18"/>
  <c r="F2075" i="18" s="1"/>
  <c r="C2075" i="18"/>
  <c r="C2074" i="18"/>
  <c r="E2074" i="18" s="1"/>
  <c r="F2074" i="18" s="1"/>
  <c r="E2073" i="18"/>
  <c r="F2073" i="18" s="1"/>
  <c r="C2073" i="18"/>
  <c r="C2072" i="18"/>
  <c r="E2072" i="18" s="1"/>
  <c r="F2072" i="18" s="1"/>
  <c r="E2071" i="18"/>
  <c r="F2071" i="18" s="1"/>
  <c r="C2071" i="18"/>
  <c r="C2070" i="18"/>
  <c r="E2070" i="18" s="1"/>
  <c r="F2070" i="18" s="1"/>
  <c r="J2069" i="18" l="1"/>
  <c r="J2068" i="18"/>
  <c r="J2067" i="18"/>
  <c r="J2066" i="18"/>
  <c r="J2065" i="18"/>
  <c r="J2064" i="18"/>
  <c r="J2062" i="18"/>
  <c r="J2058" i="18"/>
  <c r="J2057" i="18"/>
  <c r="J2056" i="18"/>
  <c r="J2055" i="18"/>
  <c r="J2054" i="18"/>
  <c r="J2053" i="18"/>
  <c r="J2052" i="18"/>
  <c r="J2051" i="18"/>
  <c r="J2050" i="18"/>
  <c r="J2049" i="18"/>
  <c r="J2044" i="18"/>
  <c r="J2043" i="18"/>
  <c r="J2042" i="18"/>
  <c r="J2040" i="18"/>
  <c r="J2039" i="18"/>
  <c r="J2038" i="18"/>
  <c r="J2037" i="18"/>
  <c r="C2069" i="18"/>
  <c r="E2069" i="18" s="1"/>
  <c r="F2069" i="18" s="1"/>
  <c r="C2068" i="18"/>
  <c r="E2068" i="18" s="1"/>
  <c r="F2068" i="18" s="1"/>
  <c r="E2067" i="18"/>
  <c r="F2067" i="18" s="1"/>
  <c r="C2067" i="18"/>
  <c r="C2066" i="18"/>
  <c r="E2066" i="18" s="1"/>
  <c r="F2066" i="18" s="1"/>
  <c r="C2065" i="18"/>
  <c r="E2065" i="18" s="1"/>
  <c r="F2065" i="18" s="1"/>
  <c r="F2064" i="18"/>
  <c r="E2064" i="18"/>
  <c r="C2064" i="18"/>
  <c r="C2063" i="18"/>
  <c r="E2063" i="18" s="1"/>
  <c r="F2063" i="18" s="1"/>
  <c r="C2062" i="18"/>
  <c r="E2062" i="18" s="1"/>
  <c r="F2062" i="18" s="1"/>
  <c r="F2061" i="18"/>
  <c r="E2061" i="18"/>
  <c r="E2060" i="18"/>
  <c r="F2060" i="18" s="1"/>
  <c r="E2059" i="18"/>
  <c r="F2059" i="18" s="1"/>
  <c r="E2058" i="18"/>
  <c r="F2058" i="18" s="1"/>
  <c r="C2058" i="18"/>
  <c r="C2057" i="18"/>
  <c r="E2057" i="18" s="1"/>
  <c r="F2057" i="18" s="1"/>
  <c r="C2056" i="18"/>
  <c r="E2056" i="18" s="1"/>
  <c r="F2056" i="18" s="1"/>
  <c r="C2055" i="18"/>
  <c r="E2055" i="18" s="1"/>
  <c r="F2055" i="18" s="1"/>
  <c r="C2054" i="18"/>
  <c r="E2054" i="18" s="1"/>
  <c r="F2054" i="18" s="1"/>
  <c r="C2053" i="18"/>
  <c r="E2053" i="18" s="1"/>
  <c r="F2053" i="18" s="1"/>
  <c r="C2052" i="18"/>
  <c r="E2052" i="18" s="1"/>
  <c r="F2052" i="18" s="1"/>
  <c r="C2051" i="18"/>
  <c r="E2051" i="18" s="1"/>
  <c r="F2051" i="18" s="1"/>
  <c r="E2050" i="18"/>
  <c r="F2050" i="18" s="1"/>
  <c r="C2050" i="18"/>
  <c r="C2049" i="18"/>
  <c r="E2049" i="18" s="1"/>
  <c r="F2049" i="18" s="1"/>
  <c r="C2048" i="18"/>
  <c r="E2048" i="18" s="1"/>
  <c r="F2048" i="18" s="1"/>
  <c r="F2047" i="18"/>
  <c r="E2047" i="18"/>
  <c r="E2046" i="18"/>
  <c r="F2046" i="18" s="1"/>
  <c r="E2045" i="18"/>
  <c r="F2045" i="18" s="1"/>
  <c r="C2044" i="18"/>
  <c r="E2044" i="18" s="1"/>
  <c r="F2044" i="18" s="1"/>
  <c r="C2043" i="18"/>
  <c r="E2043" i="18" s="1"/>
  <c r="F2043" i="18" s="1"/>
  <c r="C2042" i="18"/>
  <c r="E2042" i="18" s="1"/>
  <c r="F2042" i="18" s="1"/>
  <c r="E2041" i="18"/>
  <c r="F2041" i="18" s="1"/>
  <c r="C2040" i="18"/>
  <c r="E2040" i="18" s="1"/>
  <c r="F2040" i="18" s="1"/>
  <c r="C2039" i="18"/>
  <c r="E2039" i="18" s="1"/>
  <c r="F2039" i="18" s="1"/>
  <c r="E2038" i="18"/>
  <c r="F2038" i="18" s="1"/>
  <c r="C2038" i="18"/>
  <c r="C2037" i="18"/>
  <c r="E2037" i="18" s="1"/>
  <c r="F2037" i="18" s="1"/>
  <c r="E2036" i="18"/>
  <c r="F2036" i="18" s="1"/>
  <c r="E2035" i="18"/>
  <c r="F2035" i="18" s="1"/>
  <c r="F2034" i="18"/>
  <c r="E2034" i="18"/>
  <c r="C2033" i="18"/>
  <c r="E2033" i="18" s="1"/>
  <c r="F2033" i="18" s="1"/>
  <c r="E2032" i="18"/>
  <c r="F2032" i="18" s="1"/>
  <c r="F2031" i="18"/>
  <c r="E2031" i="18"/>
  <c r="C2031" i="18"/>
  <c r="J2024" i="18" l="1"/>
  <c r="J2021" i="18"/>
  <c r="J2020" i="18"/>
  <c r="J2017" i="18"/>
  <c r="J2015" i="18"/>
  <c r="J2014" i="18"/>
  <c r="J2013" i="18"/>
  <c r="J2012" i="18"/>
  <c r="J2011" i="18"/>
  <c r="J2010" i="18"/>
  <c r="J2008" i="18"/>
  <c r="J2006" i="18"/>
  <c r="J2003" i="18"/>
  <c r="J2002" i="18"/>
  <c r="J2001" i="18"/>
  <c r="F2030" i="18"/>
  <c r="E2030" i="18"/>
  <c r="E2029" i="18"/>
  <c r="F2029" i="18" s="1"/>
  <c r="E2028" i="18"/>
  <c r="F2028" i="18" s="1"/>
  <c r="E2027" i="18"/>
  <c r="F2027" i="18" s="1"/>
  <c r="F2026" i="18"/>
  <c r="E2026" i="18"/>
  <c r="E2025" i="18"/>
  <c r="F2025" i="18" s="1"/>
  <c r="E2024" i="18"/>
  <c r="F2024" i="18" s="1"/>
  <c r="E2023" i="18"/>
  <c r="F2023" i="18" s="1"/>
  <c r="F2022" i="18"/>
  <c r="E2022" i="18"/>
  <c r="E2021" i="18"/>
  <c r="F2021" i="18" s="1"/>
  <c r="E2020" i="18"/>
  <c r="F2020" i="18" s="1"/>
  <c r="E2019" i="18"/>
  <c r="F2019" i="18" s="1"/>
  <c r="F2018" i="18"/>
  <c r="E2018" i="18"/>
  <c r="E2017" i="18"/>
  <c r="F2017" i="18" s="1"/>
  <c r="E2016" i="18"/>
  <c r="F2016" i="18" s="1"/>
  <c r="E2015" i="18"/>
  <c r="F2015" i="18" s="1"/>
  <c r="F2014" i="18"/>
  <c r="E2014" i="18"/>
  <c r="E2013" i="18"/>
  <c r="F2013" i="18" s="1"/>
  <c r="E2012" i="18"/>
  <c r="F2012" i="18" s="1"/>
  <c r="E2011" i="18"/>
  <c r="F2011" i="18" s="1"/>
  <c r="F2010" i="18"/>
  <c r="E2010" i="18"/>
  <c r="E2009" i="18"/>
  <c r="F2009" i="18" s="1"/>
  <c r="E2008" i="18"/>
  <c r="F2008" i="18" s="1"/>
  <c r="E2007" i="18"/>
  <c r="F2007" i="18" s="1"/>
  <c r="F2006" i="18"/>
  <c r="E2006" i="18"/>
  <c r="E2005" i="18"/>
  <c r="F2005" i="18" s="1"/>
  <c r="E2004" i="18"/>
  <c r="F2004" i="18" s="1"/>
  <c r="E2003" i="18"/>
  <c r="F2003" i="18" s="1"/>
  <c r="F2002" i="18"/>
  <c r="E2002" i="18"/>
  <c r="E2001" i="18"/>
  <c r="F2001" i="18" s="1"/>
  <c r="E2000" i="18"/>
  <c r="F2000" i="18" s="1"/>
  <c r="E1999" i="18"/>
  <c r="F1999" i="18" s="1"/>
  <c r="C2030" i="18"/>
  <c r="C2024" i="18"/>
  <c r="C2021" i="18"/>
  <c r="C2020" i="18"/>
  <c r="C2019" i="18"/>
  <c r="C2017" i="18"/>
  <c r="C2015" i="18"/>
  <c r="C2014" i="18"/>
  <c r="C2013" i="18"/>
  <c r="C2012" i="18"/>
  <c r="C2011" i="18"/>
  <c r="C2010" i="18"/>
  <c r="C2008" i="18"/>
  <c r="C2006" i="18"/>
  <c r="C2004" i="18"/>
  <c r="C2003" i="18"/>
  <c r="C2002" i="18"/>
  <c r="C2001" i="18"/>
  <c r="X1881" i="17" l="1"/>
  <c r="Y1881" i="17"/>
  <c r="Z1881" i="17"/>
  <c r="W1882" i="17"/>
  <c r="X1882" i="17"/>
  <c r="Y1882" i="17"/>
  <c r="Z1882" i="17"/>
  <c r="W1883" i="17"/>
  <c r="X1883" i="17"/>
  <c r="Y1883" i="17"/>
  <c r="Z1883" i="17"/>
  <c r="W1884" i="17"/>
  <c r="X1884" i="17"/>
  <c r="Y1884" i="17"/>
  <c r="Z1884" i="17"/>
  <c r="W1885" i="17"/>
  <c r="X1885" i="17"/>
  <c r="Y1885" i="17"/>
  <c r="Z1885" i="17"/>
  <c r="W1886" i="17"/>
  <c r="X1886" i="17"/>
  <c r="Y1886" i="17"/>
  <c r="Z1886" i="17"/>
  <c r="W1887" i="17"/>
  <c r="X1887" i="17"/>
  <c r="Y1887" i="17"/>
  <c r="Z1887" i="17"/>
  <c r="W1888" i="17"/>
  <c r="X1888" i="17"/>
  <c r="Y1888" i="17"/>
  <c r="Z1888" i="17"/>
  <c r="W1889" i="17"/>
  <c r="X1889" i="17"/>
  <c r="Y1889" i="17"/>
  <c r="Z1889" i="17"/>
  <c r="W1890" i="17"/>
  <c r="X1890" i="17"/>
  <c r="Y1890" i="17"/>
  <c r="Z1890" i="17"/>
  <c r="W1891" i="17"/>
  <c r="X1891" i="17"/>
  <c r="Y1891" i="17"/>
  <c r="Z1891" i="17"/>
  <c r="W1892" i="17"/>
  <c r="X1892" i="17"/>
  <c r="Y1892" i="17"/>
  <c r="Z1892" i="17"/>
  <c r="W1893" i="17"/>
  <c r="X1893" i="17"/>
  <c r="Y1893" i="17"/>
  <c r="Z1893" i="17"/>
  <c r="W1894" i="17"/>
  <c r="X1894" i="17"/>
  <c r="Y1894" i="17"/>
  <c r="Z1894" i="17"/>
  <c r="W1895" i="17"/>
  <c r="X1895" i="17"/>
  <c r="Y1895" i="17"/>
  <c r="Z1895" i="17"/>
  <c r="W1896" i="17"/>
  <c r="X1896" i="17"/>
  <c r="Y1896" i="17"/>
  <c r="Z1896" i="17"/>
  <c r="W1897" i="17"/>
  <c r="X1897" i="17"/>
  <c r="Y1897" i="17"/>
  <c r="Z1897" i="17"/>
  <c r="W1898" i="17"/>
  <c r="X1898" i="17"/>
  <c r="Y1898" i="17"/>
  <c r="Z1898" i="17"/>
  <c r="G1994" i="17"/>
  <c r="G1995" i="17"/>
  <c r="G1996" i="17"/>
  <c r="G1997" i="17"/>
  <c r="G1998" i="17"/>
  <c r="G1999" i="17"/>
  <c r="G2000" i="17"/>
  <c r="G2001" i="17"/>
  <c r="G2002" i="17"/>
  <c r="G1989" i="17"/>
  <c r="G1990" i="17"/>
  <c r="G2026" i="17"/>
  <c r="G2027" i="17"/>
  <c r="G2028" i="17"/>
  <c r="G2029" i="17"/>
  <c r="G2030" i="17"/>
  <c r="G2031" i="17"/>
  <c r="G2032" i="17"/>
  <c r="G2033" i="17"/>
  <c r="G2034" i="17"/>
  <c r="G2035" i="17"/>
  <c r="G2036" i="17"/>
  <c r="G2037" i="17"/>
  <c r="G2038" i="17"/>
  <c r="G2039" i="17"/>
  <c r="G2040" i="17"/>
  <c r="G2041" i="17"/>
  <c r="G2042" i="17"/>
  <c r="G2043" i="17"/>
  <c r="G2044" i="17"/>
  <c r="G2045" i="17"/>
  <c r="G2046" i="17"/>
  <c r="G2047" i="17"/>
  <c r="G2048" i="17"/>
  <c r="G2049" i="17"/>
  <c r="G2050" i="17"/>
  <c r="G2051" i="17"/>
  <c r="G2052" i="17"/>
  <c r="G2053" i="17"/>
  <c r="G2054" i="17"/>
  <c r="G2055" i="17"/>
  <c r="G2056" i="17"/>
  <c r="G2057" i="17"/>
  <c r="G2058" i="17"/>
  <c r="G2059" i="17"/>
  <c r="G2060" i="17"/>
  <c r="G2061" i="17"/>
  <c r="G2062" i="17"/>
  <c r="G2063" i="17"/>
  <c r="G2064" i="17"/>
  <c r="G2065" i="17"/>
  <c r="G2066" i="17"/>
  <c r="G2067" i="17"/>
  <c r="G2068" i="17"/>
  <c r="G2069" i="17"/>
  <c r="G2070" i="17"/>
  <c r="G2071" i="17"/>
  <c r="G2072" i="17"/>
  <c r="G2073" i="17"/>
  <c r="G2074" i="17"/>
  <c r="G2075" i="17"/>
  <c r="G2076" i="17"/>
  <c r="G2077" i="17"/>
  <c r="G2078" i="17"/>
  <c r="G2079" i="17"/>
  <c r="G2080" i="17"/>
  <c r="G2081" i="17"/>
  <c r="G2082" i="17"/>
  <c r="G2083" i="17"/>
  <c r="G2084" i="17"/>
  <c r="G2085" i="17"/>
  <c r="G2086" i="17"/>
  <c r="G2087" i="17"/>
  <c r="G2088" i="17"/>
  <c r="G2089" i="17"/>
  <c r="G2090" i="17"/>
  <c r="G2091" i="17"/>
  <c r="G2092" i="17"/>
  <c r="G2093" i="17"/>
  <c r="G2094" i="17"/>
  <c r="B182" i="33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1452" i="25"/>
  <c r="D1453" i="25"/>
  <c r="D1454" i="25"/>
  <c r="D1455" i="25"/>
  <c r="D1456" i="25"/>
  <c r="D1457" i="25"/>
  <c r="D1458" i="25"/>
  <c r="D1459" i="25"/>
  <c r="D1460" i="25"/>
  <c r="D1461" i="25"/>
  <c r="D1462" i="25"/>
  <c r="D1463" i="25"/>
  <c r="D1464" i="25"/>
  <c r="D1465" i="25"/>
  <c r="D1466" i="25"/>
  <c r="D1467" i="25"/>
  <c r="D1468" i="25"/>
  <c r="D1469" i="25"/>
  <c r="D1470" i="25"/>
  <c r="D1471" i="25"/>
  <c r="D1472" i="25"/>
  <c r="D1473" i="25"/>
  <c r="D1474" i="25"/>
  <c r="D1475" i="25"/>
  <c r="D1476" i="25"/>
  <c r="D1477" i="25"/>
  <c r="D1478" i="25"/>
  <c r="D1479" i="25"/>
  <c r="D1480" i="25"/>
  <c r="D1481" i="25"/>
  <c r="D1482" i="25"/>
  <c r="D1483" i="25"/>
  <c r="D1484" i="25"/>
  <c r="D1485" i="25"/>
  <c r="D1486" i="25"/>
  <c r="D1487" i="25"/>
  <c r="D1488" i="25"/>
  <c r="D1489" i="25"/>
  <c r="D1490" i="25"/>
  <c r="D1491" i="25"/>
  <c r="D1492" i="25"/>
  <c r="D1493" i="25"/>
  <c r="D1388" i="25"/>
  <c r="B152" i="33" l="1"/>
  <c r="B206" i="33"/>
  <c r="B155" i="33"/>
  <c r="B20" i="33"/>
  <c r="B209" i="33"/>
  <c r="B208" i="33"/>
  <c r="B215" i="33"/>
  <c r="P213" i="33"/>
  <c r="B213" i="33"/>
  <c r="B205" i="33"/>
  <c r="P167" i="33"/>
  <c r="B167" i="33"/>
  <c r="B166" i="33"/>
  <c r="P165" i="33"/>
  <c r="B165" i="33"/>
  <c r="P160" i="33"/>
  <c r="B160" i="33"/>
  <c r="D2085" i="17"/>
  <c r="F2085" i="17"/>
  <c r="I2085" i="17"/>
  <c r="E1483" i="25" s="1"/>
  <c r="J2085" i="17"/>
  <c r="K2085" i="17"/>
  <c r="D2086" i="17"/>
  <c r="F2086" i="17"/>
  <c r="I2086" i="17"/>
  <c r="E1484" i="25" s="1"/>
  <c r="J2086" i="17"/>
  <c r="K2086" i="17"/>
  <c r="D2087" i="17"/>
  <c r="F2087" i="17"/>
  <c r="I2087" i="17"/>
  <c r="E1485" i="25" s="1"/>
  <c r="J2087" i="17"/>
  <c r="K2087" i="17"/>
  <c r="D2088" i="17"/>
  <c r="F2088" i="17"/>
  <c r="I2088" i="17"/>
  <c r="E1486" i="25" s="1"/>
  <c r="J2088" i="17"/>
  <c r="K2088" i="17"/>
  <c r="D2089" i="17"/>
  <c r="F2089" i="17"/>
  <c r="I2089" i="17"/>
  <c r="E1487" i="25" s="1"/>
  <c r="J2089" i="17"/>
  <c r="K2089" i="17"/>
  <c r="D2090" i="17"/>
  <c r="F2090" i="17"/>
  <c r="I2090" i="17"/>
  <c r="E1488" i="25" s="1"/>
  <c r="J2090" i="17"/>
  <c r="K2090" i="17"/>
  <c r="D2091" i="17"/>
  <c r="F2091" i="17"/>
  <c r="I2091" i="17"/>
  <c r="E1489" i="25" s="1"/>
  <c r="J2091" i="17"/>
  <c r="K2091" i="17"/>
  <c r="D2092" i="17"/>
  <c r="F2092" i="17"/>
  <c r="I2092" i="17"/>
  <c r="E1490" i="25" s="1"/>
  <c r="J2092" i="17"/>
  <c r="K2092" i="17"/>
  <c r="D2093" i="17"/>
  <c r="F2093" i="17"/>
  <c r="I2093" i="17"/>
  <c r="E1491" i="25" s="1"/>
  <c r="J2093" i="17"/>
  <c r="K2093" i="17"/>
  <c r="D2094" i="17"/>
  <c r="F2094" i="17"/>
  <c r="I2094" i="17"/>
  <c r="E1492" i="25" s="1"/>
  <c r="J2094" i="17"/>
  <c r="K2094" i="17"/>
  <c r="D2095" i="17"/>
  <c r="F2095" i="17"/>
  <c r="I2095" i="17"/>
  <c r="E1493" i="25" s="1"/>
  <c r="J2095" i="17"/>
  <c r="K2095" i="17"/>
  <c r="D2096" i="17"/>
  <c r="X2096" i="17" s="1"/>
  <c r="F2096" i="17"/>
  <c r="G2096" i="17" s="1"/>
  <c r="I2096" i="17"/>
  <c r="J2096" i="17"/>
  <c r="K2096" i="17"/>
  <c r="P192" i="33"/>
  <c r="B192" i="33"/>
  <c r="P191" i="33"/>
  <c r="B191" i="33"/>
  <c r="P190" i="33"/>
  <c r="B190" i="33"/>
  <c r="D2079" i="17"/>
  <c r="I2079" i="17"/>
  <c r="E1477" i="25" s="1"/>
  <c r="J2079" i="17"/>
  <c r="K2079" i="17"/>
  <c r="D2080" i="17"/>
  <c r="I2080" i="17"/>
  <c r="E1478" i="25" s="1"/>
  <c r="J2080" i="17"/>
  <c r="K2080" i="17"/>
  <c r="D2081" i="17"/>
  <c r="F2081" i="17"/>
  <c r="I2081" i="17"/>
  <c r="E1479" i="25" s="1"/>
  <c r="J2081" i="17"/>
  <c r="K2081" i="17"/>
  <c r="D2082" i="17"/>
  <c r="F2082" i="17"/>
  <c r="I2082" i="17"/>
  <c r="E1480" i="25" s="1"/>
  <c r="J2082" i="17"/>
  <c r="K2082" i="17"/>
  <c r="D2083" i="17"/>
  <c r="A1481" i="25" s="1"/>
  <c r="F2083" i="17"/>
  <c r="I2083" i="17"/>
  <c r="E1481" i="25" s="1"/>
  <c r="J2083" i="17"/>
  <c r="K2083" i="17"/>
  <c r="D2084" i="17"/>
  <c r="A1482" i="25" s="1"/>
  <c r="F2084" i="17"/>
  <c r="I2084" i="17"/>
  <c r="E1482" i="25" s="1"/>
  <c r="J2084" i="17"/>
  <c r="K2084" i="17"/>
  <c r="B201" i="33"/>
  <c r="B200" i="33"/>
  <c r="B199" i="33"/>
  <c r="B198" i="33"/>
  <c r="B197" i="33"/>
  <c r="B195" i="33"/>
  <c r="D2074" i="17"/>
  <c r="I2074" i="17"/>
  <c r="E1472" i="25" s="1"/>
  <c r="J2074" i="17"/>
  <c r="K2074" i="17"/>
  <c r="D2075" i="17"/>
  <c r="I2075" i="17"/>
  <c r="E1473" i="25" s="1"/>
  <c r="J2075" i="17"/>
  <c r="K2075" i="17"/>
  <c r="D2076" i="17"/>
  <c r="I2076" i="17"/>
  <c r="E1474" i="25" s="1"/>
  <c r="J2076" i="17"/>
  <c r="K2076" i="17"/>
  <c r="D2077" i="17"/>
  <c r="I2077" i="17"/>
  <c r="E1475" i="25" s="1"/>
  <c r="J2077" i="17"/>
  <c r="K2077" i="17"/>
  <c r="D2078" i="17"/>
  <c r="I2078" i="17"/>
  <c r="E1476" i="25" s="1"/>
  <c r="J2078" i="17"/>
  <c r="K2078" i="17"/>
  <c r="B179" i="33"/>
  <c r="P193" i="33"/>
  <c r="B193" i="33"/>
  <c r="P186" i="33"/>
  <c r="B186" i="33"/>
  <c r="P187" i="33"/>
  <c r="B187" i="33"/>
  <c r="B168" i="33"/>
  <c r="B158" i="33"/>
  <c r="B87" i="33"/>
  <c r="B184" i="33"/>
  <c r="B183" i="33"/>
  <c r="D2062" i="17"/>
  <c r="F2062" i="17"/>
  <c r="I2062" i="17"/>
  <c r="E1460" i="25" s="1"/>
  <c r="J2062" i="17"/>
  <c r="K2062" i="17"/>
  <c r="D2063" i="17"/>
  <c r="I2063" i="17"/>
  <c r="E1461" i="25" s="1"/>
  <c r="J2063" i="17"/>
  <c r="K2063" i="17"/>
  <c r="D2064" i="17"/>
  <c r="F2064" i="17"/>
  <c r="I2064" i="17"/>
  <c r="E1462" i="25" s="1"/>
  <c r="J2064" i="17"/>
  <c r="K2064" i="17"/>
  <c r="D2065" i="17"/>
  <c r="F2065" i="17"/>
  <c r="I2065" i="17"/>
  <c r="E1463" i="25" s="1"/>
  <c r="J2065" i="17"/>
  <c r="K2065" i="17"/>
  <c r="D2066" i="17"/>
  <c r="F2066" i="17"/>
  <c r="I2066" i="17"/>
  <c r="E1464" i="25" s="1"/>
  <c r="J2066" i="17"/>
  <c r="K2066" i="17"/>
  <c r="D2067" i="17"/>
  <c r="A1465" i="25" s="1"/>
  <c r="F2067" i="17"/>
  <c r="I2067" i="17"/>
  <c r="E1465" i="25" s="1"/>
  <c r="J2067" i="17"/>
  <c r="K2067" i="17"/>
  <c r="D2068" i="17"/>
  <c r="F2068" i="17"/>
  <c r="I2068" i="17"/>
  <c r="E1466" i="25" s="1"/>
  <c r="J2068" i="17"/>
  <c r="K2068" i="17"/>
  <c r="D2069" i="17"/>
  <c r="F2069" i="17"/>
  <c r="I2069" i="17"/>
  <c r="E1467" i="25" s="1"/>
  <c r="J2069" i="17"/>
  <c r="K2069" i="17"/>
  <c r="D2070" i="17"/>
  <c r="F2070" i="17"/>
  <c r="I2070" i="17"/>
  <c r="E1468" i="25" s="1"/>
  <c r="J2070" i="17"/>
  <c r="K2070" i="17"/>
  <c r="D2071" i="17"/>
  <c r="F2071" i="17"/>
  <c r="I2071" i="17"/>
  <c r="E1469" i="25" s="1"/>
  <c r="J2071" i="17"/>
  <c r="K2071" i="17"/>
  <c r="D2072" i="17"/>
  <c r="F2072" i="17"/>
  <c r="I2072" i="17"/>
  <c r="E1470" i="25" s="1"/>
  <c r="J2072" i="17"/>
  <c r="K2072" i="17"/>
  <c r="D2073" i="17"/>
  <c r="A1471" i="25" s="1"/>
  <c r="I2073" i="17"/>
  <c r="E1471" i="25" s="1"/>
  <c r="J2073" i="17"/>
  <c r="K2073" i="17"/>
  <c r="P185" i="33"/>
  <c r="B185" i="33"/>
  <c r="P182" i="33"/>
  <c r="D2042" i="17"/>
  <c r="I2042" i="17"/>
  <c r="E1440" i="25" s="1"/>
  <c r="J2042" i="17"/>
  <c r="K2042" i="17"/>
  <c r="D2043" i="17"/>
  <c r="I2043" i="17"/>
  <c r="E1441" i="25" s="1"/>
  <c r="J2043" i="17"/>
  <c r="K2043" i="17"/>
  <c r="D2044" i="17"/>
  <c r="F2044" i="17"/>
  <c r="I2044" i="17"/>
  <c r="E1442" i="25" s="1"/>
  <c r="J2044" i="17"/>
  <c r="K2044" i="17"/>
  <c r="D2045" i="17"/>
  <c r="F2045" i="17"/>
  <c r="I2045" i="17"/>
  <c r="E1443" i="25" s="1"/>
  <c r="J2045" i="17"/>
  <c r="K2045" i="17"/>
  <c r="D2046" i="17"/>
  <c r="A1444" i="25" s="1"/>
  <c r="F2046" i="17"/>
  <c r="I2046" i="17"/>
  <c r="E1444" i="25" s="1"/>
  <c r="J2046" i="17"/>
  <c r="K2046" i="17"/>
  <c r="D2047" i="17"/>
  <c r="F2047" i="17"/>
  <c r="I2047" i="17"/>
  <c r="E1445" i="25" s="1"/>
  <c r="J2047" i="17"/>
  <c r="K2047" i="17"/>
  <c r="D2048" i="17"/>
  <c r="F2048" i="17"/>
  <c r="I2048" i="17"/>
  <c r="E1446" i="25" s="1"/>
  <c r="J2048" i="17"/>
  <c r="K2048" i="17"/>
  <c r="D2049" i="17"/>
  <c r="F2049" i="17"/>
  <c r="I2049" i="17"/>
  <c r="E1447" i="25" s="1"/>
  <c r="J2049" i="17"/>
  <c r="K2049" i="17"/>
  <c r="D2050" i="17"/>
  <c r="F2050" i="17"/>
  <c r="I2050" i="17"/>
  <c r="E1448" i="25" s="1"/>
  <c r="J2050" i="17"/>
  <c r="K2050" i="17"/>
  <c r="D2051" i="17"/>
  <c r="F2051" i="17"/>
  <c r="I2051" i="17"/>
  <c r="E1449" i="25" s="1"/>
  <c r="J2051" i="17"/>
  <c r="K2051" i="17"/>
  <c r="D2052" i="17"/>
  <c r="F2052" i="17"/>
  <c r="I2052" i="17"/>
  <c r="E1450" i="25" s="1"/>
  <c r="J2052" i="17"/>
  <c r="K2052" i="17"/>
  <c r="D2053" i="17"/>
  <c r="F2053" i="17"/>
  <c r="I2053" i="17"/>
  <c r="E1451" i="25" s="1"/>
  <c r="J2053" i="17"/>
  <c r="K2053" i="17"/>
  <c r="D2054" i="17"/>
  <c r="F2054" i="17"/>
  <c r="I2054" i="17"/>
  <c r="E1452" i="25" s="1"/>
  <c r="J2054" i="17"/>
  <c r="K2054" i="17"/>
  <c r="D2055" i="17"/>
  <c r="F2055" i="17"/>
  <c r="I2055" i="17"/>
  <c r="E1453" i="25" s="1"/>
  <c r="J2055" i="17"/>
  <c r="K2055" i="17"/>
  <c r="D2056" i="17"/>
  <c r="F2056" i="17"/>
  <c r="I2056" i="17"/>
  <c r="E1454" i="25" s="1"/>
  <c r="J2056" i="17"/>
  <c r="K2056" i="17"/>
  <c r="D2057" i="17"/>
  <c r="F2057" i="17"/>
  <c r="I2057" i="17"/>
  <c r="E1455" i="25" s="1"/>
  <c r="J2057" i="17"/>
  <c r="K2057" i="17"/>
  <c r="D2058" i="17"/>
  <c r="F2058" i="17"/>
  <c r="I2058" i="17"/>
  <c r="E1456" i="25" s="1"/>
  <c r="J2058" i="17"/>
  <c r="K2058" i="17"/>
  <c r="D2059" i="17"/>
  <c r="F2059" i="17"/>
  <c r="I2059" i="17"/>
  <c r="E1457" i="25" s="1"/>
  <c r="J2059" i="17"/>
  <c r="K2059" i="17"/>
  <c r="D2060" i="17"/>
  <c r="F2060" i="17"/>
  <c r="I2060" i="17"/>
  <c r="E1458" i="25" s="1"/>
  <c r="J2060" i="17"/>
  <c r="K2060" i="17"/>
  <c r="D2061" i="17"/>
  <c r="F2061" i="17"/>
  <c r="I2061" i="17"/>
  <c r="E1459" i="25" s="1"/>
  <c r="J2061" i="17"/>
  <c r="K2061" i="17"/>
  <c r="P163" i="33"/>
  <c r="B163" i="33"/>
  <c r="B159" i="33"/>
  <c r="B154" i="33"/>
  <c r="B134" i="33"/>
  <c r="P149" i="33"/>
  <c r="B149" i="33"/>
  <c r="B133" i="33"/>
  <c r="B135" i="33"/>
  <c r="B131" i="33"/>
  <c r="P137" i="33"/>
  <c r="B137" i="33"/>
  <c r="P127" i="33"/>
  <c r="B127" i="33"/>
  <c r="P128" i="33"/>
  <c r="B128" i="33"/>
  <c r="P129" i="33"/>
  <c r="B129" i="33"/>
  <c r="P152" i="33"/>
  <c r="P130" i="33"/>
  <c r="B130" i="33"/>
  <c r="P151" i="33"/>
  <c r="J151" i="33"/>
  <c r="B151" i="33"/>
  <c r="P150" i="33"/>
  <c r="J150" i="33"/>
  <c r="B150" i="33"/>
  <c r="P136" i="33"/>
  <c r="B136" i="33"/>
  <c r="B97" i="33"/>
  <c r="P156" i="33"/>
  <c r="B156" i="33"/>
  <c r="B140" i="33"/>
  <c r="P139" i="33"/>
  <c r="B139" i="33"/>
  <c r="P138" i="33"/>
  <c r="K138" i="33"/>
  <c r="B138" i="33"/>
  <c r="P157" i="33"/>
  <c r="B157" i="33"/>
  <c r="B132" i="33"/>
  <c r="P126" i="33"/>
  <c r="B126" i="33"/>
  <c r="D2028" i="17"/>
  <c r="A1426" i="25" s="1"/>
  <c r="F2028" i="17"/>
  <c r="I2028" i="17"/>
  <c r="E1426" i="25" s="1"/>
  <c r="J2028" i="17"/>
  <c r="K2028" i="17"/>
  <c r="D2029" i="17"/>
  <c r="F2029" i="17"/>
  <c r="I2029" i="17"/>
  <c r="E1427" i="25" s="1"/>
  <c r="J2029" i="17"/>
  <c r="K2029" i="17"/>
  <c r="D2030" i="17"/>
  <c r="F2030" i="17"/>
  <c r="I2030" i="17"/>
  <c r="E1428" i="25" s="1"/>
  <c r="J2030" i="17"/>
  <c r="K2030" i="17"/>
  <c r="D2031" i="17"/>
  <c r="F2031" i="17"/>
  <c r="I2031" i="17"/>
  <c r="E1429" i="25" s="1"/>
  <c r="J2031" i="17"/>
  <c r="K2031" i="17"/>
  <c r="D2032" i="17"/>
  <c r="F2032" i="17"/>
  <c r="I2032" i="17"/>
  <c r="E1430" i="25" s="1"/>
  <c r="J2032" i="17"/>
  <c r="K2032" i="17"/>
  <c r="D2033" i="17"/>
  <c r="F2033" i="17"/>
  <c r="I2033" i="17"/>
  <c r="E1431" i="25" s="1"/>
  <c r="J2033" i="17"/>
  <c r="K2033" i="17"/>
  <c r="D2034" i="17"/>
  <c r="F2034" i="17"/>
  <c r="I2034" i="17"/>
  <c r="E1432" i="25" s="1"/>
  <c r="J2034" i="17"/>
  <c r="K2034" i="17"/>
  <c r="D2035" i="17"/>
  <c r="F2035" i="17"/>
  <c r="I2035" i="17"/>
  <c r="E1433" i="25" s="1"/>
  <c r="J2035" i="17"/>
  <c r="K2035" i="17"/>
  <c r="D2036" i="17"/>
  <c r="F2036" i="17"/>
  <c r="I2036" i="17"/>
  <c r="E1434" i="25" s="1"/>
  <c r="J2036" i="17"/>
  <c r="K2036" i="17"/>
  <c r="D2037" i="17"/>
  <c r="I2037" i="17"/>
  <c r="E1435" i="25" s="1"/>
  <c r="J2037" i="17"/>
  <c r="K2037" i="17"/>
  <c r="D2038" i="17"/>
  <c r="I2038" i="17"/>
  <c r="E1436" i="25" s="1"/>
  <c r="J2038" i="17"/>
  <c r="K2038" i="17"/>
  <c r="D2039" i="17"/>
  <c r="F2039" i="17"/>
  <c r="I2039" i="17"/>
  <c r="E1437" i="25" s="1"/>
  <c r="J2039" i="17"/>
  <c r="K2039" i="17"/>
  <c r="D2040" i="17"/>
  <c r="I2040" i="17"/>
  <c r="E1438" i="25" s="1"/>
  <c r="J2040" i="17"/>
  <c r="K2040" i="17"/>
  <c r="D2041" i="17"/>
  <c r="I2041" i="17"/>
  <c r="E1439" i="25" s="1"/>
  <c r="J2041" i="17"/>
  <c r="K2041" i="17"/>
  <c r="B115" i="33"/>
  <c r="P155" i="33"/>
  <c r="P125" i="33"/>
  <c r="B125" i="33"/>
  <c r="D2004" i="17"/>
  <c r="I2004" i="17"/>
  <c r="E1402" i="25" s="1"/>
  <c r="J2004" i="17"/>
  <c r="K2004" i="17"/>
  <c r="D2005" i="17"/>
  <c r="A1403" i="25" s="1"/>
  <c r="I2005" i="17"/>
  <c r="E1403" i="25" s="1"/>
  <c r="J2005" i="17"/>
  <c r="K2005" i="17"/>
  <c r="D2006" i="17"/>
  <c r="I2006" i="17"/>
  <c r="E1404" i="25" s="1"/>
  <c r="J2006" i="17"/>
  <c r="K2006" i="17"/>
  <c r="D2007" i="17"/>
  <c r="I2007" i="17"/>
  <c r="E1405" i="25" s="1"/>
  <c r="J2007" i="17"/>
  <c r="K2007" i="17"/>
  <c r="D2008" i="17"/>
  <c r="I2008" i="17"/>
  <c r="E1406" i="25" s="1"/>
  <c r="J2008" i="17"/>
  <c r="K2008" i="17"/>
  <c r="D2009" i="17"/>
  <c r="I2009" i="17"/>
  <c r="E1407" i="25" s="1"/>
  <c r="J2009" i="17"/>
  <c r="K2009" i="17"/>
  <c r="D2010" i="17"/>
  <c r="I2010" i="17"/>
  <c r="E1408" i="25" s="1"/>
  <c r="J2010" i="17"/>
  <c r="K2010" i="17"/>
  <c r="D2011" i="17"/>
  <c r="I2011" i="17"/>
  <c r="E1409" i="25" s="1"/>
  <c r="J2011" i="17"/>
  <c r="K2011" i="17"/>
  <c r="D2012" i="17"/>
  <c r="I2012" i="17"/>
  <c r="E1410" i="25" s="1"/>
  <c r="J2012" i="17"/>
  <c r="K2012" i="17"/>
  <c r="D2013" i="17"/>
  <c r="I2013" i="17"/>
  <c r="E1411" i="25" s="1"/>
  <c r="J2013" i="17"/>
  <c r="K2013" i="17"/>
  <c r="D2014" i="17"/>
  <c r="I2014" i="17"/>
  <c r="E1412" i="25" s="1"/>
  <c r="J2014" i="17"/>
  <c r="K2014" i="17"/>
  <c r="D2015" i="17"/>
  <c r="I2015" i="17"/>
  <c r="E1413" i="25" s="1"/>
  <c r="J2015" i="17"/>
  <c r="K2015" i="17"/>
  <c r="D2016" i="17"/>
  <c r="I2016" i="17"/>
  <c r="E1414" i="25" s="1"/>
  <c r="J2016" i="17"/>
  <c r="K2016" i="17"/>
  <c r="D2017" i="17"/>
  <c r="I2017" i="17"/>
  <c r="E1415" i="25" s="1"/>
  <c r="J2017" i="17"/>
  <c r="K2017" i="17"/>
  <c r="D2018" i="17"/>
  <c r="I2018" i="17"/>
  <c r="E1416" i="25" s="1"/>
  <c r="J2018" i="17"/>
  <c r="K2018" i="17"/>
  <c r="D2019" i="17"/>
  <c r="I2019" i="17"/>
  <c r="E1417" i="25" s="1"/>
  <c r="J2019" i="17"/>
  <c r="K2019" i="17"/>
  <c r="D2020" i="17"/>
  <c r="I2020" i="17"/>
  <c r="E1418" i="25" s="1"/>
  <c r="J2020" i="17"/>
  <c r="K2020" i="17"/>
  <c r="D2021" i="17"/>
  <c r="I2021" i="17"/>
  <c r="E1419" i="25" s="1"/>
  <c r="J2021" i="17"/>
  <c r="K2021" i="17"/>
  <c r="D2022" i="17"/>
  <c r="I2022" i="17"/>
  <c r="E1420" i="25" s="1"/>
  <c r="J2022" i="17"/>
  <c r="K2022" i="17"/>
  <c r="D2023" i="17"/>
  <c r="I2023" i="17"/>
  <c r="E1421" i="25" s="1"/>
  <c r="J2023" i="17"/>
  <c r="K2023" i="17"/>
  <c r="D2024" i="17"/>
  <c r="I2024" i="17"/>
  <c r="E1422" i="25" s="1"/>
  <c r="J2024" i="17"/>
  <c r="K2024" i="17"/>
  <c r="D2025" i="17"/>
  <c r="I2025" i="17"/>
  <c r="E1423" i="25" s="1"/>
  <c r="J2025" i="17"/>
  <c r="K2025" i="17"/>
  <c r="D2026" i="17"/>
  <c r="F2026" i="17"/>
  <c r="I2026" i="17"/>
  <c r="E1424" i="25" s="1"/>
  <c r="J2026" i="17"/>
  <c r="K2026" i="17"/>
  <c r="D2027" i="17"/>
  <c r="F2027" i="17"/>
  <c r="I2027" i="17"/>
  <c r="E1425" i="25" s="1"/>
  <c r="J2027" i="17"/>
  <c r="K2027" i="17"/>
  <c r="B121" i="33"/>
  <c r="B108" i="33"/>
  <c r="P116" i="33"/>
  <c r="B116" i="33"/>
  <c r="P101" i="33"/>
  <c r="B101" i="33"/>
  <c r="P106" i="33"/>
  <c r="B106" i="33"/>
  <c r="B88" i="33"/>
  <c r="P108" i="33"/>
  <c r="J1997" i="18"/>
  <c r="J1994" i="18"/>
  <c r="J1991" i="18"/>
  <c r="J1988" i="18"/>
  <c r="J1987" i="18"/>
  <c r="J1986" i="18"/>
  <c r="J1985" i="18"/>
  <c r="J1982" i="18"/>
  <c r="J1981" i="18"/>
  <c r="E1998" i="18"/>
  <c r="F1998" i="18" s="1"/>
  <c r="C1997" i="18"/>
  <c r="E1997" i="18" s="1"/>
  <c r="F1997" i="18" s="1"/>
  <c r="E1996" i="18"/>
  <c r="F1996" i="18" s="1"/>
  <c r="F1995" i="18"/>
  <c r="E1995" i="18"/>
  <c r="C1994" i="18"/>
  <c r="E1994" i="18" s="1"/>
  <c r="F1994" i="18" s="1"/>
  <c r="E1993" i="18"/>
  <c r="F1993" i="18" s="1"/>
  <c r="E1992" i="18"/>
  <c r="F1992" i="18" s="1"/>
  <c r="E1991" i="18"/>
  <c r="F1991" i="18" s="1"/>
  <c r="C1991" i="18"/>
  <c r="E1990" i="18"/>
  <c r="F1990" i="18" s="1"/>
  <c r="E1989" i="18"/>
  <c r="F1989" i="18" s="1"/>
  <c r="C1988" i="18"/>
  <c r="E1988" i="18" s="1"/>
  <c r="F1988" i="18" s="1"/>
  <c r="C1987" i="18"/>
  <c r="E1987" i="18" s="1"/>
  <c r="F1987" i="18" s="1"/>
  <c r="C1986" i="18"/>
  <c r="E1986" i="18" s="1"/>
  <c r="F1986" i="18" s="1"/>
  <c r="E1985" i="18"/>
  <c r="F1985" i="18" s="1"/>
  <c r="C1985" i="18"/>
  <c r="E1984" i="18"/>
  <c r="F1984" i="18" s="1"/>
  <c r="E1983" i="18"/>
  <c r="F1983" i="18" s="1"/>
  <c r="C1982" i="18"/>
  <c r="E1982" i="18" s="1"/>
  <c r="F1982" i="18" s="1"/>
  <c r="C1981" i="18"/>
  <c r="E1981" i="18" s="1"/>
  <c r="F1981" i="18" s="1"/>
  <c r="E1980" i="18"/>
  <c r="F1980" i="18" s="1"/>
  <c r="F1979" i="18"/>
  <c r="E1979" i="18"/>
  <c r="E1978" i="18"/>
  <c r="F1978" i="18" s="1"/>
  <c r="C1977" i="18"/>
  <c r="E1977" i="18" s="1"/>
  <c r="F1977" i="18" s="1"/>
  <c r="E1976" i="18"/>
  <c r="F1976" i="18" s="1"/>
  <c r="C1425" i="25" l="1"/>
  <c r="B1425" i="25"/>
  <c r="W2027" i="17"/>
  <c r="A1425" i="25"/>
  <c r="C1424" i="25"/>
  <c r="B1424" i="25"/>
  <c r="A1424" i="25"/>
  <c r="G2025" i="17"/>
  <c r="C1423" i="25" s="1"/>
  <c r="B1423" i="25"/>
  <c r="AF2025" i="17"/>
  <c r="A1423" i="25"/>
  <c r="G2024" i="17"/>
  <c r="C1422" i="25" s="1"/>
  <c r="B1422" i="25"/>
  <c r="Y2024" i="17"/>
  <c r="A1422" i="25"/>
  <c r="G2023" i="17"/>
  <c r="C1421" i="25" s="1"/>
  <c r="B1421" i="25"/>
  <c r="AE2023" i="17"/>
  <c r="A1421" i="25"/>
  <c r="G2022" i="17"/>
  <c r="C1420" i="25" s="1"/>
  <c r="B1420" i="25"/>
  <c r="B2022" i="17"/>
  <c r="A1420" i="25"/>
  <c r="G2021" i="17"/>
  <c r="C1419" i="25" s="1"/>
  <c r="B1419" i="25"/>
  <c r="A1419" i="25"/>
  <c r="G2020" i="17"/>
  <c r="C1418" i="25" s="1"/>
  <c r="B1418" i="25"/>
  <c r="X2020" i="17"/>
  <c r="A1418" i="25"/>
  <c r="G2019" i="17"/>
  <c r="C1417" i="25" s="1"/>
  <c r="B1417" i="25"/>
  <c r="AE2019" i="17"/>
  <c r="A1417" i="25"/>
  <c r="G2018" i="17"/>
  <c r="C1416" i="25" s="1"/>
  <c r="B1416" i="25"/>
  <c r="B2018" i="17"/>
  <c r="A1416" i="25"/>
  <c r="G2017" i="17"/>
  <c r="C1415" i="25" s="1"/>
  <c r="B1415" i="25"/>
  <c r="Y2017" i="17"/>
  <c r="A1415" i="25"/>
  <c r="G2016" i="17"/>
  <c r="C1414" i="25" s="1"/>
  <c r="B1414" i="25"/>
  <c r="E2016" i="17"/>
  <c r="A1414" i="25"/>
  <c r="G2015" i="17"/>
  <c r="C1413" i="25" s="1"/>
  <c r="B1413" i="25"/>
  <c r="A1413" i="25"/>
  <c r="G2014" i="17"/>
  <c r="C1412" i="25" s="1"/>
  <c r="B1412" i="25"/>
  <c r="B2014" i="17"/>
  <c r="A1412" i="25"/>
  <c r="G2013" i="17"/>
  <c r="C1411" i="25" s="1"/>
  <c r="B1411" i="25"/>
  <c r="A1411" i="25"/>
  <c r="G2012" i="17"/>
  <c r="C1410" i="25" s="1"/>
  <c r="B1410" i="25"/>
  <c r="Z2012" i="17"/>
  <c r="A1410" i="25"/>
  <c r="G2011" i="17"/>
  <c r="C1409" i="25" s="1"/>
  <c r="B1409" i="25"/>
  <c r="A1409" i="25"/>
  <c r="G2010" i="17"/>
  <c r="C1408" i="25" s="1"/>
  <c r="B1408" i="25"/>
  <c r="E2010" i="17"/>
  <c r="Q2010" i="17" s="1"/>
  <c r="I1408" i="25" s="1"/>
  <c r="A1408" i="25"/>
  <c r="G2009" i="17"/>
  <c r="C1407" i="25" s="1"/>
  <c r="B1407" i="25"/>
  <c r="Y2009" i="17"/>
  <c r="A1407" i="25"/>
  <c r="G2008" i="17"/>
  <c r="C1406" i="25" s="1"/>
  <c r="B1406" i="25"/>
  <c r="E2008" i="17"/>
  <c r="A1406" i="25"/>
  <c r="G2007" i="17"/>
  <c r="C1405" i="25" s="1"/>
  <c r="B1405" i="25"/>
  <c r="W2007" i="17"/>
  <c r="A1405" i="25"/>
  <c r="G2006" i="17"/>
  <c r="C1404" i="25" s="1"/>
  <c r="B1404" i="25"/>
  <c r="B2006" i="17"/>
  <c r="A1404" i="25"/>
  <c r="G2005" i="17"/>
  <c r="C1403" i="25" s="1"/>
  <c r="B1403" i="25"/>
  <c r="G2004" i="17"/>
  <c r="C1402" i="25" s="1"/>
  <c r="B1402" i="25"/>
  <c r="X2004" i="17"/>
  <c r="A1402" i="25"/>
  <c r="C1439" i="25"/>
  <c r="B1439" i="25"/>
  <c r="E2041" i="17"/>
  <c r="T2041" i="17" s="1"/>
  <c r="O1439" i="25" s="1"/>
  <c r="A1439" i="25"/>
  <c r="C1438" i="25"/>
  <c r="B1438" i="25"/>
  <c r="Z2040" i="17"/>
  <c r="A1438" i="25"/>
  <c r="C1437" i="25"/>
  <c r="B1437" i="25"/>
  <c r="A1437" i="25"/>
  <c r="C1436" i="25"/>
  <c r="B1436" i="25"/>
  <c r="A1436" i="25"/>
  <c r="C1435" i="25"/>
  <c r="B1435" i="25"/>
  <c r="A1435" i="25"/>
  <c r="AL2039" i="17" s="1"/>
  <c r="C1434" i="25"/>
  <c r="B1434" i="25"/>
  <c r="A1434" i="25"/>
  <c r="C1433" i="25"/>
  <c r="B1433" i="25"/>
  <c r="A1433" i="25"/>
  <c r="C1432" i="25"/>
  <c r="B1432" i="25"/>
  <c r="AE2034" i="17"/>
  <c r="A1432" i="25"/>
  <c r="C1431" i="25"/>
  <c r="B1431" i="25"/>
  <c r="Z2033" i="17"/>
  <c r="A1431" i="25"/>
  <c r="AO2035" i="17" s="1"/>
  <c r="C1430" i="25"/>
  <c r="B1430" i="25"/>
  <c r="X2032" i="17"/>
  <c r="A1430" i="25"/>
  <c r="C1429" i="25"/>
  <c r="B1429" i="25"/>
  <c r="E2031" i="17"/>
  <c r="A1429" i="25"/>
  <c r="C1428" i="25"/>
  <c r="B1428" i="25"/>
  <c r="E2030" i="17"/>
  <c r="A1428" i="25"/>
  <c r="C1427" i="25"/>
  <c r="B1427" i="25"/>
  <c r="AF2029" i="17"/>
  <c r="A1427" i="25"/>
  <c r="C1426" i="25"/>
  <c r="B1426" i="25"/>
  <c r="C1459" i="25"/>
  <c r="B1459" i="25"/>
  <c r="Z2061" i="17"/>
  <c r="A1459" i="25"/>
  <c r="C1458" i="25"/>
  <c r="B1458" i="25"/>
  <c r="A1458" i="25"/>
  <c r="C1457" i="25"/>
  <c r="B1457" i="25"/>
  <c r="AF2059" i="17"/>
  <c r="A1457" i="25"/>
  <c r="C1456" i="25"/>
  <c r="B1456" i="25"/>
  <c r="Z2058" i="17"/>
  <c r="A1456" i="25"/>
  <c r="C1455" i="25"/>
  <c r="B1455" i="25"/>
  <c r="X2057" i="17"/>
  <c r="A1455" i="25"/>
  <c r="C1454" i="25"/>
  <c r="B1454" i="25"/>
  <c r="Z2056" i="17"/>
  <c r="A1454" i="25"/>
  <c r="C1453" i="25"/>
  <c r="B1453" i="25"/>
  <c r="W2055" i="17"/>
  <c r="A1453" i="25"/>
  <c r="C1452" i="25"/>
  <c r="B1452" i="25"/>
  <c r="AF2054" i="17"/>
  <c r="A1452" i="25"/>
  <c r="C1451" i="25"/>
  <c r="B1451" i="25"/>
  <c r="Z2053" i="17"/>
  <c r="A1451" i="25"/>
  <c r="C1450" i="25"/>
  <c r="B1450" i="25"/>
  <c r="X2052" i="17"/>
  <c r="A1450" i="25"/>
  <c r="C1449" i="25"/>
  <c r="B1449" i="25"/>
  <c r="A1449" i="25"/>
  <c r="C1448" i="25"/>
  <c r="B1448" i="25"/>
  <c r="AF2050" i="17"/>
  <c r="A1448" i="25"/>
  <c r="C1447" i="25"/>
  <c r="B1447" i="25"/>
  <c r="E2049" i="17"/>
  <c r="A1447" i="25"/>
  <c r="C1446" i="25"/>
  <c r="B1446" i="25"/>
  <c r="Z2048" i="17"/>
  <c r="A1446" i="25"/>
  <c r="C1445" i="25"/>
  <c r="B1445" i="25"/>
  <c r="E2047" i="17"/>
  <c r="A1445" i="25"/>
  <c r="C1444" i="25"/>
  <c r="B1444" i="25"/>
  <c r="C1443" i="25"/>
  <c r="B1443" i="25"/>
  <c r="A1443" i="25"/>
  <c r="C1442" i="25"/>
  <c r="B1442" i="25"/>
  <c r="A1442" i="25"/>
  <c r="C1441" i="25"/>
  <c r="B1441" i="25"/>
  <c r="AF2043" i="17"/>
  <c r="A1441" i="25"/>
  <c r="AL2045" i="17" s="1"/>
  <c r="C1440" i="25"/>
  <c r="B1440" i="25"/>
  <c r="AF2042" i="17"/>
  <c r="A1440" i="25"/>
  <c r="C1471" i="25"/>
  <c r="B1471" i="25"/>
  <c r="C1470" i="25"/>
  <c r="B1470" i="25"/>
  <c r="E2072" i="17"/>
  <c r="A1470" i="25"/>
  <c r="C1469" i="25"/>
  <c r="B1469" i="25"/>
  <c r="A1469" i="25"/>
  <c r="C1468" i="25"/>
  <c r="B1468" i="25"/>
  <c r="A1468" i="25"/>
  <c r="C1467" i="25"/>
  <c r="B1467" i="25"/>
  <c r="X2069" i="17"/>
  <c r="A1467" i="25"/>
  <c r="C1466" i="25"/>
  <c r="B1466" i="25"/>
  <c r="A1466" i="25"/>
  <c r="C1465" i="25"/>
  <c r="B1465" i="25"/>
  <c r="C1464" i="25"/>
  <c r="B1464" i="25"/>
  <c r="B2066" i="17"/>
  <c r="A1464" i="25"/>
  <c r="C1463" i="25"/>
  <c r="B1463" i="25"/>
  <c r="E2065" i="17"/>
  <c r="A1463" i="25"/>
  <c r="C1462" i="25"/>
  <c r="B1462" i="25"/>
  <c r="Z2064" i="17"/>
  <c r="A1462" i="25"/>
  <c r="C1461" i="25"/>
  <c r="B1461" i="25"/>
  <c r="X2063" i="17"/>
  <c r="A1461" i="25"/>
  <c r="C1460" i="25"/>
  <c r="B1460" i="25"/>
  <c r="B2062" i="17"/>
  <c r="A1460" i="25"/>
  <c r="C1476" i="25"/>
  <c r="B1476" i="25"/>
  <c r="E2078" i="17"/>
  <c r="A1476" i="25"/>
  <c r="C1475" i="25"/>
  <c r="B1475" i="25"/>
  <c r="A1475" i="25"/>
  <c r="C1474" i="25"/>
  <c r="B1474" i="25"/>
  <c r="AF2076" i="17"/>
  <c r="A1474" i="25"/>
  <c r="C1473" i="25"/>
  <c r="B1473" i="25"/>
  <c r="B2075" i="17"/>
  <c r="A1473" i="25"/>
  <c r="C1472" i="25"/>
  <c r="B1472" i="25"/>
  <c r="B2074" i="17"/>
  <c r="A1472" i="25"/>
  <c r="AO2075" i="17" s="1"/>
  <c r="C1482" i="25"/>
  <c r="B1482" i="25"/>
  <c r="C1481" i="25"/>
  <c r="B1481" i="25"/>
  <c r="C1480" i="25"/>
  <c r="B1480" i="25"/>
  <c r="E2082" i="17"/>
  <c r="S2082" i="17" s="1"/>
  <c r="M1480" i="25" s="1"/>
  <c r="A1480" i="25"/>
  <c r="C1479" i="25"/>
  <c r="B1479" i="25"/>
  <c r="W2081" i="17"/>
  <c r="A1479" i="25"/>
  <c r="C1478" i="25"/>
  <c r="B1478" i="25"/>
  <c r="Z2080" i="17"/>
  <c r="A1478" i="25"/>
  <c r="C1477" i="25"/>
  <c r="B1477" i="25"/>
  <c r="Z2079" i="17"/>
  <c r="A1477" i="25"/>
  <c r="G2095" i="17"/>
  <c r="C1493" i="25" s="1"/>
  <c r="B1493" i="25"/>
  <c r="X2095" i="17"/>
  <c r="A1493" i="25"/>
  <c r="C1492" i="25"/>
  <c r="B1492" i="25"/>
  <c r="AF2094" i="17"/>
  <c r="A1492" i="25"/>
  <c r="C1491" i="25"/>
  <c r="B1491" i="25"/>
  <c r="Y2093" i="17"/>
  <c r="A1491" i="25"/>
  <c r="C1490" i="25"/>
  <c r="B1490" i="25"/>
  <c r="A1490" i="25"/>
  <c r="C1489" i="25"/>
  <c r="B1489" i="25"/>
  <c r="A1489" i="25"/>
  <c r="C1488" i="25"/>
  <c r="B1488" i="25"/>
  <c r="E2090" i="17"/>
  <c r="A1488" i="25"/>
  <c r="C1487" i="25"/>
  <c r="B1487" i="25"/>
  <c r="Z2089" i="17"/>
  <c r="A1487" i="25"/>
  <c r="AM2091" i="17" s="1"/>
  <c r="C1486" i="25"/>
  <c r="B1486" i="25"/>
  <c r="Z2088" i="17"/>
  <c r="A1486" i="25"/>
  <c r="C1485" i="25"/>
  <c r="B1485" i="25"/>
  <c r="X2087" i="17"/>
  <c r="A1485" i="25"/>
  <c r="C1484" i="25"/>
  <c r="B1484" i="25"/>
  <c r="B2086" i="17"/>
  <c r="A1484" i="25"/>
  <c r="C1483" i="25"/>
  <c r="B1483" i="25"/>
  <c r="B2085" i="17"/>
  <c r="A1483" i="25"/>
  <c r="AO2085" i="17" s="1"/>
  <c r="S2030" i="17"/>
  <c r="M1428" i="25" s="1"/>
  <c r="X2056" i="17"/>
  <c r="X2045" i="17"/>
  <c r="Z2062" i="17"/>
  <c r="E2040" i="17"/>
  <c r="O2040" i="17" s="1"/>
  <c r="G1438" i="25" s="1"/>
  <c r="E2037" i="17"/>
  <c r="P2037" i="17" s="1"/>
  <c r="H1435" i="25" s="1"/>
  <c r="E2034" i="17"/>
  <c r="T2034" i="17" s="1"/>
  <c r="O1432" i="25" s="1"/>
  <c r="E2066" i="17"/>
  <c r="O2066" i="17" s="1"/>
  <c r="G1464" i="25" s="1"/>
  <c r="AL2066" i="17"/>
  <c r="E2033" i="17"/>
  <c r="O2033" i="17" s="1"/>
  <c r="G1431" i="25" s="1"/>
  <c r="W2072" i="17"/>
  <c r="W2066" i="17"/>
  <c r="AL2033" i="17"/>
  <c r="E2061" i="17"/>
  <c r="O2061" i="17" s="1"/>
  <c r="G1459" i="25" s="1"/>
  <c r="E2088" i="17"/>
  <c r="N2088" i="17" s="1"/>
  <c r="F1486" i="25" s="1"/>
  <c r="AM2041" i="17"/>
  <c r="Z2031" i="17"/>
  <c r="Y2072" i="17"/>
  <c r="AF2038" i="17"/>
  <c r="Y2079" i="17"/>
  <c r="AM2027" i="17"/>
  <c r="Y2026" i="17"/>
  <c r="AM2023" i="17"/>
  <c r="X2038" i="17"/>
  <c r="W2034" i="17"/>
  <c r="AF2033" i="17"/>
  <c r="AL2027" i="17"/>
  <c r="AM2006" i="17"/>
  <c r="AE2027" i="17"/>
  <c r="X2033" i="17"/>
  <c r="Y2061" i="17"/>
  <c r="AE2074" i="17"/>
  <c r="AO2096" i="17"/>
  <c r="AN2007" i="17"/>
  <c r="AM2007" i="17"/>
  <c r="Y2075" i="17"/>
  <c r="AN2040" i="17"/>
  <c r="Z2055" i="17"/>
  <c r="E2062" i="17"/>
  <c r="T2062" i="17" s="1"/>
  <c r="O1460" i="25" s="1"/>
  <c r="X2055" i="17"/>
  <c r="AL2054" i="17"/>
  <c r="X2075" i="17"/>
  <c r="Z2020" i="17"/>
  <c r="Y2055" i="17"/>
  <c r="AN2054" i="17"/>
  <c r="X2024" i="17"/>
  <c r="X2061" i="17"/>
  <c r="AL2060" i="17"/>
  <c r="AL2038" i="17"/>
  <c r="AO2037" i="17"/>
  <c r="Y2054" i="17"/>
  <c r="AE2066" i="17"/>
  <c r="AE2062" i="17"/>
  <c r="E2020" i="17"/>
  <c r="S2020" i="17" s="1"/>
  <c r="M1418" i="25" s="1"/>
  <c r="Z2034" i="17"/>
  <c r="AN2055" i="17"/>
  <c r="AF2068" i="17"/>
  <c r="AF2055" i="17"/>
  <c r="E2055" i="17"/>
  <c r="N2055" i="17" s="1"/>
  <c r="F1453" i="25" s="1"/>
  <c r="AO2047" i="17"/>
  <c r="W2043" i="17"/>
  <c r="AL2029" i="17"/>
  <c r="AO2057" i="17"/>
  <c r="Y2020" i="17"/>
  <c r="Z2019" i="17"/>
  <c r="X2015" i="17"/>
  <c r="AM2014" i="17"/>
  <c r="Y2041" i="17"/>
  <c r="AL2040" i="17"/>
  <c r="Z2038" i="17"/>
  <c r="E2038" i="17"/>
  <c r="P2038" i="17" s="1"/>
  <c r="H1436" i="25" s="1"/>
  <c r="AO2033" i="17"/>
  <c r="AL2031" i="17"/>
  <c r="Y2030" i="17"/>
  <c r="X2029" i="17"/>
  <c r="W2075" i="17"/>
  <c r="E2075" i="17"/>
  <c r="S2075" i="17" s="1"/>
  <c r="M1473" i="25" s="1"/>
  <c r="W2015" i="17"/>
  <c r="AE2011" i="17"/>
  <c r="Y2040" i="17"/>
  <c r="Z2015" i="17"/>
  <c r="AN2014" i="17"/>
  <c r="Z2006" i="17"/>
  <c r="Z2041" i="17"/>
  <c r="AD2041" i="17" s="1"/>
  <c r="X2031" i="17"/>
  <c r="AN2045" i="17"/>
  <c r="AN2074" i="17"/>
  <c r="W2094" i="17"/>
  <c r="Z2023" i="17"/>
  <c r="W2038" i="17"/>
  <c r="AF2027" i="17"/>
  <c r="Y2033" i="17"/>
  <c r="AF2045" i="17"/>
  <c r="AF2075" i="17"/>
  <c r="AM2074" i="17"/>
  <c r="E2074" i="17"/>
  <c r="S2074" i="17" s="1"/>
  <c r="M1472" i="25" s="1"/>
  <c r="AE2075" i="17"/>
  <c r="AL2023" i="17"/>
  <c r="E2014" i="17"/>
  <c r="T2014" i="17" s="1"/>
  <c r="O1412" i="25" s="1"/>
  <c r="E2006" i="17"/>
  <c r="AN2038" i="17"/>
  <c r="X2072" i="17"/>
  <c r="AE2068" i="17"/>
  <c r="Z2075" i="17"/>
  <c r="AF2074" i="17"/>
  <c r="X2026" i="17"/>
  <c r="AF2023" i="17"/>
  <c r="Y2021" i="17"/>
  <c r="Z2016" i="17"/>
  <c r="Z2011" i="17"/>
  <c r="Z2010" i="17"/>
  <c r="AE2040" i="17"/>
  <c r="AE2060" i="17"/>
  <c r="AO2059" i="17"/>
  <c r="W2058" i="17"/>
  <c r="Z2057" i="17"/>
  <c r="AE2055" i="17"/>
  <c r="Y2071" i="17"/>
  <c r="AN2070" i="17"/>
  <c r="Z2068" i="17"/>
  <c r="AF2066" i="17"/>
  <c r="E2096" i="17"/>
  <c r="Q2096" i="17" s="1"/>
  <c r="W2026" i="17"/>
  <c r="X2016" i="17"/>
  <c r="W2011" i="17"/>
  <c r="X2023" i="17"/>
  <c r="Z2022" i="17"/>
  <c r="AE2050" i="17"/>
  <c r="Z2044" i="17"/>
  <c r="AE2070" i="17"/>
  <c r="Y2063" i="17"/>
  <c r="AL2096" i="17"/>
  <c r="AE2089" i="17"/>
  <c r="Z2086" i="17"/>
  <c r="Z2060" i="17"/>
  <c r="Y2057" i="17"/>
  <c r="X2071" i="17"/>
  <c r="W2040" i="17"/>
  <c r="Z2047" i="17"/>
  <c r="AO2079" i="17"/>
  <c r="AE2090" i="17"/>
  <c r="AF2088" i="17"/>
  <c r="Y2087" i="17"/>
  <c r="Y2086" i="17"/>
  <c r="AL2044" i="17"/>
  <c r="Z2027" i="17"/>
  <c r="AN2026" i="17"/>
  <c r="E2024" i="17"/>
  <c r="Q2024" i="17" s="1"/>
  <c r="I1422" i="25" s="1"/>
  <c r="Z2014" i="17"/>
  <c r="X2008" i="17"/>
  <c r="AL2007" i="17"/>
  <c r="AM2052" i="17"/>
  <c r="Y2047" i="17"/>
  <c r="AO2066" i="17"/>
  <c r="Z2066" i="17"/>
  <c r="AN2065" i="17"/>
  <c r="Y2062" i="17"/>
  <c r="Z2074" i="17"/>
  <c r="AF2082" i="17"/>
  <c r="AL2081" i="17"/>
  <c r="AE2080" i="17"/>
  <c r="AN2079" i="17"/>
  <c r="AE2091" i="17"/>
  <c r="AE2088" i="17"/>
  <c r="X2086" i="17"/>
  <c r="AO2050" i="17"/>
  <c r="X2019" i="17"/>
  <c r="W2023" i="17"/>
  <c r="W2019" i="17"/>
  <c r="AE2014" i="17"/>
  <c r="AM2026" i="17"/>
  <c r="E2025" i="17"/>
  <c r="T2025" i="17" s="1"/>
  <c r="O1423" i="25" s="1"/>
  <c r="AM2011" i="17"/>
  <c r="AE2007" i="17"/>
  <c r="AO2040" i="17"/>
  <c r="AO2029" i="17"/>
  <c r="E2029" i="17"/>
  <c r="Q2029" i="17" s="1"/>
  <c r="I1427" i="25" s="1"/>
  <c r="X2047" i="17"/>
  <c r="AN2066" i="17"/>
  <c r="Y2066" i="17"/>
  <c r="W2074" i="17"/>
  <c r="Z2082" i="17"/>
  <c r="Y2081" i="17"/>
  <c r="AL2079" i="17"/>
  <c r="AE2093" i="17"/>
  <c r="Z2092" i="17"/>
  <c r="AL2026" i="17"/>
  <c r="E2026" i="17"/>
  <c r="N2026" i="17" s="1"/>
  <c r="F1424" i="25" s="1"/>
  <c r="E2021" i="17"/>
  <c r="O2021" i="17" s="1"/>
  <c r="G1419" i="25" s="1"/>
  <c r="AF2011" i="17"/>
  <c r="AN2060" i="17"/>
  <c r="E2059" i="17"/>
  <c r="N2059" i="17" s="1"/>
  <c r="F1457" i="25" s="1"/>
  <c r="E2057" i="17"/>
  <c r="T2057" i="17" s="1"/>
  <c r="O1455" i="25" s="1"/>
  <c r="AM2066" i="17"/>
  <c r="X2066" i="17"/>
  <c r="AO2074" i="17"/>
  <c r="AF2079" i="17"/>
  <c r="E2079" i="17"/>
  <c r="R2079" i="17" s="1"/>
  <c r="K1477" i="25" s="1"/>
  <c r="Z2093" i="17"/>
  <c r="N2049" i="17"/>
  <c r="F1447" i="25" s="1"/>
  <c r="T2049" i="17"/>
  <c r="O1447" i="25" s="1"/>
  <c r="O2049" i="17"/>
  <c r="G1447" i="25" s="1"/>
  <c r="Q2049" i="17"/>
  <c r="I1447" i="25" s="1"/>
  <c r="R2049" i="17"/>
  <c r="K1447" i="25" s="1"/>
  <c r="S2049" i="17"/>
  <c r="M1447" i="25" s="1"/>
  <c r="R2031" i="17"/>
  <c r="K1429" i="25" s="1"/>
  <c r="N2031" i="17"/>
  <c r="F1429" i="25" s="1"/>
  <c r="Q2031" i="17"/>
  <c r="I1429" i="25" s="1"/>
  <c r="S2031" i="17"/>
  <c r="M1429" i="25" s="1"/>
  <c r="B2036" i="17"/>
  <c r="X2036" i="17"/>
  <c r="AO2036" i="17"/>
  <c r="AF2036" i="17"/>
  <c r="E2035" i="17"/>
  <c r="Q2035" i="17" s="1"/>
  <c r="I1433" i="25" s="1"/>
  <c r="X2035" i="17"/>
  <c r="B2064" i="17"/>
  <c r="E2064" i="17"/>
  <c r="T2064" i="17" s="1"/>
  <c r="AM2064" i="17"/>
  <c r="X2064" i="17"/>
  <c r="AO2064" i="17"/>
  <c r="Y2064" i="17"/>
  <c r="B2027" i="17"/>
  <c r="X2027" i="17"/>
  <c r="E2018" i="17"/>
  <c r="R2018" i="17" s="1"/>
  <c r="K1416" i="25" s="1"/>
  <c r="X2012" i="17"/>
  <c r="AL2011" i="17"/>
  <c r="T2010" i="17"/>
  <c r="O1408" i="25" s="1"/>
  <c r="AL2009" i="17"/>
  <c r="AF2007" i="17"/>
  <c r="S2041" i="17"/>
  <c r="M1439" i="25" s="1"/>
  <c r="AE2036" i="17"/>
  <c r="AN2035" i="17"/>
  <c r="W2031" i="17"/>
  <c r="AN2059" i="17"/>
  <c r="AO2058" i="17"/>
  <c r="AN2057" i="17"/>
  <c r="X2049" i="17"/>
  <c r="W2064" i="17"/>
  <c r="N2090" i="17"/>
  <c r="F1488" i="25" s="1"/>
  <c r="S2090" i="17"/>
  <c r="M1488" i="25" s="1"/>
  <c r="AE2018" i="17"/>
  <c r="Y2013" i="17"/>
  <c r="Z2004" i="17"/>
  <c r="Q2041" i="17"/>
  <c r="I1439" i="25" s="1"/>
  <c r="Z2036" i="17"/>
  <c r="Y2035" i="17"/>
  <c r="B2031" i="17"/>
  <c r="AE2031" i="17"/>
  <c r="AF2031" i="17"/>
  <c r="AL2059" i="17"/>
  <c r="AN2058" i="17"/>
  <c r="E2053" i="17"/>
  <c r="N2053" i="17" s="1"/>
  <c r="F1451" i="25" s="1"/>
  <c r="AF2053" i="17"/>
  <c r="X2053" i="17"/>
  <c r="AL2053" i="17"/>
  <c r="Y2053" i="17"/>
  <c r="AN2053" i="17"/>
  <c r="Z2077" i="17"/>
  <c r="AM2077" i="17"/>
  <c r="AN2076" i="17"/>
  <c r="Z2076" i="17"/>
  <c r="B2010" i="17"/>
  <c r="AE2010" i="17"/>
  <c r="Z2018" i="17"/>
  <c r="AM2058" i="17"/>
  <c r="E2067" i="17"/>
  <c r="R2067" i="17" s="1"/>
  <c r="K1465" i="25" s="1"/>
  <c r="AL2067" i="17"/>
  <c r="X2059" i="17"/>
  <c r="Y2059" i="17"/>
  <c r="AN2015" i="17"/>
  <c r="AM2015" i="17"/>
  <c r="B2038" i="17"/>
  <c r="Y2038" i="17"/>
  <c r="AO2038" i="17"/>
  <c r="Y2036" i="17"/>
  <c r="X2007" i="17"/>
  <c r="B2040" i="17"/>
  <c r="X2040" i="17"/>
  <c r="AM2040" i="17"/>
  <c r="AE2038" i="17"/>
  <c r="W2036" i="17"/>
  <c r="AE2059" i="17"/>
  <c r="AL2056" i="17"/>
  <c r="E2045" i="17"/>
  <c r="P2045" i="17" s="1"/>
  <c r="H1443" i="25" s="1"/>
  <c r="AO2045" i="17"/>
  <c r="Y2045" i="17"/>
  <c r="Z2045" i="17"/>
  <c r="E2043" i="17"/>
  <c r="Q2043" i="17" s="1"/>
  <c r="I1441" i="25" s="1"/>
  <c r="X2043" i="17"/>
  <c r="Y2043" i="17"/>
  <c r="AF2072" i="17"/>
  <c r="Z2071" i="17"/>
  <c r="E2071" i="17"/>
  <c r="AF2071" i="17"/>
  <c r="AL2071" i="17"/>
  <c r="AN2064" i="17"/>
  <c r="Y2077" i="17"/>
  <c r="AE2076" i="17"/>
  <c r="B2058" i="17"/>
  <c r="AE2058" i="17"/>
  <c r="AL2058" i="17"/>
  <c r="Z2007" i="17"/>
  <c r="P2041" i="17"/>
  <c r="H1439" i="25" s="1"/>
  <c r="AN2030" i="17"/>
  <c r="AF2057" i="17"/>
  <c r="AL2057" i="17"/>
  <c r="E2051" i="17"/>
  <c r="R2051" i="17" s="1"/>
  <c r="K1449" i="25" s="1"/>
  <c r="Z2051" i="17"/>
  <c r="AL2049" i="17"/>
  <c r="Y2049" i="17"/>
  <c r="AO2049" i="17"/>
  <c r="Z2049" i="17"/>
  <c r="AF2015" i="17"/>
  <c r="R2033" i="17"/>
  <c r="K1431" i="25" s="1"/>
  <c r="AN2032" i="17"/>
  <c r="AO2031" i="17"/>
  <c r="AM2030" i="17"/>
  <c r="Y2029" i="17"/>
  <c r="Z2029" i="17"/>
  <c r="W2054" i="17"/>
  <c r="AM2054" i="17"/>
  <c r="X2054" i="17"/>
  <c r="AL2052" i="17"/>
  <c r="AN2051" i="17"/>
  <c r="AN2049" i="17"/>
  <c r="AN2027" i="17"/>
  <c r="AN2023" i="17"/>
  <c r="AE2022" i="17"/>
  <c r="E2022" i="17"/>
  <c r="O2022" i="17" s="1"/>
  <c r="G1420" i="25" s="1"/>
  <c r="AF2019" i="17"/>
  <c r="AE2015" i="17"/>
  <c r="X2011" i="17"/>
  <c r="AN2010" i="17"/>
  <c r="AF2040" i="17"/>
  <c r="AM2039" i="17"/>
  <c r="AE2037" i="17"/>
  <c r="AN2036" i="17"/>
  <c r="B2034" i="17"/>
  <c r="AL2034" i="17"/>
  <c r="Z2032" i="17"/>
  <c r="AN2031" i="17"/>
  <c r="Z2030" i="17"/>
  <c r="AF2061" i="17"/>
  <c r="Z2059" i="17"/>
  <c r="Y2058" i="17"/>
  <c r="AE2054" i="17"/>
  <c r="AO2053" i="17"/>
  <c r="AE2051" i="17"/>
  <c r="AF2049" i="17"/>
  <c r="AO2043" i="17"/>
  <c r="Z2072" i="17"/>
  <c r="AL2069" i="17"/>
  <c r="B2068" i="17"/>
  <c r="AO2068" i="17"/>
  <c r="W2068" i="17"/>
  <c r="X2068" i="17"/>
  <c r="AL2064" i="17"/>
  <c r="W2076" i="17"/>
  <c r="E2012" i="17"/>
  <c r="N2012" i="17" s="1"/>
  <c r="F1410" i="25" s="1"/>
  <c r="AM2010" i="17"/>
  <c r="Y2039" i="17"/>
  <c r="E2039" i="17"/>
  <c r="O2039" i="17" s="1"/>
  <c r="G1437" i="25" s="1"/>
  <c r="AM2036" i="17"/>
  <c r="E2036" i="17"/>
  <c r="S2036" i="17" s="1"/>
  <c r="M1434" i="25" s="1"/>
  <c r="B2030" i="17"/>
  <c r="AE2030" i="17"/>
  <c r="AL2030" i="17"/>
  <c r="W2059" i="17"/>
  <c r="X2058" i="17"/>
  <c r="E2058" i="17"/>
  <c r="S2058" i="17" s="1"/>
  <c r="M1456" i="25" s="1"/>
  <c r="B2072" i="17"/>
  <c r="AE2072" i="17"/>
  <c r="AN2072" i="17"/>
  <c r="AO2072" i="17"/>
  <c r="Z2069" i="17"/>
  <c r="AF2064" i="17"/>
  <c r="AE2064" i="17"/>
  <c r="AM2081" i="17"/>
  <c r="AF2092" i="17"/>
  <c r="E2092" i="17"/>
  <c r="N2092" i="17" s="1"/>
  <c r="F1490" i="25" s="1"/>
  <c r="X2062" i="17"/>
  <c r="AE2081" i="17"/>
  <c r="AE2079" i="17"/>
  <c r="AF2096" i="17"/>
  <c r="Y2092" i="17"/>
  <c r="AE2085" i="17"/>
  <c r="AN2050" i="17"/>
  <c r="W2062" i="17"/>
  <c r="Y2074" i="17"/>
  <c r="AO2082" i="17"/>
  <c r="Z2081" i="17"/>
  <c r="E2081" i="17"/>
  <c r="S2081" i="17" s="1"/>
  <c r="M1479" i="25" s="1"/>
  <c r="Z2096" i="17"/>
  <c r="X2092" i="17"/>
  <c r="AE2087" i="17"/>
  <c r="Y2085" i="17"/>
  <c r="AN2082" i="17"/>
  <c r="Y2096" i="17"/>
  <c r="W2085" i="17"/>
  <c r="AF2062" i="17"/>
  <c r="AL2082" i="17"/>
  <c r="AF2090" i="17"/>
  <c r="AF2086" i="17"/>
  <c r="E2086" i="17"/>
  <c r="N2086" i="17" s="1"/>
  <c r="F1484" i="25" s="1"/>
  <c r="N2008" i="17"/>
  <c r="F1406" i="25" s="1"/>
  <c r="R2008" i="17"/>
  <c r="K1406" i="25" s="1"/>
  <c r="S2008" i="17"/>
  <c r="M1406" i="25" s="1"/>
  <c r="T2008" i="17"/>
  <c r="O1406" i="25" s="1"/>
  <c r="O2008" i="17"/>
  <c r="G1406" i="25" s="1"/>
  <c r="P2008" i="17"/>
  <c r="H1406" i="25" s="1"/>
  <c r="Q2008" i="17"/>
  <c r="I1406" i="25" s="1"/>
  <c r="Z2008" i="17"/>
  <c r="B2024" i="17"/>
  <c r="W2024" i="17"/>
  <c r="AE2024" i="17"/>
  <c r="AM2024" i="17"/>
  <c r="AL2024" i="17"/>
  <c r="AN2024" i="17"/>
  <c r="AF2024" i="17"/>
  <c r="AO2024" i="17"/>
  <c r="B2008" i="17"/>
  <c r="W2008" i="17"/>
  <c r="AE2008" i="17"/>
  <c r="AM2008" i="17"/>
  <c r="AL2008" i="17"/>
  <c r="AN2008" i="17"/>
  <c r="AF2008" i="17"/>
  <c r="AO2008" i="17"/>
  <c r="Y2008" i="17"/>
  <c r="B2020" i="17"/>
  <c r="W2020" i="17"/>
  <c r="AE2020" i="17"/>
  <c r="AF2020" i="17"/>
  <c r="B2025" i="17"/>
  <c r="AL2025" i="17"/>
  <c r="W2025" i="17"/>
  <c r="AE2025" i="17"/>
  <c r="AM2025" i="17"/>
  <c r="B2026" i="17"/>
  <c r="Z2026" i="17"/>
  <c r="Z2025" i="17"/>
  <c r="N2016" i="17"/>
  <c r="F1414" i="25" s="1"/>
  <c r="R2016" i="17"/>
  <c r="K1414" i="25" s="1"/>
  <c r="S2016" i="17"/>
  <c r="M1414" i="25" s="1"/>
  <c r="T2016" i="17"/>
  <c r="O1414" i="25" s="1"/>
  <c r="O2016" i="17"/>
  <c r="G1414" i="25" s="1"/>
  <c r="B2012" i="17"/>
  <c r="W2012" i="17"/>
  <c r="AE2012" i="17"/>
  <c r="AM2012" i="17"/>
  <c r="AL2012" i="17"/>
  <c r="AN2012" i="17"/>
  <c r="AF2012" i="17"/>
  <c r="AO2012" i="17"/>
  <c r="Y2012" i="17"/>
  <c r="B2005" i="17"/>
  <c r="AE2005" i="17"/>
  <c r="W2005" i="17"/>
  <c r="AF2005" i="17"/>
  <c r="X2005" i="17"/>
  <c r="E2005" i="17"/>
  <c r="Z2005" i="17"/>
  <c r="AF2026" i="17"/>
  <c r="AO2025" i="17"/>
  <c r="Y2025" i="17"/>
  <c r="B2016" i="17"/>
  <c r="W2016" i="17"/>
  <c r="AE2016" i="17"/>
  <c r="AF2016" i="17"/>
  <c r="Y2016" i="17"/>
  <c r="R2010" i="17"/>
  <c r="K1408" i="25" s="1"/>
  <c r="N2010" i="17"/>
  <c r="F1408" i="25" s="1"/>
  <c r="O2010" i="17"/>
  <c r="G1408" i="25" s="1"/>
  <c r="P2010" i="17"/>
  <c r="H1408" i="25" s="1"/>
  <c r="S2010" i="17"/>
  <c r="M1408" i="25" s="1"/>
  <c r="B2009" i="17"/>
  <c r="AM2009" i="17"/>
  <c r="AE2009" i="17"/>
  <c r="AN2009" i="17"/>
  <c r="W2009" i="17"/>
  <c r="AF2009" i="17"/>
  <c r="AO2009" i="17"/>
  <c r="X2009" i="17"/>
  <c r="E2009" i="17"/>
  <c r="Z2009" i="17"/>
  <c r="Y2005" i="17"/>
  <c r="AE2026" i="17"/>
  <c r="AN2025" i="17"/>
  <c r="X2025" i="17"/>
  <c r="Q2016" i="17"/>
  <c r="I1414" i="25" s="1"/>
  <c r="N2014" i="17"/>
  <c r="F1412" i="25" s="1"/>
  <c r="B2013" i="17"/>
  <c r="AM2013" i="17"/>
  <c r="AE2013" i="17"/>
  <c r="AN2013" i="17"/>
  <c r="W2013" i="17"/>
  <c r="AF2013" i="17"/>
  <c r="AO2013" i="17"/>
  <c r="X2013" i="17"/>
  <c r="E2013" i="17"/>
  <c r="Z2013" i="17"/>
  <c r="B2004" i="17"/>
  <c r="W2004" i="17"/>
  <c r="AE2004" i="17"/>
  <c r="E2004" i="17"/>
  <c r="AF2004" i="17"/>
  <c r="Y2004" i="17"/>
  <c r="N2033" i="17"/>
  <c r="F1431" i="25" s="1"/>
  <c r="T2033" i="17"/>
  <c r="P2033" i="17"/>
  <c r="H1431" i="25" s="1"/>
  <c r="S2033" i="17"/>
  <c r="M1431" i="25" s="1"/>
  <c r="Q2033" i="17"/>
  <c r="I1431" i="25" s="1"/>
  <c r="B2021" i="17"/>
  <c r="AE2021" i="17"/>
  <c r="W2021" i="17"/>
  <c r="AF2021" i="17"/>
  <c r="X2021" i="17"/>
  <c r="Z2024" i="17"/>
  <c r="Z2021" i="17"/>
  <c r="B2017" i="17"/>
  <c r="AE2017" i="17"/>
  <c r="W2017" i="17"/>
  <c r="AF2017" i="17"/>
  <c r="X2017" i="17"/>
  <c r="E2017" i="17"/>
  <c r="Z2017" i="17"/>
  <c r="P2016" i="17"/>
  <c r="H1414" i="25" s="1"/>
  <c r="T2030" i="17"/>
  <c r="O1428" i="25" s="1"/>
  <c r="N2030" i="17"/>
  <c r="F1428" i="25" s="1"/>
  <c r="O2030" i="17"/>
  <c r="G1428" i="25" s="1"/>
  <c r="Q2030" i="17"/>
  <c r="I1428" i="25" s="1"/>
  <c r="P2030" i="17"/>
  <c r="H1428" i="25" s="1"/>
  <c r="R2030" i="17"/>
  <c r="K1428" i="25" s="1"/>
  <c r="B2028" i="17"/>
  <c r="E2028" i="17"/>
  <c r="Y2028" i="17"/>
  <c r="AO2028" i="17"/>
  <c r="AL2028" i="17"/>
  <c r="AM2028" i="17"/>
  <c r="AE2028" i="17"/>
  <c r="AN2028" i="17"/>
  <c r="W2028" i="17"/>
  <c r="AF2028" i="17"/>
  <c r="B2073" i="17"/>
  <c r="AM2073" i="17"/>
  <c r="AE2073" i="17"/>
  <c r="AN2073" i="17"/>
  <c r="W2073" i="17"/>
  <c r="AF2073" i="17"/>
  <c r="AO2073" i="17"/>
  <c r="X2073" i="17"/>
  <c r="Y2073" i="17"/>
  <c r="AL2073" i="17"/>
  <c r="Z2073" i="17"/>
  <c r="AL2014" i="17"/>
  <c r="AL2010" i="17"/>
  <c r="AL2006" i="17"/>
  <c r="R2041" i="17"/>
  <c r="K1439" i="25" s="1"/>
  <c r="T2040" i="17"/>
  <c r="O1438" i="25" s="1"/>
  <c r="AF2037" i="17"/>
  <c r="Q2065" i="17"/>
  <c r="I1463" i="25" s="1"/>
  <c r="R2065" i="17"/>
  <c r="K1463" i="25" s="1"/>
  <c r="N2065" i="17"/>
  <c r="F1463" i="25" s="1"/>
  <c r="S2065" i="17"/>
  <c r="M1463" i="25" s="1"/>
  <c r="T2065" i="17"/>
  <c r="O1463" i="25" s="1"/>
  <c r="O2065" i="17"/>
  <c r="G1463" i="25" s="1"/>
  <c r="P2065" i="17"/>
  <c r="H1463" i="25" s="1"/>
  <c r="R2047" i="17"/>
  <c r="K1445" i="25" s="1"/>
  <c r="S2047" i="17"/>
  <c r="M1445" i="25" s="1"/>
  <c r="T2047" i="17"/>
  <c r="O1445" i="25" s="1"/>
  <c r="N2047" i="17"/>
  <c r="F1445" i="25" s="1"/>
  <c r="O2047" i="17"/>
  <c r="G1445" i="25" s="1"/>
  <c r="P2047" i="17"/>
  <c r="H1445" i="25" s="1"/>
  <c r="Q2047" i="17"/>
  <c r="I1445" i="25" s="1"/>
  <c r="N2078" i="17"/>
  <c r="F1476" i="25" s="1"/>
  <c r="Q2078" i="17"/>
  <c r="I1476" i="25" s="1"/>
  <c r="T2078" i="17"/>
  <c r="O1476" i="25" s="1"/>
  <c r="O2078" i="17"/>
  <c r="G1476" i="25" s="1"/>
  <c r="S2078" i="17"/>
  <c r="M1476" i="25" s="1"/>
  <c r="P2078" i="17"/>
  <c r="H1476" i="25" s="1"/>
  <c r="R2078" i="17"/>
  <c r="K1476" i="25" s="1"/>
  <c r="B2039" i="17"/>
  <c r="Z2039" i="17"/>
  <c r="B2037" i="17"/>
  <c r="Z2037" i="17"/>
  <c r="AL2037" i="17"/>
  <c r="B2032" i="17"/>
  <c r="E2032" i="17"/>
  <c r="Y2032" i="17"/>
  <c r="AO2032" i="17"/>
  <c r="AL2032" i="17"/>
  <c r="AM2032" i="17"/>
  <c r="W2032" i="17"/>
  <c r="AF2032" i="17"/>
  <c r="Y2022" i="17"/>
  <c r="Y2018" i="17"/>
  <c r="Y2014" i="17"/>
  <c r="Y2010" i="17"/>
  <c r="Y2006" i="17"/>
  <c r="O2041" i="17"/>
  <c r="G1439" i="25" s="1"/>
  <c r="B2041" i="17"/>
  <c r="AL2041" i="17"/>
  <c r="AO2027" i="17"/>
  <c r="Y2027" i="17"/>
  <c r="E2027" i="17"/>
  <c r="B2023" i="17"/>
  <c r="E2023" i="17"/>
  <c r="Y2023" i="17"/>
  <c r="AO2023" i="17"/>
  <c r="X2022" i="17"/>
  <c r="B2019" i="17"/>
  <c r="E2019" i="17"/>
  <c r="Y2019" i="17"/>
  <c r="X2018" i="17"/>
  <c r="B2015" i="17"/>
  <c r="E2015" i="17"/>
  <c r="Y2015" i="17"/>
  <c r="AO2015" i="17"/>
  <c r="X2014" i="17"/>
  <c r="B2011" i="17"/>
  <c r="E2011" i="17"/>
  <c r="Y2011" i="17"/>
  <c r="AO2011" i="17"/>
  <c r="X2010" i="17"/>
  <c r="B2007" i="17"/>
  <c r="E2007" i="17"/>
  <c r="Y2007" i="17"/>
  <c r="AO2007" i="17"/>
  <c r="X2006" i="17"/>
  <c r="X2041" i="17"/>
  <c r="N2041" i="17"/>
  <c r="F1439" i="25" s="1"/>
  <c r="X2039" i="17"/>
  <c r="AM2037" i="17"/>
  <c r="Y2037" i="17"/>
  <c r="AF2035" i="17"/>
  <c r="B2046" i="17"/>
  <c r="E2046" i="17"/>
  <c r="Z2046" i="17"/>
  <c r="AL2046" i="17"/>
  <c r="W2046" i="17"/>
  <c r="AM2046" i="17"/>
  <c r="X2046" i="17"/>
  <c r="AN2046" i="17"/>
  <c r="Y2046" i="17"/>
  <c r="AO2046" i="17"/>
  <c r="AE2046" i="17"/>
  <c r="AF2046" i="17"/>
  <c r="B2042" i="17"/>
  <c r="E2042" i="17"/>
  <c r="Z2042" i="17"/>
  <c r="AL2042" i="17"/>
  <c r="W2042" i="17"/>
  <c r="AM2042" i="17"/>
  <c r="X2042" i="17"/>
  <c r="AN2042" i="17"/>
  <c r="Y2042" i="17"/>
  <c r="AO2042" i="17"/>
  <c r="AE2042" i="17"/>
  <c r="AF2022" i="17"/>
  <c r="W2022" i="17"/>
  <c r="AF2018" i="17"/>
  <c r="W2018" i="17"/>
  <c r="AO2014" i="17"/>
  <c r="AF2014" i="17"/>
  <c r="W2014" i="17"/>
  <c r="AO2010" i="17"/>
  <c r="AF2010" i="17"/>
  <c r="W2010" i="17"/>
  <c r="AA2010" i="17" s="1"/>
  <c r="AO2006" i="17"/>
  <c r="AF2006" i="17"/>
  <c r="W2006" i="17"/>
  <c r="AO2041" i="17"/>
  <c r="AF2041" i="17"/>
  <c r="W2041" i="17"/>
  <c r="AO2039" i="17"/>
  <c r="AF2039" i="17"/>
  <c r="W2039" i="17"/>
  <c r="X2037" i="17"/>
  <c r="B2035" i="17"/>
  <c r="AL2035" i="17"/>
  <c r="W2035" i="17"/>
  <c r="AE2035" i="17"/>
  <c r="AM2035" i="17"/>
  <c r="Z2035" i="17"/>
  <c r="AE2032" i="17"/>
  <c r="Z2028" i="17"/>
  <c r="AN2006" i="17"/>
  <c r="AE2006" i="17"/>
  <c r="AN2041" i="17"/>
  <c r="AE2041" i="17"/>
  <c r="AN2039" i="17"/>
  <c r="AE2039" i="17"/>
  <c r="W2037" i="17"/>
  <c r="X2028" i="17"/>
  <c r="E2073" i="17"/>
  <c r="B2033" i="17"/>
  <c r="W2033" i="17"/>
  <c r="AE2033" i="17"/>
  <c r="AM2033" i="17"/>
  <c r="AM2031" i="17"/>
  <c r="T2031" i="17"/>
  <c r="O1429" i="25" s="1"/>
  <c r="B2029" i="17"/>
  <c r="W2029" i="17"/>
  <c r="AE2029" i="17"/>
  <c r="AM2029" i="17"/>
  <c r="Z2052" i="17"/>
  <c r="Y2051" i="17"/>
  <c r="AM2050" i="17"/>
  <c r="Y2050" i="17"/>
  <c r="W2047" i="17"/>
  <c r="B2084" i="17"/>
  <c r="AM2084" i="17"/>
  <c r="AE2084" i="17"/>
  <c r="AN2084" i="17"/>
  <c r="Y2084" i="17"/>
  <c r="AF2084" i="17"/>
  <c r="AL2084" i="17"/>
  <c r="AO2084" i="17"/>
  <c r="E2084" i="17"/>
  <c r="X2084" i="17"/>
  <c r="Z2084" i="17"/>
  <c r="B2060" i="17"/>
  <c r="E2060" i="17"/>
  <c r="Y2060" i="17"/>
  <c r="AO2060" i="17"/>
  <c r="W2060" i="17"/>
  <c r="AF2060" i="17"/>
  <c r="X2051" i="17"/>
  <c r="AL2050" i="17"/>
  <c r="X2050" i="17"/>
  <c r="AM2048" i="17"/>
  <c r="B2043" i="17"/>
  <c r="AL2043" i="17"/>
  <c r="AM2043" i="17"/>
  <c r="AE2043" i="17"/>
  <c r="AN2043" i="17"/>
  <c r="B2067" i="17"/>
  <c r="W2067" i="17"/>
  <c r="AE2067" i="17"/>
  <c r="AM2067" i="17"/>
  <c r="X2067" i="17"/>
  <c r="Y2067" i="17"/>
  <c r="Z2067" i="17"/>
  <c r="AO2067" i="17"/>
  <c r="AF2067" i="17"/>
  <c r="B2065" i="17"/>
  <c r="Z2065" i="17"/>
  <c r="X2065" i="17"/>
  <c r="W2065" i="17"/>
  <c r="Y2065" i="17"/>
  <c r="AL2065" i="17"/>
  <c r="AM2065" i="17"/>
  <c r="AE2065" i="17"/>
  <c r="AF2065" i="17"/>
  <c r="W2051" i="17"/>
  <c r="W2050" i="17"/>
  <c r="AL2048" i="17"/>
  <c r="B2047" i="17"/>
  <c r="AL2047" i="17"/>
  <c r="AM2047" i="17"/>
  <c r="AE2047" i="17"/>
  <c r="AN2047" i="17"/>
  <c r="T2072" i="17"/>
  <c r="O1470" i="25" s="1"/>
  <c r="Q2072" i="17"/>
  <c r="I1470" i="25" s="1"/>
  <c r="R2072" i="17"/>
  <c r="K1470" i="25" s="1"/>
  <c r="S2072" i="17"/>
  <c r="M1470" i="25" s="1"/>
  <c r="O2072" i="17"/>
  <c r="G1470" i="25" s="1"/>
  <c r="B2078" i="17"/>
  <c r="AL2078" i="17"/>
  <c r="W2078" i="17"/>
  <c r="AE2078" i="17"/>
  <c r="AM2078" i="17"/>
  <c r="Z2078" i="17"/>
  <c r="X2078" i="17"/>
  <c r="AF2078" i="17"/>
  <c r="AN2078" i="17"/>
  <c r="Y2078" i="17"/>
  <c r="AO2078" i="17"/>
  <c r="AO2034" i="17"/>
  <c r="Y2034" i="17"/>
  <c r="P2031" i="17"/>
  <c r="H1429" i="25" s="1"/>
  <c r="X2030" i="17"/>
  <c r="B2056" i="17"/>
  <c r="E2056" i="17"/>
  <c r="Y2056" i="17"/>
  <c r="AO2056" i="17"/>
  <c r="AE2056" i="17"/>
  <c r="AN2056" i="17"/>
  <c r="W2056" i="17"/>
  <c r="AF2056" i="17"/>
  <c r="B2055" i="17"/>
  <c r="AL2055" i="17"/>
  <c r="AM2055" i="17"/>
  <c r="B2054" i="17"/>
  <c r="E2054" i="17"/>
  <c r="Z2054" i="17"/>
  <c r="AF2047" i="17"/>
  <c r="Y2069" i="17"/>
  <c r="W2084" i="17"/>
  <c r="AN2034" i="17"/>
  <c r="AF2034" i="17"/>
  <c r="X2034" i="17"/>
  <c r="AN2033" i="17"/>
  <c r="Y2031" i="17"/>
  <c r="O2031" i="17"/>
  <c r="G1429" i="25" s="1"/>
  <c r="AO2030" i="17"/>
  <c r="AF2030" i="17"/>
  <c r="W2030" i="17"/>
  <c r="AN2029" i="17"/>
  <c r="X2060" i="17"/>
  <c r="B2059" i="17"/>
  <c r="AM2059" i="17"/>
  <c r="AF2058" i="17"/>
  <c r="AM2056" i="17"/>
  <c r="AO2055" i="17"/>
  <c r="AO2054" i="17"/>
  <c r="O2053" i="17"/>
  <c r="G1451" i="25" s="1"/>
  <c r="AF2051" i="17"/>
  <c r="B2044" i="17"/>
  <c r="E2044" i="17"/>
  <c r="Y2044" i="17"/>
  <c r="AO2044" i="17"/>
  <c r="AE2044" i="17"/>
  <c r="AN2044" i="17"/>
  <c r="W2044" i="17"/>
  <c r="AF2044" i="17"/>
  <c r="X2044" i="17"/>
  <c r="Z2043" i="17"/>
  <c r="P2072" i="17"/>
  <c r="H1470" i="25" s="1"/>
  <c r="B2070" i="17"/>
  <c r="E2070" i="17"/>
  <c r="Y2070" i="17"/>
  <c r="AO2070" i="17"/>
  <c r="W2070" i="17"/>
  <c r="AF2070" i="17"/>
  <c r="X2070" i="17"/>
  <c r="Z2070" i="17"/>
  <c r="AM2070" i="17"/>
  <c r="B2052" i="17"/>
  <c r="E2052" i="17"/>
  <c r="Y2052" i="17"/>
  <c r="AO2052" i="17"/>
  <c r="AE2052" i="17"/>
  <c r="AN2052" i="17"/>
  <c r="W2052" i="17"/>
  <c r="AF2052" i="17"/>
  <c r="B2051" i="17"/>
  <c r="AL2051" i="17"/>
  <c r="AM2051" i="17"/>
  <c r="B2050" i="17"/>
  <c r="E2050" i="17"/>
  <c r="Z2050" i="17"/>
  <c r="B2048" i="17"/>
  <c r="E2048" i="17"/>
  <c r="Y2048" i="17"/>
  <c r="AO2048" i="17"/>
  <c r="AE2048" i="17"/>
  <c r="AN2048" i="17"/>
  <c r="W2048" i="17"/>
  <c r="AF2048" i="17"/>
  <c r="X2048" i="17"/>
  <c r="N2072" i="17"/>
  <c r="F1470" i="25" s="1"/>
  <c r="B2069" i="17"/>
  <c r="AM2069" i="17"/>
  <c r="AE2069" i="17"/>
  <c r="AN2069" i="17"/>
  <c r="W2069" i="17"/>
  <c r="AF2069" i="17"/>
  <c r="AO2069" i="17"/>
  <c r="E2069" i="17"/>
  <c r="AN2067" i="17"/>
  <c r="AO2065" i="17"/>
  <c r="B2083" i="17"/>
  <c r="AL2083" i="17"/>
  <c r="E2083" i="17"/>
  <c r="W2083" i="17"/>
  <c r="AF2083" i="17"/>
  <c r="AO2083" i="17"/>
  <c r="X2083" i="17"/>
  <c r="AM2083" i="17"/>
  <c r="Y2083" i="17"/>
  <c r="AN2083" i="17"/>
  <c r="Y2068" i="17"/>
  <c r="AM2072" i="17"/>
  <c r="AM2068" i="17"/>
  <c r="B2076" i="17"/>
  <c r="E2076" i="17"/>
  <c r="Y2076" i="17"/>
  <c r="AO2076" i="17"/>
  <c r="AL2076" i="17"/>
  <c r="AM2076" i="17"/>
  <c r="X2076" i="17"/>
  <c r="AE2083" i="17"/>
  <c r="B2061" i="17"/>
  <c r="W2061" i="17"/>
  <c r="AE2061" i="17"/>
  <c r="B2057" i="17"/>
  <c r="W2057" i="17"/>
  <c r="AE2057" i="17"/>
  <c r="AM2057" i="17"/>
  <c r="B2053" i="17"/>
  <c r="W2053" i="17"/>
  <c r="AE2053" i="17"/>
  <c r="AM2053" i="17"/>
  <c r="P2049" i="17"/>
  <c r="H1447" i="25" s="1"/>
  <c r="B2049" i="17"/>
  <c r="W2049" i="17"/>
  <c r="AE2049" i="17"/>
  <c r="AM2049" i="17"/>
  <c r="B2045" i="17"/>
  <c r="W2045" i="17"/>
  <c r="AE2045" i="17"/>
  <c r="AM2045" i="17"/>
  <c r="AL2072" i="17"/>
  <c r="AL2068" i="17"/>
  <c r="B2071" i="17"/>
  <c r="W2071" i="17"/>
  <c r="AE2071" i="17"/>
  <c r="AM2071" i="17"/>
  <c r="E2068" i="17"/>
  <c r="B2063" i="17"/>
  <c r="AL2063" i="17"/>
  <c r="W2063" i="17"/>
  <c r="AE2063" i="17"/>
  <c r="Z2063" i="17"/>
  <c r="E2063" i="17"/>
  <c r="AF2063" i="17"/>
  <c r="Z2083" i="17"/>
  <c r="N2082" i="17"/>
  <c r="F1480" i="25" s="1"/>
  <c r="T2082" i="17"/>
  <c r="O1480" i="25" s="1"/>
  <c r="Q2082" i="17"/>
  <c r="I1480" i="25" s="1"/>
  <c r="O2082" i="17"/>
  <c r="G1480" i="25" s="1"/>
  <c r="P2082" i="17"/>
  <c r="H1480" i="25" s="1"/>
  <c r="R2082" i="17"/>
  <c r="K1480" i="25" s="1"/>
  <c r="B2095" i="17"/>
  <c r="E2095" i="17"/>
  <c r="Y2095" i="17"/>
  <c r="AO2095" i="17"/>
  <c r="AE2095" i="17"/>
  <c r="AF2095" i="17"/>
  <c r="W2095" i="17"/>
  <c r="Z2095" i="17"/>
  <c r="AL2095" i="17"/>
  <c r="B2080" i="17"/>
  <c r="E2080" i="17"/>
  <c r="Y2080" i="17"/>
  <c r="AO2080" i="17"/>
  <c r="W2080" i="17"/>
  <c r="AF2080" i="17"/>
  <c r="AM2080" i="17"/>
  <c r="AN2080" i="17"/>
  <c r="X2080" i="17"/>
  <c r="AM2094" i="17"/>
  <c r="B2077" i="17"/>
  <c r="W2077" i="17"/>
  <c r="AE2077" i="17"/>
  <c r="AF2077" i="17"/>
  <c r="AN2077" i="17"/>
  <c r="X2077" i="17"/>
  <c r="AO2077" i="17"/>
  <c r="E2077" i="17"/>
  <c r="B2093" i="17"/>
  <c r="W2093" i="17"/>
  <c r="AF2093" i="17"/>
  <c r="AO2093" i="17"/>
  <c r="E2093" i="17"/>
  <c r="AM2093" i="17"/>
  <c r="AN2093" i="17"/>
  <c r="X2093" i="17"/>
  <c r="AN2095" i="17"/>
  <c r="AM2095" i="17"/>
  <c r="B2094" i="17"/>
  <c r="Y2094" i="17"/>
  <c r="X2094" i="17"/>
  <c r="Z2094" i="17"/>
  <c r="AL2094" i="17"/>
  <c r="E2094" i="17"/>
  <c r="AN2094" i="17"/>
  <c r="AE2094" i="17"/>
  <c r="AO2094" i="17"/>
  <c r="R2090" i="17"/>
  <c r="K1488" i="25" s="1"/>
  <c r="T2090" i="17"/>
  <c r="O1488" i="25" s="1"/>
  <c r="O2090" i="17"/>
  <c r="G1488" i="25" s="1"/>
  <c r="B2089" i="17"/>
  <c r="E2089" i="17"/>
  <c r="W2089" i="17"/>
  <c r="AF2089" i="17"/>
  <c r="AO2089" i="17"/>
  <c r="B2088" i="17"/>
  <c r="Y2088" i="17"/>
  <c r="AM2088" i="17"/>
  <c r="B2091" i="17"/>
  <c r="E2091" i="17"/>
  <c r="Y2091" i="17"/>
  <c r="AO2091" i="17"/>
  <c r="W2091" i="17"/>
  <c r="AF2091" i="17"/>
  <c r="Q2090" i="17"/>
  <c r="I1488" i="25" s="1"/>
  <c r="B2090" i="17"/>
  <c r="AM2090" i="17"/>
  <c r="Y2090" i="17"/>
  <c r="AO2088" i="17"/>
  <c r="AN2087" i="17"/>
  <c r="B2082" i="17"/>
  <c r="W2082" i="17"/>
  <c r="AE2082" i="17"/>
  <c r="AM2082" i="17"/>
  <c r="B2079" i="17"/>
  <c r="AM2079" i="17"/>
  <c r="P2090" i="17"/>
  <c r="H1488" i="25" s="1"/>
  <c r="AN2089" i="17"/>
  <c r="AM2087" i="17"/>
  <c r="Z2087" i="17"/>
  <c r="AL2091" i="17"/>
  <c r="Z2091" i="17"/>
  <c r="AL2090" i="17"/>
  <c r="Z2090" i="17"/>
  <c r="AL2089" i="17"/>
  <c r="Y2089" i="17"/>
  <c r="X2088" i="17"/>
  <c r="Y2082" i="17"/>
  <c r="AC2082" i="17" s="1"/>
  <c r="X2079" i="17"/>
  <c r="T2096" i="17"/>
  <c r="X2091" i="17"/>
  <c r="X2090" i="17"/>
  <c r="X2089" i="17"/>
  <c r="W2088" i="17"/>
  <c r="X2074" i="17"/>
  <c r="X2082" i="17"/>
  <c r="W2079" i="17"/>
  <c r="P2096" i="17"/>
  <c r="B2096" i="17"/>
  <c r="W2096" i="17"/>
  <c r="AE2096" i="17"/>
  <c r="AM2096" i="17"/>
  <c r="AN2096" i="17"/>
  <c r="W2090" i="17"/>
  <c r="B2087" i="17"/>
  <c r="AL2087" i="17"/>
  <c r="W2087" i="17"/>
  <c r="AF2087" i="17"/>
  <c r="AO2087" i="17"/>
  <c r="E2087" i="17"/>
  <c r="B2081" i="17"/>
  <c r="X2081" i="17"/>
  <c r="AF2081" i="17"/>
  <c r="AN2081" i="17"/>
  <c r="B2092" i="17"/>
  <c r="W2092" i="17"/>
  <c r="AE2092" i="17"/>
  <c r="AM2092" i="17"/>
  <c r="Z2085" i="17"/>
  <c r="E2085" i="17"/>
  <c r="AM2086" i="17"/>
  <c r="AE2086" i="17"/>
  <c r="W2086" i="17"/>
  <c r="AF2085" i="17"/>
  <c r="X2085" i="17"/>
  <c r="J1973" i="18"/>
  <c r="J1972" i="18"/>
  <c r="J1971" i="18"/>
  <c r="J1970" i="18"/>
  <c r="J1969" i="18"/>
  <c r="J1967" i="18"/>
  <c r="J1966" i="18"/>
  <c r="J1965" i="18"/>
  <c r="J1961" i="18"/>
  <c r="J1960" i="18"/>
  <c r="J1959" i="18"/>
  <c r="J1957" i="18"/>
  <c r="J1956" i="18"/>
  <c r="J1952" i="18"/>
  <c r="J1949" i="18"/>
  <c r="J1947" i="18"/>
  <c r="J1946" i="18"/>
  <c r="J1945" i="18"/>
  <c r="J1940" i="18"/>
  <c r="J1939" i="18"/>
  <c r="E1975" i="18"/>
  <c r="F1975" i="18" s="1"/>
  <c r="E1974" i="18"/>
  <c r="F1974" i="18" s="1"/>
  <c r="C1973" i="18"/>
  <c r="E1973" i="18" s="1"/>
  <c r="F1973" i="18" s="1"/>
  <c r="C1972" i="18"/>
  <c r="E1972" i="18" s="1"/>
  <c r="F1972" i="18" s="1"/>
  <c r="C1971" i="18"/>
  <c r="E1971" i="18" s="1"/>
  <c r="F1971" i="18" s="1"/>
  <c r="C1970" i="18"/>
  <c r="E1970" i="18" s="1"/>
  <c r="F1970" i="18" s="1"/>
  <c r="E1969" i="18"/>
  <c r="F1969" i="18" s="1"/>
  <c r="C1969" i="18"/>
  <c r="E1968" i="18"/>
  <c r="F1968" i="18" s="1"/>
  <c r="C1967" i="18"/>
  <c r="E1967" i="18" s="1"/>
  <c r="F1967" i="18" s="1"/>
  <c r="E1966" i="18"/>
  <c r="F1966" i="18" s="1"/>
  <c r="C1966" i="18"/>
  <c r="C1965" i="18"/>
  <c r="E1965" i="18" s="1"/>
  <c r="F1965" i="18" s="1"/>
  <c r="E1964" i="18"/>
  <c r="F1964" i="18" s="1"/>
  <c r="E1963" i="18"/>
  <c r="F1963" i="18" s="1"/>
  <c r="E1962" i="18"/>
  <c r="F1962" i="18" s="1"/>
  <c r="C1961" i="18"/>
  <c r="E1961" i="18" s="1"/>
  <c r="F1961" i="18" s="1"/>
  <c r="C1960" i="18"/>
  <c r="E1960" i="18" s="1"/>
  <c r="F1960" i="18" s="1"/>
  <c r="C1959" i="18"/>
  <c r="E1959" i="18" s="1"/>
  <c r="F1959" i="18" s="1"/>
  <c r="E1958" i="18"/>
  <c r="F1958" i="18" s="1"/>
  <c r="C1957" i="18"/>
  <c r="E1957" i="18" s="1"/>
  <c r="F1957" i="18" s="1"/>
  <c r="C1956" i="18"/>
  <c r="E1956" i="18" s="1"/>
  <c r="F1956" i="18" s="1"/>
  <c r="E1955" i="18"/>
  <c r="F1955" i="18" s="1"/>
  <c r="C1954" i="18"/>
  <c r="E1954" i="18" s="1"/>
  <c r="F1954" i="18" s="1"/>
  <c r="E1953" i="18"/>
  <c r="F1953" i="18" s="1"/>
  <c r="C1952" i="18"/>
  <c r="E1952" i="18" s="1"/>
  <c r="F1952" i="18" s="1"/>
  <c r="C1951" i="18"/>
  <c r="E1951" i="18" s="1"/>
  <c r="F1951" i="18" s="1"/>
  <c r="C1950" i="18"/>
  <c r="E1950" i="18" s="1"/>
  <c r="F1950" i="18" s="1"/>
  <c r="C1949" i="18"/>
  <c r="E1949" i="18" s="1"/>
  <c r="F1949" i="18" s="1"/>
  <c r="E1948" i="18"/>
  <c r="F1948" i="18" s="1"/>
  <c r="C1948" i="18"/>
  <c r="C1947" i="18"/>
  <c r="E1947" i="18" s="1"/>
  <c r="F1947" i="18" s="1"/>
  <c r="E1946" i="18"/>
  <c r="F1946" i="18" s="1"/>
  <c r="C1946" i="18"/>
  <c r="C1945" i="18"/>
  <c r="E1945" i="18" s="1"/>
  <c r="F1945" i="18" s="1"/>
  <c r="E1944" i="18"/>
  <c r="F1944" i="18" s="1"/>
  <c r="E1943" i="18"/>
  <c r="F1943" i="18" s="1"/>
  <c r="E1942" i="18"/>
  <c r="F1942" i="18" s="1"/>
  <c r="E1941" i="18"/>
  <c r="F1941" i="18" s="1"/>
  <c r="C1940" i="18"/>
  <c r="E1940" i="18" s="1"/>
  <c r="F1940" i="18" s="1"/>
  <c r="C1939" i="18"/>
  <c r="E1939" i="18" s="1"/>
  <c r="F1939" i="18" s="1"/>
  <c r="E1938" i="18"/>
  <c r="F1938" i="18" s="1"/>
  <c r="AL2088" i="17" l="1"/>
  <c r="AL2097" i="17"/>
  <c r="AM2097" i="17"/>
  <c r="AN2097" i="17"/>
  <c r="AO2097" i="17"/>
  <c r="AL2080" i="17"/>
  <c r="AN2071" i="17"/>
  <c r="AO2092" i="17"/>
  <c r="AN2061" i="17"/>
  <c r="AO2022" i="17"/>
  <c r="AN2075" i="17"/>
  <c r="AM2034" i="17"/>
  <c r="AO2081" i="17"/>
  <c r="AN2090" i="17"/>
  <c r="AN2088" i="17"/>
  <c r="AL2075" i="17"/>
  <c r="AL2074" i="17"/>
  <c r="AN2037" i="17"/>
  <c r="AL2013" i="17"/>
  <c r="AL2092" i="17"/>
  <c r="AM2018" i="17"/>
  <c r="AL2019" i="17"/>
  <c r="AL2022" i="17"/>
  <c r="AM2075" i="17"/>
  <c r="AM2060" i="17"/>
  <c r="AM2021" i="17"/>
  <c r="P2014" i="17"/>
  <c r="H1412" i="25" s="1"/>
  <c r="AN2091" i="17"/>
  <c r="AO2062" i="17"/>
  <c r="AL2086" i="17"/>
  <c r="AL2015" i="17"/>
  <c r="AO2017" i="17"/>
  <c r="O2014" i="17"/>
  <c r="G1412" i="25" s="1"/>
  <c r="AO2016" i="17"/>
  <c r="AO2020" i="17"/>
  <c r="AM2062" i="17"/>
  <c r="AO2063" i="17"/>
  <c r="AO2061" i="17"/>
  <c r="AL2070" i="17"/>
  <c r="AN2011" i="17"/>
  <c r="AO2026" i="17"/>
  <c r="AN2085" i="17"/>
  <c r="AL2093" i="17"/>
  <c r="AM2061" i="17"/>
  <c r="N2061" i="17"/>
  <c r="F1459" i="25" s="1"/>
  <c r="AO2021" i="17"/>
  <c r="R2014" i="17"/>
  <c r="K1412" i="25" s="1"/>
  <c r="AN2016" i="17"/>
  <c r="AM2022" i="17"/>
  <c r="AM2019" i="17"/>
  <c r="AN2019" i="17"/>
  <c r="AL2085" i="17"/>
  <c r="AM2085" i="17"/>
  <c r="AL2062" i="17"/>
  <c r="AN2068" i="17"/>
  <c r="AM2038" i="17"/>
  <c r="AN2020" i="17"/>
  <c r="AO2018" i="17"/>
  <c r="AN2017" i="17"/>
  <c r="AL2016" i="17"/>
  <c r="AL2020" i="17"/>
  <c r="AO2086" i="17"/>
  <c r="AN2022" i="17"/>
  <c r="AL2017" i="17"/>
  <c r="AM2089" i="17"/>
  <c r="AL2077" i="17"/>
  <c r="AO2071" i="17"/>
  <c r="AM2044" i="17"/>
  <c r="AO2051" i="17"/>
  <c r="AL2036" i="17"/>
  <c r="AO2019" i="17"/>
  <c r="AM2016" i="17"/>
  <c r="AM2020" i="17"/>
  <c r="AN2086" i="17"/>
  <c r="AN2062" i="17"/>
  <c r="AL2018" i="17"/>
  <c r="AN2018" i="17"/>
  <c r="AM2063" i="17"/>
  <c r="AM2017" i="17"/>
  <c r="AN2021" i="17"/>
  <c r="AL2061" i="17"/>
  <c r="AN2063" i="17"/>
  <c r="AN2092" i="17"/>
  <c r="AL2021" i="17"/>
  <c r="S2014" i="17"/>
  <c r="M1412" i="25" s="1"/>
  <c r="AO2090" i="17"/>
  <c r="AD2033" i="17"/>
  <c r="O1431" i="25"/>
  <c r="AD2064" i="17"/>
  <c r="O1462" i="25"/>
  <c r="R2061" i="17"/>
  <c r="K1459" i="25" s="1"/>
  <c r="AC2030" i="17"/>
  <c r="AA2072" i="17"/>
  <c r="P2055" i="17"/>
  <c r="H1453" i="25" s="1"/>
  <c r="AC2072" i="17"/>
  <c r="AC2075" i="17"/>
  <c r="AD2082" i="17"/>
  <c r="P2075" i="17"/>
  <c r="H1473" i="25" s="1"/>
  <c r="AD2016" i="17"/>
  <c r="R2025" i="17"/>
  <c r="S2025" i="17"/>
  <c r="M1423" i="25" s="1"/>
  <c r="T2020" i="17"/>
  <c r="R2020" i="17"/>
  <c r="Q2075" i="17"/>
  <c r="N2020" i="17"/>
  <c r="F1418" i="25" s="1"/>
  <c r="P2066" i="17"/>
  <c r="H1464" i="25" s="1"/>
  <c r="Q2014" i="17"/>
  <c r="O2062" i="17"/>
  <c r="G1460" i="25" s="1"/>
  <c r="Q2066" i="17"/>
  <c r="I1464" i="25" s="1"/>
  <c r="S2066" i="17"/>
  <c r="N2062" i="17"/>
  <c r="F1460" i="25" s="1"/>
  <c r="R2062" i="17"/>
  <c r="N2066" i="17"/>
  <c r="F1464" i="25" s="1"/>
  <c r="Q2026" i="17"/>
  <c r="AD2062" i="17"/>
  <c r="R2088" i="17"/>
  <c r="S2037" i="17"/>
  <c r="M1435" i="25" s="1"/>
  <c r="N2029" i="17"/>
  <c r="F1427" i="25" s="1"/>
  <c r="N2037" i="17"/>
  <c r="F1435" i="25" s="1"/>
  <c r="O2037" i="17"/>
  <c r="G1435" i="25" s="1"/>
  <c r="R2037" i="17"/>
  <c r="T2037" i="17"/>
  <c r="Q2037" i="17"/>
  <c r="T2066" i="17"/>
  <c r="Q2062" i="17"/>
  <c r="P2062" i="17"/>
  <c r="H1460" i="25" s="1"/>
  <c r="R2066" i="17"/>
  <c r="S2062" i="17"/>
  <c r="T2026" i="17"/>
  <c r="O1424" i="25" s="1"/>
  <c r="P2026" i="17"/>
  <c r="H1424" i="25" s="1"/>
  <c r="S2026" i="17"/>
  <c r="R2026" i="17"/>
  <c r="O2026" i="17"/>
  <c r="G1424" i="25" s="1"/>
  <c r="AC2041" i="17"/>
  <c r="AB2049" i="17"/>
  <c r="AB2033" i="17"/>
  <c r="R2055" i="17"/>
  <c r="AD2010" i="17"/>
  <c r="T2061" i="17"/>
  <c r="S2061" i="17"/>
  <c r="P2061" i="17"/>
  <c r="H1459" i="25" s="1"/>
  <c r="N2021" i="17"/>
  <c r="F1419" i="25" s="1"/>
  <c r="P2034" i="17"/>
  <c r="H1432" i="25" s="1"/>
  <c r="R2034" i="17"/>
  <c r="O2034" i="17"/>
  <c r="G1432" i="25" s="1"/>
  <c r="N2034" i="17"/>
  <c r="F1432" i="25" s="1"/>
  <c r="AA2024" i="17"/>
  <c r="AB2008" i="17"/>
  <c r="S2088" i="17"/>
  <c r="M1486" i="25" s="1"/>
  <c r="O2088" i="17"/>
  <c r="G1486" i="25" s="1"/>
  <c r="T2088" i="17"/>
  <c r="P2088" i="17"/>
  <c r="H1486" i="25" s="1"/>
  <c r="Q2088" i="17"/>
  <c r="O2055" i="17"/>
  <c r="G1453" i="25" s="1"/>
  <c r="T2055" i="17"/>
  <c r="Q2040" i="17"/>
  <c r="S2055" i="17"/>
  <c r="P2040" i="17"/>
  <c r="H1438" i="25" s="1"/>
  <c r="R2057" i="17"/>
  <c r="N2040" i="17"/>
  <c r="F1438" i="25" s="1"/>
  <c r="S2040" i="17"/>
  <c r="O2064" i="17"/>
  <c r="G1462" i="25" s="1"/>
  <c r="R2040" i="17"/>
  <c r="Q2055" i="17"/>
  <c r="T2021" i="17"/>
  <c r="N2038" i="17"/>
  <c r="F1436" i="25" s="1"/>
  <c r="Q2038" i="17"/>
  <c r="T2038" i="17"/>
  <c r="AD2034" i="17"/>
  <c r="AA2029" i="17"/>
  <c r="S2038" i="17"/>
  <c r="R2029" i="17"/>
  <c r="P2029" i="17"/>
  <c r="H1427" i="25" s="1"/>
  <c r="P2021" i="17"/>
  <c r="H1419" i="25" s="1"/>
  <c r="O2029" i="17"/>
  <c r="G1427" i="25" s="1"/>
  <c r="T2029" i="17"/>
  <c r="S2029" i="17"/>
  <c r="AB2031" i="17"/>
  <c r="Q2079" i="17"/>
  <c r="S2039" i="17"/>
  <c r="S2092" i="17"/>
  <c r="Q2034" i="17"/>
  <c r="I1432" i="25" s="1"/>
  <c r="T2092" i="17"/>
  <c r="P2092" i="17"/>
  <c r="H1490" i="25" s="1"/>
  <c r="Q2021" i="17"/>
  <c r="S2034" i="17"/>
  <c r="O2092" i="17"/>
  <c r="G1490" i="25" s="1"/>
  <c r="P2079" i="17"/>
  <c r="H1477" i="25" s="1"/>
  <c r="N2039" i="17"/>
  <c r="F1437" i="25" s="1"/>
  <c r="AC2081" i="17"/>
  <c r="T2086" i="17"/>
  <c r="T2081" i="17"/>
  <c r="Q2086" i="17"/>
  <c r="P2086" i="17"/>
  <c r="H1484" i="25" s="1"/>
  <c r="N2081" i="17"/>
  <c r="F1479" i="25" s="1"/>
  <c r="O2086" i="17"/>
  <c r="G1484" i="25" s="1"/>
  <c r="R2081" i="17"/>
  <c r="O2081" i="17"/>
  <c r="G1479" i="25" s="1"/>
  <c r="AC2016" i="17"/>
  <c r="R2086" i="17"/>
  <c r="S2086" i="17"/>
  <c r="Q2061" i="17"/>
  <c r="AC2058" i="17"/>
  <c r="P2081" i="17"/>
  <c r="H1479" i="25" s="1"/>
  <c r="P2043" i="17"/>
  <c r="H1441" i="25" s="1"/>
  <c r="S2018" i="17"/>
  <c r="O2096" i="17"/>
  <c r="N2035" i="17"/>
  <c r="F1433" i="25" s="1"/>
  <c r="Q2081" i="17"/>
  <c r="S2021" i="17"/>
  <c r="AC2049" i="17"/>
  <c r="O2059" i="17"/>
  <c r="G1457" i="25" s="1"/>
  <c r="T2079" i="17"/>
  <c r="AB2072" i="17"/>
  <c r="T2035" i="17"/>
  <c r="N2096" i="17"/>
  <c r="AD2072" i="17"/>
  <c r="R2035" i="17"/>
  <c r="P2051" i="17"/>
  <c r="H1449" i="25" s="1"/>
  <c r="S2035" i="17"/>
  <c r="AB2047" i="17"/>
  <c r="P2035" i="17"/>
  <c r="H1433" i="25" s="1"/>
  <c r="AD2096" i="17"/>
  <c r="R2092" i="17"/>
  <c r="Q2092" i="17"/>
  <c r="O2045" i="17"/>
  <c r="G1443" i="25" s="1"/>
  <c r="T2058" i="17"/>
  <c r="O2035" i="17"/>
  <c r="G1433" i="25" s="1"/>
  <c r="AC2036" i="17"/>
  <c r="AC2020" i="17"/>
  <c r="AC2078" i="17"/>
  <c r="O2043" i="17"/>
  <c r="G1441" i="25" s="1"/>
  <c r="T2059" i="17"/>
  <c r="P2024" i="17"/>
  <c r="H1422" i="25" s="1"/>
  <c r="AA2031" i="17"/>
  <c r="AC2047" i="17"/>
  <c r="N2043" i="17"/>
  <c r="F1441" i="25" s="1"/>
  <c r="O2020" i="17"/>
  <c r="G1418" i="25" s="1"/>
  <c r="T2024" i="17"/>
  <c r="AC2090" i="17"/>
  <c r="P2059" i="17"/>
  <c r="H1457" i="25" s="1"/>
  <c r="R2059" i="17"/>
  <c r="AB2065" i="17"/>
  <c r="T2036" i="17"/>
  <c r="T2043" i="17"/>
  <c r="AC2033" i="17"/>
  <c r="S2024" i="17"/>
  <c r="P2025" i="17"/>
  <c r="H1423" i="25" s="1"/>
  <c r="AA2096" i="17"/>
  <c r="S2043" i="17"/>
  <c r="R2024" i="17"/>
  <c r="N2025" i="17"/>
  <c r="F1423" i="25" s="1"/>
  <c r="Q2020" i="17"/>
  <c r="R2043" i="17"/>
  <c r="O2024" i="17"/>
  <c r="G1422" i="25" s="1"/>
  <c r="N2024" i="17"/>
  <c r="F1422" i="25" s="1"/>
  <c r="AD2049" i="17"/>
  <c r="AD2047" i="17"/>
  <c r="P2020" i="17"/>
  <c r="H1418" i="25" s="1"/>
  <c r="T2006" i="17"/>
  <c r="Q2006" i="17"/>
  <c r="AB2016" i="17"/>
  <c r="P2074" i="17"/>
  <c r="H1472" i="25" s="1"/>
  <c r="R2074" i="17"/>
  <c r="AA2047" i="17"/>
  <c r="AA2014" i="17"/>
  <c r="Q2051" i="17"/>
  <c r="N2058" i="17"/>
  <c r="F1456" i="25" s="1"/>
  <c r="O2018" i="17"/>
  <c r="G1416" i="25" s="1"/>
  <c r="U2049" i="17"/>
  <c r="R2075" i="17"/>
  <c r="K1473" i="25" s="1"/>
  <c r="N2075" i="17"/>
  <c r="F1473" i="25" s="1"/>
  <c r="O2075" i="17"/>
  <c r="G1473" i="25" s="1"/>
  <c r="T2075" i="17"/>
  <c r="O2038" i="17"/>
  <c r="G1436" i="25" s="1"/>
  <c r="R2038" i="17"/>
  <c r="O2074" i="17"/>
  <c r="G1472" i="25" s="1"/>
  <c r="AD2014" i="17"/>
  <c r="N2074" i="17"/>
  <c r="F1472" i="25" s="1"/>
  <c r="T2051" i="17"/>
  <c r="P2006" i="17"/>
  <c r="H1404" i="25" s="1"/>
  <c r="P2022" i="17"/>
  <c r="H1420" i="25" s="1"/>
  <c r="R2021" i="17"/>
  <c r="AB2082" i="17"/>
  <c r="AA2049" i="17"/>
  <c r="Q2074" i="17"/>
  <c r="I1472" i="25" s="1"/>
  <c r="T2074" i="17"/>
  <c r="AD2078" i="17"/>
  <c r="S2051" i="17"/>
  <c r="O2006" i="17"/>
  <c r="G1404" i="25" s="1"/>
  <c r="N2022" i="17"/>
  <c r="F1420" i="25" s="1"/>
  <c r="N2006" i="17"/>
  <c r="F1404" i="25" s="1"/>
  <c r="R2022" i="17"/>
  <c r="AD2025" i="17"/>
  <c r="AD2057" i="17"/>
  <c r="S2006" i="17"/>
  <c r="U2041" i="17"/>
  <c r="R2006" i="17"/>
  <c r="K1404" i="25" s="1"/>
  <c r="U2031" i="17"/>
  <c r="N2067" i="17"/>
  <c r="F1465" i="25" s="1"/>
  <c r="AD2031" i="17"/>
  <c r="AA2041" i="17"/>
  <c r="O2036" i="17"/>
  <c r="G1434" i="25" s="1"/>
  <c r="Q2058" i="17"/>
  <c r="U2065" i="17"/>
  <c r="P2018" i="17"/>
  <c r="H1416" i="25" s="1"/>
  <c r="S2079" i="17"/>
  <c r="N2079" i="17"/>
  <c r="F1477" i="25" s="1"/>
  <c r="O2079" i="17"/>
  <c r="G1477" i="25" s="1"/>
  <c r="AB2041" i="17"/>
  <c r="AA2030" i="17"/>
  <c r="P2057" i="17"/>
  <c r="H1455" i="25" s="1"/>
  <c r="N2018" i="17"/>
  <c r="F1416" i="25" s="1"/>
  <c r="Q2057" i="17"/>
  <c r="O2057" i="17"/>
  <c r="G1455" i="25" s="1"/>
  <c r="AC2065" i="17"/>
  <c r="AD2030" i="17"/>
  <c r="S2057" i="17"/>
  <c r="S2096" i="17"/>
  <c r="AC2096" i="17" s="1"/>
  <c r="R2096" i="17"/>
  <c r="AB2096" i="17" s="1"/>
  <c r="AB2090" i="17"/>
  <c r="U2090" i="17"/>
  <c r="AA2090" i="17"/>
  <c r="P2053" i="17"/>
  <c r="H1451" i="25" s="1"/>
  <c r="AA2078" i="17"/>
  <c r="N2057" i="17"/>
  <c r="F1455" i="25" s="1"/>
  <c r="AC2014" i="17"/>
  <c r="P2012" i="17"/>
  <c r="H1410" i="25" s="1"/>
  <c r="U2016" i="17"/>
  <c r="AC2074" i="17"/>
  <c r="AC2031" i="17"/>
  <c r="AD2065" i="17"/>
  <c r="Q2067" i="17"/>
  <c r="P2058" i="17"/>
  <c r="H1456" i="25" s="1"/>
  <c r="R2058" i="17"/>
  <c r="O2058" i="17"/>
  <c r="G1456" i="25" s="1"/>
  <c r="Q2059" i="17"/>
  <c r="S2059" i="17"/>
  <c r="O2025" i="17"/>
  <c r="G1423" i="25" s="1"/>
  <c r="Q2025" i="17"/>
  <c r="AA2066" i="17"/>
  <c r="R2064" i="17"/>
  <c r="Q2064" i="17"/>
  <c r="N2064" i="17"/>
  <c r="F1462" i="25" s="1"/>
  <c r="P2064" i="17"/>
  <c r="H1462" i="25" s="1"/>
  <c r="AB2030" i="17"/>
  <c r="AB2078" i="17"/>
  <c r="P2067" i="17"/>
  <c r="H1465" i="25" s="1"/>
  <c r="AC2010" i="17"/>
  <c r="O2012" i="17"/>
  <c r="G1410" i="25" s="1"/>
  <c r="N2045" i="17"/>
  <c r="F1443" i="25" s="1"/>
  <c r="T2045" i="17"/>
  <c r="R2045" i="17"/>
  <c r="S2045" i="17"/>
  <c r="Q2045" i="17"/>
  <c r="AD2090" i="17"/>
  <c r="T2067" i="17"/>
  <c r="U2010" i="17"/>
  <c r="T2012" i="17"/>
  <c r="S2053" i="17"/>
  <c r="Q2053" i="17"/>
  <c r="R2053" i="17"/>
  <c r="T2053" i="17"/>
  <c r="U2082" i="17"/>
  <c r="AB2051" i="17"/>
  <c r="S2067" i="17"/>
  <c r="U2078" i="17"/>
  <c r="Q2012" i="17"/>
  <c r="S2012" i="17"/>
  <c r="S2022" i="17"/>
  <c r="Q2022" i="17"/>
  <c r="T2022" i="17"/>
  <c r="Q2036" i="17"/>
  <c r="R2036" i="17"/>
  <c r="N2036" i="17"/>
  <c r="F1434" i="25" s="1"/>
  <c r="P2036" i="17"/>
  <c r="H1434" i="25" s="1"/>
  <c r="S2064" i="17"/>
  <c r="M1462" i="25" s="1"/>
  <c r="O2067" i="17"/>
  <c r="G1465" i="25" s="1"/>
  <c r="AB2010" i="17"/>
  <c r="R2012" i="17"/>
  <c r="AC2008" i="17"/>
  <c r="Q2018" i="17"/>
  <c r="T2018" i="17"/>
  <c r="N2071" i="17"/>
  <c r="F1469" i="25" s="1"/>
  <c r="O2071" i="17"/>
  <c r="G1469" i="25" s="1"/>
  <c r="R2071" i="17"/>
  <c r="S2071" i="17"/>
  <c r="Q2071" i="17"/>
  <c r="T2071" i="17"/>
  <c r="P2071" i="17"/>
  <c r="H1469" i="25" s="1"/>
  <c r="AB2067" i="17"/>
  <c r="AA2033" i="17"/>
  <c r="Q2039" i="17"/>
  <c r="I1437" i="25" s="1"/>
  <c r="P2039" i="17"/>
  <c r="H1437" i="25" s="1"/>
  <c r="T2039" i="17"/>
  <c r="R2039" i="17"/>
  <c r="O2051" i="17"/>
  <c r="G1449" i="25" s="1"/>
  <c r="N2051" i="17"/>
  <c r="F1449" i="25" s="1"/>
  <c r="P2080" i="17"/>
  <c r="H1478" i="25" s="1"/>
  <c r="R2080" i="17"/>
  <c r="S2080" i="17"/>
  <c r="N2080" i="17"/>
  <c r="F1478" i="25" s="1"/>
  <c r="O2080" i="17"/>
  <c r="G1478" i="25" s="1"/>
  <c r="Q2080" i="17"/>
  <c r="T2080" i="17"/>
  <c r="P2019" i="17"/>
  <c r="H1417" i="25" s="1"/>
  <c r="O2019" i="17"/>
  <c r="G1417" i="25" s="1"/>
  <c r="Q2019" i="17"/>
  <c r="I1417" i="25" s="1"/>
  <c r="R2019" i="17"/>
  <c r="S2019" i="17"/>
  <c r="N2019" i="17"/>
  <c r="F1417" i="25" s="1"/>
  <c r="T2019" i="17"/>
  <c r="T2009" i="17"/>
  <c r="S2009" i="17"/>
  <c r="N2009" i="17"/>
  <c r="F1407" i="25" s="1"/>
  <c r="P2009" i="17"/>
  <c r="H1407" i="25" s="1"/>
  <c r="O2009" i="17"/>
  <c r="G1407" i="25" s="1"/>
  <c r="Q2009" i="17"/>
  <c r="R2009" i="17"/>
  <c r="AA2016" i="17"/>
  <c r="AD2008" i="17"/>
  <c r="Q2083" i="17"/>
  <c r="R2083" i="17"/>
  <c r="T2083" i="17"/>
  <c r="N2083" i="17"/>
  <c r="F1481" i="25" s="1"/>
  <c r="P2083" i="17"/>
  <c r="H1481" i="25" s="1"/>
  <c r="S2083" i="17"/>
  <c r="O2083" i="17"/>
  <c r="G1481" i="25" s="1"/>
  <c r="T2050" i="17"/>
  <c r="P2050" i="17"/>
  <c r="H1448" i="25" s="1"/>
  <c r="Q2050" i="17"/>
  <c r="I1448" i="25" s="1"/>
  <c r="R2050" i="17"/>
  <c r="S2050" i="17"/>
  <c r="N2050" i="17"/>
  <c r="F1448" i="25" s="1"/>
  <c r="O2050" i="17"/>
  <c r="G1448" i="25" s="1"/>
  <c r="R2069" i="17"/>
  <c r="T2069" i="17"/>
  <c r="Q2069" i="17"/>
  <c r="S2069" i="17"/>
  <c r="N2069" i="17"/>
  <c r="F1467" i="25" s="1"/>
  <c r="O2069" i="17"/>
  <c r="G1467" i="25" s="1"/>
  <c r="P2069" i="17"/>
  <c r="H1467" i="25" s="1"/>
  <c r="P2060" i="17"/>
  <c r="H1458" i="25" s="1"/>
  <c r="N2060" i="17"/>
  <c r="F1458" i="25" s="1"/>
  <c r="O2060" i="17"/>
  <c r="G1458" i="25" s="1"/>
  <c r="Q2060" i="17"/>
  <c r="I1458" i="25" s="1"/>
  <c r="R2060" i="17"/>
  <c r="S2060" i="17"/>
  <c r="T2060" i="17"/>
  <c r="P2007" i="17"/>
  <c r="H1405" i="25" s="1"/>
  <c r="N2007" i="17"/>
  <c r="F1405" i="25" s="1"/>
  <c r="O2007" i="17"/>
  <c r="G1405" i="25" s="1"/>
  <c r="Q2007" i="17"/>
  <c r="I1405" i="25" s="1"/>
  <c r="R2007" i="17"/>
  <c r="S2007" i="17"/>
  <c r="T2007" i="17"/>
  <c r="T2017" i="17"/>
  <c r="S2017" i="17"/>
  <c r="N2017" i="17"/>
  <c r="F1415" i="25" s="1"/>
  <c r="P2017" i="17"/>
  <c r="H1415" i="25" s="1"/>
  <c r="R2017" i="17"/>
  <c r="O2017" i="17"/>
  <c r="G1415" i="25" s="1"/>
  <c r="Q2017" i="17"/>
  <c r="S2089" i="17"/>
  <c r="Q2089" i="17"/>
  <c r="T2089" i="17"/>
  <c r="O2089" i="17"/>
  <c r="G1487" i="25" s="1"/>
  <c r="P2089" i="17"/>
  <c r="H1487" i="25" s="1"/>
  <c r="R2089" i="17"/>
  <c r="N2089" i="17"/>
  <c r="F1487" i="25" s="1"/>
  <c r="R2094" i="17"/>
  <c r="O2094" i="17"/>
  <c r="G1492" i="25" s="1"/>
  <c r="N2094" i="17"/>
  <c r="F1492" i="25" s="1"/>
  <c r="P2094" i="17"/>
  <c r="H1492" i="25" s="1"/>
  <c r="S2094" i="17"/>
  <c r="T2094" i="17"/>
  <c r="Q2094" i="17"/>
  <c r="I1492" i="25" s="1"/>
  <c r="T2093" i="17"/>
  <c r="P2093" i="17"/>
  <c r="H1491" i="25" s="1"/>
  <c r="Q2093" i="17"/>
  <c r="I1491" i="25" s="1"/>
  <c r="R2093" i="17"/>
  <c r="N2093" i="17"/>
  <c r="F1491" i="25" s="1"/>
  <c r="O2093" i="17"/>
  <c r="G1491" i="25" s="1"/>
  <c r="S2093" i="17"/>
  <c r="P2052" i="17"/>
  <c r="H1450" i="25" s="1"/>
  <c r="Q2052" i="17"/>
  <c r="I1450" i="25" s="1"/>
  <c r="R2052" i="17"/>
  <c r="S2052" i="17"/>
  <c r="T2052" i="17"/>
  <c r="N2052" i="17"/>
  <c r="F1450" i="25" s="1"/>
  <c r="O2052" i="17"/>
  <c r="G1450" i="25" s="1"/>
  <c r="P2044" i="17"/>
  <c r="H1442" i="25" s="1"/>
  <c r="N2044" i="17"/>
  <c r="F1442" i="25" s="1"/>
  <c r="Q2044" i="17"/>
  <c r="R2044" i="17"/>
  <c r="S2044" i="17"/>
  <c r="T2044" i="17"/>
  <c r="O2044" i="17"/>
  <c r="G1442" i="25" s="1"/>
  <c r="T2054" i="17"/>
  <c r="P2054" i="17"/>
  <c r="H1452" i="25" s="1"/>
  <c r="Q2054" i="17"/>
  <c r="I1452" i="25" s="1"/>
  <c r="N2054" i="17"/>
  <c r="F1452" i="25" s="1"/>
  <c r="O2054" i="17"/>
  <c r="G1452" i="25" s="1"/>
  <c r="R2054" i="17"/>
  <c r="S2054" i="17"/>
  <c r="R2073" i="17"/>
  <c r="T2073" i="17"/>
  <c r="S2073" i="17"/>
  <c r="N2073" i="17"/>
  <c r="F1471" i="25" s="1"/>
  <c r="O2073" i="17"/>
  <c r="G1471" i="25" s="1"/>
  <c r="P2073" i="17"/>
  <c r="H1471" i="25" s="1"/>
  <c r="Q2073" i="17"/>
  <c r="U2008" i="17"/>
  <c r="N2004" i="17"/>
  <c r="F1402" i="25" s="1"/>
  <c r="Q2004" i="17"/>
  <c r="I1402" i="25" s="1"/>
  <c r="R2004" i="17"/>
  <c r="S2004" i="17"/>
  <c r="T2004" i="17"/>
  <c r="O2004" i="17"/>
  <c r="G1402" i="25" s="1"/>
  <c r="P2004" i="17"/>
  <c r="H1402" i="25" s="1"/>
  <c r="T2013" i="17"/>
  <c r="S2013" i="17"/>
  <c r="N2013" i="17"/>
  <c r="F1411" i="25" s="1"/>
  <c r="P2013" i="17"/>
  <c r="H1411" i="25" s="1"/>
  <c r="Q2013" i="17"/>
  <c r="I1411" i="25" s="1"/>
  <c r="R2013" i="17"/>
  <c r="O2013" i="17"/>
  <c r="G1411" i="25" s="1"/>
  <c r="P2095" i="17"/>
  <c r="H1493" i="25" s="1"/>
  <c r="R2095" i="17"/>
  <c r="T2095" i="17"/>
  <c r="N2095" i="17"/>
  <c r="F1493" i="25" s="1"/>
  <c r="O2095" i="17"/>
  <c r="G1493" i="25" s="1"/>
  <c r="Q2095" i="17"/>
  <c r="S2095" i="17"/>
  <c r="P2015" i="17"/>
  <c r="H1413" i="25" s="1"/>
  <c r="O2015" i="17"/>
  <c r="G1413" i="25" s="1"/>
  <c r="Q2015" i="17"/>
  <c r="I1413" i="25" s="1"/>
  <c r="R2015" i="17"/>
  <c r="S2015" i="17"/>
  <c r="N2015" i="17"/>
  <c r="F1413" i="25" s="1"/>
  <c r="T2015" i="17"/>
  <c r="AD2040" i="17"/>
  <c r="T2005" i="17"/>
  <c r="R2005" i="17"/>
  <c r="S2005" i="17"/>
  <c r="N2005" i="17"/>
  <c r="F1403" i="25" s="1"/>
  <c r="P2005" i="17"/>
  <c r="H1403" i="25" s="1"/>
  <c r="O2005" i="17"/>
  <c r="G1403" i="25" s="1"/>
  <c r="Q2005" i="17"/>
  <c r="AA2008" i="17"/>
  <c r="P2070" i="17"/>
  <c r="H1468" i="25" s="1"/>
  <c r="N2070" i="17"/>
  <c r="F1468" i="25" s="1"/>
  <c r="O2070" i="17"/>
  <c r="G1468" i="25" s="1"/>
  <c r="T2070" i="17"/>
  <c r="R2070" i="17"/>
  <c r="S2070" i="17"/>
  <c r="Q2070" i="17"/>
  <c r="N2063" i="17"/>
  <c r="F1461" i="25" s="1"/>
  <c r="Q2063" i="17"/>
  <c r="I1461" i="25" s="1"/>
  <c r="R2063" i="17"/>
  <c r="S2063" i="17"/>
  <c r="T2063" i="17"/>
  <c r="O2063" i="17"/>
  <c r="G1461" i="25" s="1"/>
  <c r="P2063" i="17"/>
  <c r="H1461" i="25" s="1"/>
  <c r="T2068" i="17"/>
  <c r="S2068" i="17"/>
  <c r="P2068" i="17"/>
  <c r="H1466" i="25" s="1"/>
  <c r="Q2068" i="17"/>
  <c r="I1466" i="25" s="1"/>
  <c r="R2068" i="17"/>
  <c r="N2068" i="17"/>
  <c r="F1466" i="25" s="1"/>
  <c r="O2068" i="17"/>
  <c r="G1466" i="25" s="1"/>
  <c r="P2048" i="17"/>
  <c r="H1446" i="25" s="1"/>
  <c r="N2048" i="17"/>
  <c r="F1446" i="25" s="1"/>
  <c r="R2048" i="17"/>
  <c r="S2048" i="17"/>
  <c r="T2048" i="17"/>
  <c r="Q2048" i="17"/>
  <c r="O2048" i="17"/>
  <c r="G1446" i="25" s="1"/>
  <c r="AA2035" i="17"/>
  <c r="AA2043" i="17"/>
  <c r="U2033" i="17"/>
  <c r="N2085" i="17"/>
  <c r="F1483" i="25" s="1"/>
  <c r="O2085" i="17"/>
  <c r="G1483" i="25" s="1"/>
  <c r="Q2085" i="17"/>
  <c r="I1483" i="25" s="1"/>
  <c r="T2085" i="17"/>
  <c r="S2085" i="17"/>
  <c r="P2085" i="17"/>
  <c r="H1483" i="25" s="1"/>
  <c r="R2085" i="17"/>
  <c r="N2077" i="17"/>
  <c r="F1475" i="25" s="1"/>
  <c r="Q2077" i="17"/>
  <c r="R2077" i="17"/>
  <c r="S2077" i="17"/>
  <c r="O2077" i="17"/>
  <c r="G1475" i="25" s="1"/>
  <c r="P2077" i="17"/>
  <c r="H1475" i="25" s="1"/>
  <c r="T2077" i="17"/>
  <c r="AB2079" i="17"/>
  <c r="Q2087" i="17"/>
  <c r="I1485" i="25" s="1"/>
  <c r="R2087" i="17"/>
  <c r="S2087" i="17"/>
  <c r="T2087" i="17"/>
  <c r="N2087" i="17"/>
  <c r="F1485" i="25" s="1"/>
  <c r="O2087" i="17"/>
  <c r="G1485" i="25" s="1"/>
  <c r="P2087" i="17"/>
  <c r="H1485" i="25" s="1"/>
  <c r="U2072" i="17"/>
  <c r="AA2065" i="17"/>
  <c r="T2084" i="17"/>
  <c r="S2084" i="17"/>
  <c r="O2084" i="17"/>
  <c r="G1482" i="25" s="1"/>
  <c r="N2084" i="17"/>
  <c r="F1482" i="25" s="1"/>
  <c r="P2084" i="17"/>
  <c r="H1482" i="25" s="1"/>
  <c r="Q2084" i="17"/>
  <c r="I1482" i="25" s="1"/>
  <c r="R2084" i="17"/>
  <c r="T2046" i="17"/>
  <c r="P2046" i="17"/>
  <c r="H1444" i="25" s="1"/>
  <c r="Q2046" i="17"/>
  <c r="I1444" i="25" s="1"/>
  <c r="R2046" i="17"/>
  <c r="N2046" i="17"/>
  <c r="F1444" i="25" s="1"/>
  <c r="O2046" i="17"/>
  <c r="G1444" i="25" s="1"/>
  <c r="S2046" i="17"/>
  <c r="AB2018" i="17"/>
  <c r="P2023" i="17"/>
  <c r="H1421" i="25" s="1"/>
  <c r="O2023" i="17"/>
  <c r="G1421" i="25" s="1"/>
  <c r="Q2023" i="17"/>
  <c r="I1421" i="25" s="1"/>
  <c r="R2023" i="17"/>
  <c r="S2023" i="17"/>
  <c r="N2023" i="17"/>
  <c r="F1421" i="25" s="1"/>
  <c r="T2023" i="17"/>
  <c r="U2047" i="17"/>
  <c r="T2042" i="17"/>
  <c r="P2042" i="17"/>
  <c r="H1440" i="25" s="1"/>
  <c r="Q2042" i="17"/>
  <c r="I1440" i="25" s="1"/>
  <c r="R2042" i="17"/>
  <c r="N2042" i="17"/>
  <c r="F1440" i="25" s="1"/>
  <c r="O2042" i="17"/>
  <c r="G1440" i="25" s="1"/>
  <c r="S2042" i="17"/>
  <c r="O2027" i="17"/>
  <c r="G1425" i="25" s="1"/>
  <c r="R2027" i="17"/>
  <c r="P2027" i="17"/>
  <c r="H1425" i="25" s="1"/>
  <c r="Q2027" i="17"/>
  <c r="I1425" i="25" s="1"/>
  <c r="T2027" i="17"/>
  <c r="N2027" i="17"/>
  <c r="F1425" i="25" s="1"/>
  <c r="S2027" i="17"/>
  <c r="P2028" i="17"/>
  <c r="H1426" i="25" s="1"/>
  <c r="R2028" i="17"/>
  <c r="S2028" i="17"/>
  <c r="T2028" i="17"/>
  <c r="O2028" i="17"/>
  <c r="G1426" i="25" s="1"/>
  <c r="Q2028" i="17"/>
  <c r="I1426" i="25" s="1"/>
  <c r="N2028" i="17"/>
  <c r="F1426" i="25" s="1"/>
  <c r="AA2082" i="17"/>
  <c r="P2091" i="17"/>
  <c r="H1489" i="25" s="1"/>
  <c r="R2091" i="17"/>
  <c r="T2091" i="17"/>
  <c r="O2091" i="17"/>
  <c r="G1489" i="25" s="1"/>
  <c r="Q2091" i="17"/>
  <c r="I1489" i="25" s="1"/>
  <c r="S2091" i="17"/>
  <c r="N2091" i="17"/>
  <c r="F1489" i="25" s="1"/>
  <c r="P2076" i="17"/>
  <c r="H1474" i="25" s="1"/>
  <c r="S2076" i="17"/>
  <c r="T2076" i="17"/>
  <c r="N2076" i="17"/>
  <c r="F1474" i="25" s="1"/>
  <c r="Q2076" i="17"/>
  <c r="I1474" i="25" s="1"/>
  <c r="R2076" i="17"/>
  <c r="O2076" i="17"/>
  <c r="G1474" i="25" s="1"/>
  <c r="P2056" i="17"/>
  <c r="H1454" i="25" s="1"/>
  <c r="O2056" i="17"/>
  <c r="G1454" i="25" s="1"/>
  <c r="Q2056" i="17"/>
  <c r="I1454" i="25" s="1"/>
  <c r="R2056" i="17"/>
  <c r="S2056" i="17"/>
  <c r="T2056" i="17"/>
  <c r="N2056" i="17"/>
  <c r="F1454" i="25" s="1"/>
  <c r="P2011" i="17"/>
  <c r="H1409" i="25" s="1"/>
  <c r="O2011" i="17"/>
  <c r="G1409" i="25" s="1"/>
  <c r="Q2011" i="17"/>
  <c r="I1409" i="25" s="1"/>
  <c r="R2011" i="17"/>
  <c r="S2011" i="17"/>
  <c r="T2011" i="17"/>
  <c r="N2011" i="17"/>
  <c r="F1409" i="25" s="1"/>
  <c r="P2032" i="17"/>
  <c r="H1430" i="25" s="1"/>
  <c r="R2032" i="17"/>
  <c r="S2032" i="17"/>
  <c r="T2032" i="17"/>
  <c r="N2032" i="17"/>
  <c r="F1430" i="25" s="1"/>
  <c r="O2032" i="17"/>
  <c r="G1430" i="25" s="1"/>
  <c r="Q2032" i="17"/>
  <c r="U2030" i="17"/>
  <c r="J1937" i="18"/>
  <c r="J1934" i="18"/>
  <c r="J1929" i="18"/>
  <c r="J1927" i="18"/>
  <c r="J1926" i="18"/>
  <c r="J1925" i="18"/>
  <c r="J1921" i="18"/>
  <c r="E1937" i="18"/>
  <c r="F1937" i="18" s="1"/>
  <c r="E1936" i="18"/>
  <c r="F1936" i="18" s="1"/>
  <c r="E1935" i="18"/>
  <c r="F1935" i="18" s="1"/>
  <c r="E1934" i="18"/>
  <c r="F1934" i="18" s="1"/>
  <c r="E1933" i="18"/>
  <c r="F1933" i="18" s="1"/>
  <c r="E1932" i="18"/>
  <c r="F1932" i="18" s="1"/>
  <c r="E1931" i="18"/>
  <c r="F1931" i="18" s="1"/>
  <c r="E1930" i="18"/>
  <c r="F1930" i="18" s="1"/>
  <c r="E1929" i="18"/>
  <c r="F1929" i="18" s="1"/>
  <c r="E1928" i="18"/>
  <c r="F1928" i="18" s="1"/>
  <c r="E1927" i="18"/>
  <c r="F1927" i="18" s="1"/>
  <c r="E1926" i="18"/>
  <c r="F1926" i="18" s="1"/>
  <c r="E1925" i="18"/>
  <c r="F1925" i="18" s="1"/>
  <c r="E1924" i="18"/>
  <c r="F1924" i="18" s="1"/>
  <c r="E1923" i="18"/>
  <c r="F1923" i="18" s="1"/>
  <c r="E1922" i="18"/>
  <c r="F1922" i="18" s="1"/>
  <c r="D1921" i="18"/>
  <c r="E1921" i="18" s="1"/>
  <c r="F1921" i="18" s="1"/>
  <c r="E1920" i="18"/>
  <c r="F1920" i="18" s="1"/>
  <c r="E1919" i="18"/>
  <c r="F1919" i="18" s="1"/>
  <c r="F1918" i="18"/>
  <c r="E1918" i="18"/>
  <c r="E1917" i="18"/>
  <c r="F1917" i="18" s="1"/>
  <c r="E1916" i="18"/>
  <c r="F1916" i="18" s="1"/>
  <c r="E1915" i="18"/>
  <c r="F1915" i="18" s="1"/>
  <c r="F1914" i="18"/>
  <c r="E1914" i="18"/>
  <c r="AB2014" i="17" l="1"/>
  <c r="AC2088" i="17"/>
  <c r="AB2061" i="17"/>
  <c r="AC2025" i="17"/>
  <c r="AA2032" i="17"/>
  <c r="I1430" i="25"/>
  <c r="AA2077" i="17"/>
  <c r="I1475" i="25"/>
  <c r="AA2048" i="17"/>
  <c r="I1446" i="25"/>
  <c r="AA2070" i="17"/>
  <c r="I1468" i="25"/>
  <c r="AA2005" i="17"/>
  <c r="I1403" i="25"/>
  <c r="AA2095" i="17"/>
  <c r="I1493" i="25"/>
  <c r="AA2073" i="17"/>
  <c r="I1471" i="25"/>
  <c r="AA2044" i="17"/>
  <c r="I1442" i="25"/>
  <c r="AA2089" i="17"/>
  <c r="I1487" i="25"/>
  <c r="AA2017" i="17"/>
  <c r="I1415" i="25"/>
  <c r="AA2069" i="17"/>
  <c r="I1467" i="25"/>
  <c r="AA2083" i="17"/>
  <c r="I1481" i="25"/>
  <c r="AA2009" i="17"/>
  <c r="I1407" i="25"/>
  <c r="AA2080" i="17"/>
  <c r="I1478" i="25"/>
  <c r="AA2071" i="17"/>
  <c r="I1469" i="25"/>
  <c r="AA2018" i="17"/>
  <c r="I1416" i="25"/>
  <c r="AA2036" i="17"/>
  <c r="I1434" i="25"/>
  <c r="AA2022" i="17"/>
  <c r="I1420" i="25"/>
  <c r="AA2012" i="17"/>
  <c r="I1410" i="25"/>
  <c r="AA2053" i="17"/>
  <c r="I1451" i="25"/>
  <c r="AA2045" i="17"/>
  <c r="I1443" i="25"/>
  <c r="AA2064" i="17"/>
  <c r="I1462" i="25"/>
  <c r="AA2025" i="17"/>
  <c r="I1423" i="25"/>
  <c r="AA2059" i="17"/>
  <c r="I1457" i="25"/>
  <c r="AA2067" i="17"/>
  <c r="I1465" i="25"/>
  <c r="AA2057" i="17"/>
  <c r="I1455" i="25"/>
  <c r="AA2058" i="17"/>
  <c r="I1456" i="25"/>
  <c r="AA2051" i="17"/>
  <c r="I1449" i="25"/>
  <c r="AA2006" i="17"/>
  <c r="I1404" i="25"/>
  <c r="AA2020" i="17"/>
  <c r="I1418" i="25"/>
  <c r="AA2092" i="17"/>
  <c r="I1490" i="25"/>
  <c r="AA2081" i="17"/>
  <c r="I1479" i="25"/>
  <c r="AA2061" i="17"/>
  <c r="I1459" i="25"/>
  <c r="AA2086" i="17"/>
  <c r="I1484" i="25"/>
  <c r="AA2021" i="17"/>
  <c r="I1419" i="25"/>
  <c r="AA2079" i="17"/>
  <c r="I1477" i="25"/>
  <c r="AA2038" i="17"/>
  <c r="I1436" i="25"/>
  <c r="AA2055" i="17"/>
  <c r="I1453" i="25"/>
  <c r="AA2040" i="17"/>
  <c r="I1438" i="25"/>
  <c r="AA2088" i="17"/>
  <c r="I1486" i="25"/>
  <c r="AA2062" i="17"/>
  <c r="I1460" i="25"/>
  <c r="AA2037" i="17"/>
  <c r="I1435" i="25"/>
  <c r="AA2026" i="17"/>
  <c r="I1424" i="25"/>
  <c r="U2014" i="17"/>
  <c r="I1412" i="25"/>
  <c r="AA2075" i="17"/>
  <c r="I1473" i="25"/>
  <c r="AG2030" i="17"/>
  <c r="AH2030" i="17" s="1"/>
  <c r="Q1428" i="25"/>
  <c r="AD2032" i="17"/>
  <c r="O1430" i="25"/>
  <c r="AC2032" i="17"/>
  <c r="M1430" i="25"/>
  <c r="AB2032" i="17"/>
  <c r="K1430" i="25"/>
  <c r="AD2011" i="17"/>
  <c r="O1409" i="25"/>
  <c r="AC2011" i="17"/>
  <c r="M1409" i="25"/>
  <c r="AB2011" i="17"/>
  <c r="K1409" i="25"/>
  <c r="AD2056" i="17"/>
  <c r="O1454" i="25"/>
  <c r="AC2056" i="17"/>
  <c r="M1454" i="25"/>
  <c r="AB2056" i="17"/>
  <c r="K1454" i="25"/>
  <c r="AB2076" i="17"/>
  <c r="K1474" i="25"/>
  <c r="AD2076" i="17"/>
  <c r="O1474" i="25"/>
  <c r="AC2076" i="17"/>
  <c r="M1474" i="25"/>
  <c r="AC2091" i="17"/>
  <c r="M1489" i="25"/>
  <c r="AD2091" i="17"/>
  <c r="O1489" i="25"/>
  <c r="AB2091" i="17"/>
  <c r="K1489" i="25"/>
  <c r="AD2028" i="17"/>
  <c r="O1426" i="25"/>
  <c r="AC2028" i="17"/>
  <c r="M1426" i="25"/>
  <c r="AB2028" i="17"/>
  <c r="K1426" i="25"/>
  <c r="AC2027" i="17"/>
  <c r="M1425" i="25"/>
  <c r="AD2027" i="17"/>
  <c r="O1425" i="25"/>
  <c r="AB2027" i="17"/>
  <c r="K1425" i="25"/>
  <c r="AC2042" i="17"/>
  <c r="M1440" i="25"/>
  <c r="AB2042" i="17"/>
  <c r="K1440" i="25"/>
  <c r="AD2042" i="17"/>
  <c r="O1440" i="25"/>
  <c r="AG2047" i="17"/>
  <c r="AI2047" i="17" s="1"/>
  <c r="Q1445" i="25"/>
  <c r="AD2023" i="17"/>
  <c r="O1421" i="25"/>
  <c r="AC2023" i="17"/>
  <c r="M1421" i="25"/>
  <c r="AB2023" i="17"/>
  <c r="K1421" i="25"/>
  <c r="AC2046" i="17"/>
  <c r="M1444" i="25"/>
  <c r="AB2046" i="17"/>
  <c r="K1444" i="25"/>
  <c r="AD2046" i="17"/>
  <c r="O1444" i="25"/>
  <c r="AB2084" i="17"/>
  <c r="K1482" i="25"/>
  <c r="AC2084" i="17"/>
  <c r="M1482" i="25"/>
  <c r="AD2084" i="17"/>
  <c r="O1482" i="25"/>
  <c r="AG2072" i="17"/>
  <c r="AK2072" i="17" s="1"/>
  <c r="Q1470" i="25"/>
  <c r="AD2087" i="17"/>
  <c r="O1485" i="25"/>
  <c r="AC2087" i="17"/>
  <c r="M1485" i="25"/>
  <c r="AB2087" i="17"/>
  <c r="K1485" i="25"/>
  <c r="AD2077" i="17"/>
  <c r="O1475" i="25"/>
  <c r="AC2077" i="17"/>
  <c r="M1475" i="25"/>
  <c r="AB2077" i="17"/>
  <c r="K1475" i="25"/>
  <c r="AB2085" i="17"/>
  <c r="K1483" i="25"/>
  <c r="AC2085" i="17"/>
  <c r="M1483" i="25"/>
  <c r="AD2085" i="17"/>
  <c r="O1483" i="25"/>
  <c r="AG2033" i="17"/>
  <c r="AI2033" i="17" s="1"/>
  <c r="Q1431" i="25"/>
  <c r="AD2048" i="17"/>
  <c r="O1446" i="25"/>
  <c r="AC2048" i="17"/>
  <c r="M1446" i="25"/>
  <c r="AB2048" i="17"/>
  <c r="K1446" i="25"/>
  <c r="AB2068" i="17"/>
  <c r="K1466" i="25"/>
  <c r="AC2068" i="17"/>
  <c r="M1466" i="25"/>
  <c r="AD2068" i="17"/>
  <c r="O1466" i="25"/>
  <c r="AD2063" i="17"/>
  <c r="O1461" i="25"/>
  <c r="AC2063" i="17"/>
  <c r="M1461" i="25"/>
  <c r="AB2063" i="17"/>
  <c r="K1461" i="25"/>
  <c r="AC2070" i="17"/>
  <c r="M1468" i="25"/>
  <c r="AB2070" i="17"/>
  <c r="K1468" i="25"/>
  <c r="AD2070" i="17"/>
  <c r="O1468" i="25"/>
  <c r="AC2005" i="17"/>
  <c r="M1403" i="25"/>
  <c r="AB2005" i="17"/>
  <c r="K1403" i="25"/>
  <c r="AD2005" i="17"/>
  <c r="O1403" i="25"/>
  <c r="AD2015" i="17"/>
  <c r="O1413" i="25"/>
  <c r="AC2015" i="17"/>
  <c r="M1413" i="25"/>
  <c r="AB2015" i="17"/>
  <c r="K1413" i="25"/>
  <c r="AC2095" i="17"/>
  <c r="M1493" i="25"/>
  <c r="AD2095" i="17"/>
  <c r="O1493" i="25"/>
  <c r="AB2095" i="17"/>
  <c r="K1493" i="25"/>
  <c r="AB2013" i="17"/>
  <c r="K1411" i="25"/>
  <c r="AC2013" i="17"/>
  <c r="M1411" i="25"/>
  <c r="AD2013" i="17"/>
  <c r="O1411" i="25"/>
  <c r="AD2004" i="17"/>
  <c r="O1402" i="25"/>
  <c r="AC2004" i="17"/>
  <c r="M1402" i="25"/>
  <c r="AB2004" i="17"/>
  <c r="K1402" i="25"/>
  <c r="AG2008" i="17"/>
  <c r="AH2008" i="17" s="1"/>
  <c r="Q1406" i="25"/>
  <c r="AC2073" i="17"/>
  <c r="M1471" i="25"/>
  <c r="AD2073" i="17"/>
  <c r="O1471" i="25"/>
  <c r="AB2073" i="17"/>
  <c r="K1471" i="25"/>
  <c r="AC2054" i="17"/>
  <c r="M1452" i="25"/>
  <c r="AB2054" i="17"/>
  <c r="K1452" i="25"/>
  <c r="AD2054" i="17"/>
  <c r="O1452" i="25"/>
  <c r="AD2044" i="17"/>
  <c r="O1442" i="25"/>
  <c r="AC2044" i="17"/>
  <c r="M1442" i="25"/>
  <c r="AB2044" i="17"/>
  <c r="K1442" i="25"/>
  <c r="AD2052" i="17"/>
  <c r="O1450" i="25"/>
  <c r="AC2052" i="17"/>
  <c r="M1450" i="25"/>
  <c r="AB2052" i="17"/>
  <c r="K1450" i="25"/>
  <c r="AC2093" i="17"/>
  <c r="M1491" i="25"/>
  <c r="AB2093" i="17"/>
  <c r="K1491" i="25"/>
  <c r="AD2093" i="17"/>
  <c r="O1491" i="25"/>
  <c r="AD2094" i="17"/>
  <c r="O1492" i="25"/>
  <c r="AC2094" i="17"/>
  <c r="M1492" i="25"/>
  <c r="AB2094" i="17"/>
  <c r="K1492" i="25"/>
  <c r="AB2089" i="17"/>
  <c r="K1487" i="25"/>
  <c r="AD2089" i="17"/>
  <c r="O1487" i="25"/>
  <c r="AC2089" i="17"/>
  <c r="M1487" i="25"/>
  <c r="AB2017" i="17"/>
  <c r="K1415" i="25"/>
  <c r="AC2017" i="17"/>
  <c r="M1415" i="25"/>
  <c r="AD2017" i="17"/>
  <c r="O1415" i="25"/>
  <c r="AD2007" i="17"/>
  <c r="O1405" i="25"/>
  <c r="AC2007" i="17"/>
  <c r="M1405" i="25"/>
  <c r="AB2007" i="17"/>
  <c r="K1405" i="25"/>
  <c r="AD2060" i="17"/>
  <c r="O1458" i="25"/>
  <c r="AC2060" i="17"/>
  <c r="M1458" i="25"/>
  <c r="AB2060" i="17"/>
  <c r="K1458" i="25"/>
  <c r="AC2069" i="17"/>
  <c r="M1467" i="25"/>
  <c r="AD2069" i="17"/>
  <c r="O1467" i="25"/>
  <c r="AB2069" i="17"/>
  <c r="K1467" i="25"/>
  <c r="AC2050" i="17"/>
  <c r="M1448" i="25"/>
  <c r="AB2050" i="17"/>
  <c r="K1448" i="25"/>
  <c r="AD2050" i="17"/>
  <c r="O1448" i="25"/>
  <c r="AC2083" i="17"/>
  <c r="M1481" i="25"/>
  <c r="AD2083" i="17"/>
  <c r="O1481" i="25"/>
  <c r="AB2083" i="17"/>
  <c r="K1481" i="25"/>
  <c r="AB2009" i="17"/>
  <c r="K1407" i="25"/>
  <c r="AC2009" i="17"/>
  <c r="M1407" i="25"/>
  <c r="AD2009" i="17"/>
  <c r="O1407" i="25"/>
  <c r="AD2019" i="17"/>
  <c r="O1417" i="25"/>
  <c r="AC2019" i="17"/>
  <c r="M1417" i="25"/>
  <c r="AB2019" i="17"/>
  <c r="K1417" i="25"/>
  <c r="AD2080" i="17"/>
  <c r="O1478" i="25"/>
  <c r="AC2080" i="17"/>
  <c r="M1478" i="25"/>
  <c r="AB2080" i="17"/>
  <c r="K1478" i="25"/>
  <c r="AB2039" i="17"/>
  <c r="K1437" i="25"/>
  <c r="AD2039" i="17"/>
  <c r="O1437" i="25"/>
  <c r="AD2071" i="17"/>
  <c r="O1469" i="25"/>
  <c r="AC2071" i="17"/>
  <c r="M1469" i="25"/>
  <c r="AB2071" i="17"/>
  <c r="K1469" i="25"/>
  <c r="AD2018" i="17"/>
  <c r="O1416" i="25"/>
  <c r="AB2012" i="17"/>
  <c r="K1410" i="25"/>
  <c r="AB2036" i="17"/>
  <c r="K1434" i="25"/>
  <c r="AD2022" i="17"/>
  <c r="O1420" i="25"/>
  <c r="AC2022" i="17"/>
  <c r="M1420" i="25"/>
  <c r="AC2012" i="17"/>
  <c r="M1410" i="25"/>
  <c r="AG2078" i="17"/>
  <c r="AI2078" i="17" s="1"/>
  <c r="Q1476" i="25"/>
  <c r="AC2067" i="17"/>
  <c r="M1465" i="25"/>
  <c r="AG2082" i="17"/>
  <c r="AJ2082" i="17" s="1"/>
  <c r="Q1480" i="25"/>
  <c r="AD2053" i="17"/>
  <c r="O1451" i="25"/>
  <c r="AB2053" i="17"/>
  <c r="K1451" i="25"/>
  <c r="AC2053" i="17"/>
  <c r="M1451" i="25"/>
  <c r="AD2012" i="17"/>
  <c r="O1410" i="25"/>
  <c r="AG2010" i="17"/>
  <c r="AK2010" i="17" s="1"/>
  <c r="Q1408" i="25"/>
  <c r="AD2067" i="17"/>
  <c r="O1465" i="25"/>
  <c r="AC2045" i="17"/>
  <c r="M1443" i="25"/>
  <c r="AB2045" i="17"/>
  <c r="K1443" i="25"/>
  <c r="AD2045" i="17"/>
  <c r="O1443" i="25"/>
  <c r="AB2064" i="17"/>
  <c r="K1462" i="25"/>
  <c r="AC2059" i="17"/>
  <c r="M1457" i="25"/>
  <c r="AB2058" i="17"/>
  <c r="K1456" i="25"/>
  <c r="AG2016" i="17"/>
  <c r="AK2016" i="17" s="1"/>
  <c r="Q1414" i="25"/>
  <c r="AG2090" i="17"/>
  <c r="AK2090" i="17" s="1"/>
  <c r="Q1488" i="25"/>
  <c r="AC2057" i="17"/>
  <c r="M1455" i="25"/>
  <c r="AC2079" i="17"/>
  <c r="M1477" i="25"/>
  <c r="AG2065" i="17"/>
  <c r="AI2065" i="17" s="1"/>
  <c r="Q1463" i="25"/>
  <c r="AG2031" i="17"/>
  <c r="AJ2031" i="17" s="1"/>
  <c r="Q1429" i="25"/>
  <c r="AG2041" i="17"/>
  <c r="AK2041" i="17" s="1"/>
  <c r="Q1439" i="25"/>
  <c r="AC2006" i="17"/>
  <c r="M1404" i="25"/>
  <c r="AB2022" i="17"/>
  <c r="K1420" i="25"/>
  <c r="AC2051" i="17"/>
  <c r="M1449" i="25"/>
  <c r="AD2074" i="17"/>
  <c r="O1472" i="25"/>
  <c r="AB2021" i="17"/>
  <c r="K1419" i="25"/>
  <c r="AD2051" i="17"/>
  <c r="O1449" i="25"/>
  <c r="AB2038" i="17"/>
  <c r="K1436" i="25"/>
  <c r="AD2075" i="17"/>
  <c r="O1473" i="25"/>
  <c r="AG2049" i="17"/>
  <c r="AI2049" i="17" s="1"/>
  <c r="Q1447" i="25"/>
  <c r="AB2074" i="17"/>
  <c r="K1472" i="25"/>
  <c r="AD2006" i="17"/>
  <c r="O1404" i="25"/>
  <c r="AB2043" i="17"/>
  <c r="K1441" i="25"/>
  <c r="AB2024" i="17"/>
  <c r="K1422" i="25"/>
  <c r="AC2043" i="17"/>
  <c r="M1441" i="25"/>
  <c r="AC2024" i="17"/>
  <c r="M1422" i="25"/>
  <c r="AD2043" i="17"/>
  <c r="O1441" i="25"/>
  <c r="AD2036" i="17"/>
  <c r="O1434" i="25"/>
  <c r="AB2059" i="17"/>
  <c r="K1457" i="25"/>
  <c r="AD2024" i="17"/>
  <c r="O1422" i="25"/>
  <c r="AD2059" i="17"/>
  <c r="O1457" i="25"/>
  <c r="AD2058" i="17"/>
  <c r="O1456" i="25"/>
  <c r="AB2092" i="17"/>
  <c r="K1490" i="25"/>
  <c r="AC2035" i="17"/>
  <c r="M1433" i="25"/>
  <c r="AB2035" i="17"/>
  <c r="K1433" i="25"/>
  <c r="AD2035" i="17"/>
  <c r="O1433" i="25"/>
  <c r="AD2079" i="17"/>
  <c r="O1477" i="25"/>
  <c r="AC2021" i="17"/>
  <c r="M1419" i="25"/>
  <c r="AC2018" i="17"/>
  <c r="M1416" i="25"/>
  <c r="AC2086" i="17"/>
  <c r="M1484" i="25"/>
  <c r="AB2086" i="17"/>
  <c r="K1484" i="25"/>
  <c r="AB2081" i="17"/>
  <c r="K1479" i="25"/>
  <c r="AD2081" i="17"/>
  <c r="O1479" i="25"/>
  <c r="AD2086" i="17"/>
  <c r="O1484" i="25"/>
  <c r="AC2034" i="17"/>
  <c r="M1432" i="25"/>
  <c r="AD2092" i="17"/>
  <c r="O1490" i="25"/>
  <c r="AC2092" i="17"/>
  <c r="M1490" i="25"/>
  <c r="AC2039" i="17"/>
  <c r="M1437" i="25"/>
  <c r="AC2029" i="17"/>
  <c r="M1427" i="25"/>
  <c r="AD2029" i="17"/>
  <c r="O1427" i="25"/>
  <c r="AB2029" i="17"/>
  <c r="K1427" i="25"/>
  <c r="AC2038" i="17"/>
  <c r="M1436" i="25"/>
  <c r="AD2038" i="17"/>
  <c r="O1436" i="25"/>
  <c r="AD2021" i="17"/>
  <c r="O1419" i="25"/>
  <c r="AB2040" i="17"/>
  <c r="K1438" i="25"/>
  <c r="AC2040" i="17"/>
  <c r="M1438" i="25"/>
  <c r="AB2057" i="17"/>
  <c r="K1455" i="25"/>
  <c r="AC2055" i="17"/>
  <c r="M1453" i="25"/>
  <c r="AD2055" i="17"/>
  <c r="O1453" i="25"/>
  <c r="AD2088" i="17"/>
  <c r="O1486" i="25"/>
  <c r="AB2034" i="17"/>
  <c r="K1432" i="25"/>
  <c r="AC2061" i="17"/>
  <c r="M1459" i="25"/>
  <c r="AD2061" i="17"/>
  <c r="O1459" i="25"/>
  <c r="AB2055" i="17"/>
  <c r="K1453" i="25"/>
  <c r="AB2026" i="17"/>
  <c r="K1424" i="25"/>
  <c r="AC2026" i="17"/>
  <c r="M1424" i="25"/>
  <c r="AC2062" i="17"/>
  <c r="M1460" i="25"/>
  <c r="AB2066" i="17"/>
  <c r="K1464" i="25"/>
  <c r="AD2066" i="17"/>
  <c r="O1464" i="25"/>
  <c r="AD2037" i="17"/>
  <c r="O1435" i="25"/>
  <c r="AB2037" i="17"/>
  <c r="K1435" i="25"/>
  <c r="AB2088" i="17"/>
  <c r="K1486" i="25"/>
  <c r="AB2062" i="17"/>
  <c r="K1460" i="25"/>
  <c r="AC2066" i="17"/>
  <c r="M1464" i="25"/>
  <c r="AG2014" i="17"/>
  <c r="AK2014" i="17" s="1"/>
  <c r="Q1412" i="25"/>
  <c r="AB2020" i="17"/>
  <c r="K1418" i="25"/>
  <c r="AD2020" i="17"/>
  <c r="O1418" i="25"/>
  <c r="AB2025" i="17"/>
  <c r="K1423" i="25"/>
  <c r="U2066" i="17"/>
  <c r="U2026" i="17"/>
  <c r="U2037" i="17"/>
  <c r="AC2037" i="17"/>
  <c r="AD2026" i="17"/>
  <c r="U2062" i="17"/>
  <c r="U2088" i="17"/>
  <c r="U2061" i="17"/>
  <c r="U2029" i="17"/>
  <c r="U2055" i="17"/>
  <c r="U2020" i="17"/>
  <c r="U2081" i="17"/>
  <c r="U2040" i="17"/>
  <c r="AH2049" i="17"/>
  <c r="U2034" i="17"/>
  <c r="U2086" i="17"/>
  <c r="U2092" i="17"/>
  <c r="U2038" i="17"/>
  <c r="AK2049" i="17"/>
  <c r="AA2034" i="17"/>
  <c r="U2035" i="17"/>
  <c r="U2074" i="17"/>
  <c r="U2043" i="17"/>
  <c r="U2024" i="17"/>
  <c r="AI2090" i="17"/>
  <c r="U2006" i="17"/>
  <c r="U2051" i="17"/>
  <c r="U2025" i="17"/>
  <c r="U2059" i="17"/>
  <c r="U2079" i="17"/>
  <c r="AA2074" i="17"/>
  <c r="U2075" i="17"/>
  <c r="AB2075" i="17"/>
  <c r="U2052" i="17"/>
  <c r="AB2006" i="17"/>
  <c r="U2021" i="17"/>
  <c r="U2096" i="17"/>
  <c r="AG2096" i="17" s="1"/>
  <c r="AI2096" i="17" s="1"/>
  <c r="U2039" i="17"/>
  <c r="U2013" i="17"/>
  <c r="U2057" i="17"/>
  <c r="U2067" i="17"/>
  <c r="U2060" i="17"/>
  <c r="U2058" i="17"/>
  <c r="U2064" i="17"/>
  <c r="AC2064" i="17"/>
  <c r="AA2039" i="17"/>
  <c r="AJ2072" i="17"/>
  <c r="U2036" i="17"/>
  <c r="U2022" i="17"/>
  <c r="U2045" i="17"/>
  <c r="U2084" i="17"/>
  <c r="U2087" i="17"/>
  <c r="U2091" i="17"/>
  <c r="AA2013" i="17"/>
  <c r="U2004" i="17"/>
  <c r="U2050" i="17"/>
  <c r="AA2060" i="17"/>
  <c r="AH2082" i="17"/>
  <c r="U2063" i="17"/>
  <c r="U2018" i="17"/>
  <c r="U2071" i="17"/>
  <c r="U2009" i="17"/>
  <c r="U2012" i="17"/>
  <c r="U2053" i="17"/>
  <c r="AJ2030" i="17"/>
  <c r="U2042" i="17"/>
  <c r="U2046" i="17"/>
  <c r="AA2042" i="17"/>
  <c r="U2028" i="17"/>
  <c r="U2070" i="17"/>
  <c r="AJ2010" i="17"/>
  <c r="U2073" i="17"/>
  <c r="AI2072" i="17"/>
  <c r="U2083" i="17"/>
  <c r="AH2072" i="17"/>
  <c r="U2011" i="17"/>
  <c r="AA2011" i="17"/>
  <c r="U2056" i="17"/>
  <c r="AA2050" i="17"/>
  <c r="AA2087" i="17"/>
  <c r="U2077" i="17"/>
  <c r="U2068" i="17"/>
  <c r="AA2068" i="17"/>
  <c r="AA2091" i="17"/>
  <c r="U2089" i="17"/>
  <c r="AA2028" i="17"/>
  <c r="AA2063" i="17"/>
  <c r="U2093" i="17"/>
  <c r="AA2056" i="17"/>
  <c r="U2032" i="17"/>
  <c r="U2076" i="17"/>
  <c r="AA2076" i="17"/>
  <c r="AA2052" i="17"/>
  <c r="AA2084" i="17"/>
  <c r="U2048" i="17"/>
  <c r="AA2004" i="17"/>
  <c r="U2007" i="17"/>
  <c r="AA2007" i="17"/>
  <c r="AA2085" i="17"/>
  <c r="U2085" i="17"/>
  <c r="U2027" i="17"/>
  <c r="AA2027" i="17"/>
  <c r="U2095" i="17"/>
  <c r="AA2046" i="17"/>
  <c r="U2044" i="17"/>
  <c r="U2017" i="17"/>
  <c r="U2019" i="17"/>
  <c r="AA2019" i="17"/>
  <c r="U2080" i="17"/>
  <c r="U2023" i="17"/>
  <c r="AA2023" i="17"/>
  <c r="AA2093" i="17"/>
  <c r="U2005" i="17"/>
  <c r="U2015" i="17"/>
  <c r="AA2015" i="17"/>
  <c r="U2054" i="17"/>
  <c r="AA2054" i="17"/>
  <c r="U2094" i="17"/>
  <c r="AA2094" i="17"/>
  <c r="U2069" i="17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278" i="25"/>
  <c r="B78" i="33"/>
  <c r="B79" i="33"/>
  <c r="B42" i="33"/>
  <c r="D1946" i="17"/>
  <c r="E1946" i="17" s="1"/>
  <c r="N1946" i="17" s="1"/>
  <c r="F1343" i="25" s="1"/>
  <c r="F1946" i="17"/>
  <c r="G1946" i="17" s="1"/>
  <c r="C1343" i="25" s="1"/>
  <c r="I1946" i="17"/>
  <c r="E1343" i="25" s="1"/>
  <c r="J1946" i="17"/>
  <c r="K1946" i="17"/>
  <c r="D1947" i="17"/>
  <c r="AE1947" i="17" s="1"/>
  <c r="F1947" i="17"/>
  <c r="I1947" i="17"/>
  <c r="E1344" i="25" s="1"/>
  <c r="J1947" i="17"/>
  <c r="K1947" i="17"/>
  <c r="D1948" i="17"/>
  <c r="B1948" i="17" s="1"/>
  <c r="C1948" i="17" s="1"/>
  <c r="F1948" i="17"/>
  <c r="G1948" i="17" s="1"/>
  <c r="C1345" i="25" s="1"/>
  <c r="I1948" i="17"/>
  <c r="E1345" i="25" s="1"/>
  <c r="J1948" i="17"/>
  <c r="K1948" i="17"/>
  <c r="D1949" i="17"/>
  <c r="X1949" i="17" s="1"/>
  <c r="F1949" i="17"/>
  <c r="I1949" i="17"/>
  <c r="E1346" i="25" s="1"/>
  <c r="J1949" i="17"/>
  <c r="K1949" i="17"/>
  <c r="D1950" i="17"/>
  <c r="W1950" i="17" s="1"/>
  <c r="F1950" i="17"/>
  <c r="I1950" i="17"/>
  <c r="E1347" i="25" s="1"/>
  <c r="J1950" i="17"/>
  <c r="K1950" i="17"/>
  <c r="D1951" i="17"/>
  <c r="F1951" i="17"/>
  <c r="I1951" i="17"/>
  <c r="E1348" i="25" s="1"/>
  <c r="J1951" i="17"/>
  <c r="K1951" i="17"/>
  <c r="D1952" i="17"/>
  <c r="E1952" i="17" s="1"/>
  <c r="P1952" i="17" s="1"/>
  <c r="H1349" i="25" s="1"/>
  <c r="F1952" i="17"/>
  <c r="G1952" i="17" s="1"/>
  <c r="C1349" i="25" s="1"/>
  <c r="I1952" i="17"/>
  <c r="E1349" i="25" s="1"/>
  <c r="J1952" i="17"/>
  <c r="K1952" i="17"/>
  <c r="D1953" i="17"/>
  <c r="E1953" i="17" s="1"/>
  <c r="F1953" i="17"/>
  <c r="G1953" i="17" s="1"/>
  <c r="C1350" i="25" s="1"/>
  <c r="I1953" i="17"/>
  <c r="E1350" i="25" s="1"/>
  <c r="J1953" i="17"/>
  <c r="K1953" i="17"/>
  <c r="D1954" i="17"/>
  <c r="W1954" i="17" s="1"/>
  <c r="F1954" i="17"/>
  <c r="G1954" i="17" s="1"/>
  <c r="C1351" i="25" s="1"/>
  <c r="I1954" i="17"/>
  <c r="E1351" i="25" s="1"/>
  <c r="J1954" i="17"/>
  <c r="K1954" i="17"/>
  <c r="D1955" i="17"/>
  <c r="E1955" i="17" s="1"/>
  <c r="F1955" i="17"/>
  <c r="I1955" i="17"/>
  <c r="E1352" i="25" s="1"/>
  <c r="J1955" i="17"/>
  <c r="K1955" i="17"/>
  <c r="D1956" i="17"/>
  <c r="B1956" i="17" s="1"/>
  <c r="C1956" i="17" s="1"/>
  <c r="F1956" i="17"/>
  <c r="I1956" i="17"/>
  <c r="E1353" i="25" s="1"/>
  <c r="J1956" i="17"/>
  <c r="K1956" i="17"/>
  <c r="D1957" i="17"/>
  <c r="W1957" i="17" s="1"/>
  <c r="F1957" i="17"/>
  <c r="I1957" i="17"/>
  <c r="E1354" i="25" s="1"/>
  <c r="J1957" i="17"/>
  <c r="K1957" i="17"/>
  <c r="D1958" i="17"/>
  <c r="A1355" i="25" s="1"/>
  <c r="F1958" i="17"/>
  <c r="I1958" i="17"/>
  <c r="E1355" i="25" s="1"/>
  <c r="J1958" i="17"/>
  <c r="K1958" i="17"/>
  <c r="D1959" i="17"/>
  <c r="A1356" i="25" s="1"/>
  <c r="F1959" i="17"/>
  <c r="B1356" i="25" s="1"/>
  <c r="I1959" i="17"/>
  <c r="E1356" i="25" s="1"/>
  <c r="J1959" i="17"/>
  <c r="K1959" i="17"/>
  <c r="D1960" i="17"/>
  <c r="W1960" i="17" s="1"/>
  <c r="F1960" i="17"/>
  <c r="I1960" i="17"/>
  <c r="E1357" i="25" s="1"/>
  <c r="J1960" i="17"/>
  <c r="K1960" i="17"/>
  <c r="D1961" i="17"/>
  <c r="F1961" i="17"/>
  <c r="G1961" i="17" s="1"/>
  <c r="C1358" i="25" s="1"/>
  <c r="I1961" i="17"/>
  <c r="E1358" i="25" s="1"/>
  <c r="J1961" i="17"/>
  <c r="K1961" i="17"/>
  <c r="D1962" i="17"/>
  <c r="W1962" i="17" s="1"/>
  <c r="F1962" i="17"/>
  <c r="G1962" i="17" s="1"/>
  <c r="C1359" i="25" s="1"/>
  <c r="I1962" i="17"/>
  <c r="E1359" i="25" s="1"/>
  <c r="J1962" i="17"/>
  <c r="K1962" i="17"/>
  <c r="D1963" i="17"/>
  <c r="A1360" i="25" s="1"/>
  <c r="F1963" i="17"/>
  <c r="B1360" i="25" s="1"/>
  <c r="I1963" i="17"/>
  <c r="E1360" i="25" s="1"/>
  <c r="J1963" i="17"/>
  <c r="K1963" i="17"/>
  <c r="D1964" i="17"/>
  <c r="E1964" i="17" s="1"/>
  <c r="F1964" i="17"/>
  <c r="I1964" i="17"/>
  <c r="E1361" i="25" s="1"/>
  <c r="J1964" i="17"/>
  <c r="K1964" i="17"/>
  <c r="D1965" i="17"/>
  <c r="E1965" i="17" s="1"/>
  <c r="F1965" i="17"/>
  <c r="I1965" i="17"/>
  <c r="E1362" i="25" s="1"/>
  <c r="J1965" i="17"/>
  <c r="K1965" i="17"/>
  <c r="D1966" i="17"/>
  <c r="A1363" i="25" s="1"/>
  <c r="F1966" i="17"/>
  <c r="B1363" i="25" s="1"/>
  <c r="I1966" i="17"/>
  <c r="E1363" i="25" s="1"/>
  <c r="J1966" i="17"/>
  <c r="K1966" i="17"/>
  <c r="D1967" i="17"/>
  <c r="AF1967" i="17" s="1"/>
  <c r="F1967" i="17"/>
  <c r="I1967" i="17"/>
  <c r="E1364" i="25" s="1"/>
  <c r="J1967" i="17"/>
  <c r="K1967" i="17"/>
  <c r="D1968" i="17"/>
  <c r="E1968" i="17" s="1"/>
  <c r="Q1968" i="17" s="1"/>
  <c r="I1365" i="25" s="1"/>
  <c r="F1968" i="17"/>
  <c r="I1968" i="17"/>
  <c r="E1365" i="25" s="1"/>
  <c r="J1968" i="17"/>
  <c r="K1968" i="17"/>
  <c r="D1969" i="17"/>
  <c r="X1969" i="17" s="1"/>
  <c r="F1969" i="17"/>
  <c r="B1366" i="25" s="1"/>
  <c r="I1969" i="17"/>
  <c r="E1366" i="25" s="1"/>
  <c r="J1969" i="17"/>
  <c r="K1969" i="17"/>
  <c r="D1970" i="17"/>
  <c r="E1970" i="17" s="1"/>
  <c r="F1970" i="17"/>
  <c r="G1970" i="17" s="1"/>
  <c r="C1367" i="25" s="1"/>
  <c r="I1970" i="17"/>
  <c r="E1367" i="25" s="1"/>
  <c r="J1970" i="17"/>
  <c r="K1970" i="17"/>
  <c r="D1971" i="17"/>
  <c r="E1971" i="17" s="1"/>
  <c r="P1971" i="17" s="1"/>
  <c r="H1368" i="25" s="1"/>
  <c r="F1971" i="17"/>
  <c r="I1971" i="17"/>
  <c r="E1368" i="25" s="1"/>
  <c r="J1971" i="17"/>
  <c r="K1971" i="17"/>
  <c r="D1972" i="17"/>
  <c r="E1972" i="17" s="1"/>
  <c r="Q1972" i="17" s="1"/>
  <c r="I1369" i="25" s="1"/>
  <c r="F1972" i="17"/>
  <c r="I1972" i="17"/>
  <c r="E1369" i="25" s="1"/>
  <c r="J1972" i="17"/>
  <c r="K1972" i="17"/>
  <c r="D1973" i="17"/>
  <c r="Y1973" i="17" s="1"/>
  <c r="F1973" i="17"/>
  <c r="I1973" i="17"/>
  <c r="E1370" i="25" s="1"/>
  <c r="J1973" i="17"/>
  <c r="K1973" i="17"/>
  <c r="D1974" i="17"/>
  <c r="A1371" i="25" s="1"/>
  <c r="F1974" i="17"/>
  <c r="I1974" i="17"/>
  <c r="E1371" i="25" s="1"/>
  <c r="J1974" i="17"/>
  <c r="K1974" i="17"/>
  <c r="D1975" i="17"/>
  <c r="A1372" i="25" s="1"/>
  <c r="F1975" i="17"/>
  <c r="B1372" i="25" s="1"/>
  <c r="I1975" i="17"/>
  <c r="E1372" i="25" s="1"/>
  <c r="J1975" i="17"/>
  <c r="K1975" i="17"/>
  <c r="D1976" i="17"/>
  <c r="A1373" i="25" s="1"/>
  <c r="F1976" i="17"/>
  <c r="G1976" i="17" s="1"/>
  <c r="C1373" i="25" s="1"/>
  <c r="I1976" i="17"/>
  <c r="E1373" i="25" s="1"/>
  <c r="J1976" i="17"/>
  <c r="K1976" i="17"/>
  <c r="D1977" i="17"/>
  <c r="AE1977" i="17" s="1"/>
  <c r="F1977" i="17"/>
  <c r="I1977" i="17"/>
  <c r="E1374" i="25" s="1"/>
  <c r="J1977" i="17"/>
  <c r="K1977" i="17"/>
  <c r="D1978" i="17"/>
  <c r="E1978" i="17" s="1"/>
  <c r="F1978" i="17"/>
  <c r="I1978" i="17"/>
  <c r="E1375" i="25" s="1"/>
  <c r="J1978" i="17"/>
  <c r="K1978" i="17"/>
  <c r="D1979" i="17"/>
  <c r="F1979" i="17"/>
  <c r="I1979" i="17"/>
  <c r="E1376" i="25" s="1"/>
  <c r="J1979" i="17"/>
  <c r="K1979" i="17"/>
  <c r="D1980" i="17"/>
  <c r="X1980" i="17" s="1"/>
  <c r="F1980" i="17"/>
  <c r="I1980" i="17"/>
  <c r="E1377" i="25" s="1"/>
  <c r="J1980" i="17"/>
  <c r="K1980" i="17"/>
  <c r="D1981" i="17"/>
  <c r="X1981" i="17" s="1"/>
  <c r="F1981" i="17"/>
  <c r="I1981" i="17"/>
  <c r="E1378" i="25" s="1"/>
  <c r="J1981" i="17"/>
  <c r="K1981" i="17"/>
  <c r="D1982" i="17"/>
  <c r="E1982" i="17" s="1"/>
  <c r="S1982" i="17" s="1"/>
  <c r="M1379" i="25" s="1"/>
  <c r="F1982" i="17"/>
  <c r="G1982" i="17" s="1"/>
  <c r="C1379" i="25" s="1"/>
  <c r="I1982" i="17"/>
  <c r="E1379" i="25" s="1"/>
  <c r="J1982" i="17"/>
  <c r="K1982" i="17"/>
  <c r="D1983" i="17"/>
  <c r="A1380" i="25" s="1"/>
  <c r="F1983" i="17"/>
  <c r="B1380" i="25" s="1"/>
  <c r="I1983" i="17"/>
  <c r="E1380" i="25" s="1"/>
  <c r="J1983" i="17"/>
  <c r="K1983" i="17"/>
  <c r="D1984" i="17"/>
  <c r="A1381" i="25" s="1"/>
  <c r="F1984" i="17"/>
  <c r="I1984" i="17"/>
  <c r="E1381" i="25" s="1"/>
  <c r="J1984" i="17"/>
  <c r="K1984" i="17"/>
  <c r="D1985" i="17"/>
  <c r="X1985" i="17" s="1"/>
  <c r="F1985" i="17"/>
  <c r="I1985" i="17"/>
  <c r="E1382" i="25" s="1"/>
  <c r="J1985" i="17"/>
  <c r="K1985" i="17"/>
  <c r="D1986" i="17"/>
  <c r="A1383" i="25" s="1"/>
  <c r="F1986" i="17"/>
  <c r="I1986" i="17"/>
  <c r="E1383" i="25" s="1"/>
  <c r="J1986" i="17"/>
  <c r="K1986" i="17"/>
  <c r="D1987" i="17"/>
  <c r="AF1987" i="17" s="1"/>
  <c r="F1987" i="17"/>
  <c r="B1384" i="25" s="1"/>
  <c r="I1987" i="17"/>
  <c r="E1384" i="25" s="1"/>
  <c r="J1987" i="17"/>
  <c r="K1987" i="17"/>
  <c r="D1988" i="17"/>
  <c r="F1988" i="17"/>
  <c r="I1988" i="17"/>
  <c r="E1385" i="25" s="1"/>
  <c r="J1988" i="17"/>
  <c r="K1988" i="17"/>
  <c r="D1989" i="17"/>
  <c r="E1989" i="17" s="1"/>
  <c r="R1989" i="17" s="1"/>
  <c r="K1386" i="25" s="1"/>
  <c r="F1989" i="17"/>
  <c r="I1989" i="17"/>
  <c r="E1386" i="25" s="1"/>
  <c r="J1989" i="17"/>
  <c r="K1989" i="17"/>
  <c r="D1990" i="17"/>
  <c r="F1990" i="17"/>
  <c r="I1990" i="17"/>
  <c r="E1388" i="25" s="1"/>
  <c r="J1990" i="17"/>
  <c r="K1990" i="17"/>
  <c r="D1991" i="17"/>
  <c r="F1991" i="17"/>
  <c r="I1991" i="17"/>
  <c r="E1389" i="25" s="1"/>
  <c r="J1991" i="17"/>
  <c r="K1991" i="17"/>
  <c r="D1992" i="17"/>
  <c r="F1992" i="17"/>
  <c r="I1992" i="17"/>
  <c r="E1390" i="25" s="1"/>
  <c r="J1992" i="17"/>
  <c r="K1992" i="17"/>
  <c r="D1993" i="17"/>
  <c r="A1391" i="25" s="1"/>
  <c r="F1993" i="17"/>
  <c r="I1993" i="17"/>
  <c r="E1391" i="25" s="1"/>
  <c r="J1993" i="17"/>
  <c r="K1993" i="17"/>
  <c r="D1994" i="17"/>
  <c r="F1994" i="17"/>
  <c r="I1994" i="17"/>
  <c r="E1392" i="25" s="1"/>
  <c r="J1994" i="17"/>
  <c r="K1994" i="17"/>
  <c r="D1995" i="17"/>
  <c r="F1995" i="17"/>
  <c r="I1995" i="17"/>
  <c r="E1393" i="25" s="1"/>
  <c r="J1995" i="17"/>
  <c r="K1995" i="17"/>
  <c r="D1996" i="17"/>
  <c r="F1996" i="17"/>
  <c r="I1996" i="17"/>
  <c r="E1394" i="25" s="1"/>
  <c r="J1996" i="17"/>
  <c r="K1996" i="17"/>
  <c r="D1997" i="17"/>
  <c r="F1997" i="17"/>
  <c r="I1997" i="17"/>
  <c r="E1395" i="25" s="1"/>
  <c r="J1997" i="17"/>
  <c r="K1997" i="17"/>
  <c r="D1998" i="17"/>
  <c r="F1998" i="17"/>
  <c r="I1998" i="17"/>
  <c r="E1396" i="25" s="1"/>
  <c r="J1998" i="17"/>
  <c r="K1998" i="17"/>
  <c r="D1999" i="17"/>
  <c r="F1999" i="17"/>
  <c r="I1999" i="17"/>
  <c r="E1397" i="25" s="1"/>
  <c r="J1999" i="17"/>
  <c r="K1999" i="17"/>
  <c r="D2000" i="17"/>
  <c r="F2000" i="17"/>
  <c r="I2000" i="17"/>
  <c r="E1398" i="25" s="1"/>
  <c r="J2000" i="17"/>
  <c r="K2000" i="17"/>
  <c r="D2001" i="17"/>
  <c r="F2001" i="17"/>
  <c r="I2001" i="17"/>
  <c r="E1399" i="25" s="1"/>
  <c r="J2001" i="17"/>
  <c r="K2001" i="17"/>
  <c r="D2002" i="17"/>
  <c r="F2002" i="17"/>
  <c r="I2002" i="17"/>
  <c r="E1400" i="25" s="1"/>
  <c r="J2002" i="17"/>
  <c r="K2002" i="17"/>
  <c r="D2003" i="17"/>
  <c r="F2003" i="17"/>
  <c r="I2003" i="17"/>
  <c r="E1401" i="25" s="1"/>
  <c r="J2003" i="17"/>
  <c r="K2003" i="17"/>
  <c r="D1882" i="17"/>
  <c r="F1882" i="17"/>
  <c r="B1279" i="25" s="1"/>
  <c r="I1882" i="17"/>
  <c r="E1279" i="25" s="1"/>
  <c r="J1882" i="17"/>
  <c r="K1882" i="17"/>
  <c r="D1883" i="17"/>
  <c r="AE1883" i="17" s="1"/>
  <c r="F1883" i="17"/>
  <c r="I1883" i="17"/>
  <c r="E1280" i="25" s="1"/>
  <c r="J1883" i="17"/>
  <c r="K1883" i="17"/>
  <c r="D1884" i="17"/>
  <c r="F1884" i="17"/>
  <c r="B1281" i="25" s="1"/>
  <c r="I1884" i="17"/>
  <c r="E1281" i="25" s="1"/>
  <c r="J1884" i="17"/>
  <c r="K1884" i="17"/>
  <c r="D1885" i="17"/>
  <c r="E1885" i="17" s="1"/>
  <c r="F1885" i="17"/>
  <c r="I1885" i="17"/>
  <c r="E1282" i="25" s="1"/>
  <c r="J1885" i="17"/>
  <c r="K1885" i="17"/>
  <c r="D1886" i="17"/>
  <c r="A1283" i="25" s="1"/>
  <c r="F1886" i="17"/>
  <c r="B1283" i="25" s="1"/>
  <c r="I1886" i="17"/>
  <c r="E1283" i="25" s="1"/>
  <c r="J1886" i="17"/>
  <c r="K1886" i="17"/>
  <c r="D1887" i="17"/>
  <c r="F1887" i="17"/>
  <c r="I1887" i="17"/>
  <c r="E1284" i="25" s="1"/>
  <c r="J1887" i="17"/>
  <c r="K1887" i="17"/>
  <c r="D1888" i="17"/>
  <c r="A1285" i="25" s="1"/>
  <c r="F1888" i="17"/>
  <c r="B1285" i="25" s="1"/>
  <c r="I1888" i="17"/>
  <c r="E1285" i="25" s="1"/>
  <c r="J1888" i="17"/>
  <c r="K1888" i="17"/>
  <c r="D1889" i="17"/>
  <c r="A1286" i="25" s="1"/>
  <c r="F1889" i="17"/>
  <c r="B1286" i="25" s="1"/>
  <c r="I1889" i="17"/>
  <c r="E1286" i="25" s="1"/>
  <c r="J1889" i="17"/>
  <c r="K1889" i="17"/>
  <c r="D1890" i="17"/>
  <c r="A1287" i="25" s="1"/>
  <c r="F1890" i="17"/>
  <c r="B1287" i="25" s="1"/>
  <c r="I1890" i="17"/>
  <c r="E1287" i="25" s="1"/>
  <c r="J1890" i="17"/>
  <c r="K1890" i="17"/>
  <c r="D1891" i="17"/>
  <c r="A1288" i="25" s="1"/>
  <c r="F1891" i="17"/>
  <c r="B1288" i="25" s="1"/>
  <c r="I1891" i="17"/>
  <c r="E1288" i="25" s="1"/>
  <c r="J1891" i="17"/>
  <c r="K1891" i="17"/>
  <c r="D1892" i="17"/>
  <c r="E1892" i="17" s="1"/>
  <c r="S1892" i="17" s="1"/>
  <c r="M1289" i="25" s="1"/>
  <c r="F1892" i="17"/>
  <c r="B1289" i="25" s="1"/>
  <c r="I1892" i="17"/>
  <c r="E1289" i="25" s="1"/>
  <c r="J1892" i="17"/>
  <c r="K1892" i="17"/>
  <c r="D1893" i="17"/>
  <c r="E1893" i="17" s="1"/>
  <c r="F1893" i="17"/>
  <c r="I1893" i="17"/>
  <c r="E1290" i="25" s="1"/>
  <c r="J1893" i="17"/>
  <c r="K1893" i="17"/>
  <c r="D1894" i="17"/>
  <c r="E1894" i="17" s="1"/>
  <c r="S1894" i="17" s="1"/>
  <c r="M1291" i="25" s="1"/>
  <c r="F1894" i="17"/>
  <c r="B1291" i="25" s="1"/>
  <c r="I1894" i="17"/>
  <c r="E1291" i="25" s="1"/>
  <c r="J1894" i="17"/>
  <c r="K1894" i="17"/>
  <c r="D1895" i="17"/>
  <c r="A1292" i="25" s="1"/>
  <c r="F1895" i="17"/>
  <c r="I1895" i="17"/>
  <c r="E1292" i="25" s="1"/>
  <c r="J1895" i="17"/>
  <c r="K1895" i="17"/>
  <c r="D1896" i="17"/>
  <c r="F1896" i="17"/>
  <c r="G1896" i="17" s="1"/>
  <c r="C1293" i="25" s="1"/>
  <c r="I1896" i="17"/>
  <c r="E1293" i="25" s="1"/>
  <c r="J1896" i="17"/>
  <c r="K1896" i="17"/>
  <c r="D1897" i="17"/>
  <c r="F1897" i="17"/>
  <c r="B1294" i="25" s="1"/>
  <c r="I1897" i="17"/>
  <c r="E1294" i="25" s="1"/>
  <c r="J1897" i="17"/>
  <c r="K1897" i="17"/>
  <c r="D1898" i="17"/>
  <c r="A1295" i="25" s="1"/>
  <c r="F1898" i="17"/>
  <c r="I1898" i="17"/>
  <c r="E1295" i="25" s="1"/>
  <c r="J1898" i="17"/>
  <c r="K1898" i="17"/>
  <c r="D1899" i="17"/>
  <c r="F1899" i="17"/>
  <c r="I1899" i="17"/>
  <c r="E1296" i="25" s="1"/>
  <c r="J1899" i="17"/>
  <c r="K1899" i="17"/>
  <c r="D1900" i="17"/>
  <c r="AF1900" i="17" s="1"/>
  <c r="F1900" i="17"/>
  <c r="B1297" i="25" s="1"/>
  <c r="I1900" i="17"/>
  <c r="E1297" i="25" s="1"/>
  <c r="J1900" i="17"/>
  <c r="K1900" i="17"/>
  <c r="D1901" i="17"/>
  <c r="A1298" i="25" s="1"/>
  <c r="F1901" i="17"/>
  <c r="B1298" i="25" s="1"/>
  <c r="I1901" i="17"/>
  <c r="E1298" i="25" s="1"/>
  <c r="J1901" i="17"/>
  <c r="K1901" i="17"/>
  <c r="D1902" i="17"/>
  <c r="A1299" i="25" s="1"/>
  <c r="F1902" i="17"/>
  <c r="I1902" i="17"/>
  <c r="E1299" i="25" s="1"/>
  <c r="J1902" i="17"/>
  <c r="K1902" i="17"/>
  <c r="D1903" i="17"/>
  <c r="X1903" i="17" s="1"/>
  <c r="F1903" i="17"/>
  <c r="I1903" i="17"/>
  <c r="E1300" i="25" s="1"/>
  <c r="J1903" i="17"/>
  <c r="K1903" i="17"/>
  <c r="D1904" i="17"/>
  <c r="Y1904" i="17" s="1"/>
  <c r="F1904" i="17"/>
  <c r="I1904" i="17"/>
  <c r="E1301" i="25" s="1"/>
  <c r="J1904" i="17"/>
  <c r="K1904" i="17"/>
  <c r="D1905" i="17"/>
  <c r="E1905" i="17" s="1"/>
  <c r="N1905" i="17" s="1"/>
  <c r="F1302" i="25" s="1"/>
  <c r="F1905" i="17"/>
  <c r="I1905" i="17"/>
  <c r="E1302" i="25" s="1"/>
  <c r="J1905" i="17"/>
  <c r="K1905" i="17"/>
  <c r="D1906" i="17"/>
  <c r="F1906" i="17"/>
  <c r="B1303" i="25" s="1"/>
  <c r="I1906" i="17"/>
  <c r="E1303" i="25" s="1"/>
  <c r="J1906" i="17"/>
  <c r="K1906" i="17"/>
  <c r="D1907" i="17"/>
  <c r="A1304" i="25" s="1"/>
  <c r="F1907" i="17"/>
  <c r="B1304" i="25" s="1"/>
  <c r="I1907" i="17"/>
  <c r="E1304" i="25" s="1"/>
  <c r="J1907" i="17"/>
  <c r="K1907" i="17"/>
  <c r="D1908" i="17"/>
  <c r="AE1908" i="17" s="1"/>
  <c r="F1908" i="17"/>
  <c r="I1908" i="17"/>
  <c r="E1305" i="25" s="1"/>
  <c r="J1908" i="17"/>
  <c r="K1908" i="17"/>
  <c r="D1909" i="17"/>
  <c r="A1306" i="25" s="1"/>
  <c r="F1909" i="17"/>
  <c r="I1909" i="17"/>
  <c r="E1306" i="25" s="1"/>
  <c r="J1909" i="17"/>
  <c r="K1909" i="17"/>
  <c r="D1910" i="17"/>
  <c r="Y1910" i="17" s="1"/>
  <c r="F1910" i="17"/>
  <c r="B1307" i="25" s="1"/>
  <c r="I1910" i="17"/>
  <c r="E1307" i="25" s="1"/>
  <c r="J1910" i="17"/>
  <c r="K1910" i="17"/>
  <c r="D1911" i="17"/>
  <c r="A1308" i="25" s="1"/>
  <c r="F1911" i="17"/>
  <c r="B1308" i="25" s="1"/>
  <c r="I1911" i="17"/>
  <c r="E1308" i="25" s="1"/>
  <c r="J1911" i="17"/>
  <c r="K1911" i="17"/>
  <c r="D1912" i="17"/>
  <c r="A1309" i="25" s="1"/>
  <c r="F1912" i="17"/>
  <c r="B1309" i="25" s="1"/>
  <c r="I1912" i="17"/>
  <c r="E1309" i="25" s="1"/>
  <c r="J1912" i="17"/>
  <c r="K1912" i="17"/>
  <c r="D1913" i="17"/>
  <c r="E1913" i="17" s="1"/>
  <c r="P1913" i="17" s="1"/>
  <c r="H1310" i="25" s="1"/>
  <c r="F1913" i="17"/>
  <c r="B1310" i="25" s="1"/>
  <c r="I1913" i="17"/>
  <c r="E1310" i="25" s="1"/>
  <c r="J1913" i="17"/>
  <c r="K1913" i="17"/>
  <c r="D1914" i="17"/>
  <c r="E1914" i="17" s="1"/>
  <c r="F1914" i="17"/>
  <c r="B1311" i="25" s="1"/>
  <c r="I1914" i="17"/>
  <c r="E1311" i="25" s="1"/>
  <c r="J1914" i="17"/>
  <c r="K1914" i="17"/>
  <c r="D1915" i="17"/>
  <c r="F1915" i="17"/>
  <c r="I1915" i="17"/>
  <c r="E1312" i="25" s="1"/>
  <c r="J1915" i="17"/>
  <c r="K1915" i="17"/>
  <c r="D1916" i="17"/>
  <c r="A1313" i="25" s="1"/>
  <c r="F1916" i="17"/>
  <c r="I1916" i="17"/>
  <c r="E1313" i="25" s="1"/>
  <c r="J1916" i="17"/>
  <c r="K1916" i="17"/>
  <c r="D1917" i="17"/>
  <c r="AE1917" i="17" s="1"/>
  <c r="F1917" i="17"/>
  <c r="I1917" i="17"/>
  <c r="E1314" i="25" s="1"/>
  <c r="J1917" i="17"/>
  <c r="K1917" i="17"/>
  <c r="D1918" i="17"/>
  <c r="W1918" i="17" s="1"/>
  <c r="F1918" i="17"/>
  <c r="B1315" i="25" s="1"/>
  <c r="I1918" i="17"/>
  <c r="E1315" i="25" s="1"/>
  <c r="J1918" i="17"/>
  <c r="K1918" i="17"/>
  <c r="D1919" i="17"/>
  <c r="A1316" i="25" s="1"/>
  <c r="F1919" i="17"/>
  <c r="B1316" i="25" s="1"/>
  <c r="I1919" i="17"/>
  <c r="E1316" i="25" s="1"/>
  <c r="J1919" i="17"/>
  <c r="K1919" i="17"/>
  <c r="D1920" i="17"/>
  <c r="E1920" i="17" s="1"/>
  <c r="P1920" i="17" s="1"/>
  <c r="H1317" i="25" s="1"/>
  <c r="F1920" i="17"/>
  <c r="B1317" i="25" s="1"/>
  <c r="I1920" i="17"/>
  <c r="E1317" i="25" s="1"/>
  <c r="J1920" i="17"/>
  <c r="K1920" i="17"/>
  <c r="D1921" i="17"/>
  <c r="A1318" i="25" s="1"/>
  <c r="F1921" i="17"/>
  <c r="B1318" i="25" s="1"/>
  <c r="I1921" i="17"/>
  <c r="E1318" i="25" s="1"/>
  <c r="J1921" i="17"/>
  <c r="K1921" i="17"/>
  <c r="D1922" i="17"/>
  <c r="A1319" i="25" s="1"/>
  <c r="F1922" i="17"/>
  <c r="I1922" i="17"/>
  <c r="E1319" i="25" s="1"/>
  <c r="J1922" i="17"/>
  <c r="K1922" i="17"/>
  <c r="D1923" i="17"/>
  <c r="A1320" i="25" s="1"/>
  <c r="F1923" i="17"/>
  <c r="B1320" i="25" s="1"/>
  <c r="I1923" i="17"/>
  <c r="E1320" i="25" s="1"/>
  <c r="J1923" i="17"/>
  <c r="K1923" i="17"/>
  <c r="D1924" i="17"/>
  <c r="X1924" i="17" s="1"/>
  <c r="F1924" i="17"/>
  <c r="I1924" i="17"/>
  <c r="E1321" i="25" s="1"/>
  <c r="J1924" i="17"/>
  <c r="K1924" i="17"/>
  <c r="D1925" i="17"/>
  <c r="A1322" i="25" s="1"/>
  <c r="F1925" i="17"/>
  <c r="I1925" i="17"/>
  <c r="E1322" i="25" s="1"/>
  <c r="J1925" i="17"/>
  <c r="K1925" i="17"/>
  <c r="D1926" i="17"/>
  <c r="A1323" i="25" s="1"/>
  <c r="F1926" i="17"/>
  <c r="B1323" i="25" s="1"/>
  <c r="I1926" i="17"/>
  <c r="E1323" i="25" s="1"/>
  <c r="J1926" i="17"/>
  <c r="K1926" i="17"/>
  <c r="D1927" i="17"/>
  <c r="A1324" i="25" s="1"/>
  <c r="F1927" i="17"/>
  <c r="I1927" i="17"/>
  <c r="E1324" i="25" s="1"/>
  <c r="J1927" i="17"/>
  <c r="K1927" i="17"/>
  <c r="D1928" i="17"/>
  <c r="A1325" i="25" s="1"/>
  <c r="F1928" i="17"/>
  <c r="B1325" i="25" s="1"/>
  <c r="I1928" i="17"/>
  <c r="E1325" i="25" s="1"/>
  <c r="J1928" i="17"/>
  <c r="K1928" i="17"/>
  <c r="D1929" i="17"/>
  <c r="E1929" i="17" s="1"/>
  <c r="T1929" i="17" s="1"/>
  <c r="O1326" i="25" s="1"/>
  <c r="F1929" i="17"/>
  <c r="B1326" i="25" s="1"/>
  <c r="I1929" i="17"/>
  <c r="E1326" i="25" s="1"/>
  <c r="J1929" i="17"/>
  <c r="K1929" i="17"/>
  <c r="D1930" i="17"/>
  <c r="Z1930" i="17" s="1"/>
  <c r="F1930" i="17"/>
  <c r="B1327" i="25" s="1"/>
  <c r="I1930" i="17"/>
  <c r="E1327" i="25" s="1"/>
  <c r="J1930" i="17"/>
  <c r="K1930" i="17"/>
  <c r="D1931" i="17"/>
  <c r="F1931" i="17"/>
  <c r="I1931" i="17"/>
  <c r="E1328" i="25" s="1"/>
  <c r="J1931" i="17"/>
  <c r="K1931" i="17"/>
  <c r="D1932" i="17"/>
  <c r="F1932" i="17"/>
  <c r="I1932" i="17"/>
  <c r="E1329" i="25" s="1"/>
  <c r="J1932" i="17"/>
  <c r="K1932" i="17"/>
  <c r="D1933" i="17"/>
  <c r="X1933" i="17" s="1"/>
  <c r="F1933" i="17"/>
  <c r="B1330" i="25" s="1"/>
  <c r="I1933" i="17"/>
  <c r="E1330" i="25" s="1"/>
  <c r="J1933" i="17"/>
  <c r="K1933" i="17"/>
  <c r="D1934" i="17"/>
  <c r="X1934" i="17" s="1"/>
  <c r="F1934" i="17"/>
  <c r="B1331" i="25" s="1"/>
  <c r="I1934" i="17"/>
  <c r="E1331" i="25" s="1"/>
  <c r="J1934" i="17"/>
  <c r="K1934" i="17"/>
  <c r="D1935" i="17"/>
  <c r="Z1935" i="17" s="1"/>
  <c r="F1935" i="17"/>
  <c r="B1332" i="25" s="1"/>
  <c r="I1935" i="17"/>
  <c r="E1332" i="25" s="1"/>
  <c r="J1935" i="17"/>
  <c r="K1935" i="17"/>
  <c r="D1936" i="17"/>
  <c r="AF1936" i="17" s="1"/>
  <c r="F1936" i="17"/>
  <c r="B1333" i="25" s="1"/>
  <c r="I1936" i="17"/>
  <c r="E1333" i="25" s="1"/>
  <c r="J1936" i="17"/>
  <c r="K1936" i="17"/>
  <c r="D1937" i="17"/>
  <c r="A1334" i="25" s="1"/>
  <c r="F1937" i="17"/>
  <c r="I1937" i="17"/>
  <c r="E1334" i="25" s="1"/>
  <c r="J1937" i="17"/>
  <c r="K1937" i="17"/>
  <c r="D1938" i="17"/>
  <c r="E1938" i="17" s="1"/>
  <c r="T1938" i="17" s="1"/>
  <c r="O1335" i="25" s="1"/>
  <c r="F1938" i="17"/>
  <c r="B1335" i="25" s="1"/>
  <c r="I1938" i="17"/>
  <c r="E1335" i="25" s="1"/>
  <c r="J1938" i="17"/>
  <c r="K1938" i="17"/>
  <c r="D1939" i="17"/>
  <c r="Y1939" i="17" s="1"/>
  <c r="F1939" i="17"/>
  <c r="I1939" i="17"/>
  <c r="E1336" i="25" s="1"/>
  <c r="J1939" i="17"/>
  <c r="K1939" i="17"/>
  <c r="D1940" i="17"/>
  <c r="A1337" i="25" s="1"/>
  <c r="F1940" i="17"/>
  <c r="B1337" i="25" s="1"/>
  <c r="I1940" i="17"/>
  <c r="E1337" i="25" s="1"/>
  <c r="J1940" i="17"/>
  <c r="K1940" i="17"/>
  <c r="D1941" i="17"/>
  <c r="E1941" i="17" s="1"/>
  <c r="T1941" i="17" s="1"/>
  <c r="O1338" i="25" s="1"/>
  <c r="F1941" i="17"/>
  <c r="B1338" i="25" s="1"/>
  <c r="I1941" i="17"/>
  <c r="E1338" i="25" s="1"/>
  <c r="J1941" i="17"/>
  <c r="K1941" i="17"/>
  <c r="D1942" i="17"/>
  <c r="X1942" i="17" s="1"/>
  <c r="F1942" i="17"/>
  <c r="B1339" i="25" s="1"/>
  <c r="I1942" i="17"/>
  <c r="E1339" i="25" s="1"/>
  <c r="J1942" i="17"/>
  <c r="K1942" i="17"/>
  <c r="D1943" i="17"/>
  <c r="A1340" i="25" s="1"/>
  <c r="F1943" i="17"/>
  <c r="I1943" i="17"/>
  <c r="E1340" i="25" s="1"/>
  <c r="J1943" i="17"/>
  <c r="K1943" i="17"/>
  <c r="D1944" i="17"/>
  <c r="E1944" i="17" s="1"/>
  <c r="T1944" i="17" s="1"/>
  <c r="O1341" i="25" s="1"/>
  <c r="F1944" i="17"/>
  <c r="B1341" i="25" s="1"/>
  <c r="I1944" i="17"/>
  <c r="E1341" i="25" s="1"/>
  <c r="J1944" i="17"/>
  <c r="K1944" i="17"/>
  <c r="D1945" i="17"/>
  <c r="E1945" i="17" s="1"/>
  <c r="T1945" i="17" s="1"/>
  <c r="O1342" i="25" s="1"/>
  <c r="F1945" i="17"/>
  <c r="B1342" i="25" s="1"/>
  <c r="I1945" i="17"/>
  <c r="E1342" i="25" s="1"/>
  <c r="J1945" i="17"/>
  <c r="K1945" i="17"/>
  <c r="P118" i="33"/>
  <c r="P117" i="33"/>
  <c r="P112" i="33"/>
  <c r="P107" i="33"/>
  <c r="P105" i="33"/>
  <c r="P104" i="33"/>
  <c r="P100" i="33"/>
  <c r="P96" i="33"/>
  <c r="P95" i="33"/>
  <c r="P94" i="33"/>
  <c r="P93" i="33"/>
  <c r="P80" i="33"/>
  <c r="P79" i="33"/>
  <c r="I79" i="33"/>
  <c r="P78" i="33"/>
  <c r="P72" i="33"/>
  <c r="P68" i="33"/>
  <c r="P64" i="33"/>
  <c r="P63" i="33"/>
  <c r="P59" i="33"/>
  <c r="P58" i="33"/>
  <c r="P57" i="33"/>
  <c r="P56" i="33"/>
  <c r="P55" i="33"/>
  <c r="P53" i="33"/>
  <c r="P49" i="33"/>
  <c r="P46" i="33"/>
  <c r="P40" i="33"/>
  <c r="P32" i="33"/>
  <c r="P31" i="33"/>
  <c r="P30" i="33"/>
  <c r="P29" i="33"/>
  <c r="P25" i="33"/>
  <c r="P20" i="33"/>
  <c r="P19" i="33"/>
  <c r="P18" i="33"/>
  <c r="P16" i="33"/>
  <c r="P15" i="33"/>
  <c r="B118" i="33"/>
  <c r="B117" i="33"/>
  <c r="B112" i="33"/>
  <c r="B107" i="33"/>
  <c r="B105" i="33"/>
  <c r="B104" i="33"/>
  <c r="B100" i="33"/>
  <c r="B96" i="33"/>
  <c r="B95" i="33"/>
  <c r="B94" i="33"/>
  <c r="B93" i="33"/>
  <c r="B80" i="33"/>
  <c r="B77" i="33"/>
  <c r="B76" i="33"/>
  <c r="B75" i="33"/>
  <c r="B74" i="33"/>
  <c r="B73" i="33"/>
  <c r="B72" i="33"/>
  <c r="B68" i="33"/>
  <c r="B67" i="33"/>
  <c r="B64" i="33"/>
  <c r="B63" i="33"/>
  <c r="B59" i="33"/>
  <c r="B58" i="33"/>
  <c r="B57" i="33"/>
  <c r="B56" i="33"/>
  <c r="B55" i="33"/>
  <c r="B53" i="33"/>
  <c r="B51" i="33"/>
  <c r="B49" i="33"/>
  <c r="B46" i="33"/>
  <c r="B45" i="33"/>
  <c r="B41" i="33"/>
  <c r="B40" i="33"/>
  <c r="B38" i="33"/>
  <c r="B37" i="33"/>
  <c r="B36" i="33"/>
  <c r="B33" i="33"/>
  <c r="B32" i="33"/>
  <c r="B31" i="33"/>
  <c r="B30" i="33"/>
  <c r="B29" i="33"/>
  <c r="B28" i="33"/>
  <c r="B25" i="33"/>
  <c r="B19" i="33"/>
  <c r="B18" i="33"/>
  <c r="B17" i="33"/>
  <c r="B16" i="33"/>
  <c r="B15" i="33"/>
  <c r="B11" i="33"/>
  <c r="B8" i="33"/>
  <c r="B7" i="33"/>
  <c r="J1881" i="17"/>
  <c r="I1881" i="17"/>
  <c r="E1278" i="25" s="1"/>
  <c r="F1881" i="17"/>
  <c r="D1881" i="17"/>
  <c r="A1278" i="25" s="1"/>
  <c r="K1881" i="17"/>
  <c r="AK2030" i="17" l="1"/>
  <c r="AH2010" i="17"/>
  <c r="AI2030" i="17"/>
  <c r="AI2010" i="17"/>
  <c r="AI2041" i="17"/>
  <c r="AH2016" i="17"/>
  <c r="AK2065" i="17"/>
  <c r="AJ2008" i="17"/>
  <c r="AK2008" i="17"/>
  <c r="AI2008" i="17"/>
  <c r="AJ2090" i="17"/>
  <c r="AK2047" i="17"/>
  <c r="AJ2049" i="17"/>
  <c r="AH2033" i="17"/>
  <c r="AK2033" i="17"/>
  <c r="AJ2047" i="17"/>
  <c r="AH2078" i="17"/>
  <c r="AH2047" i="17"/>
  <c r="AJ2078" i="17"/>
  <c r="AK2031" i="17"/>
  <c r="AJ2033" i="17"/>
  <c r="AH2090" i="17"/>
  <c r="AH2031" i="17"/>
  <c r="AI2031" i="17"/>
  <c r="AJ2065" i="17"/>
  <c r="AK2078" i="17"/>
  <c r="AI2082" i="17"/>
  <c r="AJ2041" i="17"/>
  <c r="AK2082" i="17"/>
  <c r="AJ2016" i="17"/>
  <c r="AH2065" i="17"/>
  <c r="AI2016" i="17"/>
  <c r="AH2041" i="17"/>
  <c r="AI2014" i="17"/>
  <c r="AJ2014" i="17"/>
  <c r="AH2014" i="17"/>
  <c r="G2003" i="17"/>
  <c r="C1401" i="25" s="1"/>
  <c r="B1401" i="25"/>
  <c r="E2003" i="17"/>
  <c r="A1401" i="25"/>
  <c r="C1400" i="25"/>
  <c r="B1400" i="25"/>
  <c r="E2002" i="17"/>
  <c r="A1400" i="25"/>
  <c r="C1399" i="25"/>
  <c r="B1399" i="25"/>
  <c r="W2001" i="17"/>
  <c r="A1399" i="25"/>
  <c r="C1398" i="25"/>
  <c r="B1398" i="25"/>
  <c r="X2000" i="17"/>
  <c r="A1398" i="25"/>
  <c r="C1397" i="25"/>
  <c r="B1397" i="25"/>
  <c r="AE1999" i="17"/>
  <c r="A1397" i="25"/>
  <c r="C1396" i="25"/>
  <c r="B1396" i="25"/>
  <c r="Y1998" i="17"/>
  <c r="A1396" i="25"/>
  <c r="C1395" i="25"/>
  <c r="B1395" i="25"/>
  <c r="AF1997" i="17"/>
  <c r="A1395" i="25"/>
  <c r="C1394" i="25"/>
  <c r="B1394" i="25"/>
  <c r="A1394" i="25"/>
  <c r="C1393" i="25"/>
  <c r="B1393" i="25"/>
  <c r="A1393" i="25"/>
  <c r="C1392" i="25"/>
  <c r="B1392" i="25"/>
  <c r="E1994" i="17"/>
  <c r="A1392" i="25"/>
  <c r="G1993" i="17"/>
  <c r="C1391" i="25" s="1"/>
  <c r="B1391" i="25"/>
  <c r="G1992" i="17"/>
  <c r="C1390" i="25" s="1"/>
  <c r="B1390" i="25"/>
  <c r="A1390" i="25"/>
  <c r="AN1994" i="17" s="1"/>
  <c r="G1991" i="17"/>
  <c r="C1389" i="25" s="1"/>
  <c r="B1389" i="25"/>
  <c r="AE1991" i="17"/>
  <c r="A1389" i="25"/>
  <c r="C1388" i="25"/>
  <c r="B1388" i="25"/>
  <c r="E1990" i="17"/>
  <c r="T1990" i="17" s="1"/>
  <c r="O1388" i="25" s="1"/>
  <c r="A1388" i="25"/>
  <c r="AN1992" i="17" s="1"/>
  <c r="AG2069" i="17"/>
  <c r="AH2069" i="17" s="1"/>
  <c r="Q1467" i="25"/>
  <c r="AG2094" i="17"/>
  <c r="AK2094" i="17" s="1"/>
  <c r="Q1492" i="25"/>
  <c r="AG2054" i="17"/>
  <c r="AI2054" i="17" s="1"/>
  <c r="Q1452" i="25"/>
  <c r="AG2015" i="17"/>
  <c r="AJ2015" i="17" s="1"/>
  <c r="Q1413" i="25"/>
  <c r="AG2005" i="17"/>
  <c r="AH2005" i="17" s="1"/>
  <c r="Q1403" i="25"/>
  <c r="AG2023" i="17"/>
  <c r="AK2023" i="17" s="1"/>
  <c r="Q1421" i="25"/>
  <c r="AG2080" i="17"/>
  <c r="AH2080" i="17" s="1"/>
  <c r="Q1478" i="25"/>
  <c r="AG2019" i="17"/>
  <c r="AK2019" i="17" s="1"/>
  <c r="Q1417" i="25"/>
  <c r="AG2017" i="17"/>
  <c r="AJ2017" i="17" s="1"/>
  <c r="Q1415" i="25"/>
  <c r="AG2044" i="17"/>
  <c r="AI2044" i="17" s="1"/>
  <c r="Q1442" i="25"/>
  <c r="AG2095" i="17"/>
  <c r="AJ2095" i="17" s="1"/>
  <c r="Q1493" i="25"/>
  <c r="AG2027" i="17"/>
  <c r="AJ2027" i="17" s="1"/>
  <c r="Q1425" i="25"/>
  <c r="AG2085" i="17"/>
  <c r="AI2085" i="17" s="1"/>
  <c r="Q1483" i="25"/>
  <c r="AG2007" i="17"/>
  <c r="AJ2007" i="17" s="1"/>
  <c r="Q1405" i="25"/>
  <c r="AG2048" i="17"/>
  <c r="AH2048" i="17" s="1"/>
  <c r="Q1446" i="25"/>
  <c r="AG2076" i="17"/>
  <c r="AI2076" i="17" s="1"/>
  <c r="Q1474" i="25"/>
  <c r="AG2032" i="17"/>
  <c r="AK2032" i="17" s="1"/>
  <c r="Q1430" i="25"/>
  <c r="AG2093" i="17"/>
  <c r="AJ2093" i="17" s="1"/>
  <c r="Q1491" i="25"/>
  <c r="AG2089" i="17"/>
  <c r="AJ2089" i="17" s="1"/>
  <c r="Q1487" i="25"/>
  <c r="AG2068" i="17"/>
  <c r="AJ2068" i="17" s="1"/>
  <c r="Q1466" i="25"/>
  <c r="AG2077" i="17"/>
  <c r="AJ2077" i="17" s="1"/>
  <c r="Q1475" i="25"/>
  <c r="AG2056" i="17"/>
  <c r="AJ2056" i="17" s="1"/>
  <c r="Q1454" i="25"/>
  <c r="AG2011" i="17"/>
  <c r="AJ2011" i="17" s="1"/>
  <c r="Q1409" i="25"/>
  <c r="AG2083" i="17"/>
  <c r="AJ2083" i="17" s="1"/>
  <c r="Q1481" i="25"/>
  <c r="AG2073" i="17"/>
  <c r="AJ2073" i="17" s="1"/>
  <c r="Q1471" i="25"/>
  <c r="AG2070" i="17"/>
  <c r="AK2070" i="17" s="1"/>
  <c r="Q1468" i="25"/>
  <c r="AG2028" i="17"/>
  <c r="AK2028" i="17" s="1"/>
  <c r="Q1426" i="25"/>
  <c r="AG2046" i="17"/>
  <c r="AI2046" i="17" s="1"/>
  <c r="Q1444" i="25"/>
  <c r="AG2042" i="17"/>
  <c r="AI2042" i="17" s="1"/>
  <c r="Q1440" i="25"/>
  <c r="AG2053" i="17"/>
  <c r="AI2053" i="17" s="1"/>
  <c r="Q1451" i="25"/>
  <c r="AG2012" i="17"/>
  <c r="AI2012" i="17" s="1"/>
  <c r="Q1410" i="25"/>
  <c r="AG2009" i="17"/>
  <c r="AK2009" i="17" s="1"/>
  <c r="Q1407" i="25"/>
  <c r="AG2071" i="17"/>
  <c r="AH2071" i="17" s="1"/>
  <c r="Q1469" i="25"/>
  <c r="AG2018" i="17"/>
  <c r="AI2018" i="17" s="1"/>
  <c r="Q1416" i="25"/>
  <c r="AG2063" i="17"/>
  <c r="AI2063" i="17" s="1"/>
  <c r="Q1461" i="25"/>
  <c r="AG2050" i="17"/>
  <c r="AK2050" i="17" s="1"/>
  <c r="Q1448" i="25"/>
  <c r="AG2004" i="17"/>
  <c r="AJ2004" i="17" s="1"/>
  <c r="Q1402" i="25"/>
  <c r="AG2091" i="17"/>
  <c r="AJ2091" i="17" s="1"/>
  <c r="Q1489" i="25"/>
  <c r="AG2087" i="17"/>
  <c r="AJ2087" i="17" s="1"/>
  <c r="Q1485" i="25"/>
  <c r="AG2084" i="17"/>
  <c r="AI2084" i="17" s="1"/>
  <c r="Q1482" i="25"/>
  <c r="AG2045" i="17"/>
  <c r="AJ2045" i="17" s="1"/>
  <c r="Q1443" i="25"/>
  <c r="AG2022" i="17"/>
  <c r="AI2022" i="17" s="1"/>
  <c r="Q1420" i="25"/>
  <c r="AG2036" i="17"/>
  <c r="AH2036" i="17" s="1"/>
  <c r="Q1434" i="25"/>
  <c r="AG2064" i="17"/>
  <c r="AK2064" i="17" s="1"/>
  <c r="Q1462" i="25"/>
  <c r="AG2058" i="17"/>
  <c r="AH2058" i="17" s="1"/>
  <c r="Q1456" i="25"/>
  <c r="AG2060" i="17"/>
  <c r="AI2060" i="17" s="1"/>
  <c r="Q1458" i="25"/>
  <c r="AG2067" i="17"/>
  <c r="AI2067" i="17" s="1"/>
  <c r="Q1465" i="25"/>
  <c r="AG2057" i="17"/>
  <c r="AH2057" i="17" s="1"/>
  <c r="Q1455" i="25"/>
  <c r="AG2013" i="17"/>
  <c r="AJ2013" i="17" s="1"/>
  <c r="Q1411" i="25"/>
  <c r="AG2039" i="17"/>
  <c r="AK2039" i="17" s="1"/>
  <c r="Q1437" i="25"/>
  <c r="AG2021" i="17"/>
  <c r="AJ2021" i="17" s="1"/>
  <c r="Q1419" i="25"/>
  <c r="AG2052" i="17"/>
  <c r="AK2052" i="17" s="1"/>
  <c r="Q1450" i="25"/>
  <c r="AG2075" i="17"/>
  <c r="AH2075" i="17" s="1"/>
  <c r="Q1473" i="25"/>
  <c r="AG2079" i="17"/>
  <c r="AJ2079" i="17" s="1"/>
  <c r="Q1477" i="25"/>
  <c r="AG2059" i="17"/>
  <c r="AH2059" i="17" s="1"/>
  <c r="Q1457" i="25"/>
  <c r="AG2025" i="17"/>
  <c r="AI2025" i="17" s="1"/>
  <c r="Q1423" i="25"/>
  <c r="AG2051" i="17"/>
  <c r="AK2051" i="17" s="1"/>
  <c r="Q1449" i="25"/>
  <c r="AG2006" i="17"/>
  <c r="AK2006" i="17" s="1"/>
  <c r="Q1404" i="25"/>
  <c r="AG2024" i="17"/>
  <c r="AH2024" i="17" s="1"/>
  <c r="Q1422" i="25"/>
  <c r="AG2043" i="17"/>
  <c r="AI2043" i="17" s="1"/>
  <c r="Q1441" i="25"/>
  <c r="AG2074" i="17"/>
  <c r="AK2074" i="17" s="1"/>
  <c r="Q1472" i="25"/>
  <c r="AG2035" i="17"/>
  <c r="AH2035" i="17" s="1"/>
  <c r="Q1433" i="25"/>
  <c r="AG2038" i="17"/>
  <c r="AH2038" i="17" s="1"/>
  <c r="Q1436" i="25"/>
  <c r="AG2092" i="17"/>
  <c r="AK2092" i="17" s="1"/>
  <c r="Q1490" i="25"/>
  <c r="AG2086" i="17"/>
  <c r="AI2086" i="17" s="1"/>
  <c r="Q1484" i="25"/>
  <c r="AG2034" i="17"/>
  <c r="AK2034" i="17" s="1"/>
  <c r="Q1432" i="25"/>
  <c r="AG2040" i="17"/>
  <c r="AH2040" i="17" s="1"/>
  <c r="Q1438" i="25"/>
  <c r="AG2081" i="17"/>
  <c r="AJ2081" i="17" s="1"/>
  <c r="Q1479" i="25"/>
  <c r="AG2020" i="17"/>
  <c r="AK2020" i="17" s="1"/>
  <c r="Q1418" i="25"/>
  <c r="AG2055" i="17"/>
  <c r="AH2055" i="17" s="1"/>
  <c r="Q1453" i="25"/>
  <c r="AG2029" i="17"/>
  <c r="AH2029" i="17" s="1"/>
  <c r="Q1427" i="25"/>
  <c r="AG2061" i="17"/>
  <c r="AI2061" i="17" s="1"/>
  <c r="Q1459" i="25"/>
  <c r="AG2088" i="17"/>
  <c r="AK2088" i="17" s="1"/>
  <c r="Q1486" i="25"/>
  <c r="AG2062" i="17"/>
  <c r="AJ2062" i="17" s="1"/>
  <c r="Q1460" i="25"/>
  <c r="AG2037" i="17"/>
  <c r="AK2037" i="17" s="1"/>
  <c r="Q1435" i="25"/>
  <c r="AG2026" i="17"/>
  <c r="AI2026" i="17" s="1"/>
  <c r="Q1424" i="25"/>
  <c r="AG2066" i="17"/>
  <c r="AH2066" i="17" s="1"/>
  <c r="Q1464" i="25"/>
  <c r="AI2062" i="17"/>
  <c r="AI2029" i="17"/>
  <c r="AH2028" i="17"/>
  <c r="AI2038" i="17"/>
  <c r="AK2057" i="17"/>
  <c r="AJ2096" i="17"/>
  <c r="AK2096" i="17"/>
  <c r="AJ2063" i="17"/>
  <c r="AJ2059" i="17"/>
  <c r="AK2080" i="17"/>
  <c r="AH2096" i="17"/>
  <c r="AH2063" i="17"/>
  <c r="AJ2012" i="17"/>
  <c r="AI2048" i="17"/>
  <c r="AI2050" i="17"/>
  <c r="AI2028" i="17"/>
  <c r="AF1956" i="17"/>
  <c r="AJ2036" i="17"/>
  <c r="AK2036" i="17"/>
  <c r="AJ2054" i="17"/>
  <c r="AH2089" i="17"/>
  <c r="AI2089" i="17"/>
  <c r="Y1956" i="17"/>
  <c r="AH2054" i="17"/>
  <c r="AH2095" i="17"/>
  <c r="AK2046" i="17"/>
  <c r="AE1971" i="17"/>
  <c r="X1920" i="17"/>
  <c r="Y1971" i="17"/>
  <c r="X1968" i="17"/>
  <c r="E1903" i="17"/>
  <c r="S1903" i="17" s="1"/>
  <c r="M1300" i="25" s="1"/>
  <c r="AE2002" i="17"/>
  <c r="G1911" i="17"/>
  <c r="C1308" i="25" s="1"/>
  <c r="AE2003" i="17"/>
  <c r="AF1918" i="17"/>
  <c r="Y2003" i="17"/>
  <c r="AE1986" i="17"/>
  <c r="X1975" i="17"/>
  <c r="AE1907" i="17"/>
  <c r="AE1893" i="17"/>
  <c r="E1956" i="17"/>
  <c r="P1956" i="17" s="1"/>
  <c r="H1353" i="25" s="1"/>
  <c r="AE1956" i="17"/>
  <c r="E1937" i="17"/>
  <c r="O1937" i="17" s="1"/>
  <c r="G1334" i="25" s="1"/>
  <c r="E1934" i="17"/>
  <c r="O1934" i="17" s="1"/>
  <c r="G1331" i="25" s="1"/>
  <c r="Y1901" i="17"/>
  <c r="X1900" i="17"/>
  <c r="AE1891" i="17"/>
  <c r="W1990" i="17"/>
  <c r="W1975" i="17"/>
  <c r="AF1972" i="17"/>
  <c r="AE1900" i="17"/>
  <c r="G1944" i="17"/>
  <c r="C1341" i="25" s="1"/>
  <c r="G1941" i="17"/>
  <c r="C1338" i="25" s="1"/>
  <c r="AF1895" i="17"/>
  <c r="Z1991" i="17"/>
  <c r="E1904" i="17"/>
  <c r="S1904" i="17" s="1"/>
  <c r="M1301" i="25" s="1"/>
  <c r="AF1995" i="17"/>
  <c r="G1987" i="17"/>
  <c r="C1384" i="25" s="1"/>
  <c r="Z1900" i="17"/>
  <c r="G1891" i="17"/>
  <c r="C1288" i="25" s="1"/>
  <c r="W1995" i="17"/>
  <c r="AF1985" i="17"/>
  <c r="G1910" i="17"/>
  <c r="C1307" i="25" s="1"/>
  <c r="AE1995" i="17"/>
  <c r="AE1882" i="17"/>
  <c r="AE1942" i="17"/>
  <c r="AF1938" i="17"/>
  <c r="X1929" i="17"/>
  <c r="AF1928" i="17"/>
  <c r="W1920" i="17"/>
  <c r="Z1943" i="17"/>
  <c r="Z1942" i="17"/>
  <c r="W1929" i="17"/>
  <c r="AE1928" i="17"/>
  <c r="E1926" i="17"/>
  <c r="P1926" i="17" s="1"/>
  <c r="H1323" i="25" s="1"/>
  <c r="X1995" i="17"/>
  <c r="E1991" i="17"/>
  <c r="P1991" i="17" s="1"/>
  <c r="H1389" i="25" s="1"/>
  <c r="Y1989" i="17"/>
  <c r="AE1981" i="17"/>
  <c r="Y1978" i="17"/>
  <c r="Z1975" i="17"/>
  <c r="X1963" i="17"/>
  <c r="AF1960" i="17"/>
  <c r="AE1952" i="17"/>
  <c r="AE1960" i="17"/>
  <c r="Z1957" i="17"/>
  <c r="Y1943" i="17"/>
  <c r="Y1942" i="17"/>
  <c r="AF1925" i="17"/>
  <c r="Y1947" i="17"/>
  <c r="AF1992" i="17"/>
  <c r="Z1926" i="17"/>
  <c r="X1925" i="17"/>
  <c r="E1908" i="17"/>
  <c r="P1908" i="17" s="1"/>
  <c r="H1305" i="25" s="1"/>
  <c r="AN2001" i="17"/>
  <c r="Y1997" i="17"/>
  <c r="AE1992" i="17"/>
  <c r="X1991" i="17"/>
  <c r="AE1987" i="17"/>
  <c r="Y1986" i="17"/>
  <c r="X1972" i="17"/>
  <c r="X1971" i="17"/>
  <c r="AF1968" i="17"/>
  <c r="G1929" i="17"/>
  <c r="C1326" i="25" s="1"/>
  <c r="W1925" i="17"/>
  <c r="G1890" i="17"/>
  <c r="C1287" i="25" s="1"/>
  <c r="AF1885" i="17"/>
  <c r="Z2001" i="17"/>
  <c r="Z1992" i="17"/>
  <c r="W1986" i="17"/>
  <c r="Z1968" i="17"/>
  <c r="Y1902" i="17"/>
  <c r="Y1935" i="17"/>
  <c r="A1350" i="25"/>
  <c r="Z1916" i="17"/>
  <c r="AF1904" i="17"/>
  <c r="Z1939" i="17"/>
  <c r="AE1919" i="17"/>
  <c r="X1936" i="17"/>
  <c r="X1935" i="17"/>
  <c r="Y1926" i="17"/>
  <c r="G1945" i="17"/>
  <c r="C1342" i="25" s="1"/>
  <c r="E1942" i="17"/>
  <c r="P1942" i="17" s="1"/>
  <c r="H1339" i="25" s="1"/>
  <c r="W1936" i="17"/>
  <c r="E1933" i="17"/>
  <c r="T1933" i="17" s="1"/>
  <c r="O1330" i="25" s="1"/>
  <c r="AF1927" i="17"/>
  <c r="X1926" i="17"/>
  <c r="AE1925" i="17"/>
  <c r="Z1921" i="17"/>
  <c r="E1918" i="17"/>
  <c r="S1918" i="17" s="1"/>
  <c r="M1315" i="25" s="1"/>
  <c r="W1916" i="17"/>
  <c r="G1907" i="17"/>
  <c r="C1304" i="25" s="1"/>
  <c r="AE1905" i="17"/>
  <c r="Z1904" i="17"/>
  <c r="E1900" i="17"/>
  <c r="O1900" i="17" s="1"/>
  <c r="G1297" i="25" s="1"/>
  <c r="G1897" i="17"/>
  <c r="C1294" i="25" s="1"/>
  <c r="Z1999" i="17"/>
  <c r="AO1995" i="17"/>
  <c r="E1992" i="17"/>
  <c r="P1992" i="17" s="1"/>
  <c r="H1390" i="25" s="1"/>
  <c r="E1981" i="17"/>
  <c r="N1981" i="17" s="1"/>
  <c r="F1378" i="25" s="1"/>
  <c r="Z1972" i="17"/>
  <c r="AF1971" i="17"/>
  <c r="Y1960" i="17"/>
  <c r="Y1959" i="17"/>
  <c r="Z1958" i="17"/>
  <c r="Z1952" i="17"/>
  <c r="AE1948" i="17"/>
  <c r="AF1907" i="17"/>
  <c r="W1905" i="17"/>
  <c r="AE1894" i="17"/>
  <c r="AN2000" i="17"/>
  <c r="Y1972" i="17"/>
  <c r="Y1965" i="17"/>
  <c r="X1960" i="17"/>
  <c r="X1959" i="17"/>
  <c r="Y1953" i="17"/>
  <c r="X1952" i="17"/>
  <c r="W1948" i="17"/>
  <c r="A1353" i="25"/>
  <c r="Z1966" i="17"/>
  <c r="X1965" i="17"/>
  <c r="W1959" i="17"/>
  <c r="W1952" i="17"/>
  <c r="X1945" i="17"/>
  <c r="W1944" i="17"/>
  <c r="Z1907" i="17"/>
  <c r="AF1994" i="17"/>
  <c r="W1945" i="17"/>
  <c r="E1935" i="17"/>
  <c r="O1935" i="17" s="1"/>
  <c r="G1332" i="25" s="1"/>
  <c r="E1924" i="17"/>
  <c r="S1924" i="17" s="1"/>
  <c r="M1321" i="25" s="1"/>
  <c r="Y1907" i="17"/>
  <c r="G1886" i="17"/>
  <c r="C1283" i="25" s="1"/>
  <c r="AE1997" i="17"/>
  <c r="W1994" i="17"/>
  <c r="W1991" i="17"/>
  <c r="AF1990" i="17"/>
  <c r="AF1978" i="17"/>
  <c r="B1350" i="25"/>
  <c r="N1990" i="17"/>
  <c r="F1388" i="25" s="1"/>
  <c r="Y1919" i="17"/>
  <c r="AF1941" i="17"/>
  <c r="W1935" i="17"/>
  <c r="W1934" i="17"/>
  <c r="W1933" i="17"/>
  <c r="AF1929" i="17"/>
  <c r="W1926" i="17"/>
  <c r="W1922" i="17"/>
  <c r="X1958" i="17"/>
  <c r="W1919" i="17"/>
  <c r="AE1913" i="17"/>
  <c r="X1989" i="17"/>
  <c r="AB1989" i="17" s="1"/>
  <c r="Z1923" i="17"/>
  <c r="X1914" i="17"/>
  <c r="Y1909" i="17"/>
  <c r="X1907" i="17"/>
  <c r="W1904" i="17"/>
  <c r="W1903" i="17"/>
  <c r="AE1902" i="17"/>
  <c r="Y1992" i="17"/>
  <c r="W1958" i="17"/>
  <c r="AF1902" i="17"/>
  <c r="AC1894" i="17"/>
  <c r="X2003" i="17"/>
  <c r="X2001" i="17"/>
  <c r="AF1945" i="17"/>
  <c r="Z1941" i="17"/>
  <c r="AD1941" i="17" s="1"/>
  <c r="AE1929" i="17"/>
  <c r="W1989" i="17"/>
  <c r="Z1981" i="17"/>
  <c r="AE1945" i="17"/>
  <c r="AE1936" i="17"/>
  <c r="G1936" i="17"/>
  <c r="C1333" i="25" s="1"/>
  <c r="X1930" i="17"/>
  <c r="Z1929" i="17"/>
  <c r="AD1929" i="17" s="1"/>
  <c r="Y1925" i="17"/>
  <c r="X1923" i="17"/>
  <c r="G1920" i="17"/>
  <c r="C1317" i="25" s="1"/>
  <c r="W1914" i="17"/>
  <c r="W1907" i="17"/>
  <c r="Z1902" i="17"/>
  <c r="E1902" i="17"/>
  <c r="P1902" i="17" s="1"/>
  <c r="H1299" i="25" s="1"/>
  <c r="G1892" i="17"/>
  <c r="C1289" i="25" s="1"/>
  <c r="W1992" i="17"/>
  <c r="AE1983" i="17"/>
  <c r="Z1982" i="17"/>
  <c r="Y1981" i="17"/>
  <c r="X1956" i="17"/>
  <c r="Z1955" i="17"/>
  <c r="B1359" i="25"/>
  <c r="Z1945" i="17"/>
  <c r="AD1945" i="17" s="1"/>
  <c r="E1943" i="17"/>
  <c r="Q1943" i="17" s="1"/>
  <c r="I1340" i="25" s="1"/>
  <c r="G1940" i="17"/>
  <c r="C1337" i="25" s="1"/>
  <c r="E1939" i="17"/>
  <c r="Q1939" i="17" s="1"/>
  <c r="I1336" i="25" s="1"/>
  <c r="Z1936" i="17"/>
  <c r="G1928" i="17"/>
  <c r="C1325" i="25" s="1"/>
  <c r="AF1884" i="17"/>
  <c r="AO1992" i="17"/>
  <c r="Z1983" i="17"/>
  <c r="Z1964" i="17"/>
  <c r="G1959" i="17"/>
  <c r="C1356" i="25" s="1"/>
  <c r="W1956" i="17"/>
  <c r="Y1955" i="17"/>
  <c r="X1928" i="17"/>
  <c r="G1942" i="17"/>
  <c r="C1339" i="25" s="1"/>
  <c r="Y1936" i="17"/>
  <c r="E1936" i="17"/>
  <c r="S1936" i="17" s="1"/>
  <c r="M1333" i="25" s="1"/>
  <c r="G1935" i="17"/>
  <c r="C1332" i="25" s="1"/>
  <c r="G1934" i="17"/>
  <c r="C1331" i="25" s="1"/>
  <c r="AN1928" i="17"/>
  <c r="AE1926" i="17"/>
  <c r="G1926" i="17"/>
  <c r="C1323" i="25" s="1"/>
  <c r="G1918" i="17"/>
  <c r="C1315" i="25" s="1"/>
  <c r="G1913" i="17"/>
  <c r="C1310" i="25" s="1"/>
  <c r="X1902" i="17"/>
  <c r="AO1890" i="17"/>
  <c r="AE1884" i="17"/>
  <c r="AF1986" i="17"/>
  <c r="E1986" i="17"/>
  <c r="R1986" i="17" s="1"/>
  <c r="K1383" i="25" s="1"/>
  <c r="Y1983" i="17"/>
  <c r="G1975" i="17"/>
  <c r="C1372" i="25" s="1"/>
  <c r="X1973" i="17"/>
  <c r="AE1959" i="17"/>
  <c r="B1351" i="25"/>
  <c r="E1922" i="17"/>
  <c r="Q1922" i="17" s="1"/>
  <c r="I1319" i="25" s="1"/>
  <c r="E1919" i="17"/>
  <c r="N1919" i="17" s="1"/>
  <c r="F1316" i="25" s="1"/>
  <c r="E1884" i="17"/>
  <c r="R1884" i="17" s="1"/>
  <c r="AN2003" i="17"/>
  <c r="AO2001" i="17"/>
  <c r="E2001" i="17"/>
  <c r="P2001" i="17" s="1"/>
  <c r="H1399" i="25" s="1"/>
  <c r="AF1989" i="17"/>
  <c r="AE1989" i="17"/>
  <c r="AF1958" i="17"/>
  <c r="E1958" i="17"/>
  <c r="P1958" i="17" s="1"/>
  <c r="H1355" i="25" s="1"/>
  <c r="O1970" i="17"/>
  <c r="G1367" i="25" s="1"/>
  <c r="S1970" i="17"/>
  <c r="M1367" i="25" s="1"/>
  <c r="T1978" i="17"/>
  <c r="O1375" i="25" s="1"/>
  <c r="P1978" i="17"/>
  <c r="H1375" i="25" s="1"/>
  <c r="G1893" i="17"/>
  <c r="C1290" i="25" s="1"/>
  <c r="B1290" i="25"/>
  <c r="A1284" i="25"/>
  <c r="AO1889" i="17" s="1"/>
  <c r="AE1887" i="17"/>
  <c r="A1280" i="25"/>
  <c r="S2003" i="17"/>
  <c r="M1401" i="25" s="1"/>
  <c r="N2003" i="17"/>
  <c r="F1401" i="25" s="1"/>
  <c r="B1945" i="17"/>
  <c r="C1945" i="17" s="1"/>
  <c r="A1342" i="25"/>
  <c r="G1943" i="17"/>
  <c r="C1340" i="25" s="1"/>
  <c r="B1340" i="25"/>
  <c r="AE1941" i="17"/>
  <c r="E1940" i="17"/>
  <c r="P1940" i="17" s="1"/>
  <c r="H1337" i="25" s="1"/>
  <c r="AF1935" i="17"/>
  <c r="AF1934" i="17"/>
  <c r="Z1933" i="17"/>
  <c r="AE1930" i="17"/>
  <c r="G1930" i="17"/>
  <c r="C1327" i="25" s="1"/>
  <c r="Z1928" i="17"/>
  <c r="E1928" i="17"/>
  <c r="Q1928" i="17" s="1"/>
  <c r="I1325" i="25" s="1"/>
  <c r="G1924" i="17"/>
  <c r="C1321" i="25" s="1"/>
  <c r="B1321" i="25"/>
  <c r="G1923" i="17"/>
  <c r="C1320" i="25" s="1"/>
  <c r="X1921" i="17"/>
  <c r="A1317" i="25"/>
  <c r="AO1922" i="17" s="1"/>
  <c r="AE1918" i="17"/>
  <c r="A1315" i="25"/>
  <c r="E1916" i="17"/>
  <c r="O1916" i="17" s="1"/>
  <c r="G1313" i="25" s="1"/>
  <c r="G1914" i="17"/>
  <c r="C1311" i="25" s="1"/>
  <c r="AF1912" i="17"/>
  <c r="W1909" i="17"/>
  <c r="A1302" i="25"/>
  <c r="X1901" i="17"/>
  <c r="E1901" i="17"/>
  <c r="Q1901" i="17" s="1"/>
  <c r="G1889" i="17"/>
  <c r="C1286" i="25" s="1"/>
  <c r="G1888" i="17"/>
  <c r="C1285" i="25" s="1"/>
  <c r="AF1886" i="17"/>
  <c r="G1882" i="17"/>
  <c r="C1279" i="25" s="1"/>
  <c r="B2003" i="17"/>
  <c r="C2003" i="17" s="1"/>
  <c r="Z2003" i="17"/>
  <c r="AM2003" i="17"/>
  <c r="Z2000" i="17"/>
  <c r="AO1999" i="17"/>
  <c r="AN1997" i="17"/>
  <c r="E1997" i="17"/>
  <c r="N1997" i="17" s="1"/>
  <c r="F1395" i="25" s="1"/>
  <c r="Z1997" i="17"/>
  <c r="B1386" i="25"/>
  <c r="C1386" i="25"/>
  <c r="G1986" i="17"/>
  <c r="C1383" i="25" s="1"/>
  <c r="B1383" i="25"/>
  <c r="G1964" i="17"/>
  <c r="C1361" i="25" s="1"/>
  <c r="B1361" i="25"/>
  <c r="B1941" i="17"/>
  <c r="C1941" i="17" s="1"/>
  <c r="A1338" i="25"/>
  <c r="AE1935" i="17"/>
  <c r="AE1934" i="17"/>
  <c r="Y1933" i="17"/>
  <c r="G1931" i="17"/>
  <c r="C1328" i="25" s="1"/>
  <c r="B1328" i="25"/>
  <c r="G1927" i="17"/>
  <c r="C1324" i="25" s="1"/>
  <c r="B1324" i="25"/>
  <c r="G1925" i="17"/>
  <c r="C1322" i="25" s="1"/>
  <c r="B1322" i="25"/>
  <c r="AE1912" i="17"/>
  <c r="G1902" i="17"/>
  <c r="C1299" i="25" s="1"/>
  <c r="B1299" i="25"/>
  <c r="B1292" i="25"/>
  <c r="G1895" i="17"/>
  <c r="C1292" i="25" s="1"/>
  <c r="B1893" i="17"/>
  <c r="C1893" i="17" s="1"/>
  <c r="A1290" i="25"/>
  <c r="AF1893" i="17"/>
  <c r="G1885" i="17"/>
  <c r="C1282" i="25" s="1"/>
  <c r="B1282" i="25"/>
  <c r="G1932" i="17"/>
  <c r="C1329" i="25" s="1"/>
  <c r="B1329" i="25"/>
  <c r="Z1931" i="17"/>
  <c r="A1328" i="25"/>
  <c r="B1930" i="17"/>
  <c r="C1930" i="17" s="1"/>
  <c r="A1327" i="25"/>
  <c r="AN2002" i="17"/>
  <c r="Y2000" i="17"/>
  <c r="AN1999" i="17"/>
  <c r="G1984" i="17"/>
  <c r="C1381" i="25" s="1"/>
  <c r="B1381" i="25"/>
  <c r="G1979" i="17"/>
  <c r="C1376" i="25" s="1"/>
  <c r="B1376" i="25"/>
  <c r="B1970" i="17"/>
  <c r="C1970" i="17" s="1"/>
  <c r="A1367" i="25"/>
  <c r="Z1970" i="17"/>
  <c r="AE1970" i="17"/>
  <c r="AF1970" i="17"/>
  <c r="W1970" i="17"/>
  <c r="G1881" i="17"/>
  <c r="C1278" i="25" s="1"/>
  <c r="B1278" i="25"/>
  <c r="A1341" i="25"/>
  <c r="W1941" i="17"/>
  <c r="AF1940" i="17"/>
  <c r="G1939" i="17"/>
  <c r="C1336" i="25" s="1"/>
  <c r="B1336" i="25"/>
  <c r="G1938" i="17"/>
  <c r="C1335" i="25" s="1"/>
  <c r="G1933" i="17"/>
  <c r="C1330" i="25" s="1"/>
  <c r="E1931" i="17"/>
  <c r="O1931" i="17" s="1"/>
  <c r="G1328" i="25" s="1"/>
  <c r="Y1930" i="17"/>
  <c r="E1930" i="17"/>
  <c r="O1930" i="17" s="1"/>
  <c r="G1327" i="25" s="1"/>
  <c r="B1929" i="17"/>
  <c r="C1929" i="17" s="1"/>
  <c r="A1326" i="25"/>
  <c r="AL1929" i="17" s="1"/>
  <c r="W1928" i="17"/>
  <c r="AO1927" i="17"/>
  <c r="E1927" i="17"/>
  <c r="R1927" i="17" s="1"/>
  <c r="K1324" i="25" s="1"/>
  <c r="A1321" i="25"/>
  <c r="AL1925" i="17" s="1"/>
  <c r="G1922" i="17"/>
  <c r="C1319" i="25" s="1"/>
  <c r="B1319" i="25"/>
  <c r="AF1919" i="17"/>
  <c r="Y1916" i="17"/>
  <c r="Y1914" i="17"/>
  <c r="Z1912" i="17"/>
  <c r="G1912" i="17"/>
  <c r="C1309" i="25" s="1"/>
  <c r="T1905" i="17"/>
  <c r="O1302" i="25" s="1"/>
  <c r="B1296" i="25"/>
  <c r="G1899" i="17"/>
  <c r="C1296" i="25" s="1"/>
  <c r="E1898" i="17"/>
  <c r="N1898" i="17" s="1"/>
  <c r="F1295" i="25" s="1"/>
  <c r="A1294" i="25"/>
  <c r="E1896" i="17"/>
  <c r="R1896" i="17" s="1"/>
  <c r="A1293" i="25"/>
  <c r="E1895" i="17"/>
  <c r="Q1895" i="17" s="1"/>
  <c r="I1292" i="25" s="1"/>
  <c r="E1888" i="17"/>
  <c r="T1888" i="17" s="1"/>
  <c r="O1285" i="25" s="1"/>
  <c r="AE1885" i="17"/>
  <c r="G1884" i="17"/>
  <c r="C1281" i="25" s="1"/>
  <c r="A1279" i="25"/>
  <c r="AL1882" i="17" s="1"/>
  <c r="E1882" i="17"/>
  <c r="Q1882" i="17" s="1"/>
  <c r="I1279" i="25" s="1"/>
  <c r="AF1882" i="17"/>
  <c r="W2003" i="17"/>
  <c r="AM2002" i="17"/>
  <c r="AF1999" i="17"/>
  <c r="X1997" i="17"/>
  <c r="A1386" i="25"/>
  <c r="AN1991" i="17" s="1"/>
  <c r="Z1989" i="17"/>
  <c r="AF1979" i="17"/>
  <c r="W1979" i="17"/>
  <c r="A1376" i="25"/>
  <c r="AE1979" i="17"/>
  <c r="Y1970" i="17"/>
  <c r="Z1961" i="17"/>
  <c r="A1358" i="25"/>
  <c r="Y1961" i="17"/>
  <c r="A1311" i="25"/>
  <c r="X1912" i="17"/>
  <c r="E1911" i="17"/>
  <c r="S1911" i="17" s="1"/>
  <c r="M1308" i="25" s="1"/>
  <c r="A1307" i="25"/>
  <c r="AO1912" i="17" s="1"/>
  <c r="G1906" i="17"/>
  <c r="C1303" i="25" s="1"/>
  <c r="G1900" i="17"/>
  <c r="C1297" i="25" s="1"/>
  <c r="A1296" i="25"/>
  <c r="G1894" i="17"/>
  <c r="C1291" i="25" s="1"/>
  <c r="B1885" i="17"/>
  <c r="C1885" i="17" s="1"/>
  <c r="A1282" i="25"/>
  <c r="AO2003" i="17"/>
  <c r="AL2002" i="17"/>
  <c r="W1997" i="17"/>
  <c r="X1993" i="17"/>
  <c r="Y1993" i="17"/>
  <c r="B1382" i="25"/>
  <c r="G1985" i="17"/>
  <c r="C1382" i="25" s="1"/>
  <c r="B1982" i="17"/>
  <c r="C1982" i="17" s="1"/>
  <c r="A1379" i="25"/>
  <c r="AO1984" i="17" s="1"/>
  <c r="AE1982" i="17"/>
  <c r="AF1982" i="17"/>
  <c r="W1982" i="17"/>
  <c r="X1982" i="17"/>
  <c r="B1978" i="17"/>
  <c r="C1978" i="17" s="1"/>
  <c r="A1375" i="25"/>
  <c r="Z1978" i="17"/>
  <c r="AE1978" i="17"/>
  <c r="W1978" i="17"/>
  <c r="B1977" i="17"/>
  <c r="C1977" i="17" s="1"/>
  <c r="A1374" i="25"/>
  <c r="AN1977" i="17" s="1"/>
  <c r="E1977" i="17"/>
  <c r="T1977" i="17" s="1"/>
  <c r="Y1977" i="17"/>
  <c r="Z1977" i="17"/>
  <c r="AF1977" i="17"/>
  <c r="G1973" i="17"/>
  <c r="C1370" i="25" s="1"/>
  <c r="B1370" i="25"/>
  <c r="X1970" i="17"/>
  <c r="G1921" i="17"/>
  <c r="C1318" i="25" s="1"/>
  <c r="Z1919" i="17"/>
  <c r="G1919" i="17"/>
  <c r="C1316" i="25" s="1"/>
  <c r="Z1913" i="17"/>
  <c r="A1310" i="25"/>
  <c r="AM1913" i="17" s="1"/>
  <c r="W1912" i="17"/>
  <c r="E1912" i="17"/>
  <c r="N1912" i="17" s="1"/>
  <c r="F1309" i="25" s="1"/>
  <c r="AE1909" i="17"/>
  <c r="G1909" i="17"/>
  <c r="C1306" i="25" s="1"/>
  <c r="B1306" i="25"/>
  <c r="B1301" i="25"/>
  <c r="G1904" i="17"/>
  <c r="C1301" i="25" s="1"/>
  <c r="G1903" i="17"/>
  <c r="C1300" i="25" s="1"/>
  <c r="B1300" i="25"/>
  <c r="A1289" i="25"/>
  <c r="AL1892" i="17" s="1"/>
  <c r="AF2002" i="17"/>
  <c r="W2002" i="17"/>
  <c r="AO2002" i="17"/>
  <c r="AL1999" i="17"/>
  <c r="E1999" i="17"/>
  <c r="N1999" i="17" s="1"/>
  <c r="F1397" i="25" s="1"/>
  <c r="Y1999" i="17"/>
  <c r="AF1998" i="17"/>
  <c r="Z1998" i="17"/>
  <c r="A1382" i="25"/>
  <c r="AO1986" i="17" s="1"/>
  <c r="W1985" i="17"/>
  <c r="AE1985" i="17"/>
  <c r="A1377" i="25"/>
  <c r="E1980" i="17"/>
  <c r="O1980" i="17" s="1"/>
  <c r="G1377" i="25" s="1"/>
  <c r="Z1980" i="17"/>
  <c r="W1980" i="17"/>
  <c r="G1972" i="17"/>
  <c r="C1369" i="25" s="1"/>
  <c r="B1369" i="25"/>
  <c r="Z1909" i="17"/>
  <c r="E1909" i="17"/>
  <c r="N1909" i="17" s="1"/>
  <c r="F1306" i="25" s="1"/>
  <c r="G1908" i="17"/>
  <c r="C1305" i="25" s="1"/>
  <c r="B1305" i="25"/>
  <c r="A1303" i="25"/>
  <c r="AF1906" i="17"/>
  <c r="AE1901" i="17"/>
  <c r="AF1887" i="17"/>
  <c r="G1883" i="17"/>
  <c r="C1280" i="25" s="1"/>
  <c r="B1280" i="25"/>
  <c r="AL2003" i="17"/>
  <c r="Z2002" i="17"/>
  <c r="X1999" i="17"/>
  <c r="AO1998" i="17"/>
  <c r="AO1997" i="17"/>
  <c r="B1991" i="17"/>
  <c r="C1991" i="17" s="1"/>
  <c r="AF1991" i="17"/>
  <c r="Y1991" i="17"/>
  <c r="Z1985" i="17"/>
  <c r="Y1982" i="17"/>
  <c r="AC1982" i="17" s="1"/>
  <c r="X1978" i="17"/>
  <c r="X1977" i="17"/>
  <c r="B1967" i="17"/>
  <c r="C1967" i="17" s="1"/>
  <c r="A1364" i="25"/>
  <c r="E1967" i="17"/>
  <c r="R1967" i="17" s="1"/>
  <c r="K1364" i="25" s="1"/>
  <c r="AE1967" i="17"/>
  <c r="W1967" i="17"/>
  <c r="Y1967" i="17"/>
  <c r="Z1967" i="17"/>
  <c r="A1359" i="25"/>
  <c r="Z1962" i="17"/>
  <c r="E1962" i="17"/>
  <c r="N1962" i="17" s="1"/>
  <c r="F1359" i="25" s="1"/>
  <c r="Y1962" i="17"/>
  <c r="AF1962" i="17"/>
  <c r="B1302" i="25"/>
  <c r="G1905" i="17"/>
  <c r="C1302" i="25" s="1"/>
  <c r="A1301" i="25"/>
  <c r="AE1904" i="17"/>
  <c r="AE1903" i="17"/>
  <c r="A1300" i="25"/>
  <c r="AL1903" i="17" s="1"/>
  <c r="Z1901" i="17"/>
  <c r="G1901" i="17"/>
  <c r="C1298" i="25" s="1"/>
  <c r="A1297" i="25"/>
  <c r="AO1902" i="17" s="1"/>
  <c r="A1291" i="25"/>
  <c r="E1887" i="17"/>
  <c r="P1887" i="17" s="1"/>
  <c r="H1284" i="25" s="1"/>
  <c r="E1886" i="17"/>
  <c r="N1886" i="17" s="1"/>
  <c r="F1283" i="25" s="1"/>
  <c r="AF1883" i="17"/>
  <c r="E1883" i="17"/>
  <c r="P1883" i="17" s="1"/>
  <c r="H1280" i="25" s="1"/>
  <c r="AF2003" i="17"/>
  <c r="X2002" i="17"/>
  <c r="W1999" i="17"/>
  <c r="AN1998" i="17"/>
  <c r="AM1997" i="17"/>
  <c r="Z1993" i="17"/>
  <c r="Y1985" i="17"/>
  <c r="Y1980" i="17"/>
  <c r="W1977" i="17"/>
  <c r="B1365" i="25"/>
  <c r="G1968" i="17"/>
  <c r="C1365" i="25" s="1"/>
  <c r="B1354" i="25"/>
  <c r="G1957" i="17"/>
  <c r="C1354" i="25" s="1"/>
  <c r="G1937" i="17"/>
  <c r="C1334" i="25" s="1"/>
  <c r="B1334" i="25"/>
  <c r="B1939" i="17"/>
  <c r="C1939" i="17" s="1"/>
  <c r="A1336" i="25"/>
  <c r="B1934" i="17"/>
  <c r="C1934" i="17" s="1"/>
  <c r="A1331" i="25"/>
  <c r="E1932" i="17"/>
  <c r="Q1932" i="17" s="1"/>
  <c r="I1329" i="25" s="1"/>
  <c r="A1329" i="25"/>
  <c r="W1930" i="17"/>
  <c r="AM1928" i="17"/>
  <c r="X1927" i="17"/>
  <c r="AE1938" i="17"/>
  <c r="A1335" i="25"/>
  <c r="B1933" i="17"/>
  <c r="C1933" i="17" s="1"/>
  <c r="A1330" i="25"/>
  <c r="Y1931" i="17"/>
  <c r="AL1928" i="17"/>
  <c r="W1927" i="17"/>
  <c r="G1917" i="17"/>
  <c r="C1314" i="25" s="1"/>
  <c r="B1314" i="25"/>
  <c r="B1942" i="17"/>
  <c r="C1942" i="17" s="1"/>
  <c r="A1339" i="25"/>
  <c r="X1939" i="17"/>
  <c r="S1938" i="17"/>
  <c r="M1335" i="25" s="1"/>
  <c r="B1935" i="17"/>
  <c r="C1935" i="17" s="1"/>
  <c r="A1332" i="25"/>
  <c r="AF1933" i="17"/>
  <c r="E1917" i="17"/>
  <c r="N1917" i="17" s="1"/>
  <c r="F1314" i="25" s="1"/>
  <c r="A1314" i="25"/>
  <c r="G1915" i="17"/>
  <c r="C1312" i="25" s="1"/>
  <c r="B1312" i="25"/>
  <c r="W1942" i="17"/>
  <c r="Z1937" i="17"/>
  <c r="B1936" i="17"/>
  <c r="C1936" i="17" s="1"/>
  <c r="A1333" i="25"/>
  <c r="AE1933" i="17"/>
  <c r="Y1932" i="17"/>
  <c r="Y1921" i="17"/>
  <c r="G1916" i="17"/>
  <c r="C1313" i="25" s="1"/>
  <c r="B1313" i="25"/>
  <c r="E1915" i="17"/>
  <c r="Q1915" i="17" s="1"/>
  <c r="A1312" i="25"/>
  <c r="X1909" i="17"/>
  <c r="Z1908" i="17"/>
  <c r="A1305" i="25"/>
  <c r="W1988" i="17"/>
  <c r="A1385" i="25"/>
  <c r="Z1969" i="17"/>
  <c r="A1366" i="25"/>
  <c r="W1969" i="17"/>
  <c r="E1969" i="17"/>
  <c r="P1969" i="17" s="1"/>
  <c r="H1366" i="25" s="1"/>
  <c r="AE1969" i="17"/>
  <c r="AF1969" i="17"/>
  <c r="G1960" i="17"/>
  <c r="C1357" i="25" s="1"/>
  <c r="B1357" i="25"/>
  <c r="G1956" i="17"/>
  <c r="C1353" i="25" s="1"/>
  <c r="B1353" i="25"/>
  <c r="B1951" i="17"/>
  <c r="C1951" i="17" s="1"/>
  <c r="A1348" i="25"/>
  <c r="W1951" i="17"/>
  <c r="X1951" i="17"/>
  <c r="A1384" i="25"/>
  <c r="B1358" i="25"/>
  <c r="B1293" i="25"/>
  <c r="G1898" i="17"/>
  <c r="C1295" i="25" s="1"/>
  <c r="B1295" i="25"/>
  <c r="G1887" i="17"/>
  <c r="C1284" i="25" s="1"/>
  <c r="B1284" i="25"/>
  <c r="G1988" i="17"/>
  <c r="C1385" i="25" s="1"/>
  <c r="B1385" i="25"/>
  <c r="G1983" i="17"/>
  <c r="C1380" i="25" s="1"/>
  <c r="G1981" i="17"/>
  <c r="C1378" i="25" s="1"/>
  <c r="B1378" i="25"/>
  <c r="A1368" i="25"/>
  <c r="G1969" i="17"/>
  <c r="C1366" i="25" s="1"/>
  <c r="Y1968" i="17"/>
  <c r="G1966" i="17"/>
  <c r="C1363" i="25" s="1"/>
  <c r="W1965" i="17"/>
  <c r="W1963" i="17"/>
  <c r="B1960" i="17"/>
  <c r="C1960" i="17" s="1"/>
  <c r="A1357" i="25"/>
  <c r="E1960" i="17"/>
  <c r="P1960" i="17" s="1"/>
  <c r="H1357" i="25" s="1"/>
  <c r="Z1960" i="17"/>
  <c r="W1955" i="17"/>
  <c r="AF1951" i="17"/>
  <c r="AF1950" i="17"/>
  <c r="B1349" i="25"/>
  <c r="A1365" i="25"/>
  <c r="AE1951" i="17"/>
  <c r="B1373" i="25"/>
  <c r="A1369" i="25"/>
  <c r="W1968" i="17"/>
  <c r="AA1968" i="17" s="1"/>
  <c r="G1967" i="17"/>
  <c r="C1364" i="25" s="1"/>
  <c r="B1364" i="25"/>
  <c r="G1958" i="17"/>
  <c r="C1355" i="25" s="1"/>
  <c r="B1355" i="25"/>
  <c r="T1952" i="17"/>
  <c r="O1349" i="25" s="1"/>
  <c r="Y1951" i="17"/>
  <c r="B1344" i="25"/>
  <c r="G1947" i="17"/>
  <c r="C1344" i="25" s="1"/>
  <c r="A1370" i="25"/>
  <c r="AM1975" i="17" s="1"/>
  <c r="G1949" i="17"/>
  <c r="C1346" i="25" s="1"/>
  <c r="B1346" i="25"/>
  <c r="B1947" i="17"/>
  <c r="C1947" i="17" s="1"/>
  <c r="A1344" i="25"/>
  <c r="X1947" i="17"/>
  <c r="A1378" i="25"/>
  <c r="A1361" i="25"/>
  <c r="B1343" i="25"/>
  <c r="B1884" i="17"/>
  <c r="C1884" i="17" s="1"/>
  <c r="A1281" i="25"/>
  <c r="X1990" i="17"/>
  <c r="X1983" i="17"/>
  <c r="W1981" i="17"/>
  <c r="G1980" i="17"/>
  <c r="C1377" i="25" s="1"/>
  <c r="B1377" i="25"/>
  <c r="G1977" i="17"/>
  <c r="C1374" i="25" s="1"/>
  <c r="B1374" i="25"/>
  <c r="AF1975" i="17"/>
  <c r="AE1972" i="17"/>
  <c r="G1965" i="17"/>
  <c r="C1362" i="25" s="1"/>
  <c r="B1362" i="25"/>
  <c r="G1963" i="17"/>
  <c r="C1360" i="25" s="1"/>
  <c r="A1354" i="25"/>
  <c r="Y1957" i="17"/>
  <c r="AF1955" i="17"/>
  <c r="G1955" i="17"/>
  <c r="C1352" i="25" s="1"/>
  <c r="B1352" i="25"/>
  <c r="A1351" i="25"/>
  <c r="B1949" i="17"/>
  <c r="C1949" i="17" s="1"/>
  <c r="A1346" i="25"/>
  <c r="Y1949" i="17"/>
  <c r="AE1949" i="17"/>
  <c r="AF1947" i="17"/>
  <c r="G1978" i="17"/>
  <c r="C1375" i="25" s="1"/>
  <c r="B1375" i="25"/>
  <c r="B1972" i="17"/>
  <c r="C1972" i="17" s="1"/>
  <c r="W1972" i="17"/>
  <c r="AA1972" i="17" s="1"/>
  <c r="Z1965" i="17"/>
  <c r="AE1955" i="17"/>
  <c r="G1950" i="17"/>
  <c r="C1347" i="25" s="1"/>
  <c r="B1347" i="25"/>
  <c r="B1379" i="25"/>
  <c r="B1965" i="17"/>
  <c r="C1965" i="17" s="1"/>
  <c r="A1362" i="25"/>
  <c r="B1955" i="17"/>
  <c r="C1955" i="17" s="1"/>
  <c r="A1352" i="25"/>
  <c r="X1955" i="17"/>
  <c r="G1951" i="17"/>
  <c r="C1348" i="25" s="1"/>
  <c r="B1348" i="25"/>
  <c r="B1950" i="17"/>
  <c r="C1950" i="17" s="1"/>
  <c r="A1347" i="25"/>
  <c r="X1950" i="17"/>
  <c r="AE1950" i="17"/>
  <c r="B1946" i="17"/>
  <c r="C1946" i="17" s="1"/>
  <c r="A1343" i="25"/>
  <c r="B1367" i="25"/>
  <c r="AF1946" i="17"/>
  <c r="X1946" i="17"/>
  <c r="G1974" i="17"/>
  <c r="C1371" i="25" s="1"/>
  <c r="B1371" i="25"/>
  <c r="G1971" i="17"/>
  <c r="C1368" i="25" s="1"/>
  <c r="B1368" i="25"/>
  <c r="Y1952" i="17"/>
  <c r="Y1948" i="17"/>
  <c r="B1345" i="25"/>
  <c r="B1952" i="17"/>
  <c r="C1952" i="17" s="1"/>
  <c r="A1349" i="25"/>
  <c r="X1948" i="17"/>
  <c r="A1345" i="25"/>
  <c r="AN1927" i="17"/>
  <c r="AM1927" i="17"/>
  <c r="AL1927" i="17"/>
  <c r="S1945" i="17"/>
  <c r="M1342" i="25" s="1"/>
  <c r="R1970" i="17"/>
  <c r="K1367" i="25" s="1"/>
  <c r="Q1970" i="17"/>
  <c r="I1367" i="25" s="1"/>
  <c r="P1970" i="17"/>
  <c r="H1367" i="25" s="1"/>
  <c r="Q2003" i="17"/>
  <c r="I1401" i="25" s="1"/>
  <c r="R1945" i="17"/>
  <c r="K1342" i="25" s="1"/>
  <c r="S1929" i="17"/>
  <c r="M1326" i="25" s="1"/>
  <c r="R1941" i="17"/>
  <c r="K1338" i="25" s="1"/>
  <c r="Q1944" i="17"/>
  <c r="I1341" i="25" s="1"/>
  <c r="R1929" i="17"/>
  <c r="K1326" i="25" s="1"/>
  <c r="T1920" i="17"/>
  <c r="O1317" i="25" s="1"/>
  <c r="R2003" i="17"/>
  <c r="K1401" i="25" s="1"/>
  <c r="S1941" i="17"/>
  <c r="M1338" i="25" s="1"/>
  <c r="T1892" i="17"/>
  <c r="O1289" i="25" s="1"/>
  <c r="P2003" i="17"/>
  <c r="H1401" i="25" s="1"/>
  <c r="P1972" i="17"/>
  <c r="H1369" i="25" s="1"/>
  <c r="R1968" i="17"/>
  <c r="O1968" i="17"/>
  <c r="G1365" i="25" s="1"/>
  <c r="Q1941" i="17"/>
  <c r="O1938" i="17"/>
  <c r="G1335" i="25" s="1"/>
  <c r="Q1952" i="17"/>
  <c r="I1349" i="25" s="1"/>
  <c r="Q1945" i="17"/>
  <c r="P1941" i="17"/>
  <c r="H1338" i="25" s="1"/>
  <c r="Q1929" i="17"/>
  <c r="S1905" i="17"/>
  <c r="M1302" i="25" s="1"/>
  <c r="N1970" i="17"/>
  <c r="F1367" i="25" s="1"/>
  <c r="S1946" i="17"/>
  <c r="M1343" i="25" s="1"/>
  <c r="P1945" i="17"/>
  <c r="H1342" i="25" s="1"/>
  <c r="P1929" i="17"/>
  <c r="H1326" i="25" s="1"/>
  <c r="Q1905" i="17"/>
  <c r="T1894" i="17"/>
  <c r="B1943" i="17"/>
  <c r="C1943" i="17" s="1"/>
  <c r="AE1943" i="17"/>
  <c r="AF1943" i="17"/>
  <c r="W1943" i="17"/>
  <c r="X1943" i="17"/>
  <c r="B1937" i="17"/>
  <c r="C1937" i="17" s="1"/>
  <c r="AE1937" i="17"/>
  <c r="AF1937" i="17"/>
  <c r="W1937" i="17"/>
  <c r="X1937" i="17"/>
  <c r="Y1937" i="17"/>
  <c r="B1923" i="17"/>
  <c r="C1923" i="17" s="1"/>
  <c r="W1923" i="17"/>
  <c r="AN1923" i="17"/>
  <c r="E1923" i="17"/>
  <c r="AE1923" i="17"/>
  <c r="AF1923" i="17"/>
  <c r="AL1923" i="17"/>
  <c r="AM1923" i="17"/>
  <c r="AO1923" i="17"/>
  <c r="Z1915" i="17"/>
  <c r="P1893" i="17"/>
  <c r="H1290" i="25" s="1"/>
  <c r="Q1893" i="17"/>
  <c r="N1893" i="17"/>
  <c r="F1290" i="25" s="1"/>
  <c r="R1893" i="17"/>
  <c r="B1890" i="17"/>
  <c r="C1890" i="17" s="1"/>
  <c r="AL1890" i="17"/>
  <c r="AF1890" i="17"/>
  <c r="E1890" i="17"/>
  <c r="R1890" i="17" s="1"/>
  <c r="AM1890" i="17"/>
  <c r="AE1890" i="17"/>
  <c r="AN1890" i="17"/>
  <c r="X1910" i="17"/>
  <c r="B1932" i="17"/>
  <c r="C1932" i="17" s="1"/>
  <c r="Z1932" i="17"/>
  <c r="AE1932" i="17"/>
  <c r="AF1932" i="17"/>
  <c r="B1917" i="17"/>
  <c r="C1917" i="17" s="1"/>
  <c r="X1917" i="17"/>
  <c r="AF1917" i="17"/>
  <c r="Z1917" i="17"/>
  <c r="W1917" i="17"/>
  <c r="Y1917" i="17"/>
  <c r="B1915" i="17"/>
  <c r="C1915" i="17" s="1"/>
  <c r="AF1915" i="17"/>
  <c r="Y1915" i="17"/>
  <c r="W1915" i="17"/>
  <c r="X1915" i="17"/>
  <c r="T1913" i="17"/>
  <c r="Q1913" i="17"/>
  <c r="I1310" i="25" s="1"/>
  <c r="R1913" i="17"/>
  <c r="K1310" i="25" s="1"/>
  <c r="S1913" i="17"/>
  <c r="M1310" i="25" s="1"/>
  <c r="B1897" i="17"/>
  <c r="C1897" i="17" s="1"/>
  <c r="E1897" i="17"/>
  <c r="T1897" i="17" s="1"/>
  <c r="AE1897" i="17"/>
  <c r="AF1897" i="17"/>
  <c r="B1889" i="17"/>
  <c r="C1889" i="17" s="1"/>
  <c r="E1889" i="17"/>
  <c r="S1889" i="17" s="1"/>
  <c r="AF1889" i="17"/>
  <c r="AE1889" i="17"/>
  <c r="T1914" i="17"/>
  <c r="O1311" i="25" s="1"/>
  <c r="S1914" i="17"/>
  <c r="B1940" i="17"/>
  <c r="C1940" i="17" s="1"/>
  <c r="W1940" i="17"/>
  <c r="X1940" i="17"/>
  <c r="Y1940" i="17"/>
  <c r="Z1940" i="17"/>
  <c r="AE1940" i="17"/>
  <c r="O1913" i="17"/>
  <c r="G1310" i="25" s="1"/>
  <c r="B1913" i="17"/>
  <c r="C1913" i="17" s="1"/>
  <c r="X1913" i="17"/>
  <c r="AF1913" i="17"/>
  <c r="Y1913" i="17"/>
  <c r="W1913" i="17"/>
  <c r="X1932" i="17"/>
  <c r="AE1931" i="17"/>
  <c r="B1944" i="17"/>
  <c r="C1944" i="17" s="1"/>
  <c r="X1944" i="17"/>
  <c r="Y1944" i="17"/>
  <c r="Z1944" i="17"/>
  <c r="AD1944" i="17" s="1"/>
  <c r="AE1944" i="17"/>
  <c r="AF1944" i="17"/>
  <c r="Q1938" i="17"/>
  <c r="I1335" i="25" s="1"/>
  <c r="B1938" i="17"/>
  <c r="C1938" i="17" s="1"/>
  <c r="W1938" i="17"/>
  <c r="X1938" i="17"/>
  <c r="Y1938" i="17"/>
  <c r="Z1938" i="17"/>
  <c r="AD1938" i="17" s="1"/>
  <c r="W1932" i="17"/>
  <c r="B1922" i="17"/>
  <c r="C1922" i="17" s="1"/>
  <c r="X1922" i="17"/>
  <c r="Y1922" i="17"/>
  <c r="Z1922" i="17"/>
  <c r="AE1922" i="17"/>
  <c r="AF1922" i="17"/>
  <c r="B1920" i="17"/>
  <c r="C1920" i="17" s="1"/>
  <c r="Y1920" i="17"/>
  <c r="Z1920" i="17"/>
  <c r="AE1920" i="17"/>
  <c r="AF1920" i="17"/>
  <c r="N1913" i="17"/>
  <c r="F1310" i="25" s="1"/>
  <c r="B1911" i="17"/>
  <c r="C1911" i="17" s="1"/>
  <c r="Y1911" i="17"/>
  <c r="W1911" i="17"/>
  <c r="X1911" i="17"/>
  <c r="AF1911" i="17"/>
  <c r="Z1911" i="17"/>
  <c r="AE1911" i="17"/>
  <c r="B1888" i="17"/>
  <c r="C1888" i="17" s="1"/>
  <c r="AE1888" i="17"/>
  <c r="AF1888" i="17"/>
  <c r="B1899" i="17"/>
  <c r="C1899" i="17" s="1"/>
  <c r="E1899" i="17"/>
  <c r="AE1899" i="17"/>
  <c r="AF1899" i="17"/>
  <c r="W1899" i="17"/>
  <c r="X1899" i="17"/>
  <c r="Y1899" i="17"/>
  <c r="Z1899" i="17"/>
  <c r="B1896" i="17"/>
  <c r="C1896" i="17" s="1"/>
  <c r="AF1896" i="17"/>
  <c r="AE1896" i="17"/>
  <c r="B1910" i="17"/>
  <c r="C1910" i="17" s="1"/>
  <c r="E1910" i="17"/>
  <c r="N1910" i="17" s="1"/>
  <c r="F1307" i="25" s="1"/>
  <c r="Z1910" i="17"/>
  <c r="AE1910" i="17"/>
  <c r="AF1910" i="17"/>
  <c r="S1885" i="17"/>
  <c r="P1885" i="17"/>
  <c r="H1282" i="25" s="1"/>
  <c r="N2002" i="17"/>
  <c r="F1400" i="25" s="1"/>
  <c r="S2002" i="17"/>
  <c r="M1400" i="25" s="1"/>
  <c r="Q2002" i="17"/>
  <c r="I1400" i="25" s="1"/>
  <c r="T2002" i="17"/>
  <c r="O1400" i="25" s="1"/>
  <c r="T1994" i="17"/>
  <c r="O1392" i="25" s="1"/>
  <c r="P1994" i="17"/>
  <c r="H1392" i="25" s="1"/>
  <c r="B1931" i="17"/>
  <c r="C1931" i="17" s="1"/>
  <c r="AF1931" i="17"/>
  <c r="W1931" i="17"/>
  <c r="X1931" i="17"/>
  <c r="B1924" i="17"/>
  <c r="C1924" i="17" s="1"/>
  <c r="Y1924" i="17"/>
  <c r="Z1924" i="17"/>
  <c r="AE1924" i="17"/>
  <c r="AF1924" i="17"/>
  <c r="B1906" i="17"/>
  <c r="C1906" i="17" s="1"/>
  <c r="Z1906" i="17"/>
  <c r="X1906" i="17"/>
  <c r="E1906" i="17"/>
  <c r="N1906" i="17" s="1"/>
  <c r="F1303" i="25" s="1"/>
  <c r="AE1906" i="17"/>
  <c r="W1906" i="17"/>
  <c r="Y1906" i="17"/>
  <c r="B1886" i="17"/>
  <c r="C1886" i="17" s="1"/>
  <c r="AE1886" i="17"/>
  <c r="W1924" i="17"/>
  <c r="Y1923" i="17"/>
  <c r="B1921" i="17"/>
  <c r="C1921" i="17" s="1"/>
  <c r="AF1921" i="17"/>
  <c r="E1921" i="17"/>
  <c r="AE1921" i="17"/>
  <c r="W1921" i="17"/>
  <c r="AE1915" i="17"/>
  <c r="W1910" i="17"/>
  <c r="B1898" i="17"/>
  <c r="C1898" i="17" s="1"/>
  <c r="AE1898" i="17"/>
  <c r="AF1898" i="17"/>
  <c r="B1891" i="17"/>
  <c r="C1891" i="17" s="1"/>
  <c r="AL1891" i="17"/>
  <c r="AN1891" i="17"/>
  <c r="E1891" i="17"/>
  <c r="AF1891" i="17"/>
  <c r="AM1891" i="17"/>
  <c r="AO1891" i="17"/>
  <c r="B1996" i="17"/>
  <c r="C1996" i="17" s="1"/>
  <c r="W1996" i="17"/>
  <c r="AM1996" i="17"/>
  <c r="E1996" i="17"/>
  <c r="AE1996" i="17"/>
  <c r="AF1996" i="17"/>
  <c r="Y1996" i="17"/>
  <c r="X1996" i="17"/>
  <c r="Z1996" i="17"/>
  <c r="AL1996" i="17"/>
  <c r="AN1996" i="17"/>
  <c r="AM1998" i="17"/>
  <c r="Z1994" i="17"/>
  <c r="B1974" i="17"/>
  <c r="C1974" i="17" s="1"/>
  <c r="AF1974" i="17"/>
  <c r="W1974" i="17"/>
  <c r="Z1974" i="17"/>
  <c r="E1974" i="17"/>
  <c r="X1974" i="17"/>
  <c r="Y1974" i="17"/>
  <c r="AE1974" i="17"/>
  <c r="X1994" i="17"/>
  <c r="Y1988" i="17"/>
  <c r="B1984" i="17"/>
  <c r="C1984" i="17" s="1"/>
  <c r="Z1984" i="17"/>
  <c r="W1984" i="17"/>
  <c r="E1984" i="17"/>
  <c r="O1984" i="17" s="1"/>
  <c r="G1381" i="25" s="1"/>
  <c r="AE1984" i="17"/>
  <c r="AF1984" i="17"/>
  <c r="B1916" i="17"/>
  <c r="C1916" i="17" s="1"/>
  <c r="X1916" i="17"/>
  <c r="P1905" i="17"/>
  <c r="H1302" i="25" s="1"/>
  <c r="B1905" i="17"/>
  <c r="C1905" i="17" s="1"/>
  <c r="X1905" i="17"/>
  <c r="AF1905" i="17"/>
  <c r="AF1903" i="17"/>
  <c r="R1892" i="17"/>
  <c r="B1892" i="17"/>
  <c r="C1892" i="17" s="1"/>
  <c r="AC1892" i="17"/>
  <c r="AF1892" i="17"/>
  <c r="B2001" i="17"/>
  <c r="C2001" i="17" s="1"/>
  <c r="AL2001" i="17"/>
  <c r="AF2001" i="17"/>
  <c r="Y2001" i="17"/>
  <c r="B1994" i="17"/>
  <c r="C1994" i="17" s="1"/>
  <c r="AE1994" i="17"/>
  <c r="Y1994" i="17"/>
  <c r="B1993" i="17"/>
  <c r="C1993" i="17" s="1"/>
  <c r="AM1993" i="17"/>
  <c r="W1993" i="17"/>
  <c r="AN1993" i="17"/>
  <c r="E1993" i="17"/>
  <c r="B1987" i="17"/>
  <c r="C1987" i="17" s="1"/>
  <c r="Y1987" i="17"/>
  <c r="E1987" i="17"/>
  <c r="X1987" i="17"/>
  <c r="Z1987" i="17"/>
  <c r="B1927" i="17"/>
  <c r="C1927" i="17" s="1"/>
  <c r="AE1927" i="17"/>
  <c r="AM2001" i="17"/>
  <c r="B2000" i="17"/>
  <c r="C2000" i="17" s="1"/>
  <c r="AM2000" i="17"/>
  <c r="E2000" i="17"/>
  <c r="AE2000" i="17"/>
  <c r="W2000" i="17"/>
  <c r="AO2000" i="17"/>
  <c r="B1998" i="17"/>
  <c r="C1998" i="17" s="1"/>
  <c r="AE1998" i="17"/>
  <c r="AL1998" i="17"/>
  <c r="E1998" i="17"/>
  <c r="S1998" i="17" s="1"/>
  <c r="X1998" i="17"/>
  <c r="W1987" i="17"/>
  <c r="Y1984" i="17"/>
  <c r="B1976" i="17"/>
  <c r="C1976" i="17" s="1"/>
  <c r="Z1976" i="17"/>
  <c r="E1976" i="17"/>
  <c r="O1976" i="17" s="1"/>
  <c r="G1373" i="25" s="1"/>
  <c r="W1976" i="17"/>
  <c r="AN1976" i="17"/>
  <c r="Y1976" i="17"/>
  <c r="AF1976" i="17"/>
  <c r="AE1976" i="17"/>
  <c r="AL1976" i="17"/>
  <c r="AM1976" i="17"/>
  <c r="AO1976" i="17"/>
  <c r="X1976" i="17"/>
  <c r="W1998" i="17"/>
  <c r="B1995" i="17"/>
  <c r="C1995" i="17" s="1"/>
  <c r="AM1995" i="17"/>
  <c r="Y1995" i="17"/>
  <c r="Z1995" i="17"/>
  <c r="E1995" i="17"/>
  <c r="T1995" i="17" s="1"/>
  <c r="O1393" i="25" s="1"/>
  <c r="AN1995" i="17"/>
  <c r="AF1993" i="17"/>
  <c r="X1984" i="17"/>
  <c r="B1918" i="17"/>
  <c r="C1918" i="17" s="1"/>
  <c r="Y1918" i="17"/>
  <c r="B1914" i="17"/>
  <c r="C1914" i="17" s="1"/>
  <c r="AF1914" i="17"/>
  <c r="B1908" i="17"/>
  <c r="C1908" i="17" s="1"/>
  <c r="AF1908" i="17"/>
  <c r="Y1908" i="17"/>
  <c r="O1905" i="17"/>
  <c r="G1302" i="25" s="1"/>
  <c r="R1905" i="17"/>
  <c r="K1302" i="25" s="1"/>
  <c r="B1903" i="17"/>
  <c r="C1903" i="17" s="1"/>
  <c r="Y1903" i="17"/>
  <c r="Z1903" i="17"/>
  <c r="W1939" i="17"/>
  <c r="O1941" i="17"/>
  <c r="G1338" i="25" s="1"/>
  <c r="B1895" i="17"/>
  <c r="C1895" i="17" s="1"/>
  <c r="O1892" i="17"/>
  <c r="G1289" i="25" s="1"/>
  <c r="O1945" i="17"/>
  <c r="G1342" i="25" s="1"/>
  <c r="Y1941" i="17"/>
  <c r="N1941" i="17"/>
  <c r="F1338" i="25" s="1"/>
  <c r="AF1939" i="17"/>
  <c r="Z1934" i="17"/>
  <c r="O1929" i="17"/>
  <c r="G1326" i="25" s="1"/>
  <c r="Z1927" i="17"/>
  <c r="B1925" i="17"/>
  <c r="C1925" i="17" s="1"/>
  <c r="E1925" i="17"/>
  <c r="Z1925" i="17"/>
  <c r="Z1918" i="17"/>
  <c r="AF1916" i="17"/>
  <c r="AE1914" i="17"/>
  <c r="B1909" i="17"/>
  <c r="C1909" i="17" s="1"/>
  <c r="AF1909" i="17"/>
  <c r="X1908" i="17"/>
  <c r="Z1905" i="17"/>
  <c r="B1900" i="17"/>
  <c r="C1900" i="17" s="1"/>
  <c r="W1900" i="17"/>
  <c r="Y1900" i="17"/>
  <c r="AE1895" i="17"/>
  <c r="P1894" i="17"/>
  <c r="H1291" i="25" s="1"/>
  <c r="B1894" i="17"/>
  <c r="C1894" i="17" s="1"/>
  <c r="AF1894" i="17"/>
  <c r="AE2001" i="17"/>
  <c r="AL2000" i="17"/>
  <c r="Y1945" i="17"/>
  <c r="N1945" i="17"/>
  <c r="F1342" i="25" s="1"/>
  <c r="AF1942" i="17"/>
  <c r="X1941" i="17"/>
  <c r="AE1939" i="17"/>
  <c r="Y1934" i="17"/>
  <c r="AF1930" i="17"/>
  <c r="Y1929" i="17"/>
  <c r="N1929" i="17"/>
  <c r="F1326" i="25" s="1"/>
  <c r="B1928" i="17"/>
  <c r="C1928" i="17" s="1"/>
  <c r="Y1928" i="17"/>
  <c r="AO1928" i="17"/>
  <c r="Y1927" i="17"/>
  <c r="B1926" i="17"/>
  <c r="C1926" i="17" s="1"/>
  <c r="AF1926" i="17"/>
  <c r="B1919" i="17"/>
  <c r="C1919" i="17" s="1"/>
  <c r="X1919" i="17"/>
  <c r="X1918" i="17"/>
  <c r="AE1916" i="17"/>
  <c r="Z1914" i="17"/>
  <c r="B1912" i="17"/>
  <c r="C1912" i="17" s="1"/>
  <c r="Y1912" i="17"/>
  <c r="W1908" i="17"/>
  <c r="Y1905" i="17"/>
  <c r="N1894" i="17"/>
  <c r="F1291" i="25" s="1"/>
  <c r="AE1892" i="17"/>
  <c r="B1883" i="17"/>
  <c r="C1883" i="17" s="1"/>
  <c r="AF2000" i="17"/>
  <c r="AO1994" i="17"/>
  <c r="AE1993" i="17"/>
  <c r="O1990" i="17"/>
  <c r="G1388" i="25" s="1"/>
  <c r="Q1990" i="17"/>
  <c r="I1388" i="25" s="1"/>
  <c r="R1990" i="17"/>
  <c r="K1388" i="25" s="1"/>
  <c r="Q1989" i="17"/>
  <c r="I1386" i="25" s="1"/>
  <c r="T1989" i="17"/>
  <c r="P1989" i="17"/>
  <c r="H1386" i="25" s="1"/>
  <c r="N1989" i="17"/>
  <c r="F1386" i="25" s="1"/>
  <c r="Q1964" i="17"/>
  <c r="I1361" i="25" s="1"/>
  <c r="P1964" i="17"/>
  <c r="H1361" i="25" s="1"/>
  <c r="R1964" i="17"/>
  <c r="K1361" i="25" s="1"/>
  <c r="B1988" i="17"/>
  <c r="C1988" i="17" s="1"/>
  <c r="AE1988" i="17"/>
  <c r="E1988" i="17"/>
  <c r="O1988" i="17" s="1"/>
  <c r="G1385" i="25" s="1"/>
  <c r="X1988" i="17"/>
  <c r="Z1988" i="17"/>
  <c r="AF1988" i="17"/>
  <c r="N1953" i="17"/>
  <c r="F1350" i="25" s="1"/>
  <c r="P1953" i="17"/>
  <c r="H1350" i="25" s="1"/>
  <c r="R1953" i="17"/>
  <c r="K1350" i="25" s="1"/>
  <c r="T1953" i="17"/>
  <c r="O1350" i="25" s="1"/>
  <c r="B2002" i="17"/>
  <c r="C2002" i="17" s="1"/>
  <c r="Y2002" i="17"/>
  <c r="B1999" i="17"/>
  <c r="C1999" i="17" s="1"/>
  <c r="AM1999" i="17"/>
  <c r="B1997" i="17"/>
  <c r="C1997" i="17" s="1"/>
  <c r="AL1997" i="17"/>
  <c r="AE1990" i="17"/>
  <c r="B1986" i="17"/>
  <c r="C1986" i="17" s="1"/>
  <c r="X1986" i="17"/>
  <c r="Z1986" i="17"/>
  <c r="B1985" i="17"/>
  <c r="C1985" i="17" s="1"/>
  <c r="E1985" i="17"/>
  <c r="T1985" i="17" s="1"/>
  <c r="R1982" i="17"/>
  <c r="B1979" i="17"/>
  <c r="C1979" i="17" s="1"/>
  <c r="E1979" i="17"/>
  <c r="Z1979" i="17"/>
  <c r="AE1973" i="17"/>
  <c r="N1965" i="17"/>
  <c r="F1362" i="25" s="1"/>
  <c r="P1965" i="17"/>
  <c r="H1362" i="25" s="1"/>
  <c r="B1966" i="17"/>
  <c r="C1966" i="17" s="1"/>
  <c r="W1966" i="17"/>
  <c r="E1966" i="17"/>
  <c r="AE1966" i="17"/>
  <c r="AF1966" i="17"/>
  <c r="X1966" i="17"/>
  <c r="Y1966" i="17"/>
  <c r="B1964" i="17"/>
  <c r="C1964" i="17" s="1"/>
  <c r="Y1964" i="17"/>
  <c r="AE1964" i="17"/>
  <c r="AF1964" i="17"/>
  <c r="W1964" i="17"/>
  <c r="B1973" i="17"/>
  <c r="C1973" i="17" s="1"/>
  <c r="AF1973" i="17"/>
  <c r="Z1973" i="17"/>
  <c r="E1973" i="17"/>
  <c r="S1973" i="17" s="1"/>
  <c r="W1973" i="17"/>
  <c r="S1971" i="17"/>
  <c r="Q1971" i="17"/>
  <c r="I1368" i="25" s="1"/>
  <c r="B1907" i="17"/>
  <c r="C1907" i="17" s="1"/>
  <c r="E1907" i="17"/>
  <c r="N1907" i="17" s="1"/>
  <c r="F1304" i="25" s="1"/>
  <c r="B1904" i="17"/>
  <c r="C1904" i="17" s="1"/>
  <c r="X1904" i="17"/>
  <c r="B1902" i="17"/>
  <c r="C1902" i="17" s="1"/>
  <c r="W1902" i="17"/>
  <c r="B1901" i="17"/>
  <c r="C1901" i="17" s="1"/>
  <c r="W1901" i="17"/>
  <c r="AF1901" i="17"/>
  <c r="B1887" i="17"/>
  <c r="C1887" i="17" s="1"/>
  <c r="B1882" i="17"/>
  <c r="C1882" i="17" s="1"/>
  <c r="T2003" i="17"/>
  <c r="O1401" i="25" s="1"/>
  <c r="O2003" i="17"/>
  <c r="G1401" i="25" s="1"/>
  <c r="B1992" i="17"/>
  <c r="C1992" i="17" s="1"/>
  <c r="X1992" i="17"/>
  <c r="AM1992" i="17"/>
  <c r="B1981" i="17"/>
  <c r="C1981" i="17" s="1"/>
  <c r="AF1981" i="17"/>
  <c r="Y1979" i="17"/>
  <c r="N1978" i="17"/>
  <c r="F1375" i="25" s="1"/>
  <c r="Q1978" i="17"/>
  <c r="S1978" i="17"/>
  <c r="T1971" i="17"/>
  <c r="O1368" i="25" s="1"/>
  <c r="X1964" i="17"/>
  <c r="B1990" i="17"/>
  <c r="C1990" i="17" s="1"/>
  <c r="Y1990" i="17"/>
  <c r="Z1990" i="17"/>
  <c r="AD1990" i="17" s="1"/>
  <c r="B1983" i="17"/>
  <c r="C1983" i="17" s="1"/>
  <c r="AF1983" i="17"/>
  <c r="E1983" i="17"/>
  <c r="Q1983" i="17" s="1"/>
  <c r="I1380" i="25" s="1"/>
  <c r="W1983" i="17"/>
  <c r="B1980" i="17"/>
  <c r="C1980" i="17" s="1"/>
  <c r="AF1980" i="17"/>
  <c r="AE1980" i="17"/>
  <c r="X1979" i="17"/>
  <c r="R1971" i="17"/>
  <c r="B1975" i="17"/>
  <c r="C1975" i="17" s="1"/>
  <c r="E1975" i="17"/>
  <c r="O1975" i="17" s="1"/>
  <c r="G1372" i="25" s="1"/>
  <c r="B1971" i="17"/>
  <c r="C1971" i="17" s="1"/>
  <c r="Z1971" i="17"/>
  <c r="B1963" i="17"/>
  <c r="C1963" i="17" s="1"/>
  <c r="E1963" i="17"/>
  <c r="N1963" i="17" s="1"/>
  <c r="F1360" i="25" s="1"/>
  <c r="AF1963" i="17"/>
  <c r="Y1963" i="17"/>
  <c r="AE1961" i="17"/>
  <c r="S1955" i="17"/>
  <c r="P1955" i="17"/>
  <c r="H1352" i="25" s="1"/>
  <c r="R1955" i="17"/>
  <c r="K1352" i="25" s="1"/>
  <c r="B1957" i="17"/>
  <c r="C1957" i="17" s="1"/>
  <c r="E1957" i="17"/>
  <c r="S1957" i="17" s="1"/>
  <c r="X1957" i="17"/>
  <c r="AE1957" i="17"/>
  <c r="AF1957" i="17"/>
  <c r="R1952" i="17"/>
  <c r="S1952" i="17"/>
  <c r="N1952" i="17"/>
  <c r="F1349" i="25" s="1"/>
  <c r="O1952" i="17"/>
  <c r="G1349" i="25" s="1"/>
  <c r="B1969" i="17"/>
  <c r="C1969" i="17" s="1"/>
  <c r="Y1969" i="17"/>
  <c r="B1961" i="17"/>
  <c r="C1961" i="17" s="1"/>
  <c r="AF1961" i="17"/>
  <c r="E1961" i="17"/>
  <c r="Q1961" i="17" s="1"/>
  <c r="I1358" i="25" s="1"/>
  <c r="X1961" i="17"/>
  <c r="AE1975" i="17"/>
  <c r="AE1963" i="17"/>
  <c r="W1961" i="17"/>
  <c r="B1959" i="17"/>
  <c r="C1959" i="17" s="1"/>
  <c r="Z1959" i="17"/>
  <c r="E1959" i="17"/>
  <c r="O1959" i="17" s="1"/>
  <c r="G1356" i="25" s="1"/>
  <c r="AF1959" i="17"/>
  <c r="T1955" i="17"/>
  <c r="B1962" i="17"/>
  <c r="C1962" i="17" s="1"/>
  <c r="X1962" i="17"/>
  <c r="B1958" i="17"/>
  <c r="C1958" i="17" s="1"/>
  <c r="Y1958" i="17"/>
  <c r="AE1958" i="17"/>
  <c r="B1954" i="17"/>
  <c r="C1954" i="17" s="1"/>
  <c r="Y1954" i="17"/>
  <c r="Z1954" i="17"/>
  <c r="E1954" i="17"/>
  <c r="Q1954" i="17" s="1"/>
  <c r="I1351" i="25" s="1"/>
  <c r="AE1954" i="17"/>
  <c r="AF1954" i="17"/>
  <c r="B1989" i="17"/>
  <c r="C1989" i="17" s="1"/>
  <c r="Y1975" i="17"/>
  <c r="W1971" i="17"/>
  <c r="T1970" i="17"/>
  <c r="P1968" i="17"/>
  <c r="H1365" i="25" s="1"/>
  <c r="B1968" i="17"/>
  <c r="C1968" i="17" s="1"/>
  <c r="AE1968" i="17"/>
  <c r="Z1963" i="17"/>
  <c r="AE1962" i="17"/>
  <c r="X1954" i="17"/>
  <c r="B1953" i="17"/>
  <c r="C1953" i="17" s="1"/>
  <c r="W1953" i="17"/>
  <c r="X1953" i="17"/>
  <c r="Z1953" i="17"/>
  <c r="AE1953" i="17"/>
  <c r="AF1953" i="17"/>
  <c r="Z1951" i="17"/>
  <c r="E1951" i="17"/>
  <c r="Z1950" i="17"/>
  <c r="W1949" i="17"/>
  <c r="AF1948" i="17"/>
  <c r="W1947" i="17"/>
  <c r="W1946" i="17"/>
  <c r="Y1950" i="17"/>
  <c r="T1946" i="17"/>
  <c r="O1343" i="25" s="1"/>
  <c r="AF1949" i="17"/>
  <c r="E1949" i="17"/>
  <c r="Q1949" i="17" s="1"/>
  <c r="I1346" i="25" s="1"/>
  <c r="P1946" i="17"/>
  <c r="H1343" i="25" s="1"/>
  <c r="X1967" i="17"/>
  <c r="Z1956" i="17"/>
  <c r="AF1952" i="17"/>
  <c r="E1950" i="17"/>
  <c r="R1950" i="17" s="1"/>
  <c r="Z1948" i="17"/>
  <c r="E1948" i="17"/>
  <c r="AE1946" i="17"/>
  <c r="O1946" i="17"/>
  <c r="G1343" i="25" s="1"/>
  <c r="Z1949" i="17"/>
  <c r="Z1947" i="17"/>
  <c r="E1947" i="17"/>
  <c r="Z1946" i="17"/>
  <c r="Y1946" i="17"/>
  <c r="S1920" i="17"/>
  <c r="N1920" i="17"/>
  <c r="F1317" i="25" s="1"/>
  <c r="Q1920" i="17"/>
  <c r="I1317" i="25" s="1"/>
  <c r="R1920" i="17"/>
  <c r="N1944" i="17"/>
  <c r="F1341" i="25" s="1"/>
  <c r="R1944" i="17"/>
  <c r="S1944" i="17"/>
  <c r="M1341" i="25" s="1"/>
  <c r="O1920" i="17"/>
  <c r="G1317" i="25" s="1"/>
  <c r="P1944" i="17"/>
  <c r="H1341" i="25" s="1"/>
  <c r="O1944" i="17"/>
  <c r="G1341" i="25" s="1"/>
  <c r="O1914" i="17"/>
  <c r="G1311" i="25" s="1"/>
  <c r="R1914" i="17"/>
  <c r="N1914" i="17"/>
  <c r="F1311" i="25" s="1"/>
  <c r="P1914" i="17"/>
  <c r="H1311" i="25" s="1"/>
  <c r="Q1914" i="17"/>
  <c r="I1311" i="25" s="1"/>
  <c r="R1938" i="17"/>
  <c r="N1938" i="17"/>
  <c r="F1335" i="25" s="1"/>
  <c r="P1938" i="17"/>
  <c r="H1335" i="25" s="1"/>
  <c r="Q1894" i="17"/>
  <c r="I1291" i="25" s="1"/>
  <c r="R1894" i="17"/>
  <c r="N1892" i="17"/>
  <c r="F1289" i="25" s="1"/>
  <c r="Q1892" i="17"/>
  <c r="I1289" i="25" s="1"/>
  <c r="T1885" i="17"/>
  <c r="N1885" i="17"/>
  <c r="F1282" i="25" s="1"/>
  <c r="O1885" i="17"/>
  <c r="G1282" i="25" s="1"/>
  <c r="R1885" i="17"/>
  <c r="O1894" i="17"/>
  <c r="G1291" i="25" s="1"/>
  <c r="P1892" i="17"/>
  <c r="H1289" i="25" s="1"/>
  <c r="Q1885" i="17"/>
  <c r="I1282" i="25" s="1"/>
  <c r="S1893" i="17"/>
  <c r="M1290" i="25" s="1"/>
  <c r="T1893" i="17"/>
  <c r="O1893" i="17"/>
  <c r="G1290" i="25" s="1"/>
  <c r="R2002" i="17"/>
  <c r="K1400" i="25" s="1"/>
  <c r="P2002" i="17"/>
  <c r="H1400" i="25" s="1"/>
  <c r="O2002" i="17"/>
  <c r="G1400" i="25" s="1"/>
  <c r="S1994" i="17"/>
  <c r="M1392" i="25" s="1"/>
  <c r="P1990" i="17"/>
  <c r="H1388" i="25" s="1"/>
  <c r="O1989" i="17"/>
  <c r="G1386" i="25" s="1"/>
  <c r="P1982" i="17"/>
  <c r="H1379" i="25" s="1"/>
  <c r="R1994" i="17"/>
  <c r="K1392" i="25" s="1"/>
  <c r="Q1994" i="17"/>
  <c r="I1392" i="25" s="1"/>
  <c r="O1994" i="17"/>
  <c r="G1392" i="25" s="1"/>
  <c r="T1982" i="17"/>
  <c r="N1994" i="17"/>
  <c r="F1392" i="25" s="1"/>
  <c r="S1990" i="17"/>
  <c r="M1388" i="25" s="1"/>
  <c r="S1989" i="17"/>
  <c r="N1982" i="17"/>
  <c r="F1379" i="25" s="1"/>
  <c r="O1982" i="17"/>
  <c r="G1379" i="25" s="1"/>
  <c r="Q1982" i="17"/>
  <c r="I1379" i="25" s="1"/>
  <c r="O1972" i="17"/>
  <c r="G1369" i="25" s="1"/>
  <c r="O1964" i="17"/>
  <c r="G1361" i="25" s="1"/>
  <c r="Q1955" i="17"/>
  <c r="I1352" i="25" s="1"/>
  <c r="R1978" i="17"/>
  <c r="N1972" i="17"/>
  <c r="F1369" i="25" s="1"/>
  <c r="N1968" i="17"/>
  <c r="F1365" i="25" s="1"/>
  <c r="T1965" i="17"/>
  <c r="N1964" i="17"/>
  <c r="F1361" i="25" s="1"/>
  <c r="R1946" i="17"/>
  <c r="O1971" i="17"/>
  <c r="G1368" i="25" s="1"/>
  <c r="S1965" i="17"/>
  <c r="O1955" i="17"/>
  <c r="G1352" i="25" s="1"/>
  <c r="S1953" i="17"/>
  <c r="Q1946" i="17"/>
  <c r="T1972" i="17"/>
  <c r="N1971" i="17"/>
  <c r="F1368" i="25" s="1"/>
  <c r="T1968" i="17"/>
  <c r="R1965" i="17"/>
  <c r="T1964" i="17"/>
  <c r="N1955" i="17"/>
  <c r="F1352" i="25" s="1"/>
  <c r="O1978" i="17"/>
  <c r="G1375" i="25" s="1"/>
  <c r="S1972" i="17"/>
  <c r="S1968" i="17"/>
  <c r="M1365" i="25" s="1"/>
  <c r="Q1965" i="17"/>
  <c r="I1362" i="25" s="1"/>
  <c r="S1964" i="17"/>
  <c r="M1361" i="25" s="1"/>
  <c r="Q1953" i="17"/>
  <c r="I1350" i="25" s="1"/>
  <c r="R1972" i="17"/>
  <c r="O1965" i="17"/>
  <c r="G1362" i="25" s="1"/>
  <c r="O1953" i="17"/>
  <c r="G1350" i="25" s="1"/>
  <c r="AF1881" i="17"/>
  <c r="AL1881" i="17"/>
  <c r="AM1881" i="17"/>
  <c r="W1881" i="17"/>
  <c r="AO1881" i="17"/>
  <c r="AN1881" i="17"/>
  <c r="AE1881" i="17"/>
  <c r="E1881" i="17"/>
  <c r="B1881" i="17"/>
  <c r="C1881" i="17" s="1"/>
  <c r="AI2006" i="17" l="1"/>
  <c r="AH2076" i="17"/>
  <c r="AH2083" i="17"/>
  <c r="AJ2023" i="17"/>
  <c r="AI2015" i="17"/>
  <c r="AI2083" i="17"/>
  <c r="AH2050" i="17"/>
  <c r="AJ2058" i="17"/>
  <c r="AK2021" i="17"/>
  <c r="AJ2061" i="17"/>
  <c r="AI2019" i="17"/>
  <c r="AK2068" i="17"/>
  <c r="AK2075" i="17"/>
  <c r="AH2046" i="17"/>
  <c r="AI2073" i="17"/>
  <c r="AK2058" i="17"/>
  <c r="AH2087" i="17"/>
  <c r="AK2059" i="17"/>
  <c r="AK2043" i="17"/>
  <c r="AJ2067" i="17"/>
  <c r="AJ2029" i="17"/>
  <c r="AK2048" i="17"/>
  <c r="AH2011" i="17"/>
  <c r="AK2067" i="17"/>
  <c r="AH2092" i="17"/>
  <c r="AI2037" i="17"/>
  <c r="AK2054" i="17"/>
  <c r="AI2080" i="17"/>
  <c r="AK2069" i="17"/>
  <c r="AI2094" i="17"/>
  <c r="AK2083" i="17"/>
  <c r="AK2022" i="17"/>
  <c r="AK2089" i="17"/>
  <c r="AH2019" i="17"/>
  <c r="AH2091" i="17"/>
  <c r="AK2024" i="17"/>
  <c r="AK2038" i="17"/>
  <c r="AK2061" i="17"/>
  <c r="AM1994" i="17"/>
  <c r="AL1994" i="17"/>
  <c r="AI2058" i="17"/>
  <c r="AI2013" i="17"/>
  <c r="AI2095" i="17"/>
  <c r="AI2087" i="17"/>
  <c r="AH2067" i="17"/>
  <c r="AJ2028" i="17"/>
  <c r="AK2015" i="17"/>
  <c r="AK2018" i="17"/>
  <c r="AI2036" i="17"/>
  <c r="AJ2085" i="17"/>
  <c r="AH2085" i="17"/>
  <c r="AK2011" i="17"/>
  <c r="AJ2075" i="17"/>
  <c r="AI2059" i="17"/>
  <c r="AK2063" i="17"/>
  <c r="AH2021" i="17"/>
  <c r="AJ2040" i="17"/>
  <c r="AO1993" i="17"/>
  <c r="AL1993" i="17"/>
  <c r="AL1992" i="17"/>
  <c r="AI2032" i="17"/>
  <c r="AI2077" i="17"/>
  <c r="AJ2048" i="17"/>
  <c r="AI2011" i="17"/>
  <c r="AH2012" i="17"/>
  <c r="AK2095" i="17"/>
  <c r="AJ2080" i="17"/>
  <c r="AJ2024" i="17"/>
  <c r="AI2040" i="17"/>
  <c r="AI2027" i="17"/>
  <c r="AI2007" i="17"/>
  <c r="AJ2019" i="17"/>
  <c r="AJ2050" i="17"/>
  <c r="AK2087" i="17"/>
  <c r="AK2012" i="17"/>
  <c r="AH2044" i="17"/>
  <c r="AK2084" i="17"/>
  <c r="AI2024" i="17"/>
  <c r="AI2021" i="17"/>
  <c r="AJ2006" i="17"/>
  <c r="AI2052" i="17"/>
  <c r="AH2061" i="17"/>
  <c r="AJ2055" i="17"/>
  <c r="AI2023" i="17"/>
  <c r="AK2093" i="17"/>
  <c r="AH2022" i="17"/>
  <c r="AH2060" i="17"/>
  <c r="AK2062" i="17"/>
  <c r="AH2007" i="17"/>
  <c r="AH2018" i="17"/>
  <c r="AJ2022" i="17"/>
  <c r="AK2053" i="17"/>
  <c r="AK2091" i="17"/>
  <c r="AJ2039" i="17"/>
  <c r="AK2035" i="17"/>
  <c r="AH2062" i="17"/>
  <c r="AJ2076" i="17"/>
  <c r="AK2044" i="17"/>
  <c r="AH2042" i="17"/>
  <c r="AJ2070" i="17"/>
  <c r="AK2076" i="17"/>
  <c r="AI2009" i="17"/>
  <c r="AH2064" i="17"/>
  <c r="AJ2057" i="17"/>
  <c r="AJ2064" i="17"/>
  <c r="AI2057" i="17"/>
  <c r="AH2015" i="17"/>
  <c r="AK2056" i="17"/>
  <c r="AH2094" i="17"/>
  <c r="AH2006" i="17"/>
  <c r="AH2079" i="17"/>
  <c r="AH2084" i="17"/>
  <c r="AI2081" i="17"/>
  <c r="AH2037" i="17"/>
  <c r="AJ2044" i="17"/>
  <c r="AI2056" i="17"/>
  <c r="AJ2094" i="17"/>
  <c r="AH2056" i="17"/>
  <c r="AH2025" i="17"/>
  <c r="AH2052" i="17"/>
  <c r="AI2039" i="17"/>
  <c r="AJ2043" i="17"/>
  <c r="AK2081" i="17"/>
  <c r="AH2026" i="17"/>
  <c r="AK2007" i="17"/>
  <c r="AJ2053" i="17"/>
  <c r="AH2034" i="17"/>
  <c r="AH2023" i="17"/>
  <c r="AJ2018" i="17"/>
  <c r="AI2055" i="17"/>
  <c r="AI2069" i="17"/>
  <c r="AI2071" i="17"/>
  <c r="AK2017" i="17"/>
  <c r="AK2005" i="17"/>
  <c r="AI2020" i="17"/>
  <c r="AK2042" i="17"/>
  <c r="AI2068" i="17"/>
  <c r="AJ2071" i="17"/>
  <c r="AJ2069" i="17"/>
  <c r="AK2085" i="17"/>
  <c r="AH2017" i="17"/>
  <c r="AI2064" i="17"/>
  <c r="AI2075" i="17"/>
  <c r="AK2025" i="17"/>
  <c r="AI2091" i="17"/>
  <c r="AH2051" i="17"/>
  <c r="AJ2052" i="17"/>
  <c r="AI2079" i="17"/>
  <c r="AJ2092" i="17"/>
  <c r="AJ2038" i="17"/>
  <c r="AI2034" i="17"/>
  <c r="AH2081" i="17"/>
  <c r="AK2040" i="17"/>
  <c r="AJ2088" i="17"/>
  <c r="AJ2026" i="17"/>
  <c r="AK2066" i="17"/>
  <c r="AJ2042" i="17"/>
  <c r="AI2070" i="17"/>
  <c r="AI2093" i="17"/>
  <c r="AH2077" i="17"/>
  <c r="AJ2046" i="17"/>
  <c r="AJ2032" i="17"/>
  <c r="AK2071" i="17"/>
  <c r="AH2068" i="17"/>
  <c r="AH2073" i="17"/>
  <c r="AK2004" i="17"/>
  <c r="AK2060" i="17"/>
  <c r="AJ2025" i="17"/>
  <c r="AJ2074" i="17"/>
  <c r="AK2079" i="17"/>
  <c r="AH2039" i="17"/>
  <c r="AH2074" i="17"/>
  <c r="AJ2034" i="17"/>
  <c r="AJ2020" i="17"/>
  <c r="AH2088" i="17"/>
  <c r="AK2055" i="17"/>
  <c r="AJ2035" i="17"/>
  <c r="AK2073" i="17"/>
  <c r="AH2045" i="17"/>
  <c r="AK2045" i="17"/>
  <c r="AI2051" i="17"/>
  <c r="AK2086" i="17"/>
  <c r="AJ2051" i="17"/>
  <c r="AJ2066" i="17"/>
  <c r="AH2004" i="17"/>
  <c r="AI2005" i="17"/>
  <c r="AH2013" i="17"/>
  <c r="AK2013" i="17"/>
  <c r="AH2086" i="17"/>
  <c r="AH2020" i="17"/>
  <c r="AI2088" i="17"/>
  <c r="AI2066" i="17"/>
  <c r="AH2027" i="17"/>
  <c r="AH2070" i="17"/>
  <c r="AH2032" i="17"/>
  <c r="AK2077" i="17"/>
  <c r="AK2027" i="17"/>
  <c r="AH2053" i="17"/>
  <c r="AI2017" i="17"/>
  <c r="AH2009" i="17"/>
  <c r="AJ2084" i="17"/>
  <c r="AJ2009" i="17"/>
  <c r="AJ2005" i="17"/>
  <c r="AJ2060" i="17"/>
  <c r="AI2004" i="17"/>
  <c r="AI2074" i="17"/>
  <c r="AI2045" i="17"/>
  <c r="AH2093" i="17"/>
  <c r="AI2092" i="17"/>
  <c r="AH2043" i="17"/>
  <c r="AJ2086" i="17"/>
  <c r="AI2035" i="17"/>
  <c r="AK2029" i="17"/>
  <c r="AJ2037" i="17"/>
  <c r="AK2026" i="17"/>
  <c r="AO1996" i="17"/>
  <c r="AL1995" i="17"/>
  <c r="AM2004" i="17"/>
  <c r="AL2004" i="17"/>
  <c r="AN2004" i="17"/>
  <c r="AO2004" i="17"/>
  <c r="AL2005" i="17"/>
  <c r="AM2005" i="17"/>
  <c r="AN2005" i="17"/>
  <c r="AO2005" i="17"/>
  <c r="AC1998" i="17"/>
  <c r="M1396" i="25"/>
  <c r="S1956" i="17"/>
  <c r="M1353" i="25" s="1"/>
  <c r="O1956" i="17"/>
  <c r="G1353" i="25" s="1"/>
  <c r="Q1991" i="17"/>
  <c r="I1389" i="25" s="1"/>
  <c r="T1903" i="17"/>
  <c r="Q1956" i="17"/>
  <c r="N1956" i="17"/>
  <c r="F1353" i="25" s="1"/>
  <c r="R1991" i="17"/>
  <c r="K1389" i="25" s="1"/>
  <c r="T1956" i="17"/>
  <c r="AD1956" i="17" s="1"/>
  <c r="R1956" i="17"/>
  <c r="K1353" i="25" s="1"/>
  <c r="N1934" i="17"/>
  <c r="F1331" i="25" s="1"/>
  <c r="R1934" i="17"/>
  <c r="AB1934" i="17" s="1"/>
  <c r="AC2003" i="17"/>
  <c r="R1903" i="17"/>
  <c r="K1300" i="25" s="1"/>
  <c r="P1903" i="17"/>
  <c r="H1300" i="25" s="1"/>
  <c r="N1903" i="17"/>
  <c r="F1300" i="25" s="1"/>
  <c r="Q1903" i="17"/>
  <c r="I1300" i="25" s="1"/>
  <c r="O1903" i="17"/>
  <c r="G1300" i="25" s="1"/>
  <c r="O1933" i="17"/>
  <c r="G1330" i="25" s="1"/>
  <c r="O1895" i="17"/>
  <c r="G1292" i="25" s="1"/>
  <c r="Q1924" i="17"/>
  <c r="I1321" i="25" s="1"/>
  <c r="N1924" i="17"/>
  <c r="F1321" i="25" s="1"/>
  <c r="AA1990" i="17"/>
  <c r="R1904" i="17"/>
  <c r="K1301" i="25" s="1"/>
  <c r="R1962" i="17"/>
  <c r="K1359" i="25" s="1"/>
  <c r="N1942" i="17"/>
  <c r="F1339" i="25" s="1"/>
  <c r="Q1962" i="17"/>
  <c r="S1895" i="17"/>
  <c r="AC1895" i="17" s="1"/>
  <c r="AO1882" i="17"/>
  <c r="AL1883" i="17"/>
  <c r="Q1942" i="17"/>
  <c r="I1339" i="25" s="1"/>
  <c r="N1900" i="17"/>
  <c r="F1297" i="25" s="1"/>
  <c r="R1936" i="17"/>
  <c r="AB1936" i="17" s="1"/>
  <c r="N1936" i="17"/>
  <c r="F1333" i="25" s="1"/>
  <c r="AN1990" i="17"/>
  <c r="R1940" i="17"/>
  <c r="K1337" i="25" s="1"/>
  <c r="O1926" i="17"/>
  <c r="G1323" i="25" s="1"/>
  <c r="N1940" i="17"/>
  <c r="F1337" i="25" s="1"/>
  <c r="T1930" i="17"/>
  <c r="O1327" i="25" s="1"/>
  <c r="T1926" i="17"/>
  <c r="AD1926" i="17" s="1"/>
  <c r="P1934" i="17"/>
  <c r="H1331" i="25" s="1"/>
  <c r="N1926" i="17"/>
  <c r="F1323" i="25" s="1"/>
  <c r="R1926" i="17"/>
  <c r="K1323" i="25" s="1"/>
  <c r="S1926" i="17"/>
  <c r="M1323" i="25" s="1"/>
  <c r="Q1926" i="17"/>
  <c r="I1323" i="25" s="1"/>
  <c r="N1930" i="17"/>
  <c r="F1327" i="25" s="1"/>
  <c r="S1883" i="17"/>
  <c r="M1280" i="25" s="1"/>
  <c r="T1911" i="17"/>
  <c r="O1308" i="25" s="1"/>
  <c r="R1930" i="17"/>
  <c r="AB1930" i="17" s="1"/>
  <c r="AN1984" i="17"/>
  <c r="T1992" i="17"/>
  <c r="Q1992" i="17"/>
  <c r="S1930" i="17"/>
  <c r="M1327" i="25" s="1"/>
  <c r="O1992" i="17"/>
  <c r="G1390" i="25" s="1"/>
  <c r="S1992" i="17"/>
  <c r="P1930" i="17"/>
  <c r="H1327" i="25" s="1"/>
  <c r="AL1902" i="17"/>
  <c r="S1940" i="17"/>
  <c r="M1337" i="25" s="1"/>
  <c r="S1942" i="17"/>
  <c r="M1339" i="25" s="1"/>
  <c r="AD1933" i="17"/>
  <c r="S1980" i="17"/>
  <c r="M1377" i="25" s="1"/>
  <c r="P1924" i="17"/>
  <c r="H1321" i="25" s="1"/>
  <c r="T1883" i="17"/>
  <c r="AD1883" i="17" s="1"/>
  <c r="S1933" i="17"/>
  <c r="AC1933" i="17" s="1"/>
  <c r="S1888" i="17"/>
  <c r="AC1888" i="17" s="1"/>
  <c r="R1942" i="17"/>
  <c r="AB1942" i="17" s="1"/>
  <c r="T1942" i="17"/>
  <c r="O1339" i="25" s="1"/>
  <c r="N1958" i="17"/>
  <c r="F1355" i="25" s="1"/>
  <c r="P1909" i="17"/>
  <c r="H1306" i="25" s="1"/>
  <c r="N1937" i="17"/>
  <c r="F1334" i="25" s="1"/>
  <c r="AL1958" i="17"/>
  <c r="O1942" i="17"/>
  <c r="G1339" i="25" s="1"/>
  <c r="Q1909" i="17"/>
  <c r="I1306" i="25" s="1"/>
  <c r="P1919" i="17"/>
  <c r="H1316" i="25" s="1"/>
  <c r="S1937" i="17"/>
  <c r="M1334" i="25" s="1"/>
  <c r="P1937" i="17"/>
  <c r="H1334" i="25" s="1"/>
  <c r="P1933" i="17"/>
  <c r="H1330" i="25" s="1"/>
  <c r="Q1933" i="17"/>
  <c r="I1330" i="25" s="1"/>
  <c r="R1933" i="17"/>
  <c r="K1330" i="25" s="1"/>
  <c r="AB1991" i="17"/>
  <c r="N1895" i="17"/>
  <c r="F1292" i="25" s="1"/>
  <c r="Q1937" i="17"/>
  <c r="AA1937" i="17" s="1"/>
  <c r="R1937" i="17"/>
  <c r="K1334" i="25" s="1"/>
  <c r="N1933" i="17"/>
  <c r="F1330" i="25" s="1"/>
  <c r="O1911" i="17"/>
  <c r="G1308" i="25" s="1"/>
  <c r="O1924" i="17"/>
  <c r="G1321" i="25" s="1"/>
  <c r="P1927" i="17"/>
  <c r="H1324" i="25" s="1"/>
  <c r="T1937" i="17"/>
  <c r="O1334" i="25" s="1"/>
  <c r="U2003" i="17"/>
  <c r="O1999" i="17"/>
  <c r="G1397" i="25" s="1"/>
  <c r="S1928" i="17"/>
  <c r="AC1928" i="17" s="1"/>
  <c r="Q2001" i="17"/>
  <c r="I1399" i="25" s="1"/>
  <c r="AM1882" i="17"/>
  <c r="P1936" i="17"/>
  <c r="H1333" i="25" s="1"/>
  <c r="N1991" i="17"/>
  <c r="F1389" i="25" s="1"/>
  <c r="T1940" i="17"/>
  <c r="O1337" i="25" s="1"/>
  <c r="AN1959" i="17"/>
  <c r="N1890" i="17"/>
  <c r="F1287" i="25" s="1"/>
  <c r="T1980" i="17"/>
  <c r="AD1980" i="17" s="1"/>
  <c r="N1883" i="17"/>
  <c r="F1280" i="25" s="1"/>
  <c r="O1927" i="17"/>
  <c r="G1324" i="25" s="1"/>
  <c r="AA1939" i="17"/>
  <c r="S1939" i="17"/>
  <c r="AC1939" i="17" s="1"/>
  <c r="Q1981" i="17"/>
  <c r="AA1981" i="17" s="1"/>
  <c r="S1981" i="17"/>
  <c r="AC1981" i="17" s="1"/>
  <c r="Q1900" i="17"/>
  <c r="I1297" i="25" s="1"/>
  <c r="S1900" i="17"/>
  <c r="M1297" i="25" s="1"/>
  <c r="Q1935" i="17"/>
  <c r="I1332" i="25" s="1"/>
  <c r="AN1925" i="17"/>
  <c r="AN1908" i="17"/>
  <c r="O1883" i="17"/>
  <c r="G1280" i="25" s="1"/>
  <c r="N1901" i="17"/>
  <c r="F1298" i="25" s="1"/>
  <c r="Q1934" i="17"/>
  <c r="I1331" i="25" s="1"/>
  <c r="AO1959" i="17"/>
  <c r="AL1975" i="17"/>
  <c r="N1911" i="17"/>
  <c r="F1308" i="25" s="1"/>
  <c r="T1934" i="17"/>
  <c r="O1331" i="25" s="1"/>
  <c r="AL1959" i="17"/>
  <c r="S1934" i="17"/>
  <c r="M1331" i="25" s="1"/>
  <c r="AN1946" i="17"/>
  <c r="AN1904" i="17"/>
  <c r="T2001" i="17"/>
  <c r="R1924" i="17"/>
  <c r="AB1924" i="17" s="1"/>
  <c r="AM1894" i="17"/>
  <c r="AC1924" i="17"/>
  <c r="O2001" i="17"/>
  <c r="G1399" i="25" s="1"/>
  <c r="R2001" i="17"/>
  <c r="R1932" i="17"/>
  <c r="K1329" i="25" s="1"/>
  <c r="AN1924" i="17"/>
  <c r="N1932" i="17"/>
  <c r="F1329" i="25" s="1"/>
  <c r="AB2003" i="17"/>
  <c r="T1932" i="17"/>
  <c r="O1329" i="25" s="1"/>
  <c r="O1932" i="17"/>
  <c r="G1329" i="25" s="1"/>
  <c r="T1902" i="17"/>
  <c r="AD1902" i="17" s="1"/>
  <c r="P1932" i="17"/>
  <c r="H1329" i="25" s="1"/>
  <c r="AA1895" i="17"/>
  <c r="AM1962" i="17"/>
  <c r="S1991" i="17"/>
  <c r="M1389" i="25" s="1"/>
  <c r="O1991" i="17"/>
  <c r="G1389" i="25" s="1"/>
  <c r="T1991" i="17"/>
  <c r="AB1941" i="17"/>
  <c r="AO1961" i="17"/>
  <c r="N1927" i="17"/>
  <c r="F1324" i="25" s="1"/>
  <c r="N1939" i="17"/>
  <c r="F1336" i="25" s="1"/>
  <c r="AO1948" i="17"/>
  <c r="AN1969" i="17"/>
  <c r="AO1963" i="17"/>
  <c r="AN1905" i="17"/>
  <c r="AD1952" i="17"/>
  <c r="N1943" i="17"/>
  <c r="F1340" i="25" s="1"/>
  <c r="R1882" i="17"/>
  <c r="AB1882" i="17" s="1"/>
  <c r="Q1911" i="17"/>
  <c r="I1308" i="25" s="1"/>
  <c r="P1911" i="17"/>
  <c r="H1308" i="25" s="1"/>
  <c r="T1943" i="17"/>
  <c r="AD1943" i="17" s="1"/>
  <c r="O1896" i="17"/>
  <c r="G1293" i="25" s="1"/>
  <c r="AL1985" i="17"/>
  <c r="R1943" i="17"/>
  <c r="K1340" i="25" s="1"/>
  <c r="S1943" i="17"/>
  <c r="T1908" i="17"/>
  <c r="O1305" i="25" s="1"/>
  <c r="N1918" i="17"/>
  <c r="F1315" i="25" s="1"/>
  <c r="O1918" i="17"/>
  <c r="G1315" i="25" s="1"/>
  <c r="O1904" i="17"/>
  <c r="G1301" i="25" s="1"/>
  <c r="Q1886" i="17"/>
  <c r="I1283" i="25" s="1"/>
  <c r="Q1904" i="17"/>
  <c r="AA1904" i="17" s="1"/>
  <c r="R1918" i="17"/>
  <c r="K1315" i="25" s="1"/>
  <c r="N1904" i="17"/>
  <c r="F1301" i="25" s="1"/>
  <c r="O1906" i="17"/>
  <c r="G1303" i="25" s="1"/>
  <c r="R1908" i="17"/>
  <c r="K1305" i="25" s="1"/>
  <c r="AO1957" i="17"/>
  <c r="AM1950" i="17"/>
  <c r="AN1981" i="17"/>
  <c r="AO1918" i="17"/>
  <c r="R1931" i="17"/>
  <c r="K1328" i="25" s="1"/>
  <c r="AN1966" i="17"/>
  <c r="AL1898" i="17"/>
  <c r="AC1911" i="17"/>
  <c r="O1901" i="17"/>
  <c r="G1298" i="25" s="1"/>
  <c r="AO1925" i="17"/>
  <c r="AD1905" i="17"/>
  <c r="Q1931" i="17"/>
  <c r="I1328" i="25" s="1"/>
  <c r="AM1918" i="17"/>
  <c r="O1986" i="17"/>
  <c r="G1383" i="25" s="1"/>
  <c r="T1931" i="17"/>
  <c r="AD1931" i="17" s="1"/>
  <c r="AN1971" i="17"/>
  <c r="S1932" i="17"/>
  <c r="M1329" i="25" s="1"/>
  <c r="AO1941" i="17"/>
  <c r="T1939" i="17"/>
  <c r="AD1939" i="17" s="1"/>
  <c r="AL1916" i="17"/>
  <c r="AN1961" i="17"/>
  <c r="AN1931" i="17"/>
  <c r="AM1947" i="17"/>
  <c r="AC1936" i="17"/>
  <c r="AA2002" i="17"/>
  <c r="AL1920" i="17"/>
  <c r="Q1908" i="17"/>
  <c r="I1305" i="25" s="1"/>
  <c r="P1977" i="17"/>
  <c r="H1374" i="25" s="1"/>
  <c r="N1887" i="17"/>
  <c r="F1284" i="25" s="1"/>
  <c r="AN1896" i="17"/>
  <c r="P1922" i="17"/>
  <c r="H1319" i="25" s="1"/>
  <c r="S1887" i="17"/>
  <c r="AC1887" i="17" s="1"/>
  <c r="P1918" i="17"/>
  <c r="H1315" i="25" s="1"/>
  <c r="T1904" i="17"/>
  <c r="P1904" i="17"/>
  <c r="H1301" i="25" s="1"/>
  <c r="AM1989" i="17"/>
  <c r="Q1977" i="17"/>
  <c r="I1374" i="25" s="1"/>
  <c r="N1960" i="17"/>
  <c r="F1357" i="25" s="1"/>
  <c r="O1977" i="17"/>
  <c r="G1374" i="25" s="1"/>
  <c r="O1887" i="17"/>
  <c r="G1284" i="25" s="1"/>
  <c r="T1918" i="17"/>
  <c r="O1315" i="25" s="1"/>
  <c r="Q1918" i="17"/>
  <c r="I1315" i="25" s="1"/>
  <c r="N1922" i="17"/>
  <c r="F1319" i="25" s="1"/>
  <c r="T1886" i="17"/>
  <c r="AD1886" i="17" s="1"/>
  <c r="Q1889" i="17"/>
  <c r="I1286" i="25" s="1"/>
  <c r="R1922" i="17"/>
  <c r="K1319" i="25" s="1"/>
  <c r="AA1922" i="17"/>
  <c r="P1962" i="17"/>
  <c r="H1359" i="25" s="1"/>
  <c r="Q1960" i="17"/>
  <c r="I1357" i="25" s="1"/>
  <c r="AN1919" i="17"/>
  <c r="AC1904" i="17"/>
  <c r="S1886" i="17"/>
  <c r="AC1886" i="17" s="1"/>
  <c r="N1908" i="17"/>
  <c r="F1305" i="25" s="1"/>
  <c r="S1908" i="17"/>
  <c r="M1305" i="25" s="1"/>
  <c r="AN1957" i="17"/>
  <c r="AM1964" i="17"/>
  <c r="O1922" i="17"/>
  <c r="G1319" i="25" s="1"/>
  <c r="O1908" i="17"/>
  <c r="G1305" i="25" s="1"/>
  <c r="R1898" i="17"/>
  <c r="AB1898" i="17" s="1"/>
  <c r="R1900" i="17"/>
  <c r="AB1900" i="17" s="1"/>
  <c r="P1981" i="17"/>
  <c r="H1378" i="25" s="1"/>
  <c r="P1912" i="17"/>
  <c r="H1309" i="25" s="1"/>
  <c r="AC1941" i="17"/>
  <c r="S1902" i="17"/>
  <c r="M1299" i="25" s="1"/>
  <c r="T1935" i="17"/>
  <c r="O1332" i="25" s="1"/>
  <c r="N1902" i="17"/>
  <c r="F1299" i="25" s="1"/>
  <c r="O1902" i="17"/>
  <c r="G1299" i="25" s="1"/>
  <c r="O1981" i="17"/>
  <c r="G1378" i="25" s="1"/>
  <c r="Q1912" i="17"/>
  <c r="I1309" i="25" s="1"/>
  <c r="P1939" i="17"/>
  <c r="H1336" i="25" s="1"/>
  <c r="R1981" i="17"/>
  <c r="K1378" i="25" s="1"/>
  <c r="R1935" i="17"/>
  <c r="AB1935" i="17" s="1"/>
  <c r="O1889" i="17"/>
  <c r="G1286" i="25" s="1"/>
  <c r="AL1900" i="17"/>
  <c r="N1935" i="17"/>
  <c r="F1332" i="25" s="1"/>
  <c r="Q1898" i="17"/>
  <c r="I1295" i="25" s="1"/>
  <c r="O1898" i="17"/>
  <c r="G1295" i="25" s="1"/>
  <c r="P1900" i="17"/>
  <c r="H1297" i="25" s="1"/>
  <c r="T1981" i="17"/>
  <c r="O1378" i="25" s="1"/>
  <c r="Q1902" i="17"/>
  <c r="I1299" i="25" s="1"/>
  <c r="R1902" i="17"/>
  <c r="AB1902" i="17" s="1"/>
  <c r="S1935" i="17"/>
  <c r="M1332" i="25" s="1"/>
  <c r="P1935" i="17"/>
  <c r="H1332" i="25" s="1"/>
  <c r="AA1943" i="17"/>
  <c r="AN1916" i="17"/>
  <c r="O1936" i="17"/>
  <c r="G1333" i="25" s="1"/>
  <c r="Q1930" i="17"/>
  <c r="AM1969" i="17"/>
  <c r="AM1900" i="17"/>
  <c r="AD1978" i="17"/>
  <c r="AO1886" i="17"/>
  <c r="AO1883" i="17"/>
  <c r="AO1983" i="17"/>
  <c r="AM1974" i="17"/>
  <c r="AO1953" i="17"/>
  <c r="AO1932" i="17"/>
  <c r="AM1980" i="17"/>
  <c r="R1912" i="17"/>
  <c r="K1309" i="25" s="1"/>
  <c r="AL1955" i="17"/>
  <c r="AO1973" i="17"/>
  <c r="P1967" i="17"/>
  <c r="H1364" i="25" s="1"/>
  <c r="N1884" i="17"/>
  <c r="F1281" i="25" s="1"/>
  <c r="AN1883" i="17"/>
  <c r="S1999" i="17"/>
  <c r="AC1994" i="17"/>
  <c r="O1890" i="17"/>
  <c r="G1287" i="25" s="1"/>
  <c r="Q1916" i="17"/>
  <c r="I1313" i="25" s="1"/>
  <c r="R1928" i="17"/>
  <c r="AB1928" i="17" s="1"/>
  <c r="AM1973" i="17"/>
  <c r="N1969" i="17"/>
  <c r="F1366" i="25" s="1"/>
  <c r="P1999" i="17"/>
  <c r="H1397" i="25" s="1"/>
  <c r="AO1884" i="17"/>
  <c r="O1967" i="17"/>
  <c r="G1364" i="25" s="1"/>
  <c r="Q1969" i="17"/>
  <c r="I1366" i="25" s="1"/>
  <c r="P1890" i="17"/>
  <c r="H1287" i="25" s="1"/>
  <c r="AM1883" i="17"/>
  <c r="Q1890" i="17"/>
  <c r="I1287" i="25" s="1"/>
  <c r="S1916" i="17"/>
  <c r="AC1916" i="17" s="1"/>
  <c r="N1928" i="17"/>
  <c r="F1325" i="25" s="1"/>
  <c r="N2001" i="17"/>
  <c r="F1399" i="25" s="1"/>
  <c r="Q1936" i="17"/>
  <c r="O1888" i="17"/>
  <c r="G1285" i="25" s="1"/>
  <c r="AD2003" i="17"/>
  <c r="AD1892" i="17"/>
  <c r="Q1999" i="17"/>
  <c r="T1916" i="17"/>
  <c r="AD1916" i="17" s="1"/>
  <c r="Q1980" i="17"/>
  <c r="AA1980" i="17" s="1"/>
  <c r="P1884" i="17"/>
  <c r="H1281" i="25" s="1"/>
  <c r="AL1971" i="17"/>
  <c r="Q1917" i="17"/>
  <c r="I1314" i="25" s="1"/>
  <c r="R1916" i="17"/>
  <c r="AB1916" i="17" s="1"/>
  <c r="P1928" i="17"/>
  <c r="H1325" i="25" s="1"/>
  <c r="Q1967" i="17"/>
  <c r="I1364" i="25" s="1"/>
  <c r="T1917" i="17"/>
  <c r="O1314" i="25" s="1"/>
  <c r="AM1899" i="17"/>
  <c r="T1900" i="17"/>
  <c r="P1917" i="17"/>
  <c r="H1314" i="25" s="1"/>
  <c r="T1928" i="17"/>
  <c r="AD1928" i="17" s="1"/>
  <c r="P1943" i="17"/>
  <c r="H1340" i="25" s="1"/>
  <c r="T1919" i="17"/>
  <c r="O1316" i="25" s="1"/>
  <c r="T1936" i="17"/>
  <c r="O1333" i="25" s="1"/>
  <c r="O1969" i="17"/>
  <c r="G1366" i="25" s="1"/>
  <c r="R1969" i="17"/>
  <c r="AB1969" i="17" s="1"/>
  <c r="S1969" i="17"/>
  <c r="M1366" i="25" s="1"/>
  <c r="T1969" i="17"/>
  <c r="AD1969" i="17" s="1"/>
  <c r="R1980" i="17"/>
  <c r="K1377" i="25" s="1"/>
  <c r="S1897" i="17"/>
  <c r="M1294" i="25" s="1"/>
  <c r="N1916" i="17"/>
  <c r="F1313" i="25" s="1"/>
  <c r="O1928" i="17"/>
  <c r="G1325" i="25" s="1"/>
  <c r="AA1952" i="17"/>
  <c r="AM1958" i="17"/>
  <c r="AL1969" i="17"/>
  <c r="AN1958" i="17"/>
  <c r="T1967" i="17"/>
  <c r="AD1967" i="17" s="1"/>
  <c r="R1977" i="17"/>
  <c r="AB1977" i="17" s="1"/>
  <c r="P1916" i="17"/>
  <c r="H1313" i="25" s="1"/>
  <c r="T1895" i="17"/>
  <c r="O1292" i="25" s="1"/>
  <c r="O1943" i="17"/>
  <c r="G1340" i="25" s="1"/>
  <c r="AM1937" i="17"/>
  <c r="N1984" i="17"/>
  <c r="F1381" i="25" s="1"/>
  <c r="AO1898" i="17"/>
  <c r="AM1897" i="17"/>
  <c r="AM1990" i="17"/>
  <c r="AO1931" i="17"/>
  <c r="AN1882" i="17"/>
  <c r="AO1929" i="17"/>
  <c r="AL1897" i="17"/>
  <c r="P1898" i="17"/>
  <c r="H1295" i="25" s="1"/>
  <c r="AL1991" i="17"/>
  <c r="AO1972" i="17"/>
  <c r="AM1917" i="17"/>
  <c r="AC1970" i="17"/>
  <c r="AL1961" i="17"/>
  <c r="S1922" i="17"/>
  <c r="M1319" i="25" s="1"/>
  <c r="AN1886" i="17"/>
  <c r="AN1945" i="17"/>
  <c r="AO1991" i="17"/>
  <c r="AM1931" i="17"/>
  <c r="AC1938" i="17"/>
  <c r="AN1917" i="17"/>
  <c r="T1922" i="17"/>
  <c r="O1319" i="25" s="1"/>
  <c r="AC1946" i="17"/>
  <c r="AN1903" i="17"/>
  <c r="S1909" i="17"/>
  <c r="M1306" i="25" s="1"/>
  <c r="AO1924" i="17"/>
  <c r="AL1931" i="17"/>
  <c r="N1931" i="17"/>
  <c r="F1328" i="25" s="1"/>
  <c r="Q1940" i="17"/>
  <c r="I1337" i="25" s="1"/>
  <c r="R1939" i="17"/>
  <c r="K1336" i="25" s="1"/>
  <c r="AL1989" i="17"/>
  <c r="S1919" i="17"/>
  <c r="AL1940" i="17"/>
  <c r="AM1963" i="17"/>
  <c r="AN1897" i="17"/>
  <c r="AM1910" i="17"/>
  <c r="AA1928" i="17"/>
  <c r="AO1899" i="17"/>
  <c r="S1967" i="17"/>
  <c r="R1999" i="17"/>
  <c r="O1917" i="17"/>
  <c r="G1314" i="25" s="1"/>
  <c r="Q1887" i="17"/>
  <c r="AO1975" i="17"/>
  <c r="AO1980" i="17"/>
  <c r="T1889" i="17"/>
  <c r="O1286" i="25" s="1"/>
  <c r="AL1913" i="17"/>
  <c r="AM1887" i="17"/>
  <c r="AL1942" i="17"/>
  <c r="AN1918" i="17"/>
  <c r="AC1945" i="17"/>
  <c r="AM1949" i="17"/>
  <c r="AN1964" i="17"/>
  <c r="AB1929" i="17"/>
  <c r="AN1974" i="17"/>
  <c r="AM1886" i="17"/>
  <c r="O1915" i="17"/>
  <c r="G1312" i="25" s="1"/>
  <c r="AL1886" i="17"/>
  <c r="AN1899" i="17"/>
  <c r="T1984" i="17"/>
  <c r="AD1984" i="17" s="1"/>
  <c r="Q1888" i="17"/>
  <c r="I1285" i="25" s="1"/>
  <c r="N1967" i="17"/>
  <c r="F1364" i="25" s="1"/>
  <c r="N1888" i="17"/>
  <c r="F1285" i="25" s="1"/>
  <c r="AB1990" i="17"/>
  <c r="S1915" i="17"/>
  <c r="M1312" i="25" s="1"/>
  <c r="AN1906" i="17"/>
  <c r="N1975" i="17"/>
  <c r="F1372" i="25" s="1"/>
  <c r="T1999" i="17"/>
  <c r="N1980" i="17"/>
  <c r="F1377" i="25" s="1"/>
  <c r="N1992" i="17"/>
  <c r="F1390" i="25" s="1"/>
  <c r="T1884" i="17"/>
  <c r="AD1884" i="17" s="1"/>
  <c r="AL1907" i="17"/>
  <c r="AL1973" i="17"/>
  <c r="AM1966" i="17"/>
  <c r="R1883" i="17"/>
  <c r="K1280" i="25" s="1"/>
  <c r="AN1912" i="17"/>
  <c r="R1909" i="17"/>
  <c r="AB1909" i="17" s="1"/>
  <c r="O1909" i="17"/>
  <c r="G1306" i="25" s="1"/>
  <c r="P1901" i="17"/>
  <c r="H1298" i="25" s="1"/>
  <c r="AL1974" i="17"/>
  <c r="AN1911" i="17"/>
  <c r="T1924" i="17"/>
  <c r="O1321" i="25" s="1"/>
  <c r="P1886" i="17"/>
  <c r="H1283" i="25" s="1"/>
  <c r="O1939" i="17"/>
  <c r="G1336" i="25" s="1"/>
  <c r="R1886" i="17"/>
  <c r="K1283" i="25" s="1"/>
  <c r="O1940" i="17"/>
  <c r="G1337" i="25" s="1"/>
  <c r="Q1919" i="17"/>
  <c r="S1927" i="17"/>
  <c r="AC1927" i="17" s="1"/>
  <c r="R1919" i="17"/>
  <c r="K1316" i="25" s="1"/>
  <c r="AM1991" i="17"/>
  <c r="AO1981" i="17"/>
  <c r="N1987" i="17"/>
  <c r="F1384" i="25" s="1"/>
  <c r="P1987" i="17"/>
  <c r="H1384" i="25" s="1"/>
  <c r="T1909" i="17"/>
  <c r="O1306" i="25" s="1"/>
  <c r="R1911" i="17"/>
  <c r="K1308" i="25" s="1"/>
  <c r="AB1927" i="17"/>
  <c r="AL1939" i="17"/>
  <c r="AN1894" i="17"/>
  <c r="AL1964" i="17"/>
  <c r="AO1988" i="17"/>
  <c r="AN1963" i="17"/>
  <c r="AL1918" i="17"/>
  <c r="AN1893" i="17"/>
  <c r="AN1988" i="17"/>
  <c r="AL1988" i="17"/>
  <c r="Q1927" i="17"/>
  <c r="I1324" i="25" s="1"/>
  <c r="T1927" i="17"/>
  <c r="O1324" i="25" s="1"/>
  <c r="AN1989" i="17"/>
  <c r="R1992" i="17"/>
  <c r="K1390" i="25" s="1"/>
  <c r="AN1975" i="17"/>
  <c r="AM1919" i="17"/>
  <c r="AO1947" i="17"/>
  <c r="AL1937" i="17"/>
  <c r="AM1943" i="17"/>
  <c r="AO1885" i="17"/>
  <c r="AL1951" i="17"/>
  <c r="AO1964" i="17"/>
  <c r="AL1949" i="17"/>
  <c r="AN1987" i="17"/>
  <c r="T1960" i="17"/>
  <c r="O1357" i="25" s="1"/>
  <c r="N1896" i="17"/>
  <c r="F1293" i="25" s="1"/>
  <c r="AL1979" i="17"/>
  <c r="AB1986" i="17"/>
  <c r="AN1895" i="17"/>
  <c r="AM1888" i="17"/>
  <c r="AO1896" i="17"/>
  <c r="AN1913" i="17"/>
  <c r="AN1915" i="17"/>
  <c r="S1917" i="17"/>
  <c r="M1314" i="25" s="1"/>
  <c r="Q1883" i="17"/>
  <c r="I1280" i="25" s="1"/>
  <c r="AM1903" i="17"/>
  <c r="AM1982" i="17"/>
  <c r="AM1953" i="17"/>
  <c r="AM1967" i="17"/>
  <c r="AN1949" i="17"/>
  <c r="AM1960" i="17"/>
  <c r="AO1935" i="17"/>
  <c r="T1958" i="17"/>
  <c r="O1355" i="25" s="1"/>
  <c r="S1958" i="17"/>
  <c r="M1355" i="25" s="1"/>
  <c r="AO1895" i="17"/>
  <c r="AL1987" i="17"/>
  <c r="P1986" i="17"/>
  <c r="H1383" i="25" s="1"/>
  <c r="AM1896" i="17"/>
  <c r="AD1920" i="17"/>
  <c r="AO1940" i="17"/>
  <c r="AL1889" i="17"/>
  <c r="R1917" i="17"/>
  <c r="K1314" i="25" s="1"/>
  <c r="AL1933" i="17"/>
  <c r="AM1901" i="17"/>
  <c r="AN1940" i="17"/>
  <c r="AL1885" i="17"/>
  <c r="O1882" i="17"/>
  <c r="G1279" i="25" s="1"/>
  <c r="R1958" i="17"/>
  <c r="K1355" i="25" s="1"/>
  <c r="R1960" i="17"/>
  <c r="AN1887" i="17"/>
  <c r="AM1985" i="17"/>
  <c r="P1882" i="17"/>
  <c r="H1279" i="25" s="1"/>
  <c r="AC1929" i="17"/>
  <c r="AN1941" i="17"/>
  <c r="AM1939" i="17"/>
  <c r="N1986" i="17"/>
  <c r="F1383" i="25" s="1"/>
  <c r="AL1896" i="17"/>
  <c r="AL1888" i="17"/>
  <c r="AO1911" i="17"/>
  <c r="AO1913" i="17"/>
  <c r="AM1889" i="17"/>
  <c r="AN1889" i="17"/>
  <c r="P1980" i="17"/>
  <c r="H1377" i="25" s="1"/>
  <c r="AM1895" i="17"/>
  <c r="AO1955" i="17"/>
  <c r="AO1910" i="17"/>
  <c r="AM1933" i="17"/>
  <c r="AN1888" i="17"/>
  <c r="AM1987" i="17"/>
  <c r="AO1987" i="17"/>
  <c r="O1886" i="17"/>
  <c r="G1283" i="25" s="1"/>
  <c r="AO1903" i="17"/>
  <c r="AN1921" i="17"/>
  <c r="AL1922" i="17"/>
  <c r="AM1940" i="17"/>
  <c r="T1896" i="17"/>
  <c r="O1293" i="25" s="1"/>
  <c r="Q1997" i="17"/>
  <c r="AM1941" i="17"/>
  <c r="O1950" i="17"/>
  <c r="G1347" i="25" s="1"/>
  <c r="O1960" i="17"/>
  <c r="G1357" i="25" s="1"/>
  <c r="AB2002" i="17"/>
  <c r="Q1958" i="17"/>
  <c r="AA1958" i="17" s="1"/>
  <c r="O1958" i="17"/>
  <c r="G1355" i="25" s="1"/>
  <c r="O1997" i="17"/>
  <c r="G1395" i="25" s="1"/>
  <c r="S1986" i="17"/>
  <c r="M1383" i="25" s="1"/>
  <c r="P1896" i="17"/>
  <c r="H1293" i="25" s="1"/>
  <c r="R1997" i="17"/>
  <c r="AO1888" i="17"/>
  <c r="S1896" i="17"/>
  <c r="M1293" i="25" s="1"/>
  <c r="P1997" i="17"/>
  <c r="H1395" i="25" s="1"/>
  <c r="AL1895" i="17"/>
  <c r="S1997" i="17"/>
  <c r="T1986" i="17"/>
  <c r="O1383" i="25" s="1"/>
  <c r="Q1896" i="17"/>
  <c r="I1293" i="25" s="1"/>
  <c r="U1929" i="17"/>
  <c r="AG1929" i="17" s="1"/>
  <c r="T1997" i="17"/>
  <c r="Q1986" i="17"/>
  <c r="AA1986" i="17" s="1"/>
  <c r="AM1921" i="17"/>
  <c r="AO1887" i="17"/>
  <c r="AL1887" i="17"/>
  <c r="AO1966" i="17"/>
  <c r="AM1893" i="17"/>
  <c r="AN1934" i="17"/>
  <c r="AM1978" i="17"/>
  <c r="AL1932" i="17"/>
  <c r="AL1954" i="17"/>
  <c r="AD2002" i="17"/>
  <c r="AO1938" i="17"/>
  <c r="AL1911" i="17"/>
  <c r="AO1970" i="17"/>
  <c r="AO1962" i="17"/>
  <c r="AO1906" i="17"/>
  <c r="AN1938" i="17"/>
  <c r="AL1943" i="17"/>
  <c r="S2001" i="17"/>
  <c r="AL1919" i="17"/>
  <c r="AM1911" i="17"/>
  <c r="AM1965" i="17"/>
  <c r="AO1990" i="17"/>
  <c r="O1919" i="17"/>
  <c r="G1316" i="25" s="1"/>
  <c r="AN1935" i="17"/>
  <c r="AL1968" i="17"/>
  <c r="AN1901" i="17"/>
  <c r="AM1907" i="17"/>
  <c r="AM1938" i="17"/>
  <c r="AO1946" i="17"/>
  <c r="AN1914" i="17"/>
  <c r="AO1977" i="17"/>
  <c r="AN1978" i="17"/>
  <c r="AL1947" i="17"/>
  <c r="O1910" i="17"/>
  <c r="G1307" i="25" s="1"/>
  <c r="AN1953" i="17"/>
  <c r="AO1954" i="17"/>
  <c r="AA1964" i="17"/>
  <c r="Q1998" i="17"/>
  <c r="I1396" i="25" s="1"/>
  <c r="T1907" i="17"/>
  <c r="O1304" i="25" s="1"/>
  <c r="AN1967" i="17"/>
  <c r="AL1966" i="17"/>
  <c r="AO1979" i="17"/>
  <c r="AM1892" i="17"/>
  <c r="AL1938" i="17"/>
  <c r="AO1944" i="17"/>
  <c r="AN1932" i="17"/>
  <c r="AN1979" i="17"/>
  <c r="K1281" i="25"/>
  <c r="AB1884" i="17"/>
  <c r="AM1930" i="17"/>
  <c r="AO1894" i="17"/>
  <c r="AO1926" i="17"/>
  <c r="AN1902" i="17"/>
  <c r="AN1950" i="17"/>
  <c r="AL1930" i="17"/>
  <c r="AO1934" i="17"/>
  <c r="AN1929" i="17"/>
  <c r="AO1897" i="17"/>
  <c r="S1960" i="17"/>
  <c r="AC1960" i="17" s="1"/>
  <c r="Q1984" i="17"/>
  <c r="I1381" i="25" s="1"/>
  <c r="N1998" i="17"/>
  <c r="F1396" i="25" s="1"/>
  <c r="O1998" i="17"/>
  <c r="G1396" i="25" s="1"/>
  <c r="AA1932" i="17"/>
  <c r="AB1945" i="17"/>
  <c r="AM1932" i="17"/>
  <c r="P1895" i="17"/>
  <c r="H1292" i="25" s="1"/>
  <c r="AO1893" i="17"/>
  <c r="AL1901" i="17"/>
  <c r="AO1909" i="17"/>
  <c r="AL1970" i="17"/>
  <c r="AM1912" i="17"/>
  <c r="AL1906" i="17"/>
  <c r="S1985" i="17"/>
  <c r="AC1985" i="17" s="1"/>
  <c r="AD1995" i="17"/>
  <c r="AL1910" i="17"/>
  <c r="AM1920" i="17"/>
  <c r="P1931" i="17"/>
  <c r="H1328" i="25" s="1"/>
  <c r="AN1937" i="17"/>
  <c r="P1915" i="17"/>
  <c r="H1312" i="25" s="1"/>
  <c r="AA1970" i="17"/>
  <c r="AM1926" i="17"/>
  <c r="AL1983" i="17"/>
  <c r="AO1965" i="17"/>
  <c r="AM1902" i="17"/>
  <c r="AL1917" i="17"/>
  <c r="AO1937" i="17"/>
  <c r="AO1930" i="17"/>
  <c r="AN1900" i="17"/>
  <c r="AO1900" i="17"/>
  <c r="AL1899" i="17"/>
  <c r="AN1909" i="17"/>
  <c r="Q1884" i="17"/>
  <c r="S1884" i="17"/>
  <c r="AO1908" i="17"/>
  <c r="AM1914" i="17"/>
  <c r="T1898" i="17"/>
  <c r="O1295" i="25" s="1"/>
  <c r="AL1921" i="17"/>
  <c r="AO1915" i="17"/>
  <c r="AN1943" i="17"/>
  <c r="T1915" i="17"/>
  <c r="O1312" i="25" s="1"/>
  <c r="R1895" i="17"/>
  <c r="K1292" i="25" s="1"/>
  <c r="AL1965" i="17"/>
  <c r="AL1981" i="17"/>
  <c r="O1884" i="17"/>
  <c r="G1281" i="25" s="1"/>
  <c r="AO1920" i="17"/>
  <c r="AO1967" i="17"/>
  <c r="AM1925" i="17"/>
  <c r="AN1965" i="17"/>
  <c r="AN1955" i="17"/>
  <c r="AM1929" i="17"/>
  <c r="AL1936" i="17"/>
  <c r="R1984" i="17"/>
  <c r="AB1984" i="17" s="1"/>
  <c r="AC1905" i="17"/>
  <c r="AN1910" i="17"/>
  <c r="S1931" i="17"/>
  <c r="S1898" i="17"/>
  <c r="M1295" i="25" s="1"/>
  <c r="R1915" i="17"/>
  <c r="K1312" i="25" s="1"/>
  <c r="AM1983" i="17"/>
  <c r="AN1926" i="17"/>
  <c r="AM1909" i="17"/>
  <c r="AM1934" i="17"/>
  <c r="AN1973" i="17"/>
  <c r="AO1969" i="17"/>
  <c r="AN1930" i="17"/>
  <c r="I1312" i="25"/>
  <c r="AB1952" i="17"/>
  <c r="K1349" i="25"/>
  <c r="AA1978" i="17"/>
  <c r="I1375" i="25"/>
  <c r="AB1892" i="17"/>
  <c r="K1289" i="25"/>
  <c r="AM1957" i="17"/>
  <c r="AO1974" i="17"/>
  <c r="AN1939" i="17"/>
  <c r="AO1905" i="17"/>
  <c r="AL1967" i="17"/>
  <c r="AM1906" i="17"/>
  <c r="AN1986" i="17"/>
  <c r="AM1986" i="17"/>
  <c r="AL1986" i="17"/>
  <c r="AL1946" i="17"/>
  <c r="AM1946" i="17"/>
  <c r="AL1945" i="17"/>
  <c r="AM1945" i="17"/>
  <c r="AO1921" i="17"/>
  <c r="AN1922" i="17"/>
  <c r="AM1922" i="17"/>
  <c r="AM1885" i="17"/>
  <c r="AB1956" i="17"/>
  <c r="AC1973" i="17"/>
  <c r="M1370" i="25"/>
  <c r="AB1982" i="17"/>
  <c r="K1379" i="25"/>
  <c r="AC1914" i="17"/>
  <c r="M1311" i="25"/>
  <c r="AD1913" i="17"/>
  <c r="O1310" i="25"/>
  <c r="AB1896" i="17"/>
  <c r="K1293" i="25"/>
  <c r="AA1905" i="17"/>
  <c r="I1302" i="25"/>
  <c r="AA1929" i="17"/>
  <c r="I1326" i="25"/>
  <c r="AM1959" i="17"/>
  <c r="AO1952" i="17"/>
  <c r="AL1952" i="17"/>
  <c r="AM1952" i="17"/>
  <c r="AN1952" i="17"/>
  <c r="AN1936" i="17"/>
  <c r="AO1936" i="17"/>
  <c r="AM1944" i="17"/>
  <c r="AL1941" i="17"/>
  <c r="R1901" i="17"/>
  <c r="S1901" i="17"/>
  <c r="T1901" i="17"/>
  <c r="AD1903" i="17"/>
  <c r="O1300" i="25"/>
  <c r="AD1955" i="17"/>
  <c r="O1352" i="25"/>
  <c r="AC1955" i="17"/>
  <c r="M1352" i="25"/>
  <c r="AA1901" i="17"/>
  <c r="AD1897" i="17"/>
  <c r="O1294" i="25"/>
  <c r="AO1917" i="17"/>
  <c r="N1915" i="17"/>
  <c r="F1312" i="25" s="1"/>
  <c r="AL1935" i="17"/>
  <c r="AM1935" i="17"/>
  <c r="AO1950" i="17"/>
  <c r="AN1933" i="17"/>
  <c r="AM1948" i="17"/>
  <c r="AM1971" i="17"/>
  <c r="AO1971" i="17"/>
  <c r="AL1912" i="17"/>
  <c r="AL1909" i="17"/>
  <c r="T1887" i="17"/>
  <c r="R1887" i="17"/>
  <c r="AB1887" i="17" s="1"/>
  <c r="AL1905" i="17"/>
  <c r="AL1904" i="17"/>
  <c r="AO1904" i="17"/>
  <c r="AL1962" i="17"/>
  <c r="AM1979" i="17"/>
  <c r="AL1894" i="17"/>
  <c r="AL1978" i="17"/>
  <c r="AO1916" i="17"/>
  <c r="P1888" i="17"/>
  <c r="H1285" i="25" s="1"/>
  <c r="R1888" i="17"/>
  <c r="K1285" i="25" s="1"/>
  <c r="AO1945" i="17"/>
  <c r="AO1901" i="17"/>
  <c r="AO1914" i="17"/>
  <c r="AD1965" i="17"/>
  <c r="O1362" i="25"/>
  <c r="AB1890" i="17"/>
  <c r="K1287" i="25"/>
  <c r="AD1885" i="17"/>
  <c r="O1282" i="25"/>
  <c r="AC1889" i="17"/>
  <c r="M1286" i="25"/>
  <c r="AC1940" i="17"/>
  <c r="AD1972" i="17"/>
  <c r="O1369" i="25"/>
  <c r="O1377" i="25"/>
  <c r="AC1893" i="17"/>
  <c r="AB1955" i="17"/>
  <c r="AC1885" i="17"/>
  <c r="M1282" i="25"/>
  <c r="AL1944" i="17"/>
  <c r="AN1944" i="17"/>
  <c r="AN1982" i="17"/>
  <c r="N1977" i="17"/>
  <c r="F1374" i="25" s="1"/>
  <c r="S1977" i="17"/>
  <c r="AL1984" i="17"/>
  <c r="AM1984" i="17"/>
  <c r="AL1914" i="17"/>
  <c r="AN1980" i="17"/>
  <c r="AM1981" i="17"/>
  <c r="AO1892" i="17"/>
  <c r="AL1972" i="17"/>
  <c r="AM1972" i="17"/>
  <c r="AN1947" i="17"/>
  <c r="I1298" i="25"/>
  <c r="N1983" i="17"/>
  <c r="F1380" i="25" s="1"/>
  <c r="AB1914" i="17"/>
  <c r="K1311" i="25"/>
  <c r="AD1946" i="17"/>
  <c r="AD1985" i="17"/>
  <c r="O1382" i="25"/>
  <c r="AB1968" i="17"/>
  <c r="K1365" i="25"/>
  <c r="AA1944" i="17"/>
  <c r="AD1977" i="17"/>
  <c r="O1374" i="25"/>
  <c r="AM1951" i="17"/>
  <c r="AO1949" i="17"/>
  <c r="AO1951" i="17"/>
  <c r="AN1942" i="17"/>
  <c r="AM1942" i="17"/>
  <c r="AN1983" i="17"/>
  <c r="AL1982" i="17"/>
  <c r="AL1953" i="17"/>
  <c r="AM1988" i="17"/>
  <c r="AL1980" i="17"/>
  <c r="O1912" i="17"/>
  <c r="G1309" i="25" s="1"/>
  <c r="S1912" i="17"/>
  <c r="M1309" i="25" s="1"/>
  <c r="T1912" i="17"/>
  <c r="AN1885" i="17"/>
  <c r="AM1961" i="17"/>
  <c r="AM1905" i="17"/>
  <c r="AM1916" i="17"/>
  <c r="AL1915" i="17"/>
  <c r="AD1964" i="17"/>
  <c r="O1361" i="25"/>
  <c r="U1946" i="17"/>
  <c r="I1343" i="25"/>
  <c r="AB1946" i="17"/>
  <c r="K1343" i="25"/>
  <c r="AB1978" i="17"/>
  <c r="K1375" i="25"/>
  <c r="AC1989" i="17"/>
  <c r="M1386" i="25"/>
  <c r="AB1894" i="17"/>
  <c r="K1291" i="25"/>
  <c r="AB1920" i="17"/>
  <c r="K1317" i="25"/>
  <c r="AB1950" i="17"/>
  <c r="K1347" i="25"/>
  <c r="AA1913" i="17"/>
  <c r="AB1893" i="17"/>
  <c r="K1290" i="25"/>
  <c r="AB1970" i="17"/>
  <c r="AO1982" i="17"/>
  <c r="AN1951" i="17"/>
  <c r="AN1954" i="17"/>
  <c r="AL1950" i="17"/>
  <c r="AL1934" i="17"/>
  <c r="AO1989" i="17"/>
  <c r="AO1943" i="17"/>
  <c r="AO1956" i="17"/>
  <c r="AL1948" i="17"/>
  <c r="AN1948" i="17"/>
  <c r="AM1954" i="17"/>
  <c r="S1962" i="17"/>
  <c r="O1962" i="17"/>
  <c r="G1359" i="25" s="1"/>
  <c r="T1962" i="17"/>
  <c r="AL1977" i="17"/>
  <c r="AO1939" i="17"/>
  <c r="AN1907" i="17"/>
  <c r="AO1907" i="17"/>
  <c r="AN1920" i="17"/>
  <c r="AN1985" i="17"/>
  <c r="AD1968" i="17"/>
  <c r="O1365" i="25"/>
  <c r="AC1965" i="17"/>
  <c r="M1362" i="25"/>
  <c r="AD1893" i="17"/>
  <c r="O1290" i="25"/>
  <c r="U1938" i="17"/>
  <c r="K1335" i="25"/>
  <c r="AC1920" i="17"/>
  <c r="M1317" i="25"/>
  <c r="AA1956" i="17"/>
  <c r="I1353" i="25"/>
  <c r="AC1953" i="17"/>
  <c r="M1350" i="25"/>
  <c r="AB1885" i="17"/>
  <c r="K1282" i="25"/>
  <c r="AA1945" i="17"/>
  <c r="I1342" i="25"/>
  <c r="AA1941" i="17"/>
  <c r="I1338" i="25"/>
  <c r="AO1958" i="17"/>
  <c r="AL1957" i="17"/>
  <c r="AO1942" i="17"/>
  <c r="AM1956" i="17"/>
  <c r="AN1956" i="17"/>
  <c r="AM1968" i="17"/>
  <c r="AO1968" i="17"/>
  <c r="S1882" i="17"/>
  <c r="N1882" i="17"/>
  <c r="F1279" i="25" s="1"/>
  <c r="T1882" i="17"/>
  <c r="O1279" i="25" s="1"/>
  <c r="AM1898" i="17"/>
  <c r="AN1898" i="17"/>
  <c r="AL1926" i="17"/>
  <c r="AL1924" i="17"/>
  <c r="AN1970" i="17"/>
  <c r="AL1893" i="17"/>
  <c r="AO1919" i="17"/>
  <c r="AL1908" i="17"/>
  <c r="AM1936" i="17"/>
  <c r="AA1962" i="17"/>
  <c r="I1359" i="25"/>
  <c r="AB1972" i="17"/>
  <c r="K1369" i="25"/>
  <c r="AB1965" i="17"/>
  <c r="K1362" i="25"/>
  <c r="AD1982" i="17"/>
  <c r="O1379" i="25"/>
  <c r="AC1957" i="17"/>
  <c r="M1354" i="25"/>
  <c r="AB1971" i="17"/>
  <c r="K1368" i="25"/>
  <c r="AC1971" i="17"/>
  <c r="M1368" i="25"/>
  <c r="AD1989" i="17"/>
  <c r="O1386" i="25"/>
  <c r="AC1972" i="17"/>
  <c r="M1369" i="25"/>
  <c r="K1321" i="25"/>
  <c r="AB1944" i="17"/>
  <c r="K1341" i="25"/>
  <c r="AD1970" i="17"/>
  <c r="O1367" i="25"/>
  <c r="AC1952" i="17"/>
  <c r="M1349" i="25"/>
  <c r="AC1978" i="17"/>
  <c r="M1375" i="25"/>
  <c r="AM1915" i="17"/>
  <c r="AA1893" i="17"/>
  <c r="I1290" i="25"/>
  <c r="U1941" i="17"/>
  <c r="AD1894" i="17"/>
  <c r="O1291" i="25"/>
  <c r="AL1956" i="17"/>
  <c r="AM1955" i="17"/>
  <c r="AN1968" i="17"/>
  <c r="AL1960" i="17"/>
  <c r="AN1960" i="17"/>
  <c r="AO1960" i="17"/>
  <c r="AN1972" i="17"/>
  <c r="AM1908" i="17"/>
  <c r="AO1985" i="17"/>
  <c r="AM1977" i="17"/>
  <c r="AO1978" i="17"/>
  <c r="AN1892" i="17"/>
  <c r="AN1962" i="17"/>
  <c r="AL1963" i="17"/>
  <c r="AL1990" i="17"/>
  <c r="AL1884" i="17"/>
  <c r="AM1884" i="17"/>
  <c r="AN1884" i="17"/>
  <c r="AM1924" i="17"/>
  <c r="AM1970" i="17"/>
  <c r="AO1933" i="17"/>
  <c r="AM1904" i="17"/>
  <c r="AA1953" i="17"/>
  <c r="AD1971" i="17"/>
  <c r="AB1905" i="17"/>
  <c r="AA1886" i="17"/>
  <c r="T1957" i="17"/>
  <c r="U1893" i="17"/>
  <c r="O1957" i="17"/>
  <c r="G1354" i="25" s="1"/>
  <c r="AD1994" i="17"/>
  <c r="AC1913" i="17"/>
  <c r="U1905" i="17"/>
  <c r="Q1302" i="25" s="1"/>
  <c r="AA2003" i="17"/>
  <c r="R1957" i="17"/>
  <c r="AB1994" i="17"/>
  <c r="U1968" i="17"/>
  <c r="R1988" i="17"/>
  <c r="K1385" i="25" s="1"/>
  <c r="O1907" i="17"/>
  <c r="G1304" i="25" s="1"/>
  <c r="AC1944" i="17"/>
  <c r="AD1914" i="17"/>
  <c r="U1894" i="17"/>
  <c r="Q1291" i="25" s="1"/>
  <c r="U2002" i="17"/>
  <c r="P1897" i="17"/>
  <c r="H1294" i="25" s="1"/>
  <c r="R1976" i="17"/>
  <c r="R1987" i="17"/>
  <c r="S1976" i="17"/>
  <c r="Q1987" i="17"/>
  <c r="I1384" i="25" s="1"/>
  <c r="U1989" i="17"/>
  <c r="AD1953" i="17"/>
  <c r="U1945" i="17"/>
  <c r="U1971" i="17"/>
  <c r="O1897" i="17"/>
  <c r="G1294" i="25" s="1"/>
  <c r="U1964" i="17"/>
  <c r="Q1361" i="25" s="1"/>
  <c r="S1961" i="17"/>
  <c r="S1983" i="17"/>
  <c r="AB1964" i="17"/>
  <c r="AC1903" i="17"/>
  <c r="U1965" i="17"/>
  <c r="AG1965" i="17" s="1"/>
  <c r="O1963" i="17"/>
  <c r="G1360" i="25" s="1"/>
  <c r="U1978" i="17"/>
  <c r="AC1918" i="17"/>
  <c r="Q1976" i="17"/>
  <c r="I1373" i="25" s="1"/>
  <c r="P1976" i="17"/>
  <c r="H1373" i="25" s="1"/>
  <c r="T1976" i="17"/>
  <c r="T1998" i="17"/>
  <c r="P1998" i="17"/>
  <c r="H1396" i="25" s="1"/>
  <c r="S1899" i="17"/>
  <c r="P1899" i="17"/>
  <c r="H1296" i="25" s="1"/>
  <c r="O1899" i="17"/>
  <c r="G1296" i="25" s="1"/>
  <c r="T1899" i="17"/>
  <c r="N1899" i="17"/>
  <c r="F1296" i="25" s="1"/>
  <c r="Q1899" i="17"/>
  <c r="I1296" i="25" s="1"/>
  <c r="R1899" i="17"/>
  <c r="K1296" i="25" s="1"/>
  <c r="N1923" i="17"/>
  <c r="F1320" i="25" s="1"/>
  <c r="Q1923" i="17"/>
  <c r="I1320" i="25" s="1"/>
  <c r="R1923" i="17"/>
  <c r="S1923" i="17"/>
  <c r="T1923" i="17"/>
  <c r="O1923" i="17"/>
  <c r="G1320" i="25" s="1"/>
  <c r="P1923" i="17"/>
  <c r="H1320" i="25" s="1"/>
  <c r="O1949" i="17"/>
  <c r="G1346" i="25" s="1"/>
  <c r="R1973" i="17"/>
  <c r="R1998" i="17"/>
  <c r="N1948" i="17"/>
  <c r="F1345" i="25" s="1"/>
  <c r="O1948" i="17"/>
  <c r="G1345" i="25" s="1"/>
  <c r="P1948" i="17"/>
  <c r="H1345" i="25" s="1"/>
  <c r="Q1948" i="17"/>
  <c r="R1948" i="17"/>
  <c r="S1948" i="17"/>
  <c r="T1948" i="17"/>
  <c r="O1345" i="25" s="1"/>
  <c r="AB1967" i="17"/>
  <c r="P1979" i="17"/>
  <c r="H1376" i="25" s="1"/>
  <c r="T1979" i="17"/>
  <c r="O1376" i="25" s="1"/>
  <c r="O1979" i="17"/>
  <c r="G1376" i="25" s="1"/>
  <c r="Q1979" i="17"/>
  <c r="I1376" i="25" s="1"/>
  <c r="R1979" i="17"/>
  <c r="S1979" i="17"/>
  <c r="N1979" i="17"/>
  <c r="F1376" i="25" s="1"/>
  <c r="T1925" i="17"/>
  <c r="P1925" i="17"/>
  <c r="H1322" i="25" s="1"/>
  <c r="O1925" i="17"/>
  <c r="G1322" i="25" s="1"/>
  <c r="Q1925" i="17"/>
  <c r="I1322" i="25" s="1"/>
  <c r="R1925" i="17"/>
  <c r="S1925" i="17"/>
  <c r="N1925" i="17"/>
  <c r="F1322" i="25" s="1"/>
  <c r="AA1915" i="17"/>
  <c r="AA1989" i="17"/>
  <c r="T1890" i="17"/>
  <c r="S1890" i="17"/>
  <c r="R1995" i="17"/>
  <c r="Q1995" i="17"/>
  <c r="P1995" i="17"/>
  <c r="H1393" i="25" s="1"/>
  <c r="O1995" i="17"/>
  <c r="G1393" i="25" s="1"/>
  <c r="N1995" i="17"/>
  <c r="F1393" i="25" s="1"/>
  <c r="T1993" i="17"/>
  <c r="S1993" i="17"/>
  <c r="P1993" i="17"/>
  <c r="H1391" i="25" s="1"/>
  <c r="N1993" i="17"/>
  <c r="F1391" i="25" s="1"/>
  <c r="O1993" i="17"/>
  <c r="G1391" i="25" s="1"/>
  <c r="Q1993" i="17"/>
  <c r="I1391" i="25" s="1"/>
  <c r="R1993" i="17"/>
  <c r="S1891" i="17"/>
  <c r="T1891" i="17"/>
  <c r="P1891" i="17"/>
  <c r="H1288" i="25" s="1"/>
  <c r="Q1891" i="17"/>
  <c r="I1288" i="25" s="1"/>
  <c r="R1891" i="17"/>
  <c r="N1891" i="17"/>
  <c r="F1288" i="25" s="1"/>
  <c r="O1891" i="17"/>
  <c r="G1288" i="25" s="1"/>
  <c r="T1921" i="17"/>
  <c r="S1921" i="17"/>
  <c r="P1921" i="17"/>
  <c r="H1318" i="25" s="1"/>
  <c r="Q1921" i="17"/>
  <c r="I1318" i="25" s="1"/>
  <c r="R1921" i="17"/>
  <c r="N1921" i="17"/>
  <c r="F1318" i="25" s="1"/>
  <c r="O1921" i="17"/>
  <c r="G1318" i="25" s="1"/>
  <c r="S1995" i="17"/>
  <c r="N1957" i="17"/>
  <c r="F1354" i="25" s="1"/>
  <c r="P1957" i="17"/>
  <c r="H1354" i="25" s="1"/>
  <c r="S1975" i="17"/>
  <c r="R1975" i="17"/>
  <c r="T1975" i="17"/>
  <c r="P1975" i="17"/>
  <c r="H1372" i="25" s="1"/>
  <c r="Q1975" i="17"/>
  <c r="I1372" i="25" s="1"/>
  <c r="Q1966" i="17"/>
  <c r="P1966" i="17"/>
  <c r="H1363" i="25" s="1"/>
  <c r="R1966" i="17"/>
  <c r="K1363" i="25" s="1"/>
  <c r="S1966" i="17"/>
  <c r="T1966" i="17"/>
  <c r="N1966" i="17"/>
  <c r="F1363" i="25" s="1"/>
  <c r="O1966" i="17"/>
  <c r="G1363" i="25" s="1"/>
  <c r="O1987" i="17"/>
  <c r="G1384" i="25" s="1"/>
  <c r="T1987" i="17"/>
  <c r="AC2002" i="17"/>
  <c r="N1889" i="17"/>
  <c r="F1286" i="25" s="1"/>
  <c r="P1889" i="17"/>
  <c r="H1286" i="25" s="1"/>
  <c r="R1889" i="17"/>
  <c r="S1984" i="17"/>
  <c r="P1984" i="17"/>
  <c r="H1381" i="25" s="1"/>
  <c r="R1974" i="17"/>
  <c r="K1371" i="25" s="1"/>
  <c r="S1974" i="17"/>
  <c r="O1974" i="17"/>
  <c r="G1371" i="25" s="1"/>
  <c r="T1974" i="17"/>
  <c r="N1974" i="17"/>
  <c r="F1371" i="25" s="1"/>
  <c r="P1974" i="17"/>
  <c r="H1371" i="25" s="1"/>
  <c r="Q1974" i="17"/>
  <c r="R1996" i="17"/>
  <c r="P1996" i="17"/>
  <c r="H1394" i="25" s="1"/>
  <c r="Q1996" i="17"/>
  <c r="T1996" i="17"/>
  <c r="N1996" i="17"/>
  <c r="F1394" i="25" s="1"/>
  <c r="O1996" i="17"/>
  <c r="G1394" i="25" s="1"/>
  <c r="S1996" i="17"/>
  <c r="AA1938" i="17"/>
  <c r="AB1913" i="17"/>
  <c r="U1952" i="17"/>
  <c r="O1973" i="17"/>
  <c r="G1370" i="25" s="1"/>
  <c r="N1973" i="17"/>
  <c r="F1370" i="25" s="1"/>
  <c r="P1973" i="17"/>
  <c r="H1370" i="25" s="1"/>
  <c r="U1970" i="17"/>
  <c r="Q1985" i="17"/>
  <c r="P1985" i="17"/>
  <c r="H1382" i="25" s="1"/>
  <c r="O1985" i="17"/>
  <c r="G1382" i="25" s="1"/>
  <c r="R1985" i="17"/>
  <c r="N1985" i="17"/>
  <c r="F1382" i="25" s="1"/>
  <c r="AB1953" i="17"/>
  <c r="S1988" i="17"/>
  <c r="P1988" i="17"/>
  <c r="H1385" i="25" s="1"/>
  <c r="S1959" i="17"/>
  <c r="R1959" i="17"/>
  <c r="T1959" i="17"/>
  <c r="O1356" i="25" s="1"/>
  <c r="P1959" i="17"/>
  <c r="H1356" i="25" s="1"/>
  <c r="Q1959" i="17"/>
  <c r="I1356" i="25" s="1"/>
  <c r="N1961" i="17"/>
  <c r="F1358" i="25" s="1"/>
  <c r="P1961" i="17"/>
  <c r="H1358" i="25" s="1"/>
  <c r="O1961" i="17"/>
  <c r="G1358" i="25" s="1"/>
  <c r="O1947" i="17"/>
  <c r="G1344" i="25" s="1"/>
  <c r="P1947" i="17"/>
  <c r="H1344" i="25" s="1"/>
  <c r="Q1947" i="17"/>
  <c r="R1947" i="17"/>
  <c r="S1947" i="17"/>
  <c r="T1947" i="17"/>
  <c r="N1947" i="17"/>
  <c r="F1344" i="25" s="1"/>
  <c r="N1950" i="17"/>
  <c r="F1347" i="25" s="1"/>
  <c r="P1950" i="17"/>
  <c r="H1347" i="25" s="1"/>
  <c r="S1950" i="17"/>
  <c r="T1950" i="17"/>
  <c r="N1949" i="17"/>
  <c r="F1346" i="25" s="1"/>
  <c r="P1949" i="17"/>
  <c r="H1346" i="25" s="1"/>
  <c r="R1949" i="17"/>
  <c r="S1949" i="17"/>
  <c r="T1949" i="17"/>
  <c r="AD1949" i="17" s="1"/>
  <c r="R1951" i="17"/>
  <c r="S1951" i="17"/>
  <c r="T1951" i="17"/>
  <c r="O1348" i="25" s="1"/>
  <c r="N1951" i="17"/>
  <c r="F1348" i="25" s="1"/>
  <c r="O1951" i="17"/>
  <c r="G1348" i="25" s="1"/>
  <c r="P1951" i="17"/>
  <c r="H1348" i="25" s="1"/>
  <c r="Q1951" i="17"/>
  <c r="AA1971" i="17"/>
  <c r="S1963" i="17"/>
  <c r="R1963" i="17"/>
  <c r="P1963" i="17"/>
  <c r="H1360" i="25" s="1"/>
  <c r="Q1963" i="17"/>
  <c r="I1360" i="25" s="1"/>
  <c r="T1963" i="17"/>
  <c r="O1360" i="25" s="1"/>
  <c r="O1983" i="17"/>
  <c r="G1380" i="25" s="1"/>
  <c r="P1983" i="17"/>
  <c r="H1380" i="25" s="1"/>
  <c r="T1983" i="17"/>
  <c r="S1907" i="17"/>
  <c r="R1907" i="17"/>
  <c r="P1907" i="17"/>
  <c r="H1304" i="25" s="1"/>
  <c r="Q1907" i="17"/>
  <c r="S1910" i="17"/>
  <c r="T1910" i="17"/>
  <c r="R1910" i="17"/>
  <c r="Q1910" i="17"/>
  <c r="I1307" i="25" s="1"/>
  <c r="P1910" i="17"/>
  <c r="H1307" i="25" s="1"/>
  <c r="AD1888" i="17"/>
  <c r="Q1988" i="17"/>
  <c r="I1385" i="25" s="1"/>
  <c r="Q1957" i="17"/>
  <c r="Q1973" i="17"/>
  <c r="I1370" i="25" s="1"/>
  <c r="N1976" i="17"/>
  <c r="F1373" i="25" s="1"/>
  <c r="R1983" i="17"/>
  <c r="S1987" i="17"/>
  <c r="AA1882" i="17"/>
  <c r="U1913" i="17"/>
  <c r="O1954" i="17"/>
  <c r="G1351" i="25" s="1"/>
  <c r="N1954" i="17"/>
  <c r="F1351" i="25" s="1"/>
  <c r="R1954" i="17"/>
  <c r="S1954" i="17"/>
  <c r="T1954" i="17"/>
  <c r="P1954" i="17"/>
  <c r="H1351" i="25" s="1"/>
  <c r="R2000" i="17"/>
  <c r="P2000" i="17"/>
  <c r="H1398" i="25" s="1"/>
  <c r="N2000" i="17"/>
  <c r="F1398" i="25" s="1"/>
  <c r="O2000" i="17"/>
  <c r="G1398" i="25" s="1"/>
  <c r="T2000" i="17"/>
  <c r="Q2000" i="17"/>
  <c r="I1398" i="25" s="1"/>
  <c r="S2000" i="17"/>
  <c r="R1897" i="17"/>
  <c r="N1897" i="17"/>
  <c r="F1294" i="25" s="1"/>
  <c r="Q1897" i="17"/>
  <c r="Q1950" i="17"/>
  <c r="AA1950" i="17" s="1"/>
  <c r="N1959" i="17"/>
  <c r="F1356" i="25" s="1"/>
  <c r="T1973" i="17"/>
  <c r="N1988" i="17"/>
  <c r="F1385" i="25" s="1"/>
  <c r="S1906" i="17"/>
  <c r="R1906" i="17"/>
  <c r="T1906" i="17"/>
  <c r="Q1906" i="17"/>
  <c r="I1303" i="25" s="1"/>
  <c r="P1906" i="17"/>
  <c r="H1303" i="25" s="1"/>
  <c r="R1961" i="17"/>
  <c r="T1961" i="17"/>
  <c r="AC1990" i="17"/>
  <c r="T1988" i="17"/>
  <c r="U1914" i="17"/>
  <c r="AC1968" i="17"/>
  <c r="U1953" i="17"/>
  <c r="AA1954" i="17"/>
  <c r="AA1982" i="17"/>
  <c r="U1982" i="17"/>
  <c r="AC1956" i="17"/>
  <c r="AC1964" i="17"/>
  <c r="U1972" i="17"/>
  <c r="U1994" i="17"/>
  <c r="AA1994" i="17"/>
  <c r="U1990" i="17"/>
  <c r="AB1938" i="17"/>
  <c r="AA1991" i="17"/>
  <c r="AA1900" i="17"/>
  <c r="AA1965" i="17"/>
  <c r="AA1946" i="17"/>
  <c r="U1885" i="17"/>
  <c r="AA1885" i="17"/>
  <c r="U1892" i="17"/>
  <c r="AA1892" i="17"/>
  <c r="U1903" i="17"/>
  <c r="AA1955" i="17"/>
  <c r="U1955" i="17"/>
  <c r="AA1961" i="17"/>
  <c r="AB1926" i="17"/>
  <c r="AA1949" i="17"/>
  <c r="AA1894" i="17"/>
  <c r="AA1983" i="17"/>
  <c r="AA1914" i="17"/>
  <c r="AA1920" i="17"/>
  <c r="U1920" i="17"/>
  <c r="U1944" i="17"/>
  <c r="Q1881" i="17"/>
  <c r="P1881" i="17"/>
  <c r="H1278" i="25" s="1"/>
  <c r="O1881" i="17"/>
  <c r="G1278" i="25" s="1"/>
  <c r="N1881" i="17"/>
  <c r="F1278" i="25" s="1"/>
  <c r="R1881" i="17"/>
  <c r="K1278" i="25" s="1"/>
  <c r="T1881" i="17"/>
  <c r="O1278" i="25" s="1"/>
  <c r="S1881" i="17"/>
  <c r="M1278" i="25" s="1"/>
  <c r="AA1996" i="17" l="1"/>
  <c r="I1394" i="25"/>
  <c r="AA1995" i="17"/>
  <c r="I1393" i="25"/>
  <c r="AA1997" i="17"/>
  <c r="I1395" i="25"/>
  <c r="AA1999" i="17"/>
  <c r="I1397" i="25"/>
  <c r="AA1992" i="17"/>
  <c r="I1390" i="25"/>
  <c r="AG1990" i="17"/>
  <c r="AJ1990" i="17" s="1"/>
  <c r="Q1388" i="25"/>
  <c r="AG1994" i="17"/>
  <c r="AI1994" i="17" s="1"/>
  <c r="Q1392" i="25"/>
  <c r="AC2000" i="17"/>
  <c r="M1398" i="25"/>
  <c r="AD2000" i="17"/>
  <c r="O1398" i="25"/>
  <c r="AB2000" i="17"/>
  <c r="K1398" i="25"/>
  <c r="AC1996" i="17"/>
  <c r="M1394" i="25"/>
  <c r="AD1996" i="17"/>
  <c r="O1394" i="25"/>
  <c r="AB1996" i="17"/>
  <c r="K1394" i="25"/>
  <c r="AC1995" i="17"/>
  <c r="M1393" i="25"/>
  <c r="AB1993" i="17"/>
  <c r="K1391" i="25"/>
  <c r="AC1993" i="17"/>
  <c r="M1391" i="25"/>
  <c r="AD1993" i="17"/>
  <c r="O1391" i="25"/>
  <c r="AB1995" i="17"/>
  <c r="K1393" i="25"/>
  <c r="AB1998" i="17"/>
  <c r="K1396" i="25"/>
  <c r="AD1998" i="17"/>
  <c r="O1396" i="25"/>
  <c r="AG2002" i="17"/>
  <c r="AH2002" i="17" s="1"/>
  <c r="Q1400" i="25"/>
  <c r="AC2001" i="17"/>
  <c r="M1399" i="25"/>
  <c r="AD1997" i="17"/>
  <c r="O1395" i="25"/>
  <c r="AC1997" i="17"/>
  <c r="M1395" i="25"/>
  <c r="AB1997" i="17"/>
  <c r="K1395" i="25"/>
  <c r="AD1999" i="17"/>
  <c r="O1397" i="25"/>
  <c r="AB1999" i="17"/>
  <c r="K1397" i="25"/>
  <c r="AC1999" i="17"/>
  <c r="M1397" i="25"/>
  <c r="AD1991" i="17"/>
  <c r="O1389" i="25"/>
  <c r="AB2001" i="17"/>
  <c r="K1399" i="25"/>
  <c r="AD2001" i="17"/>
  <c r="O1399" i="25"/>
  <c r="AG2003" i="17"/>
  <c r="AI2003" i="17" s="1"/>
  <c r="Q1401" i="25"/>
  <c r="AC1992" i="17"/>
  <c r="M1390" i="25"/>
  <c r="AD1992" i="17"/>
  <c r="O1390" i="25"/>
  <c r="AD1940" i="17"/>
  <c r="AC1883" i="17"/>
  <c r="AD1930" i="17"/>
  <c r="U1956" i="17"/>
  <c r="AG1956" i="17" s="1"/>
  <c r="AJ1956" i="17" s="1"/>
  <c r="O1353" i="25"/>
  <c r="AD1937" i="17"/>
  <c r="I1378" i="25"/>
  <c r="M1285" i="25"/>
  <c r="K1327" i="25"/>
  <c r="AA1903" i="17"/>
  <c r="K1331" i="25"/>
  <c r="AC1942" i="17"/>
  <c r="AA1889" i="17"/>
  <c r="AB1943" i="17"/>
  <c r="AB1918" i="17"/>
  <c r="AA1977" i="17"/>
  <c r="AA1924" i="17"/>
  <c r="AC1980" i="17"/>
  <c r="AC1930" i="17"/>
  <c r="AA1926" i="17"/>
  <c r="AB1931" i="17"/>
  <c r="AB1903" i="17"/>
  <c r="AA1933" i="17"/>
  <c r="K1339" i="25"/>
  <c r="I1334" i="25"/>
  <c r="K1333" i="25"/>
  <c r="AA1909" i="17"/>
  <c r="AB1962" i="17"/>
  <c r="AA1916" i="17"/>
  <c r="AC1926" i="17"/>
  <c r="AA1931" i="17"/>
  <c r="M1292" i="25"/>
  <c r="AB1940" i="17"/>
  <c r="AB1904" i="17"/>
  <c r="O1323" i="25"/>
  <c r="AB1932" i="17"/>
  <c r="M1330" i="25"/>
  <c r="AD1911" i="17"/>
  <c r="O1280" i="25"/>
  <c r="M1336" i="25"/>
  <c r="AB1933" i="17"/>
  <c r="AA1942" i="17"/>
  <c r="U1933" i="17"/>
  <c r="AG1933" i="17" s="1"/>
  <c r="AD1932" i="17"/>
  <c r="M1283" i="25"/>
  <c r="U1931" i="17"/>
  <c r="AG1931" i="17" s="1"/>
  <c r="AA1969" i="17"/>
  <c r="AB1912" i="17"/>
  <c r="U1926" i="17"/>
  <c r="AG1926" i="17" s="1"/>
  <c r="AK1926" i="17" s="1"/>
  <c r="I1301" i="25"/>
  <c r="AC1935" i="17"/>
  <c r="U1930" i="17"/>
  <c r="AG1930" i="17" s="1"/>
  <c r="O1283" i="25"/>
  <c r="U1992" i="17"/>
  <c r="AD1942" i="17"/>
  <c r="AB1937" i="17"/>
  <c r="M1325" i="25"/>
  <c r="AC1900" i="17"/>
  <c r="U1937" i="17"/>
  <c r="Q1334" i="25" s="1"/>
  <c r="U1942" i="17"/>
  <c r="AG1942" i="17" s="1"/>
  <c r="AC1937" i="17"/>
  <c r="U1900" i="17"/>
  <c r="AG1900" i="17" s="1"/>
  <c r="U2001" i="17"/>
  <c r="K1295" i="25"/>
  <c r="AC1969" i="17"/>
  <c r="O1336" i="25"/>
  <c r="AA1908" i="17"/>
  <c r="K1299" i="25"/>
  <c r="AA1935" i="17"/>
  <c r="AA2001" i="17"/>
  <c r="AB1992" i="17"/>
  <c r="U1904" i="17"/>
  <c r="AG1904" i="17" s="1"/>
  <c r="U1991" i="17"/>
  <c r="O1299" i="25"/>
  <c r="AA1890" i="17"/>
  <c r="AD1919" i="17"/>
  <c r="AA1888" i="17"/>
  <c r="M1284" i="25"/>
  <c r="AD1909" i="17"/>
  <c r="O1340" i="25"/>
  <c r="M1378" i="25"/>
  <c r="AA1934" i="17"/>
  <c r="AC1991" i="17"/>
  <c r="AD1936" i="17"/>
  <c r="AB1981" i="17"/>
  <c r="M1313" i="25"/>
  <c r="AB1908" i="17"/>
  <c r="U1943" i="17"/>
  <c r="AG1943" i="17" s="1"/>
  <c r="AD1934" i="17"/>
  <c r="AC1934" i="17"/>
  <c r="U1934" i="17"/>
  <c r="Q1331" i="25" s="1"/>
  <c r="AB1922" i="17"/>
  <c r="AA1898" i="17"/>
  <c r="AC1986" i="17"/>
  <c r="M1340" i="25"/>
  <c r="AC1897" i="17"/>
  <c r="AA1912" i="17"/>
  <c r="AC1943" i="17"/>
  <c r="AD1981" i="17"/>
  <c r="AC1902" i="17"/>
  <c r="U1981" i="17"/>
  <c r="Q1378" i="25" s="1"/>
  <c r="AC1932" i="17"/>
  <c r="K1332" i="25"/>
  <c r="U1932" i="17"/>
  <c r="Q1329" i="25" s="1"/>
  <c r="AD1918" i="17"/>
  <c r="I1355" i="25"/>
  <c r="AA1911" i="17"/>
  <c r="O1325" i="25"/>
  <c r="O1364" i="25"/>
  <c r="AB1980" i="17"/>
  <c r="AA1967" i="17"/>
  <c r="U1928" i="17"/>
  <c r="AG1928" i="17" s="1"/>
  <c r="AK1928" i="17" s="1"/>
  <c r="U1908" i="17"/>
  <c r="AG1908" i="17" s="1"/>
  <c r="AD1908" i="17"/>
  <c r="AA1960" i="17"/>
  <c r="AB1883" i="17"/>
  <c r="K1374" i="25"/>
  <c r="K1279" i="25"/>
  <c r="O1328" i="25"/>
  <c r="K1313" i="25"/>
  <c r="AD1907" i="17"/>
  <c r="U1888" i="17"/>
  <c r="AG1888" i="17" s="1"/>
  <c r="AJ1888" i="17" s="1"/>
  <c r="AD1958" i="17"/>
  <c r="U1918" i="17"/>
  <c r="AG1918" i="17" s="1"/>
  <c r="O1366" i="25"/>
  <c r="AJ1929" i="17"/>
  <c r="U1883" i="17"/>
  <c r="AG1883" i="17" s="1"/>
  <c r="U1886" i="17"/>
  <c r="AG1886" i="17" s="1"/>
  <c r="U1939" i="17"/>
  <c r="AG1939" i="17" s="1"/>
  <c r="AJ1939" i="17" s="1"/>
  <c r="AB1886" i="17"/>
  <c r="K1297" i="25"/>
  <c r="AC1909" i="17"/>
  <c r="AD1960" i="17"/>
  <c r="AB1939" i="17"/>
  <c r="AA1918" i="17"/>
  <c r="AD1922" i="17"/>
  <c r="U1967" i="17"/>
  <c r="Q1364" i="25" s="1"/>
  <c r="I1383" i="25"/>
  <c r="U1898" i="17"/>
  <c r="AG1898" i="17" s="1"/>
  <c r="Q1326" i="25"/>
  <c r="U1911" i="17"/>
  <c r="AG1911" i="17" s="1"/>
  <c r="U1922" i="17"/>
  <c r="Q1319" i="25" s="1"/>
  <c r="U1977" i="17"/>
  <c r="Q1374" i="25" s="1"/>
  <c r="M1364" i="25"/>
  <c r="AD1915" i="17"/>
  <c r="K1325" i="25"/>
  <c r="O1381" i="25"/>
  <c r="K1366" i="25"/>
  <c r="AC1967" i="17"/>
  <c r="U1980" i="17"/>
  <c r="AG1980" i="17" s="1"/>
  <c r="AH1980" i="17" s="1"/>
  <c r="AA1896" i="17"/>
  <c r="M1328" i="25"/>
  <c r="AC1931" i="17"/>
  <c r="I1377" i="25"/>
  <c r="U2000" i="17"/>
  <c r="U1998" i="17"/>
  <c r="U1999" i="17"/>
  <c r="AC1908" i="17"/>
  <c r="K1381" i="25"/>
  <c r="AD1924" i="17"/>
  <c r="M1357" i="25"/>
  <c r="U1924" i="17"/>
  <c r="Q1321" i="25" s="1"/>
  <c r="AI1929" i="17"/>
  <c r="O1301" i="25"/>
  <c r="AD1904" i="17"/>
  <c r="AA1940" i="17"/>
  <c r="AA1902" i="17"/>
  <c r="O1313" i="25"/>
  <c r="AB1958" i="17"/>
  <c r="U1935" i="17"/>
  <c r="Q1332" i="25" s="1"/>
  <c r="U1902" i="17"/>
  <c r="AG1902" i="17" s="1"/>
  <c r="AI1902" i="17" s="1"/>
  <c r="AD1935" i="17"/>
  <c r="U1936" i="17"/>
  <c r="Q1333" i="25" s="1"/>
  <c r="U1889" i="17"/>
  <c r="Q1286" i="25" s="1"/>
  <c r="AH1929" i="17"/>
  <c r="U1940" i="17"/>
  <c r="AG1940" i="17" s="1"/>
  <c r="AD1917" i="17"/>
  <c r="AD1889" i="17"/>
  <c r="M1382" i="25"/>
  <c r="AD1895" i="17"/>
  <c r="AB1915" i="17"/>
  <c r="AC1922" i="17"/>
  <c r="U1962" i="17"/>
  <c r="AG1962" i="17" s="1"/>
  <c r="U1960" i="17"/>
  <c r="Q1357" i="25" s="1"/>
  <c r="I1327" i="25"/>
  <c r="AA1930" i="17"/>
  <c r="U1969" i="17"/>
  <c r="AG1969" i="17" s="1"/>
  <c r="AK1969" i="17" s="1"/>
  <c r="AD1979" i="17"/>
  <c r="AA1923" i="17"/>
  <c r="I1333" i="25"/>
  <c r="AA1936" i="17"/>
  <c r="U1984" i="17"/>
  <c r="AG1984" i="17" s="1"/>
  <c r="AK1984" i="17" s="1"/>
  <c r="U1916" i="17"/>
  <c r="AG1916" i="17" s="1"/>
  <c r="AK1916" i="17" s="1"/>
  <c r="U1896" i="17"/>
  <c r="AG1896" i="17" s="1"/>
  <c r="AA1998" i="17"/>
  <c r="AB1988" i="17"/>
  <c r="AK1994" i="17"/>
  <c r="AD1896" i="17"/>
  <c r="U1895" i="17"/>
  <c r="Q1292" i="25" s="1"/>
  <c r="M1324" i="25"/>
  <c r="U1884" i="17"/>
  <c r="AG1884" i="17" s="1"/>
  <c r="AK1884" i="17" s="1"/>
  <c r="AA1899" i="17"/>
  <c r="AA1917" i="17"/>
  <c r="AG1964" i="17"/>
  <c r="AH1964" i="17" s="1"/>
  <c r="AC1896" i="17"/>
  <c r="O1297" i="25"/>
  <c r="AD1900" i="17"/>
  <c r="AB1899" i="17"/>
  <c r="U1919" i="17"/>
  <c r="AG1919" i="17" s="1"/>
  <c r="M1316" i="25"/>
  <c r="AC1919" i="17"/>
  <c r="AG1894" i="17"/>
  <c r="AJ1894" i="17" s="1"/>
  <c r="U1927" i="17"/>
  <c r="AG1927" i="17" s="1"/>
  <c r="AB1911" i="17"/>
  <c r="AA1883" i="17"/>
  <c r="AA1984" i="17"/>
  <c r="AD1898" i="17"/>
  <c r="AC1915" i="17"/>
  <c r="AA1927" i="17"/>
  <c r="AB1919" i="17"/>
  <c r="U1909" i="17"/>
  <c r="AG1909" i="17" s="1"/>
  <c r="K1306" i="25"/>
  <c r="AA1976" i="17"/>
  <c r="O1281" i="25"/>
  <c r="I1284" i="25"/>
  <c r="AA1887" i="17"/>
  <c r="AC1917" i="17"/>
  <c r="I1316" i="25"/>
  <c r="AC1958" i="17"/>
  <c r="U1958" i="17"/>
  <c r="AG1958" i="17" s="1"/>
  <c r="AA1919" i="17"/>
  <c r="U1997" i="17"/>
  <c r="U1985" i="17"/>
  <c r="AG1985" i="17" s="1"/>
  <c r="AB1917" i="17"/>
  <c r="AD1927" i="17"/>
  <c r="U1917" i="17"/>
  <c r="AG1917" i="17" s="1"/>
  <c r="U1986" i="17"/>
  <c r="AG1986" i="17" s="1"/>
  <c r="AD1986" i="17"/>
  <c r="K1357" i="25"/>
  <c r="AB1960" i="17"/>
  <c r="AB1966" i="17"/>
  <c r="AC1898" i="17"/>
  <c r="AB1895" i="17"/>
  <c r="AA1988" i="17"/>
  <c r="M1281" i="25"/>
  <c r="AC1884" i="17"/>
  <c r="U1976" i="17"/>
  <c r="AG1976" i="17" s="1"/>
  <c r="U1915" i="17"/>
  <c r="AG1915" i="17" s="1"/>
  <c r="I1281" i="25"/>
  <c r="AA1884" i="17"/>
  <c r="AC1966" i="17"/>
  <c r="M1363" i="25"/>
  <c r="AG1978" i="17"/>
  <c r="Q1375" i="25"/>
  <c r="AG1945" i="17"/>
  <c r="AK1945" i="17" s="1"/>
  <c r="Q1342" i="25"/>
  <c r="AG1989" i="17"/>
  <c r="Q1386" i="25"/>
  <c r="AG1972" i="17"/>
  <c r="AK1972" i="17" s="1"/>
  <c r="Q1369" i="25"/>
  <c r="AK1929" i="17"/>
  <c r="AG1914" i="17"/>
  <c r="AJ1914" i="17" s="1"/>
  <c r="Q1311" i="25"/>
  <c r="U1950" i="17"/>
  <c r="I1347" i="25"/>
  <c r="AG1913" i="17"/>
  <c r="AI1913" i="17" s="1"/>
  <c r="Q1310" i="25"/>
  <c r="AD1910" i="17"/>
  <c r="O1307" i="25"/>
  <c r="AA1907" i="17"/>
  <c r="I1304" i="25"/>
  <c r="AC1947" i="17"/>
  <c r="M1344" i="25"/>
  <c r="AB1959" i="17"/>
  <c r="K1356" i="25"/>
  <c r="AA1974" i="17"/>
  <c r="I1371" i="25"/>
  <c r="AC1984" i="17"/>
  <c r="M1381" i="25"/>
  <c r="AB1974" i="17"/>
  <c r="AB1925" i="17"/>
  <c r="K1322" i="25"/>
  <c r="AB1979" i="17"/>
  <c r="K1376" i="25"/>
  <c r="AB1923" i="17"/>
  <c r="K1320" i="25"/>
  <c r="AC1882" i="17"/>
  <c r="M1279" i="25"/>
  <c r="M1359" i="25"/>
  <c r="AC1962" i="17"/>
  <c r="O1309" i="25"/>
  <c r="AD1912" i="17"/>
  <c r="M1374" i="25"/>
  <c r="AC1977" i="17"/>
  <c r="K1284" i="25"/>
  <c r="U1887" i="17"/>
  <c r="AD1973" i="17"/>
  <c r="O1370" i="25"/>
  <c r="AD1947" i="17"/>
  <c r="O1344" i="25"/>
  <c r="AC1975" i="17"/>
  <c r="M1372" i="25"/>
  <c r="AC1923" i="17"/>
  <c r="M1320" i="25"/>
  <c r="AD1963" i="17"/>
  <c r="AB1949" i="17"/>
  <c r="K1346" i="25"/>
  <c r="AC1961" i="17"/>
  <c r="M1358" i="25"/>
  <c r="AC1890" i="17"/>
  <c r="M1287" i="25"/>
  <c r="AG1938" i="17"/>
  <c r="AH1938" i="17" s="1"/>
  <c r="Q1335" i="25"/>
  <c r="O1284" i="25"/>
  <c r="AD1887" i="17"/>
  <c r="U1890" i="17"/>
  <c r="AD1954" i="17"/>
  <c r="O1351" i="25"/>
  <c r="AA1957" i="17"/>
  <c r="I1354" i="25"/>
  <c r="AB1907" i="17"/>
  <c r="K1304" i="25"/>
  <c r="AB1963" i="17"/>
  <c r="K1360" i="25"/>
  <c r="AD1950" i="17"/>
  <c r="O1347" i="25"/>
  <c r="AA1947" i="17"/>
  <c r="I1344" i="25"/>
  <c r="AB1985" i="17"/>
  <c r="K1382" i="25"/>
  <c r="AG1952" i="17"/>
  <c r="AK1952" i="17" s="1"/>
  <c r="Q1349" i="25"/>
  <c r="AB1889" i="17"/>
  <c r="K1286" i="25"/>
  <c r="AA1966" i="17"/>
  <c r="I1363" i="25"/>
  <c r="AC1921" i="17"/>
  <c r="M1318" i="25"/>
  <c r="AC1891" i="17"/>
  <c r="M1288" i="25"/>
  <c r="AD1890" i="17"/>
  <c r="O1287" i="25"/>
  <c r="AB1948" i="17"/>
  <c r="K1345" i="25"/>
  <c r="AB1973" i="17"/>
  <c r="K1370" i="25"/>
  <c r="AC1976" i="17"/>
  <c r="M1373" i="25"/>
  <c r="AG1968" i="17"/>
  <c r="AJ1968" i="17" s="1"/>
  <c r="Q1365" i="25"/>
  <c r="AC1901" i="17"/>
  <c r="M1298" i="25"/>
  <c r="AC1912" i="17"/>
  <c r="AB1961" i="17"/>
  <c r="K1358" i="25"/>
  <c r="AB1921" i="17"/>
  <c r="K1318" i="25"/>
  <c r="AC1948" i="17"/>
  <c r="M1345" i="25"/>
  <c r="AA1973" i="17"/>
  <c r="AG1955" i="17"/>
  <c r="AJ1955" i="17" s="1"/>
  <c r="Q1352" i="25"/>
  <c r="AG1892" i="17"/>
  <c r="AK1892" i="17" s="1"/>
  <c r="Q1289" i="25"/>
  <c r="AG1982" i="17"/>
  <c r="AK1982" i="17" s="1"/>
  <c r="Q1379" i="25"/>
  <c r="AG1953" i="17"/>
  <c r="AH1953" i="17" s="1"/>
  <c r="Q1350" i="25"/>
  <c r="AD1906" i="17"/>
  <c r="O1303" i="25"/>
  <c r="AC1954" i="17"/>
  <c r="M1351" i="25"/>
  <c r="AC1907" i="17"/>
  <c r="M1304" i="25"/>
  <c r="AC1963" i="17"/>
  <c r="M1360" i="25"/>
  <c r="AC1951" i="17"/>
  <c r="M1348" i="25"/>
  <c r="AC1950" i="17"/>
  <c r="M1347" i="25"/>
  <c r="AD1959" i="17"/>
  <c r="AD1974" i="17"/>
  <c r="O1371" i="25"/>
  <c r="AD1921" i="17"/>
  <c r="O1318" i="25"/>
  <c r="AA1948" i="17"/>
  <c r="I1345" i="25"/>
  <c r="K1298" i="25"/>
  <c r="AB1901" i="17"/>
  <c r="AB1910" i="17"/>
  <c r="K1307" i="25"/>
  <c r="AC1988" i="17"/>
  <c r="M1385" i="25"/>
  <c r="AC1959" i="17"/>
  <c r="M1356" i="25"/>
  <c r="AD1987" i="17"/>
  <c r="O1384" i="25"/>
  <c r="AD1891" i="17"/>
  <c r="O1288" i="25"/>
  <c r="AD1988" i="17"/>
  <c r="O1385" i="25"/>
  <c r="AB1906" i="17"/>
  <c r="K1303" i="25"/>
  <c r="AG1905" i="17"/>
  <c r="AJ1905" i="17" s="1"/>
  <c r="AA1897" i="17"/>
  <c r="I1294" i="25"/>
  <c r="AB1954" i="17"/>
  <c r="K1351" i="25"/>
  <c r="AD1983" i="17"/>
  <c r="O1380" i="25"/>
  <c r="AB1951" i="17"/>
  <c r="K1348" i="25"/>
  <c r="AD1925" i="17"/>
  <c r="O1322" i="25"/>
  <c r="AD1976" i="17"/>
  <c r="O1373" i="25"/>
  <c r="U1882" i="17"/>
  <c r="AD1882" i="17"/>
  <c r="U1901" i="17"/>
  <c r="AC1925" i="17"/>
  <c r="M1322" i="25"/>
  <c r="AD1957" i="17"/>
  <c r="O1354" i="25"/>
  <c r="AC1899" i="17"/>
  <c r="M1296" i="25"/>
  <c r="Q1362" i="25"/>
  <c r="Q1338" i="25"/>
  <c r="AG1941" i="17"/>
  <c r="AH1941" i="17" s="1"/>
  <c r="AG1920" i="17"/>
  <c r="AK1920" i="17" s="1"/>
  <c r="Q1317" i="25"/>
  <c r="AG1885" i="17"/>
  <c r="AJ1885" i="17" s="1"/>
  <c r="Q1282" i="25"/>
  <c r="U1973" i="17"/>
  <c r="AH1994" i="17"/>
  <c r="AC1906" i="17"/>
  <c r="M1303" i="25"/>
  <c r="AC1987" i="17"/>
  <c r="M1384" i="25"/>
  <c r="U1949" i="17"/>
  <c r="O1346" i="25"/>
  <c r="AA1985" i="17"/>
  <c r="I1382" i="25"/>
  <c r="AC1974" i="17"/>
  <c r="M1371" i="25"/>
  <c r="AD1975" i="17"/>
  <c r="O1372" i="25"/>
  <c r="AG1971" i="17"/>
  <c r="AH1971" i="17" s="1"/>
  <c r="Q1368" i="25"/>
  <c r="AB1957" i="17"/>
  <c r="K1354" i="25"/>
  <c r="AB1888" i="17"/>
  <c r="U1912" i="17"/>
  <c r="AC1979" i="17"/>
  <c r="M1376" i="25"/>
  <c r="AB1976" i="17"/>
  <c r="K1373" i="25"/>
  <c r="AC1910" i="17"/>
  <c r="M1307" i="25"/>
  <c r="AB1947" i="17"/>
  <c r="K1344" i="25"/>
  <c r="O1298" i="25"/>
  <c r="AD1901" i="17"/>
  <c r="AA1881" i="17"/>
  <c r="I1278" i="25"/>
  <c r="AG1944" i="17"/>
  <c r="AH1944" i="17" s="1"/>
  <c r="Q1341" i="25"/>
  <c r="AG1903" i="17"/>
  <c r="Q1300" i="25"/>
  <c r="U1957" i="17"/>
  <c r="AA1987" i="17"/>
  <c r="AD1961" i="17"/>
  <c r="O1358" i="25"/>
  <c r="U1987" i="17"/>
  <c r="AB1897" i="17"/>
  <c r="K1294" i="25"/>
  <c r="AB1983" i="17"/>
  <c r="K1380" i="25"/>
  <c r="AA1951" i="17"/>
  <c r="I1348" i="25"/>
  <c r="AC1949" i="17"/>
  <c r="M1346" i="25"/>
  <c r="AG1970" i="17"/>
  <c r="AH1970" i="17" s="1"/>
  <c r="Q1367" i="25"/>
  <c r="AD1966" i="17"/>
  <c r="O1363" i="25"/>
  <c r="AB1975" i="17"/>
  <c r="K1372" i="25"/>
  <c r="AB1891" i="17"/>
  <c r="K1288" i="25"/>
  <c r="AD1923" i="17"/>
  <c r="O1320" i="25"/>
  <c r="AD1899" i="17"/>
  <c r="O1296" i="25"/>
  <c r="AC1983" i="17"/>
  <c r="M1380" i="25"/>
  <c r="AB1987" i="17"/>
  <c r="K1384" i="25"/>
  <c r="AG1893" i="17"/>
  <c r="Q1290" i="25"/>
  <c r="O1359" i="25"/>
  <c r="AD1962" i="17"/>
  <c r="AG1946" i="17"/>
  <c r="Q1343" i="25"/>
  <c r="U1910" i="17"/>
  <c r="U1993" i="17"/>
  <c r="AA2000" i="17"/>
  <c r="U1921" i="17"/>
  <c r="U1891" i="17"/>
  <c r="AA1910" i="17"/>
  <c r="U1907" i="17"/>
  <c r="U1966" i="17"/>
  <c r="AA1891" i="17"/>
  <c r="U1954" i="17"/>
  <c r="U1899" i="17"/>
  <c r="U1906" i="17"/>
  <c r="AA1906" i="17"/>
  <c r="U1996" i="17"/>
  <c r="U1983" i="17"/>
  <c r="U1974" i="17"/>
  <c r="AA1975" i="17"/>
  <c r="U1975" i="17"/>
  <c r="U1897" i="17"/>
  <c r="U1995" i="17"/>
  <c r="AA1963" i="17"/>
  <c r="U1963" i="17"/>
  <c r="U1947" i="17"/>
  <c r="U1959" i="17"/>
  <c r="AA1959" i="17"/>
  <c r="U1925" i="17"/>
  <c r="AA1925" i="17"/>
  <c r="AA1979" i="17"/>
  <c r="U1979" i="17"/>
  <c r="U1948" i="17"/>
  <c r="AD1948" i="17"/>
  <c r="AA1993" i="17"/>
  <c r="U1961" i="17"/>
  <c r="U1988" i="17"/>
  <c r="U1951" i="17"/>
  <c r="AD1951" i="17"/>
  <c r="AA1921" i="17"/>
  <c r="U1923" i="17"/>
  <c r="AJ1994" i="17"/>
  <c r="AD1881" i="17"/>
  <c r="AB1881" i="17"/>
  <c r="AC1881" i="17"/>
  <c r="U1881" i="17"/>
  <c r="Q1278" i="25" s="1"/>
  <c r="AI2002" i="17" l="1"/>
  <c r="AJ2002" i="17"/>
  <c r="AK2002" i="17"/>
  <c r="AK1990" i="17"/>
  <c r="AH2003" i="17"/>
  <c r="AI1990" i="17"/>
  <c r="AH1990" i="17"/>
  <c r="AK2003" i="17"/>
  <c r="AJ2003" i="17"/>
  <c r="Q1353" i="25"/>
  <c r="AG1995" i="17"/>
  <c r="AI1995" i="17" s="1"/>
  <c r="Q1393" i="25"/>
  <c r="AG1996" i="17"/>
  <c r="AJ1996" i="17" s="1"/>
  <c r="Q1394" i="25"/>
  <c r="AG1993" i="17"/>
  <c r="AI1993" i="17" s="1"/>
  <c r="Q1391" i="25"/>
  <c r="AG1997" i="17"/>
  <c r="AK1997" i="17" s="1"/>
  <c r="Q1395" i="25"/>
  <c r="AG1999" i="17"/>
  <c r="AJ1999" i="17" s="1"/>
  <c r="Q1397" i="25"/>
  <c r="AG1998" i="17"/>
  <c r="AI1998" i="17" s="1"/>
  <c r="Q1396" i="25"/>
  <c r="AG2000" i="17"/>
  <c r="AI2000" i="17" s="1"/>
  <c r="Q1398" i="25"/>
  <c r="AG1991" i="17"/>
  <c r="AK1991" i="17" s="1"/>
  <c r="Q1389" i="25"/>
  <c r="AG2001" i="17"/>
  <c r="AH2001" i="17" s="1"/>
  <c r="Q1399" i="25"/>
  <c r="AG1992" i="17"/>
  <c r="AJ1992" i="17" s="1"/>
  <c r="Q1390" i="25"/>
  <c r="AJ1883" i="17"/>
  <c r="AI1903" i="17"/>
  <c r="AJ1930" i="17"/>
  <c r="AI1918" i="17"/>
  <c r="AI1940" i="17"/>
  <c r="AH1909" i="17"/>
  <c r="Q1323" i="25"/>
  <c r="Q1330" i="25"/>
  <c r="AK1911" i="17"/>
  <c r="Q1327" i="25"/>
  <c r="Q1328" i="25"/>
  <c r="Q1339" i="25"/>
  <c r="AG1937" i="17"/>
  <c r="AH1937" i="17" s="1"/>
  <c r="Q1297" i="25"/>
  <c r="AH1992" i="17"/>
  <c r="AK1942" i="17"/>
  <c r="Q1301" i="25"/>
  <c r="Q1340" i="25"/>
  <c r="Q1308" i="25"/>
  <c r="AH1898" i="17"/>
  <c r="AG1934" i="17"/>
  <c r="AH1934" i="17" s="1"/>
  <c r="AJ1986" i="17"/>
  <c r="AG1932" i="17"/>
  <c r="AJ1932" i="17" s="1"/>
  <c r="AG1981" i="17"/>
  <c r="AI1981" i="17" s="1"/>
  <c r="AG1895" i="17"/>
  <c r="AI1895" i="17" s="1"/>
  <c r="Q1325" i="25"/>
  <c r="AK1908" i="17"/>
  <c r="Q1305" i="25"/>
  <c r="AG1922" i="17"/>
  <c r="AJ1922" i="17" s="1"/>
  <c r="AJ1998" i="17"/>
  <c r="Q1313" i="25"/>
  <c r="AG1924" i="17"/>
  <c r="AI1924" i="17" s="1"/>
  <c r="Q1285" i="25"/>
  <c r="Q1377" i="25"/>
  <c r="Q1280" i="25"/>
  <c r="AG1936" i="17"/>
  <c r="AI1936" i="17" s="1"/>
  <c r="Q1295" i="25"/>
  <c r="Q1381" i="25"/>
  <c r="AI1886" i="17"/>
  <c r="Q1315" i="25"/>
  <c r="Q1336" i="25"/>
  <c r="AG1967" i="17"/>
  <c r="AI1967" i="17" s="1"/>
  <c r="AH1892" i="17"/>
  <c r="AG1977" i="17"/>
  <c r="AH1977" i="17" s="1"/>
  <c r="Q1283" i="25"/>
  <c r="AK1998" i="17"/>
  <c r="Q1383" i="25"/>
  <c r="AG1960" i="17"/>
  <c r="AH1960" i="17" s="1"/>
  <c r="AI1914" i="17"/>
  <c r="AG1935" i="17"/>
  <c r="AH1935" i="17" s="1"/>
  <c r="AG1889" i="17"/>
  <c r="AJ1889" i="17" s="1"/>
  <c r="AJ1944" i="17"/>
  <c r="AK1915" i="17"/>
  <c r="AI1944" i="17"/>
  <c r="AK1944" i="17"/>
  <c r="Q1299" i="25"/>
  <c r="AI1917" i="17"/>
  <c r="AJ1964" i="17"/>
  <c r="AJ1918" i="17"/>
  <c r="AI1964" i="17"/>
  <c r="AK1964" i="17"/>
  <c r="Q1337" i="25"/>
  <c r="Q1355" i="25"/>
  <c r="AI1938" i="17"/>
  <c r="AH1962" i="17"/>
  <c r="AI1962" i="17"/>
  <c r="Q1359" i="25"/>
  <c r="AK1900" i="17"/>
  <c r="AH1894" i="17"/>
  <c r="Q1293" i="25"/>
  <c r="AI1888" i="17"/>
  <c r="Q1281" i="25"/>
  <c r="Q1306" i="25"/>
  <c r="AI1930" i="17"/>
  <c r="AH1993" i="17"/>
  <c r="AH1896" i="17"/>
  <c r="AI1896" i="17"/>
  <c r="Q1366" i="25"/>
  <c r="AJ1896" i="17"/>
  <c r="AK1894" i="17"/>
  <c r="AI1894" i="17"/>
  <c r="AH1918" i="17"/>
  <c r="AK1886" i="17"/>
  <c r="Q1316" i="25"/>
  <c r="AJ1920" i="17"/>
  <c r="AK1918" i="17"/>
  <c r="Q1314" i="25"/>
  <c r="AJ1903" i="17"/>
  <c r="AH1955" i="17"/>
  <c r="AK1903" i="17"/>
  <c r="AI1905" i="17"/>
  <c r="AH1952" i="17"/>
  <c r="AI1945" i="17"/>
  <c r="AJ1958" i="17"/>
  <c r="AI1955" i="17"/>
  <c r="Q1324" i="25"/>
  <c r="AI1920" i="17"/>
  <c r="AK1896" i="17"/>
  <c r="AJ1985" i="17"/>
  <c r="AK1985" i="17"/>
  <c r="AJ1919" i="17"/>
  <c r="AI1919" i="17"/>
  <c r="AK1919" i="17"/>
  <c r="AK1930" i="17"/>
  <c r="AI1908" i="17"/>
  <c r="Q1382" i="25"/>
  <c r="AH1908" i="17"/>
  <c r="AH1919" i="17"/>
  <c r="AH1985" i="17"/>
  <c r="AI1969" i="17"/>
  <c r="AJ1962" i="17"/>
  <c r="AH1930" i="17"/>
  <c r="AK1955" i="17"/>
  <c r="AJ1886" i="17"/>
  <c r="AH1958" i="17"/>
  <c r="AH1969" i="17"/>
  <c r="AJ1972" i="17"/>
  <c r="AI1916" i="17"/>
  <c r="AH1945" i="17"/>
  <c r="AJ1940" i="17"/>
  <c r="AI1970" i="17"/>
  <c r="AJ1945" i="17"/>
  <c r="AH1928" i="17"/>
  <c r="AK1980" i="17"/>
  <c r="AJ1916" i="17"/>
  <c r="AH1903" i="17"/>
  <c r="AK1958" i="17"/>
  <c r="AJ1913" i="17"/>
  <c r="AH1913" i="17"/>
  <c r="AJ1984" i="17"/>
  <c r="Q1373" i="25"/>
  <c r="AH1916" i="17"/>
  <c r="AJ1969" i="17"/>
  <c r="AJ1993" i="17"/>
  <c r="AI1883" i="17"/>
  <c r="AK1970" i="17"/>
  <c r="AK1883" i="17"/>
  <c r="AK1898" i="17"/>
  <c r="AK1913" i="17"/>
  <c r="AK1976" i="17"/>
  <c r="AJ1884" i="17"/>
  <c r="AJ1928" i="17"/>
  <c r="AH1883" i="17"/>
  <c r="AH1914" i="17"/>
  <c r="AI1884" i="17"/>
  <c r="AJ1953" i="17"/>
  <c r="AH1884" i="17"/>
  <c r="AI1942" i="17"/>
  <c r="AI1928" i="17"/>
  <c r="AK1953" i="17"/>
  <c r="AI1953" i="17"/>
  <c r="AJ1931" i="17"/>
  <c r="AH1931" i="17"/>
  <c r="AK1931" i="17"/>
  <c r="AJ1942" i="17"/>
  <c r="AK1962" i="17"/>
  <c r="Q1312" i="25"/>
  <c r="AI1926" i="17"/>
  <c r="AJ1952" i="17"/>
  <c r="AH1902" i="17"/>
  <c r="AK1902" i="17"/>
  <c r="AI1885" i="17"/>
  <c r="AI1952" i="17"/>
  <c r="AI1900" i="17"/>
  <c r="AJ1970" i="17"/>
  <c r="AH1942" i="17"/>
  <c r="AI1976" i="17"/>
  <c r="AI1931" i="17"/>
  <c r="AH1900" i="17"/>
  <c r="AJ1900" i="17"/>
  <c r="AI1985" i="17"/>
  <c r="AG1974" i="17"/>
  <c r="AK1974" i="17" s="1"/>
  <c r="Q1371" i="25"/>
  <c r="AG1921" i="17"/>
  <c r="AI1921" i="17" s="1"/>
  <c r="Q1318" i="25"/>
  <c r="AK1904" i="17"/>
  <c r="AH1904" i="17"/>
  <c r="AI1904" i="17"/>
  <c r="AJ1904" i="17"/>
  <c r="AH1943" i="17"/>
  <c r="AK1943" i="17"/>
  <c r="AJ1943" i="17"/>
  <c r="AG1988" i="17"/>
  <c r="AH1988" i="17" s="1"/>
  <c r="Q1385" i="25"/>
  <c r="AK1905" i="17"/>
  <c r="AG1948" i="17"/>
  <c r="AI1948" i="17" s="1"/>
  <c r="Q1345" i="25"/>
  <c r="AG1947" i="17"/>
  <c r="AK1947" i="17" s="1"/>
  <c r="Q1344" i="25"/>
  <c r="AG1906" i="17"/>
  <c r="AI1906" i="17" s="1"/>
  <c r="Q1303" i="25"/>
  <c r="AG1966" i="17"/>
  <c r="AJ1966" i="17" s="1"/>
  <c r="Q1363" i="25"/>
  <c r="AH1984" i="17"/>
  <c r="AH1905" i="17"/>
  <c r="AJ1946" i="17"/>
  <c r="AI1946" i="17"/>
  <c r="AK1946" i="17"/>
  <c r="AK1909" i="17"/>
  <c r="AJ1909" i="17"/>
  <c r="AI1909" i="17"/>
  <c r="AK1965" i="17"/>
  <c r="AI1965" i="17"/>
  <c r="AJ1965" i="17"/>
  <c r="AH1965" i="17"/>
  <c r="AI1968" i="17"/>
  <c r="AK1968" i="17"/>
  <c r="AH1968" i="17"/>
  <c r="AJ1938" i="17"/>
  <c r="AK1938" i="17"/>
  <c r="AJ1911" i="17"/>
  <c r="AI1911" i="17"/>
  <c r="AH1911" i="17"/>
  <c r="AI1933" i="17"/>
  <c r="AJ1933" i="17"/>
  <c r="AH1933" i="17"/>
  <c r="AK1933" i="17"/>
  <c r="AJ1902" i="17"/>
  <c r="AG1979" i="17"/>
  <c r="AJ1979" i="17" s="1"/>
  <c r="Q1376" i="25"/>
  <c r="AG1963" i="17"/>
  <c r="AI1963" i="17" s="1"/>
  <c r="Q1360" i="25"/>
  <c r="AK1885" i="17"/>
  <c r="AG1987" i="17"/>
  <c r="AI1987" i="17" s="1"/>
  <c r="Q1384" i="25"/>
  <c r="AH1940" i="17"/>
  <c r="AK1940" i="17"/>
  <c r="AG1890" i="17"/>
  <c r="Q1287" i="25"/>
  <c r="AJ1892" i="17"/>
  <c r="AH1917" i="17"/>
  <c r="AH1939" i="17"/>
  <c r="AI1939" i="17"/>
  <c r="AI1982" i="17"/>
  <c r="AJ1982" i="17"/>
  <c r="AJ1989" i="17"/>
  <c r="AI1989" i="17"/>
  <c r="AK1989" i="17"/>
  <c r="AH1989" i="17"/>
  <c r="AK1995" i="17"/>
  <c r="AH1885" i="17"/>
  <c r="AI1892" i="17"/>
  <c r="AG1923" i="17"/>
  <c r="AH1923" i="17" s="1"/>
  <c r="Q1320" i="25"/>
  <c r="AK1917" i="17"/>
  <c r="AG1897" i="17"/>
  <c r="AH1897" i="17" s="1"/>
  <c r="Q1294" i="25"/>
  <c r="AG1954" i="17"/>
  <c r="AJ1954" i="17" s="1"/>
  <c r="Q1351" i="25"/>
  <c r="AJ1908" i="17"/>
  <c r="AJ1917" i="17"/>
  <c r="AI1984" i="17"/>
  <c r="AG1910" i="17"/>
  <c r="AH1910" i="17" s="1"/>
  <c r="Q1307" i="25"/>
  <c r="Q1309" i="25"/>
  <c r="AG1912" i="17"/>
  <c r="Q1298" i="25"/>
  <c r="AG1901" i="17"/>
  <c r="AI1972" i="17"/>
  <c r="AH1972" i="17"/>
  <c r="AH1886" i="17"/>
  <c r="AG1882" i="17"/>
  <c r="AK1882" i="17" s="1"/>
  <c r="Q1279" i="25"/>
  <c r="AJ1980" i="17"/>
  <c r="AI1915" i="17"/>
  <c r="AJ1915" i="17"/>
  <c r="AH1915" i="17"/>
  <c r="AG1949" i="17"/>
  <c r="AI1949" i="17" s="1"/>
  <c r="Q1346" i="25"/>
  <c r="AI1927" i="17"/>
  <c r="AK1927" i="17"/>
  <c r="AJ1927" i="17"/>
  <c r="AK1993" i="17"/>
  <c r="AI1980" i="17"/>
  <c r="AG1925" i="17"/>
  <c r="AI1925" i="17" s="1"/>
  <c r="Q1322" i="25"/>
  <c r="AK1939" i="17"/>
  <c r="AG1975" i="17"/>
  <c r="AI1975" i="17" s="1"/>
  <c r="Q1372" i="25"/>
  <c r="AG1907" i="17"/>
  <c r="AK1907" i="17" s="1"/>
  <c r="Q1304" i="25"/>
  <c r="AI1893" i="17"/>
  <c r="AH1893" i="17"/>
  <c r="AK1893" i="17"/>
  <c r="AJ1893" i="17"/>
  <c r="AK1986" i="17"/>
  <c r="AH1986" i="17"/>
  <c r="AI1986" i="17"/>
  <c r="AI1943" i="17"/>
  <c r="AG1973" i="17"/>
  <c r="Q1370" i="25"/>
  <c r="AI1956" i="17"/>
  <c r="AK1956" i="17"/>
  <c r="AJ1898" i="17"/>
  <c r="AI1898" i="17"/>
  <c r="AH1946" i="17"/>
  <c r="AG1950" i="17"/>
  <c r="Q1347" i="25"/>
  <c r="AH1956" i="17"/>
  <c r="AG1891" i="17"/>
  <c r="AI1891" i="17" s="1"/>
  <c r="Q1288" i="25"/>
  <c r="AJ1941" i="17"/>
  <c r="AK1941" i="17"/>
  <c r="AI1941" i="17"/>
  <c r="AG1887" i="17"/>
  <c r="AK1887" i="17" s="1"/>
  <c r="Q1284" i="25"/>
  <c r="AK1888" i="17"/>
  <c r="AG1983" i="17"/>
  <c r="AH1983" i="17" s="1"/>
  <c r="Q1380" i="25"/>
  <c r="AH1888" i="17"/>
  <c r="AI1971" i="17"/>
  <c r="AK1971" i="17"/>
  <c r="AK1978" i="17"/>
  <c r="AH1978" i="17"/>
  <c r="AI1978" i="17"/>
  <c r="AJ1978" i="17"/>
  <c r="AH1927" i="17"/>
  <c r="AH1982" i="17"/>
  <c r="AH1920" i="17"/>
  <c r="AH1995" i="17"/>
  <c r="AG1951" i="17"/>
  <c r="AI1951" i="17" s="1"/>
  <c r="Q1348" i="25"/>
  <c r="AG1961" i="17"/>
  <c r="AJ1961" i="17" s="1"/>
  <c r="Q1358" i="25"/>
  <c r="AG1959" i="17"/>
  <c r="AK1959" i="17" s="1"/>
  <c r="Q1356" i="25"/>
  <c r="AK1914" i="17"/>
  <c r="AG1899" i="17"/>
  <c r="AI1899" i="17" s="1"/>
  <c r="Q1296" i="25"/>
  <c r="AI1958" i="17"/>
  <c r="AG1957" i="17"/>
  <c r="AK1957" i="17" s="1"/>
  <c r="Q1354" i="25"/>
  <c r="AJ1926" i="17"/>
  <c r="AH1926" i="17"/>
  <c r="AJ1971" i="17"/>
  <c r="AJ1976" i="17"/>
  <c r="AH1976" i="17"/>
  <c r="AJ1995" i="17"/>
  <c r="AI1996" i="17"/>
  <c r="AG1881" i="17"/>
  <c r="AK1881" i="17" s="1"/>
  <c r="AH1998" i="17" l="1"/>
  <c r="AH2000" i="17"/>
  <c r="AI1992" i="17"/>
  <c r="AK1999" i="17"/>
  <c r="AH1999" i="17"/>
  <c r="AH1996" i="17"/>
  <c r="AJ2000" i="17"/>
  <c r="AK1996" i="17"/>
  <c r="AI1999" i="17"/>
  <c r="AJ2001" i="17"/>
  <c r="AI2001" i="17"/>
  <c r="AK2001" i="17"/>
  <c r="AI1991" i="17"/>
  <c r="AJ1991" i="17"/>
  <c r="AH1997" i="17"/>
  <c r="AH1991" i="17"/>
  <c r="AJ1997" i="17"/>
  <c r="AI1997" i="17"/>
  <c r="AK1992" i="17"/>
  <c r="AK2000" i="17"/>
  <c r="AI1937" i="17"/>
  <c r="AJ1937" i="17"/>
  <c r="AK1937" i="17"/>
  <c r="AH1932" i="17"/>
  <c r="AI1934" i="17"/>
  <c r="AK1934" i="17"/>
  <c r="AJ1934" i="17"/>
  <c r="AK1932" i="17"/>
  <c r="AI1932" i="17"/>
  <c r="AJ1981" i="17"/>
  <c r="AJ1895" i="17"/>
  <c r="AH1981" i="17"/>
  <c r="AK1981" i="17"/>
  <c r="AK1895" i="17"/>
  <c r="AH1895" i="17"/>
  <c r="AI1922" i="17"/>
  <c r="AK1922" i="17"/>
  <c r="AH1922" i="17"/>
  <c r="AH1967" i="17"/>
  <c r="AK1936" i="17"/>
  <c r="AH1936" i="17"/>
  <c r="AJ1924" i="17"/>
  <c r="AK1924" i="17"/>
  <c r="AH1924" i="17"/>
  <c r="AJ1936" i="17"/>
  <c r="AJ1960" i="17"/>
  <c r="AH1889" i="17"/>
  <c r="AK1935" i="17"/>
  <c r="AJ1967" i="17"/>
  <c r="AK1960" i="17"/>
  <c r="AI1960" i="17"/>
  <c r="AK1967" i="17"/>
  <c r="AJ1935" i="17"/>
  <c r="AI1977" i="17"/>
  <c r="AK1977" i="17"/>
  <c r="AI1935" i="17"/>
  <c r="AJ1977" i="17"/>
  <c r="AK1921" i="17"/>
  <c r="AI1889" i="17"/>
  <c r="AK1889" i="17"/>
  <c r="AJ1923" i="17"/>
  <c r="AH1974" i="17"/>
  <c r="AK1910" i="17"/>
  <c r="AH1948" i="17"/>
  <c r="AI1923" i="17"/>
  <c r="AK1954" i="17"/>
  <c r="AJ1882" i="17"/>
  <c r="AJ1921" i="17"/>
  <c r="AH1921" i="17"/>
  <c r="AJ1925" i="17"/>
  <c r="AK1923" i="17"/>
  <c r="AI1966" i="17"/>
  <c r="AK1925" i="17"/>
  <c r="AI1988" i="17"/>
  <c r="AH1899" i="17"/>
  <c r="AI1897" i="17"/>
  <c r="AK1963" i="17"/>
  <c r="AK1988" i="17"/>
  <c r="AI1961" i="17"/>
  <c r="AH1907" i="17"/>
  <c r="AK1961" i="17"/>
  <c r="AK1899" i="17"/>
  <c r="AJ1951" i="17"/>
  <c r="AI1959" i="17"/>
  <c r="AJ1974" i="17"/>
  <c r="AH1959" i="17"/>
  <c r="AH1947" i="17"/>
  <c r="AK1975" i="17"/>
  <c r="AJ1959" i="17"/>
  <c r="AI1974" i="17"/>
  <c r="AH1975" i="17"/>
  <c r="AJ1899" i="17"/>
  <c r="AJ1975" i="17"/>
  <c r="AH1961" i="17"/>
  <c r="AJ1988" i="17"/>
  <c r="AH1963" i="17"/>
  <c r="AK1948" i="17"/>
  <c r="AJ1948" i="17"/>
  <c r="AI1907" i="17"/>
  <c r="AJ1963" i="17"/>
  <c r="AJ1907" i="17"/>
  <c r="AH1901" i="17"/>
  <c r="AJ1901" i="17"/>
  <c r="AK1901" i="17"/>
  <c r="AH1966" i="17"/>
  <c r="AH1906" i="17"/>
  <c r="AJ1891" i="17"/>
  <c r="AK1891" i="17"/>
  <c r="AI1912" i="17"/>
  <c r="AH1912" i="17"/>
  <c r="AJ1987" i="17"/>
  <c r="AI1979" i="17"/>
  <c r="AK1979" i="17"/>
  <c r="AJ1887" i="17"/>
  <c r="AH1887" i="17"/>
  <c r="AI1887" i="17"/>
  <c r="AI1954" i="17"/>
  <c r="AH1954" i="17"/>
  <c r="AK1906" i="17"/>
  <c r="AK1966" i="17"/>
  <c r="AK1983" i="17"/>
  <c r="AH1979" i="17"/>
  <c r="AK1951" i="17"/>
  <c r="AJ1906" i="17"/>
  <c r="AH1882" i="17"/>
  <c r="AI1882" i="17"/>
  <c r="AJ1912" i="17"/>
  <c r="AI1901" i="17"/>
  <c r="AJ1983" i="17"/>
  <c r="AI1983" i="17"/>
  <c r="AI1950" i="17"/>
  <c r="AJ1950" i="17"/>
  <c r="AH1950" i="17"/>
  <c r="AK1950" i="17"/>
  <c r="AK1973" i="17"/>
  <c r="AH1973" i="17"/>
  <c r="AJ1973" i="17"/>
  <c r="AK1897" i="17"/>
  <c r="AJ1897" i="17"/>
  <c r="AJ1890" i="17"/>
  <c r="AK1890" i="17"/>
  <c r="AH1890" i="17"/>
  <c r="AI1890" i="17"/>
  <c r="AI1947" i="17"/>
  <c r="AJ1947" i="17"/>
  <c r="AH1891" i="17"/>
  <c r="AK1987" i="17"/>
  <c r="AH1951" i="17"/>
  <c r="AJ1957" i="17"/>
  <c r="AH1957" i="17"/>
  <c r="AI1957" i="17"/>
  <c r="AH1949" i="17"/>
  <c r="AJ1949" i="17"/>
  <c r="AK1949" i="17"/>
  <c r="AJ1910" i="17"/>
  <c r="AI1910" i="17"/>
  <c r="AH1925" i="17"/>
  <c r="AK1912" i="17"/>
  <c r="AI1973" i="17"/>
  <c r="AH1987" i="17"/>
  <c r="AH1881" i="17"/>
  <c r="AI1881" i="17"/>
  <c r="AJ1881" i="17"/>
  <c r="J1913" i="18" l="1"/>
  <c r="C1913" i="18"/>
  <c r="E1913" i="18" s="1"/>
  <c r="F1913" i="18" s="1"/>
  <c r="E1912" i="18"/>
  <c r="F1912" i="18" s="1"/>
  <c r="E1911" i="18"/>
  <c r="F1911" i="18" s="1"/>
  <c r="J1910" i="18"/>
  <c r="E1910" i="18"/>
  <c r="F1910" i="18" s="1"/>
  <c r="C1910" i="18"/>
  <c r="E1909" i="18"/>
  <c r="F1909" i="18" s="1"/>
  <c r="J1908" i="18"/>
  <c r="C1908" i="18"/>
  <c r="E1908" i="18" s="1"/>
  <c r="F1908" i="18" s="1"/>
  <c r="J1907" i="18"/>
  <c r="C1907" i="18"/>
  <c r="E1907" i="18" s="1"/>
  <c r="F1907" i="18" s="1"/>
  <c r="E1906" i="18"/>
  <c r="F1906" i="18" s="1"/>
  <c r="E1905" i="18"/>
  <c r="F1905" i="18" s="1"/>
  <c r="J1904" i="18"/>
  <c r="C1904" i="18"/>
  <c r="E1904" i="18" s="1"/>
  <c r="F1904" i="18" s="1"/>
  <c r="E1903" i="18"/>
  <c r="F1903" i="18" s="1"/>
  <c r="J1902" i="18"/>
  <c r="E1902" i="18"/>
  <c r="F1902" i="18" s="1"/>
  <c r="C1902" i="18"/>
  <c r="E1901" i="18"/>
  <c r="F1901" i="18" s="1"/>
  <c r="E1900" i="18"/>
  <c r="F1900" i="18" s="1"/>
  <c r="J1899" i="18"/>
  <c r="E1899" i="18"/>
  <c r="F1899" i="18" s="1"/>
  <c r="C1899" i="18"/>
  <c r="E1898" i="18"/>
  <c r="F1898" i="18" s="1"/>
  <c r="J1897" i="18"/>
  <c r="C1897" i="18"/>
  <c r="E1897" i="18" s="1"/>
  <c r="F1897" i="18" s="1"/>
  <c r="E1896" i="18"/>
  <c r="F1896" i="18" s="1"/>
  <c r="J1895" i="18"/>
  <c r="C1895" i="18"/>
  <c r="E1895" i="18" s="1"/>
  <c r="F1895" i="18" s="1"/>
  <c r="J1894" i="18"/>
  <c r="E1894" i="18"/>
  <c r="F1894" i="18" s="1"/>
  <c r="C1894" i="18"/>
  <c r="J1893" i="18"/>
  <c r="C1893" i="18"/>
  <c r="E1893" i="18" s="1"/>
  <c r="F1893" i="18" s="1"/>
  <c r="J1892" i="18"/>
  <c r="E1892" i="18"/>
  <c r="F1892" i="18" s="1"/>
  <c r="C1892" i="18"/>
  <c r="J1891" i="18"/>
  <c r="C1891" i="18"/>
  <c r="E1891" i="18" s="1"/>
  <c r="F1891" i="18" s="1"/>
  <c r="J1890" i="18"/>
  <c r="E1890" i="18"/>
  <c r="F1890" i="18" s="1"/>
  <c r="C1890" i="18"/>
  <c r="J1889" i="18"/>
  <c r="C1889" i="18"/>
  <c r="E1889" i="18" s="1"/>
  <c r="F1889" i="18" s="1"/>
  <c r="J1888" i="18"/>
  <c r="E1888" i="18"/>
  <c r="F1888" i="18" s="1"/>
  <c r="C1888" i="18"/>
  <c r="E1887" i="18"/>
  <c r="F1887" i="18" s="1"/>
  <c r="E1886" i="18"/>
  <c r="F1886" i="18" s="1"/>
  <c r="E1885" i="18"/>
  <c r="F1885" i="18" s="1"/>
  <c r="J1884" i="18"/>
  <c r="C1884" i="18"/>
  <c r="E1884" i="18" s="1"/>
  <c r="F1884" i="18" s="1"/>
  <c r="J1883" i="18"/>
  <c r="C1883" i="18"/>
  <c r="E1883" i="18" s="1"/>
  <c r="F1883" i="18" s="1"/>
  <c r="J1882" i="18"/>
  <c r="C1882" i="18"/>
  <c r="E1882" i="18" s="1"/>
  <c r="F1882" i="18" s="1"/>
  <c r="J1881" i="18"/>
  <c r="C1881" i="18"/>
  <c r="E1881" i="18" s="1"/>
  <c r="F1881" i="18" s="1"/>
  <c r="C1880" i="18"/>
  <c r="E1880" i="18" s="1"/>
  <c r="F1880" i="18" s="1"/>
  <c r="F1879" i="18"/>
  <c r="E1879" i="18"/>
  <c r="F1878" i="18"/>
  <c r="E1878" i="18"/>
  <c r="J1877" i="18"/>
  <c r="C1877" i="18"/>
  <c r="E1877" i="18" s="1"/>
  <c r="F1877" i="18" s="1"/>
  <c r="J1876" i="18"/>
  <c r="E1876" i="18"/>
  <c r="F1876" i="18" s="1"/>
  <c r="C1876" i="18"/>
  <c r="E1875" i="18"/>
  <c r="F1875" i="18" s="1"/>
  <c r="E1874" i="18"/>
  <c r="F1874" i="18" s="1"/>
  <c r="E1873" i="18"/>
  <c r="F1873" i="18" s="1"/>
  <c r="F1872" i="18"/>
  <c r="E1872" i="18"/>
  <c r="C1872" i="18"/>
  <c r="C1871" i="18"/>
  <c r="E1871" i="18" s="1"/>
  <c r="F1871" i="18" s="1"/>
  <c r="E1870" i="18"/>
  <c r="F1870" i="18" s="1"/>
  <c r="J1869" i="18"/>
  <c r="E1869" i="18"/>
  <c r="F1869" i="18" s="1"/>
  <c r="C1869" i="18"/>
  <c r="C1868" i="18"/>
  <c r="E1868" i="18" s="1"/>
  <c r="F1868" i="18" s="1"/>
  <c r="J1867" i="18"/>
  <c r="C1867" i="18"/>
  <c r="E1867" i="18" s="1"/>
  <c r="F1867" i="18" s="1"/>
  <c r="J1866" i="18"/>
  <c r="C1866" i="18"/>
  <c r="E1866" i="18" s="1"/>
  <c r="F1866" i="18" s="1"/>
  <c r="J1865" i="18"/>
  <c r="E1865" i="18"/>
  <c r="F1865" i="18" s="1"/>
  <c r="C1865" i="18"/>
  <c r="J1864" i="18"/>
  <c r="C1864" i="18"/>
  <c r="E1864" i="18" s="1"/>
  <c r="F1864" i="18" s="1"/>
  <c r="J1863" i="18"/>
  <c r="F1863" i="18"/>
  <c r="E1863" i="18"/>
  <c r="C1863" i="18"/>
  <c r="J1862" i="18"/>
  <c r="C1862" i="18"/>
  <c r="E1862" i="18" s="1"/>
  <c r="F1862" i="18" s="1"/>
  <c r="J1861" i="18"/>
  <c r="F1861" i="18"/>
  <c r="E1861" i="18"/>
  <c r="C1861" i="18"/>
  <c r="C1860" i="18"/>
  <c r="E1860" i="18" s="1"/>
  <c r="F1860" i="18" s="1"/>
  <c r="J1859" i="18"/>
  <c r="E1859" i="18"/>
  <c r="F1859" i="18" s="1"/>
  <c r="C1859" i="18"/>
  <c r="J1858" i="18"/>
  <c r="C1858" i="18"/>
  <c r="E1858" i="18" s="1"/>
  <c r="F1858" i="18" s="1"/>
  <c r="J1857" i="18"/>
  <c r="E1857" i="18"/>
  <c r="F1857" i="18" s="1"/>
  <c r="C1857" i="18"/>
  <c r="E1856" i="18"/>
  <c r="F1856" i="18" s="1"/>
  <c r="J1855" i="18"/>
  <c r="E1855" i="18"/>
  <c r="F1855" i="18" s="1"/>
  <c r="C1855" i="18"/>
  <c r="J1854" i="18"/>
  <c r="C1854" i="18"/>
  <c r="E1854" i="18" s="1"/>
  <c r="F1854" i="18" s="1"/>
  <c r="E1853" i="18"/>
  <c r="F1853" i="18" s="1"/>
  <c r="J1852" i="18"/>
  <c r="E1852" i="18"/>
  <c r="F1852" i="18" s="1"/>
  <c r="C1852" i="18"/>
  <c r="J1851" i="18"/>
  <c r="C1851" i="18"/>
  <c r="E1851" i="18" s="1"/>
  <c r="F1851" i="18" s="1"/>
  <c r="J1850" i="18"/>
  <c r="E1850" i="18"/>
  <c r="F1850" i="18" s="1"/>
  <c r="C1850" i="18"/>
  <c r="E1849" i="18"/>
  <c r="F1849" i="18" s="1"/>
  <c r="C1849" i="18"/>
  <c r="E1848" i="18"/>
  <c r="F1848" i="18" s="1"/>
  <c r="J1847" i="18"/>
  <c r="C1847" i="18"/>
  <c r="E1847" i="18" s="1"/>
  <c r="F1847" i="18" s="1"/>
  <c r="J1846" i="18"/>
  <c r="C1846" i="18"/>
  <c r="E1846" i="18" s="1"/>
  <c r="F1846" i="18" s="1"/>
  <c r="E1845" i="18"/>
  <c r="F1845" i="18" s="1"/>
  <c r="E1844" i="18"/>
  <c r="F1844" i="18" s="1"/>
  <c r="J1843" i="18"/>
  <c r="C1843" i="18"/>
  <c r="E1843" i="18" s="1"/>
  <c r="F1843" i="18" s="1"/>
  <c r="J1842" i="18"/>
  <c r="F1842" i="18"/>
  <c r="D1842" i="18"/>
  <c r="E1842" i="18" s="1"/>
  <c r="C1842" i="18"/>
  <c r="J1841" i="18"/>
  <c r="E1841" i="18"/>
  <c r="F1841" i="18" s="1"/>
  <c r="C1841" i="18"/>
  <c r="F1840" i="18"/>
  <c r="E1840" i="18"/>
  <c r="C1840" i="18"/>
  <c r="E1839" i="18"/>
  <c r="F1839" i="18" s="1"/>
  <c r="J1838" i="18"/>
  <c r="C1838" i="18"/>
  <c r="E1838" i="18" s="1"/>
  <c r="F1838" i="18" s="1"/>
  <c r="J1837" i="18"/>
  <c r="C1837" i="18"/>
  <c r="E1837" i="18" s="1"/>
  <c r="F1837" i="18" s="1"/>
  <c r="J1836" i="18"/>
  <c r="C1836" i="18"/>
  <c r="E1836" i="18" s="1"/>
  <c r="F1836" i="18" s="1"/>
  <c r="E1835" i="18"/>
  <c r="F1835" i="18" s="1"/>
  <c r="E1834" i="18"/>
  <c r="F1834" i="18" s="1"/>
  <c r="E1833" i="18"/>
  <c r="F1833" i="18" s="1"/>
  <c r="C1833" i="18"/>
  <c r="E1832" i="18"/>
  <c r="F1832" i="18" s="1"/>
  <c r="C1832" i="18"/>
  <c r="E1831" i="18"/>
  <c r="F1831" i="18" s="1"/>
  <c r="E1830" i="18"/>
  <c r="F1830" i="18" s="1"/>
  <c r="J1829" i="18"/>
  <c r="F1829" i="18"/>
  <c r="E1829" i="18"/>
  <c r="C1829" i="18"/>
  <c r="J1828" i="18"/>
  <c r="C1828" i="18"/>
  <c r="E1828" i="18" s="1"/>
  <c r="F1828" i="18" s="1"/>
  <c r="E1827" i="18"/>
  <c r="F1827" i="18" s="1"/>
  <c r="J1826" i="18"/>
  <c r="C1826" i="18"/>
  <c r="E1826" i="18" s="1"/>
  <c r="F1826" i="18" s="1"/>
  <c r="J1825" i="18"/>
  <c r="C1825" i="18"/>
  <c r="E1825" i="18" s="1"/>
  <c r="F1825" i="18" s="1"/>
  <c r="J1824" i="18"/>
  <c r="E1824" i="18"/>
  <c r="F1824" i="18" s="1"/>
  <c r="C1824" i="18"/>
  <c r="E1823" i="18"/>
  <c r="F1823" i="18" s="1"/>
  <c r="C1823" i="18"/>
  <c r="E1822" i="18"/>
  <c r="F1822" i="18" s="1"/>
  <c r="E1821" i="18"/>
  <c r="F1821" i="18" s="1"/>
  <c r="E1820" i="18"/>
  <c r="F1820" i="18" s="1"/>
  <c r="F1819" i="18"/>
  <c r="E1819" i="18"/>
  <c r="J1818" i="18"/>
  <c r="C1818" i="18"/>
  <c r="E1818" i="18" s="1"/>
  <c r="F1818" i="18" s="1"/>
  <c r="J1817" i="18"/>
  <c r="E1817" i="18"/>
  <c r="F1817" i="18" s="1"/>
  <c r="C1817" i="18"/>
  <c r="E1816" i="18"/>
  <c r="F1816" i="18" s="1"/>
  <c r="E1815" i="18"/>
  <c r="F1815" i="18" s="1"/>
  <c r="C1814" i="18"/>
  <c r="E1814" i="18" s="1"/>
  <c r="F1814" i="18" s="1"/>
  <c r="E1813" i="18"/>
  <c r="F1813" i="18" s="1"/>
  <c r="C1813" i="18"/>
  <c r="E1812" i="18"/>
  <c r="F1812" i="18" s="1"/>
  <c r="E1811" i="18"/>
  <c r="F1811" i="18" s="1"/>
  <c r="E1810" i="18"/>
  <c r="F1810" i="18" s="1"/>
  <c r="C1809" i="18"/>
  <c r="E1809" i="18" s="1"/>
  <c r="F1809" i="18" s="1"/>
  <c r="C1808" i="18"/>
  <c r="E1808" i="18" s="1"/>
  <c r="F1808" i="18" s="1"/>
  <c r="J1807" i="18"/>
  <c r="E1807" i="18"/>
  <c r="F1807" i="18" s="1"/>
  <c r="C1807" i="18"/>
  <c r="J1806" i="18"/>
  <c r="C1806" i="18"/>
  <c r="E1806" i="18" s="1"/>
  <c r="F1806" i="18" s="1"/>
  <c r="F1805" i="18"/>
  <c r="E1805" i="18"/>
  <c r="F1804" i="18"/>
  <c r="E1804" i="18"/>
  <c r="C1803" i="18"/>
  <c r="E1803" i="18" s="1"/>
  <c r="F1803" i="18" s="1"/>
  <c r="J1802" i="18"/>
  <c r="C1802" i="18"/>
  <c r="E1802" i="18" s="1"/>
  <c r="F1802" i="18" s="1"/>
  <c r="C1801" i="18"/>
  <c r="E1801" i="18" s="1"/>
  <c r="F1801" i="18" s="1"/>
  <c r="E1800" i="18"/>
  <c r="F1800" i="18" s="1"/>
  <c r="J1799" i="18"/>
  <c r="E1799" i="18"/>
  <c r="F1799" i="18" s="1"/>
  <c r="C1799" i="18"/>
  <c r="J1798" i="18"/>
  <c r="C1798" i="18"/>
  <c r="E1798" i="18" s="1"/>
  <c r="F1798" i="18" s="1"/>
  <c r="J1797" i="18"/>
  <c r="E1797" i="18"/>
  <c r="F1797" i="18" s="1"/>
  <c r="C1797" i="18"/>
  <c r="E1796" i="18"/>
  <c r="F1796" i="18" s="1"/>
  <c r="E1795" i="18"/>
  <c r="F1795" i="18" s="1"/>
  <c r="E1794" i="18"/>
  <c r="F1794" i="18" s="1"/>
  <c r="J1793" i="18"/>
  <c r="C1793" i="18"/>
  <c r="E1793" i="18" s="1"/>
  <c r="F1793" i="18" s="1"/>
  <c r="E1792" i="18"/>
  <c r="F1792" i="18" s="1"/>
  <c r="F1791" i="18"/>
  <c r="E1791" i="18"/>
  <c r="F1790" i="18"/>
  <c r="E1790" i="18"/>
  <c r="J1789" i="18"/>
  <c r="C1789" i="18"/>
  <c r="E1789" i="18" s="1"/>
  <c r="F1789" i="18" s="1"/>
  <c r="J1788" i="18"/>
  <c r="E1788" i="18"/>
  <c r="F1788" i="18" s="1"/>
  <c r="C1788" i="18"/>
  <c r="J1787" i="18"/>
  <c r="C1787" i="18"/>
  <c r="E1787" i="18" s="1"/>
  <c r="F1787" i="18" s="1"/>
  <c r="E1786" i="18"/>
  <c r="F1786" i="18" s="1"/>
  <c r="F1785" i="18"/>
  <c r="E1785" i="18"/>
  <c r="C1785" i="18"/>
  <c r="E1784" i="18"/>
  <c r="F1784" i="18" s="1"/>
  <c r="J1783" i="18"/>
  <c r="C1783" i="18"/>
  <c r="E1783" i="18" s="1"/>
  <c r="F1783" i="18" s="1"/>
  <c r="E1782" i="18"/>
  <c r="F1782" i="18" s="1"/>
  <c r="E1781" i="18"/>
  <c r="F1781" i="18" s="1"/>
  <c r="J1780" i="18"/>
  <c r="C1780" i="18"/>
  <c r="E1780" i="18" s="1"/>
  <c r="F1780" i="18" s="1"/>
  <c r="E1779" i="18"/>
  <c r="F1779" i="18" s="1"/>
  <c r="E1778" i="18"/>
  <c r="F1778" i="18" s="1"/>
  <c r="J1777" i="18"/>
  <c r="F1777" i="18"/>
  <c r="C1777" i="18"/>
  <c r="E1777" i="18" s="1"/>
  <c r="J1776" i="18"/>
  <c r="C1776" i="18"/>
  <c r="E1776" i="18" s="1"/>
  <c r="F1776" i="18" s="1"/>
  <c r="J1775" i="18"/>
  <c r="C1775" i="18"/>
  <c r="E1775" i="18" s="1"/>
  <c r="F1775" i="18" s="1"/>
  <c r="E1774" i="18"/>
  <c r="F1774" i="18" s="1"/>
  <c r="E1773" i="18"/>
  <c r="F1773" i="18" s="1"/>
  <c r="E1772" i="18"/>
  <c r="F1772" i="18" s="1"/>
  <c r="C1772" i="18"/>
  <c r="J1771" i="18"/>
  <c r="C1771" i="18"/>
  <c r="E1771" i="18" s="1"/>
  <c r="F1771" i="18" s="1"/>
  <c r="J1770" i="18"/>
  <c r="E1770" i="18"/>
  <c r="F1770" i="18" s="1"/>
  <c r="C1770" i="18"/>
  <c r="E1769" i="18"/>
  <c r="F1769" i="18" s="1"/>
  <c r="J1768" i="18"/>
  <c r="C1768" i="18"/>
  <c r="E1768" i="18" s="1"/>
  <c r="F1768" i="18" s="1"/>
  <c r="F1767" i="18"/>
  <c r="E1767" i="18"/>
  <c r="F1766" i="18"/>
  <c r="E1766" i="18"/>
  <c r="E1765" i="18"/>
  <c r="F1765" i="18" s="1"/>
  <c r="E1764" i="18"/>
  <c r="F1764" i="18" s="1"/>
  <c r="J1763" i="18"/>
  <c r="E1763" i="18"/>
  <c r="F1763" i="18" s="1"/>
  <c r="C1763" i="18"/>
  <c r="E1762" i="18"/>
  <c r="F1762" i="18" s="1"/>
  <c r="C1761" i="18"/>
  <c r="E1761" i="18" s="1"/>
  <c r="F1761" i="18" s="1"/>
  <c r="E1760" i="18"/>
  <c r="F1760" i="18" s="1"/>
  <c r="C1760" i="18"/>
  <c r="J1759" i="18"/>
  <c r="E1759" i="18"/>
  <c r="F1759" i="18" s="1"/>
  <c r="C1759" i="18"/>
  <c r="J1758" i="18"/>
  <c r="E1758" i="18"/>
  <c r="F1758" i="18" s="1"/>
  <c r="C1758" i="18"/>
  <c r="J1757" i="18"/>
  <c r="E1757" i="18"/>
  <c r="F1757" i="18" s="1"/>
  <c r="C1757" i="18"/>
  <c r="J1756" i="18"/>
  <c r="E1756" i="18"/>
  <c r="F1756" i="18" s="1"/>
  <c r="C1756" i="18"/>
  <c r="J1755" i="18"/>
  <c r="E1755" i="18"/>
  <c r="F1755" i="18" s="1"/>
  <c r="C1755" i="18"/>
  <c r="J1754" i="18"/>
  <c r="E1754" i="18"/>
  <c r="F1754" i="18" s="1"/>
  <c r="C1754" i="18"/>
  <c r="J1753" i="18"/>
  <c r="E1753" i="18"/>
  <c r="F1753" i="18" s="1"/>
  <c r="C1753" i="18"/>
  <c r="J1752" i="18"/>
  <c r="E1752" i="18"/>
  <c r="F1752" i="18" s="1"/>
  <c r="C1752" i="18"/>
  <c r="E1751" i="18"/>
  <c r="F1751" i="18" s="1"/>
  <c r="J1750" i="18"/>
  <c r="E1750" i="18"/>
  <c r="F1750" i="18" s="1"/>
  <c r="C1750" i="18"/>
  <c r="J1749" i="18"/>
  <c r="C1749" i="18"/>
  <c r="E1749" i="18" s="1"/>
  <c r="F1749" i="18" s="1"/>
  <c r="J1748" i="18"/>
  <c r="E1748" i="18"/>
  <c r="F1748" i="18" s="1"/>
  <c r="C1748" i="18"/>
  <c r="E1747" i="18"/>
  <c r="F1747" i="18" s="1"/>
  <c r="J1746" i="18"/>
  <c r="E1746" i="18"/>
  <c r="F1746" i="18" s="1"/>
  <c r="C1746" i="18"/>
  <c r="J1745" i="18"/>
  <c r="E1745" i="18"/>
  <c r="F1745" i="18" s="1"/>
  <c r="C1745" i="18"/>
  <c r="J1744" i="18"/>
  <c r="E1744" i="18"/>
  <c r="F1744" i="18" s="1"/>
  <c r="C1744" i="18"/>
  <c r="J1743" i="18"/>
  <c r="E1743" i="18"/>
  <c r="F1743" i="18" s="1"/>
  <c r="C1743" i="18"/>
  <c r="E1742" i="18"/>
  <c r="F1742" i="18" s="1"/>
  <c r="F1741" i="18"/>
  <c r="E1741" i="18"/>
  <c r="E1740" i="18"/>
  <c r="F1740" i="18" s="1"/>
  <c r="C1739" i="18"/>
  <c r="E1739" i="18" s="1"/>
  <c r="F1739" i="18" s="1"/>
  <c r="E1738" i="18"/>
  <c r="F1738" i="18" s="1"/>
  <c r="E1737" i="18"/>
  <c r="F1737" i="18" s="1"/>
  <c r="E1736" i="18"/>
  <c r="F1736" i="18" s="1"/>
  <c r="C1736" i="18"/>
  <c r="J1735" i="18"/>
  <c r="E1735" i="18"/>
  <c r="F1735" i="18" s="1"/>
  <c r="C1735" i="18"/>
  <c r="J1734" i="18"/>
  <c r="E1734" i="18"/>
  <c r="F1734" i="18" s="1"/>
  <c r="C1734" i="18"/>
  <c r="E1733" i="18"/>
  <c r="F1733" i="18" s="1"/>
  <c r="F1732" i="18"/>
  <c r="E1732" i="18"/>
  <c r="E1731" i="18"/>
  <c r="F1731" i="18" s="1"/>
  <c r="E1730" i="18"/>
  <c r="F1730" i="18" s="1"/>
  <c r="E1729" i="18"/>
  <c r="F1729" i="18" s="1"/>
  <c r="F1728" i="18"/>
  <c r="E1728" i="18"/>
  <c r="J1727" i="18"/>
  <c r="E1727" i="18"/>
  <c r="F1727" i="18" s="1"/>
  <c r="C1727" i="18"/>
  <c r="E1726" i="18"/>
  <c r="F1726" i="18" s="1"/>
  <c r="F1725" i="18"/>
  <c r="E1725" i="18"/>
  <c r="C1724" i="18"/>
  <c r="E1724" i="18" s="1"/>
  <c r="F1724" i="18" s="1"/>
  <c r="E1723" i="18"/>
  <c r="F1723" i="18" s="1"/>
  <c r="E1722" i="18"/>
  <c r="F1722" i="18" s="1"/>
  <c r="J1721" i="18"/>
  <c r="F1721" i="18"/>
  <c r="C1721" i="18"/>
  <c r="E1721" i="18" s="1"/>
  <c r="E1720" i="18"/>
  <c r="F1720" i="18" s="1"/>
  <c r="E1719" i="18"/>
  <c r="F1719" i="18" s="1"/>
  <c r="J1718" i="18"/>
  <c r="C1718" i="18"/>
  <c r="E1718" i="18" s="1"/>
  <c r="F1718" i="18" s="1"/>
  <c r="E1717" i="18"/>
  <c r="F1717" i="18" s="1"/>
  <c r="E1716" i="18"/>
  <c r="F1716" i="18" s="1"/>
  <c r="C1716" i="18"/>
  <c r="J1715" i="18"/>
  <c r="E1715" i="18"/>
  <c r="F1715" i="18" s="1"/>
  <c r="C1715" i="18"/>
  <c r="J1714" i="18"/>
  <c r="E1714" i="18"/>
  <c r="F1714" i="18" s="1"/>
  <c r="C1714" i="18"/>
  <c r="C1713" i="18"/>
  <c r="E1713" i="18" s="1"/>
  <c r="F1713" i="18" s="1"/>
  <c r="C1712" i="18"/>
  <c r="E1712" i="18" s="1"/>
  <c r="F1712" i="18" s="1"/>
  <c r="J1711" i="18"/>
  <c r="E1711" i="18"/>
  <c r="F1711" i="18" s="1"/>
  <c r="C1711" i="18"/>
  <c r="E1710" i="18"/>
  <c r="F1710" i="18" s="1"/>
  <c r="J1709" i="18"/>
  <c r="E1709" i="18"/>
  <c r="F1709" i="18" s="1"/>
  <c r="C1709" i="18"/>
  <c r="F1708" i="18"/>
  <c r="E1708" i="18"/>
  <c r="E1707" i="18"/>
  <c r="F1707" i="18" s="1"/>
  <c r="J1706" i="18"/>
  <c r="E1706" i="18"/>
  <c r="F1706" i="18" s="1"/>
  <c r="C1706" i="18"/>
  <c r="E1705" i="18"/>
  <c r="F1705" i="18" s="1"/>
  <c r="J1704" i="18"/>
  <c r="E1704" i="18"/>
  <c r="F1704" i="18" s="1"/>
  <c r="C1704" i="18"/>
  <c r="J1703" i="18"/>
  <c r="E1703" i="18"/>
  <c r="F1703" i="18" s="1"/>
  <c r="C1703" i="18"/>
  <c r="F1702" i="18"/>
  <c r="E1702" i="18"/>
  <c r="C1702" i="18"/>
  <c r="J1701" i="18"/>
  <c r="C1701" i="18"/>
  <c r="E1701" i="18" s="1"/>
  <c r="F1701" i="18" s="1"/>
  <c r="J1700" i="18"/>
  <c r="F1700" i="18"/>
  <c r="E1700" i="18"/>
  <c r="C1700" i="18"/>
  <c r="E1699" i="18"/>
  <c r="F1699" i="18" s="1"/>
  <c r="C1699" i="18"/>
  <c r="E1698" i="18"/>
  <c r="F1698" i="18" s="1"/>
  <c r="E1697" i="18"/>
  <c r="F1697" i="18" s="1"/>
  <c r="J1696" i="18"/>
  <c r="E1696" i="18"/>
  <c r="F1696" i="18" s="1"/>
  <c r="C1696" i="18"/>
  <c r="J1695" i="18"/>
  <c r="E1695" i="18"/>
  <c r="F1695" i="18" s="1"/>
  <c r="C1695" i="18"/>
  <c r="E1694" i="18"/>
  <c r="F1694" i="18" s="1"/>
  <c r="J1693" i="18"/>
  <c r="E1693" i="18"/>
  <c r="F1693" i="18" s="1"/>
  <c r="C1693" i="18"/>
  <c r="F1692" i="18"/>
  <c r="E1692" i="18"/>
  <c r="J1691" i="18"/>
  <c r="E1691" i="18"/>
  <c r="F1691" i="18" s="1"/>
  <c r="C1691" i="18"/>
  <c r="F1690" i="18"/>
  <c r="E1690" i="18"/>
  <c r="F1689" i="18"/>
  <c r="E1689" i="18"/>
  <c r="E1688" i="18"/>
  <c r="F1688" i="18" s="1"/>
  <c r="J1687" i="18"/>
  <c r="C1687" i="18"/>
  <c r="E1686" i="18"/>
  <c r="F1686" i="18" s="1"/>
  <c r="E1685" i="18"/>
  <c r="F1685" i="18" s="1"/>
  <c r="J1684" i="18"/>
  <c r="E1684" i="18"/>
  <c r="F1684" i="18" s="1"/>
  <c r="C1684" i="18"/>
  <c r="E1683" i="18"/>
  <c r="F1683" i="18" s="1"/>
  <c r="F1682" i="18"/>
  <c r="E1682" i="18"/>
  <c r="J1681" i="18"/>
  <c r="E1681" i="18"/>
  <c r="F1681" i="18" s="1"/>
  <c r="C1681" i="18"/>
  <c r="C1680" i="18"/>
  <c r="E1680" i="18" s="1"/>
  <c r="F1680" i="18" s="1"/>
  <c r="J1679" i="18"/>
  <c r="C1679" i="18"/>
  <c r="E1679" i="18" s="1"/>
  <c r="F1679" i="18" s="1"/>
  <c r="J1678" i="18"/>
  <c r="C1678" i="18"/>
  <c r="E1678" i="18" s="1"/>
  <c r="F1678" i="18" s="1"/>
  <c r="J1677" i="18"/>
  <c r="C1677" i="18"/>
  <c r="E1677" i="18" s="1"/>
  <c r="F1677" i="18" s="1"/>
  <c r="E1676" i="18"/>
  <c r="F1676" i="18" s="1"/>
  <c r="E1675" i="18"/>
  <c r="F1675" i="18" s="1"/>
  <c r="J1674" i="18"/>
  <c r="C1674" i="18"/>
  <c r="E1674" i="18" s="1"/>
  <c r="F1674" i="18" s="1"/>
  <c r="E1673" i="18"/>
  <c r="F1673" i="18" s="1"/>
  <c r="J1672" i="18"/>
  <c r="F1672" i="18"/>
  <c r="E1672" i="18"/>
  <c r="C1672" i="18"/>
  <c r="J1671" i="18"/>
  <c r="C1671" i="18"/>
  <c r="E1671" i="18" s="1"/>
  <c r="F1671" i="18" s="1"/>
  <c r="E1670" i="18"/>
  <c r="F1670" i="18" s="1"/>
  <c r="J1669" i="18"/>
  <c r="C1669" i="18"/>
  <c r="E1669" i="18" s="1"/>
  <c r="F1669" i="18" s="1"/>
  <c r="J1668" i="18"/>
  <c r="C1668" i="18"/>
  <c r="E1668" i="18" s="1"/>
  <c r="F1668" i="18" s="1"/>
  <c r="J1667" i="18"/>
  <c r="C1667" i="18"/>
  <c r="E1667" i="18" s="1"/>
  <c r="F1667" i="18" s="1"/>
  <c r="E1666" i="18"/>
  <c r="F1666" i="18" s="1"/>
  <c r="C1666" i="18"/>
  <c r="J1665" i="18"/>
  <c r="C1665" i="18"/>
  <c r="E1665" i="18" s="1"/>
  <c r="F1665" i="18" s="1"/>
  <c r="J1664" i="18"/>
  <c r="E1664" i="18"/>
  <c r="F1664" i="18" s="1"/>
  <c r="C1664" i="18"/>
  <c r="E1663" i="18"/>
  <c r="F1663" i="18" s="1"/>
  <c r="E1662" i="18"/>
  <c r="F1662" i="18" s="1"/>
  <c r="C1661" i="18"/>
  <c r="E1661" i="18" s="1"/>
  <c r="F1661" i="18" s="1"/>
  <c r="E1660" i="18"/>
  <c r="F1660" i="18" s="1"/>
  <c r="J1659" i="18"/>
  <c r="E1659" i="18"/>
  <c r="F1659" i="18" s="1"/>
  <c r="C1659" i="18"/>
  <c r="E1658" i="18"/>
  <c r="F1658" i="18" s="1"/>
  <c r="E1657" i="18"/>
  <c r="F1657" i="18" s="1"/>
  <c r="J1656" i="18"/>
  <c r="E1656" i="18"/>
  <c r="F1656" i="18" s="1"/>
  <c r="C1656" i="18"/>
  <c r="E1655" i="18"/>
  <c r="F1655" i="18" s="1"/>
  <c r="E1654" i="18"/>
  <c r="F1654" i="18" s="1"/>
  <c r="C1653" i="18"/>
  <c r="E1653" i="18" s="1"/>
  <c r="F1653" i="18" s="1"/>
  <c r="C1652" i="18"/>
  <c r="E1652" i="18" s="1"/>
  <c r="F1652" i="18" s="1"/>
  <c r="E1651" i="18"/>
  <c r="F1651" i="18" s="1"/>
  <c r="J1650" i="18"/>
  <c r="E1650" i="18"/>
  <c r="F1650" i="18" s="1"/>
  <c r="C1650" i="18"/>
  <c r="J1649" i="18"/>
  <c r="C1649" i="18"/>
  <c r="E1649" i="18" s="1"/>
  <c r="F1649" i="18" s="1"/>
  <c r="E1648" i="18"/>
  <c r="F1648" i="18" s="1"/>
  <c r="J1647" i="18"/>
  <c r="C1647" i="18"/>
  <c r="E1647" i="18" s="1"/>
  <c r="F1647" i="18" s="1"/>
  <c r="E1646" i="18"/>
  <c r="F1646" i="18" s="1"/>
  <c r="E1645" i="18"/>
  <c r="F1645" i="18" s="1"/>
  <c r="E1644" i="18"/>
  <c r="F1644" i="18" s="1"/>
  <c r="E1643" i="18"/>
  <c r="F1643" i="18" s="1"/>
  <c r="J1642" i="18"/>
  <c r="C1642" i="18"/>
  <c r="E1642" i="18" s="1"/>
  <c r="F1642" i="18" s="1"/>
  <c r="J1641" i="18"/>
  <c r="C1641" i="18"/>
  <c r="E1641" i="18" s="1"/>
  <c r="F1641" i="18" s="1"/>
  <c r="E1640" i="18"/>
  <c r="F1640" i="18" s="1"/>
  <c r="E1639" i="18"/>
  <c r="F1639" i="18" s="1"/>
  <c r="C1639" i="18"/>
  <c r="J1638" i="18"/>
  <c r="E1638" i="18"/>
  <c r="F1638" i="18" s="1"/>
  <c r="C1638" i="18"/>
  <c r="E1637" i="18"/>
  <c r="F1637" i="18" s="1"/>
  <c r="E1636" i="18"/>
  <c r="F1636" i="18" s="1"/>
  <c r="C1635" i="18"/>
  <c r="E1635" i="18" s="1"/>
  <c r="F1635" i="18" s="1"/>
  <c r="E1634" i="18"/>
  <c r="F1634" i="18" s="1"/>
  <c r="E1633" i="18"/>
  <c r="F1633" i="18" s="1"/>
  <c r="E1632" i="18"/>
  <c r="F1632" i="18" s="1"/>
  <c r="J1631" i="18"/>
  <c r="C1631" i="18"/>
  <c r="E1631" i="18" s="1"/>
  <c r="F1631" i="18" s="1"/>
  <c r="E1630" i="18"/>
  <c r="F1630" i="18" s="1"/>
  <c r="E1629" i="18"/>
  <c r="F1629" i="18" s="1"/>
  <c r="E1628" i="18"/>
  <c r="F1628" i="18" s="1"/>
  <c r="E1627" i="18"/>
  <c r="F1627" i="18" s="1"/>
  <c r="E1626" i="18"/>
  <c r="F1626" i="18" s="1"/>
  <c r="E1625" i="18"/>
  <c r="F1625" i="18" s="1"/>
  <c r="E1624" i="18"/>
  <c r="F1624" i="18" s="1"/>
  <c r="E1623" i="18"/>
  <c r="F1623" i="18" s="1"/>
  <c r="J1622" i="18"/>
  <c r="C1622" i="18"/>
  <c r="E1622" i="18" s="1"/>
  <c r="F1622" i="18" s="1"/>
  <c r="J1621" i="18"/>
  <c r="C1621" i="18"/>
  <c r="E1621" i="18" s="1"/>
  <c r="F1621" i="18" s="1"/>
  <c r="J1620" i="18"/>
  <c r="C1620" i="18"/>
  <c r="E1620" i="18" s="1"/>
  <c r="F1620" i="18" s="1"/>
  <c r="E1619" i="18"/>
  <c r="F1619" i="18" s="1"/>
  <c r="J1618" i="18"/>
  <c r="F1618" i="18"/>
  <c r="C1618" i="18"/>
  <c r="E1618" i="18" s="1"/>
  <c r="J1617" i="18"/>
  <c r="C1617" i="18"/>
  <c r="E1617" i="18" s="1"/>
  <c r="F1617" i="18" s="1"/>
  <c r="E1616" i="18"/>
  <c r="F1616" i="18" s="1"/>
  <c r="J1615" i="18"/>
  <c r="C1615" i="18"/>
  <c r="E1615" i="18" s="1"/>
  <c r="F1615" i="18" s="1"/>
  <c r="J1614" i="18"/>
  <c r="F1614" i="18"/>
  <c r="C1614" i="18"/>
  <c r="E1614" i="18" s="1"/>
  <c r="J1613" i="18"/>
  <c r="C1613" i="18"/>
  <c r="E1613" i="18" s="1"/>
  <c r="F1613" i="18" s="1"/>
  <c r="E1612" i="18"/>
  <c r="F1612" i="18" s="1"/>
  <c r="E1611" i="18"/>
  <c r="F1611" i="18" s="1"/>
  <c r="E1610" i="18"/>
  <c r="F1610" i="18" s="1"/>
  <c r="J1609" i="18"/>
  <c r="C1609" i="18"/>
  <c r="E1609" i="18" s="1"/>
  <c r="F1609" i="18" s="1"/>
  <c r="E1608" i="18"/>
  <c r="F1608" i="18" s="1"/>
  <c r="C1608" i="18"/>
  <c r="E1607" i="18"/>
  <c r="F1607" i="18" s="1"/>
  <c r="J1606" i="18"/>
  <c r="E1606" i="18"/>
  <c r="F1606" i="18" s="1"/>
  <c r="C1606" i="18"/>
  <c r="J1605" i="18"/>
  <c r="C1605" i="18"/>
  <c r="E1605" i="18" s="1"/>
  <c r="F1605" i="18" s="1"/>
  <c r="J1604" i="18"/>
  <c r="E1604" i="18"/>
  <c r="F1604" i="18" s="1"/>
  <c r="C1604" i="18"/>
  <c r="J1603" i="18"/>
  <c r="C1603" i="18"/>
  <c r="E1603" i="18" s="1"/>
  <c r="F1603" i="18" s="1"/>
  <c r="J1602" i="18"/>
  <c r="E1602" i="18"/>
  <c r="F1602" i="18" s="1"/>
  <c r="C1602" i="18"/>
  <c r="J1601" i="18"/>
  <c r="C1601" i="18"/>
  <c r="E1601" i="18" s="1"/>
  <c r="F1601" i="18" s="1"/>
  <c r="E1600" i="18"/>
  <c r="F1600" i="18" s="1"/>
  <c r="F1599" i="18"/>
  <c r="E1599" i="18"/>
  <c r="C1598" i="18"/>
  <c r="E1598" i="18" s="1"/>
  <c r="F1598" i="18" s="1"/>
  <c r="J1597" i="18"/>
  <c r="C1597" i="18"/>
  <c r="E1597" i="18" s="1"/>
  <c r="F1597" i="18" s="1"/>
  <c r="J1596" i="18"/>
  <c r="C1596" i="18"/>
  <c r="E1596" i="18" s="1"/>
  <c r="F1596" i="18" s="1"/>
  <c r="E1595" i="18"/>
  <c r="F1595" i="18" s="1"/>
  <c r="J1594" i="18"/>
  <c r="C1594" i="18"/>
  <c r="E1594" i="18" s="1"/>
  <c r="F1594" i="18" s="1"/>
  <c r="E1593" i="18"/>
  <c r="F1593" i="18" s="1"/>
  <c r="E1592" i="18"/>
  <c r="F1592" i="18" s="1"/>
  <c r="J1591" i="18"/>
  <c r="C1591" i="18"/>
  <c r="E1591" i="18" s="1"/>
  <c r="F1591" i="18" s="1"/>
  <c r="E1590" i="18"/>
  <c r="F1590" i="18" s="1"/>
  <c r="J1589" i="18"/>
  <c r="C1589" i="18"/>
  <c r="E1589" i="18" s="1"/>
  <c r="F1589" i="18" s="1"/>
  <c r="E1588" i="18"/>
  <c r="F1588" i="18" s="1"/>
  <c r="E1587" i="18"/>
  <c r="F1587" i="18" s="1"/>
  <c r="E1586" i="18"/>
  <c r="F1586" i="18" s="1"/>
  <c r="J1585" i="18"/>
  <c r="C1585" i="18"/>
  <c r="E1585" i="18" s="1"/>
  <c r="F1585" i="18" s="1"/>
  <c r="E1584" i="18"/>
  <c r="F1584" i="18" s="1"/>
  <c r="E1583" i="18"/>
  <c r="F1583" i="18" s="1"/>
  <c r="J1582" i="18"/>
  <c r="C1582" i="18"/>
  <c r="E1582" i="18" s="1"/>
  <c r="F1582" i="18" s="1"/>
  <c r="E1581" i="18"/>
  <c r="F1581" i="18" s="1"/>
  <c r="C1581" i="18"/>
  <c r="J1580" i="18"/>
  <c r="E1580" i="18"/>
  <c r="F1580" i="18" s="1"/>
  <c r="C1580" i="18"/>
  <c r="E1579" i="18"/>
  <c r="F1579" i="18" s="1"/>
  <c r="J1578" i="18"/>
  <c r="E1578" i="18"/>
  <c r="F1578" i="18" s="1"/>
  <c r="C1578" i="18"/>
  <c r="E1577" i="18"/>
  <c r="F1577" i="18" s="1"/>
  <c r="F1576" i="18"/>
  <c r="C1576" i="18"/>
  <c r="E1576" i="18" s="1"/>
  <c r="E1575" i="18"/>
  <c r="F1575" i="18" s="1"/>
  <c r="E1574" i="18"/>
  <c r="F1574" i="18" s="1"/>
  <c r="J1573" i="18"/>
  <c r="C1573" i="18"/>
  <c r="E1573" i="18" s="1"/>
  <c r="F1573" i="18" s="1"/>
  <c r="J1572" i="18"/>
  <c r="C1572" i="18"/>
  <c r="E1572" i="18" s="1"/>
  <c r="F1572" i="18" s="1"/>
  <c r="E1571" i="18"/>
  <c r="F1571" i="18" s="1"/>
  <c r="E1570" i="18"/>
  <c r="F1570" i="18" s="1"/>
  <c r="J1569" i="18"/>
  <c r="C1569" i="18"/>
  <c r="E1569" i="18" s="1"/>
  <c r="F1569" i="18" s="1"/>
  <c r="J1568" i="18"/>
  <c r="C1568" i="18"/>
  <c r="E1568" i="18" s="1"/>
  <c r="F1568" i="18" s="1"/>
  <c r="J1567" i="18"/>
  <c r="D1567" i="18"/>
  <c r="C1567" i="18"/>
  <c r="E1567" i="18" s="1"/>
  <c r="F1567" i="18" s="1"/>
  <c r="J1566" i="18"/>
  <c r="E1566" i="18"/>
  <c r="F1566" i="18" s="1"/>
  <c r="C1566" i="18"/>
  <c r="J1565" i="18"/>
  <c r="E1565" i="18"/>
  <c r="F1565" i="18" s="1"/>
  <c r="C1565" i="18"/>
  <c r="J1564" i="18"/>
  <c r="E1564" i="18"/>
  <c r="F1564" i="18" s="1"/>
  <c r="C1564" i="18"/>
  <c r="J1563" i="18"/>
  <c r="E1563" i="18"/>
  <c r="F1563" i="18" s="1"/>
  <c r="C1563" i="18"/>
  <c r="J1562" i="18"/>
  <c r="E1562" i="18"/>
  <c r="F1562" i="18" s="1"/>
  <c r="C1562" i="18"/>
  <c r="J1561" i="18"/>
  <c r="E1561" i="18"/>
  <c r="F1561" i="18" s="1"/>
  <c r="C1561" i="18"/>
  <c r="J1560" i="18"/>
  <c r="E1560" i="18"/>
  <c r="F1560" i="18" s="1"/>
  <c r="C1560" i="18"/>
  <c r="J1559" i="18"/>
  <c r="E1559" i="18"/>
  <c r="F1559" i="18" s="1"/>
  <c r="C1559" i="18"/>
  <c r="J1558" i="18"/>
  <c r="E1558" i="18"/>
  <c r="F1558" i="18" s="1"/>
  <c r="C1558" i="18"/>
  <c r="E1557" i="18"/>
  <c r="F1557" i="18" s="1"/>
  <c r="F1556" i="18"/>
  <c r="E1556" i="18"/>
  <c r="E1555" i="18"/>
  <c r="F1555" i="18" s="1"/>
  <c r="E1554" i="18"/>
  <c r="F1554" i="18" s="1"/>
  <c r="E1553" i="18"/>
  <c r="F1553" i="18" s="1"/>
  <c r="F1552" i="18"/>
  <c r="E1552" i="18"/>
  <c r="J1551" i="18"/>
  <c r="E1551" i="18"/>
  <c r="F1551" i="18" s="1"/>
  <c r="C1551" i="18"/>
  <c r="J1550" i="18"/>
  <c r="E1550" i="18"/>
  <c r="F1550" i="18" s="1"/>
  <c r="C1550" i="18"/>
  <c r="F1549" i="18"/>
  <c r="E1549" i="18"/>
  <c r="E1548" i="18"/>
  <c r="F1548" i="18" s="1"/>
  <c r="J1547" i="18"/>
  <c r="E1547" i="18"/>
  <c r="F1547" i="18" s="1"/>
  <c r="C1547" i="18"/>
  <c r="J1546" i="18"/>
  <c r="E1546" i="18"/>
  <c r="F1546" i="18" s="1"/>
  <c r="C1546" i="18"/>
  <c r="E1545" i="18"/>
  <c r="F1545" i="18" s="1"/>
  <c r="J1544" i="18"/>
  <c r="E1544" i="18"/>
  <c r="F1544" i="18" s="1"/>
  <c r="C1544" i="18"/>
  <c r="J1543" i="18"/>
  <c r="C1543" i="18"/>
  <c r="E1543" i="18" s="1"/>
  <c r="F1543" i="18" s="1"/>
  <c r="F1542" i="18"/>
  <c r="E1542" i="18"/>
  <c r="J1541" i="18"/>
  <c r="E1541" i="18"/>
  <c r="F1541" i="18" s="1"/>
  <c r="C1541" i="18"/>
  <c r="J1540" i="18"/>
  <c r="E1540" i="18"/>
  <c r="F1540" i="18" s="1"/>
  <c r="C1540" i="18"/>
  <c r="C1539" i="18"/>
  <c r="E1539" i="18" s="1"/>
  <c r="F1539" i="18" s="1"/>
  <c r="E1538" i="18"/>
  <c r="F1538" i="18" s="1"/>
  <c r="J1537" i="18"/>
  <c r="C1537" i="18"/>
  <c r="E1537" i="18" s="1"/>
  <c r="F1537" i="18" s="1"/>
  <c r="J1536" i="18"/>
  <c r="E1536" i="18"/>
  <c r="F1536" i="18" s="1"/>
  <c r="C1536" i="18"/>
  <c r="J1535" i="18"/>
  <c r="C1535" i="18"/>
  <c r="E1535" i="18" s="1"/>
  <c r="F1535" i="18" s="1"/>
  <c r="J1534" i="18"/>
  <c r="E1534" i="18"/>
  <c r="F1534" i="18" s="1"/>
  <c r="C1534" i="18"/>
  <c r="J1533" i="18"/>
  <c r="C1533" i="18"/>
  <c r="E1533" i="18" s="1"/>
  <c r="F1533" i="18" s="1"/>
  <c r="E1532" i="18"/>
  <c r="F1532" i="18" s="1"/>
  <c r="C1532" i="18"/>
  <c r="E1531" i="18"/>
  <c r="F1531" i="18" s="1"/>
  <c r="J1530" i="18"/>
  <c r="E1530" i="18"/>
  <c r="F1530" i="18" s="1"/>
  <c r="C1530" i="18"/>
  <c r="J1529" i="18"/>
  <c r="C1529" i="18"/>
  <c r="E1529" i="18" s="1"/>
  <c r="F1529" i="18" s="1"/>
  <c r="J1528" i="18"/>
  <c r="E1528" i="18"/>
  <c r="F1528" i="18" s="1"/>
  <c r="C1528" i="18"/>
  <c r="J1527" i="18"/>
  <c r="C1527" i="18"/>
  <c r="E1527" i="18" s="1"/>
  <c r="F1527" i="18" s="1"/>
  <c r="F1526" i="18"/>
  <c r="E1526" i="18"/>
  <c r="J1525" i="18"/>
  <c r="E1525" i="18"/>
  <c r="F1525" i="18" s="1"/>
  <c r="C1525" i="18"/>
  <c r="E1524" i="18"/>
  <c r="F1524" i="18" s="1"/>
  <c r="J1523" i="18"/>
  <c r="E1523" i="18"/>
  <c r="F1523" i="18" s="1"/>
  <c r="C1523" i="18"/>
  <c r="E1522" i="18"/>
  <c r="F1522" i="18" s="1"/>
  <c r="E1521" i="18"/>
  <c r="F1521" i="18" s="1"/>
  <c r="F1520" i="18"/>
  <c r="E1520" i="18"/>
  <c r="E1519" i="18"/>
  <c r="F1519" i="18" s="1"/>
  <c r="J1518" i="18"/>
  <c r="E1518" i="18"/>
  <c r="F1518" i="18" s="1"/>
  <c r="C1518" i="18"/>
  <c r="J1517" i="18"/>
  <c r="E1517" i="18"/>
  <c r="F1517" i="18" s="1"/>
  <c r="C1517" i="18"/>
  <c r="E1516" i="18"/>
  <c r="F1516" i="18" s="1"/>
  <c r="E1515" i="18"/>
  <c r="F1515" i="18" s="1"/>
  <c r="C1514" i="18"/>
  <c r="E1514" i="18" s="1"/>
  <c r="F1514" i="18" s="1"/>
  <c r="E1513" i="18"/>
  <c r="F1513" i="18" s="1"/>
  <c r="J1512" i="18"/>
  <c r="C1512" i="18"/>
  <c r="E1512" i="18" s="1"/>
  <c r="F1512" i="18" s="1"/>
  <c r="E1511" i="18"/>
  <c r="F1511" i="18" s="1"/>
  <c r="E1510" i="18"/>
  <c r="F1510" i="18" s="1"/>
  <c r="E1509" i="18"/>
  <c r="F1509" i="18" s="1"/>
  <c r="E1508" i="18"/>
  <c r="F1508" i="18" s="1"/>
  <c r="E1507" i="18"/>
  <c r="F1507" i="18" s="1"/>
  <c r="E1506" i="18"/>
  <c r="F1506" i="18" s="1"/>
  <c r="J1505" i="18"/>
  <c r="C1505" i="18"/>
  <c r="E1505" i="18" s="1"/>
  <c r="F1505" i="18" s="1"/>
  <c r="J1504" i="18"/>
  <c r="C1504" i="18"/>
  <c r="E1504" i="18" s="1"/>
  <c r="F1504" i="18" s="1"/>
  <c r="E1503" i="18"/>
  <c r="F1503" i="18" s="1"/>
  <c r="C1503" i="18"/>
  <c r="F1502" i="18"/>
  <c r="E1502" i="18"/>
  <c r="J1501" i="18"/>
  <c r="E1501" i="18"/>
  <c r="F1501" i="18" s="1"/>
  <c r="C1501" i="18"/>
  <c r="E1500" i="18"/>
  <c r="F1500" i="18" s="1"/>
  <c r="E1499" i="18"/>
  <c r="F1499" i="18" s="1"/>
  <c r="F1498" i="18"/>
  <c r="E1498" i="18"/>
  <c r="J1497" i="18"/>
  <c r="E1497" i="18"/>
  <c r="F1497" i="18" s="1"/>
  <c r="C1497" i="18"/>
  <c r="E1496" i="18"/>
  <c r="F1496" i="18" s="1"/>
  <c r="E1495" i="18"/>
  <c r="F1495" i="18" s="1"/>
  <c r="F1494" i="18"/>
  <c r="E1494" i="18"/>
  <c r="F1493" i="18"/>
  <c r="E1493" i="18"/>
  <c r="J1492" i="18"/>
  <c r="E1492" i="18"/>
  <c r="F1492" i="18" s="1"/>
  <c r="C1492" i="18"/>
  <c r="J1491" i="18"/>
  <c r="E1491" i="18"/>
  <c r="F1491" i="18" s="1"/>
  <c r="C1491" i="18"/>
  <c r="E1490" i="18"/>
  <c r="F1490" i="18" s="1"/>
  <c r="E1489" i="18"/>
  <c r="F1489" i="18" s="1"/>
  <c r="J1488" i="18"/>
  <c r="E1488" i="18"/>
  <c r="F1488" i="18" s="1"/>
  <c r="C1488" i="18"/>
  <c r="E1487" i="18"/>
  <c r="F1487" i="18" s="1"/>
  <c r="E1486" i="18"/>
  <c r="F1486" i="18" s="1"/>
  <c r="J1485" i="18"/>
  <c r="E1485" i="18"/>
  <c r="F1485" i="18" s="1"/>
  <c r="C1485" i="18"/>
  <c r="J1484" i="18"/>
  <c r="C1484" i="18"/>
  <c r="E1484" i="18" s="1"/>
  <c r="F1484" i="18" s="1"/>
  <c r="J1483" i="18"/>
  <c r="F1483" i="18"/>
  <c r="E1483" i="18"/>
  <c r="C1483" i="18"/>
  <c r="E1482" i="18"/>
  <c r="F1482" i="18" s="1"/>
  <c r="E1481" i="18"/>
  <c r="F1481" i="18" s="1"/>
  <c r="J1480" i="18"/>
  <c r="F1480" i="18"/>
  <c r="C1480" i="18"/>
  <c r="E1480" i="18" s="1"/>
  <c r="J1479" i="18"/>
  <c r="C1479" i="18"/>
  <c r="E1479" i="18" s="1"/>
  <c r="F1479" i="18" s="1"/>
  <c r="E1478" i="18"/>
  <c r="F1478" i="18" s="1"/>
  <c r="J1477" i="18"/>
  <c r="C1477" i="18"/>
  <c r="E1477" i="18" s="1"/>
  <c r="F1477" i="18" s="1"/>
  <c r="E1476" i="18"/>
  <c r="F1476" i="18" s="1"/>
  <c r="C1476" i="18"/>
  <c r="C1475" i="18"/>
  <c r="E1475" i="18" s="1"/>
  <c r="F1475" i="18" s="1"/>
  <c r="J1474" i="18"/>
  <c r="C1474" i="18"/>
  <c r="E1474" i="18" s="1"/>
  <c r="F1474" i="18" s="1"/>
  <c r="J1473" i="18"/>
  <c r="C1473" i="18"/>
  <c r="E1473" i="18" s="1"/>
  <c r="F1473" i="18" s="1"/>
  <c r="J1472" i="18"/>
  <c r="C1472" i="18"/>
  <c r="E1472" i="18" s="1"/>
  <c r="F1472" i="18" s="1"/>
  <c r="J1471" i="18"/>
  <c r="C1471" i="18"/>
  <c r="E1471" i="18" s="1"/>
  <c r="F1471" i="18" s="1"/>
  <c r="E1470" i="18"/>
  <c r="F1470" i="18" s="1"/>
  <c r="E1469" i="18"/>
  <c r="F1469" i="18" s="1"/>
  <c r="E1468" i="18"/>
  <c r="F1468" i="18" s="1"/>
  <c r="E1467" i="18"/>
  <c r="F1467" i="18" s="1"/>
  <c r="E1466" i="18"/>
  <c r="F1466" i="18" s="1"/>
  <c r="J1465" i="18"/>
  <c r="C1465" i="18"/>
  <c r="E1465" i="18" s="1"/>
  <c r="F1465" i="18" s="1"/>
  <c r="J1464" i="18"/>
  <c r="C1464" i="18"/>
  <c r="E1464" i="18" s="1"/>
  <c r="F1464" i="18" s="1"/>
  <c r="E1463" i="18"/>
  <c r="F1463" i="18" s="1"/>
  <c r="J1462" i="18"/>
  <c r="F1462" i="18"/>
  <c r="C1462" i="18"/>
  <c r="E1462" i="18" s="1"/>
  <c r="E1461" i="18"/>
  <c r="F1461" i="18" s="1"/>
  <c r="J1460" i="18"/>
  <c r="C1460" i="18"/>
  <c r="E1460" i="18" s="1"/>
  <c r="F1460" i="18" s="1"/>
  <c r="E1459" i="18"/>
  <c r="F1459" i="18" s="1"/>
  <c r="E1458" i="18"/>
  <c r="F1458" i="18" s="1"/>
  <c r="E1457" i="18"/>
  <c r="F1457" i="18" s="1"/>
  <c r="E1456" i="18"/>
  <c r="F1456" i="18" s="1"/>
  <c r="E1455" i="18"/>
  <c r="F1455" i="18" s="1"/>
  <c r="E1454" i="18"/>
  <c r="F1454" i="18" s="1"/>
  <c r="E1453" i="18"/>
  <c r="F1453" i="18" s="1"/>
  <c r="E1452" i="18"/>
  <c r="F1452" i="18" s="1"/>
  <c r="C1452" i="18"/>
  <c r="J1451" i="18"/>
  <c r="C1451" i="18"/>
  <c r="E1451" i="18" s="1"/>
  <c r="F1451" i="18" s="1"/>
  <c r="J1450" i="18"/>
  <c r="E1450" i="18"/>
  <c r="F1450" i="18" s="1"/>
  <c r="C1450" i="18"/>
  <c r="J1449" i="18"/>
  <c r="C1449" i="18"/>
  <c r="E1449" i="18" s="1"/>
  <c r="F1449" i="18" s="1"/>
  <c r="E1448" i="18"/>
  <c r="F1448" i="18" s="1"/>
  <c r="F1447" i="18"/>
  <c r="E1447" i="18"/>
  <c r="E1446" i="18"/>
  <c r="F1446" i="18" s="1"/>
  <c r="E1445" i="18"/>
  <c r="F1445" i="18" s="1"/>
  <c r="E1444" i="18"/>
  <c r="F1444" i="18" s="1"/>
  <c r="J1443" i="18"/>
  <c r="E1443" i="18"/>
  <c r="F1443" i="18" s="1"/>
  <c r="C1443" i="18"/>
  <c r="J1442" i="18"/>
  <c r="E1442" i="18"/>
  <c r="F1442" i="18" s="1"/>
  <c r="C1442" i="18"/>
  <c r="E1441" i="18"/>
  <c r="F1441" i="18" s="1"/>
  <c r="C1440" i="18"/>
  <c r="E1440" i="18" s="1"/>
  <c r="F1440" i="18" s="1"/>
  <c r="J1439" i="18"/>
  <c r="C1439" i="18"/>
  <c r="E1439" i="18" s="1"/>
  <c r="F1439" i="18" s="1"/>
  <c r="E1438" i="18"/>
  <c r="F1438" i="18" s="1"/>
  <c r="C1438" i="18"/>
  <c r="E1437" i="18"/>
  <c r="F1437" i="18" s="1"/>
  <c r="E1436" i="18"/>
  <c r="F1436" i="18" s="1"/>
  <c r="C1435" i="18"/>
  <c r="E1435" i="18" s="1"/>
  <c r="F1435" i="18" s="1"/>
  <c r="J1434" i="18"/>
  <c r="C1434" i="18"/>
  <c r="E1434" i="18" s="1"/>
  <c r="F1434" i="18" s="1"/>
  <c r="E1433" i="18"/>
  <c r="F1433" i="18" s="1"/>
  <c r="E1432" i="18"/>
  <c r="F1432" i="18" s="1"/>
  <c r="E1431" i="18"/>
  <c r="F1431" i="18" s="1"/>
  <c r="E1430" i="18"/>
  <c r="F1430" i="18" s="1"/>
  <c r="C1430" i="18"/>
  <c r="E1429" i="18"/>
  <c r="F1429" i="18" s="1"/>
  <c r="F1428" i="18"/>
  <c r="E1428" i="18"/>
  <c r="C1427" i="18"/>
  <c r="E1427" i="18" s="1"/>
  <c r="F1427" i="18" s="1"/>
  <c r="J1426" i="18"/>
  <c r="C1426" i="18"/>
  <c r="E1426" i="18" s="1"/>
  <c r="F1426" i="18" s="1"/>
  <c r="C1425" i="18"/>
  <c r="E1425" i="18" s="1"/>
  <c r="F1425" i="18" s="1"/>
  <c r="F1424" i="18"/>
  <c r="C1424" i="18"/>
  <c r="E1424" i="18" s="1"/>
  <c r="B1424" i="18"/>
  <c r="C1423" i="18"/>
  <c r="E1423" i="18" s="1"/>
  <c r="F1423" i="18" s="1"/>
  <c r="E1422" i="18"/>
  <c r="F1422" i="18" s="1"/>
  <c r="E1421" i="18"/>
  <c r="F1421" i="18" s="1"/>
  <c r="E1420" i="18"/>
  <c r="F1420" i="18" s="1"/>
  <c r="J1419" i="18"/>
  <c r="C1419" i="18"/>
  <c r="E1419" i="18" s="1"/>
  <c r="F1419" i="18" s="1"/>
  <c r="E1418" i="18"/>
  <c r="F1418" i="18" s="1"/>
  <c r="J1417" i="18"/>
  <c r="C1417" i="18"/>
  <c r="E1417" i="18" s="1"/>
  <c r="F1417" i="18" s="1"/>
  <c r="E1416" i="18"/>
  <c r="F1416" i="18" s="1"/>
  <c r="E1415" i="18"/>
  <c r="F1415" i="18" s="1"/>
  <c r="E1414" i="18"/>
  <c r="F1414" i="18" s="1"/>
  <c r="C1413" i="18"/>
  <c r="E1413" i="18" s="1"/>
  <c r="F1413" i="18" s="1"/>
  <c r="J1412" i="18"/>
  <c r="E1412" i="18"/>
  <c r="F1412" i="18" s="1"/>
  <c r="C1412" i="18"/>
  <c r="J1411" i="18"/>
  <c r="C1411" i="18"/>
  <c r="E1411" i="18" s="1"/>
  <c r="F1411" i="18" s="1"/>
  <c r="J1410" i="18"/>
  <c r="E1410" i="18"/>
  <c r="F1410" i="18" s="1"/>
  <c r="C1410" i="18"/>
  <c r="C1409" i="18"/>
  <c r="E1409" i="18" s="1"/>
  <c r="F1409" i="18" s="1"/>
  <c r="J1408" i="18"/>
  <c r="C1408" i="18"/>
  <c r="E1408" i="18" s="1"/>
  <c r="F1408" i="18" s="1"/>
  <c r="E1407" i="18"/>
  <c r="F1407" i="18" s="1"/>
  <c r="C1407" i="18"/>
  <c r="J1406" i="18"/>
  <c r="E1406" i="18"/>
  <c r="F1406" i="18" s="1"/>
  <c r="C1406" i="18"/>
  <c r="J1405" i="18"/>
  <c r="E1405" i="18"/>
  <c r="F1405" i="18" s="1"/>
  <c r="C1405" i="18"/>
  <c r="J1404" i="18"/>
  <c r="E1404" i="18"/>
  <c r="F1404" i="18" s="1"/>
  <c r="C1404" i="18"/>
  <c r="J1403" i="18"/>
  <c r="E1403" i="18"/>
  <c r="F1403" i="18" s="1"/>
  <c r="C1403" i="18"/>
  <c r="E1402" i="18"/>
  <c r="F1402" i="18" s="1"/>
  <c r="E1401" i="18"/>
  <c r="F1401" i="18" s="1"/>
  <c r="F1400" i="18"/>
  <c r="E1400" i="18"/>
  <c r="E1399" i="18"/>
  <c r="F1399" i="18" s="1"/>
  <c r="E1398" i="18"/>
  <c r="F1398" i="18" s="1"/>
  <c r="C1397" i="18"/>
  <c r="E1397" i="18" s="1"/>
  <c r="F1397" i="18" s="1"/>
  <c r="J1396" i="18"/>
  <c r="C1396" i="18"/>
  <c r="E1396" i="18" s="1"/>
  <c r="F1396" i="18" s="1"/>
  <c r="E1395" i="18"/>
  <c r="F1395" i="18" s="1"/>
  <c r="E1394" i="18"/>
  <c r="F1394" i="18" s="1"/>
  <c r="E1393" i="18"/>
  <c r="F1393" i="18" s="1"/>
  <c r="C1392" i="18"/>
  <c r="E1392" i="18" s="1"/>
  <c r="F1392" i="18" s="1"/>
  <c r="F1391" i="18"/>
  <c r="E1391" i="18"/>
  <c r="E1390" i="18"/>
  <c r="F1390" i="18" s="1"/>
  <c r="J1389" i="18"/>
  <c r="C1389" i="18"/>
  <c r="E1389" i="18" s="1"/>
  <c r="F1389" i="18" s="1"/>
  <c r="J1388" i="18"/>
  <c r="E1388" i="18"/>
  <c r="F1388" i="18" s="1"/>
  <c r="C1388" i="18"/>
  <c r="J1387" i="18"/>
  <c r="C1387" i="18"/>
  <c r="E1387" i="18" s="1"/>
  <c r="F1387" i="18" s="1"/>
  <c r="J1386" i="18"/>
  <c r="E1386" i="18"/>
  <c r="F1386" i="18" s="1"/>
  <c r="C1386" i="18"/>
  <c r="J1385" i="18"/>
  <c r="C1385" i="18"/>
  <c r="E1385" i="18" s="1"/>
  <c r="F1385" i="18" s="1"/>
  <c r="J1384" i="18"/>
  <c r="E1384" i="18"/>
  <c r="F1384" i="18" s="1"/>
  <c r="C1384" i="18"/>
  <c r="E1383" i="18"/>
  <c r="F1383" i="18" s="1"/>
  <c r="E1382" i="18"/>
  <c r="F1382" i="18" s="1"/>
  <c r="J1381" i="18"/>
  <c r="E1381" i="18"/>
  <c r="F1381" i="18" s="1"/>
  <c r="C1381" i="18"/>
  <c r="J1380" i="18"/>
  <c r="C1380" i="18"/>
  <c r="E1380" i="18" s="1"/>
  <c r="F1380" i="18" s="1"/>
  <c r="E1379" i="18"/>
  <c r="F1379" i="18" s="1"/>
  <c r="J1378" i="18"/>
  <c r="E1378" i="18"/>
  <c r="F1378" i="18" s="1"/>
  <c r="C1378" i="18"/>
  <c r="J1377" i="18"/>
  <c r="E1377" i="18"/>
  <c r="F1377" i="18" s="1"/>
  <c r="C1377" i="18"/>
  <c r="J1376" i="18"/>
  <c r="E1376" i="18"/>
  <c r="F1376" i="18" s="1"/>
  <c r="C1376" i="18"/>
  <c r="E1375" i="18"/>
  <c r="F1375" i="18" s="1"/>
  <c r="E1374" i="18"/>
  <c r="F1374" i="18" s="1"/>
  <c r="E1373" i="18"/>
  <c r="F1373" i="18" s="1"/>
  <c r="C1372" i="18"/>
  <c r="E1372" i="18" s="1"/>
  <c r="F1372" i="18" s="1"/>
  <c r="J1371" i="18"/>
  <c r="C1371" i="18"/>
  <c r="E1371" i="18" s="1"/>
  <c r="F1371" i="18" s="1"/>
  <c r="E1370" i="18"/>
  <c r="F1370" i="18" s="1"/>
  <c r="C1369" i="18"/>
  <c r="E1369" i="18" s="1"/>
  <c r="F1369" i="18" s="1"/>
  <c r="F1368" i="18"/>
  <c r="C1368" i="18"/>
  <c r="E1368" i="18" s="1"/>
  <c r="E1367" i="18"/>
  <c r="F1367" i="18" s="1"/>
  <c r="C1367" i="18"/>
  <c r="J1366" i="18"/>
  <c r="E1366" i="18"/>
  <c r="F1366" i="18" s="1"/>
  <c r="C1366" i="18"/>
  <c r="J1365" i="18"/>
  <c r="E1365" i="18"/>
  <c r="F1365" i="18" s="1"/>
  <c r="C1365" i="18"/>
  <c r="E1364" i="18"/>
  <c r="F1364" i="18" s="1"/>
  <c r="J1363" i="18"/>
  <c r="E1363" i="18"/>
  <c r="F1363" i="18" s="1"/>
  <c r="C1363" i="18"/>
  <c r="E1362" i="18"/>
  <c r="F1362" i="18" s="1"/>
  <c r="J1361" i="18"/>
  <c r="E1361" i="18"/>
  <c r="F1361" i="18" s="1"/>
  <c r="C1361" i="18"/>
  <c r="J1360" i="18"/>
  <c r="E1360" i="18"/>
  <c r="F1360" i="18" s="1"/>
  <c r="C1360" i="18"/>
  <c r="J1359" i="18"/>
  <c r="E1359" i="18"/>
  <c r="F1359" i="18" s="1"/>
  <c r="C1359" i="18"/>
  <c r="F1358" i="18"/>
  <c r="E1358" i="18"/>
  <c r="E1357" i="18"/>
  <c r="F1357" i="18" s="1"/>
  <c r="C1356" i="18"/>
  <c r="E1356" i="18" s="1"/>
  <c r="F1356" i="18" s="1"/>
  <c r="E1355" i="18"/>
  <c r="F1355" i="18" s="1"/>
  <c r="J1354" i="18"/>
  <c r="C1354" i="18"/>
  <c r="E1354" i="18" s="1"/>
  <c r="F1354" i="18" s="1"/>
  <c r="E1353" i="18"/>
  <c r="F1353" i="18" s="1"/>
  <c r="E1352" i="18"/>
  <c r="F1352" i="18" s="1"/>
  <c r="E1351" i="18"/>
  <c r="F1351" i="18" s="1"/>
  <c r="C1351" i="18"/>
  <c r="C1350" i="18"/>
  <c r="E1350" i="18" s="1"/>
  <c r="F1350" i="18" s="1"/>
  <c r="E1349" i="18"/>
  <c r="F1349" i="18" s="1"/>
  <c r="J1348" i="18"/>
  <c r="C1348" i="18"/>
  <c r="E1348" i="18" s="1"/>
  <c r="F1348" i="18" s="1"/>
  <c r="E1347" i="18"/>
  <c r="F1347" i="18" s="1"/>
  <c r="E1346" i="18"/>
  <c r="F1346" i="18" s="1"/>
  <c r="E1345" i="18"/>
  <c r="F1345" i="18" s="1"/>
  <c r="E1344" i="18"/>
  <c r="F1344" i="18" s="1"/>
  <c r="E1343" i="18"/>
  <c r="F1343" i="18" s="1"/>
  <c r="E1342" i="18"/>
  <c r="F1342" i="18" s="1"/>
  <c r="J1341" i="18"/>
  <c r="C1341" i="18"/>
  <c r="E1341" i="18" s="1"/>
  <c r="F1341" i="18" s="1"/>
  <c r="J1340" i="18"/>
  <c r="C1340" i="18"/>
  <c r="E1340" i="18" s="1"/>
  <c r="F1340" i="18" s="1"/>
  <c r="E1339" i="18"/>
  <c r="F1339" i="18" s="1"/>
  <c r="C1338" i="18"/>
  <c r="E1338" i="18" s="1"/>
  <c r="F1338" i="18" s="1"/>
  <c r="E1337" i="18"/>
  <c r="F1337" i="18" s="1"/>
  <c r="F1336" i="18"/>
  <c r="C1336" i="18"/>
  <c r="E1336" i="18" s="1"/>
  <c r="J1335" i="18"/>
  <c r="C1335" i="18"/>
  <c r="E1335" i="18" s="1"/>
  <c r="F1335" i="18" s="1"/>
  <c r="J1334" i="18"/>
  <c r="C1334" i="18"/>
  <c r="E1334" i="18" s="1"/>
  <c r="F1334" i="18" s="1"/>
  <c r="J1333" i="18"/>
  <c r="C1333" i="18"/>
  <c r="E1333" i="18" s="1"/>
  <c r="F1333" i="18" s="1"/>
  <c r="J1332" i="18"/>
  <c r="C1332" i="18"/>
  <c r="E1332" i="18" s="1"/>
  <c r="F1332" i="18" s="1"/>
  <c r="E1331" i="18"/>
  <c r="F1331" i="18" s="1"/>
  <c r="E1330" i="18"/>
  <c r="F1330" i="18" s="1"/>
  <c r="E1329" i="18"/>
  <c r="F1329" i="18" s="1"/>
  <c r="E1328" i="18"/>
  <c r="F1328" i="18" s="1"/>
  <c r="J1327" i="18"/>
  <c r="C1327" i="18"/>
  <c r="E1327" i="18" s="1"/>
  <c r="F1327" i="18" s="1"/>
  <c r="E1326" i="18"/>
  <c r="F1326" i="18" s="1"/>
  <c r="C1326" i="18"/>
  <c r="J1325" i="18"/>
  <c r="E1325" i="18"/>
  <c r="F1325" i="18" s="1"/>
  <c r="C1325" i="18"/>
  <c r="E1324" i="18"/>
  <c r="F1324" i="18" s="1"/>
  <c r="E1323" i="18"/>
  <c r="F1323" i="18" s="1"/>
  <c r="J1322" i="18"/>
  <c r="E1322" i="18"/>
  <c r="F1322" i="18" s="1"/>
  <c r="C1322" i="18"/>
  <c r="J1321" i="18"/>
  <c r="E1321" i="18"/>
  <c r="F1321" i="18" s="1"/>
  <c r="C1321" i="18"/>
  <c r="J1320" i="18"/>
  <c r="E1320" i="18"/>
  <c r="F1320" i="18" s="1"/>
  <c r="C1320" i="18"/>
  <c r="J1319" i="18"/>
  <c r="E1319" i="18"/>
  <c r="F1319" i="18" s="1"/>
  <c r="C1319" i="18"/>
  <c r="E1318" i="18"/>
  <c r="F1318" i="18" s="1"/>
  <c r="F1317" i="18"/>
  <c r="E1317" i="18"/>
  <c r="J1316" i="18"/>
  <c r="E1316" i="18"/>
  <c r="F1316" i="18" s="1"/>
  <c r="C1316" i="18"/>
  <c r="C1315" i="18"/>
  <c r="E1315" i="18" s="1"/>
  <c r="F1315" i="18" s="1"/>
  <c r="E1314" i="18"/>
  <c r="F1314" i="18" s="1"/>
  <c r="C1314" i="18"/>
  <c r="J1313" i="18"/>
  <c r="C1313" i="18"/>
  <c r="E1313" i="18" s="1"/>
  <c r="F1313" i="18" s="1"/>
  <c r="J1312" i="18"/>
  <c r="E1312" i="18"/>
  <c r="F1312" i="18" s="1"/>
  <c r="C1312" i="18"/>
  <c r="J1311" i="18"/>
  <c r="E1311" i="18"/>
  <c r="F1311" i="18" s="1"/>
  <c r="C1311" i="18"/>
  <c r="F1310" i="18"/>
  <c r="E1310" i="18"/>
  <c r="E1309" i="18"/>
  <c r="F1309" i="18" s="1"/>
  <c r="J1308" i="18"/>
  <c r="E1308" i="18"/>
  <c r="F1308" i="18" s="1"/>
  <c r="C1308" i="18"/>
  <c r="J1307" i="18"/>
  <c r="E1307" i="18"/>
  <c r="F1307" i="18" s="1"/>
  <c r="C1307" i="18"/>
  <c r="J1306" i="18"/>
  <c r="E1306" i="18"/>
  <c r="F1306" i="18" s="1"/>
  <c r="C1306" i="18"/>
  <c r="J1305" i="18"/>
  <c r="E1305" i="18"/>
  <c r="F1305" i="18" s="1"/>
  <c r="C1305" i="18"/>
  <c r="J1304" i="18"/>
  <c r="E1304" i="18"/>
  <c r="F1304" i="18" s="1"/>
  <c r="C1304" i="18"/>
  <c r="J1303" i="18"/>
  <c r="E1303" i="18"/>
  <c r="F1303" i="18" s="1"/>
  <c r="C1303" i="18"/>
  <c r="J1302" i="18"/>
  <c r="E1302" i="18"/>
  <c r="F1302" i="18" s="1"/>
  <c r="C1302" i="18"/>
  <c r="F1301" i="18"/>
  <c r="E1301" i="18"/>
  <c r="F1300" i="18"/>
  <c r="E1300" i="18"/>
  <c r="E1299" i="18"/>
  <c r="F1299" i="18" s="1"/>
  <c r="E1298" i="18"/>
  <c r="F1298" i="18" s="1"/>
  <c r="J1297" i="18"/>
  <c r="E1297" i="18"/>
  <c r="F1297" i="18" s="1"/>
  <c r="C1297" i="18"/>
  <c r="E1296" i="18"/>
  <c r="F1296" i="18" s="1"/>
  <c r="J1295" i="18"/>
  <c r="E1295" i="18"/>
  <c r="F1295" i="18" s="1"/>
  <c r="C1295" i="18"/>
  <c r="C1294" i="18"/>
  <c r="E1294" i="18" s="1"/>
  <c r="F1294" i="18" s="1"/>
  <c r="E1293" i="18"/>
  <c r="F1293" i="18" s="1"/>
  <c r="E1292" i="18"/>
  <c r="F1292" i="18" s="1"/>
  <c r="J1291" i="18"/>
  <c r="C1291" i="18"/>
  <c r="E1291" i="18" s="1"/>
  <c r="F1291" i="18" s="1"/>
  <c r="E1290" i="18"/>
  <c r="F1290" i="18" s="1"/>
  <c r="J1289" i="18"/>
  <c r="C1289" i="18"/>
  <c r="E1289" i="18" s="1"/>
  <c r="F1289" i="18" s="1"/>
  <c r="J1288" i="18"/>
  <c r="C1288" i="18"/>
  <c r="E1288" i="18" s="1"/>
  <c r="F1288" i="18" s="1"/>
  <c r="E1287" i="18"/>
  <c r="F1287" i="18" s="1"/>
  <c r="E1286" i="18"/>
  <c r="F1286" i="18" s="1"/>
  <c r="J1285" i="18"/>
  <c r="C1285" i="18"/>
  <c r="E1285" i="18" s="1"/>
  <c r="F1285" i="18" s="1"/>
  <c r="J1284" i="18"/>
  <c r="C1284" i="18"/>
  <c r="E1284" i="18" s="1"/>
  <c r="F1284" i="18" s="1"/>
  <c r="J1283" i="18"/>
  <c r="C1283" i="18"/>
  <c r="E1283" i="18" s="1"/>
  <c r="F1283" i="18" s="1"/>
  <c r="E1282" i="18"/>
  <c r="F1282" i="18" s="1"/>
  <c r="E1281" i="18"/>
  <c r="F1281" i="18" s="1"/>
  <c r="E1280" i="18"/>
  <c r="F1280" i="18" s="1"/>
  <c r="E1279" i="18"/>
  <c r="F1279" i="18" s="1"/>
  <c r="E1278" i="18"/>
  <c r="F1278" i="18" s="1"/>
  <c r="E1277" i="18"/>
  <c r="F1277" i="18" s="1"/>
  <c r="E1276" i="18"/>
  <c r="F1276" i="18" s="1"/>
  <c r="E1275" i="18"/>
  <c r="F1275" i="18" s="1"/>
  <c r="E1274" i="18"/>
  <c r="F1274" i="18" s="1"/>
  <c r="E1273" i="18"/>
  <c r="F1273" i="18" s="1"/>
  <c r="C1273" i="18"/>
  <c r="J1272" i="18"/>
  <c r="E1272" i="18"/>
  <c r="F1272" i="18" s="1"/>
  <c r="C1272" i="18"/>
  <c r="J1271" i="18"/>
  <c r="E1271" i="18"/>
  <c r="F1271" i="18" s="1"/>
  <c r="C1271" i="18"/>
  <c r="F1270" i="18"/>
  <c r="E1270" i="18"/>
  <c r="E1269" i="18"/>
  <c r="F1269" i="18" s="1"/>
  <c r="F1268" i="18"/>
  <c r="E1268" i="18"/>
  <c r="C1267" i="18"/>
  <c r="E1267" i="18" s="1"/>
  <c r="F1267" i="18" s="1"/>
  <c r="E1266" i="18"/>
  <c r="F1266" i="18" s="1"/>
  <c r="C1266" i="18"/>
  <c r="E1265" i="18"/>
  <c r="F1265" i="18" s="1"/>
  <c r="F1264" i="18"/>
  <c r="E1264" i="18"/>
  <c r="J1263" i="18"/>
  <c r="E1263" i="18"/>
  <c r="F1263" i="18" s="1"/>
  <c r="C1263" i="18"/>
  <c r="F1262" i="18"/>
  <c r="E1262" i="18"/>
  <c r="E1261" i="18"/>
  <c r="F1261" i="18" s="1"/>
  <c r="F1260" i="18"/>
  <c r="E1260" i="18"/>
  <c r="C1259" i="18"/>
  <c r="E1259" i="18" s="1"/>
  <c r="F1259" i="18" s="1"/>
  <c r="E1258" i="18"/>
  <c r="F1258" i="18" s="1"/>
  <c r="J1257" i="18"/>
  <c r="C1257" i="18"/>
  <c r="E1257" i="18" s="1"/>
  <c r="F1257" i="18" s="1"/>
  <c r="E1256" i="18"/>
  <c r="F1256" i="18" s="1"/>
  <c r="E1255" i="18"/>
  <c r="F1255" i="18" s="1"/>
  <c r="E1254" i="18"/>
  <c r="F1254" i="18" s="1"/>
  <c r="E1253" i="18"/>
  <c r="F1253" i="18" s="1"/>
  <c r="J1252" i="18"/>
  <c r="C1252" i="18"/>
  <c r="E1252" i="18" s="1"/>
  <c r="F1252" i="18" s="1"/>
  <c r="E1251" i="18"/>
  <c r="F1251" i="18" s="1"/>
  <c r="C1250" i="18"/>
  <c r="E1250" i="18" s="1"/>
  <c r="F1250" i="18" s="1"/>
  <c r="C1249" i="18"/>
  <c r="E1249" i="18" s="1"/>
  <c r="F1249" i="18" s="1"/>
  <c r="J1248" i="18"/>
  <c r="C1248" i="18"/>
  <c r="E1248" i="18" s="1"/>
  <c r="F1248" i="18" s="1"/>
  <c r="E1247" i="18"/>
  <c r="F1247" i="18" s="1"/>
  <c r="J1246" i="18"/>
  <c r="C1246" i="18"/>
  <c r="E1246" i="18" s="1"/>
  <c r="F1246" i="18" s="1"/>
  <c r="J1245" i="18"/>
  <c r="C1245" i="18"/>
  <c r="E1245" i="18" s="1"/>
  <c r="F1245" i="18" s="1"/>
  <c r="E1244" i="18"/>
  <c r="F1244" i="18" s="1"/>
  <c r="C1244" i="18"/>
  <c r="E1243" i="18"/>
  <c r="F1243" i="18" s="1"/>
  <c r="C1242" i="18"/>
  <c r="E1242" i="18" s="1"/>
  <c r="F1242" i="18" s="1"/>
  <c r="J1241" i="18"/>
  <c r="C1241" i="18"/>
  <c r="E1241" i="18" s="1"/>
  <c r="F1241" i="18" s="1"/>
  <c r="J1240" i="18"/>
  <c r="C1240" i="18"/>
  <c r="E1240" i="18" s="1"/>
  <c r="F1240" i="18" s="1"/>
  <c r="J1239" i="18"/>
  <c r="C1239" i="18"/>
  <c r="E1239" i="18" s="1"/>
  <c r="F1239" i="18" s="1"/>
  <c r="E1238" i="18"/>
  <c r="F1238" i="18" s="1"/>
  <c r="C1238" i="18"/>
  <c r="C1237" i="18"/>
  <c r="E1237" i="18" s="1"/>
  <c r="F1237" i="18" s="1"/>
  <c r="E1236" i="18"/>
  <c r="F1236" i="18" s="1"/>
  <c r="C1236" i="18"/>
  <c r="F1235" i="18"/>
  <c r="E1235" i="18"/>
  <c r="E1234" i="18"/>
  <c r="F1234" i="18" s="1"/>
  <c r="F1233" i="18"/>
  <c r="E1233" i="18"/>
  <c r="J1232" i="18"/>
  <c r="E1232" i="18"/>
  <c r="F1232" i="18" s="1"/>
  <c r="C1232" i="18"/>
  <c r="J1231" i="18"/>
  <c r="E1231" i="18"/>
  <c r="F1231" i="18" s="1"/>
  <c r="C1231" i="18"/>
  <c r="E1230" i="18"/>
  <c r="F1230" i="18" s="1"/>
  <c r="E1229" i="18"/>
  <c r="F1229" i="18" s="1"/>
  <c r="C1228" i="18"/>
  <c r="E1228" i="18" s="1"/>
  <c r="F1228" i="18" s="1"/>
  <c r="E1227" i="18"/>
  <c r="F1227" i="18" s="1"/>
  <c r="E1226" i="18"/>
  <c r="F1226" i="18" s="1"/>
  <c r="E1225" i="18"/>
  <c r="F1225" i="18" s="1"/>
  <c r="E1224" i="18"/>
  <c r="F1224" i="18" s="1"/>
  <c r="E1223" i="18"/>
  <c r="F1223" i="18" s="1"/>
  <c r="J1222" i="18"/>
  <c r="C1222" i="18"/>
  <c r="E1222" i="18" s="1"/>
  <c r="F1222" i="18" s="1"/>
  <c r="E1221" i="18"/>
  <c r="F1221" i="18" s="1"/>
  <c r="C1221" i="18"/>
  <c r="F1220" i="18"/>
  <c r="E1220" i="18"/>
  <c r="E1219" i="18"/>
  <c r="F1219" i="18" s="1"/>
  <c r="C1218" i="18"/>
  <c r="E1218" i="18" s="1"/>
  <c r="F1218" i="18" s="1"/>
  <c r="J1217" i="18"/>
  <c r="C1217" i="18"/>
  <c r="E1217" i="18" s="1"/>
  <c r="F1217" i="18" s="1"/>
  <c r="J1216" i="18"/>
  <c r="C1216" i="18"/>
  <c r="E1216" i="18" s="1"/>
  <c r="F1216" i="18" s="1"/>
  <c r="E1215" i="18"/>
  <c r="F1215" i="18" s="1"/>
  <c r="C1214" i="18"/>
  <c r="E1214" i="18" s="1"/>
  <c r="F1214" i="18" s="1"/>
  <c r="E1213" i="18"/>
  <c r="F1213" i="18" s="1"/>
  <c r="E1212" i="18"/>
  <c r="F1212" i="18" s="1"/>
  <c r="F1211" i="18"/>
  <c r="E1211" i="18"/>
  <c r="C1211" i="18"/>
  <c r="E1210" i="18"/>
  <c r="F1210" i="18" s="1"/>
  <c r="E1209" i="18"/>
  <c r="F1209" i="18" s="1"/>
  <c r="E1208" i="18"/>
  <c r="F1208" i="18" s="1"/>
  <c r="E1207" i="18"/>
  <c r="F1207" i="18" s="1"/>
  <c r="C1206" i="18"/>
  <c r="E1206" i="18" s="1"/>
  <c r="F1206" i="18" s="1"/>
  <c r="F1205" i="18"/>
  <c r="E1205" i="18"/>
  <c r="E1204" i="18"/>
  <c r="F1204" i="18" s="1"/>
  <c r="E1203" i="18"/>
  <c r="F1203" i="18" s="1"/>
  <c r="E1202" i="18"/>
  <c r="F1202" i="18" s="1"/>
  <c r="J1201" i="18"/>
  <c r="E1201" i="18"/>
  <c r="F1201" i="18" s="1"/>
  <c r="C1201" i="18"/>
  <c r="E1200" i="18"/>
  <c r="F1200" i="18" s="1"/>
  <c r="E1199" i="18"/>
  <c r="F1199" i="18" s="1"/>
  <c r="J1198" i="18"/>
  <c r="E1198" i="18"/>
  <c r="F1198" i="18" s="1"/>
  <c r="C1198" i="18"/>
  <c r="E1197" i="18"/>
  <c r="F1197" i="18" s="1"/>
  <c r="J1196" i="18"/>
  <c r="E1196" i="18"/>
  <c r="F1196" i="18" s="1"/>
  <c r="C1196" i="18"/>
  <c r="E1195" i="18"/>
  <c r="F1195" i="18" s="1"/>
  <c r="E1194" i="18"/>
  <c r="F1194" i="18" s="1"/>
  <c r="E1193" i="18"/>
  <c r="F1193" i="18" s="1"/>
  <c r="E1192" i="18"/>
  <c r="F1192" i="18" s="1"/>
  <c r="F1191" i="18"/>
  <c r="E1191" i="18"/>
  <c r="E1190" i="18"/>
  <c r="F1190" i="18" s="1"/>
  <c r="J1189" i="18"/>
  <c r="E1189" i="18"/>
  <c r="F1189" i="18" s="1"/>
  <c r="C1189" i="18"/>
  <c r="J1188" i="18"/>
  <c r="C1188" i="18"/>
  <c r="E1188" i="18" s="1"/>
  <c r="F1188" i="18" s="1"/>
  <c r="J1187" i="18"/>
  <c r="E1187" i="18"/>
  <c r="F1187" i="18" s="1"/>
  <c r="C1187" i="18"/>
  <c r="C1186" i="18"/>
  <c r="E1186" i="18" s="1"/>
  <c r="F1186" i="18" s="1"/>
  <c r="J1185" i="18"/>
  <c r="C1185" i="18"/>
  <c r="E1185" i="18" s="1"/>
  <c r="F1185" i="18" s="1"/>
  <c r="J1184" i="18"/>
  <c r="F1184" i="18"/>
  <c r="C1184" i="18"/>
  <c r="E1184" i="18" s="1"/>
  <c r="J1183" i="18"/>
  <c r="C1183" i="18"/>
  <c r="E1183" i="18" s="1"/>
  <c r="F1183" i="18" s="1"/>
  <c r="J1182" i="18"/>
  <c r="C1182" i="18"/>
  <c r="E1182" i="18" s="1"/>
  <c r="F1182" i="18" s="1"/>
  <c r="J1181" i="18"/>
  <c r="C1181" i="18"/>
  <c r="E1181" i="18" s="1"/>
  <c r="F1181" i="18" s="1"/>
  <c r="J1180" i="18"/>
  <c r="C1180" i="18"/>
  <c r="E1180" i="18" s="1"/>
  <c r="F1180" i="18" s="1"/>
  <c r="C1179" i="18"/>
  <c r="E1179" i="18" s="1"/>
  <c r="F1179" i="18" s="1"/>
  <c r="E1178" i="18"/>
  <c r="F1178" i="18" s="1"/>
  <c r="E1177" i="18"/>
  <c r="F1177" i="18" s="1"/>
  <c r="E1176" i="18"/>
  <c r="F1176" i="18" s="1"/>
  <c r="E1175" i="18"/>
  <c r="F1175" i="18" s="1"/>
  <c r="C1174" i="18"/>
  <c r="E1174" i="18" s="1"/>
  <c r="F1174" i="18" s="1"/>
  <c r="E1173" i="18"/>
  <c r="F1173" i="18" s="1"/>
  <c r="J1172" i="18"/>
  <c r="C1172" i="18"/>
  <c r="E1172" i="18" s="1"/>
  <c r="F1172" i="18" s="1"/>
  <c r="J1171" i="18"/>
  <c r="F1171" i="18"/>
  <c r="C1171" i="18"/>
  <c r="E1171" i="18" s="1"/>
  <c r="J1170" i="18"/>
  <c r="C1170" i="18"/>
  <c r="E1170" i="18" s="1"/>
  <c r="F1170" i="18" s="1"/>
  <c r="E1169" i="18"/>
  <c r="F1169" i="18" s="1"/>
  <c r="E1168" i="18"/>
  <c r="F1168" i="18" s="1"/>
  <c r="E1167" i="18"/>
  <c r="F1167" i="18" s="1"/>
  <c r="E1166" i="18"/>
  <c r="F1166" i="18" s="1"/>
  <c r="C1166" i="18"/>
  <c r="C1165" i="18"/>
  <c r="E1165" i="18" s="1"/>
  <c r="F1165" i="18" s="1"/>
  <c r="E1164" i="18"/>
  <c r="F1164" i="18" s="1"/>
  <c r="E1163" i="18"/>
  <c r="F1163" i="18" s="1"/>
  <c r="E1162" i="18"/>
  <c r="F1162" i="18" s="1"/>
  <c r="E1161" i="18"/>
  <c r="F1161" i="18" s="1"/>
  <c r="J1160" i="18"/>
  <c r="C1160" i="18"/>
  <c r="E1160" i="18" s="1"/>
  <c r="F1160" i="18" s="1"/>
  <c r="J1159" i="18"/>
  <c r="C1159" i="18"/>
  <c r="E1159" i="18" s="1"/>
  <c r="F1159" i="18" s="1"/>
  <c r="C1158" i="18"/>
  <c r="E1158" i="18" s="1"/>
  <c r="F1158" i="18" s="1"/>
  <c r="C1157" i="18"/>
  <c r="E1157" i="18" s="1"/>
  <c r="F1157" i="18" s="1"/>
  <c r="C1156" i="18"/>
  <c r="E1156" i="18" s="1"/>
  <c r="F1156" i="18" s="1"/>
  <c r="C1155" i="18"/>
  <c r="E1155" i="18" s="1"/>
  <c r="F1155" i="18" s="1"/>
  <c r="J1154" i="18"/>
  <c r="C1154" i="18"/>
  <c r="E1154" i="18" s="1"/>
  <c r="F1154" i="18" s="1"/>
  <c r="E1153" i="18"/>
  <c r="F1153" i="18" s="1"/>
  <c r="J1152" i="18"/>
  <c r="C1152" i="18"/>
  <c r="E1152" i="18" s="1"/>
  <c r="F1152" i="18" s="1"/>
  <c r="E1151" i="18"/>
  <c r="F1151" i="18" s="1"/>
  <c r="J1150" i="18"/>
  <c r="C1150" i="18"/>
  <c r="E1150" i="18" s="1"/>
  <c r="F1150" i="18" s="1"/>
  <c r="E1149" i="18"/>
  <c r="F1149" i="18" s="1"/>
  <c r="J1148" i="18"/>
  <c r="E1148" i="18"/>
  <c r="F1148" i="18" s="1"/>
  <c r="C1148" i="18"/>
  <c r="J1147" i="18"/>
  <c r="C1147" i="18"/>
  <c r="E1147" i="18" s="1"/>
  <c r="F1147" i="18" s="1"/>
  <c r="J1146" i="18"/>
  <c r="E1146" i="18"/>
  <c r="F1146" i="18" s="1"/>
  <c r="C1146" i="18"/>
  <c r="E1145" i="18"/>
  <c r="F1145" i="18" s="1"/>
  <c r="C1145" i="18"/>
  <c r="E1144" i="18"/>
  <c r="F1144" i="18" s="1"/>
  <c r="E1143" i="18"/>
  <c r="F1143" i="18" s="1"/>
  <c r="C1143" i="18"/>
  <c r="E1142" i="18"/>
  <c r="F1142" i="18" s="1"/>
  <c r="E1141" i="18"/>
  <c r="F1141" i="18" s="1"/>
  <c r="E1140" i="18"/>
  <c r="F1140" i="18" s="1"/>
  <c r="E1139" i="18"/>
  <c r="F1139" i="18" s="1"/>
  <c r="E1138" i="18"/>
  <c r="F1138" i="18" s="1"/>
  <c r="E1137" i="18"/>
  <c r="F1137" i="18" s="1"/>
  <c r="E1136" i="18"/>
  <c r="F1136" i="18" s="1"/>
  <c r="E1135" i="18"/>
  <c r="F1135" i="18" s="1"/>
  <c r="E1134" i="18"/>
  <c r="F1134" i="18" s="1"/>
  <c r="E1133" i="18"/>
  <c r="F1133" i="18" s="1"/>
  <c r="E1132" i="18"/>
  <c r="F1132" i="18" s="1"/>
  <c r="J1131" i="18"/>
  <c r="F1131" i="18"/>
  <c r="E1131" i="18"/>
  <c r="C1131" i="18"/>
  <c r="E1130" i="18"/>
  <c r="F1130" i="18" s="1"/>
  <c r="E1129" i="18"/>
  <c r="F1129" i="18" s="1"/>
  <c r="E1128" i="18"/>
  <c r="F1128" i="18" s="1"/>
  <c r="C1128" i="18"/>
  <c r="E1127" i="18"/>
  <c r="F1127" i="18" s="1"/>
  <c r="E1126" i="18"/>
  <c r="F1126" i="18" s="1"/>
  <c r="C1126" i="18"/>
  <c r="E1125" i="18"/>
  <c r="F1125" i="18" s="1"/>
  <c r="E1124" i="18"/>
  <c r="F1124" i="18" s="1"/>
  <c r="F1123" i="18"/>
  <c r="E1123" i="18"/>
  <c r="E1122" i="18"/>
  <c r="F1122" i="18" s="1"/>
  <c r="J1121" i="18"/>
  <c r="C1121" i="18"/>
  <c r="E1121" i="18" s="1"/>
  <c r="F1121" i="18" s="1"/>
  <c r="E1120" i="18"/>
  <c r="F1120" i="18" s="1"/>
  <c r="C1119" i="18"/>
  <c r="E1119" i="18" s="1"/>
  <c r="F1119" i="18" s="1"/>
  <c r="E1118" i="18"/>
  <c r="F1118" i="18" s="1"/>
  <c r="E1100" i="18"/>
  <c r="F1100" i="18" s="1"/>
  <c r="E1099" i="18"/>
  <c r="F1099" i="18" s="1"/>
  <c r="C1098" i="18"/>
  <c r="E1098" i="18" s="1"/>
  <c r="F1098" i="18" s="1"/>
  <c r="E1097" i="18"/>
  <c r="F1097" i="18" s="1"/>
  <c r="J1096" i="18"/>
  <c r="E1096" i="18"/>
  <c r="F1096" i="18" s="1"/>
  <c r="C1096" i="18"/>
  <c r="J1095" i="18"/>
  <c r="E1095" i="18"/>
  <c r="F1095" i="18" s="1"/>
  <c r="C1095" i="18"/>
  <c r="E1094" i="18"/>
  <c r="F1094" i="18" s="1"/>
  <c r="F1093" i="18"/>
  <c r="E1093" i="18"/>
  <c r="E1092" i="18"/>
  <c r="F1092" i="18" s="1"/>
  <c r="C1092" i="18"/>
  <c r="E1091" i="18"/>
  <c r="F1091" i="18" s="1"/>
  <c r="E1090" i="18"/>
  <c r="F1090" i="18" s="1"/>
  <c r="J1089" i="18"/>
  <c r="E1089" i="18"/>
  <c r="F1089" i="18" s="1"/>
  <c r="C1089" i="18"/>
  <c r="J1088" i="18"/>
  <c r="C1088" i="18"/>
  <c r="E1088" i="18" s="1"/>
  <c r="F1088" i="18" s="1"/>
  <c r="E1087" i="18"/>
  <c r="F1087" i="18" s="1"/>
  <c r="E1086" i="18"/>
  <c r="F1086" i="18" s="1"/>
  <c r="J1085" i="18"/>
  <c r="C1085" i="18"/>
  <c r="E1085" i="18" s="1"/>
  <c r="F1085" i="18" s="1"/>
  <c r="E1084" i="18"/>
  <c r="F1084" i="18" s="1"/>
  <c r="J1083" i="18"/>
  <c r="E1083" i="18"/>
  <c r="F1083" i="18" s="1"/>
  <c r="C1083" i="18"/>
  <c r="J1082" i="18"/>
  <c r="F1082" i="18"/>
  <c r="E1082" i="18"/>
  <c r="E1081" i="18"/>
  <c r="F1081" i="18" s="1"/>
  <c r="J1080" i="18"/>
  <c r="C1080" i="18"/>
  <c r="E1080" i="18" s="1"/>
  <c r="F1080" i="18" s="1"/>
  <c r="J1079" i="18"/>
  <c r="C1079" i="18"/>
  <c r="E1079" i="18" s="1"/>
  <c r="F1079" i="18" s="1"/>
  <c r="E1078" i="18"/>
  <c r="F1078" i="18" s="1"/>
  <c r="E1077" i="18"/>
  <c r="F1077" i="18" s="1"/>
  <c r="F1076" i="18"/>
  <c r="E1076" i="18"/>
  <c r="E1075" i="18"/>
  <c r="F1075" i="18" s="1"/>
  <c r="E1074" i="18"/>
  <c r="F1074" i="18" s="1"/>
  <c r="J1073" i="18"/>
  <c r="E1073" i="18"/>
  <c r="F1073" i="18" s="1"/>
  <c r="C1073" i="18"/>
  <c r="J1072" i="18"/>
  <c r="F1072" i="18"/>
  <c r="C1072" i="18"/>
  <c r="E1072" i="18" s="1"/>
  <c r="J1071" i="18"/>
  <c r="E1071" i="18"/>
  <c r="F1071" i="18" s="1"/>
  <c r="C1071" i="18"/>
  <c r="E1070" i="18"/>
  <c r="F1070" i="18" s="1"/>
  <c r="J1069" i="18"/>
  <c r="F1069" i="18"/>
  <c r="E1069" i="18"/>
  <c r="E1068" i="18"/>
  <c r="F1068" i="18" s="1"/>
  <c r="J1067" i="18"/>
  <c r="E1067" i="18"/>
  <c r="F1067" i="18" s="1"/>
  <c r="E1066" i="18"/>
  <c r="F1066" i="18" s="1"/>
  <c r="E1065" i="18"/>
  <c r="F1065" i="18" s="1"/>
  <c r="J1064" i="18"/>
  <c r="E1064" i="18"/>
  <c r="F1064" i="18" s="1"/>
  <c r="F1063" i="18"/>
  <c r="E1063" i="18"/>
  <c r="E1062" i="18"/>
  <c r="F1062" i="18" s="1"/>
  <c r="E1061" i="18"/>
  <c r="F1061" i="18" s="1"/>
  <c r="E1060" i="18"/>
  <c r="F1060" i="18" s="1"/>
  <c r="E1059" i="18"/>
  <c r="F1059" i="18" s="1"/>
  <c r="F1058" i="18"/>
  <c r="E1058" i="18"/>
  <c r="J1057" i="18"/>
  <c r="F1057" i="18"/>
  <c r="E1057" i="18"/>
  <c r="J1056" i="18"/>
  <c r="E1056" i="18"/>
  <c r="F1056" i="18" s="1"/>
  <c r="J1055" i="18"/>
  <c r="E1055" i="18"/>
  <c r="F1055" i="18" s="1"/>
  <c r="E1054" i="18"/>
  <c r="F1054" i="18" s="1"/>
  <c r="E1053" i="18"/>
  <c r="F1053" i="18" s="1"/>
  <c r="J1052" i="18"/>
  <c r="E1052" i="18"/>
  <c r="F1052" i="18" s="1"/>
  <c r="E1051" i="18"/>
  <c r="F1051" i="18" s="1"/>
  <c r="E1050" i="18"/>
  <c r="F1050" i="18" s="1"/>
  <c r="E1049" i="18"/>
  <c r="F1049" i="18" s="1"/>
  <c r="E1048" i="18"/>
  <c r="F1048" i="18" s="1"/>
  <c r="J1047" i="18"/>
  <c r="C1047" i="18"/>
  <c r="E1047" i="18" s="1"/>
  <c r="F1047" i="18" s="1"/>
  <c r="F1046" i="18"/>
  <c r="E1046" i="18"/>
  <c r="E1045" i="18"/>
  <c r="F1045" i="18" s="1"/>
  <c r="E1044" i="18"/>
  <c r="F1044" i="18" s="1"/>
  <c r="E1043" i="18"/>
  <c r="F1043" i="18" s="1"/>
  <c r="J1042" i="18"/>
  <c r="E1042" i="18"/>
  <c r="F1042" i="18" s="1"/>
  <c r="C1042" i="18"/>
  <c r="E1041" i="18"/>
  <c r="F1041" i="18" s="1"/>
  <c r="E1040" i="18"/>
  <c r="F1040" i="18" s="1"/>
  <c r="J1039" i="18"/>
  <c r="E1039" i="18"/>
  <c r="F1039" i="18" s="1"/>
  <c r="C1039" i="18"/>
  <c r="E1038" i="18"/>
  <c r="F1038" i="18" s="1"/>
  <c r="C1038" i="18"/>
  <c r="E1037" i="18"/>
  <c r="F1037" i="18" s="1"/>
  <c r="E1036" i="18"/>
  <c r="F1036" i="18" s="1"/>
  <c r="E1035" i="18"/>
  <c r="F1035" i="18" s="1"/>
  <c r="J1034" i="18"/>
  <c r="C1034" i="18"/>
  <c r="E1034" i="18" s="1"/>
  <c r="F1034" i="18" s="1"/>
  <c r="J1033" i="18"/>
  <c r="C1033" i="18"/>
  <c r="E1033" i="18" s="1"/>
  <c r="F1033" i="18" s="1"/>
  <c r="J1032" i="18"/>
  <c r="C1032" i="18"/>
  <c r="E1032" i="18" s="1"/>
  <c r="F1032" i="18" s="1"/>
  <c r="J1031" i="18"/>
  <c r="E1031" i="18"/>
  <c r="F1031" i="18" s="1"/>
  <c r="C1031" i="18"/>
  <c r="C1030" i="18"/>
  <c r="E1030" i="18" s="1"/>
  <c r="F1030" i="18" s="1"/>
  <c r="E1029" i="18"/>
  <c r="F1029" i="18" s="1"/>
  <c r="F1028" i="18"/>
  <c r="E1028" i="18"/>
  <c r="E1027" i="18"/>
  <c r="F1027" i="18" s="1"/>
  <c r="C1027" i="18"/>
  <c r="E1026" i="18"/>
  <c r="F1026" i="18" s="1"/>
  <c r="C1026" i="18"/>
  <c r="E1025" i="18"/>
  <c r="F1025" i="18" s="1"/>
  <c r="E1024" i="18"/>
  <c r="F1024" i="18" s="1"/>
  <c r="C1024" i="18"/>
  <c r="E1023" i="18"/>
  <c r="F1023" i="18" s="1"/>
  <c r="C1023" i="18"/>
  <c r="J1022" i="18"/>
  <c r="C1022" i="18"/>
  <c r="E1022" i="18" s="1"/>
  <c r="F1022" i="18" s="1"/>
  <c r="J1021" i="18"/>
  <c r="E1021" i="18"/>
  <c r="F1021" i="18" s="1"/>
  <c r="C1021" i="18"/>
  <c r="J1020" i="18"/>
  <c r="C1020" i="18"/>
  <c r="E1020" i="18" s="1"/>
  <c r="F1020" i="18" s="1"/>
  <c r="E1019" i="18"/>
  <c r="F1019" i="18" s="1"/>
  <c r="E1018" i="18"/>
  <c r="F1018" i="18" s="1"/>
  <c r="E1017" i="18"/>
  <c r="F1017" i="18" s="1"/>
  <c r="J1016" i="18"/>
  <c r="C1016" i="18"/>
  <c r="E1016" i="18" s="1"/>
  <c r="F1016" i="18" s="1"/>
  <c r="C1015" i="18"/>
  <c r="E1015" i="18" s="1"/>
  <c r="F1015" i="18" s="1"/>
  <c r="C1014" i="18"/>
  <c r="E1014" i="18" s="1"/>
  <c r="F1014" i="18" s="1"/>
  <c r="E1013" i="18"/>
  <c r="F1013" i="18" s="1"/>
  <c r="E1012" i="18"/>
  <c r="F1012" i="18" s="1"/>
  <c r="E1011" i="18"/>
  <c r="F1011" i="18" s="1"/>
  <c r="C1011" i="18"/>
  <c r="J1010" i="18"/>
  <c r="C1010" i="18"/>
  <c r="E1010" i="18" s="1"/>
  <c r="F1010" i="18" s="1"/>
  <c r="J1009" i="18"/>
  <c r="E1009" i="18"/>
  <c r="F1009" i="18" s="1"/>
  <c r="C1009" i="18"/>
  <c r="J1008" i="18"/>
  <c r="C1008" i="18"/>
  <c r="E1008" i="18" s="1"/>
  <c r="F1008" i="18" s="1"/>
  <c r="E1007" i="18"/>
  <c r="F1007" i="18" s="1"/>
  <c r="J1006" i="18"/>
  <c r="E1006" i="18"/>
  <c r="F1006" i="18" s="1"/>
  <c r="C1006" i="18"/>
  <c r="J1005" i="18"/>
  <c r="F1005" i="18"/>
  <c r="C1005" i="18"/>
  <c r="E1005" i="18" s="1"/>
  <c r="J1004" i="18"/>
  <c r="E1004" i="18"/>
  <c r="F1004" i="18" s="1"/>
  <c r="C1004" i="18"/>
  <c r="J1003" i="18"/>
  <c r="C1003" i="18"/>
  <c r="E1003" i="18" s="1"/>
  <c r="F1003" i="18" s="1"/>
  <c r="E1002" i="18"/>
  <c r="F1002" i="18" s="1"/>
  <c r="F1001" i="18"/>
  <c r="E1001" i="18"/>
  <c r="E1000" i="18"/>
  <c r="F1000" i="18" s="1"/>
  <c r="E999" i="18"/>
  <c r="F999" i="18" s="1"/>
  <c r="E998" i="18"/>
  <c r="F998" i="18" s="1"/>
  <c r="J997" i="18"/>
  <c r="C997" i="18"/>
  <c r="E997" i="18" s="1"/>
  <c r="F997" i="18" s="1"/>
  <c r="E996" i="18"/>
  <c r="F996" i="18" s="1"/>
  <c r="C995" i="18"/>
  <c r="E995" i="18" s="1"/>
  <c r="F995" i="18" s="1"/>
  <c r="C994" i="18"/>
  <c r="E994" i="18" s="1"/>
  <c r="F994" i="18" s="1"/>
  <c r="E993" i="18"/>
  <c r="F993" i="18" s="1"/>
  <c r="E992" i="18"/>
  <c r="F992" i="18" s="1"/>
  <c r="F991" i="18"/>
  <c r="E991" i="18"/>
  <c r="J990" i="18"/>
  <c r="C990" i="18"/>
  <c r="E990" i="18" s="1"/>
  <c r="F990" i="18" s="1"/>
  <c r="E989" i="18"/>
  <c r="F989" i="18" s="1"/>
  <c r="E988" i="18"/>
  <c r="F988" i="18" s="1"/>
  <c r="E987" i="18"/>
  <c r="F987" i="18" s="1"/>
  <c r="J986" i="18"/>
  <c r="E986" i="18"/>
  <c r="F986" i="18" s="1"/>
  <c r="E985" i="18"/>
  <c r="F985" i="18" s="1"/>
  <c r="E984" i="18"/>
  <c r="F984" i="18" s="1"/>
  <c r="E983" i="18"/>
  <c r="F983" i="18" s="1"/>
  <c r="E982" i="18"/>
  <c r="F982" i="18" s="1"/>
  <c r="E981" i="18"/>
  <c r="F981" i="18" s="1"/>
  <c r="E980" i="18"/>
  <c r="F980" i="18" s="1"/>
  <c r="J979" i="18"/>
  <c r="E979" i="18"/>
  <c r="F979" i="18" s="1"/>
  <c r="J978" i="18"/>
  <c r="E978" i="18"/>
  <c r="F978" i="18" s="1"/>
  <c r="E977" i="18"/>
  <c r="F977" i="18" s="1"/>
  <c r="J976" i="18"/>
  <c r="E976" i="18"/>
  <c r="F976" i="18" s="1"/>
  <c r="E975" i="18"/>
  <c r="F975" i="18" s="1"/>
  <c r="J974" i="18"/>
  <c r="E974" i="18"/>
  <c r="F974" i="18" s="1"/>
  <c r="E973" i="18"/>
  <c r="F973" i="18" s="1"/>
  <c r="J972" i="18"/>
  <c r="E972" i="18"/>
  <c r="F972" i="18" s="1"/>
  <c r="J971" i="18"/>
  <c r="E971" i="18"/>
  <c r="F971" i="18" s="1"/>
  <c r="J970" i="18"/>
  <c r="E970" i="18"/>
  <c r="F970" i="18" s="1"/>
  <c r="E969" i="18"/>
  <c r="F969" i="18" s="1"/>
  <c r="F968" i="18"/>
  <c r="E968" i="18"/>
  <c r="J967" i="18"/>
  <c r="E967" i="18"/>
  <c r="F967" i="18" s="1"/>
  <c r="J966" i="18"/>
  <c r="E966" i="18"/>
  <c r="F966" i="18" s="1"/>
  <c r="E965" i="18"/>
  <c r="F965" i="18" s="1"/>
  <c r="E964" i="18"/>
  <c r="F964" i="18" s="1"/>
  <c r="J963" i="18"/>
  <c r="C963" i="18"/>
  <c r="E963" i="18" s="1"/>
  <c r="F963" i="18" s="1"/>
  <c r="J962" i="18"/>
  <c r="C962" i="18"/>
  <c r="E962" i="18" s="1"/>
  <c r="F962" i="18" s="1"/>
  <c r="E961" i="18"/>
  <c r="F961" i="18" s="1"/>
  <c r="E960" i="18"/>
  <c r="F960" i="18" s="1"/>
  <c r="E959" i="18"/>
  <c r="F959" i="18" s="1"/>
  <c r="J958" i="18"/>
  <c r="C958" i="18"/>
  <c r="E958" i="18" s="1"/>
  <c r="F958" i="18" s="1"/>
  <c r="E957" i="18"/>
  <c r="F957" i="18" s="1"/>
  <c r="J956" i="18"/>
  <c r="C956" i="18"/>
  <c r="E956" i="18" s="1"/>
  <c r="F956" i="18" s="1"/>
  <c r="J955" i="18"/>
  <c r="C955" i="18"/>
  <c r="E955" i="18" s="1"/>
  <c r="F955" i="18" s="1"/>
  <c r="J954" i="18"/>
  <c r="C954" i="18"/>
  <c r="E954" i="18" s="1"/>
  <c r="F954" i="18" s="1"/>
  <c r="E953" i="18"/>
  <c r="F953" i="18" s="1"/>
  <c r="C953" i="18"/>
  <c r="E952" i="18"/>
  <c r="F952" i="18" s="1"/>
  <c r="J951" i="18"/>
  <c r="E951" i="18"/>
  <c r="F951" i="18" s="1"/>
  <c r="C951" i="18"/>
  <c r="E950" i="18"/>
  <c r="F950" i="18" s="1"/>
  <c r="J949" i="18"/>
  <c r="C949" i="18"/>
  <c r="E949" i="18" s="1"/>
  <c r="F949" i="18" s="1"/>
  <c r="F948" i="18"/>
  <c r="E948" i="18"/>
  <c r="E947" i="18"/>
  <c r="F947" i="18" s="1"/>
  <c r="E946" i="18"/>
  <c r="F946" i="18" s="1"/>
  <c r="J945" i="18"/>
  <c r="E945" i="18"/>
  <c r="F945" i="18" s="1"/>
  <c r="C945" i="18"/>
  <c r="F944" i="18"/>
  <c r="E944" i="18"/>
  <c r="E943" i="18"/>
  <c r="F943" i="18" s="1"/>
  <c r="E942" i="18"/>
  <c r="F942" i="18" s="1"/>
  <c r="E941" i="18"/>
  <c r="F941" i="18" s="1"/>
  <c r="J940" i="18"/>
  <c r="E940" i="18"/>
  <c r="F940" i="18" s="1"/>
  <c r="J939" i="18"/>
  <c r="E939" i="18"/>
  <c r="F939" i="18" s="1"/>
  <c r="J938" i="18"/>
  <c r="E938" i="18"/>
  <c r="F938" i="18" s="1"/>
  <c r="E937" i="18"/>
  <c r="F937" i="18" s="1"/>
  <c r="J936" i="18"/>
  <c r="E936" i="18"/>
  <c r="F936" i="18" s="1"/>
  <c r="J935" i="18"/>
  <c r="E935" i="18"/>
  <c r="F935" i="18" s="1"/>
  <c r="E934" i="18"/>
  <c r="F934" i="18" s="1"/>
  <c r="E933" i="18"/>
  <c r="F933" i="18" s="1"/>
  <c r="E932" i="18"/>
  <c r="F932" i="18" s="1"/>
  <c r="E931" i="18"/>
  <c r="F931" i="18" s="1"/>
  <c r="E930" i="18"/>
  <c r="F930" i="18" s="1"/>
  <c r="E929" i="18"/>
  <c r="F929" i="18" s="1"/>
  <c r="E928" i="18"/>
  <c r="F928" i="18" s="1"/>
  <c r="E927" i="18"/>
  <c r="F927" i="18" s="1"/>
  <c r="E926" i="18"/>
  <c r="F926" i="18" s="1"/>
  <c r="J925" i="18"/>
  <c r="C925" i="18"/>
  <c r="E925" i="18" s="1"/>
  <c r="F925" i="18" s="1"/>
  <c r="E924" i="18"/>
  <c r="F924" i="18" s="1"/>
  <c r="E923" i="18"/>
  <c r="F923" i="18" s="1"/>
  <c r="F922" i="18"/>
  <c r="E922" i="18"/>
  <c r="J921" i="18"/>
  <c r="F921" i="18"/>
  <c r="C921" i="18"/>
  <c r="E921" i="18" s="1"/>
  <c r="E920" i="18"/>
  <c r="F920" i="18" s="1"/>
  <c r="E919" i="18"/>
  <c r="F919" i="18" s="1"/>
  <c r="E918" i="18"/>
  <c r="F918" i="18" s="1"/>
  <c r="E917" i="18"/>
  <c r="F917" i="18" s="1"/>
  <c r="C917" i="18"/>
  <c r="J916" i="18"/>
  <c r="C916" i="18"/>
  <c r="E916" i="18" s="1"/>
  <c r="F916" i="18" s="1"/>
  <c r="J915" i="18"/>
  <c r="E915" i="18"/>
  <c r="F915" i="18" s="1"/>
  <c r="C915" i="18"/>
  <c r="E914" i="18"/>
  <c r="F914" i="18" s="1"/>
  <c r="E913" i="18"/>
  <c r="F913" i="18" s="1"/>
  <c r="E912" i="18"/>
  <c r="F912" i="18" s="1"/>
  <c r="E911" i="18"/>
  <c r="F911" i="18" s="1"/>
  <c r="E910" i="18"/>
  <c r="F910" i="18" s="1"/>
  <c r="J909" i="18"/>
  <c r="E909" i="18"/>
  <c r="F909" i="18" s="1"/>
  <c r="D909" i="18"/>
  <c r="C909" i="18"/>
  <c r="E908" i="18"/>
  <c r="F908" i="18" s="1"/>
  <c r="J907" i="18"/>
  <c r="C907" i="18"/>
  <c r="E907" i="18" s="1"/>
  <c r="F907" i="18" s="1"/>
  <c r="E906" i="18"/>
  <c r="F906" i="18" s="1"/>
  <c r="C906" i="18"/>
  <c r="E905" i="18"/>
  <c r="F905" i="18" s="1"/>
  <c r="J904" i="18"/>
  <c r="E904" i="18"/>
  <c r="F904" i="18" s="1"/>
  <c r="C904" i="18"/>
  <c r="J903" i="18"/>
  <c r="C903" i="18"/>
  <c r="E903" i="18" s="1"/>
  <c r="F903" i="18" s="1"/>
  <c r="J902" i="18"/>
  <c r="E902" i="18"/>
  <c r="F902" i="18" s="1"/>
  <c r="C902" i="18"/>
  <c r="J901" i="18"/>
  <c r="C901" i="18"/>
  <c r="E901" i="18" s="1"/>
  <c r="F901" i="18" s="1"/>
  <c r="E900" i="18"/>
  <c r="F900" i="18" s="1"/>
  <c r="E899" i="18"/>
  <c r="F899" i="18" s="1"/>
  <c r="E898" i="18"/>
  <c r="F898" i="18" s="1"/>
  <c r="E897" i="18"/>
  <c r="F897" i="18" s="1"/>
  <c r="J896" i="18"/>
  <c r="E896" i="18"/>
  <c r="F896" i="18" s="1"/>
  <c r="C896" i="18"/>
  <c r="E895" i="18"/>
  <c r="F895" i="18" s="1"/>
  <c r="J894" i="18"/>
  <c r="C894" i="18"/>
  <c r="E894" i="18" s="1"/>
  <c r="F894" i="18" s="1"/>
  <c r="F893" i="18"/>
  <c r="E893" i="18"/>
  <c r="F892" i="18"/>
  <c r="E892" i="18"/>
  <c r="C892" i="18"/>
  <c r="E891" i="18"/>
  <c r="F891" i="18" s="1"/>
  <c r="E890" i="18"/>
  <c r="F890" i="18" s="1"/>
  <c r="J889" i="18"/>
  <c r="E889" i="18"/>
  <c r="F889" i="18" s="1"/>
  <c r="C889" i="18"/>
  <c r="C888" i="18"/>
  <c r="E888" i="18" s="1"/>
  <c r="F888" i="18" s="1"/>
  <c r="J887" i="18"/>
  <c r="E887" i="18"/>
  <c r="F887" i="18" s="1"/>
  <c r="J886" i="18"/>
  <c r="E886" i="18"/>
  <c r="F886" i="18" s="1"/>
  <c r="J885" i="18"/>
  <c r="E885" i="18"/>
  <c r="F885" i="18" s="1"/>
  <c r="E884" i="18"/>
  <c r="F884" i="18" s="1"/>
  <c r="J883" i="18"/>
  <c r="E883" i="18"/>
  <c r="F883" i="18" s="1"/>
  <c r="J882" i="18"/>
  <c r="E882" i="18"/>
  <c r="F882" i="18" s="1"/>
  <c r="J881" i="18"/>
  <c r="E881" i="18"/>
  <c r="F881" i="18" s="1"/>
  <c r="E880" i="18"/>
  <c r="F880" i="18" s="1"/>
  <c r="E879" i="18"/>
  <c r="F879" i="18" s="1"/>
  <c r="J878" i="18"/>
  <c r="E878" i="18"/>
  <c r="F878" i="18" s="1"/>
  <c r="J877" i="18"/>
  <c r="E877" i="18"/>
  <c r="F877" i="18" s="1"/>
  <c r="J876" i="18"/>
  <c r="E876" i="18"/>
  <c r="F876" i="18" s="1"/>
  <c r="E875" i="18"/>
  <c r="F875" i="18" s="1"/>
  <c r="E874" i="18"/>
  <c r="F874" i="18" s="1"/>
  <c r="E873" i="18"/>
  <c r="F873" i="18" s="1"/>
  <c r="E872" i="18"/>
  <c r="F872" i="18" s="1"/>
  <c r="E871" i="18"/>
  <c r="F871" i="18" s="1"/>
  <c r="E870" i="18"/>
  <c r="F870" i="18" s="1"/>
  <c r="E869" i="18"/>
  <c r="F869" i="18" s="1"/>
  <c r="E868" i="18"/>
  <c r="F868" i="18" s="1"/>
  <c r="E867" i="18"/>
  <c r="F867" i="18" s="1"/>
  <c r="J866" i="18"/>
  <c r="E866" i="18"/>
  <c r="F866" i="18" s="1"/>
  <c r="C866" i="18"/>
  <c r="E865" i="18"/>
  <c r="F865" i="18" s="1"/>
  <c r="J864" i="18"/>
  <c r="E864" i="18"/>
  <c r="F864" i="18" s="1"/>
  <c r="C864" i="18"/>
  <c r="E863" i="18"/>
  <c r="F863" i="18" s="1"/>
  <c r="E862" i="18"/>
  <c r="F862" i="18" s="1"/>
  <c r="E861" i="18"/>
  <c r="F861" i="18" s="1"/>
  <c r="C861" i="18"/>
  <c r="E860" i="18"/>
  <c r="F860" i="18" s="1"/>
  <c r="E859" i="18"/>
  <c r="F859" i="18" s="1"/>
  <c r="C858" i="18"/>
  <c r="E858" i="18" s="1"/>
  <c r="F858" i="18" s="1"/>
  <c r="E857" i="18"/>
  <c r="F857" i="18" s="1"/>
  <c r="E856" i="18"/>
  <c r="F856" i="18" s="1"/>
  <c r="J855" i="18"/>
  <c r="C855" i="18"/>
  <c r="E855" i="18" s="1"/>
  <c r="F855" i="18" s="1"/>
  <c r="E854" i="18"/>
  <c r="F854" i="18" s="1"/>
  <c r="C853" i="18"/>
  <c r="E853" i="18" s="1"/>
  <c r="F853" i="18" s="1"/>
  <c r="F852" i="18"/>
  <c r="E852" i="18"/>
  <c r="E851" i="18"/>
  <c r="F851" i="18" s="1"/>
  <c r="J850" i="18"/>
  <c r="E850" i="18"/>
  <c r="F850" i="18" s="1"/>
  <c r="E849" i="18"/>
  <c r="F849" i="18" s="1"/>
  <c r="E848" i="18"/>
  <c r="F848" i="18" s="1"/>
  <c r="E847" i="18"/>
  <c r="F847" i="18" s="1"/>
  <c r="E846" i="18"/>
  <c r="F846" i="18" s="1"/>
  <c r="J845" i="18"/>
  <c r="C845" i="18"/>
  <c r="E845" i="18" s="1"/>
  <c r="F845" i="18" s="1"/>
  <c r="J844" i="18"/>
  <c r="E844" i="18"/>
  <c r="F844" i="18" s="1"/>
  <c r="C844" i="18"/>
  <c r="E843" i="18"/>
  <c r="F843" i="18" s="1"/>
  <c r="E842" i="18"/>
  <c r="F842" i="18" s="1"/>
  <c r="E841" i="18"/>
  <c r="F841" i="18" s="1"/>
  <c r="E840" i="18"/>
  <c r="F840" i="18" s="1"/>
  <c r="E839" i="18"/>
  <c r="F839" i="18" s="1"/>
  <c r="E838" i="18"/>
  <c r="F838" i="18" s="1"/>
  <c r="E837" i="18"/>
  <c r="F837" i="18" s="1"/>
  <c r="J836" i="18"/>
  <c r="C836" i="18"/>
  <c r="E836" i="18" s="1"/>
  <c r="F836" i="18" s="1"/>
  <c r="J835" i="18"/>
  <c r="C835" i="18"/>
  <c r="E835" i="18" s="1"/>
  <c r="F835" i="18" s="1"/>
  <c r="J834" i="18"/>
  <c r="C834" i="18"/>
  <c r="E834" i="18" s="1"/>
  <c r="F834" i="18" s="1"/>
  <c r="J833" i="18"/>
  <c r="C833" i="18"/>
  <c r="E833" i="18" s="1"/>
  <c r="F833" i="18" s="1"/>
  <c r="J832" i="18"/>
  <c r="C832" i="18"/>
  <c r="E832" i="18" s="1"/>
  <c r="F832" i="18" s="1"/>
  <c r="J831" i="18"/>
  <c r="C831" i="18"/>
  <c r="E831" i="18" s="1"/>
  <c r="F831" i="18" s="1"/>
  <c r="E830" i="18"/>
  <c r="F830" i="18" s="1"/>
  <c r="E829" i="18"/>
  <c r="F829" i="18" s="1"/>
  <c r="E828" i="18"/>
  <c r="F828" i="18" s="1"/>
  <c r="J827" i="18"/>
  <c r="E827" i="18"/>
  <c r="F827" i="18" s="1"/>
  <c r="C827" i="18"/>
  <c r="E826" i="18"/>
  <c r="F826" i="18" s="1"/>
  <c r="J825" i="18"/>
  <c r="C825" i="18"/>
  <c r="E825" i="18" s="1"/>
  <c r="F825" i="18" s="1"/>
  <c r="E824" i="18"/>
  <c r="F824" i="18" s="1"/>
  <c r="E823" i="18"/>
  <c r="F823" i="18" s="1"/>
  <c r="E822" i="18"/>
  <c r="F822" i="18" s="1"/>
  <c r="C822" i="18"/>
  <c r="E821" i="18"/>
  <c r="F821" i="18" s="1"/>
  <c r="C821" i="18"/>
  <c r="E820" i="18"/>
  <c r="F820" i="18" s="1"/>
  <c r="E819" i="18"/>
  <c r="F819" i="18" s="1"/>
  <c r="E818" i="18"/>
  <c r="F818" i="18" s="1"/>
  <c r="E817" i="18"/>
  <c r="F817" i="18" s="1"/>
  <c r="E816" i="18"/>
  <c r="F816" i="18" s="1"/>
  <c r="E815" i="18"/>
  <c r="F815" i="18" s="1"/>
  <c r="E814" i="18"/>
  <c r="F814" i="18" s="1"/>
  <c r="E813" i="18"/>
  <c r="F813" i="18" s="1"/>
  <c r="J812" i="18"/>
  <c r="C812" i="18"/>
  <c r="E812" i="18" s="1"/>
  <c r="F812" i="18" s="1"/>
  <c r="E811" i="18"/>
  <c r="F811" i="18" s="1"/>
  <c r="J810" i="18"/>
  <c r="C810" i="18"/>
  <c r="E810" i="18" s="1"/>
  <c r="F810" i="18" s="1"/>
  <c r="E809" i="18"/>
  <c r="F809" i="18" s="1"/>
  <c r="E808" i="18"/>
  <c r="F808" i="18" s="1"/>
  <c r="J807" i="18"/>
  <c r="C807" i="18"/>
  <c r="E807" i="18" s="1"/>
  <c r="F807" i="18" s="1"/>
  <c r="J806" i="18"/>
  <c r="F806" i="18"/>
  <c r="E806" i="18"/>
  <c r="C806" i="18"/>
  <c r="E805" i="18"/>
  <c r="F805" i="18" s="1"/>
  <c r="E804" i="18"/>
  <c r="F804" i="18" s="1"/>
  <c r="E803" i="18"/>
  <c r="F803" i="18" s="1"/>
  <c r="E802" i="18"/>
  <c r="F802" i="18" s="1"/>
  <c r="J801" i="18"/>
  <c r="C801" i="18"/>
  <c r="E801" i="18" s="1"/>
  <c r="F801" i="18" s="1"/>
  <c r="J800" i="18"/>
  <c r="E800" i="18"/>
  <c r="F800" i="18" s="1"/>
  <c r="C800" i="18"/>
  <c r="E799" i="18"/>
  <c r="F799" i="18" s="1"/>
  <c r="E798" i="18"/>
  <c r="F798" i="18" s="1"/>
  <c r="C798" i="18"/>
  <c r="E797" i="18"/>
  <c r="F797" i="18" s="1"/>
  <c r="J796" i="18"/>
  <c r="C796" i="18"/>
  <c r="E796" i="18" s="1"/>
  <c r="F796" i="18" s="1"/>
  <c r="J795" i="18"/>
  <c r="E795" i="18"/>
  <c r="F795" i="18" s="1"/>
  <c r="C795" i="18"/>
  <c r="J794" i="18"/>
  <c r="C794" i="18"/>
  <c r="E794" i="18" s="1"/>
  <c r="F794" i="18" s="1"/>
  <c r="J793" i="18"/>
  <c r="E793" i="18"/>
  <c r="F793" i="18" s="1"/>
  <c r="C793" i="18"/>
  <c r="E792" i="18"/>
  <c r="F792" i="18" s="1"/>
  <c r="J791" i="18"/>
  <c r="E791" i="18"/>
  <c r="F791" i="18" s="1"/>
  <c r="C791" i="18"/>
  <c r="J790" i="18"/>
  <c r="C790" i="18"/>
  <c r="E790" i="18" s="1"/>
  <c r="F790" i="18" s="1"/>
  <c r="E789" i="18"/>
  <c r="F789" i="18" s="1"/>
  <c r="E788" i="18"/>
  <c r="F788" i="18" s="1"/>
  <c r="E787" i="18"/>
  <c r="F787" i="18" s="1"/>
  <c r="E786" i="18"/>
  <c r="F786" i="18" s="1"/>
  <c r="E785" i="18"/>
  <c r="F785" i="18" s="1"/>
  <c r="F784" i="18"/>
  <c r="E784" i="18"/>
  <c r="F783" i="18"/>
  <c r="E783" i="18"/>
  <c r="E782" i="18"/>
  <c r="F782" i="18" s="1"/>
  <c r="E781" i="18"/>
  <c r="F781" i="18" s="1"/>
  <c r="J780" i="18"/>
  <c r="E780" i="18"/>
  <c r="F780" i="18" s="1"/>
  <c r="C780" i="18"/>
  <c r="E779" i="18"/>
  <c r="F779" i="18" s="1"/>
  <c r="E778" i="18"/>
  <c r="F778" i="18" s="1"/>
  <c r="J777" i="18"/>
  <c r="E777" i="18"/>
  <c r="F777" i="18" s="1"/>
  <c r="C777" i="18"/>
  <c r="J776" i="18"/>
  <c r="C776" i="18"/>
  <c r="E776" i="18" s="1"/>
  <c r="F776" i="18" s="1"/>
  <c r="F775" i="18"/>
  <c r="E775" i="18"/>
  <c r="J774" i="18"/>
  <c r="C774" i="18"/>
  <c r="E774" i="18" s="1"/>
  <c r="F774" i="18" s="1"/>
  <c r="E773" i="18"/>
  <c r="F773" i="18" s="1"/>
  <c r="F772" i="18"/>
  <c r="E772" i="18"/>
  <c r="C771" i="18"/>
  <c r="E771" i="18" s="1"/>
  <c r="F771" i="18" s="1"/>
  <c r="F770" i="18"/>
  <c r="E770" i="18"/>
  <c r="F769" i="18"/>
  <c r="E769" i="18"/>
  <c r="C769" i="18"/>
  <c r="C768" i="18"/>
  <c r="E768" i="18" s="1"/>
  <c r="F768" i="18" s="1"/>
  <c r="E767" i="18"/>
  <c r="F767" i="18" s="1"/>
  <c r="E766" i="18"/>
  <c r="F766" i="18" s="1"/>
  <c r="J765" i="18"/>
  <c r="E765" i="18"/>
  <c r="F765" i="18" s="1"/>
  <c r="C765" i="18"/>
  <c r="E764" i="18"/>
  <c r="F764" i="18" s="1"/>
  <c r="F763" i="18"/>
  <c r="E763" i="18"/>
  <c r="E762" i="18"/>
  <c r="F762" i="18" s="1"/>
  <c r="E761" i="18"/>
  <c r="F761" i="18" s="1"/>
  <c r="E760" i="18"/>
  <c r="F760" i="18" s="1"/>
  <c r="E759" i="18"/>
  <c r="F759" i="18" s="1"/>
  <c r="C759" i="18"/>
  <c r="C758" i="18"/>
  <c r="E758" i="18" s="1"/>
  <c r="F758" i="18" s="1"/>
  <c r="F757" i="18"/>
  <c r="E757" i="18"/>
  <c r="F756" i="18"/>
  <c r="E756" i="18"/>
  <c r="J755" i="18"/>
  <c r="E755" i="18"/>
  <c r="F755" i="18" s="1"/>
  <c r="C755" i="18"/>
  <c r="F754" i="18"/>
  <c r="E754" i="18"/>
  <c r="J753" i="18"/>
  <c r="C753" i="18"/>
  <c r="E753" i="18" s="1"/>
  <c r="F753" i="18" s="1"/>
  <c r="E752" i="18"/>
  <c r="F752" i="18" s="1"/>
  <c r="J751" i="18"/>
  <c r="E751" i="18"/>
  <c r="F751" i="18" s="1"/>
  <c r="C751" i="18"/>
  <c r="J750" i="18"/>
  <c r="E750" i="18"/>
  <c r="F750" i="18" s="1"/>
  <c r="C750" i="18"/>
  <c r="E749" i="18"/>
  <c r="F749" i="18" s="1"/>
  <c r="J748" i="18"/>
  <c r="C748" i="18"/>
  <c r="E748" i="18" s="1"/>
  <c r="F748" i="18" s="1"/>
  <c r="E747" i="18"/>
  <c r="F747" i="18" s="1"/>
  <c r="F746" i="18"/>
  <c r="E746" i="18"/>
  <c r="E745" i="18"/>
  <c r="F745" i="18" s="1"/>
  <c r="E744" i="18"/>
  <c r="F744" i="18" s="1"/>
  <c r="J743" i="18"/>
  <c r="E743" i="18"/>
  <c r="F743" i="18" s="1"/>
  <c r="C743" i="18"/>
  <c r="J742" i="18"/>
  <c r="F742" i="18"/>
  <c r="C742" i="18"/>
  <c r="E742" i="18" s="1"/>
  <c r="J741" i="18"/>
  <c r="E741" i="18"/>
  <c r="F741" i="18" s="1"/>
  <c r="C741" i="18"/>
  <c r="F740" i="18"/>
  <c r="E740" i="18"/>
  <c r="E739" i="18"/>
  <c r="F739" i="18" s="1"/>
  <c r="E738" i="18"/>
  <c r="F738" i="18" s="1"/>
  <c r="E737" i="18"/>
  <c r="F737" i="18" s="1"/>
  <c r="E736" i="18"/>
  <c r="F736" i="18" s="1"/>
  <c r="E735" i="18"/>
  <c r="F735" i="18" s="1"/>
  <c r="C735" i="18"/>
  <c r="J734" i="18"/>
  <c r="C734" i="18"/>
  <c r="E734" i="18" s="1"/>
  <c r="F734" i="18" s="1"/>
  <c r="E733" i="18"/>
  <c r="F733" i="18" s="1"/>
  <c r="E732" i="18"/>
  <c r="F732" i="18" s="1"/>
  <c r="C732" i="18"/>
  <c r="E731" i="18"/>
  <c r="F731" i="18" s="1"/>
  <c r="E730" i="18"/>
  <c r="F730" i="18" s="1"/>
  <c r="E729" i="18"/>
  <c r="F729" i="18" s="1"/>
  <c r="E728" i="18"/>
  <c r="F728" i="18" s="1"/>
  <c r="J727" i="18"/>
  <c r="C727" i="18"/>
  <c r="E727" i="18" s="1"/>
  <c r="F727" i="18" s="1"/>
  <c r="E726" i="18"/>
  <c r="F726" i="18" s="1"/>
  <c r="C725" i="18"/>
  <c r="E725" i="18" s="1"/>
  <c r="F725" i="18" s="1"/>
  <c r="J724" i="18"/>
  <c r="E724" i="18"/>
  <c r="F724" i="18" s="1"/>
  <c r="C724" i="18"/>
  <c r="J723" i="18"/>
  <c r="C723" i="18"/>
  <c r="E723" i="18" s="1"/>
  <c r="F723" i="18" s="1"/>
  <c r="E722" i="18"/>
  <c r="F722" i="18" s="1"/>
  <c r="E721" i="18"/>
  <c r="F721" i="18" s="1"/>
  <c r="J720" i="18"/>
  <c r="C720" i="18"/>
  <c r="E720" i="18" s="1"/>
  <c r="F720" i="18" s="1"/>
  <c r="E719" i="18"/>
  <c r="F719" i="18" s="1"/>
  <c r="C718" i="18"/>
  <c r="E718" i="18" s="1"/>
  <c r="F718" i="18" s="1"/>
  <c r="E717" i="18"/>
  <c r="F717" i="18" s="1"/>
  <c r="F716" i="18"/>
  <c r="E716" i="18"/>
  <c r="E715" i="18"/>
  <c r="F715" i="18" s="1"/>
  <c r="E714" i="18"/>
  <c r="F714" i="18" s="1"/>
  <c r="C714" i="18"/>
  <c r="E713" i="18"/>
  <c r="F713" i="18" s="1"/>
  <c r="E712" i="18"/>
  <c r="F712" i="18" s="1"/>
  <c r="F711" i="18"/>
  <c r="E711" i="18"/>
  <c r="E710" i="18"/>
  <c r="F710" i="18" s="1"/>
  <c r="J709" i="18"/>
  <c r="C709" i="18"/>
  <c r="E709" i="18" s="1"/>
  <c r="F709" i="18" s="1"/>
  <c r="E708" i="18"/>
  <c r="F708" i="18" s="1"/>
  <c r="F707" i="18"/>
  <c r="E707" i="18"/>
  <c r="E706" i="18"/>
  <c r="F706" i="18" s="1"/>
  <c r="E705" i="18"/>
  <c r="F705" i="18" s="1"/>
  <c r="F704" i="18"/>
  <c r="E704" i="18"/>
  <c r="E703" i="18"/>
  <c r="F703" i="18" s="1"/>
  <c r="E702" i="18"/>
  <c r="F702" i="18" s="1"/>
  <c r="C701" i="18"/>
  <c r="E701" i="18" s="1"/>
  <c r="F701" i="18" s="1"/>
  <c r="J700" i="18"/>
  <c r="E700" i="18"/>
  <c r="F700" i="18" s="1"/>
  <c r="C700" i="18"/>
  <c r="J699" i="18"/>
  <c r="C699" i="18"/>
  <c r="E699" i="18" s="1"/>
  <c r="F699" i="18" s="1"/>
  <c r="E698" i="18"/>
  <c r="F698" i="18" s="1"/>
  <c r="J697" i="18"/>
  <c r="E697" i="18"/>
  <c r="F697" i="18" s="1"/>
  <c r="C697" i="18"/>
  <c r="J696" i="18"/>
  <c r="C696" i="18"/>
  <c r="E696" i="18" s="1"/>
  <c r="F696" i="18" s="1"/>
  <c r="E695" i="18"/>
  <c r="F695" i="18" s="1"/>
  <c r="J694" i="18"/>
  <c r="C694" i="18"/>
  <c r="E694" i="18" s="1"/>
  <c r="F694" i="18" s="1"/>
  <c r="J693" i="18"/>
  <c r="F693" i="18"/>
  <c r="E693" i="18"/>
  <c r="C693" i="18"/>
  <c r="E692" i="18"/>
  <c r="F692" i="18" s="1"/>
  <c r="E691" i="18"/>
  <c r="F691" i="18" s="1"/>
  <c r="C691" i="18"/>
  <c r="E690" i="18"/>
  <c r="F690" i="18" s="1"/>
  <c r="J689" i="18"/>
  <c r="C689" i="18"/>
  <c r="E689" i="18" s="1"/>
  <c r="F689" i="18" s="1"/>
  <c r="F688" i="18"/>
  <c r="E688" i="18"/>
  <c r="E687" i="18"/>
  <c r="F687" i="18" s="1"/>
  <c r="J686" i="18"/>
  <c r="C686" i="18"/>
  <c r="E686" i="18" s="1"/>
  <c r="F686" i="18" s="1"/>
  <c r="E685" i="18"/>
  <c r="F685" i="18" s="1"/>
  <c r="J684" i="18"/>
  <c r="C684" i="18"/>
  <c r="E684" i="18" s="1"/>
  <c r="F684" i="18" s="1"/>
  <c r="J683" i="18"/>
  <c r="E683" i="18"/>
  <c r="F683" i="18" s="1"/>
  <c r="C683" i="18"/>
  <c r="E682" i="18"/>
  <c r="F682" i="18" s="1"/>
  <c r="E681" i="18"/>
  <c r="F681" i="18" s="1"/>
  <c r="E680" i="18"/>
  <c r="F680" i="18" s="1"/>
  <c r="F679" i="18"/>
  <c r="E679" i="18"/>
  <c r="J678" i="18"/>
  <c r="C678" i="18"/>
  <c r="E678" i="18" s="1"/>
  <c r="F678" i="18" s="1"/>
  <c r="E677" i="18"/>
  <c r="F677" i="18" s="1"/>
  <c r="E676" i="18"/>
  <c r="F676" i="18" s="1"/>
  <c r="F675" i="18"/>
  <c r="E675" i="18"/>
  <c r="E674" i="18"/>
  <c r="F674" i="18" s="1"/>
  <c r="J673" i="18"/>
  <c r="F673" i="18"/>
  <c r="E673" i="18"/>
  <c r="C673" i="18"/>
  <c r="J672" i="18"/>
  <c r="C672" i="18"/>
  <c r="E672" i="18" s="1"/>
  <c r="F672" i="18" s="1"/>
  <c r="E671" i="18"/>
  <c r="F671" i="18" s="1"/>
  <c r="C670" i="18"/>
  <c r="E670" i="18" s="1"/>
  <c r="F670" i="18" s="1"/>
  <c r="J669" i="18"/>
  <c r="E669" i="18"/>
  <c r="F669" i="18" s="1"/>
  <c r="C669" i="18"/>
  <c r="E668" i="18"/>
  <c r="F668" i="18" s="1"/>
  <c r="E667" i="18"/>
  <c r="F667" i="18" s="1"/>
  <c r="E666" i="18"/>
  <c r="F666" i="18" s="1"/>
  <c r="F665" i="18"/>
  <c r="E665" i="18"/>
  <c r="J664" i="18"/>
  <c r="C664" i="18"/>
  <c r="E664" i="18" s="1"/>
  <c r="F664" i="18" s="1"/>
  <c r="E663" i="18"/>
  <c r="F663" i="18" s="1"/>
  <c r="J662" i="18"/>
  <c r="C662" i="18"/>
  <c r="E662" i="18" s="1"/>
  <c r="F662" i="18" s="1"/>
  <c r="J661" i="18"/>
  <c r="C661" i="18"/>
  <c r="E661" i="18" s="1"/>
  <c r="F661" i="18" s="1"/>
  <c r="J660" i="18"/>
  <c r="E660" i="18"/>
  <c r="F660" i="18" s="1"/>
  <c r="C660" i="18"/>
  <c r="J659" i="18"/>
  <c r="C659" i="18"/>
  <c r="E659" i="18" s="1"/>
  <c r="F659" i="18" s="1"/>
  <c r="F658" i="18"/>
  <c r="E658" i="18"/>
  <c r="E657" i="18"/>
  <c r="F657" i="18" s="1"/>
  <c r="E656" i="18"/>
  <c r="F656" i="18" s="1"/>
  <c r="C655" i="18"/>
  <c r="E655" i="18" s="1"/>
  <c r="F655" i="18" s="1"/>
  <c r="E654" i="18"/>
  <c r="F654" i="18" s="1"/>
  <c r="C654" i="18"/>
  <c r="E653" i="18"/>
  <c r="F653" i="18" s="1"/>
  <c r="E652" i="18"/>
  <c r="F652" i="18" s="1"/>
  <c r="F651" i="18"/>
  <c r="E651" i="18"/>
  <c r="J650" i="18"/>
  <c r="C650" i="18"/>
  <c r="E650" i="18" s="1"/>
  <c r="F650" i="18" s="1"/>
  <c r="E649" i="18"/>
  <c r="F649" i="18" s="1"/>
  <c r="E648" i="18"/>
  <c r="F648" i="18" s="1"/>
  <c r="E647" i="18"/>
  <c r="F647" i="18" s="1"/>
  <c r="J646" i="18"/>
  <c r="C646" i="18"/>
  <c r="E646" i="18" s="1"/>
  <c r="F646" i="18" s="1"/>
  <c r="E645" i="18"/>
  <c r="F645" i="18" s="1"/>
  <c r="E644" i="18"/>
  <c r="F644" i="18" s="1"/>
  <c r="E643" i="18"/>
  <c r="F643" i="18" s="1"/>
  <c r="E642" i="18"/>
  <c r="F642" i="18" s="1"/>
  <c r="J641" i="18"/>
  <c r="E641" i="18"/>
  <c r="F641" i="18" s="1"/>
  <c r="C641" i="18"/>
  <c r="J640" i="18"/>
  <c r="F640" i="18"/>
  <c r="E640" i="18"/>
  <c r="C640" i="18"/>
  <c r="J639" i="18"/>
  <c r="E639" i="18"/>
  <c r="F639" i="18" s="1"/>
  <c r="C639" i="18"/>
  <c r="E638" i="18"/>
  <c r="F638" i="18" s="1"/>
  <c r="E637" i="18"/>
  <c r="F637" i="18" s="1"/>
  <c r="J636" i="18"/>
  <c r="C636" i="18"/>
  <c r="E636" i="18" s="1"/>
  <c r="F636" i="18" s="1"/>
  <c r="E635" i="18"/>
  <c r="F635" i="18" s="1"/>
  <c r="E634" i="18"/>
  <c r="F634" i="18" s="1"/>
  <c r="E633" i="18"/>
  <c r="F633" i="18" s="1"/>
  <c r="F632" i="18"/>
  <c r="E632" i="18"/>
  <c r="E631" i="18"/>
  <c r="F631" i="18" s="1"/>
  <c r="E630" i="18"/>
  <c r="F630" i="18" s="1"/>
  <c r="E629" i="18"/>
  <c r="F629" i="18" s="1"/>
  <c r="E628" i="18"/>
  <c r="F628" i="18" s="1"/>
  <c r="C628" i="18"/>
  <c r="F627" i="18"/>
  <c r="C627" i="18"/>
  <c r="E627" i="18" s="1"/>
  <c r="E626" i="18"/>
  <c r="F626" i="18" s="1"/>
  <c r="E625" i="18"/>
  <c r="F625" i="18" s="1"/>
  <c r="E624" i="18"/>
  <c r="F624" i="18" s="1"/>
  <c r="C624" i="18"/>
  <c r="E623" i="18"/>
  <c r="F623" i="18" s="1"/>
  <c r="E622" i="18"/>
  <c r="F622" i="18" s="1"/>
  <c r="C621" i="18"/>
  <c r="E621" i="18" s="1"/>
  <c r="F621" i="18" s="1"/>
  <c r="C620" i="18"/>
  <c r="E620" i="18" s="1"/>
  <c r="F620" i="18" s="1"/>
  <c r="E619" i="18"/>
  <c r="F619" i="18" s="1"/>
  <c r="C619" i="18"/>
  <c r="F618" i="18"/>
  <c r="E618" i="18"/>
  <c r="C617" i="18"/>
  <c r="E617" i="18" s="1"/>
  <c r="F617" i="18" s="1"/>
  <c r="E616" i="18"/>
  <c r="F616" i="18" s="1"/>
  <c r="E615" i="18"/>
  <c r="F615" i="18" s="1"/>
  <c r="F614" i="18"/>
  <c r="E614" i="18"/>
  <c r="E613" i="18"/>
  <c r="F613" i="18" s="1"/>
  <c r="E612" i="18"/>
  <c r="F612" i="18" s="1"/>
  <c r="E611" i="18"/>
  <c r="F611" i="18" s="1"/>
  <c r="F610" i="18"/>
  <c r="E610" i="18"/>
  <c r="E609" i="18"/>
  <c r="F609" i="18" s="1"/>
  <c r="E608" i="18"/>
  <c r="F608" i="18" s="1"/>
  <c r="F607" i="18"/>
  <c r="E607" i="18"/>
  <c r="F606" i="18"/>
  <c r="E606" i="18"/>
  <c r="C605" i="18"/>
  <c r="E605" i="18" s="1"/>
  <c r="F605" i="18" s="1"/>
  <c r="E604" i="18"/>
  <c r="F604" i="18" s="1"/>
  <c r="E603" i="18"/>
  <c r="F603" i="18" s="1"/>
  <c r="C603" i="18"/>
  <c r="E602" i="18"/>
  <c r="F602" i="18" s="1"/>
  <c r="E601" i="18"/>
  <c r="F601" i="18" s="1"/>
  <c r="C600" i="18"/>
  <c r="E600" i="18" s="1"/>
  <c r="F600" i="18" s="1"/>
  <c r="E599" i="18"/>
  <c r="F599" i="18" s="1"/>
  <c r="E598" i="18"/>
  <c r="F598" i="18" s="1"/>
  <c r="C598" i="18"/>
  <c r="E597" i="18"/>
  <c r="F597" i="18" s="1"/>
  <c r="F596" i="18"/>
  <c r="E596" i="18"/>
  <c r="E595" i="18"/>
  <c r="F595" i="18" s="1"/>
  <c r="F594" i="18"/>
  <c r="E594" i="18"/>
  <c r="E593" i="18"/>
  <c r="F593" i="18" s="1"/>
  <c r="E592" i="18"/>
  <c r="F592" i="18" s="1"/>
  <c r="E591" i="18"/>
  <c r="F591" i="18" s="1"/>
  <c r="E590" i="18"/>
  <c r="F590" i="18" s="1"/>
  <c r="C590" i="18"/>
  <c r="E589" i="18"/>
  <c r="F589" i="18" s="1"/>
  <c r="E588" i="18"/>
  <c r="F588" i="18" s="1"/>
  <c r="E587" i="18"/>
  <c r="F587" i="18" s="1"/>
  <c r="C587" i="18"/>
  <c r="F586" i="18"/>
  <c r="E586" i="18"/>
  <c r="C586" i="18"/>
  <c r="E585" i="18"/>
  <c r="F585" i="18" s="1"/>
  <c r="E584" i="18"/>
  <c r="F584" i="18" s="1"/>
  <c r="E583" i="18"/>
  <c r="F583" i="18" s="1"/>
  <c r="E582" i="18"/>
  <c r="F582" i="18" s="1"/>
  <c r="C582" i="18"/>
  <c r="E581" i="18"/>
  <c r="F581" i="18" s="1"/>
  <c r="E580" i="18"/>
  <c r="F580" i="18" s="1"/>
  <c r="C579" i="18"/>
  <c r="E579" i="18" s="1"/>
  <c r="F579" i="18" s="1"/>
  <c r="E578" i="18"/>
  <c r="F578" i="18" s="1"/>
  <c r="C578" i="18"/>
  <c r="E577" i="18"/>
  <c r="F577" i="18" s="1"/>
  <c r="E576" i="18"/>
  <c r="F576" i="18" s="1"/>
  <c r="C576" i="18"/>
  <c r="E575" i="18"/>
  <c r="F575" i="18" s="1"/>
  <c r="C575" i="18"/>
  <c r="C574" i="18"/>
  <c r="E574" i="18" s="1"/>
  <c r="F574" i="18" s="1"/>
  <c r="C573" i="18"/>
  <c r="E573" i="18" s="1"/>
  <c r="F573" i="18" s="1"/>
  <c r="C572" i="18"/>
  <c r="E572" i="18" s="1"/>
  <c r="F572" i="18" s="1"/>
  <c r="C571" i="18"/>
  <c r="E571" i="18" s="1"/>
  <c r="F571" i="18" s="1"/>
  <c r="E570" i="18"/>
  <c r="F570" i="18" s="1"/>
  <c r="C570" i="18"/>
  <c r="E569" i="18"/>
  <c r="F569" i="18" s="1"/>
  <c r="E568" i="18"/>
  <c r="F568" i="18" s="1"/>
  <c r="E567" i="18"/>
  <c r="F567" i="18" s="1"/>
  <c r="E566" i="18"/>
  <c r="F566" i="18" s="1"/>
  <c r="E565" i="18"/>
  <c r="F565" i="18" s="1"/>
  <c r="E564" i="18"/>
  <c r="F564" i="18" s="1"/>
  <c r="E563" i="18"/>
  <c r="F563" i="18" s="1"/>
  <c r="E562" i="18"/>
  <c r="F562" i="18" s="1"/>
  <c r="E561" i="18"/>
  <c r="F561" i="18" s="1"/>
  <c r="E560" i="18"/>
  <c r="F560" i="18" s="1"/>
  <c r="F559" i="18"/>
  <c r="E559" i="18"/>
  <c r="E558" i="18"/>
  <c r="F558" i="18" s="1"/>
  <c r="C558" i="18"/>
  <c r="E557" i="18"/>
  <c r="F557" i="18" s="1"/>
  <c r="E556" i="18"/>
  <c r="F556" i="18" s="1"/>
  <c r="E555" i="18"/>
  <c r="F555" i="18" s="1"/>
  <c r="F554" i="18"/>
  <c r="E554" i="18"/>
  <c r="E553" i="18"/>
  <c r="F553" i="18" s="1"/>
  <c r="E552" i="18"/>
  <c r="F552" i="18" s="1"/>
  <c r="C552" i="18"/>
  <c r="E551" i="18"/>
  <c r="F551" i="18" s="1"/>
  <c r="C550" i="18"/>
  <c r="E550" i="18" s="1"/>
  <c r="F550" i="18" s="1"/>
  <c r="E549" i="18"/>
  <c r="F549" i="18" s="1"/>
  <c r="E548" i="18"/>
  <c r="F548" i="18" s="1"/>
  <c r="E547" i="18"/>
  <c r="F547" i="18" s="1"/>
  <c r="E546" i="18"/>
  <c r="F546" i="18" s="1"/>
  <c r="E545" i="18"/>
  <c r="F545" i="18" s="1"/>
  <c r="C545" i="18"/>
  <c r="F544" i="18"/>
  <c r="E544" i="18"/>
  <c r="C543" i="18"/>
  <c r="E543" i="18" s="1"/>
  <c r="F543" i="18" s="1"/>
  <c r="E542" i="18"/>
  <c r="F542" i="18" s="1"/>
  <c r="C542" i="18"/>
  <c r="E541" i="18"/>
  <c r="F541" i="18" s="1"/>
  <c r="C541" i="18"/>
  <c r="C540" i="18"/>
  <c r="E540" i="18" s="1"/>
  <c r="F540" i="18" s="1"/>
  <c r="F539" i="18"/>
  <c r="E539" i="18"/>
  <c r="E538" i="18"/>
  <c r="F538" i="18" s="1"/>
  <c r="E537" i="18"/>
  <c r="F537" i="18" s="1"/>
  <c r="C536" i="18"/>
  <c r="E536" i="18" s="1"/>
  <c r="F536" i="18" s="1"/>
  <c r="E535" i="18"/>
  <c r="F535" i="18" s="1"/>
  <c r="F534" i="18"/>
  <c r="E534" i="18"/>
  <c r="E533" i="18"/>
  <c r="F533" i="18" s="1"/>
  <c r="E532" i="18"/>
  <c r="F532" i="18" s="1"/>
  <c r="C532" i="18"/>
  <c r="E531" i="18"/>
  <c r="F531" i="18" s="1"/>
  <c r="C531" i="18"/>
  <c r="E530" i="18"/>
  <c r="F530" i="18" s="1"/>
  <c r="E529" i="18"/>
  <c r="F529" i="18" s="1"/>
  <c r="C529" i="18"/>
  <c r="E528" i="18"/>
  <c r="F528" i="18" s="1"/>
  <c r="C528" i="18"/>
  <c r="E527" i="18"/>
  <c r="F527" i="18" s="1"/>
  <c r="E526" i="18"/>
  <c r="F526" i="18" s="1"/>
  <c r="C526" i="18"/>
  <c r="F525" i="18"/>
  <c r="E525" i="18"/>
  <c r="C524" i="18"/>
  <c r="E524" i="18" s="1"/>
  <c r="F524" i="18" s="1"/>
  <c r="E523" i="18"/>
  <c r="F523" i="18" s="1"/>
  <c r="E522" i="18"/>
  <c r="F522" i="18" s="1"/>
  <c r="C521" i="18"/>
  <c r="E521" i="18" s="1"/>
  <c r="F521" i="18" s="1"/>
  <c r="C520" i="18"/>
  <c r="E520" i="18" s="1"/>
  <c r="F520" i="18" s="1"/>
  <c r="E519" i="18"/>
  <c r="F519" i="18" s="1"/>
  <c r="F518" i="18"/>
  <c r="E518" i="18"/>
  <c r="E517" i="18"/>
  <c r="F517" i="18" s="1"/>
  <c r="E516" i="18"/>
  <c r="F516" i="18" s="1"/>
  <c r="E515" i="18"/>
  <c r="F515" i="18" s="1"/>
  <c r="E514" i="18"/>
  <c r="F514" i="18" s="1"/>
  <c r="E513" i="18"/>
  <c r="F513" i="18" s="1"/>
  <c r="E512" i="18"/>
  <c r="F512" i="18" s="1"/>
  <c r="E511" i="18"/>
  <c r="F511" i="18" s="1"/>
  <c r="C511" i="18"/>
  <c r="C510" i="18"/>
  <c r="E510" i="18" s="1"/>
  <c r="F510" i="18" s="1"/>
  <c r="E509" i="18"/>
  <c r="F509" i="18" s="1"/>
  <c r="E508" i="18"/>
  <c r="F508" i="18" s="1"/>
  <c r="C507" i="18"/>
  <c r="E507" i="18" s="1"/>
  <c r="F507" i="18" s="1"/>
  <c r="C506" i="18"/>
  <c r="E506" i="18" s="1"/>
  <c r="F506" i="18" s="1"/>
  <c r="E505" i="18"/>
  <c r="F505" i="18" s="1"/>
  <c r="C505" i="18"/>
  <c r="E504" i="18"/>
  <c r="F504" i="18" s="1"/>
  <c r="E503" i="18"/>
  <c r="F503" i="18" s="1"/>
  <c r="C502" i="18"/>
  <c r="E502" i="18" s="1"/>
  <c r="F502" i="18" s="1"/>
  <c r="E501" i="18"/>
  <c r="F501" i="18" s="1"/>
  <c r="C500" i="18"/>
  <c r="E500" i="18" s="1"/>
  <c r="F500" i="18" s="1"/>
  <c r="F499" i="18"/>
  <c r="E499" i="18"/>
  <c r="E498" i="18"/>
  <c r="F498" i="18" s="1"/>
  <c r="E497" i="18"/>
  <c r="F497" i="18" s="1"/>
  <c r="E496" i="18"/>
  <c r="F496" i="18" s="1"/>
  <c r="C495" i="18"/>
  <c r="E495" i="18" s="1"/>
  <c r="F495" i="18" s="1"/>
  <c r="F494" i="18"/>
  <c r="E494" i="18"/>
  <c r="E493" i="18"/>
  <c r="F493" i="18" s="1"/>
  <c r="E492" i="18"/>
  <c r="F492" i="18" s="1"/>
  <c r="E491" i="18"/>
  <c r="F491" i="18" s="1"/>
  <c r="C491" i="18"/>
  <c r="E490" i="18"/>
  <c r="F490" i="18" s="1"/>
  <c r="E489" i="18"/>
  <c r="F489" i="18" s="1"/>
  <c r="F488" i="18"/>
  <c r="E488" i="18"/>
  <c r="E487" i="18"/>
  <c r="F487" i="18" s="1"/>
  <c r="C487" i="18"/>
  <c r="C486" i="18"/>
  <c r="E486" i="18" s="1"/>
  <c r="F486" i="18" s="1"/>
  <c r="C485" i="18"/>
  <c r="E485" i="18" s="1"/>
  <c r="F485" i="18" s="1"/>
  <c r="C484" i="18"/>
  <c r="E484" i="18" s="1"/>
  <c r="F484" i="18" s="1"/>
  <c r="C483" i="18"/>
  <c r="E483" i="18" s="1"/>
  <c r="F483" i="18" s="1"/>
  <c r="E482" i="18"/>
  <c r="F482" i="18" s="1"/>
  <c r="E481" i="18"/>
  <c r="F481" i="18" s="1"/>
  <c r="C480" i="18"/>
  <c r="E480" i="18" s="1"/>
  <c r="F480" i="18" s="1"/>
  <c r="C479" i="18"/>
  <c r="E479" i="18" s="1"/>
  <c r="F479" i="18" s="1"/>
  <c r="E478" i="18"/>
  <c r="F478" i="18" s="1"/>
  <c r="E477" i="18"/>
  <c r="F477" i="18" s="1"/>
  <c r="E476" i="18"/>
  <c r="F476" i="18" s="1"/>
  <c r="E475" i="18"/>
  <c r="F475" i="18" s="1"/>
  <c r="E474" i="18"/>
  <c r="F474" i="18" s="1"/>
  <c r="E473" i="18"/>
  <c r="F473" i="18" s="1"/>
  <c r="E472" i="18"/>
  <c r="F472" i="18" s="1"/>
  <c r="E471" i="18"/>
  <c r="F471" i="18" s="1"/>
  <c r="C470" i="18"/>
  <c r="E470" i="18" s="1"/>
  <c r="F470" i="18" s="1"/>
  <c r="E469" i="18"/>
  <c r="F469" i="18" s="1"/>
  <c r="C468" i="18"/>
  <c r="E468" i="18" s="1"/>
  <c r="F468" i="18" s="1"/>
  <c r="E467" i="18"/>
  <c r="F467" i="18" s="1"/>
  <c r="E466" i="18"/>
  <c r="F466" i="18" s="1"/>
  <c r="E465" i="18"/>
  <c r="F465" i="18" s="1"/>
  <c r="E464" i="18"/>
  <c r="F464" i="18" s="1"/>
  <c r="F463" i="18"/>
  <c r="E463" i="18"/>
  <c r="E462" i="18"/>
  <c r="F462" i="18" s="1"/>
  <c r="E461" i="18"/>
  <c r="F461" i="18" s="1"/>
  <c r="E460" i="18"/>
  <c r="F460" i="18" s="1"/>
  <c r="E459" i="18"/>
  <c r="F459" i="18" s="1"/>
  <c r="B458" i="18"/>
  <c r="C458" i="18" s="1"/>
  <c r="E458" i="18" s="1"/>
  <c r="F458" i="18" s="1"/>
  <c r="E457" i="18"/>
  <c r="F457" i="18" s="1"/>
  <c r="C457" i="18"/>
  <c r="E456" i="18"/>
  <c r="F456" i="18" s="1"/>
  <c r="E455" i="18"/>
  <c r="F455" i="18" s="1"/>
  <c r="F454" i="18"/>
  <c r="E454" i="18"/>
  <c r="E453" i="18"/>
  <c r="F453" i="18" s="1"/>
  <c r="E452" i="18"/>
  <c r="F452" i="18" s="1"/>
  <c r="E451" i="18"/>
  <c r="F451" i="18" s="1"/>
  <c r="C450" i="18"/>
  <c r="E450" i="18" s="1"/>
  <c r="F450" i="18" s="1"/>
  <c r="E449" i="18"/>
  <c r="F449" i="18" s="1"/>
  <c r="E448" i="18"/>
  <c r="F448" i="18" s="1"/>
  <c r="E447" i="18"/>
  <c r="F447" i="18" s="1"/>
  <c r="C447" i="18"/>
  <c r="F446" i="18"/>
  <c r="E446" i="18"/>
  <c r="C446" i="18"/>
  <c r="E445" i="18"/>
  <c r="F445" i="18" s="1"/>
  <c r="E444" i="18"/>
  <c r="F444" i="18" s="1"/>
  <c r="C444" i="18"/>
  <c r="F443" i="18"/>
  <c r="E443" i="18"/>
  <c r="C443" i="18"/>
  <c r="C442" i="18"/>
  <c r="E442" i="18" s="1"/>
  <c r="F442" i="18" s="1"/>
  <c r="E441" i="18"/>
  <c r="F441" i="18" s="1"/>
  <c r="F440" i="18"/>
  <c r="E440" i="18"/>
  <c r="C440" i="18"/>
  <c r="E439" i="18"/>
  <c r="F439" i="18" s="1"/>
  <c r="E438" i="18"/>
  <c r="F438" i="18" s="1"/>
  <c r="E437" i="18"/>
  <c r="F437" i="18" s="1"/>
  <c r="E436" i="18"/>
  <c r="F436" i="18" s="1"/>
  <c r="E435" i="18"/>
  <c r="F435" i="18" s="1"/>
  <c r="C435" i="18"/>
  <c r="C434" i="18"/>
  <c r="E434" i="18" s="1"/>
  <c r="F434" i="18" s="1"/>
  <c r="C433" i="18"/>
  <c r="E433" i="18" s="1"/>
  <c r="F433" i="18" s="1"/>
  <c r="F432" i="18"/>
  <c r="E432" i="18"/>
  <c r="E431" i="18"/>
  <c r="F431" i="18" s="1"/>
  <c r="F430" i="18"/>
  <c r="E430" i="18"/>
  <c r="E429" i="18"/>
  <c r="F429" i="18" s="1"/>
  <c r="C428" i="18"/>
  <c r="E428" i="18" s="1"/>
  <c r="F428" i="18" s="1"/>
  <c r="E427" i="18"/>
  <c r="F427" i="18" s="1"/>
  <c r="C426" i="18"/>
  <c r="E426" i="18" s="1"/>
  <c r="F426" i="18" s="1"/>
  <c r="E425" i="18"/>
  <c r="F425" i="18" s="1"/>
  <c r="E424" i="18"/>
  <c r="F424" i="18" s="1"/>
  <c r="E423" i="18"/>
  <c r="F423" i="18" s="1"/>
  <c r="E422" i="18"/>
  <c r="F422" i="18" s="1"/>
  <c r="E421" i="18"/>
  <c r="F421" i="18" s="1"/>
  <c r="F420" i="18"/>
  <c r="E420" i="18"/>
  <c r="E419" i="18"/>
  <c r="F419" i="18" s="1"/>
  <c r="E418" i="18"/>
  <c r="F418" i="18" s="1"/>
  <c r="E417" i="18"/>
  <c r="F417" i="18" s="1"/>
  <c r="C416" i="18"/>
  <c r="E416" i="18" s="1"/>
  <c r="F416" i="18" s="1"/>
  <c r="F415" i="18"/>
  <c r="E415" i="18"/>
  <c r="C415" i="18"/>
  <c r="E414" i="18"/>
  <c r="F414" i="18" s="1"/>
  <c r="C413" i="18"/>
  <c r="E413" i="18" s="1"/>
  <c r="F413" i="18" s="1"/>
  <c r="E412" i="18"/>
  <c r="F412" i="18" s="1"/>
  <c r="C412" i="18"/>
  <c r="E411" i="18"/>
  <c r="F411" i="18" s="1"/>
  <c r="F410" i="18"/>
  <c r="E410" i="18"/>
  <c r="E409" i="18"/>
  <c r="F409" i="18" s="1"/>
  <c r="C408" i="18"/>
  <c r="E408" i="18" s="1"/>
  <c r="F408" i="18" s="1"/>
  <c r="E407" i="18"/>
  <c r="F407" i="18" s="1"/>
  <c r="C407" i="18"/>
  <c r="F406" i="18"/>
  <c r="E406" i="18"/>
  <c r="E405" i="18"/>
  <c r="F405" i="18" s="1"/>
  <c r="E404" i="18"/>
  <c r="F404" i="18" s="1"/>
  <c r="F403" i="18"/>
  <c r="E403" i="18"/>
  <c r="F402" i="18"/>
  <c r="E402" i="18"/>
  <c r="E401" i="18"/>
  <c r="F401" i="18" s="1"/>
  <c r="E400" i="18"/>
  <c r="F400" i="18" s="1"/>
  <c r="E399" i="18"/>
  <c r="F399" i="18" s="1"/>
  <c r="F398" i="18"/>
  <c r="E398" i="18"/>
  <c r="C397" i="18"/>
  <c r="E397" i="18" s="1"/>
  <c r="F397" i="18" s="1"/>
  <c r="E396" i="18"/>
  <c r="F396" i="18" s="1"/>
  <c r="C396" i="18"/>
  <c r="F395" i="18"/>
  <c r="E395" i="18"/>
  <c r="C395" i="18"/>
  <c r="C394" i="18"/>
  <c r="E394" i="18" s="1"/>
  <c r="F394" i="18" s="1"/>
  <c r="E393" i="18"/>
  <c r="F393" i="18" s="1"/>
  <c r="E392" i="18"/>
  <c r="F392" i="18" s="1"/>
  <c r="C392" i="18"/>
  <c r="C391" i="18"/>
  <c r="E391" i="18" s="1"/>
  <c r="F391" i="18" s="1"/>
  <c r="C390" i="18"/>
  <c r="E390" i="18" s="1"/>
  <c r="F390" i="18" s="1"/>
  <c r="E389" i="18"/>
  <c r="F389" i="18" s="1"/>
  <c r="E388" i="18"/>
  <c r="F388" i="18" s="1"/>
  <c r="E387" i="18"/>
  <c r="F387" i="18" s="1"/>
  <c r="E386" i="18"/>
  <c r="F386" i="18" s="1"/>
  <c r="C386" i="18"/>
  <c r="C385" i="18"/>
  <c r="E385" i="18" s="1"/>
  <c r="F385" i="18" s="1"/>
  <c r="E384" i="18"/>
  <c r="F384" i="18" s="1"/>
  <c r="E383" i="18"/>
  <c r="F383" i="18" s="1"/>
  <c r="E382" i="18"/>
  <c r="F382" i="18" s="1"/>
  <c r="C382" i="18"/>
  <c r="C381" i="18"/>
  <c r="E381" i="18" s="1"/>
  <c r="F381" i="18" s="1"/>
  <c r="E380" i="18"/>
  <c r="F380" i="18" s="1"/>
  <c r="C380" i="18"/>
  <c r="C379" i="18"/>
  <c r="E379" i="18" s="1"/>
  <c r="F379" i="18" s="1"/>
  <c r="E378" i="18"/>
  <c r="F378" i="18" s="1"/>
  <c r="C378" i="18"/>
  <c r="C377" i="18"/>
  <c r="E377" i="18" s="1"/>
  <c r="F377" i="18" s="1"/>
  <c r="E376" i="18"/>
  <c r="F376" i="18" s="1"/>
  <c r="E375" i="18"/>
  <c r="F375" i="18" s="1"/>
  <c r="E374" i="18"/>
  <c r="F374" i="18" s="1"/>
  <c r="C374" i="18"/>
  <c r="E373" i="18"/>
  <c r="F373" i="18" s="1"/>
  <c r="C372" i="18"/>
  <c r="E372" i="18" s="1"/>
  <c r="F372" i="18" s="1"/>
  <c r="E371" i="18"/>
  <c r="F371" i="18" s="1"/>
  <c r="C371" i="18"/>
  <c r="C370" i="18"/>
  <c r="E370" i="18" s="1"/>
  <c r="F370" i="18" s="1"/>
  <c r="E369" i="18"/>
  <c r="F369" i="18" s="1"/>
  <c r="C369" i="18"/>
  <c r="F368" i="18"/>
  <c r="E368" i="18"/>
  <c r="C367" i="18"/>
  <c r="E367" i="18" s="1"/>
  <c r="F367" i="18" s="1"/>
  <c r="E366" i="18"/>
  <c r="F366" i="18" s="1"/>
  <c r="E365" i="18"/>
  <c r="F365" i="18" s="1"/>
  <c r="C364" i="18"/>
  <c r="E364" i="18" s="1"/>
  <c r="F364" i="18" s="1"/>
  <c r="F363" i="18"/>
  <c r="E363" i="18"/>
  <c r="F362" i="18"/>
  <c r="E362" i="18"/>
  <c r="E361" i="18"/>
  <c r="F361" i="18" s="1"/>
  <c r="E360" i="18"/>
  <c r="F360" i="18" s="1"/>
  <c r="E359" i="18"/>
  <c r="F359" i="18" s="1"/>
  <c r="C358" i="18"/>
  <c r="E358" i="18" s="1"/>
  <c r="F358" i="18" s="1"/>
  <c r="E357" i="18"/>
  <c r="F357" i="18" s="1"/>
  <c r="C357" i="18"/>
  <c r="E356" i="18"/>
  <c r="F356" i="18" s="1"/>
  <c r="F355" i="18"/>
  <c r="E355" i="18"/>
  <c r="E354" i="18"/>
  <c r="F354" i="18" s="1"/>
  <c r="F353" i="18"/>
  <c r="E353" i="18"/>
  <c r="C352" i="18"/>
  <c r="E352" i="18" s="1"/>
  <c r="F352" i="18" s="1"/>
  <c r="E351" i="18"/>
  <c r="F351" i="18" s="1"/>
  <c r="C351" i="18"/>
  <c r="C350" i="18"/>
  <c r="E350" i="18" s="1"/>
  <c r="F350" i="18" s="1"/>
  <c r="E349" i="18"/>
  <c r="F349" i="18" s="1"/>
  <c r="C349" i="18"/>
  <c r="F348" i="18"/>
  <c r="E348" i="18"/>
  <c r="C347" i="18"/>
  <c r="E347" i="18" s="1"/>
  <c r="F347" i="18" s="1"/>
  <c r="E346" i="18"/>
  <c r="F346" i="18" s="1"/>
  <c r="E345" i="18"/>
  <c r="F345" i="18" s="1"/>
  <c r="E344" i="18"/>
  <c r="F344" i="18" s="1"/>
  <c r="E343" i="18"/>
  <c r="F343" i="18" s="1"/>
  <c r="C343" i="18"/>
  <c r="C342" i="18"/>
  <c r="E342" i="18" s="1"/>
  <c r="F342" i="18" s="1"/>
  <c r="E341" i="18"/>
  <c r="F341" i="18" s="1"/>
  <c r="C341" i="18"/>
  <c r="E340" i="18"/>
  <c r="F340" i="18" s="1"/>
  <c r="E339" i="18"/>
  <c r="F339" i="18" s="1"/>
  <c r="E338" i="18"/>
  <c r="F338" i="18" s="1"/>
  <c r="F337" i="18"/>
  <c r="E337" i="18"/>
  <c r="E336" i="18"/>
  <c r="F336" i="18" s="1"/>
  <c r="C335" i="18"/>
  <c r="E335" i="18" s="1"/>
  <c r="F335" i="18" s="1"/>
  <c r="E334" i="18"/>
  <c r="F334" i="18" s="1"/>
  <c r="C334" i="18"/>
  <c r="C333" i="18"/>
  <c r="E333" i="18" s="1"/>
  <c r="F333" i="18" s="1"/>
  <c r="E332" i="18"/>
  <c r="F332" i="18" s="1"/>
  <c r="C332" i="18"/>
  <c r="E331" i="18"/>
  <c r="F331" i="18" s="1"/>
  <c r="C330" i="18"/>
  <c r="E330" i="18" s="1"/>
  <c r="F330" i="18" s="1"/>
  <c r="E329" i="18"/>
  <c r="F329" i="18" s="1"/>
  <c r="C329" i="18"/>
  <c r="E328" i="18"/>
  <c r="F328" i="18" s="1"/>
  <c r="C327" i="18"/>
  <c r="E327" i="18" s="1"/>
  <c r="F327" i="18" s="1"/>
  <c r="E326" i="18"/>
  <c r="F326" i="18" s="1"/>
  <c r="C325" i="18"/>
  <c r="E325" i="18" s="1"/>
  <c r="F325" i="18" s="1"/>
  <c r="E324" i="18"/>
  <c r="F324" i="18" s="1"/>
  <c r="E323" i="18"/>
  <c r="F323" i="18" s="1"/>
  <c r="E322" i="18"/>
  <c r="F322" i="18" s="1"/>
  <c r="C321" i="18"/>
  <c r="E321" i="18" s="1"/>
  <c r="F321" i="18" s="1"/>
  <c r="E320" i="18"/>
  <c r="F320" i="18" s="1"/>
  <c r="C320" i="18"/>
  <c r="F319" i="18"/>
  <c r="E319" i="18"/>
  <c r="C318" i="18"/>
  <c r="E318" i="18" s="1"/>
  <c r="F318" i="18" s="1"/>
  <c r="E317" i="18"/>
  <c r="F317" i="18" s="1"/>
  <c r="E316" i="18"/>
  <c r="F316" i="18" s="1"/>
  <c r="E315" i="18"/>
  <c r="F315" i="18" s="1"/>
  <c r="E314" i="18"/>
  <c r="F314" i="18" s="1"/>
  <c r="E313" i="18"/>
  <c r="F313" i="18" s="1"/>
  <c r="E312" i="18"/>
  <c r="F312" i="18" s="1"/>
  <c r="C312" i="18"/>
  <c r="C311" i="18"/>
  <c r="E311" i="18" s="1"/>
  <c r="F311" i="18" s="1"/>
  <c r="E310" i="18"/>
  <c r="F310" i="18" s="1"/>
  <c r="E309" i="18"/>
  <c r="F309" i="18" s="1"/>
  <c r="E308" i="18"/>
  <c r="F308" i="18" s="1"/>
  <c r="C308" i="18"/>
  <c r="C307" i="18"/>
  <c r="E307" i="18" s="1"/>
  <c r="F307" i="18" s="1"/>
  <c r="E306" i="18"/>
  <c r="F306" i="18" s="1"/>
  <c r="C306" i="18"/>
  <c r="C305" i="18"/>
  <c r="E305" i="18" s="1"/>
  <c r="F305" i="18" s="1"/>
  <c r="E304" i="18"/>
  <c r="F304" i="18" s="1"/>
  <c r="C304" i="18"/>
  <c r="F303" i="18"/>
  <c r="C303" i="18"/>
  <c r="E303" i="18" s="1"/>
  <c r="C302" i="18"/>
  <c r="E302" i="18" s="1"/>
  <c r="F302" i="18" s="1"/>
  <c r="C301" i="18"/>
  <c r="E301" i="18" s="1"/>
  <c r="F301" i="18" s="1"/>
  <c r="E300" i="18"/>
  <c r="F300" i="18" s="1"/>
  <c r="C299" i="18"/>
  <c r="E299" i="18" s="1"/>
  <c r="F299" i="18" s="1"/>
  <c r="E298" i="18"/>
  <c r="F298" i="18" s="1"/>
  <c r="F297" i="18"/>
  <c r="C297" i="18"/>
  <c r="E297" i="18" s="1"/>
  <c r="E296" i="18"/>
  <c r="F296" i="18" s="1"/>
  <c r="E295" i="18"/>
  <c r="F295" i="18" s="1"/>
  <c r="C295" i="18"/>
  <c r="C294" i="18"/>
  <c r="E294" i="18" s="1"/>
  <c r="F294" i="18" s="1"/>
  <c r="E293" i="18"/>
  <c r="F293" i="18" s="1"/>
  <c r="E292" i="18"/>
  <c r="F292" i="18" s="1"/>
  <c r="C292" i="18"/>
  <c r="C291" i="18"/>
  <c r="E291" i="18" s="1"/>
  <c r="F291" i="18" s="1"/>
  <c r="E290" i="18"/>
  <c r="F290" i="18" s="1"/>
  <c r="E289" i="18"/>
  <c r="F289" i="18" s="1"/>
  <c r="E288" i="18"/>
  <c r="F288" i="18" s="1"/>
  <c r="E287" i="18"/>
  <c r="F287" i="18" s="1"/>
  <c r="C287" i="18"/>
  <c r="E286" i="18"/>
  <c r="F286" i="18" s="1"/>
  <c r="C285" i="18"/>
  <c r="E285" i="18" s="1"/>
  <c r="F285" i="18" s="1"/>
  <c r="E284" i="18"/>
  <c r="F284" i="18" s="1"/>
  <c r="C284" i="18"/>
  <c r="E283" i="18"/>
  <c r="F283" i="18" s="1"/>
  <c r="C282" i="18"/>
  <c r="E282" i="18" s="1"/>
  <c r="F282" i="18" s="1"/>
  <c r="E281" i="18"/>
  <c r="F281" i="18" s="1"/>
  <c r="E280" i="18"/>
  <c r="F280" i="18" s="1"/>
  <c r="C280" i="18"/>
  <c r="F279" i="18"/>
  <c r="E279" i="18"/>
  <c r="C278" i="18"/>
  <c r="E278" i="18" s="1"/>
  <c r="F278" i="18" s="1"/>
  <c r="E277" i="18"/>
  <c r="F277" i="18" s="1"/>
  <c r="E276" i="18"/>
  <c r="F276" i="18" s="1"/>
  <c r="E275" i="18"/>
  <c r="F275" i="18" s="1"/>
  <c r="C275" i="18"/>
  <c r="C274" i="18"/>
  <c r="E274" i="18" s="1"/>
  <c r="F274" i="18" s="1"/>
  <c r="E273" i="18"/>
  <c r="F273" i="18" s="1"/>
  <c r="C273" i="18"/>
  <c r="E272" i="18"/>
  <c r="F272" i="18" s="1"/>
  <c r="C271" i="18"/>
  <c r="E271" i="18" s="1"/>
  <c r="F271" i="18" s="1"/>
  <c r="E270" i="18"/>
  <c r="F270" i="18" s="1"/>
  <c r="C270" i="18"/>
  <c r="F269" i="18"/>
  <c r="E269" i="18"/>
  <c r="E268" i="18"/>
  <c r="F268" i="18" s="1"/>
  <c r="F267" i="18"/>
  <c r="E267" i="18"/>
  <c r="C266" i="18"/>
  <c r="E266" i="18" s="1"/>
  <c r="F266" i="18" s="1"/>
  <c r="E265" i="18"/>
  <c r="F265" i="18" s="1"/>
  <c r="C265" i="18"/>
  <c r="E264" i="18"/>
  <c r="F264" i="18" s="1"/>
  <c r="F263" i="18"/>
  <c r="E263" i="18"/>
  <c r="E262" i="18"/>
  <c r="F262" i="18" s="1"/>
  <c r="F261" i="18"/>
  <c r="E261" i="18"/>
  <c r="C260" i="18"/>
  <c r="E260" i="18" s="1"/>
  <c r="F260" i="18" s="1"/>
  <c r="E259" i="18"/>
  <c r="F259" i="18" s="1"/>
  <c r="F258" i="18"/>
  <c r="E258" i="18"/>
  <c r="E257" i="18"/>
  <c r="F257" i="18" s="1"/>
  <c r="E256" i="18"/>
  <c r="F256" i="18" s="1"/>
  <c r="E255" i="18"/>
  <c r="F255" i="18" s="1"/>
  <c r="F254" i="18"/>
  <c r="E254" i="18"/>
  <c r="E253" i="18"/>
  <c r="F253" i="18" s="1"/>
  <c r="E252" i="18"/>
  <c r="F252" i="18" s="1"/>
  <c r="E251" i="18"/>
  <c r="F251" i="18" s="1"/>
  <c r="E250" i="18"/>
  <c r="F250" i="18" s="1"/>
  <c r="E249" i="18"/>
  <c r="F249" i="18" s="1"/>
  <c r="E248" i="18"/>
  <c r="F248" i="18" s="1"/>
  <c r="E247" i="18"/>
  <c r="F247" i="18" s="1"/>
  <c r="C247" i="18"/>
  <c r="C246" i="18"/>
  <c r="E246" i="18" s="1"/>
  <c r="F246" i="18" s="1"/>
  <c r="C245" i="18"/>
  <c r="E245" i="18" s="1"/>
  <c r="F245" i="18" s="1"/>
  <c r="C244" i="18"/>
  <c r="E244" i="18" s="1"/>
  <c r="F244" i="18" s="1"/>
  <c r="C243" i="18"/>
  <c r="E243" i="18" s="1"/>
  <c r="F243" i="18" s="1"/>
  <c r="E242" i="18"/>
  <c r="F242" i="18" s="1"/>
  <c r="F241" i="18"/>
  <c r="E241" i="18"/>
  <c r="E240" i="18"/>
  <c r="F240" i="18" s="1"/>
  <c r="E239" i="18"/>
  <c r="F239" i="18" s="1"/>
  <c r="E238" i="18"/>
  <c r="F238" i="18" s="1"/>
  <c r="E237" i="18"/>
  <c r="F237" i="18" s="1"/>
  <c r="E236" i="18"/>
  <c r="F236" i="18" s="1"/>
  <c r="E235" i="18"/>
  <c r="F235" i="18" s="1"/>
  <c r="E234" i="18"/>
  <c r="F234" i="18" s="1"/>
  <c r="F233" i="18"/>
  <c r="E233" i="18"/>
  <c r="E232" i="18"/>
  <c r="F232" i="18" s="1"/>
  <c r="E231" i="18"/>
  <c r="F231" i="18" s="1"/>
  <c r="E230" i="18"/>
  <c r="F230" i="18" s="1"/>
  <c r="F229" i="18"/>
  <c r="E229" i="18"/>
  <c r="E228" i="18"/>
  <c r="F228" i="18" s="1"/>
  <c r="E227" i="18"/>
  <c r="F227" i="18" s="1"/>
  <c r="E226" i="18"/>
  <c r="F226" i="18" s="1"/>
  <c r="E225" i="18"/>
  <c r="F225" i="18" s="1"/>
  <c r="E224" i="18"/>
  <c r="F224" i="18" s="1"/>
  <c r="E223" i="18"/>
  <c r="F223" i="18" s="1"/>
  <c r="E222" i="18"/>
  <c r="F222" i="18" s="1"/>
  <c r="E221" i="18"/>
  <c r="F221" i="18" s="1"/>
  <c r="E220" i="18"/>
  <c r="F220" i="18" s="1"/>
  <c r="E219" i="18"/>
  <c r="F219" i="18" s="1"/>
  <c r="E218" i="18"/>
  <c r="F218" i="18" s="1"/>
  <c r="F217" i="18"/>
  <c r="E217" i="18"/>
  <c r="E216" i="18"/>
  <c r="F216" i="18" s="1"/>
  <c r="E215" i="18"/>
  <c r="F215" i="18" s="1"/>
  <c r="E214" i="18"/>
  <c r="F214" i="18" s="1"/>
  <c r="E213" i="18"/>
  <c r="F213" i="18" s="1"/>
  <c r="E212" i="18"/>
  <c r="F212" i="18" s="1"/>
  <c r="E211" i="18"/>
  <c r="F211" i="18" s="1"/>
  <c r="E210" i="18"/>
  <c r="F210" i="18" s="1"/>
  <c r="E209" i="18"/>
  <c r="F209" i="18" s="1"/>
  <c r="E208" i="18"/>
  <c r="F208" i="18" s="1"/>
  <c r="E207" i="18"/>
  <c r="F207" i="18" s="1"/>
  <c r="E206" i="18"/>
  <c r="F206" i="18" s="1"/>
  <c r="E205" i="18"/>
  <c r="F205" i="18" s="1"/>
  <c r="E204" i="18"/>
  <c r="F204" i="18" s="1"/>
  <c r="E203" i="18"/>
  <c r="F203" i="18" s="1"/>
  <c r="E202" i="18"/>
  <c r="F202" i="18" s="1"/>
  <c r="F201" i="18"/>
  <c r="E201" i="18"/>
  <c r="E200" i="18"/>
  <c r="F200" i="18" s="1"/>
  <c r="E199" i="18"/>
  <c r="F199" i="18" s="1"/>
  <c r="E198" i="18"/>
  <c r="F198" i="18" s="1"/>
  <c r="F197" i="18"/>
  <c r="E197" i="18"/>
  <c r="E196" i="18"/>
  <c r="F196" i="18" s="1"/>
  <c r="E195" i="18"/>
  <c r="F195" i="18" s="1"/>
  <c r="E194" i="18"/>
  <c r="F194" i="18" s="1"/>
  <c r="F193" i="18"/>
  <c r="E193" i="18"/>
  <c r="E192" i="18"/>
  <c r="F192" i="18" s="1"/>
  <c r="E191" i="18"/>
  <c r="F191" i="18" s="1"/>
  <c r="E190" i="18"/>
  <c r="F190" i="18" s="1"/>
  <c r="E189" i="18"/>
  <c r="F189" i="18" s="1"/>
  <c r="E188" i="18"/>
  <c r="F188" i="18" s="1"/>
  <c r="E187" i="18"/>
  <c r="F187" i="18" s="1"/>
  <c r="E186" i="18"/>
  <c r="F186" i="18" s="1"/>
  <c r="E185" i="18"/>
  <c r="F185" i="18" s="1"/>
  <c r="E184" i="18"/>
  <c r="F184" i="18" s="1"/>
  <c r="E183" i="18"/>
  <c r="F183" i="18" s="1"/>
  <c r="E182" i="18"/>
  <c r="F182" i="18" s="1"/>
  <c r="E181" i="18"/>
  <c r="F181" i="18" s="1"/>
  <c r="E180" i="18"/>
  <c r="F180" i="18" s="1"/>
  <c r="E179" i="18"/>
  <c r="F179" i="18" s="1"/>
  <c r="E178" i="18"/>
  <c r="F178" i="18" s="1"/>
  <c r="E177" i="18"/>
  <c r="F177" i="18" s="1"/>
  <c r="E176" i="18"/>
  <c r="F176" i="18" s="1"/>
  <c r="E175" i="18"/>
  <c r="F175" i="18" s="1"/>
  <c r="E174" i="18"/>
  <c r="F174" i="18" s="1"/>
  <c r="E173" i="18"/>
  <c r="F173" i="18" s="1"/>
  <c r="E172" i="18"/>
  <c r="F172" i="18" s="1"/>
  <c r="E171" i="18"/>
  <c r="F171" i="18" s="1"/>
  <c r="E170" i="18"/>
  <c r="F170" i="18" s="1"/>
  <c r="F169" i="18"/>
  <c r="E169" i="18"/>
  <c r="E168" i="18"/>
  <c r="F168" i="18" s="1"/>
  <c r="E167" i="18"/>
  <c r="F167" i="18" s="1"/>
  <c r="E166" i="18"/>
  <c r="F166" i="18" s="1"/>
  <c r="F165" i="18"/>
  <c r="E165" i="18"/>
  <c r="E164" i="18"/>
  <c r="F164" i="18" s="1"/>
  <c r="E163" i="18"/>
  <c r="F163" i="18" s="1"/>
  <c r="E162" i="18"/>
  <c r="F162" i="18" s="1"/>
  <c r="E161" i="18"/>
  <c r="F161" i="18" s="1"/>
  <c r="E160" i="18"/>
  <c r="F160" i="18" s="1"/>
  <c r="E159" i="18"/>
  <c r="F159" i="18" s="1"/>
  <c r="E158" i="18"/>
  <c r="F158" i="18" s="1"/>
  <c r="E157" i="18"/>
  <c r="F157" i="18" s="1"/>
  <c r="E156" i="18"/>
  <c r="F156" i="18" s="1"/>
  <c r="E155" i="18"/>
  <c r="F155" i="18" s="1"/>
  <c r="E154" i="18"/>
  <c r="F154" i="18" s="1"/>
  <c r="E153" i="18"/>
  <c r="F153" i="18" s="1"/>
  <c r="E152" i="18"/>
  <c r="F152" i="18" s="1"/>
  <c r="E151" i="18"/>
  <c r="F151" i="18" s="1"/>
  <c r="E150" i="18"/>
  <c r="F150" i="18" s="1"/>
  <c r="E149" i="18"/>
  <c r="F149" i="18" s="1"/>
  <c r="E148" i="18"/>
  <c r="F148" i="18" s="1"/>
  <c r="E147" i="18"/>
  <c r="F147" i="18" s="1"/>
  <c r="E146" i="18"/>
  <c r="F146" i="18" s="1"/>
  <c r="F145" i="18"/>
  <c r="E145" i="18"/>
  <c r="E144" i="18"/>
  <c r="F144" i="18" s="1"/>
  <c r="E143" i="18"/>
  <c r="F143" i="18" s="1"/>
  <c r="C143" i="18"/>
  <c r="E142" i="18"/>
  <c r="F142" i="18" s="1"/>
  <c r="C141" i="18"/>
  <c r="E141" i="18" s="1"/>
  <c r="F141" i="18" s="1"/>
  <c r="E140" i="18"/>
  <c r="F140" i="18" s="1"/>
  <c r="C140" i="18"/>
  <c r="F139" i="18"/>
  <c r="E139" i="18"/>
  <c r="C138" i="18"/>
  <c r="E138" i="18" s="1"/>
  <c r="F138" i="18" s="1"/>
  <c r="E137" i="18"/>
  <c r="F137" i="18" s="1"/>
  <c r="C137" i="18"/>
  <c r="E136" i="18"/>
  <c r="F136" i="18" s="1"/>
  <c r="F135" i="18"/>
  <c r="E135" i="18"/>
  <c r="C135" i="18"/>
  <c r="E134" i="18"/>
  <c r="F134" i="18" s="1"/>
  <c r="E133" i="18"/>
  <c r="F133" i="18" s="1"/>
  <c r="E132" i="18"/>
  <c r="F132" i="18" s="1"/>
  <c r="E131" i="18"/>
  <c r="F131" i="18" s="1"/>
  <c r="C131" i="18"/>
  <c r="C130" i="18"/>
  <c r="E130" i="18" s="1"/>
  <c r="F130" i="18" s="1"/>
  <c r="E129" i="18"/>
  <c r="F129" i="18" s="1"/>
  <c r="E128" i="18"/>
  <c r="F128" i="18" s="1"/>
  <c r="E127" i="18"/>
  <c r="F127" i="18" s="1"/>
  <c r="E126" i="18"/>
  <c r="F126" i="18" s="1"/>
  <c r="E125" i="18"/>
  <c r="F125" i="18" s="1"/>
  <c r="E124" i="18"/>
  <c r="F124" i="18" s="1"/>
  <c r="E123" i="18"/>
  <c r="F123" i="18" s="1"/>
  <c r="E122" i="18"/>
  <c r="F122" i="18" s="1"/>
  <c r="E121" i="18"/>
  <c r="F121" i="18" s="1"/>
  <c r="F120" i="18"/>
  <c r="E120" i="18"/>
  <c r="E119" i="18"/>
  <c r="F119" i="18" s="1"/>
  <c r="E118" i="18"/>
  <c r="F118" i="18" s="1"/>
  <c r="E117" i="18"/>
  <c r="F117" i="18" s="1"/>
  <c r="F116" i="18"/>
  <c r="E116" i="18"/>
  <c r="F115" i="18"/>
  <c r="E115" i="18"/>
  <c r="E114" i="18"/>
  <c r="F114" i="18" s="1"/>
  <c r="E113" i="18"/>
  <c r="F113" i="18" s="1"/>
  <c r="E112" i="18"/>
  <c r="F112" i="18" s="1"/>
  <c r="E111" i="18"/>
  <c r="F111" i="18" s="1"/>
  <c r="E110" i="18"/>
  <c r="F110" i="18" s="1"/>
  <c r="E109" i="18"/>
  <c r="F109" i="18" s="1"/>
  <c r="E108" i="18"/>
  <c r="F108" i="18" s="1"/>
  <c r="E107" i="18"/>
  <c r="F107" i="18" s="1"/>
  <c r="E106" i="18"/>
  <c r="F106" i="18" s="1"/>
  <c r="E105" i="18"/>
  <c r="F105" i="18" s="1"/>
  <c r="F104" i="18"/>
  <c r="E104" i="18"/>
  <c r="E103" i="18"/>
  <c r="F103" i="18" s="1"/>
  <c r="E102" i="18"/>
  <c r="F102" i="18" s="1"/>
  <c r="E101" i="18"/>
  <c r="F101" i="18" s="1"/>
  <c r="E100" i="18"/>
  <c r="F100" i="18" s="1"/>
  <c r="F99" i="18"/>
  <c r="E99" i="18"/>
  <c r="E98" i="18"/>
  <c r="F98" i="18" s="1"/>
  <c r="E97" i="18"/>
  <c r="F97" i="18" s="1"/>
  <c r="E96" i="18"/>
  <c r="F96" i="18" s="1"/>
  <c r="E95" i="18"/>
  <c r="F95" i="18" s="1"/>
  <c r="E94" i="18"/>
  <c r="F94" i="18" s="1"/>
  <c r="E93" i="18"/>
  <c r="F93" i="18" s="1"/>
  <c r="E92" i="18"/>
  <c r="F92" i="18" s="1"/>
  <c r="E91" i="18"/>
  <c r="F91" i="18" s="1"/>
  <c r="E90" i="18"/>
  <c r="F90" i="18" s="1"/>
  <c r="E89" i="18"/>
  <c r="F89" i="18" s="1"/>
  <c r="F88" i="18"/>
  <c r="E88" i="18"/>
  <c r="E87" i="18"/>
  <c r="F87" i="18" s="1"/>
  <c r="E86" i="18"/>
  <c r="F86" i="18" s="1"/>
  <c r="E85" i="18"/>
  <c r="F85" i="18" s="1"/>
  <c r="F84" i="18"/>
  <c r="E84" i="18"/>
  <c r="F83" i="18"/>
  <c r="E83" i="18"/>
  <c r="E82" i="18"/>
  <c r="F82" i="18" s="1"/>
  <c r="E81" i="18"/>
  <c r="F81" i="18" s="1"/>
  <c r="E80" i="18"/>
  <c r="F80" i="18" s="1"/>
  <c r="E79" i="18"/>
  <c r="F79" i="18" s="1"/>
  <c r="E78" i="18"/>
  <c r="F78" i="18" s="1"/>
  <c r="E77" i="18"/>
  <c r="F77" i="18" s="1"/>
  <c r="E76" i="18"/>
  <c r="F76" i="18" s="1"/>
  <c r="E75" i="18"/>
  <c r="F75" i="18" s="1"/>
  <c r="E74" i="18"/>
  <c r="F74" i="18" s="1"/>
  <c r="E73" i="18"/>
  <c r="F73" i="18" s="1"/>
  <c r="E72" i="18"/>
  <c r="F72" i="18" s="1"/>
  <c r="E71" i="18"/>
  <c r="F71" i="18" s="1"/>
  <c r="E70" i="18"/>
  <c r="F70" i="18" s="1"/>
  <c r="E69" i="18"/>
  <c r="F69" i="18" s="1"/>
  <c r="E68" i="18"/>
  <c r="F68" i="18" s="1"/>
  <c r="E67" i="18"/>
  <c r="F67" i="18" s="1"/>
  <c r="E66" i="18"/>
  <c r="F66" i="18" s="1"/>
  <c r="E65" i="18"/>
  <c r="F65" i="18" s="1"/>
  <c r="F64" i="18"/>
  <c r="E64" i="18"/>
  <c r="E63" i="18"/>
  <c r="F63" i="18" s="1"/>
  <c r="E62" i="18"/>
  <c r="F62" i="18" s="1"/>
  <c r="E61" i="18"/>
  <c r="F61" i="18" s="1"/>
  <c r="E60" i="18"/>
  <c r="F60" i="18" s="1"/>
  <c r="E59" i="18"/>
  <c r="F59" i="18" s="1"/>
  <c r="E58" i="18"/>
  <c r="F58" i="18" s="1"/>
  <c r="E57" i="18"/>
  <c r="F57" i="18" s="1"/>
  <c r="E56" i="18"/>
  <c r="F56" i="18" s="1"/>
  <c r="E55" i="18"/>
  <c r="F55" i="18" s="1"/>
  <c r="E54" i="18"/>
  <c r="F54" i="18" s="1"/>
  <c r="E53" i="18"/>
  <c r="F53" i="18" s="1"/>
  <c r="E52" i="18"/>
  <c r="F52" i="18" s="1"/>
  <c r="E51" i="18"/>
  <c r="F51" i="18" s="1"/>
  <c r="E50" i="18"/>
  <c r="F50" i="18" s="1"/>
  <c r="E49" i="18"/>
  <c r="F49" i="18" s="1"/>
  <c r="E48" i="18"/>
  <c r="F48" i="18" s="1"/>
  <c r="F47" i="18"/>
  <c r="E47" i="18"/>
  <c r="E46" i="18"/>
  <c r="F46" i="18" s="1"/>
  <c r="E45" i="18"/>
  <c r="F45" i="18" s="1"/>
  <c r="E44" i="18"/>
  <c r="F44" i="18" s="1"/>
  <c r="E43" i="18"/>
  <c r="F43" i="18" s="1"/>
  <c r="E42" i="18"/>
  <c r="F42" i="18" s="1"/>
  <c r="E41" i="18"/>
  <c r="F41" i="18" s="1"/>
  <c r="E40" i="18"/>
  <c r="F40" i="18" s="1"/>
  <c r="F39" i="18"/>
  <c r="E39" i="18"/>
  <c r="E38" i="18"/>
  <c r="F38" i="18" s="1"/>
  <c r="E37" i="18"/>
  <c r="F37" i="18" s="1"/>
  <c r="E36" i="18"/>
  <c r="F36" i="18" s="1"/>
  <c r="E35" i="18"/>
  <c r="F35" i="18" s="1"/>
  <c r="E34" i="18"/>
  <c r="F34" i="18" s="1"/>
  <c r="E33" i="18"/>
  <c r="F33" i="18" s="1"/>
  <c r="E32" i="18"/>
  <c r="F32" i="18" s="1"/>
  <c r="E31" i="18"/>
  <c r="F31" i="18" s="1"/>
  <c r="E30" i="18"/>
  <c r="F30" i="18" s="1"/>
  <c r="E29" i="18"/>
  <c r="F29" i="18" s="1"/>
  <c r="E28" i="18"/>
  <c r="F28" i="18" s="1"/>
  <c r="E27" i="18"/>
  <c r="F27" i="18" s="1"/>
  <c r="E26" i="18"/>
  <c r="F26" i="18" s="1"/>
  <c r="E25" i="18"/>
  <c r="F25" i="18" s="1"/>
  <c r="E24" i="18"/>
  <c r="F24" i="18" s="1"/>
  <c r="E23" i="18"/>
  <c r="F23" i="18" s="1"/>
  <c r="E22" i="18"/>
  <c r="F22" i="18" s="1"/>
  <c r="E21" i="18"/>
  <c r="F21" i="18" s="1"/>
  <c r="E20" i="18"/>
  <c r="F20" i="18" s="1"/>
  <c r="E19" i="18"/>
  <c r="F19" i="18" s="1"/>
  <c r="E18" i="18"/>
  <c r="F18" i="18" s="1"/>
  <c r="E17" i="18"/>
  <c r="F17" i="18" s="1"/>
  <c r="E16" i="18"/>
  <c r="F16" i="18" s="1"/>
  <c r="E15" i="18"/>
  <c r="F15" i="18" s="1"/>
  <c r="E14" i="18"/>
  <c r="F14" i="18" s="1"/>
  <c r="E13" i="18"/>
  <c r="F13" i="18" s="1"/>
  <c r="E12" i="18"/>
  <c r="F12" i="18" s="1"/>
  <c r="E11" i="18"/>
  <c r="F11" i="18" s="1"/>
  <c r="E10" i="18"/>
  <c r="F10" i="18" s="1"/>
  <c r="E9" i="18"/>
  <c r="F9" i="18" s="1"/>
  <c r="E8" i="18"/>
  <c r="F8" i="18" s="1"/>
  <c r="E7" i="18"/>
  <c r="F7" i="18" s="1"/>
  <c r="I1" i="18"/>
  <c r="AC510" i="17" l="1"/>
  <c r="AJ510" i="17" s="1"/>
  <c r="K498" i="17"/>
  <c r="K360" i="17"/>
  <c r="X600" i="9" l="1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Mohamed Rjiba</author>
  </authors>
  <commentList>
    <comment ref="T1" authorId="0" shapeId="0" xr:uid="{00000000-0006-0000-0400-000001000000}">
      <text>
        <r>
          <rPr>
            <b/>
            <sz val="9"/>
            <rFont val="Tahoma"/>
            <family val="2"/>
          </rPr>
          <t>Mohamed Rjiba:</t>
        </r>
        <r>
          <rPr>
            <sz val="9"/>
            <rFont val="Tahoma"/>
            <family val="2"/>
          </rPr>
          <t xml:space="preserve">
si il ya une differance il faut verifier le cours de devise au fichier 2021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Rihab Khouaja</author>
  </authors>
  <commentList>
    <comment ref="G801" authorId="0" shapeId="0" xr:uid="{EAB5E3EB-ADD9-490B-806F-DD7FB7C70016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AVRIL DF</t>
        </r>
      </text>
    </comment>
    <comment ref="G806" authorId="0" shapeId="0" xr:uid="{FEB9E144-E515-4DBB-8AD3-42E5077398C1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AVRIL DF</t>
        </r>
      </text>
    </comment>
    <comment ref="H810" authorId="0" shapeId="0" xr:uid="{7E8957E9-E50D-4A45-A34A-C76DFDD0917C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MQ 22 COLIS COUDE 3 + 264 KG
</t>
        </r>
      </text>
    </comment>
    <comment ref="D1241" authorId="0" shapeId="0" xr:uid="{174DD8D9-6120-4E69-9555-67825314DEAF}">
      <text>
        <r>
          <rPr>
            <b/>
            <sz val="9"/>
            <color indexed="81"/>
            <rFont val="Tahoma"/>
            <family val="2"/>
          </rPr>
          <t>Rihab Khouaja:</t>
        </r>
        <r>
          <rPr>
            <sz val="9"/>
            <color indexed="81"/>
            <rFont val="Tahoma"/>
            <family val="2"/>
          </rPr>
          <t xml:space="preserve">
Sans frais BESC facturés par TRANSMAR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Mohamed Rjiba</author>
    <author>Rihab Khouaja</author>
  </authors>
  <commentList>
    <comment ref="V42" authorId="0" shapeId="0" xr:uid="{D3022A89-99A2-4BDF-8580-248A3C34BBBC}">
      <text>
        <r>
          <rPr>
            <b/>
            <sz val="9"/>
            <rFont val="Tahoma"/>
            <family val="2"/>
          </rPr>
          <t>Mohamed Rjiba:</t>
        </r>
        <r>
          <rPr>
            <sz val="9"/>
            <rFont val="Tahoma"/>
            <family val="2"/>
          </rPr>
          <t xml:space="preserve">
bonjour
il s'agit d'une avance sur la facture suivante :
- facture 1900040 du 04-02--2019 mt  8872.55 Euro client &lt; SOCOM&gt;
- Titre N°: 715905 du 06/02/2019
Code en douane : 134456 T
Veuillez nous créditer au compte EURO N° : 11 500 000 1803 036 978 68</t>
        </r>
      </text>
    </comment>
    <comment ref="V112" authorId="0" shapeId="0" xr:uid="{B957FAF9-3D31-4249-B8ED-7229B1421E55}">
      <text>
        <r>
          <rPr>
            <b/>
            <sz val="9"/>
            <rFont val="Tahoma"/>
            <family val="2"/>
          </rPr>
          <t>Mohamed Rjiba:</t>
        </r>
        <r>
          <rPr>
            <sz val="9"/>
            <rFont val="Tahoma"/>
            <family val="2"/>
          </rPr>
          <t xml:space="preserve">
Bonjour
Vous Trouvez ci-dessous la facture  et le titre d'export relatif
Veuille Nous Créditer Au Compte  USD BNA   PATES WARDA
Bonne Reception
De : Mohamed Rjiba/Patewarda/ROSEBLANCHE
A : Mourad Chtioui/Patewarda/ROSEBLANCHE@RoseBlanche, Mohamed Ali Boumiza/Patewarda/ROSEBLANCHE@RoseBlanche, MOUNIR BOUSSNINA/Patewarda/ROSEBLANCHE@RoseBlanche, Rihab Khouaja/Patewarda/ROSEBLANCHE@RoseBlanche
Date : 24/06/2019 11:41
Objet : Virement Reçu (Swift) d un montant de 144 298,5 USD
SAWABA GUINEE / MADINA CORNICHE SUD COMMUNE DE MA - Compte : 0200169000002
Bonjour,
Virement Reçu (Swift) d un montant de 144 298,5 USD
SAWABA GUINEE / MADINA CORNICHE SUD COMMUNE DE MA - Compte : 0200169000002
Bien Cordialement
 Rjiba Mohamed 
Direction Financière
 Service Comptabilité
GROUPE LA ROSE BLANCHE
TEL     : 73 211 511
POSTE: 137
Email  :mhamed.rjiba@rose-blanche.com
</t>
        </r>
      </text>
    </comment>
    <comment ref="V138" authorId="0" shapeId="0" xr:uid="{06303DAB-D269-4E9A-82EE-83A2BCBFB488}">
      <text>
        <r>
          <rPr>
            <b/>
            <sz val="9"/>
            <rFont val="Tahoma"/>
            <family val="2"/>
          </rPr>
          <t>Mohamed Rjiba:</t>
        </r>
        <r>
          <rPr>
            <sz val="9"/>
            <rFont val="Tahoma"/>
            <family val="2"/>
          </rPr>
          <t xml:space="preserve">
De : Mohamed Rjiba/Patewarda/ROSEBLANCHE
A : Mohamed Ali Boumiza/Patewarda/ROSEBLANCHE@RoseBlanche, Mourad Chtioui/Patewarda/ROSEBLANCHE@RoseBlanche
Cc : Rihab Khouaja/Patewarda/ROSEBLANCHE@RoseBlanche, MOUNIR BOUSSNINA/Patewarda/ROSEBLANCHE@RoseBlanche
Date : 12/06/2019 10:27
Objet : Virement Reçu (Swift) d un montant de 7918,75 USD
RAMMAL MAHER HASSAN - ETS SUPER / MARKETRAMMAL ( - Compte : 0200115005743
Bonjour,
Virement Reçu (Swift) d un montant de 7918,75 USD
RAMMAL MAHER HASSAN - ETS SUPER / MARKETRAMMAL ( - Compte : 0200115005743
Bien Cordialement
 Rjiba Mohamed 
Direction Financière
 Service Comptabilité
GROUPE LA ROSE BLANCHE
TEL     : 73 211 511
POSTE: 137
Email  :mhamed.rjiba@rose-blanche.com
</t>
        </r>
      </text>
    </comment>
    <comment ref="V141" authorId="0" shapeId="0" xr:uid="{7224B063-BDBE-4803-A0A0-1AC3777203F0}">
      <text>
        <r>
          <rPr>
            <b/>
            <sz val="9"/>
            <rFont val="Tahoma"/>
            <family val="2"/>
          </rPr>
          <t>Mohamed Rjiba:</t>
        </r>
        <r>
          <rPr>
            <sz val="9"/>
            <rFont val="Tahoma"/>
            <family val="2"/>
          </rPr>
          <t xml:space="preserve">
REGLEMENT TOTAL SUR AVANCE DU 87 000,00 €
DONC LE SOLDE DE 87000,00 EGALE 
34 595,040-32 415,00=2144,04 €</t>
        </r>
      </text>
    </comment>
    <comment ref="AJ169" authorId="0" shapeId="0" xr:uid="{D7D7E674-60FA-471B-91F0-ABC94D1F337B}">
      <text>
        <r>
          <rPr>
            <b/>
            <sz val="9"/>
            <rFont val="Tahoma"/>
            <family val="2"/>
          </rPr>
          <t>Mohamed Rjiba:</t>
        </r>
        <r>
          <rPr>
            <sz val="9"/>
            <rFont val="Tahoma"/>
            <family val="2"/>
          </rPr>
          <t xml:space="preserve">
3 tonne gratuit
</t>
        </r>
      </text>
    </comment>
    <comment ref="AM690" authorId="1" shapeId="0" xr:uid="{D5EEEF44-C66D-46B3-9FD1-05405ADE2BF8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40/60 : 34800 kg
100%: 16800 KG
</t>
        </r>
      </text>
    </comment>
    <comment ref="M697" authorId="1" shapeId="0" xr:uid="{03EDE781-5ACE-45A2-878C-CC9C97571A0E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 + 41 000 USD / 2 + 20 500 ESPECE (DIFFERENCE DE LA LC
</t>
        </r>
      </text>
    </comment>
    <comment ref="AM724" authorId="1" shapeId="0" xr:uid="{E53995EA-1D11-4847-BC44-2D42F9367CE9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4800 KG 100%
27 000KG (40% S - 60%F)
</t>
        </r>
      </text>
    </comment>
    <comment ref="N755" authorId="1" shapeId="0" xr:uid="{0AAC0336-5F19-4A0B-A41F-5ED17941A9A1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MQ 22 COLIS COUDE 3 + 264 KG
</t>
        </r>
      </text>
    </comment>
    <comment ref="M798" authorId="1" shapeId="0" xr:uid="{966B5751-0FE4-476E-82AC-9A2070A1BCDF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CHARGEMENT 256 COLIS PENNE BIO MQ DE LA FACTURE 2100163 / PRIX MOYEN AVC LASAGNE</t>
        </r>
      </text>
    </comment>
    <comment ref="AM805" authorId="1" shapeId="0" xr:uid="{131F6B75-6147-40C7-8C81-D6134ED4CC36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25800KG = 40/60
7200KG= 100%
</t>
        </r>
      </text>
    </comment>
    <comment ref="AM815" authorId="1" shapeId="0" xr:uid="{FA561340-435C-4F9B-A99B-D0171C4FD6DA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7680KG = 40/60
12600KG= 100%</t>
        </r>
      </text>
    </comment>
    <comment ref="AM817" authorId="1" shapeId="0" xr:uid="{BCAB9DF9-429B-46AF-899A-4686E3CDA2E7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33000KG = 40/60
5700KG= 100%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Rihab Khouaja</author>
  </authors>
  <commentList>
    <comment ref="L87" authorId="0" shapeId="0" xr:uid="{A529C2F1-3DBA-452C-B70C-53D987570264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40/60 : 34800 kg
100%: 16800 KG</t>
        </r>
      </text>
    </comment>
    <comment ref="L121" authorId="0" shapeId="0" xr:uid="{C7A94A48-DFD2-4104-A995-7538E3D07A72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4800  KG 100%
27 000KG (40% S - 60%F)
</t>
        </r>
      </text>
    </comment>
    <comment ref="L202" authorId="0" shapeId="0" xr:uid="{D5185793-2049-4B9C-86D3-52BB98A22471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25800KG = 40/60
7200KG= 100%
</t>
        </r>
      </text>
    </comment>
    <comment ref="L212" authorId="0" shapeId="0" xr:uid="{F6D6B516-7FC5-46E7-A541-22FBBA03F4A5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7680KG = 40/60
12600KG= 100%
</t>
        </r>
      </text>
    </comment>
    <comment ref="L214" authorId="0" shapeId="0" xr:uid="{E8B3A99C-CA03-4450-B11C-3783756D1A24}">
      <text>
        <r>
          <rPr>
            <b/>
            <sz val="9"/>
            <rFont val="Tahoma"/>
            <family val="2"/>
          </rPr>
          <t>Rihab Khouaja:</t>
        </r>
        <r>
          <rPr>
            <sz val="9"/>
            <rFont val="Tahoma"/>
            <family val="2"/>
          </rPr>
          <t xml:space="preserve">
33000KG = 40/60
5700KG= 100%
</t>
        </r>
      </text>
    </comment>
  </commentList>
</comments>
</file>

<file path=xl/sharedStrings.xml><?xml version="1.0" encoding="utf-8"?>
<sst xmlns="http://schemas.openxmlformats.org/spreadsheetml/2006/main" count="61712" uniqueCount="21175">
  <si>
    <t>CE0999</t>
  </si>
  <si>
    <t>A1</t>
  </si>
  <si>
    <t>COMPTANT                     @</t>
  </si>
  <si>
    <t>TND</t>
  </si>
  <si>
    <t>00000000</t>
  </si>
  <si>
    <t>00000001</t>
  </si>
  <si>
    <t>VIRE</t>
  </si>
  <si>
    <t>Colonne1</t>
  </si>
  <si>
    <t>A définir</t>
  </si>
  <si>
    <t>Colonne2</t>
  </si>
  <si>
    <t>Colonne3</t>
  </si>
  <si>
    <t>Colonne4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</si>
  <si>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</si>
  <si>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</si>
  <si>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</si>
  <si>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</si>
  <si>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</si>
  <si>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</si>
  <si>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</si>
  <si>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</si>
  <si>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</si>
  <si>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</si>
  <si>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</si>
  <si>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</si>
  <si>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</si>
  <si>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</si>
  <si>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</si>
  <si>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</si>
  <si>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</si>
  <si>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</si>
  <si>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</si>
  <si>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</si>
  <si>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</si>
  <si>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</si>
  <si>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</si>
  <si>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</si>
  <si>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</si>
  <si>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</si>
  <si>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</si>
  <si>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</si>
  <si>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</si>
  <si>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</si>
  <si>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</si>
  <si>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</si>
  <si>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</si>
  <si>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</si>
  <si>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</si>
  <si>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</si>
  <si>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</si>
  <si>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</si>
  <si>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</si>
  <si>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</si>
  <si>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</si>
  <si>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</si>
  <si>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</si>
  <si>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</si>
  <si>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</si>
  <si>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</si>
  <si>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</si>
  <si>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</si>
  <si>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</si>
  <si>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</si>
  <si>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</si>
  <si>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</si>
  <si>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</si>
  <si>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</si>
  <si>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</si>
  <si>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</si>
  <si>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</si>
  <si>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</si>
  <si>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</si>
  <si>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</si>
  <si>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</si>
  <si>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</si>
  <si>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</si>
  <si>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</si>
  <si>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</si>
  <si>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</si>
  <si>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</si>
  <si>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</si>
  <si>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</si>
  <si>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</si>
  <si>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</si>
  <si>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</si>
  <si>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</si>
  <si>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</si>
  <si>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</si>
  <si>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</si>
  <si>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</si>
  <si>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</si>
  <si>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</si>
  <si>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</si>
  <si>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</si>
  <si>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</si>
  <si>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</si>
  <si>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</si>
  <si>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</si>
  <si>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</si>
  <si>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</si>
  <si>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</si>
  <si>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</si>
  <si>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</si>
  <si>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</si>
  <si>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</si>
  <si>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</si>
  <si>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</si>
  <si>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</si>
  <si>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</si>
  <si>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</si>
  <si>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</si>
  <si>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</si>
  <si>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</si>
  <si>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</si>
  <si>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</si>
  <si>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</si>
  <si>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</si>
  <si>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</si>
  <si>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</si>
  <si>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</si>
  <si>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</si>
  <si>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</si>
  <si>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</si>
  <si>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</si>
  <si>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</si>
  <si>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</si>
  <si>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</si>
  <si>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</si>
  <si>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</si>
  <si>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</si>
  <si>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</si>
  <si>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</si>
  <si>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</si>
  <si>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</si>
  <si>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</si>
  <si>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</si>
  <si>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</si>
  <si>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</si>
  <si>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</si>
  <si>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</si>
  <si>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</si>
  <si>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</si>
  <si>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</si>
  <si>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</si>
  <si>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</si>
  <si>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</si>
  <si>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</si>
  <si>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</si>
  <si>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</si>
  <si>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</si>
  <si>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</si>
  <si>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</si>
  <si>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</si>
  <si>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</si>
  <si>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</si>
  <si>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</si>
  <si>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</si>
  <si>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</si>
  <si>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</si>
  <si>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</si>
  <si>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</si>
  <si>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</si>
  <si>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</si>
  <si>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</si>
  <si>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</si>
  <si>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</si>
  <si>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</si>
  <si>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</si>
  <si>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</si>
  <si>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</si>
  <si>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</si>
  <si>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</si>
  <si>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</si>
  <si>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</si>
  <si>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</si>
  <si>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</si>
  <si>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</si>
  <si>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</si>
  <si>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</si>
  <si>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</si>
  <si>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</si>
  <si>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</si>
  <si>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</si>
  <si>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</si>
  <si>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</si>
  <si>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</si>
  <si>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</si>
  <si>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</si>
  <si>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</si>
  <si>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</si>
  <si>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</si>
  <si>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</si>
  <si>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</si>
  <si>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</si>
  <si>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</si>
  <si>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</si>
  <si>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</si>
  <si>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</si>
  <si>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</si>
  <si>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</si>
  <si>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</si>
  <si>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</si>
  <si>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</si>
  <si>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</si>
  <si>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</si>
  <si>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</si>
  <si>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</si>
  <si>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</si>
  <si>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</si>
  <si>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</si>
  <si>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</si>
  <si>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</si>
  <si>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</si>
  <si>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</si>
  <si>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</si>
  <si>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</si>
  <si>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</si>
  <si>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</si>
  <si>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</si>
  <si>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</si>
  <si>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</si>
  <si>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</si>
  <si>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</si>
  <si>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</si>
  <si>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</si>
  <si>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</si>
  <si>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</si>
  <si>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</si>
  <si>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</si>
  <si>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</si>
  <si>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</si>
  <si>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</si>
  <si>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</si>
  <si>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</si>
  <si>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</si>
  <si>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</si>
  <si>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</si>
  <si>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</si>
  <si>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</si>
  <si>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</si>
  <si>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</si>
  <si>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</si>
  <si>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</si>
  <si>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</si>
  <si>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</si>
  <si>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</si>
  <si>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</si>
  <si>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</si>
  <si>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</si>
  <si>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</si>
  <si>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</si>
  <si>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</si>
  <si>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</si>
  <si>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</si>
  <si>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</si>
  <si>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</si>
  <si>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</si>
  <si>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</si>
  <si>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</si>
  <si>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</si>
  <si>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</si>
  <si>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</si>
  <si>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</si>
  <si>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</si>
  <si>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</si>
  <si>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</si>
  <si>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</si>
  <si>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</si>
  <si>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</si>
  <si>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</si>
  <si>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</si>
  <si>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</si>
  <si>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</si>
  <si>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</si>
  <si>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</si>
  <si>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</si>
  <si>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</si>
  <si>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</si>
  <si>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</si>
  <si>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</si>
  <si>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</si>
  <si>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</si>
  <si>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</si>
  <si>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</si>
  <si>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</si>
  <si>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</si>
  <si>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</si>
  <si>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</si>
  <si>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</si>
  <si>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</si>
  <si>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</si>
  <si>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</si>
  <si>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</si>
  <si>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</si>
  <si>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</si>
  <si>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</si>
  <si>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</si>
  <si>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</si>
  <si>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</si>
  <si>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</si>
  <si>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</si>
  <si>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</si>
  <si>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</si>
  <si>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</si>
  <si>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</si>
  <si>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</si>
  <si>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</si>
  <si>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</si>
  <si>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</si>
  <si>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</si>
  <si>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</si>
  <si>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</si>
  <si>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</si>
  <si>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</si>
  <si>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</si>
  <si>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</si>
  <si>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</si>
  <si>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</si>
  <si>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</si>
  <si>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</si>
  <si>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</si>
  <si>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</si>
  <si>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</si>
  <si>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</si>
  <si>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</si>
  <si>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</si>
  <si>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</si>
  <si>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</si>
  <si>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</si>
  <si>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</si>
  <si>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</si>
  <si>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</si>
  <si>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</si>
  <si>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</si>
  <si>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</si>
  <si>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</si>
  <si>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</si>
  <si>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</si>
  <si>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</si>
  <si>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</si>
  <si>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</si>
  <si>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</si>
  <si>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</si>
  <si>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</si>
  <si>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</si>
  <si>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</si>
  <si>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</si>
  <si>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</si>
  <si>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</si>
  <si>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</si>
  <si>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</si>
  <si>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</si>
  <si>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</si>
  <si>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</si>
  <si>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</si>
  <si>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</si>
  <si>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</si>
  <si>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</si>
  <si>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</si>
  <si>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</si>
  <si>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</si>
  <si>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</si>
  <si>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</si>
  <si>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</si>
  <si>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</si>
  <si>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</si>
  <si>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</si>
  <si>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</si>
  <si>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</si>
  <si>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</si>
  <si>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</si>
  <si>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</si>
  <si>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</si>
  <si>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</si>
  <si>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</si>
  <si>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</si>
  <si>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</si>
  <si>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</si>
  <si>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</si>
  <si>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</si>
  <si>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</si>
  <si>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</si>
  <si>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</si>
  <si>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</si>
  <si>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</si>
  <si>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</si>
  <si>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</si>
  <si>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</si>
  <si>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</si>
  <si>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</si>
  <si>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</si>
  <si>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</si>
  <si>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</si>
  <si>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</si>
  <si>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</si>
  <si>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</si>
  <si>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</si>
  <si>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</si>
  <si>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</si>
  <si>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</si>
  <si>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</si>
  <si>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</si>
  <si>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</si>
  <si>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</si>
  <si>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</si>
  <si>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</si>
  <si>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</si>
  <si>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</si>
  <si>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</si>
  <si>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</si>
  <si>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</si>
  <si>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</si>
  <si>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</si>
  <si>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</si>
  <si>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</si>
  <si>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</si>
  <si>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</si>
  <si>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</si>
  <si>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</si>
  <si>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</si>
  <si>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</si>
  <si>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</si>
  <si>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</si>
  <si>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</si>
  <si>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</si>
  <si>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</si>
  <si>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</si>
  <si>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</si>
  <si>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</si>
  <si>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</si>
  <si>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</si>
  <si>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</si>
  <si>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</si>
  <si>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</si>
  <si>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</si>
  <si>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</si>
  <si>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</si>
  <si>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</si>
  <si>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</si>
  <si>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</si>
  <si>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</si>
  <si>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</si>
  <si>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</si>
  <si>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</si>
  <si>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</si>
  <si>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</si>
  <si>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</si>
  <si>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</si>
  <si>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</si>
  <si>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</si>
  <si>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</si>
  <si>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</si>
  <si>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</si>
  <si>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</si>
  <si>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</si>
  <si>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</si>
  <si>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</si>
  <si>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</si>
  <si>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</si>
  <si>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</si>
  <si>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</si>
  <si>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</si>
  <si>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</si>
  <si>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</si>
  <si>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</si>
  <si>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</si>
  <si>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</si>
  <si>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</si>
  <si>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</si>
  <si>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</si>
  <si>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</si>
  <si>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</si>
  <si>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</si>
  <si>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</si>
  <si>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</si>
  <si>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</si>
  <si>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</si>
  <si>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</si>
  <si>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</si>
  <si>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</si>
  <si>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</si>
  <si>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</si>
  <si>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</si>
  <si>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</si>
  <si>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</si>
  <si>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</si>
  <si>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</si>
  <si>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</si>
  <si>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</si>
  <si>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</si>
  <si>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</si>
  <si>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</si>
  <si>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</si>
  <si>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</si>
  <si>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</si>
  <si>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</si>
  <si>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</si>
  <si>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</si>
  <si>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</si>
  <si>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</si>
  <si>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</si>
  <si>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</si>
  <si>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</si>
  <si>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</si>
  <si>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</si>
  <si>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</si>
  <si>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</si>
  <si>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</si>
  <si>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</si>
  <si>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</si>
  <si>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</si>
  <si>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</si>
  <si>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</si>
  <si>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</si>
  <si>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</si>
  <si>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</si>
  <si>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</si>
  <si>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</si>
  <si>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</si>
  <si>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</si>
  <si>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</si>
  <si>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</si>
  <si>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</si>
  <si>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</si>
  <si>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</si>
  <si>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</si>
  <si>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</si>
  <si>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</si>
  <si>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</si>
  <si>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</si>
  <si>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</si>
  <si>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</si>
  <si>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</si>
  <si>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</si>
  <si>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</si>
  <si>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</si>
  <si>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</si>
  <si>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</si>
  <si>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</si>
  <si>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</si>
  <si>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</si>
  <si>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</si>
  <si>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</si>
  <si>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</si>
  <si>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</si>
  <si>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</si>
  <si>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</si>
  <si>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</si>
  <si>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</si>
  <si>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</si>
  <si>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</si>
  <si>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</si>
  <si>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</si>
  <si>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</si>
  <si>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</si>
  <si>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</si>
  <si>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</si>
  <si>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</si>
  <si>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</si>
  <si>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</si>
  <si>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</si>
  <si>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</si>
  <si>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</si>
  <si>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</si>
  <si>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</si>
  <si>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</si>
  <si>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</si>
  <si>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</si>
  <si>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</si>
  <si>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</si>
  <si>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</si>
  <si>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</si>
  <si>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</si>
  <si>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</si>
  <si>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</si>
  <si>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</si>
  <si>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</si>
  <si>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</si>
  <si>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</si>
  <si>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</si>
  <si>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</si>
  <si>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</si>
  <si>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</si>
  <si>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</si>
  <si>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</si>
  <si>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</si>
  <si>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</si>
  <si>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</si>
  <si>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</si>
  <si>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</si>
  <si>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</si>
  <si>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</si>
  <si>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</si>
  <si>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</si>
  <si>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</si>
  <si>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</si>
  <si>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</si>
  <si>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</si>
  <si>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</si>
  <si>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</si>
  <si>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</si>
  <si>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</si>
  <si>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</si>
  <si>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</si>
  <si>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</si>
  <si>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</si>
  <si>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</si>
  <si>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</si>
  <si>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</si>
  <si>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</si>
  <si>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</si>
  <si>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</si>
  <si>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</si>
  <si>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</si>
  <si>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</si>
  <si>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</si>
  <si>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</si>
  <si>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</si>
  <si>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</si>
  <si>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</si>
  <si>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</si>
  <si>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</si>
  <si>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</si>
  <si>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</si>
  <si>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</si>
  <si>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</si>
  <si>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</si>
  <si>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</si>
  <si>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</si>
  <si>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</si>
  <si>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</si>
  <si>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</si>
  <si>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</si>
  <si>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</si>
  <si>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</si>
  <si>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</si>
  <si>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</si>
  <si>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</si>
  <si>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</si>
  <si>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</si>
  <si>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</si>
  <si>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</si>
  <si>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</si>
  <si>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</si>
  <si>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</si>
  <si>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</si>
  <si>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</si>
  <si>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</si>
  <si>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</si>
  <si>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</si>
  <si>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</si>
  <si>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</si>
  <si>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</si>
  <si>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</si>
  <si>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</si>
  <si>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</si>
  <si>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</si>
  <si>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</si>
  <si>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</si>
  <si>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</si>
  <si>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</si>
  <si>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</si>
  <si>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</si>
  <si>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</si>
  <si>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</si>
  <si>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</si>
  <si>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</si>
  <si>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</si>
  <si>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</si>
  <si>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</si>
  <si>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</si>
  <si>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</si>
  <si>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</si>
  <si>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</si>
  <si>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</si>
  <si>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</si>
  <si>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</si>
  <si>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</si>
  <si>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</si>
  <si>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</si>
  <si>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</si>
  <si>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</si>
  <si>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</si>
  <si>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</si>
  <si>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</si>
  <si>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</si>
  <si>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</si>
  <si>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</si>
  <si>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</si>
  <si>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</si>
  <si>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</si>
  <si>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</si>
  <si>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</si>
  <si>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</si>
  <si>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</si>
  <si>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</si>
  <si>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</si>
  <si>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</si>
  <si>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</si>
  <si>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</si>
  <si>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</si>
  <si>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</si>
  <si>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</si>
  <si>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</si>
  <si>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</si>
  <si>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</si>
  <si>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</si>
  <si>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</si>
  <si>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</si>
  <si>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</si>
  <si>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</si>
  <si>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</si>
  <si>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</si>
  <si>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</si>
  <si>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</si>
  <si>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</si>
  <si>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</si>
  <si>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</si>
  <si>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</si>
  <si>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</si>
  <si>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</si>
  <si>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</si>
  <si>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</si>
  <si>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</si>
  <si>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</si>
  <si>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</si>
  <si>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</si>
  <si>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</si>
  <si>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</si>
  <si>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</si>
  <si>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</si>
  <si>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</si>
  <si>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</si>
  <si>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</si>
  <si>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</si>
  <si>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</si>
  <si>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</si>
  <si>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</si>
  <si>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</si>
  <si>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</si>
  <si>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</si>
  <si>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</si>
  <si>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</si>
  <si>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</si>
  <si>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</si>
  <si>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</si>
  <si>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</si>
  <si>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</si>
  <si>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</si>
  <si>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</si>
  <si>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</si>
  <si>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</si>
  <si>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</si>
  <si>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</si>
  <si>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</si>
  <si>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</si>
  <si>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</si>
  <si>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</si>
  <si>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</si>
  <si>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</si>
  <si>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</si>
  <si>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</si>
  <si>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</si>
  <si>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</si>
  <si>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</si>
  <si>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</si>
  <si>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</si>
  <si>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</si>
  <si>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</si>
  <si>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</si>
  <si>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</si>
  <si>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</si>
  <si>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</si>
  <si>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</si>
  <si>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</si>
  <si>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</si>
  <si>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</si>
  <si>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</si>
  <si>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</si>
  <si>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</si>
  <si>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</si>
  <si>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</si>
  <si>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</si>
  <si>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</si>
  <si>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</si>
  <si>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</si>
  <si>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</si>
  <si>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</si>
  <si>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</si>
  <si>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</si>
  <si>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</si>
  <si>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</si>
  <si>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</si>
  <si>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</si>
  <si>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</si>
  <si>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</si>
  <si>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</si>
  <si>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</si>
  <si>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</si>
  <si>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</si>
  <si>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</si>
  <si>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</si>
  <si>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</si>
  <si>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</si>
  <si>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</si>
  <si>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</si>
  <si>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</si>
  <si>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</si>
  <si>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</si>
  <si>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</si>
  <si>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</si>
  <si>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</si>
  <si>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</si>
  <si>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</si>
  <si>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</si>
  <si>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</si>
  <si>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</si>
  <si>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</si>
  <si>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</si>
  <si>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</si>
  <si>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</si>
  <si>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</si>
  <si>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</si>
  <si>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</si>
  <si>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</si>
  <si>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</si>
  <si>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</si>
  <si>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</si>
  <si>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</si>
  <si>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</si>
  <si>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</si>
  <si>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</si>
  <si>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</si>
  <si>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</si>
  <si>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</si>
  <si>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</si>
  <si>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</si>
  <si>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</si>
  <si>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</si>
  <si>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</si>
  <si>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</si>
  <si>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</si>
  <si>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</si>
  <si>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</si>
  <si>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</si>
  <si>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</si>
  <si>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</si>
  <si>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</si>
  <si>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</si>
  <si>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</si>
  <si>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</si>
  <si>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</si>
  <si>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</si>
  <si>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</si>
  <si>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</si>
  <si>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</si>
  <si>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</si>
  <si>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</si>
  <si>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</si>
  <si>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</si>
  <si>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</si>
  <si>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</si>
  <si>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</si>
  <si>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</si>
  <si>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</si>
  <si>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</si>
  <si>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</si>
  <si>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</si>
  <si>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</si>
  <si>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</si>
  <si>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</si>
  <si>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</si>
  <si>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</si>
  <si>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</si>
  <si>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</si>
  <si>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</si>
  <si>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</si>
  <si>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</si>
  <si>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</si>
  <si>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</si>
  <si>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</si>
  <si>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</si>
  <si>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</si>
  <si>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</si>
  <si>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</si>
  <si>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</si>
  <si>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</si>
  <si>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</si>
  <si>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</si>
  <si>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</si>
  <si>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</si>
  <si>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</si>
  <si>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</si>
  <si>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</si>
  <si>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</si>
  <si>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</si>
  <si>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</si>
  <si>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</si>
  <si>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</si>
  <si>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</si>
  <si>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</si>
  <si>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</si>
  <si>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</si>
  <si>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</si>
  <si>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</si>
  <si>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</si>
  <si>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</si>
  <si>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</si>
  <si>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</si>
  <si>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</si>
  <si>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</si>
  <si>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</si>
  <si>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</si>
  <si>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</si>
  <si>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</si>
  <si>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</si>
  <si>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</si>
  <si>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</si>
  <si>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</si>
  <si>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</si>
  <si>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</si>
  <si>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</si>
  <si>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</si>
  <si>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</si>
  <si>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</si>
  <si>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</si>
  <si>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</si>
  <si>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</si>
  <si>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</si>
  <si>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</si>
  <si>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</si>
  <si>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</si>
  <si>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</si>
  <si>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</si>
  <si>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</si>
  <si>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</si>
  <si>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</si>
  <si>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</si>
  <si>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</si>
  <si>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</si>
  <si>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</si>
  <si>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</si>
  <si>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</si>
  <si>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</si>
  <si>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</si>
  <si>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</si>
  <si>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</si>
  <si>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</si>
  <si>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</si>
  <si>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</si>
  <si>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</si>
  <si>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</si>
  <si>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</si>
  <si>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</si>
  <si>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</si>
  <si>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</si>
  <si>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</si>
  <si>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</si>
  <si>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</si>
  <si>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</si>
  <si>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</si>
  <si>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</si>
  <si>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</si>
  <si>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</si>
  <si>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</si>
  <si>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</si>
  <si>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</si>
  <si>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</si>
  <si>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</si>
  <si>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</si>
  <si>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</si>
  <si>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</si>
  <si>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</si>
  <si>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</si>
  <si>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</si>
  <si>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</si>
  <si>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</si>
  <si>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</si>
  <si>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</si>
  <si>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</si>
  <si>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</si>
  <si>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</si>
  <si>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</si>
  <si>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</si>
  <si>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</si>
  <si>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</si>
  <si>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</si>
  <si>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</si>
  <si>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</si>
  <si>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</si>
  <si>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</si>
  <si>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</si>
  <si>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</si>
  <si>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</si>
  <si>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</si>
  <si>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</si>
  <si>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</si>
  <si>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</si>
  <si>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</si>
  <si>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</si>
  <si>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</si>
  <si>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</si>
  <si>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</si>
  <si>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</si>
  <si>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</si>
  <si>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</si>
  <si>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</si>
  <si>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</si>
  <si>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</si>
  <si>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</si>
  <si>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</si>
  <si>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</si>
  <si>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</si>
  <si>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</si>
  <si>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</si>
  <si>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</si>
  <si>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</si>
  <si>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</si>
  <si>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</si>
  <si>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</si>
  <si>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</si>
  <si>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</si>
  <si>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</si>
  <si>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</si>
  <si>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</si>
  <si>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</si>
  <si>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</si>
  <si>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</si>
  <si>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</si>
  <si>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</si>
  <si>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</si>
  <si>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</si>
  <si>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</si>
  <si>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</si>
  <si>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</si>
  <si>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</si>
  <si>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</si>
  <si>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</si>
  <si>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</si>
  <si>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</si>
  <si>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</si>
  <si>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</si>
  <si>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</si>
  <si>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</si>
  <si>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</si>
  <si>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</si>
  <si>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</si>
  <si>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</si>
  <si>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</si>
  <si>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</si>
  <si>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</si>
  <si>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</si>
  <si>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</si>
  <si>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</si>
  <si>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</si>
  <si>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</si>
  <si>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</si>
  <si>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</si>
  <si>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</si>
  <si>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</si>
  <si>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</si>
  <si>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</si>
  <si>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</si>
  <si>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</si>
  <si>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</si>
  <si>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</si>
  <si>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</si>
  <si>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</si>
  <si>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</si>
  <si>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</si>
  <si>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</si>
  <si>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</si>
  <si>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</si>
  <si>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</si>
  <si>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</si>
  <si>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</si>
  <si>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</si>
  <si>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</si>
  <si>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</si>
  <si>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</si>
  <si>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</si>
  <si>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</si>
  <si>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</si>
  <si>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</si>
  <si>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</si>
  <si>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</si>
  <si>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</si>
  <si>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</si>
  <si>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</si>
  <si>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</si>
  <si>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</si>
  <si>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</si>
  <si>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</si>
  <si>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</si>
  <si>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</si>
  <si>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</si>
  <si>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</si>
  <si>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</si>
  <si>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</si>
  <si>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</si>
  <si>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</si>
  <si>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</si>
  <si>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</si>
  <si>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</si>
  <si>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</si>
  <si>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</si>
  <si>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</si>
  <si>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</si>
  <si>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</si>
  <si>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</si>
  <si>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</si>
  <si>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</si>
  <si>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</si>
  <si>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</si>
  <si>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</si>
  <si>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</si>
  <si>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</si>
  <si>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</si>
  <si>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</si>
  <si>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</si>
  <si>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</si>
  <si>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</si>
  <si>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</si>
  <si>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</si>
  <si>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</si>
  <si>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</si>
  <si>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</si>
  <si>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</si>
  <si>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</si>
  <si>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</si>
  <si>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</si>
  <si>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</si>
  <si>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</si>
  <si>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</si>
  <si>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</si>
  <si>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</si>
  <si>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</si>
  <si>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</si>
  <si>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</si>
  <si>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</si>
  <si>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</si>
  <si>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</si>
  <si>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</si>
  <si>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</si>
  <si>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</si>
  <si>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</si>
  <si>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</si>
  <si>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</si>
  <si>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</si>
  <si>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</si>
  <si>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</si>
  <si>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</si>
  <si>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</si>
  <si>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</si>
  <si>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</si>
  <si>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</si>
  <si>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</si>
  <si>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</si>
  <si>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</si>
  <si>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</si>
  <si>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</si>
  <si>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</si>
  <si>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</si>
  <si>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</si>
  <si>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</si>
  <si>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</si>
  <si>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</si>
  <si>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</si>
  <si>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</si>
  <si>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</si>
  <si>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</si>
  <si>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</si>
  <si>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</si>
  <si>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</si>
  <si>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</si>
  <si>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</si>
  <si>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</si>
  <si>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</si>
  <si>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</si>
  <si>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</si>
  <si>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</si>
  <si>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</si>
  <si>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</si>
  <si>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</si>
  <si>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</si>
  <si>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</si>
  <si>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</si>
  <si>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</si>
  <si>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</si>
  <si>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</si>
  <si>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</si>
  <si>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</si>
  <si>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</si>
  <si>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</si>
  <si>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</si>
  <si>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</si>
  <si>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</si>
  <si>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</si>
  <si>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</si>
  <si>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</si>
  <si>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</si>
  <si>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</si>
  <si>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</si>
  <si>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</si>
  <si>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</si>
  <si>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</si>
  <si>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</si>
  <si>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</si>
  <si>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</si>
  <si>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</si>
  <si>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</si>
  <si>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</si>
  <si>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</si>
  <si>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</si>
  <si>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</si>
  <si>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</si>
  <si>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</si>
  <si>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</si>
  <si>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</si>
  <si>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</si>
  <si>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</si>
  <si>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</si>
  <si>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</si>
  <si>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</si>
  <si>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</si>
  <si>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</si>
  <si>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</si>
  <si>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</si>
  <si>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</si>
  <si>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</si>
  <si>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</si>
  <si>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</si>
  <si>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</si>
  <si>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</si>
  <si>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</si>
  <si>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</si>
  <si>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</si>
  <si>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</si>
  <si>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</si>
  <si>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</si>
  <si>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</si>
  <si>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</si>
  <si>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</si>
  <si>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</si>
  <si>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</si>
  <si>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</si>
  <si>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</si>
  <si>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</si>
  <si>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</si>
  <si>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</si>
  <si>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</si>
  <si>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</si>
  <si>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</si>
  <si>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</si>
  <si>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</si>
  <si>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</si>
  <si>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</si>
  <si>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</si>
  <si>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</si>
  <si>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</si>
  <si>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</si>
  <si>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</si>
  <si>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</si>
  <si>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</si>
  <si>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</si>
  <si>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</si>
  <si>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</si>
  <si>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</si>
  <si>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</si>
  <si>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</si>
  <si>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</si>
  <si>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</si>
  <si>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</si>
  <si>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</si>
  <si>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</si>
  <si>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</si>
  <si>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</si>
  <si>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</si>
  <si>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</si>
  <si>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</si>
  <si>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</si>
  <si>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</si>
  <si>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</si>
  <si>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</si>
  <si>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</si>
  <si>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</si>
  <si>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</si>
  <si>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</si>
  <si>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</si>
  <si>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</si>
  <si>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</si>
  <si>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</si>
  <si>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</si>
  <si>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</si>
  <si>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</si>
  <si>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</si>
  <si>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</si>
  <si>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</si>
  <si>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</si>
  <si>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</si>
  <si>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</si>
  <si>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</si>
  <si>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</si>
  <si>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</si>
  <si>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</si>
  <si>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</si>
  <si>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</si>
  <si>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</si>
  <si>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</si>
  <si>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</si>
  <si>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</si>
  <si>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</si>
  <si>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</si>
  <si>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</si>
  <si>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</si>
  <si>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</si>
  <si>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</si>
  <si>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</si>
  <si>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</si>
  <si>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</si>
  <si>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</si>
  <si>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</si>
  <si>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</si>
  <si>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</si>
  <si>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</si>
  <si>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</si>
  <si>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</si>
  <si>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</si>
  <si>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</si>
  <si>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</si>
  <si>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</si>
  <si>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</si>
  <si>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</si>
  <si>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</si>
  <si>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</si>
  <si>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</si>
  <si>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</si>
  <si>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</si>
  <si>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</si>
  <si>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</si>
  <si>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</si>
  <si>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</si>
  <si>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</si>
  <si>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</si>
  <si>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</si>
  <si>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</si>
  <si>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</si>
  <si>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</si>
  <si>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</si>
  <si>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</si>
  <si>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</si>
  <si>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</si>
  <si>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</si>
  <si>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</si>
  <si>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</si>
  <si>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</si>
  <si>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</si>
  <si>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</si>
  <si>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</si>
  <si>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</si>
  <si>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</si>
  <si>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</si>
  <si>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</si>
  <si>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</si>
  <si>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</si>
  <si>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</si>
  <si>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</si>
  <si>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</si>
  <si>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</si>
  <si>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</si>
  <si>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</si>
  <si>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</si>
  <si>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</si>
  <si>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</si>
  <si>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</si>
  <si>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</si>
  <si>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</si>
  <si>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</si>
  <si>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</si>
  <si>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</si>
  <si>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</si>
  <si>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</si>
  <si>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</si>
  <si>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</si>
  <si>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</si>
  <si>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</si>
  <si>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</si>
  <si>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</si>
  <si>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</si>
  <si>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</si>
  <si>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</si>
  <si>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</si>
  <si>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</si>
  <si>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</si>
  <si>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</si>
  <si>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</si>
  <si>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</si>
  <si>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</si>
  <si>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</si>
  <si>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</si>
  <si>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</si>
  <si>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</si>
  <si>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</si>
  <si>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</si>
  <si>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</si>
  <si>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</si>
  <si>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</si>
  <si>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</si>
  <si>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</si>
  <si>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</si>
  <si>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</si>
  <si>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</si>
  <si>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</si>
  <si>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</si>
  <si>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</si>
  <si>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</si>
  <si>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</si>
  <si>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</si>
  <si>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</si>
  <si>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</si>
  <si>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</si>
  <si>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</si>
  <si>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</si>
  <si>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</si>
  <si>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</si>
  <si>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</si>
  <si>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</si>
  <si>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</si>
  <si>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</si>
  <si>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</si>
  <si>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</si>
  <si>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</si>
  <si>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</si>
  <si>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</si>
  <si>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</si>
  <si>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</si>
  <si>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</si>
  <si>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</si>
  <si>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</si>
  <si>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</si>
  <si>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</si>
  <si>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</si>
  <si>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</si>
  <si>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</si>
  <si>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</si>
  <si>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</si>
  <si>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</si>
  <si>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</si>
  <si>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</si>
  <si>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</si>
  <si>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</si>
  <si>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</si>
  <si>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</si>
  <si>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</si>
  <si>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</si>
  <si>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</si>
  <si>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</si>
  <si>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</si>
  <si>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</si>
  <si>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</si>
  <si>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</si>
  <si>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</si>
  <si>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</si>
  <si>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</si>
  <si>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</si>
  <si>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</si>
  <si>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</si>
  <si>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</si>
  <si>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</si>
  <si>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</si>
  <si>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</si>
  <si>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</si>
  <si>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</si>
  <si>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</si>
  <si>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</si>
  <si>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</si>
  <si>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</si>
  <si>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</si>
  <si>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</si>
  <si>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</si>
  <si>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</si>
  <si>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</si>
  <si>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</si>
  <si>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</si>
  <si>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</si>
  <si>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</si>
  <si>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</si>
  <si>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</si>
  <si>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</si>
  <si>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</si>
  <si>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</si>
  <si>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</si>
  <si>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</si>
  <si>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</si>
  <si>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</si>
  <si>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</si>
  <si>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</si>
  <si>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</si>
  <si>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</si>
  <si>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</si>
  <si>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</si>
  <si>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</si>
  <si>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</si>
  <si>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</si>
  <si>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</si>
  <si>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</si>
  <si>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</si>
  <si>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</si>
  <si>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</si>
  <si>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</si>
  <si>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</si>
  <si>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</si>
  <si>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</si>
  <si>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</si>
  <si>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</si>
  <si>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</si>
  <si>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</si>
  <si>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</si>
  <si>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</si>
  <si>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</si>
  <si>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</si>
  <si>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</si>
  <si>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</si>
  <si>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</si>
  <si>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</si>
  <si>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</si>
  <si>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</si>
  <si>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</si>
  <si>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</si>
  <si>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</si>
  <si>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</si>
  <si>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</si>
  <si>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</si>
  <si>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</si>
  <si>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</si>
  <si>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</si>
  <si>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</si>
  <si>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</si>
  <si>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</si>
  <si>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</si>
  <si>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</si>
  <si>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</si>
  <si>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</si>
  <si>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</si>
  <si>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</si>
  <si>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</si>
  <si>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</si>
  <si>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</si>
  <si>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</si>
  <si>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</si>
  <si>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</si>
  <si>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</si>
  <si>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</si>
  <si>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</si>
  <si>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</si>
  <si>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</si>
  <si>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</si>
  <si>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</si>
  <si>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</si>
  <si>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</si>
  <si>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</si>
  <si>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</si>
  <si>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</si>
  <si>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</si>
  <si>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</si>
  <si>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</si>
  <si>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</si>
  <si>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</si>
  <si>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</si>
  <si>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</si>
  <si>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</si>
  <si>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</si>
  <si>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</si>
  <si>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</si>
  <si>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</si>
  <si>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</si>
  <si>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</si>
  <si>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</si>
  <si>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</si>
  <si>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</si>
  <si>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</si>
  <si>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</si>
  <si>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</si>
  <si>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</si>
  <si>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</si>
  <si>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</si>
  <si>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</si>
  <si>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</si>
  <si>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</si>
  <si>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</si>
  <si>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</si>
  <si>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</si>
  <si>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</si>
  <si>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</si>
  <si>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</si>
  <si>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</si>
  <si>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</si>
  <si>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</si>
  <si>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</si>
  <si>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</si>
  <si>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</si>
  <si>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</si>
  <si>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</si>
  <si>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</si>
  <si>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</si>
  <si>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</si>
  <si>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</si>
  <si>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</si>
  <si>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</si>
  <si>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</si>
  <si>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</si>
  <si>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</si>
  <si>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</si>
  <si>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</si>
  <si>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</si>
  <si>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</si>
  <si>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</si>
  <si>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</si>
  <si>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</si>
  <si>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</si>
  <si>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</si>
  <si>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</si>
  <si>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</si>
  <si>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</si>
  <si>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</si>
  <si>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</si>
  <si>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</si>
  <si>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</si>
  <si>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</si>
  <si>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</si>
  <si>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</si>
  <si>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</si>
  <si>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</si>
  <si>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</si>
  <si>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</si>
  <si>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</si>
  <si>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</si>
  <si>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</si>
  <si>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</si>
  <si>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</si>
  <si>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</si>
  <si>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</si>
  <si>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</si>
  <si>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</si>
  <si>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</si>
  <si>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</si>
  <si>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</si>
  <si>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</si>
  <si>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</si>
  <si>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</si>
  <si>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</si>
  <si>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</si>
  <si>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</si>
  <si>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</si>
  <si>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</si>
  <si>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</si>
  <si>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</si>
  <si>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</si>
  <si>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</si>
  <si>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</si>
  <si>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</si>
  <si>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</si>
  <si>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</si>
  <si>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</si>
  <si>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</si>
  <si>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</si>
  <si>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</si>
  <si>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</si>
  <si>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</si>
  <si>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</si>
  <si>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</si>
  <si>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</si>
  <si>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</si>
  <si>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</si>
  <si>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</si>
  <si>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</si>
  <si>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</si>
  <si>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</si>
  <si>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</si>
  <si>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</si>
  <si>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</si>
  <si>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</si>
  <si>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</si>
  <si>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</si>
  <si>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</si>
  <si>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</si>
  <si>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</si>
  <si>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</si>
  <si>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</si>
  <si>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</si>
  <si>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</si>
  <si>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</si>
  <si>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</si>
  <si>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</si>
  <si>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</si>
  <si>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</si>
  <si>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</si>
  <si>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</si>
  <si>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</si>
  <si>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</si>
  <si>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</si>
  <si>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</si>
  <si>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</si>
  <si>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</si>
  <si>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</si>
  <si>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</si>
  <si>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</si>
  <si>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</si>
  <si>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</si>
  <si>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</si>
  <si>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</si>
  <si>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</si>
  <si>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</si>
  <si>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</si>
  <si>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</si>
  <si>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</si>
  <si>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</si>
  <si>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</si>
  <si>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</si>
  <si>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</si>
  <si>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</si>
  <si>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</si>
  <si>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</si>
  <si>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</si>
  <si>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</si>
  <si>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</si>
  <si>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</si>
  <si>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</si>
  <si>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</si>
  <si>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</si>
  <si>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</si>
  <si>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</si>
  <si>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</si>
  <si>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</si>
  <si>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</si>
  <si>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</si>
  <si>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</si>
  <si>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</si>
  <si>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</si>
  <si>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</si>
  <si>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</si>
  <si>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</si>
  <si>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</si>
  <si>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</si>
  <si>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</si>
  <si>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</si>
  <si>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</si>
  <si>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</si>
  <si>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</si>
  <si>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</si>
  <si>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</si>
  <si>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</si>
  <si>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</si>
  <si>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</si>
  <si>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</si>
  <si>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</si>
  <si>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</si>
  <si>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</si>
  <si>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</si>
  <si>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</si>
  <si>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</si>
  <si>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</si>
  <si>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</si>
  <si>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</si>
  <si>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</si>
  <si>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</si>
  <si>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</si>
  <si>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</si>
  <si>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</si>
  <si>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</si>
  <si>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</si>
  <si>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</si>
  <si>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</si>
  <si>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</si>
  <si>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</si>
  <si>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</si>
  <si>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</si>
  <si>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</si>
  <si>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</si>
  <si>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</si>
  <si>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</si>
  <si>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</si>
  <si>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</si>
  <si>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</si>
  <si>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</si>
  <si>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</si>
  <si>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</si>
  <si>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</si>
  <si>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</si>
  <si>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</si>
  <si>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</si>
  <si>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</si>
  <si>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</si>
  <si>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</si>
  <si>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</si>
  <si>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</si>
  <si>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</si>
  <si>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</si>
  <si>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</si>
  <si>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</si>
  <si>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</si>
  <si>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</si>
  <si>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</si>
  <si>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</si>
  <si>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</si>
  <si>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</si>
  <si>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</si>
  <si>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</si>
  <si>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</si>
  <si>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</si>
  <si>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</si>
  <si>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</si>
  <si>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</si>
  <si>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</si>
  <si>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</si>
  <si>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</si>
  <si>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</si>
  <si>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</si>
  <si>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</si>
  <si>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</si>
  <si>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</si>
  <si>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</si>
  <si>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</si>
  <si>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</si>
  <si>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</si>
  <si>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</si>
  <si>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</si>
  <si>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</si>
  <si>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</si>
  <si>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</si>
  <si>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</si>
  <si>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</si>
  <si>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</si>
  <si>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</si>
  <si>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</si>
  <si>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</si>
  <si>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</si>
  <si>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</si>
  <si>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</si>
  <si>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</si>
  <si>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</si>
  <si>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</si>
  <si>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</si>
  <si>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</si>
  <si>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</si>
  <si>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</si>
  <si>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</si>
  <si>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</si>
  <si>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</si>
  <si>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</si>
  <si>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</si>
  <si>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</si>
  <si>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</si>
  <si>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</si>
  <si>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</si>
  <si>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</si>
  <si>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</si>
  <si>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</si>
  <si>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</si>
  <si>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</si>
  <si>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</si>
  <si>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</si>
  <si>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</si>
  <si>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</si>
  <si>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</si>
  <si>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</si>
  <si>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</si>
  <si>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</si>
  <si>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</si>
  <si>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</si>
  <si>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</si>
  <si>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</si>
  <si>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</si>
  <si>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</si>
  <si>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</si>
  <si>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</si>
  <si>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</si>
  <si>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</si>
  <si>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</si>
  <si>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</si>
  <si>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</si>
  <si>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</si>
  <si>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</si>
  <si>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</si>
  <si>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</si>
  <si>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</si>
  <si>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</si>
  <si>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</si>
  <si>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</si>
  <si>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</si>
  <si>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</si>
  <si>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</si>
  <si>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</si>
  <si>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</si>
  <si>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</si>
  <si>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</si>
  <si>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</si>
  <si>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</si>
  <si>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</si>
  <si>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</si>
  <si>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</si>
  <si>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</si>
  <si>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</si>
  <si>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</si>
  <si>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</si>
  <si>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</si>
  <si>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</si>
  <si>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</si>
  <si>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</si>
  <si>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</si>
  <si>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</si>
  <si>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</si>
  <si>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</si>
  <si>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</si>
  <si>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</si>
  <si>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</si>
  <si>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</si>
  <si>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</si>
  <si>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</si>
  <si>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</si>
  <si>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</si>
  <si>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</si>
  <si>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</si>
  <si>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</si>
  <si>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</si>
  <si>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</si>
  <si>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</si>
  <si>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</si>
  <si>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</si>
  <si>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</si>
  <si>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</si>
  <si>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</si>
  <si>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</si>
  <si>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</si>
  <si>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</si>
  <si>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</si>
  <si>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</si>
  <si>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</si>
  <si>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</si>
  <si>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</si>
  <si>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</si>
  <si>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</si>
  <si>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</si>
  <si>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</si>
  <si>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</si>
  <si>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</si>
  <si>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</si>
  <si>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</si>
  <si>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</si>
  <si>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</si>
  <si>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</si>
  <si>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</si>
  <si>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</si>
  <si>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</si>
  <si>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</si>
  <si>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</si>
  <si>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</si>
  <si>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</si>
  <si>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</si>
  <si>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</si>
  <si>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</si>
  <si>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</si>
  <si>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</si>
  <si>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</si>
  <si>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</si>
  <si>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</si>
  <si>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</si>
  <si>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</si>
  <si>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</si>
  <si>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</si>
  <si>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</si>
  <si>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</si>
  <si>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</si>
  <si>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</si>
  <si>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</si>
  <si>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</si>
  <si>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</si>
  <si>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</si>
  <si>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</si>
  <si>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</si>
  <si>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</si>
  <si>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</si>
  <si>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</si>
  <si>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</si>
  <si>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</si>
  <si>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</si>
  <si>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</si>
  <si>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</si>
  <si>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</si>
  <si>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</si>
  <si>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</si>
  <si>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</si>
  <si>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</si>
  <si>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</si>
  <si>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</si>
  <si>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</si>
  <si>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</si>
  <si>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</si>
  <si>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</si>
  <si>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</si>
  <si>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</si>
  <si>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</si>
  <si>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</si>
  <si>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</si>
  <si>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</si>
  <si>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</si>
  <si>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</si>
  <si>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</si>
  <si>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</si>
  <si>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</si>
  <si>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</si>
  <si>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</si>
  <si>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</si>
  <si>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</si>
  <si>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</si>
  <si>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</si>
  <si>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</si>
  <si>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</si>
  <si>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</si>
  <si>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</si>
  <si>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</si>
  <si>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</si>
  <si>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</si>
  <si>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</si>
  <si>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</si>
  <si>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</si>
  <si>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</si>
  <si>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</si>
  <si>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</si>
  <si>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</si>
  <si>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</si>
  <si>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</si>
  <si>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</si>
  <si>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</si>
  <si>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</si>
  <si>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</si>
  <si>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</si>
  <si>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</si>
  <si>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</si>
  <si>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</si>
  <si>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</si>
  <si>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</si>
  <si>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</si>
  <si>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</si>
  <si>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</si>
  <si>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</si>
  <si>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</si>
  <si>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</si>
  <si>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</si>
  <si>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</si>
  <si>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</si>
  <si>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</si>
  <si>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</si>
  <si>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</si>
  <si>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</si>
  <si>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</si>
  <si>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</si>
  <si>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</si>
  <si>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</si>
  <si>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</si>
  <si>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</si>
  <si>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</si>
  <si>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</si>
  <si>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</si>
  <si>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</si>
  <si>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</si>
  <si>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</si>
  <si>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</si>
  <si>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</si>
  <si>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</si>
  <si>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</si>
  <si>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</si>
  <si>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</si>
  <si>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</si>
  <si>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</si>
  <si>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</si>
  <si>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</si>
  <si>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</si>
  <si>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</si>
  <si>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</si>
  <si>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</si>
  <si>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</si>
  <si>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</si>
  <si>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</si>
  <si>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</si>
  <si>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</si>
  <si>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</si>
  <si>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</si>
  <si>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</si>
  <si>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</si>
  <si>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</si>
  <si>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</si>
  <si>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</si>
  <si>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</si>
  <si>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</si>
  <si>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</si>
  <si>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</si>
  <si>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</si>
  <si>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</si>
  <si>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</si>
  <si>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</si>
  <si>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</si>
  <si>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</si>
  <si>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</si>
  <si>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</si>
  <si>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</si>
  <si>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</si>
  <si>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</si>
  <si>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</si>
  <si>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</si>
  <si>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</si>
  <si>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</si>
  <si>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</si>
  <si>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</si>
  <si>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</si>
  <si>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</si>
  <si>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</si>
  <si>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</si>
  <si>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</si>
  <si>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</si>
  <si>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</si>
  <si>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</si>
  <si>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</si>
  <si>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</si>
  <si>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</si>
  <si>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</si>
  <si>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</si>
  <si>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</si>
  <si>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</si>
  <si>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</si>
  <si>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</si>
  <si>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</si>
  <si>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</si>
  <si>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</si>
  <si>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</si>
  <si>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</si>
  <si>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</si>
  <si>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</si>
  <si>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</si>
  <si>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</si>
  <si>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</si>
  <si>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</si>
  <si>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</si>
  <si>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</si>
  <si>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</si>
  <si>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</si>
  <si>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</si>
  <si>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</si>
  <si>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</si>
  <si>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</si>
  <si>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</si>
  <si>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</si>
  <si>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</si>
  <si>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</si>
  <si>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</si>
  <si>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</si>
  <si>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</si>
  <si>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</si>
  <si>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</si>
  <si>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</si>
  <si>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</si>
  <si>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</si>
  <si>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</si>
  <si>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</si>
  <si>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</si>
  <si>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</si>
  <si>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</si>
  <si>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</si>
  <si>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</si>
  <si>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</si>
  <si>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</si>
  <si>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</si>
  <si>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</si>
  <si>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</si>
  <si>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</si>
  <si>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</si>
  <si>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</si>
  <si>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</si>
  <si>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</si>
  <si>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</si>
  <si>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</si>
  <si>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</si>
  <si>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</si>
  <si>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</si>
  <si>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</si>
  <si>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</si>
  <si>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</si>
  <si>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</si>
  <si>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</si>
  <si>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</si>
  <si>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</si>
  <si>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</si>
  <si>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</si>
  <si>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</si>
  <si>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</si>
  <si>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</si>
  <si>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</si>
  <si>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</si>
  <si>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</si>
  <si>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</si>
  <si>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</si>
  <si>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</si>
  <si>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</si>
  <si>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</si>
  <si>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</si>
  <si>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</si>
  <si>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</si>
  <si>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</si>
  <si>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</si>
  <si>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</si>
  <si>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</si>
  <si>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</si>
  <si>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</si>
  <si>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</si>
  <si>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</si>
  <si>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</si>
  <si>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</si>
  <si>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</si>
  <si>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</si>
  <si>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</si>
  <si>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</si>
  <si>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</si>
  <si>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</si>
  <si>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</si>
  <si>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</si>
  <si>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</si>
  <si>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</si>
  <si>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</si>
  <si>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</si>
  <si>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</si>
  <si>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</si>
  <si>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</si>
  <si>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</si>
  <si>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</si>
  <si>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</si>
  <si>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</si>
  <si>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</si>
  <si>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</si>
  <si>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</si>
  <si>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</si>
  <si>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</si>
  <si>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</si>
  <si>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</si>
  <si>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</si>
  <si>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</si>
  <si>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</si>
  <si>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</si>
  <si>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</si>
  <si>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</si>
  <si>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</si>
  <si>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</si>
  <si>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</si>
  <si>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</si>
  <si>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</si>
  <si>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</si>
  <si>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</si>
  <si>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</si>
  <si>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</si>
  <si>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</si>
  <si>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</si>
  <si>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</si>
  <si>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</si>
  <si>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</si>
  <si>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</si>
  <si>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</si>
  <si>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</si>
  <si>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</si>
  <si>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</si>
  <si>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</si>
  <si>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</si>
  <si>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</si>
  <si>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</si>
  <si>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</si>
  <si>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</si>
  <si>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</si>
  <si>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</si>
  <si>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</si>
  <si>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</si>
  <si>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</si>
  <si>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</si>
  <si>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</si>
  <si>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</si>
  <si>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</si>
  <si>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</si>
  <si>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</si>
  <si>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</si>
  <si>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</si>
  <si>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</si>
  <si>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</si>
  <si>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</si>
  <si>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</si>
  <si>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</si>
  <si>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</si>
  <si>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</si>
  <si>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</si>
  <si>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</si>
  <si>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</si>
  <si>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</si>
  <si>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</si>
  <si>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</si>
  <si>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</si>
  <si>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</si>
  <si>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</si>
  <si>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</si>
  <si>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</si>
  <si>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</si>
  <si>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</si>
  <si>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</si>
  <si>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</si>
  <si>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</si>
  <si>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</si>
  <si>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</si>
  <si>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</si>
  <si>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</si>
  <si>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</si>
  <si>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</si>
  <si>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</si>
  <si>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</si>
  <si>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</si>
  <si>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</si>
  <si>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</si>
  <si>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</si>
  <si>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</si>
  <si>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</si>
  <si>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</si>
  <si>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</si>
  <si>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</si>
  <si>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</si>
  <si>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</si>
  <si>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</si>
  <si>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</si>
  <si>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</si>
  <si>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</si>
  <si>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</si>
  <si>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</si>
  <si>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</si>
  <si>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</si>
  <si>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</si>
  <si>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</si>
  <si>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</si>
  <si>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</si>
  <si>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</si>
  <si>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</si>
  <si>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</si>
  <si>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</si>
  <si>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</si>
  <si>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</si>
  <si>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</si>
  <si>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</si>
  <si>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</si>
  <si>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</si>
  <si>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</si>
  <si>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</si>
  <si>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</si>
  <si>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</si>
  <si>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</si>
  <si>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</si>
  <si>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</si>
  <si>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</si>
  <si>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</si>
  <si>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</si>
  <si>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</si>
  <si>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</si>
  <si>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</si>
  <si>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</si>
  <si>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</si>
  <si>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</si>
  <si>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</si>
  <si>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</si>
  <si>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</si>
  <si>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</si>
  <si>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</si>
  <si>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</si>
  <si>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</si>
  <si>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</si>
  <si>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</si>
  <si>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</si>
  <si>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</si>
  <si>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</si>
  <si>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</si>
  <si>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</si>
  <si>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</si>
  <si>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</si>
  <si>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</si>
  <si>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</si>
  <si>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</si>
  <si>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</si>
  <si>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</si>
  <si>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</si>
  <si>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</si>
  <si>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</si>
  <si>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</si>
  <si>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</si>
  <si>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</si>
  <si>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</si>
  <si>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</si>
  <si>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</si>
  <si>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</si>
  <si>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</si>
  <si>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</si>
  <si>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</si>
  <si>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</si>
  <si>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</si>
  <si>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</si>
  <si>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</si>
  <si>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</si>
  <si>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</si>
  <si>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</si>
  <si>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</si>
  <si>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</si>
  <si>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</si>
  <si>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</si>
  <si>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</si>
  <si>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</si>
  <si>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</si>
  <si>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</si>
  <si>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</si>
  <si>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</si>
  <si>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</si>
  <si>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</si>
  <si>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</si>
  <si>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</si>
  <si>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</si>
  <si>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</si>
  <si>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</si>
  <si>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</si>
  <si>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</si>
  <si>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</si>
  <si>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</si>
  <si>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</si>
  <si>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</si>
  <si>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</si>
  <si>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</si>
  <si>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</si>
  <si>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</si>
  <si>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</si>
  <si>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</si>
  <si>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</si>
  <si>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</si>
  <si>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</si>
  <si>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</si>
  <si>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</si>
  <si>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</si>
  <si>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</si>
  <si>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</si>
  <si>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</si>
  <si>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</si>
  <si>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</si>
  <si>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</si>
  <si>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</si>
  <si>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</si>
  <si>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</si>
  <si>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</si>
  <si>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</si>
  <si>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</si>
  <si>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</si>
  <si>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</si>
  <si>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</si>
  <si>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</si>
  <si>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</si>
  <si>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</si>
  <si>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</si>
  <si>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</si>
  <si>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</si>
  <si>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</si>
  <si>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</si>
  <si>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</si>
  <si>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</si>
  <si>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</si>
  <si>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</si>
  <si>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</si>
  <si>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</si>
  <si>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</si>
  <si>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</si>
  <si>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</si>
  <si>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</si>
  <si>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</si>
  <si>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</si>
  <si>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</si>
  <si>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</si>
  <si>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</si>
  <si>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</si>
  <si>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</si>
  <si>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</si>
  <si>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</si>
  <si>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</si>
  <si>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</si>
  <si>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</si>
  <si>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</si>
  <si>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</si>
  <si>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</si>
  <si>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</si>
  <si>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</si>
  <si>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</si>
  <si>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</si>
  <si>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</si>
  <si>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</si>
  <si>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</si>
  <si>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</si>
  <si>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</si>
  <si>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</si>
  <si>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</si>
  <si>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</si>
  <si>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</si>
  <si>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</si>
  <si>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</si>
  <si>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</si>
  <si>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</si>
  <si>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</si>
  <si>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</si>
  <si>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</si>
  <si>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</si>
  <si>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</si>
  <si>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</si>
  <si>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</si>
  <si>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</si>
  <si>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</si>
  <si>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</si>
  <si>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</si>
  <si>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</si>
  <si>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</si>
  <si>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</si>
  <si>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</si>
  <si>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</si>
  <si>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</si>
  <si>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</si>
  <si>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</si>
  <si>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</si>
  <si>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</si>
  <si>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</si>
  <si>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</si>
  <si>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</si>
  <si>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</si>
  <si>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</si>
  <si>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</si>
  <si>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</si>
  <si>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</si>
  <si>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</si>
  <si>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</si>
  <si>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</si>
  <si>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</si>
  <si>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</si>
  <si>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</si>
  <si>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</si>
  <si>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</si>
  <si>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</si>
  <si>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</si>
  <si>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</si>
  <si>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</si>
  <si>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</si>
  <si>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</si>
  <si>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</si>
  <si>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</si>
  <si>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</si>
  <si>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</si>
  <si>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</si>
  <si>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</si>
  <si>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</si>
  <si>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</si>
  <si>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</si>
  <si>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</si>
  <si>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</si>
  <si>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</si>
  <si>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</si>
  <si>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</si>
  <si>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</si>
  <si>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</si>
  <si>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</si>
  <si>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</si>
  <si>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</si>
  <si>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</si>
  <si>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</si>
  <si>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</si>
  <si>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</si>
  <si>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</si>
  <si>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</si>
  <si>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</si>
  <si>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</si>
  <si>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</si>
  <si>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</si>
  <si>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</si>
  <si>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</si>
  <si>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</si>
  <si>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</si>
  <si>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</si>
  <si>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</si>
  <si>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</si>
  <si>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</si>
  <si>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</si>
  <si>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</si>
  <si>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</si>
  <si>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</si>
  <si>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</si>
  <si>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</si>
  <si>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</si>
  <si>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</si>
  <si>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</si>
  <si>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</si>
  <si>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</si>
  <si>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</si>
  <si>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</si>
  <si>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</si>
  <si>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</si>
  <si>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</si>
  <si>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</si>
  <si>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</si>
  <si>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</si>
  <si>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</si>
  <si>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</si>
  <si>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</si>
  <si>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</si>
  <si>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</si>
  <si>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</si>
  <si>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</si>
  <si>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</si>
  <si>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</si>
  <si>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</si>
  <si>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</si>
  <si>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</si>
  <si>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</si>
  <si>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</si>
  <si>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</si>
  <si>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</si>
  <si>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</si>
  <si>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</si>
  <si>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</si>
  <si>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</si>
  <si>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</si>
  <si>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</si>
  <si>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</si>
  <si>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</si>
  <si>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</si>
  <si>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</si>
  <si>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</si>
  <si>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</si>
  <si>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</si>
  <si>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</si>
  <si>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</si>
  <si>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</si>
  <si>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</si>
  <si>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</si>
  <si>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</si>
  <si>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</si>
  <si>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</si>
  <si>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</si>
  <si>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</si>
  <si>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</si>
  <si>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</si>
  <si>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</si>
  <si>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</si>
  <si>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</si>
  <si>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</si>
  <si>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</si>
  <si>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</si>
  <si>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</si>
  <si>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</si>
  <si>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</si>
  <si>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</si>
  <si>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</si>
  <si>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</si>
  <si>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</si>
  <si>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</si>
  <si>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</si>
  <si>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</si>
  <si>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</si>
  <si>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</si>
  <si>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</si>
  <si>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</si>
  <si>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</si>
  <si>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</si>
  <si>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</si>
  <si>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</si>
  <si>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</si>
  <si>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</si>
  <si>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</si>
  <si>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</si>
  <si>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</si>
  <si>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</si>
  <si>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</si>
  <si>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</si>
  <si>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</si>
  <si>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</si>
  <si>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</si>
  <si>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</si>
  <si>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</si>
  <si>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</si>
  <si>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</si>
  <si>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</si>
  <si>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</si>
  <si>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</si>
  <si>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</si>
  <si>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</si>
  <si>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</si>
  <si>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</si>
  <si>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</si>
  <si>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</si>
  <si>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</si>
  <si>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</si>
  <si>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</si>
  <si>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</si>
  <si>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</si>
  <si>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</si>
  <si>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</si>
  <si>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</si>
  <si>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</si>
  <si>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</si>
  <si>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</si>
  <si>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</si>
  <si>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</si>
  <si>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</si>
  <si>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</si>
  <si>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</si>
  <si>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</si>
  <si>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</si>
  <si>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</si>
  <si>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</si>
  <si>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</si>
  <si>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</si>
  <si>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</si>
  <si>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</si>
  <si>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</si>
  <si>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</si>
  <si>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</si>
  <si>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</si>
  <si>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</si>
  <si>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</si>
  <si>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</si>
  <si>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</si>
  <si>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</si>
  <si>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</si>
  <si>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</si>
  <si>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</si>
  <si>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</si>
  <si>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</si>
  <si>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</si>
  <si>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</si>
  <si>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</si>
  <si>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</si>
  <si>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</si>
  <si>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</si>
  <si>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</si>
  <si>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</si>
  <si>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</si>
  <si>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</si>
  <si>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</si>
  <si>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</si>
  <si>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</si>
  <si>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</si>
  <si>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</si>
  <si>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</si>
  <si>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</si>
  <si>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</si>
  <si>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</si>
  <si>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</si>
  <si>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</si>
  <si>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</si>
  <si>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</si>
  <si>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</si>
  <si>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</si>
  <si>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</si>
  <si>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</si>
  <si>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</si>
  <si>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</si>
  <si>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</si>
  <si>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</si>
  <si>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</si>
  <si>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</si>
  <si>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</si>
  <si>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</si>
  <si>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</si>
  <si>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</si>
  <si>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</si>
  <si>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</si>
  <si>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</si>
  <si>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</si>
  <si>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</si>
  <si>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</si>
  <si>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</si>
  <si>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</si>
  <si>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</si>
  <si>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</si>
  <si>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</si>
  <si>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</si>
  <si>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</si>
  <si>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</si>
  <si>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</si>
  <si>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</si>
  <si>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</si>
  <si>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</si>
  <si>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</si>
  <si>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</si>
  <si>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</si>
  <si>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</si>
  <si>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</si>
  <si>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</si>
  <si>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</si>
  <si>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</si>
  <si>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</si>
  <si>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</si>
  <si>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</si>
  <si>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</si>
  <si>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</si>
  <si>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</si>
  <si>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</si>
  <si>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</si>
  <si>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</si>
  <si>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</si>
  <si>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</si>
  <si>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</si>
  <si>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</si>
  <si>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</si>
  <si>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</si>
  <si>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</si>
  <si>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</si>
  <si>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</si>
  <si>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</si>
  <si>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</si>
  <si>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</si>
  <si>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</si>
  <si>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</si>
  <si>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</si>
  <si>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</si>
  <si>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</si>
  <si>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</si>
  <si>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</si>
  <si>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</si>
  <si>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</si>
  <si>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</si>
  <si>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</si>
  <si>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</si>
  <si>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</si>
  <si>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</si>
  <si>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</si>
  <si>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</si>
  <si>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</si>
  <si>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</si>
  <si>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</si>
  <si>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</si>
  <si>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</si>
  <si>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</si>
  <si>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</si>
  <si>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</si>
  <si>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</si>
  <si>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</si>
  <si>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</si>
  <si>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</si>
  <si>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</si>
  <si>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</si>
  <si>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</si>
  <si>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</si>
  <si>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</si>
  <si>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</si>
  <si>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</si>
  <si>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</si>
  <si>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</si>
  <si>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</si>
  <si>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</si>
  <si>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</si>
  <si>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</si>
  <si>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</si>
  <si>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</si>
  <si>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</si>
  <si>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</si>
  <si>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</si>
  <si>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</si>
  <si>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</si>
  <si>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</si>
  <si>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</si>
  <si>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</si>
  <si>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</si>
  <si>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</si>
  <si>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</si>
  <si>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</si>
  <si>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</si>
  <si>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</si>
  <si>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</si>
  <si>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</si>
  <si>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</si>
  <si>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</si>
  <si>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</si>
  <si>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</si>
  <si>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</si>
  <si>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</si>
  <si>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</si>
  <si>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</si>
  <si>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</si>
  <si>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</si>
  <si>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</si>
  <si>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</si>
  <si>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</si>
  <si>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</si>
  <si>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</si>
  <si>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</si>
  <si>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</si>
  <si>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</si>
  <si>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</si>
  <si>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</si>
  <si>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</si>
  <si>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</si>
  <si>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</si>
  <si>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</si>
  <si>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</si>
  <si>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</si>
  <si>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</si>
  <si>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</si>
  <si>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</si>
  <si>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</si>
  <si>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</si>
  <si>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</si>
  <si>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</si>
  <si>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</si>
  <si>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</si>
  <si>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</si>
  <si>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</si>
  <si>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</si>
  <si>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</si>
  <si>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</si>
  <si>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</si>
  <si>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</si>
  <si>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</si>
  <si>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</si>
  <si>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</si>
  <si>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</si>
  <si>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</si>
  <si>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</si>
  <si>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</si>
  <si>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</si>
  <si>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</si>
  <si>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</si>
  <si>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</si>
  <si>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</si>
  <si>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</si>
  <si>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</si>
  <si>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</si>
  <si>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</si>
  <si>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</si>
  <si>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</si>
  <si>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</si>
  <si>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</si>
  <si>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</si>
  <si>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</si>
  <si>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</si>
  <si>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</si>
  <si>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</si>
  <si>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</si>
  <si>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</si>
  <si>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</si>
  <si>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</si>
  <si>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</si>
  <si>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</si>
  <si>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</si>
  <si>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</si>
  <si>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</si>
  <si>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</si>
  <si>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</si>
  <si>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</si>
  <si>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</si>
  <si>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</si>
  <si>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</si>
  <si>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</si>
  <si>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</si>
  <si>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</si>
  <si>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</si>
  <si>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</si>
  <si>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</si>
  <si>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</si>
  <si>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</si>
  <si>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</si>
  <si>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</si>
  <si>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</si>
  <si>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</si>
  <si>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</si>
  <si>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</si>
  <si>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</si>
  <si>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</si>
  <si>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</si>
  <si>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</si>
  <si>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</si>
  <si>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</si>
  <si>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</si>
  <si>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</si>
  <si>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</si>
  <si>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</si>
  <si>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</si>
  <si>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</si>
  <si>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</si>
  <si>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</si>
  <si>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</si>
  <si>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</si>
  <si>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</si>
  <si>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</si>
  <si>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</si>
  <si>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</si>
  <si>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</si>
  <si>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</si>
  <si>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</si>
  <si>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</si>
  <si>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</si>
  <si>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</si>
  <si>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</si>
  <si>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</si>
  <si>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</si>
  <si>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</si>
  <si>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</si>
  <si>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</si>
  <si>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</si>
  <si>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</si>
  <si>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</si>
  <si>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</si>
  <si>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</si>
  <si>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</si>
  <si>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</si>
  <si>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</si>
  <si>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</si>
  <si>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</si>
  <si>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</si>
  <si>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</si>
  <si>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</si>
  <si>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</si>
  <si>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</si>
  <si>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</si>
  <si>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</si>
  <si>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</si>
  <si>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</si>
  <si>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</si>
  <si>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</si>
  <si>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</si>
  <si>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</si>
  <si>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</si>
  <si>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</si>
  <si>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</si>
  <si>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</si>
  <si>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</si>
  <si>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</si>
  <si>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</si>
  <si>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</si>
  <si>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</si>
  <si>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</si>
  <si>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</si>
  <si>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</si>
  <si>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</si>
  <si>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</si>
  <si>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</si>
  <si>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</si>
  <si>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</si>
  <si>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</si>
  <si>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</si>
  <si>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</si>
  <si>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</si>
  <si>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</si>
  <si>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</si>
  <si>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</si>
  <si>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</si>
  <si>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</si>
  <si>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</si>
  <si>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</si>
  <si>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</si>
  <si>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</si>
  <si>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</si>
  <si>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</si>
  <si>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</si>
  <si>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</si>
  <si>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</si>
  <si>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</si>
  <si>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</si>
  <si>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</si>
  <si>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</si>
  <si>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</si>
  <si>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</si>
  <si>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</si>
  <si>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</si>
  <si>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</si>
  <si>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</si>
  <si>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</si>
  <si>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</si>
  <si>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</si>
  <si>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</si>
  <si>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</si>
  <si>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</si>
  <si>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</si>
  <si>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</si>
  <si>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</si>
  <si>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</si>
  <si>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</si>
  <si>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</si>
  <si>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</si>
  <si>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</si>
  <si>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</si>
  <si>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</si>
  <si>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</si>
  <si>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</si>
  <si>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</si>
  <si>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</si>
  <si>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</si>
  <si>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</si>
  <si>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</si>
  <si>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</si>
  <si>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</si>
  <si>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</si>
  <si>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</si>
  <si>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</si>
  <si>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</si>
  <si>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</si>
  <si>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</si>
  <si>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</si>
  <si>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</si>
  <si>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</si>
  <si>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</si>
  <si>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</si>
  <si>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</si>
  <si>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</si>
  <si>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</si>
  <si>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</si>
  <si>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</si>
  <si>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</si>
  <si>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</si>
  <si>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</si>
  <si>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</si>
  <si>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</si>
  <si>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</si>
  <si>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</si>
  <si>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</si>
  <si>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</si>
  <si>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</si>
  <si>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</si>
  <si>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</si>
  <si>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</si>
  <si>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</si>
  <si>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</si>
  <si>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</si>
  <si>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</si>
  <si>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</si>
  <si>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</si>
  <si>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</si>
  <si>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</si>
  <si>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</si>
  <si>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</si>
  <si>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</si>
  <si>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</si>
  <si>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</si>
  <si>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</si>
  <si>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</si>
  <si>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</si>
  <si>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</si>
  <si>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</si>
  <si>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</si>
  <si>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</si>
  <si>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</si>
  <si>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</si>
  <si>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</si>
  <si>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</si>
  <si>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</si>
  <si>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</si>
  <si>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</si>
  <si>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</si>
  <si>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</si>
  <si>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</si>
  <si>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</si>
  <si>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</si>
  <si>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</si>
  <si>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</si>
  <si>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</si>
  <si>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</si>
  <si>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</si>
  <si>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</si>
  <si>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</si>
  <si>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</si>
  <si>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</si>
  <si>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</si>
  <si>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</si>
  <si>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</si>
  <si>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</si>
  <si>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</si>
  <si>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</si>
  <si>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</si>
  <si>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</si>
  <si>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</si>
  <si>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</si>
  <si>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</si>
  <si>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</si>
  <si>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</si>
  <si>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</si>
  <si>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</si>
  <si>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</si>
  <si>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</si>
  <si>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</si>
  <si>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</si>
  <si>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</si>
  <si>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</si>
  <si>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</si>
  <si>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</si>
  <si>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</si>
  <si>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</si>
  <si>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</si>
  <si>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</si>
  <si>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</si>
  <si>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</si>
  <si>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</si>
  <si>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</si>
  <si>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</si>
  <si>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</si>
  <si>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</si>
  <si>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</si>
  <si>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</si>
  <si>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</si>
  <si>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</si>
  <si>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</si>
  <si>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</si>
  <si>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</si>
  <si>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</si>
  <si>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</si>
  <si>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</si>
  <si>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</si>
  <si>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</si>
  <si>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</si>
  <si>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</si>
  <si>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</si>
  <si>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</si>
  <si>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</si>
  <si>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</si>
  <si>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</si>
  <si>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</si>
  <si>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</si>
  <si>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</si>
  <si>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</si>
  <si>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</si>
  <si>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</si>
  <si>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</si>
  <si>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</si>
  <si>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</si>
  <si>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</si>
  <si>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</si>
  <si>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</si>
  <si>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</si>
  <si>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</si>
  <si>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</si>
  <si>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</si>
  <si>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</si>
  <si>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</si>
  <si>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</si>
  <si>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</si>
  <si>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</si>
  <si>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</si>
  <si>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</si>
  <si>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</si>
  <si>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</si>
  <si>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</si>
  <si>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</si>
  <si>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</si>
  <si>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</si>
  <si>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</si>
  <si>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</si>
  <si>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</si>
  <si>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</si>
  <si>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</si>
  <si>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</si>
  <si>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</si>
  <si>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</si>
  <si>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</si>
  <si>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</si>
  <si>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</si>
  <si>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</si>
  <si>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</si>
  <si>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</si>
  <si>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</si>
  <si>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</si>
  <si>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</si>
  <si>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</si>
  <si>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</si>
  <si>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</si>
  <si>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</si>
  <si>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</si>
  <si>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</si>
  <si>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</si>
  <si>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</si>
  <si>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</si>
  <si>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</si>
  <si>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</si>
  <si>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</si>
  <si>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</si>
  <si>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</si>
  <si>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</si>
  <si>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</si>
  <si>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</si>
  <si>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</si>
  <si>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</si>
  <si>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</si>
  <si>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</si>
  <si>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</si>
  <si>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</si>
  <si>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</si>
  <si>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</si>
  <si>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</si>
  <si>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</si>
  <si>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</si>
  <si>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</si>
  <si>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</si>
  <si>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</si>
  <si>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</si>
  <si>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</si>
  <si>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</si>
  <si>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</si>
  <si>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</si>
  <si>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</si>
  <si>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</si>
  <si>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</si>
  <si>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</si>
  <si>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</si>
  <si>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</si>
  <si>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</si>
  <si>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</si>
  <si>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</si>
  <si>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</si>
  <si>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</si>
  <si>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</si>
  <si>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</si>
  <si>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</si>
  <si>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</si>
  <si>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</si>
  <si>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</si>
  <si>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</si>
  <si>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</si>
  <si>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</si>
  <si>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</si>
  <si>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</si>
  <si>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</si>
  <si>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</si>
  <si>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</si>
  <si>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</si>
  <si>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</si>
  <si>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</si>
  <si>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</si>
  <si>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</si>
  <si>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</si>
  <si>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</si>
  <si>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</si>
  <si>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</si>
  <si>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</si>
  <si>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</si>
  <si>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</si>
  <si>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</si>
  <si>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</si>
  <si>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</si>
  <si>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</si>
  <si>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</si>
  <si>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</si>
  <si>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</si>
  <si>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</si>
  <si>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</si>
  <si>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</si>
  <si>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</si>
  <si>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</si>
  <si>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</si>
  <si>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</si>
  <si>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</si>
  <si>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</si>
  <si>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</si>
  <si>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</si>
  <si>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</si>
  <si>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</si>
  <si>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</si>
  <si>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</si>
  <si>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</si>
  <si>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</si>
  <si>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</si>
  <si>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</si>
  <si>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</si>
  <si>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</si>
  <si>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</si>
  <si>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</si>
  <si>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</si>
  <si>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</si>
  <si>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</si>
  <si>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</si>
  <si>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</si>
  <si>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</si>
  <si>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</si>
  <si>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</si>
  <si>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</si>
  <si>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</si>
  <si>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</si>
  <si>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</si>
  <si>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</si>
  <si>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</si>
  <si>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</si>
  <si>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</si>
  <si>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</si>
  <si>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</si>
  <si>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</si>
  <si>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</si>
  <si>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</si>
  <si>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</si>
  <si>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</si>
  <si>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</si>
  <si>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</si>
  <si>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</si>
  <si>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</si>
  <si>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</si>
  <si>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</si>
  <si>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</si>
  <si>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</si>
  <si>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</si>
  <si>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</si>
  <si>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</si>
  <si>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</si>
  <si>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</si>
  <si>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</si>
  <si>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</si>
  <si>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</si>
  <si>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</si>
  <si>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</si>
  <si>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</si>
  <si>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</si>
  <si>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</si>
  <si>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</si>
  <si>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</si>
  <si>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</si>
  <si>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</si>
  <si>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</si>
  <si>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</si>
  <si>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</si>
  <si>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</si>
  <si>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</si>
  <si>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</si>
  <si>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</si>
  <si>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</si>
  <si>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</si>
  <si>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</si>
  <si>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</si>
  <si>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</si>
  <si>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</si>
  <si>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</si>
  <si>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</si>
  <si>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</si>
  <si>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</si>
  <si>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</si>
  <si>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</si>
  <si>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</si>
  <si>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</si>
  <si>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</si>
  <si>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</si>
  <si>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</si>
  <si>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</si>
  <si>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</si>
  <si>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</si>
  <si>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</si>
  <si>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</si>
  <si>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</si>
  <si>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</si>
  <si>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</si>
  <si>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</si>
  <si>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</si>
  <si>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</si>
  <si>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</si>
  <si>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</si>
  <si>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</si>
  <si>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</si>
  <si>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</si>
  <si>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</si>
  <si>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</si>
  <si>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</si>
  <si>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</si>
  <si>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</si>
  <si>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</si>
  <si>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</si>
  <si>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</si>
  <si>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</si>
  <si>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</si>
  <si>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</si>
  <si>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</si>
  <si>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</si>
  <si>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</si>
  <si>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</si>
  <si>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</si>
  <si>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</si>
  <si>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</si>
  <si>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</si>
  <si>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</si>
  <si>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</si>
  <si>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</si>
  <si>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</si>
  <si>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</si>
  <si>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</si>
  <si>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</si>
  <si>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</si>
  <si>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</si>
  <si>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</si>
  <si>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</si>
  <si>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</si>
  <si>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</si>
  <si>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</si>
  <si>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</si>
  <si>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</si>
  <si>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</si>
  <si>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</si>
  <si>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</si>
  <si>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</si>
  <si>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</si>
  <si>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</si>
  <si>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</si>
  <si>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</si>
  <si>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</si>
  <si>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</si>
  <si>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</si>
  <si>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</si>
  <si>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</si>
  <si>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</si>
  <si>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</si>
  <si>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</si>
  <si>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</si>
  <si>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</si>
  <si>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</si>
  <si>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</si>
  <si>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</si>
  <si>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</si>
  <si>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</si>
  <si>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</si>
  <si>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</si>
  <si>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</si>
  <si>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</si>
  <si>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</si>
  <si>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</si>
  <si>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</si>
  <si>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</si>
  <si>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</si>
  <si>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</si>
  <si>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</si>
  <si>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</si>
  <si>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</si>
  <si>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</si>
  <si>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</si>
  <si>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</si>
  <si>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</si>
  <si>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</si>
  <si>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</si>
  <si>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</si>
  <si>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</si>
  <si>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</si>
  <si>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</si>
  <si>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</si>
  <si>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</si>
  <si>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</si>
  <si>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</si>
  <si>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</si>
  <si>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</si>
  <si>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</si>
  <si>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</si>
  <si>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</si>
  <si>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</si>
  <si>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</si>
  <si>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</si>
  <si>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</si>
  <si>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</si>
  <si>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</si>
  <si>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</si>
  <si>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</si>
  <si>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</si>
  <si>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</si>
  <si>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</si>
  <si>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</si>
  <si>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</si>
  <si>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</si>
  <si>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</si>
  <si>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</si>
  <si>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</si>
  <si>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</si>
  <si>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</si>
  <si>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</si>
  <si>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</si>
  <si>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</si>
  <si>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</si>
  <si>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</si>
  <si>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</si>
  <si>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</si>
  <si>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</si>
  <si>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</si>
  <si>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</si>
  <si>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</si>
  <si>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</si>
  <si>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</si>
  <si>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</si>
  <si>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</si>
  <si>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</si>
  <si>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</si>
  <si>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</si>
  <si>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</si>
  <si>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</si>
  <si>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</si>
  <si>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</si>
  <si>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</si>
  <si>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</si>
  <si>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</si>
  <si>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</si>
  <si>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</si>
  <si>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</si>
  <si>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</si>
  <si>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</si>
  <si>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</si>
  <si>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</si>
  <si>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</si>
  <si>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</si>
  <si>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</si>
  <si>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</si>
  <si>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</si>
  <si>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</si>
  <si>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</si>
  <si>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</si>
  <si>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</si>
  <si>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</si>
  <si>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</si>
  <si>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</si>
  <si>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</si>
  <si>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</si>
  <si>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</si>
  <si>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</si>
  <si>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</si>
  <si>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</si>
  <si>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</si>
  <si>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</si>
  <si>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</si>
  <si>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</si>
  <si>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</si>
  <si>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</si>
  <si>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</si>
  <si>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</si>
  <si>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</si>
  <si>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</si>
  <si>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</si>
  <si>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</si>
  <si>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</si>
  <si>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</si>
  <si>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</si>
  <si>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</si>
  <si>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</si>
  <si>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</si>
  <si>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</si>
  <si>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</si>
  <si>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</si>
  <si>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</si>
  <si>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</si>
  <si>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</si>
  <si>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</si>
  <si>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</si>
  <si>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</si>
  <si>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</si>
  <si>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</si>
  <si>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</si>
  <si>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</si>
  <si>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</si>
  <si>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</si>
  <si>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</si>
  <si>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</si>
  <si>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</si>
  <si>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</si>
  <si>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</si>
  <si>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</si>
  <si>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</si>
  <si>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</si>
  <si>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</si>
  <si>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</si>
  <si>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</si>
  <si>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</si>
  <si>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</si>
  <si>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</si>
  <si>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</si>
  <si>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</si>
  <si>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</si>
  <si>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</si>
  <si>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</si>
  <si>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</si>
  <si>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</si>
  <si>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</si>
  <si>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</si>
  <si>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</si>
  <si>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</si>
  <si>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</si>
  <si>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</si>
  <si>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</si>
  <si>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</si>
  <si>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</si>
  <si>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</si>
  <si>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</si>
  <si>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</si>
  <si>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</si>
  <si>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</si>
  <si>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</si>
  <si>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</si>
  <si>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</si>
  <si>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</si>
  <si>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</si>
  <si>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</si>
  <si>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</si>
  <si>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</si>
  <si>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</si>
  <si>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</si>
  <si>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</si>
  <si>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</si>
  <si>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</si>
  <si>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</si>
  <si>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</si>
  <si>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</si>
  <si>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</si>
  <si>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</si>
  <si>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</si>
  <si>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</si>
  <si>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</si>
  <si>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</si>
  <si>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</si>
  <si>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</si>
  <si>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</si>
  <si>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</si>
  <si>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</si>
  <si>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</si>
  <si>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</si>
  <si>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</si>
  <si>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</si>
  <si>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</si>
  <si>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</si>
  <si>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</si>
  <si>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</si>
  <si>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</si>
  <si>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</si>
  <si>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</si>
  <si>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</si>
  <si>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</si>
  <si>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</si>
  <si>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</si>
  <si>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</si>
  <si>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</si>
  <si>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</si>
  <si>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</si>
  <si>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</si>
  <si>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</si>
  <si>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</si>
  <si>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</si>
  <si>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</si>
  <si>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</si>
  <si>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</si>
  <si>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</si>
  <si>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</si>
  <si>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</si>
  <si>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</si>
  <si>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</si>
  <si>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</si>
  <si>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</si>
  <si>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</si>
  <si>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</si>
  <si>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</si>
  <si>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</si>
  <si>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</si>
  <si>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</si>
  <si>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</si>
  <si>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</si>
  <si>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</si>
  <si>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</si>
  <si>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</si>
  <si>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</si>
  <si>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</si>
  <si>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</si>
  <si>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</si>
  <si>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</si>
  <si>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</si>
  <si>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</si>
  <si>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</si>
  <si>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</si>
  <si>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</si>
  <si>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</si>
  <si>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</si>
  <si>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</si>
  <si>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</si>
  <si>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</si>
  <si>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</si>
  <si>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</si>
  <si>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</si>
  <si>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</si>
  <si>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</si>
  <si>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</si>
  <si>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</si>
  <si>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</si>
  <si>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</si>
  <si>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</si>
  <si>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</si>
  <si>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</si>
  <si>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</si>
  <si>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</si>
  <si>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</si>
  <si>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</si>
  <si>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</si>
  <si>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</si>
  <si>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</si>
  <si>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</si>
  <si>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</si>
  <si>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</si>
  <si>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</si>
  <si>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</si>
  <si>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</si>
  <si>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</si>
  <si>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</si>
  <si>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</si>
  <si>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</si>
  <si>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</si>
  <si>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</si>
  <si>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</si>
  <si>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</si>
  <si>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</si>
  <si>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</si>
  <si>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</si>
  <si>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</si>
  <si>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</si>
  <si>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</si>
  <si>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</si>
  <si>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</si>
  <si>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</si>
  <si>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</si>
  <si>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</si>
  <si>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</si>
  <si>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</si>
  <si>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</si>
  <si>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</si>
  <si>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</si>
  <si>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</si>
  <si>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</si>
  <si>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</si>
  <si>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</si>
  <si>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</si>
  <si>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</si>
  <si>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</si>
  <si>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</si>
  <si>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</si>
  <si>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</si>
  <si>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</si>
  <si>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</si>
  <si>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</si>
  <si>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</si>
  <si>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</si>
  <si>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</si>
  <si>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</si>
  <si>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</si>
  <si>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</si>
  <si>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</si>
  <si>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</si>
  <si>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</si>
  <si>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</si>
  <si>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</si>
  <si>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</si>
  <si>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</si>
  <si>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</si>
  <si>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</si>
  <si>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</si>
  <si>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</si>
  <si>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</si>
  <si>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</si>
  <si>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</si>
  <si>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</si>
  <si>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</si>
  <si>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</si>
  <si>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</si>
  <si>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</si>
  <si>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</si>
  <si>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</si>
  <si>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</si>
  <si>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</si>
  <si>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</si>
  <si>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</si>
  <si>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</si>
  <si>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</si>
  <si>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</si>
  <si>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</si>
  <si>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</si>
  <si>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</si>
  <si>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</si>
  <si>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</si>
  <si>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</si>
  <si>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</si>
  <si>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</si>
  <si>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</si>
  <si>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</si>
  <si>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</si>
  <si>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</si>
  <si>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</si>
  <si>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</si>
  <si>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</si>
  <si>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</si>
  <si>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</si>
  <si>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</si>
  <si>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</si>
  <si>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</si>
  <si>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</si>
  <si>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</si>
  <si>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</si>
  <si>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</si>
  <si>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</si>
  <si>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</si>
  <si>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</si>
  <si>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</si>
  <si>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</si>
  <si>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</si>
  <si>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</si>
  <si>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</si>
  <si>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</si>
  <si>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</si>
  <si>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</si>
  <si>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</si>
  <si>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</si>
  <si>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</si>
  <si>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</si>
  <si>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</si>
  <si>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</si>
  <si>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</si>
  <si>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</si>
  <si>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</si>
  <si>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</si>
  <si>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</si>
  <si>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</si>
  <si>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</si>
  <si>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</si>
  <si>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</si>
  <si>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</si>
  <si>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</si>
  <si>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</si>
  <si>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</si>
  <si>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</si>
  <si>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</si>
  <si>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</si>
  <si>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</si>
  <si>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</si>
  <si>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</si>
  <si>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</si>
  <si>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</si>
  <si>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</si>
  <si>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</si>
  <si>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</si>
  <si>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</si>
  <si>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</si>
  <si>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</si>
  <si>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</si>
  <si>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</si>
  <si>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</si>
  <si>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</si>
  <si>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</si>
  <si>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</si>
  <si>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</si>
  <si>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</si>
  <si>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</si>
  <si>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</si>
  <si>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</si>
  <si>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</si>
  <si>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</si>
  <si>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</si>
  <si>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</si>
  <si>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</si>
  <si>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</si>
  <si>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</si>
  <si>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</si>
  <si>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</si>
  <si>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</si>
  <si>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</si>
  <si>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</si>
  <si>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</si>
  <si>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</si>
  <si>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</si>
  <si>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</si>
  <si>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</si>
  <si>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</si>
  <si>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</si>
  <si>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</si>
  <si>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</si>
  <si>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</si>
  <si>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</si>
  <si>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</si>
  <si>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</si>
  <si>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</si>
  <si>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</si>
  <si>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</si>
  <si>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</si>
  <si>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</si>
  <si>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</si>
  <si>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</si>
  <si>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</si>
  <si>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</si>
  <si>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</si>
  <si>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</si>
  <si>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</si>
  <si>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</si>
  <si>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</si>
  <si>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</si>
  <si>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</si>
  <si>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</si>
  <si>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</si>
  <si>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</si>
  <si>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</si>
  <si>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</si>
  <si>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</si>
  <si>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</si>
  <si>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</si>
  <si>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</si>
  <si>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</si>
  <si>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</si>
  <si>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</si>
  <si>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</si>
  <si>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</si>
  <si>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</si>
  <si>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</si>
  <si>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</si>
  <si>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</si>
  <si>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</si>
  <si>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</si>
  <si>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</si>
  <si>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</si>
  <si>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</si>
  <si>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</si>
  <si>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</si>
  <si>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</si>
  <si>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</si>
  <si>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</si>
  <si>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</si>
  <si>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</si>
  <si>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</si>
  <si>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</si>
  <si>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</si>
  <si>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</si>
  <si>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</si>
  <si>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</si>
  <si>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</si>
  <si>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</si>
  <si>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</si>
  <si>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</si>
  <si>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</si>
  <si>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</si>
  <si>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</si>
  <si>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</si>
  <si>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</si>
  <si>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</si>
  <si>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</si>
  <si>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</si>
  <si>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</si>
  <si>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</si>
  <si>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</si>
  <si>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</si>
  <si>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</si>
  <si>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</si>
  <si>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</si>
  <si>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</si>
  <si>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</si>
  <si>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</si>
  <si>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</si>
  <si>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</si>
  <si>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</si>
  <si>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</si>
  <si>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</si>
  <si>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</si>
  <si>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</si>
  <si>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</si>
  <si>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</si>
  <si>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</si>
  <si>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</si>
  <si>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</si>
  <si>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</si>
  <si>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</si>
  <si>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</si>
  <si>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</si>
  <si>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</si>
  <si>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</si>
  <si>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</si>
  <si>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</si>
  <si>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</si>
  <si>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</si>
  <si>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</si>
  <si>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</si>
  <si>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</si>
  <si>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</si>
  <si>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</si>
  <si>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</si>
  <si>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</si>
  <si>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</si>
  <si>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</si>
  <si>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</si>
  <si>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</si>
  <si>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</si>
  <si>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</si>
  <si>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</si>
  <si>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</si>
  <si>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</si>
  <si>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</si>
  <si>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</si>
  <si>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</si>
  <si>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</si>
  <si>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</si>
  <si>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</si>
  <si>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</si>
  <si>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</si>
  <si>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</si>
  <si>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</si>
  <si>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</si>
  <si>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</si>
  <si>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</si>
  <si>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</si>
  <si>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</si>
  <si>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</si>
  <si>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</si>
  <si>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</si>
  <si>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</si>
  <si>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</si>
  <si>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</si>
  <si>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</si>
  <si>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</si>
  <si>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</si>
  <si>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</si>
  <si>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</si>
  <si>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</si>
  <si>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</si>
  <si>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</si>
  <si>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</si>
  <si>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</si>
  <si>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</si>
  <si>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</si>
  <si>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</si>
  <si>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</si>
  <si>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</si>
  <si>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</si>
  <si>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</si>
  <si>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</si>
  <si>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</si>
  <si>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</si>
  <si>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</si>
  <si>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</si>
  <si>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</si>
  <si>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</si>
  <si>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</si>
  <si>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</si>
  <si>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</si>
  <si>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</si>
  <si>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</si>
  <si>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</si>
  <si>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</si>
  <si>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</si>
  <si>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</si>
  <si>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</si>
  <si>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</si>
  <si>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</si>
  <si>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</si>
  <si>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</si>
  <si>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</si>
  <si>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</si>
  <si>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</si>
  <si>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</si>
  <si>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</si>
  <si>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</si>
  <si>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</si>
  <si>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</si>
  <si>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</si>
  <si>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</si>
  <si>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</si>
  <si>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</si>
  <si>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</si>
  <si>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</si>
  <si>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</si>
  <si>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</si>
  <si>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</si>
  <si>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</si>
  <si>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</si>
  <si>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</si>
  <si>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</si>
  <si>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</si>
  <si>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</si>
  <si>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</si>
  <si>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</si>
  <si>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</si>
  <si>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</si>
  <si>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</si>
  <si>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</si>
  <si>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</si>
  <si>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</si>
  <si>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</si>
  <si>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</si>
  <si>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</si>
  <si>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</si>
  <si>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</si>
  <si>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</si>
  <si>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</si>
  <si>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</si>
  <si>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</si>
  <si>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</si>
  <si>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</si>
  <si>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</si>
  <si>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</si>
  <si>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</si>
  <si>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</si>
  <si>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</si>
  <si>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</si>
  <si>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</si>
  <si>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</si>
  <si>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</si>
  <si>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</si>
  <si>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</si>
  <si>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</si>
  <si>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</si>
  <si>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</si>
  <si>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</si>
  <si>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</si>
  <si>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</si>
  <si>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</si>
  <si>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</si>
  <si>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</si>
  <si>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</si>
  <si>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</si>
  <si>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</si>
  <si>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</si>
  <si>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</si>
  <si>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</si>
  <si>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</si>
  <si>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</si>
  <si>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</si>
  <si>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</si>
  <si>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</si>
  <si>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</si>
  <si>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</si>
  <si>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</si>
  <si>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</si>
  <si>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</si>
  <si>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</si>
  <si>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</si>
  <si>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</si>
  <si>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</si>
  <si>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</si>
  <si>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</si>
  <si>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</si>
  <si>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</si>
  <si>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</si>
  <si>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</si>
  <si>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</si>
  <si>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</si>
  <si>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</si>
  <si>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</si>
  <si>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</si>
  <si>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</si>
  <si>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</si>
  <si>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</si>
  <si>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</si>
  <si>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</si>
  <si>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</si>
  <si>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</si>
  <si>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</si>
  <si>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</si>
  <si>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</si>
  <si>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</si>
  <si>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</si>
  <si>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</si>
  <si>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</si>
  <si>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</si>
  <si>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</si>
  <si>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</si>
  <si>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</si>
  <si>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</si>
  <si>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</si>
  <si>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</si>
  <si>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</si>
  <si>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</si>
  <si>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</si>
  <si>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</si>
  <si>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</si>
  <si>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</si>
  <si>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</si>
  <si>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</si>
  <si>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</si>
  <si>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</si>
  <si>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</si>
  <si>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</si>
  <si>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</si>
  <si>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</si>
  <si>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</si>
  <si>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</si>
  <si>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</si>
  <si>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</si>
  <si>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</si>
  <si>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</si>
  <si>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</si>
  <si>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</si>
  <si>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</si>
  <si>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</si>
  <si>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</si>
  <si>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</si>
  <si>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</si>
  <si>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</si>
  <si>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</si>
  <si>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</si>
  <si>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</si>
  <si>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</si>
  <si>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</si>
  <si>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</si>
  <si>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</si>
  <si>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</si>
  <si>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</si>
  <si>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</si>
  <si>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</si>
  <si>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</si>
  <si>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</si>
  <si>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</si>
  <si>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</si>
  <si>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</si>
  <si>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</si>
  <si>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</si>
  <si>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</si>
  <si>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</si>
  <si>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</si>
  <si>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</si>
  <si>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</si>
  <si>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</si>
  <si>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</si>
  <si>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</si>
  <si>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</si>
  <si>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</si>
  <si>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</si>
  <si>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</si>
  <si>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</si>
  <si>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</si>
  <si>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</si>
  <si>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</si>
  <si>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</si>
  <si>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</si>
  <si>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</si>
  <si>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</si>
  <si>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</si>
  <si>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</si>
  <si>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</si>
  <si>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</si>
  <si>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</si>
  <si>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</si>
  <si>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</si>
  <si>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</si>
  <si>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</si>
  <si>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</si>
  <si>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</si>
  <si>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</si>
  <si>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</si>
  <si>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</si>
  <si>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</si>
  <si>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</si>
  <si>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</si>
  <si>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</si>
  <si>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</si>
  <si>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</si>
  <si>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</si>
  <si>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</si>
  <si>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</si>
  <si>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</si>
  <si>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</si>
  <si>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</si>
  <si>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</si>
  <si>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</si>
  <si>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</si>
  <si>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</si>
  <si>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</si>
  <si>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</si>
  <si>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</si>
  <si>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</si>
  <si>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</si>
  <si>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</si>
  <si>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</si>
  <si>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</si>
  <si>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</si>
  <si>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</si>
  <si>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</si>
  <si>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</si>
  <si>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</si>
  <si>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</si>
  <si>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</si>
  <si>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</si>
  <si>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</si>
  <si>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</si>
  <si>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</si>
  <si>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</si>
  <si>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</si>
  <si>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</si>
  <si>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</si>
  <si>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</si>
  <si>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</si>
  <si>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</si>
  <si>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</si>
  <si>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</si>
  <si>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</si>
  <si>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</si>
  <si>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</si>
  <si>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</si>
  <si>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</si>
  <si>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</si>
  <si>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</si>
  <si>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</si>
  <si>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</si>
  <si>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</si>
  <si>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</si>
  <si>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</si>
  <si>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</si>
  <si>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</si>
  <si>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</si>
  <si>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</si>
  <si>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</si>
  <si>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</si>
  <si>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</si>
  <si>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</si>
  <si>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</si>
  <si>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</si>
  <si>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</si>
  <si>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</si>
  <si>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</si>
  <si>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</si>
  <si>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</si>
  <si>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</si>
  <si>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</si>
  <si>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</si>
  <si>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</si>
  <si>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</si>
  <si>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</si>
  <si>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</si>
  <si>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</si>
  <si>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</si>
  <si>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</si>
  <si>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</si>
  <si>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</si>
  <si>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</si>
  <si>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</si>
  <si>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</si>
  <si>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</si>
  <si>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</si>
  <si>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</si>
  <si>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</si>
  <si>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</si>
  <si>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</si>
  <si>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</si>
  <si>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</si>
  <si>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</si>
  <si>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</si>
  <si>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</si>
  <si>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</si>
  <si>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</si>
  <si>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</si>
  <si>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</si>
  <si>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</si>
  <si>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</si>
  <si>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</si>
  <si>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</si>
  <si>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</si>
  <si>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</si>
  <si>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</si>
  <si>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</si>
  <si>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</si>
  <si>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</si>
  <si>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</si>
  <si>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</si>
  <si>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</si>
  <si>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</si>
  <si>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</si>
  <si>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</si>
  <si>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</si>
  <si>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</si>
  <si>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</si>
  <si>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</si>
  <si>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</si>
  <si>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</si>
  <si>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</si>
  <si>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</si>
  <si>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</si>
  <si>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</si>
  <si>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</si>
  <si>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</si>
  <si>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</si>
  <si>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</si>
  <si>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</si>
  <si>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</si>
  <si>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</si>
  <si>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</si>
  <si>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</si>
  <si>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</si>
  <si>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</si>
  <si>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</si>
  <si>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</si>
  <si>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</si>
  <si>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</si>
  <si>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</si>
  <si>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</si>
  <si>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</si>
  <si>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</si>
  <si>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</si>
  <si>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</si>
  <si>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</si>
  <si>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</si>
  <si>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</si>
  <si>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</si>
  <si>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</si>
  <si>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</si>
  <si>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</si>
  <si>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</si>
  <si>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</si>
  <si>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</si>
  <si>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</si>
  <si>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</si>
  <si>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</si>
  <si>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</si>
  <si>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</si>
  <si>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</si>
  <si>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</si>
  <si>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</si>
  <si>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</si>
  <si>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</si>
  <si>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</si>
  <si>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</si>
  <si>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</si>
  <si>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</si>
  <si>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</si>
  <si>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</si>
  <si>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</si>
  <si>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</si>
  <si>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</si>
  <si>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</si>
  <si>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</si>
  <si>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</si>
  <si>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</si>
  <si>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</si>
  <si>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</si>
  <si>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</si>
  <si>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</si>
  <si>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</si>
  <si>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</si>
  <si>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</si>
  <si>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</si>
  <si>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</si>
  <si>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</si>
  <si>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</si>
  <si>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</si>
  <si>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</si>
  <si>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</si>
  <si>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</si>
  <si>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</si>
  <si>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</si>
  <si>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</si>
  <si>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</si>
  <si>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</si>
  <si>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</si>
  <si>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</si>
  <si>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</si>
  <si>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</si>
  <si>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</si>
  <si>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</si>
  <si>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</si>
  <si>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</si>
  <si>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</si>
  <si>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</si>
  <si>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</si>
  <si>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</si>
  <si>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</si>
  <si>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</si>
  <si>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</si>
  <si>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</si>
  <si>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</si>
  <si>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</si>
  <si>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</si>
  <si>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</si>
  <si>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</si>
  <si>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</si>
  <si>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</si>
  <si>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</si>
  <si>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</si>
  <si>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</si>
  <si>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</si>
  <si>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</si>
  <si>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</si>
  <si>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</si>
  <si>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</si>
  <si>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</si>
  <si>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</si>
  <si>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</si>
  <si>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</si>
  <si>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</si>
  <si>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</si>
  <si>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</si>
  <si>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</si>
  <si>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</si>
  <si>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</si>
  <si>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</si>
  <si>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</si>
  <si>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</si>
  <si>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</si>
  <si>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</si>
  <si>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</si>
  <si>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</si>
  <si>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</si>
  <si>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</si>
  <si>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</si>
  <si>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</si>
  <si>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</si>
  <si>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</si>
  <si>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</si>
  <si>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</si>
  <si>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</si>
  <si>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</si>
  <si>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</si>
  <si>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</si>
  <si>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</si>
  <si>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</si>
  <si>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</si>
  <si>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</si>
  <si>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</si>
  <si>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</si>
  <si>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</si>
  <si>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</si>
  <si>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</si>
  <si>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</si>
  <si>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</si>
  <si>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</si>
  <si>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</si>
  <si>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</si>
  <si>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</si>
  <si>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</si>
  <si>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</si>
  <si>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</si>
  <si>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</si>
  <si>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</si>
  <si>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</si>
  <si>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</si>
  <si>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</si>
  <si>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</si>
  <si>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</si>
  <si>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</si>
  <si>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</si>
  <si>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</si>
  <si>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</si>
  <si>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</si>
  <si>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</si>
  <si>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</si>
  <si>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</si>
  <si>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</si>
  <si>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</si>
  <si>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</si>
  <si>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</si>
  <si>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</si>
  <si>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</si>
  <si>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</si>
  <si>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</si>
  <si>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</si>
  <si>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</si>
  <si>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</si>
  <si>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</si>
  <si>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</si>
  <si>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</si>
  <si>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</si>
  <si>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</si>
  <si>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</si>
  <si>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</si>
  <si>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</si>
  <si>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</si>
  <si>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</si>
  <si>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</si>
  <si>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</si>
  <si>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</si>
  <si>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</si>
  <si>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</si>
  <si>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</si>
  <si>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</si>
  <si>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</si>
  <si>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</si>
  <si>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</si>
  <si>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</si>
  <si>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</si>
  <si>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</si>
  <si>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</si>
  <si>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</si>
  <si>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</si>
  <si>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</si>
  <si>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</si>
  <si>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</si>
  <si>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</si>
  <si>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</si>
  <si>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</si>
  <si>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</si>
  <si>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</si>
  <si>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</si>
  <si>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</si>
  <si>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</si>
  <si>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</si>
  <si>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</si>
  <si>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</si>
  <si>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</si>
  <si>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</si>
  <si>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</si>
  <si>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</si>
  <si>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</si>
  <si>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</si>
  <si>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</si>
  <si>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</si>
  <si>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</si>
  <si>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</si>
  <si>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</si>
  <si>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</si>
  <si>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</si>
  <si>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</si>
  <si>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</si>
  <si>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</si>
  <si>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</si>
  <si>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</si>
  <si>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</si>
  <si>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</si>
  <si>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</si>
  <si>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</si>
  <si>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</si>
  <si>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</si>
  <si>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</si>
  <si>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</si>
  <si>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</si>
  <si>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</si>
  <si>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</si>
  <si>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</si>
  <si>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</si>
  <si>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</si>
  <si>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</si>
  <si>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</si>
  <si>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</si>
  <si>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</si>
  <si>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</si>
  <si>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</si>
  <si>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</si>
  <si>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</si>
  <si>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</si>
  <si>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</si>
  <si>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</si>
  <si>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</si>
  <si>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</si>
  <si>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</si>
  <si>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</si>
  <si>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</si>
  <si>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</si>
  <si>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</si>
  <si>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</si>
  <si>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</si>
  <si>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</si>
  <si>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</si>
  <si>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</si>
  <si>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</si>
  <si>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</si>
  <si>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</si>
  <si>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</si>
  <si>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</si>
  <si>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</si>
  <si>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</si>
  <si>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</si>
  <si>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</si>
  <si>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</si>
  <si>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</si>
  <si>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</si>
  <si>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</si>
  <si>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</si>
  <si>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</si>
  <si>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</si>
  <si>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</si>
  <si>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</si>
  <si>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</si>
  <si>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</si>
  <si>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</si>
  <si>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</si>
  <si>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</si>
  <si>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</si>
  <si>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</si>
  <si>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</si>
  <si>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</si>
  <si>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</si>
  <si>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</si>
  <si>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</si>
  <si>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</si>
  <si>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</si>
  <si>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</si>
  <si>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</si>
  <si>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</si>
  <si>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</si>
  <si>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</si>
  <si>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</si>
  <si>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</si>
  <si>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</si>
  <si>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</si>
  <si>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</si>
  <si>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</si>
  <si>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</si>
  <si>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</si>
  <si>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</si>
  <si>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</si>
  <si>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</si>
  <si>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</si>
  <si>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</si>
  <si>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</si>
  <si>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</si>
  <si>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</si>
  <si>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</si>
  <si>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</si>
  <si>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</si>
  <si>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</si>
  <si>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</si>
  <si>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</si>
  <si>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</si>
  <si>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</si>
  <si>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</si>
  <si>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</si>
  <si>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</si>
  <si>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</si>
  <si>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</si>
  <si>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</si>
  <si>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</si>
  <si>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</si>
  <si>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</si>
  <si>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</si>
  <si>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</si>
  <si>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</si>
  <si>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</si>
  <si>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</si>
  <si>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</si>
  <si>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</si>
  <si>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</si>
  <si>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</si>
  <si>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</si>
  <si>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</si>
  <si>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</si>
  <si>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</si>
  <si>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</si>
  <si>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</si>
  <si>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</si>
  <si>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</si>
  <si>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</si>
  <si>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</si>
  <si>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</si>
  <si>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</si>
  <si>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</si>
  <si>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</si>
  <si>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</si>
  <si>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</si>
  <si>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</si>
  <si>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</si>
  <si>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</si>
  <si>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</si>
  <si>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</si>
  <si>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</si>
  <si>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</si>
  <si>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</si>
  <si>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</si>
  <si>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</si>
  <si>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</si>
  <si>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</si>
  <si>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</si>
  <si>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</si>
  <si>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</si>
  <si>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</si>
  <si>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</si>
  <si>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</si>
  <si>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</si>
  <si>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</si>
  <si>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</si>
  <si>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</si>
  <si>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</si>
  <si>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</si>
  <si>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</si>
  <si>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</si>
  <si>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</si>
  <si>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</si>
  <si>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</si>
  <si>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</si>
  <si>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</si>
  <si>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</si>
  <si>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</si>
  <si>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</si>
  <si>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</si>
  <si>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</si>
  <si>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</si>
  <si>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</si>
  <si>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</si>
  <si>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</si>
  <si>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</si>
  <si>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</si>
  <si>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</si>
  <si>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</si>
  <si>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</si>
  <si>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</si>
  <si>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</si>
  <si>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</si>
  <si>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</si>
  <si>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</si>
  <si>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</si>
  <si>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</si>
  <si>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</si>
  <si>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</si>
  <si>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</si>
  <si>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</si>
  <si>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</si>
  <si>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</si>
  <si>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</si>
  <si>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</si>
  <si>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</si>
  <si>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</si>
  <si>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</si>
  <si>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</si>
  <si>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</si>
  <si>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</si>
  <si>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</si>
  <si>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</si>
  <si>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</si>
  <si>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</si>
  <si>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</si>
  <si>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</si>
  <si>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</si>
  <si>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</si>
  <si>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</si>
  <si>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</si>
  <si>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</si>
  <si>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</si>
  <si>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</si>
  <si>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</si>
  <si>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</si>
  <si>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</si>
  <si>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</si>
  <si>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</si>
  <si>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</si>
  <si>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</si>
  <si>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</si>
  <si>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</si>
  <si>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</si>
  <si>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</si>
  <si>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</si>
  <si>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</si>
  <si>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</si>
  <si>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</si>
  <si>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</si>
  <si>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</si>
  <si>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</si>
  <si>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</si>
  <si>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</si>
  <si>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</si>
  <si>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</si>
  <si>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</si>
  <si>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</si>
  <si>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</si>
  <si>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</si>
  <si>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</si>
  <si>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</si>
  <si>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</si>
  <si>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</si>
  <si>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</si>
  <si>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</si>
  <si>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</si>
  <si>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</si>
  <si>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</si>
  <si>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</si>
  <si>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</si>
  <si>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</si>
  <si>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</si>
  <si>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</si>
  <si>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</si>
  <si>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</si>
  <si>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</si>
  <si>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</si>
  <si>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</si>
  <si>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</si>
  <si>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</si>
  <si>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</si>
  <si>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</si>
  <si>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</si>
  <si>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</si>
  <si>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</si>
  <si>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</si>
  <si>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</si>
  <si>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</si>
  <si>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</si>
  <si>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</si>
  <si>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</si>
  <si>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</si>
  <si>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</si>
  <si>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</si>
  <si>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</si>
  <si>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</si>
  <si>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</si>
  <si>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</si>
  <si>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</si>
  <si>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</si>
  <si>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</si>
  <si>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</si>
  <si>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</si>
  <si>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</si>
  <si>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</si>
  <si>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</si>
  <si>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</si>
  <si>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</si>
  <si>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</si>
  <si>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</si>
  <si>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</si>
  <si>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</si>
  <si>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</si>
  <si>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</si>
  <si>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</si>
  <si>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</si>
  <si>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</si>
  <si>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</si>
  <si>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</si>
  <si>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</si>
  <si>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</si>
  <si>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</si>
  <si>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</si>
  <si>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</si>
  <si>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</si>
  <si>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</si>
  <si>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</si>
  <si>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</si>
  <si>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</si>
  <si>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</si>
  <si>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</si>
  <si>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</si>
  <si>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</si>
  <si>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</si>
  <si>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</si>
  <si>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</si>
  <si>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</si>
  <si>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</si>
  <si>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</si>
  <si>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</si>
  <si>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</si>
  <si>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</si>
  <si>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</si>
  <si>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</si>
  <si>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</si>
  <si>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</si>
  <si>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</si>
  <si>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</si>
  <si>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</si>
  <si>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</si>
  <si>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</si>
  <si>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</si>
  <si>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</si>
  <si>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</si>
  <si>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</si>
  <si>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</si>
  <si>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</si>
  <si>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</si>
  <si>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</si>
  <si>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</si>
  <si>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</si>
  <si>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</si>
  <si>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</si>
  <si>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</si>
  <si>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</si>
  <si>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</si>
  <si>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</si>
  <si>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</si>
  <si>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</si>
  <si>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</si>
  <si>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</si>
  <si>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</si>
  <si>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</si>
  <si>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</si>
  <si>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</si>
  <si>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</si>
  <si>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</si>
  <si>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</si>
  <si>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</si>
  <si>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</si>
  <si>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</si>
  <si>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</si>
  <si>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</si>
  <si>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</si>
  <si>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</si>
  <si>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</si>
  <si>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</si>
  <si>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</si>
  <si>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</si>
  <si>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</si>
  <si>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</si>
  <si>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</si>
  <si>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</si>
  <si>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</si>
  <si>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</si>
  <si>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</si>
  <si>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</si>
  <si>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</si>
  <si>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</si>
  <si>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</si>
  <si>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</si>
  <si>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</si>
  <si>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</si>
  <si>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</si>
  <si>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</si>
  <si>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</si>
  <si>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</si>
  <si>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</si>
  <si>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</si>
  <si>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</si>
  <si>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</si>
  <si>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</si>
  <si>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</si>
  <si>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</si>
  <si>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</si>
  <si>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</si>
  <si>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</si>
  <si>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</si>
  <si>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</si>
  <si>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</si>
  <si>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</si>
  <si>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</si>
  <si>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</si>
  <si>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</si>
  <si>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</si>
  <si>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</si>
  <si>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</si>
  <si>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</si>
  <si>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</si>
  <si>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</si>
  <si>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</si>
  <si>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</si>
  <si>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</si>
  <si>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</si>
  <si>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</si>
  <si>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</si>
  <si>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</si>
  <si>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</si>
  <si>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</si>
  <si>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</si>
  <si>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</si>
  <si>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</si>
  <si>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</si>
  <si>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</si>
  <si>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</si>
  <si>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</si>
  <si>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</si>
  <si>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</si>
  <si>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</si>
  <si>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</si>
  <si>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</si>
  <si>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</si>
  <si>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</si>
  <si>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</si>
  <si>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</si>
  <si>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</si>
  <si>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</si>
  <si>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</si>
  <si>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</si>
  <si>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</si>
  <si>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</si>
  <si>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</si>
  <si>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</si>
  <si>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</si>
  <si>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</si>
  <si>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</si>
  <si>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</si>
  <si>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</si>
  <si>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</si>
  <si>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</si>
  <si>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</si>
  <si>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</si>
  <si>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</si>
  <si>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</si>
  <si>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</si>
  <si>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</si>
  <si>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</si>
  <si>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</si>
  <si>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</si>
  <si>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</si>
  <si>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</si>
  <si>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</si>
  <si>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</si>
  <si>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</si>
  <si>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</si>
  <si>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</si>
  <si>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</si>
  <si>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</si>
  <si>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</si>
  <si>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</si>
  <si>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</si>
  <si>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</si>
  <si>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</si>
  <si>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</si>
  <si>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</si>
  <si>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</si>
  <si>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</si>
  <si>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</si>
  <si>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</si>
  <si>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</si>
  <si>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</si>
  <si>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</si>
  <si>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</si>
  <si>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</si>
  <si>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</si>
  <si>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</si>
  <si>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</si>
  <si>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</si>
  <si>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</si>
  <si>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</si>
  <si>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</si>
  <si>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</si>
  <si>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</si>
  <si>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</si>
  <si>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</si>
  <si>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</si>
  <si>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</si>
  <si>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</si>
  <si>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</si>
  <si>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</si>
  <si>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</si>
  <si>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</si>
  <si>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</si>
  <si>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</si>
  <si>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</si>
  <si>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</si>
  <si>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</si>
  <si>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</si>
  <si>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</si>
  <si>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</si>
  <si>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</si>
  <si>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</si>
  <si>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</si>
  <si>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</si>
  <si>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</si>
  <si>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</si>
  <si>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</si>
  <si>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</si>
  <si>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</si>
  <si>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</si>
  <si>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</si>
  <si>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</si>
  <si>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</si>
  <si>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</si>
  <si>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</si>
  <si>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</si>
  <si>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</si>
  <si>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</si>
  <si>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</si>
  <si>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</si>
  <si>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</si>
  <si>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</si>
  <si>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</si>
  <si>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</si>
  <si>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</si>
  <si>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</si>
  <si>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</si>
  <si>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</si>
  <si>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</si>
  <si>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</si>
  <si>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</si>
  <si>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</si>
  <si>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</si>
  <si>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</si>
  <si>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</si>
  <si>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</si>
  <si>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</si>
  <si>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</si>
  <si>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</si>
  <si>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</si>
  <si>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</si>
  <si>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</si>
  <si>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</si>
  <si>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</si>
  <si>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</si>
  <si>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</si>
  <si>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</si>
  <si>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</si>
  <si>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</si>
  <si>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</si>
  <si>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</si>
  <si>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</si>
  <si>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</si>
  <si>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</si>
  <si>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</si>
  <si>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</si>
  <si>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</si>
  <si>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</si>
  <si>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</si>
  <si>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</si>
  <si>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</si>
  <si>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</si>
  <si>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</si>
  <si>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</si>
  <si>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</si>
  <si>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</si>
  <si>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</si>
  <si>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</si>
  <si>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</si>
  <si>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</si>
  <si>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</si>
  <si>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</si>
  <si>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</si>
  <si>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</si>
  <si>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</si>
  <si>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</si>
  <si>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</si>
  <si>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</si>
  <si>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</si>
  <si>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</si>
  <si>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</si>
  <si>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</si>
  <si>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</si>
  <si>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</si>
  <si>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</si>
  <si>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</si>
  <si>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</si>
  <si>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</si>
  <si>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</si>
  <si>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</si>
  <si>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</si>
  <si>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</si>
  <si>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</si>
  <si>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</si>
  <si>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</si>
  <si>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</si>
  <si>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</si>
  <si>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</si>
  <si>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</si>
  <si>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</si>
  <si>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</si>
  <si>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</si>
  <si>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</si>
  <si>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</si>
  <si>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</si>
  <si>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</si>
  <si>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</si>
  <si>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</si>
  <si>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</si>
  <si>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</si>
  <si>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</si>
  <si>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</si>
  <si>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</si>
  <si>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</si>
  <si>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</si>
  <si>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</si>
  <si>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</si>
  <si>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</si>
  <si>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</si>
  <si>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</si>
  <si>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</si>
  <si>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</si>
  <si>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</si>
  <si>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</si>
  <si>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</si>
  <si>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</si>
  <si>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</si>
  <si>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</si>
  <si>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</si>
  <si>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</si>
  <si>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</si>
  <si>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</si>
  <si>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</si>
  <si>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</si>
  <si>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</si>
  <si>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</si>
  <si>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</si>
  <si>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</si>
  <si>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</si>
  <si>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</si>
  <si>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</si>
  <si>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</si>
  <si>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</si>
  <si>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</si>
  <si>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</si>
  <si>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</si>
  <si>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</si>
  <si>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</si>
  <si>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</si>
  <si>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</si>
  <si>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</si>
  <si>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</si>
  <si>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</si>
  <si>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</si>
  <si>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</si>
  <si>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</si>
  <si>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</si>
  <si>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</si>
  <si>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</si>
  <si>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</si>
  <si>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</si>
  <si>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</si>
  <si>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</si>
  <si>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</si>
  <si>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</si>
  <si>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</si>
  <si>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</si>
  <si>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</si>
  <si>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</si>
  <si>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</si>
  <si>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</si>
  <si>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</si>
  <si>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</si>
  <si>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</si>
  <si>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</si>
  <si>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</si>
  <si>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</si>
  <si>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</si>
  <si>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</si>
  <si>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</si>
  <si>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</si>
  <si>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</si>
  <si>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</si>
  <si>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</si>
  <si>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</si>
  <si>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</si>
  <si>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</si>
  <si>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</si>
  <si>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</si>
  <si>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</si>
  <si>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</si>
  <si>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</si>
  <si>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</si>
  <si>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</si>
  <si>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</si>
  <si>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</si>
  <si>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</si>
  <si>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</si>
  <si>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</si>
  <si>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</si>
  <si>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</si>
  <si>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</si>
  <si>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</si>
  <si>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</si>
  <si>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</si>
  <si>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</si>
  <si>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</si>
  <si>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</si>
  <si>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</si>
  <si>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</si>
  <si>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</si>
  <si>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</si>
  <si>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</si>
  <si>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</si>
  <si>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</si>
  <si>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</si>
  <si>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</si>
  <si>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</si>
  <si>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</si>
  <si>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</si>
  <si>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</si>
  <si>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</si>
  <si>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</si>
  <si>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</si>
  <si>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</si>
  <si>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</si>
  <si>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</si>
  <si>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</si>
  <si>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</si>
  <si>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</si>
  <si>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</si>
  <si>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</si>
  <si>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</si>
  <si>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</si>
  <si>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</si>
  <si>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</si>
  <si>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</si>
  <si>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</si>
  <si>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</si>
  <si>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</si>
  <si>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</si>
  <si>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</si>
  <si>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</si>
  <si>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</si>
  <si>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</si>
  <si>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</si>
  <si>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</si>
  <si>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</si>
  <si>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</si>
  <si>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</si>
  <si>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</si>
  <si>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</si>
  <si>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</si>
  <si>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</si>
  <si>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</si>
  <si>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</si>
  <si>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</si>
  <si>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</si>
  <si>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</si>
  <si>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</si>
  <si>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</si>
  <si>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</si>
  <si>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</si>
  <si>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</si>
  <si>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</si>
  <si>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</si>
  <si>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</si>
  <si>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</si>
  <si>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</si>
  <si>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</si>
  <si>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</si>
  <si>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</si>
  <si>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</si>
  <si>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</si>
  <si>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</si>
  <si>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</si>
  <si>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</si>
  <si>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</si>
  <si>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</si>
  <si>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</si>
  <si>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</si>
  <si>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</si>
  <si>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</si>
  <si>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</si>
  <si>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</si>
  <si>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</si>
  <si>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</si>
  <si>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</si>
  <si>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</si>
  <si>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</si>
  <si>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</si>
  <si>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</si>
  <si>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</si>
  <si>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</si>
  <si>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</si>
  <si>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</si>
  <si>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</si>
  <si>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</si>
  <si>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</si>
  <si>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</si>
  <si>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</si>
  <si>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</si>
  <si>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</si>
  <si>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</si>
  <si>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</si>
  <si>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</si>
  <si>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</si>
  <si>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</si>
  <si>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</si>
  <si>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</si>
  <si>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</si>
  <si>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</si>
  <si>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</si>
  <si>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</si>
  <si>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</si>
  <si>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</si>
  <si>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</si>
  <si>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</si>
  <si>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</si>
  <si>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</si>
  <si>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</si>
  <si>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</si>
  <si>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</si>
  <si>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</si>
  <si>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</si>
  <si>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</si>
  <si>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</si>
  <si>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</si>
  <si>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</si>
  <si>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</si>
  <si>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</si>
  <si>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</si>
  <si>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</si>
  <si>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</si>
  <si>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</si>
  <si>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</si>
  <si>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</si>
  <si>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</si>
  <si>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</si>
  <si>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</si>
  <si>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</si>
  <si>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</si>
  <si>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</si>
  <si>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</si>
  <si>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</si>
  <si>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</si>
  <si>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</si>
  <si>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</si>
  <si>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</si>
  <si>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</si>
  <si>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</si>
  <si>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</si>
  <si>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</si>
  <si>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</si>
  <si>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</si>
  <si>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</si>
  <si>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</si>
  <si>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</si>
  <si>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</si>
  <si>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</si>
  <si>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</si>
  <si>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</si>
  <si>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</si>
  <si>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</si>
  <si>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</si>
  <si>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</si>
  <si>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</si>
  <si>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</si>
  <si>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</si>
  <si>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</si>
  <si>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</si>
  <si>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</si>
  <si>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</si>
  <si>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</si>
  <si>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</si>
  <si>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</si>
  <si>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</si>
  <si>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</si>
  <si>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</si>
  <si>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</si>
  <si>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</si>
  <si>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</si>
  <si>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</si>
  <si>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</si>
  <si>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</si>
  <si>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</si>
  <si>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</si>
  <si>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</si>
  <si>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</si>
  <si>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</si>
  <si>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</si>
  <si>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</si>
  <si>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</si>
  <si>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</si>
  <si>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</si>
  <si>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</si>
  <si>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</si>
  <si>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</si>
  <si>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</si>
  <si>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</si>
  <si>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</si>
  <si>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</si>
  <si>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</si>
  <si>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</si>
  <si>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</si>
  <si>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</si>
  <si>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</si>
  <si>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</si>
  <si>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</si>
  <si>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</si>
  <si>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</si>
  <si>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</si>
  <si>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</si>
  <si>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</si>
  <si>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</si>
  <si>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</si>
  <si>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</si>
  <si>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</si>
  <si>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</si>
  <si>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</si>
  <si>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</si>
  <si>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</si>
  <si>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</si>
  <si>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</si>
  <si>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</si>
  <si>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</si>
  <si>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</si>
  <si>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</si>
  <si>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</si>
  <si>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</si>
  <si>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</si>
  <si>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</si>
  <si>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</si>
  <si>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</si>
  <si>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</si>
  <si>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</si>
  <si>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</si>
  <si>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</si>
  <si>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</si>
  <si>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</si>
  <si>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</si>
  <si>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</si>
  <si>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</si>
  <si>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</si>
  <si>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</si>
  <si>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</si>
  <si>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</si>
  <si>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</si>
  <si>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</si>
  <si>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</si>
  <si>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</si>
  <si>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</si>
  <si>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</si>
  <si>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</si>
  <si>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</si>
  <si>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</si>
  <si>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</si>
  <si>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</si>
  <si>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</si>
  <si>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</si>
  <si>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</si>
  <si>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</si>
  <si>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</si>
  <si>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</si>
  <si>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</si>
  <si>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</si>
  <si>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</si>
  <si>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</si>
  <si>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</si>
  <si>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</si>
  <si>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</si>
  <si>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</si>
  <si>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</si>
  <si>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</si>
  <si>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</si>
  <si>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</si>
  <si>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</si>
  <si>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</si>
  <si>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</si>
  <si>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</si>
  <si>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</si>
  <si>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</si>
  <si>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</si>
  <si>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</si>
  <si>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</si>
  <si>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</si>
  <si>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</si>
  <si>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</si>
  <si>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</si>
  <si>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</si>
  <si>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</si>
  <si>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</si>
  <si>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</si>
  <si>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</si>
  <si>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</si>
  <si>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</si>
  <si>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</si>
  <si>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</si>
  <si>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</si>
  <si>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</si>
  <si>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</si>
  <si>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</si>
  <si>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</si>
  <si>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</si>
  <si>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</si>
  <si>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</si>
  <si>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</si>
  <si>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</si>
  <si>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</si>
  <si>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</si>
  <si>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</si>
  <si>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</si>
  <si>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</si>
  <si>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</si>
  <si>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</si>
  <si>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</si>
  <si>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</si>
  <si>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</si>
  <si>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</si>
  <si>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</si>
  <si>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</si>
  <si>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</si>
  <si>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</si>
  <si>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</si>
  <si>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</si>
  <si>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</si>
  <si>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</si>
  <si>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</si>
  <si>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</si>
  <si>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</si>
  <si>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</si>
  <si>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</si>
  <si>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</si>
  <si>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</si>
  <si>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</si>
  <si>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</si>
  <si>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</si>
  <si>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</si>
  <si>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</si>
  <si>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</si>
  <si>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</si>
  <si>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</si>
  <si>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</si>
  <si>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</si>
  <si>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</si>
  <si>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</si>
  <si>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</si>
  <si>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</si>
  <si>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</si>
  <si>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</si>
  <si>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</si>
  <si>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</si>
  <si>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</si>
  <si>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</si>
  <si>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</si>
  <si>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</si>
  <si>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</si>
  <si>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</si>
  <si>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</si>
  <si>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</si>
  <si>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</si>
  <si>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</si>
  <si>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</si>
  <si>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</si>
  <si>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</si>
  <si>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</si>
  <si>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</si>
  <si>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</si>
  <si>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</si>
  <si>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</si>
  <si>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</si>
  <si>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</si>
  <si>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</si>
  <si>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</si>
  <si>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</si>
  <si>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</si>
  <si>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</si>
  <si>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</si>
  <si>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</si>
  <si>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</si>
  <si>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</si>
  <si>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</si>
  <si>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</si>
  <si>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</si>
  <si>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</si>
  <si>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</si>
  <si>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</si>
  <si>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</si>
  <si>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</si>
  <si>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</si>
  <si>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</si>
  <si>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</si>
  <si>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</si>
  <si>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</si>
  <si>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</si>
  <si>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</si>
  <si>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</si>
  <si>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</si>
  <si>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</si>
  <si>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</si>
  <si>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</si>
  <si>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</si>
  <si>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</si>
  <si>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</si>
  <si>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</si>
  <si>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</si>
  <si>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</si>
  <si>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</si>
  <si>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</si>
  <si>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</si>
  <si>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</si>
  <si>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</si>
  <si>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</si>
  <si>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</si>
  <si>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</si>
  <si>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</si>
  <si>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</si>
  <si>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</si>
  <si>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</si>
  <si>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</si>
  <si>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</si>
  <si>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</si>
  <si>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</si>
  <si>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</si>
  <si>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</si>
  <si>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</si>
  <si>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</si>
  <si>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</si>
  <si>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</si>
  <si>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</si>
  <si>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</si>
  <si>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</si>
  <si>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</si>
  <si>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</si>
  <si>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</si>
  <si>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</si>
  <si>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</si>
  <si>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</si>
  <si>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</si>
  <si>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</si>
  <si>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</si>
  <si>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</si>
  <si>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</si>
  <si>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</si>
  <si>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</si>
  <si>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</si>
  <si>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</si>
  <si>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</si>
  <si>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</si>
  <si>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</si>
  <si>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</si>
  <si>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</si>
  <si>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</si>
  <si>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</si>
  <si>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</si>
  <si>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</si>
  <si>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</si>
  <si>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</si>
  <si>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</si>
  <si>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</si>
  <si>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</si>
  <si>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</si>
  <si>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</si>
  <si>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</si>
  <si>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</si>
  <si>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</si>
  <si>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</si>
  <si>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</si>
  <si>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</si>
  <si>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</si>
  <si>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</si>
  <si>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</si>
  <si>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</si>
  <si>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</si>
  <si>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</si>
  <si>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</si>
  <si>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</si>
  <si>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</si>
  <si>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</si>
  <si>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</si>
  <si>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</si>
  <si>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</si>
  <si>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</si>
  <si>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</si>
  <si>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</si>
  <si>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</si>
  <si>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</si>
  <si>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</si>
  <si>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</si>
  <si>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</si>
  <si>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</si>
  <si>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</si>
  <si>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</si>
  <si>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</si>
  <si>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</si>
  <si>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</si>
  <si>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</si>
  <si>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</si>
  <si>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</si>
  <si>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</si>
  <si>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</si>
  <si>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</si>
  <si>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</si>
  <si>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</si>
  <si>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</si>
  <si>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</si>
  <si>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</si>
  <si>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</si>
  <si>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</si>
  <si>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</si>
  <si>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</si>
  <si>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</si>
  <si>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</si>
  <si>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</si>
  <si>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</si>
  <si>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</si>
  <si>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</si>
  <si>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</si>
  <si>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</si>
  <si>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</si>
  <si>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</si>
  <si>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</si>
  <si>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</si>
  <si>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</si>
  <si>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</si>
  <si>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</si>
  <si>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</si>
  <si>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</si>
  <si>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</si>
  <si>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</si>
  <si>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</si>
  <si>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</si>
  <si>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</si>
  <si>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</si>
  <si>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</si>
  <si>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</si>
  <si>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</si>
  <si>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</si>
  <si>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</si>
  <si>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</si>
  <si>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</si>
  <si>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</si>
  <si>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</si>
  <si>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</si>
  <si>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</si>
  <si>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</si>
  <si>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</si>
  <si>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</si>
  <si>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</si>
  <si>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</si>
  <si>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</si>
  <si>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</si>
  <si>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</si>
  <si>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</si>
  <si>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</si>
  <si>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</si>
  <si>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</si>
  <si>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</si>
  <si>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</si>
  <si>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</si>
  <si>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</si>
  <si>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</si>
  <si>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</si>
  <si>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</si>
  <si>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</si>
  <si>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</si>
  <si>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</si>
  <si>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</si>
  <si>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</si>
  <si>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</si>
  <si>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</si>
  <si>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</si>
  <si>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</si>
  <si>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</si>
  <si>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</si>
  <si>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</si>
  <si>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</si>
  <si>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</si>
  <si>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</si>
  <si>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</si>
  <si>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</si>
  <si>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</si>
  <si>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</si>
  <si>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</si>
  <si>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</si>
  <si>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</si>
  <si>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</si>
  <si>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</si>
  <si>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</si>
  <si>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</si>
  <si>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</si>
  <si>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</si>
  <si>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</si>
  <si>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</si>
  <si>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</si>
  <si>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</si>
  <si>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</si>
  <si>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</si>
  <si>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</si>
  <si>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</si>
  <si>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</si>
  <si>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</si>
  <si>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</si>
  <si>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</si>
  <si>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</si>
  <si>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</si>
  <si>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</si>
  <si>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</si>
  <si>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</si>
  <si>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</si>
  <si>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</si>
  <si>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</si>
  <si>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</si>
  <si>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</si>
  <si>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</si>
  <si>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</si>
  <si>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</si>
  <si>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</si>
  <si>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</si>
  <si>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</si>
  <si>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</si>
  <si>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</si>
  <si>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</si>
  <si>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</si>
  <si>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</si>
  <si>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</si>
  <si>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</si>
  <si>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</si>
  <si>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</si>
  <si>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</si>
  <si>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</si>
  <si>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</si>
  <si>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</si>
  <si>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</si>
  <si>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</si>
  <si>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</si>
  <si>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</si>
  <si>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</si>
  <si>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</si>
  <si>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</si>
  <si>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</si>
  <si>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</si>
  <si>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</si>
  <si>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</si>
  <si>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</si>
  <si>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</si>
  <si>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</si>
  <si>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</si>
  <si>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</si>
  <si>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</si>
  <si>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</si>
  <si>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</si>
  <si>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</si>
  <si>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</si>
  <si>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</si>
  <si>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</si>
  <si>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</si>
  <si>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</si>
  <si>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</si>
  <si>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</si>
  <si>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</si>
  <si>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</si>
  <si>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</si>
  <si>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</si>
  <si>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</si>
  <si>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</si>
  <si>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</si>
  <si>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</si>
  <si>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</si>
  <si>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</si>
  <si>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</si>
  <si>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</si>
  <si>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</si>
  <si>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</si>
  <si>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</si>
  <si>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</si>
  <si>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</si>
  <si>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</si>
  <si>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</si>
  <si>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</si>
  <si>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</si>
  <si>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</si>
  <si>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</si>
  <si>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</si>
  <si>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</si>
  <si>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</si>
  <si>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</si>
  <si>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</si>
  <si>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</si>
  <si>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</si>
  <si>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</si>
  <si>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</si>
  <si>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</si>
  <si>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</si>
  <si>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</si>
  <si>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</si>
  <si>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</si>
  <si>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</si>
  <si>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</si>
  <si>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</si>
  <si>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</si>
  <si>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</si>
  <si>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</si>
  <si>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</si>
  <si>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</si>
  <si>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</si>
  <si>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</si>
  <si>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</si>
  <si>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</si>
  <si>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</si>
  <si>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</si>
  <si>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</si>
  <si>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</si>
  <si>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</si>
  <si>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</si>
  <si>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</si>
  <si>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</si>
  <si>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</si>
  <si>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</si>
  <si>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</si>
  <si>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</si>
  <si>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</si>
  <si>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</si>
  <si>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</si>
  <si>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</si>
  <si>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</si>
  <si>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</si>
  <si>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</si>
  <si>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</si>
  <si>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</si>
  <si>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</si>
  <si>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</si>
  <si>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</si>
  <si>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</si>
  <si>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</si>
  <si>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</si>
  <si>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</si>
  <si>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</si>
  <si>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</si>
  <si>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</si>
  <si>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</si>
  <si>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</si>
  <si>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</si>
  <si>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</si>
  <si>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</si>
  <si>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</si>
  <si>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</si>
  <si>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</si>
  <si>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</si>
  <si>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</si>
  <si>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</si>
  <si>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</si>
  <si>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</si>
  <si>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</si>
  <si>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</si>
  <si>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</si>
  <si>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</si>
  <si>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</si>
  <si>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</si>
  <si>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</si>
  <si>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</si>
  <si>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</si>
  <si>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</si>
  <si>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</si>
  <si>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</si>
  <si>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</si>
  <si>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</si>
  <si>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</si>
  <si>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</si>
  <si>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</si>
  <si>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</si>
  <si>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</si>
  <si>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</si>
  <si>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</si>
  <si>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</si>
  <si>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</si>
  <si>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</si>
  <si>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</si>
  <si>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</si>
  <si>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</si>
  <si>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</si>
  <si>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</si>
  <si>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</si>
  <si>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</si>
  <si>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</si>
  <si>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</si>
  <si>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</si>
  <si>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</si>
  <si>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</si>
  <si>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</si>
  <si>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</si>
  <si>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</si>
  <si>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</si>
  <si>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</si>
  <si>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</si>
  <si>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</si>
  <si>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</si>
  <si>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</si>
  <si>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</si>
  <si>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</si>
  <si>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</si>
  <si>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</si>
  <si>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</si>
  <si>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</si>
  <si>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</si>
  <si>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</si>
  <si>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</si>
  <si>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</si>
  <si>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</si>
  <si>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</si>
  <si>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</si>
  <si>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</si>
  <si>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</si>
  <si>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</si>
  <si>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</si>
  <si>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</si>
  <si>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</si>
  <si>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</si>
  <si>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</si>
  <si>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</si>
  <si>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</si>
  <si>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</si>
  <si>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</si>
  <si>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</si>
  <si>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</si>
  <si>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</si>
  <si>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</si>
  <si>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</si>
  <si>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</si>
  <si>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</si>
  <si>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</si>
  <si>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</si>
  <si>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</si>
  <si>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</si>
  <si>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</si>
  <si>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</si>
  <si>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</si>
  <si>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</si>
  <si>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</si>
  <si>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</si>
  <si>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</si>
  <si>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</si>
  <si>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</si>
  <si>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</si>
  <si>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</si>
  <si>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</si>
  <si>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</si>
  <si>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</si>
  <si>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</si>
  <si>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</si>
  <si>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</si>
  <si>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</si>
  <si>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</si>
  <si>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</si>
  <si>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</si>
  <si>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</si>
  <si>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</si>
  <si>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</si>
  <si>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</si>
  <si>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</si>
  <si>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</si>
  <si>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</si>
  <si>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</si>
  <si>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</si>
  <si>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</si>
  <si>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</si>
  <si>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</si>
  <si>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</si>
  <si>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</si>
  <si>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</si>
  <si>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</si>
  <si>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</si>
  <si>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</si>
  <si>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</si>
  <si>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</si>
  <si>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</si>
  <si>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</si>
  <si>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</si>
  <si>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</si>
  <si>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</si>
  <si>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</si>
  <si>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</si>
  <si>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</si>
  <si>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</si>
  <si>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</si>
  <si>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</si>
  <si>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</si>
  <si>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</si>
  <si>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</si>
  <si>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</si>
  <si>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</si>
  <si>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</si>
  <si>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</si>
  <si>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</si>
  <si>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</si>
  <si>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</si>
  <si>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</si>
  <si>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</si>
  <si>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</si>
  <si>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</si>
  <si>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</si>
  <si>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</si>
  <si>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</si>
  <si>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</si>
  <si>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</si>
  <si>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</si>
  <si>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</si>
  <si>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</si>
  <si>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</si>
  <si>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</si>
  <si>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</si>
  <si>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</si>
  <si>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</si>
  <si>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</si>
  <si>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</si>
  <si>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</si>
  <si>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</si>
  <si>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</si>
  <si>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</si>
  <si>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</si>
  <si>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</si>
  <si>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</si>
  <si>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</si>
  <si>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</si>
  <si>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</si>
  <si>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</si>
  <si>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</si>
  <si>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</si>
  <si>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</si>
  <si>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</si>
  <si>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</si>
  <si>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</si>
  <si>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</si>
  <si>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</si>
  <si>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</si>
  <si>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</si>
  <si>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</si>
  <si>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</si>
  <si>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</si>
  <si>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</si>
  <si>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</si>
  <si>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</si>
  <si>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</si>
  <si>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</si>
  <si>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</si>
  <si>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</si>
  <si>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</si>
  <si>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</si>
  <si>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</si>
  <si>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</si>
  <si>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</si>
  <si>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</si>
  <si>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</si>
  <si>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</si>
  <si>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</si>
  <si>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</si>
  <si>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</si>
  <si>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</si>
  <si>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</si>
  <si>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</si>
  <si>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</si>
  <si>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</si>
  <si>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</si>
  <si>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</si>
  <si>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</si>
  <si>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</si>
  <si>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</si>
  <si>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</si>
  <si>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</si>
  <si>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</si>
  <si>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</si>
  <si>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</si>
  <si>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</si>
  <si>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</si>
  <si>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</si>
  <si>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</si>
  <si>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</si>
  <si>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</si>
  <si>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</si>
  <si>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</si>
  <si>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</si>
  <si>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</si>
  <si>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</si>
  <si>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</si>
  <si>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</si>
  <si>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</si>
  <si>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</si>
  <si>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</si>
  <si>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</si>
  <si>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</si>
  <si>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</si>
  <si>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</si>
  <si>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</si>
  <si>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</si>
  <si>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</si>
  <si>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</si>
  <si>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</si>
  <si>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</si>
  <si>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</si>
  <si>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</si>
  <si>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</si>
  <si>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</si>
  <si>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</si>
  <si>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</si>
  <si>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</si>
  <si>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</si>
  <si>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</si>
  <si>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</si>
  <si>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</si>
  <si>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</si>
  <si>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</si>
  <si>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</si>
  <si>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</si>
  <si>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</si>
  <si>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</si>
  <si>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</si>
  <si>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</si>
  <si>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</si>
  <si>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</si>
  <si>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</si>
  <si>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</si>
  <si>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</si>
  <si>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</si>
  <si>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</si>
  <si>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</si>
  <si>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</si>
  <si>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</si>
  <si>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</si>
  <si>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</si>
  <si>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</si>
  <si>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</si>
  <si>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</si>
  <si>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</si>
  <si>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</si>
  <si>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</si>
  <si>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</si>
  <si>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</si>
  <si>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</si>
  <si>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</si>
  <si>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</si>
  <si>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</si>
  <si>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</si>
  <si>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</si>
  <si>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</si>
  <si>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</si>
  <si>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</si>
  <si>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</si>
  <si>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</si>
  <si>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</si>
  <si>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</si>
  <si>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</si>
  <si>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</si>
  <si>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</si>
  <si>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</si>
  <si>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</si>
  <si>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</si>
  <si>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</si>
  <si>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</si>
  <si>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</si>
  <si>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</si>
  <si>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</si>
  <si>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</si>
  <si>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</si>
  <si>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</si>
  <si>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</si>
  <si>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</si>
  <si>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</si>
  <si>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</si>
  <si>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</si>
  <si>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</si>
  <si>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</si>
  <si>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</si>
  <si>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</si>
  <si>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</si>
  <si>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</si>
  <si>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</si>
  <si>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</si>
  <si>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</si>
  <si>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</si>
  <si>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</si>
  <si>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</si>
  <si>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</si>
  <si>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</si>
  <si>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</si>
  <si>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</si>
  <si>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</si>
  <si>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</si>
  <si>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</si>
  <si>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</si>
  <si>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</si>
  <si>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</si>
  <si>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</si>
  <si>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</si>
  <si>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</si>
  <si>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</si>
  <si>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</si>
  <si>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</si>
  <si>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</si>
  <si>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</si>
  <si>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</si>
  <si>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</si>
  <si>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</si>
  <si>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</si>
  <si>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</si>
  <si>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</si>
  <si>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</si>
  <si>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</si>
  <si>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</si>
  <si>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</si>
  <si>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</si>
  <si>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</si>
  <si>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</si>
  <si>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</si>
  <si>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</si>
  <si>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</si>
  <si>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</si>
  <si>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</si>
  <si>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</si>
  <si>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</si>
  <si>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</si>
  <si>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</si>
  <si>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</si>
  <si>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</si>
  <si>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</si>
  <si>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</si>
  <si>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</si>
  <si>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</si>
  <si>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</si>
  <si>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</si>
  <si>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</si>
  <si>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</si>
  <si>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</si>
  <si>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</si>
  <si>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</si>
  <si>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</si>
  <si>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</si>
  <si>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</si>
  <si>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</si>
  <si>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</si>
  <si>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</si>
  <si>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</si>
  <si>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</si>
  <si>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</si>
  <si>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</si>
  <si>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</si>
  <si>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</si>
  <si>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</si>
  <si>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</si>
  <si>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</si>
  <si>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</si>
  <si>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</si>
  <si>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</si>
  <si>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</si>
  <si>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</si>
  <si>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</si>
  <si>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</si>
  <si>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</si>
  <si>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</si>
  <si>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</si>
  <si>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</si>
  <si>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</si>
  <si>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</si>
  <si>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</si>
  <si>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</si>
  <si>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</si>
  <si>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</si>
  <si>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</si>
  <si>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</si>
  <si>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</si>
  <si>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</si>
  <si>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</si>
  <si>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</si>
  <si>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</si>
  <si>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</si>
  <si>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</si>
  <si>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</si>
  <si>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</si>
  <si>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</si>
  <si>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</si>
  <si>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</si>
  <si>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</si>
  <si>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</si>
  <si>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</si>
  <si>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</si>
  <si>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</si>
  <si>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</si>
  <si>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</si>
  <si>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</si>
  <si>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</si>
  <si>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</si>
  <si>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</si>
  <si>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</si>
  <si>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</si>
  <si>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</si>
  <si>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</si>
  <si>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</si>
  <si>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</si>
  <si>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</si>
  <si>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</si>
  <si>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</si>
  <si>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</si>
  <si>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</si>
  <si>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</si>
  <si>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</si>
  <si>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</si>
  <si>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</si>
  <si>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</si>
  <si>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</si>
  <si>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</si>
  <si>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</si>
  <si>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</si>
  <si>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</si>
  <si>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</si>
  <si>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</si>
  <si>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</si>
  <si>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</si>
  <si>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</si>
  <si>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</si>
  <si>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</si>
  <si>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</si>
  <si>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</si>
  <si>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</si>
  <si>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</si>
  <si>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</si>
  <si>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</si>
  <si>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</si>
  <si>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</si>
  <si>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</si>
  <si>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</si>
  <si>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</si>
  <si>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</si>
  <si>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</si>
  <si>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</si>
  <si>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</si>
  <si>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</si>
  <si>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</si>
  <si>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</si>
  <si>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</si>
  <si>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</si>
  <si>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</si>
  <si>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</si>
  <si>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</si>
  <si>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</si>
  <si>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</si>
  <si>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</si>
  <si>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</si>
  <si>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</si>
  <si>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</si>
  <si>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</si>
  <si>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</si>
  <si>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</si>
  <si>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</si>
  <si>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</si>
  <si>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</si>
  <si>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</si>
  <si>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</si>
  <si>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</si>
  <si>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</si>
  <si>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</si>
  <si>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</si>
  <si>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</si>
  <si>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</si>
  <si>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</si>
  <si>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</si>
  <si>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</si>
  <si>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</si>
  <si>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</si>
  <si>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</si>
  <si>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</si>
  <si>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</si>
  <si>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</si>
  <si>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</si>
  <si>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</si>
  <si>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</si>
  <si>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</si>
  <si>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</si>
  <si>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</si>
  <si>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</si>
  <si>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</si>
  <si>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</si>
  <si>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</si>
  <si>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</si>
  <si>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</si>
  <si>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</si>
  <si>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</si>
  <si>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</si>
  <si>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</si>
  <si>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</si>
  <si>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</si>
  <si>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</si>
  <si>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</si>
  <si>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</si>
  <si>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</si>
  <si>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</si>
  <si>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</si>
  <si>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</si>
  <si>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</si>
  <si>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</si>
  <si>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</si>
  <si>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</si>
  <si>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</si>
  <si>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</si>
  <si>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</si>
  <si>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</si>
  <si>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</si>
  <si>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</si>
  <si>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</si>
  <si>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</si>
  <si>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</si>
  <si>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</si>
  <si>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</si>
  <si>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</si>
  <si>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</si>
  <si>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</si>
  <si>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</si>
  <si>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</si>
  <si>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</si>
  <si>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</si>
  <si>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</si>
  <si>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</si>
  <si>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</si>
  <si>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</si>
  <si>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</si>
  <si>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</si>
  <si>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</si>
  <si>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</si>
  <si>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</si>
  <si>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</si>
  <si>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</si>
  <si>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</si>
  <si>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</si>
  <si>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</si>
  <si>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</si>
  <si>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</si>
  <si>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</si>
  <si>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</si>
  <si>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</si>
  <si>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</si>
  <si>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</si>
  <si>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</si>
  <si>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</si>
  <si>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</si>
  <si>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</si>
  <si>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</si>
  <si>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</si>
  <si>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</si>
  <si>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</si>
  <si>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</si>
  <si>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</si>
  <si>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</si>
  <si>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</si>
  <si>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</si>
  <si>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</si>
  <si>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</si>
  <si>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</si>
  <si>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</si>
  <si>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</si>
  <si>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</si>
  <si>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</si>
  <si>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</si>
  <si>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</si>
  <si>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</si>
  <si>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</si>
  <si>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</si>
  <si>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</si>
  <si>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</si>
  <si>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</si>
  <si>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</si>
  <si>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</si>
  <si>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</si>
  <si>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</si>
  <si>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</si>
  <si>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</si>
  <si>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</si>
  <si>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</si>
  <si>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</si>
  <si>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</si>
  <si>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</si>
  <si>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</si>
  <si>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</si>
  <si>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</si>
  <si>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</si>
  <si>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</si>
  <si>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</si>
  <si>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</si>
  <si>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</si>
  <si>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</si>
  <si>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</si>
  <si>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</si>
  <si>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</si>
  <si>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</si>
  <si>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</si>
  <si>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</si>
  <si>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</si>
  <si>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</si>
  <si>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</si>
  <si>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</si>
  <si>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</si>
  <si>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</si>
  <si>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</si>
  <si>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</si>
  <si>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</si>
  <si>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</si>
  <si>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</si>
  <si>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</si>
  <si>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</si>
  <si>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</si>
  <si>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</si>
  <si>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</si>
  <si>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</si>
  <si>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</si>
  <si>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</si>
  <si>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</si>
  <si>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</si>
  <si>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</si>
  <si>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</si>
  <si>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</si>
  <si>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</si>
  <si>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</si>
  <si>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</si>
  <si>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</si>
  <si>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</si>
  <si>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</si>
  <si>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</si>
  <si>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</si>
  <si>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</si>
  <si>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</si>
  <si>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</si>
  <si>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</si>
  <si>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</si>
  <si>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</si>
  <si>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</si>
  <si>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</si>
  <si>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</si>
  <si>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</si>
  <si>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</si>
  <si>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</si>
  <si>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</si>
  <si>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</si>
  <si>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</si>
  <si>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</si>
  <si>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</si>
  <si>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</si>
  <si>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</si>
  <si>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</si>
  <si>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</si>
  <si>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</si>
  <si>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</si>
  <si>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</si>
  <si>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</si>
  <si>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</si>
  <si>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</si>
  <si>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</si>
  <si>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</si>
  <si>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</si>
  <si>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</si>
  <si>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</si>
  <si>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</si>
  <si>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</si>
  <si>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</si>
  <si>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</si>
  <si>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</si>
  <si>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</si>
  <si>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</si>
  <si>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</si>
  <si>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</si>
  <si>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</si>
  <si>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</si>
  <si>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</si>
  <si>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</si>
  <si>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</si>
  <si>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</si>
  <si>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</si>
  <si>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</si>
  <si>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</si>
  <si>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</si>
  <si>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</si>
  <si>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</si>
  <si>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</si>
  <si>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</si>
  <si>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</si>
  <si>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</si>
  <si>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</si>
  <si>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</si>
  <si>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</si>
  <si>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</si>
  <si>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</si>
  <si>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</si>
  <si>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</si>
  <si>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</si>
  <si>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</si>
  <si>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</si>
  <si>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</si>
  <si>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</si>
  <si>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</si>
  <si>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</si>
  <si>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</si>
  <si>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</si>
  <si>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</si>
  <si>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</si>
  <si>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</si>
  <si>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</si>
  <si>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</si>
  <si>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</si>
  <si>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</si>
  <si>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</si>
  <si>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</si>
  <si>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</si>
  <si>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</si>
  <si>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</si>
  <si>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</si>
  <si>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</si>
  <si>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</si>
  <si>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</si>
  <si>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</si>
  <si>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</si>
  <si>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</si>
  <si>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</si>
  <si>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</si>
  <si>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</si>
  <si>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</si>
  <si>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</si>
  <si>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</si>
  <si>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</si>
  <si>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</si>
  <si>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</si>
  <si>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</si>
  <si>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</si>
  <si>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</si>
  <si>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</si>
  <si>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</si>
  <si>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</si>
  <si>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</si>
  <si>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</si>
  <si>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</si>
  <si>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</si>
  <si>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</si>
  <si>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</si>
  <si>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</si>
  <si>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</si>
  <si>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</si>
  <si>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</si>
  <si>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</si>
  <si>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</si>
  <si>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</si>
  <si>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</si>
  <si>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</si>
  <si>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</si>
  <si>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</si>
  <si>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</si>
  <si>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</si>
  <si>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</si>
  <si>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</si>
  <si>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</si>
  <si>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</si>
  <si>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</si>
  <si>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</si>
  <si>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</si>
  <si>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</si>
  <si>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</si>
  <si>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</si>
  <si>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</si>
  <si>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</si>
  <si>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</si>
  <si>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</si>
  <si>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</si>
  <si>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</si>
  <si>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</si>
  <si>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</si>
  <si>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</si>
  <si>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</si>
  <si>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</si>
  <si>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</si>
  <si>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</si>
  <si>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</si>
  <si>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</si>
  <si>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</si>
  <si>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</si>
  <si>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</si>
  <si>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</si>
  <si>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</si>
  <si>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</si>
  <si>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</si>
  <si>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</si>
  <si>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</si>
  <si>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</si>
  <si>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</si>
  <si>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</si>
  <si>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</si>
  <si>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</si>
  <si>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</si>
  <si>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</si>
  <si>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</si>
  <si>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</si>
  <si>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</si>
  <si>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</si>
  <si>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</si>
  <si>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</si>
  <si>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</si>
  <si>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</si>
  <si>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</si>
  <si>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</si>
  <si>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</si>
  <si>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</si>
  <si>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</si>
  <si>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</si>
  <si>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</si>
  <si>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</si>
  <si>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</si>
  <si>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</si>
  <si>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</si>
  <si>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</si>
  <si>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</si>
  <si>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</si>
  <si>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</si>
  <si>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</si>
  <si>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</si>
  <si>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</si>
  <si>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</si>
  <si>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</si>
  <si>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</si>
  <si>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</si>
  <si>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</si>
  <si>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</si>
  <si>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</si>
  <si>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</si>
  <si>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</si>
  <si>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</si>
  <si>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</si>
  <si>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</si>
  <si>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</si>
  <si>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</si>
  <si>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</si>
  <si>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</si>
  <si>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</si>
  <si>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</si>
  <si>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</si>
  <si>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</si>
  <si>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</si>
  <si>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</si>
  <si>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</si>
  <si>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</si>
  <si>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</si>
  <si>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</si>
  <si>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</si>
  <si>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</si>
  <si>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</si>
  <si>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</si>
  <si>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</si>
  <si>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</si>
  <si>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</si>
  <si>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</si>
  <si>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</si>
  <si>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</si>
  <si>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</si>
  <si>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</si>
  <si>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</si>
  <si>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</si>
  <si>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</si>
  <si>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</si>
  <si>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</si>
  <si>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</si>
  <si>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</si>
  <si>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</si>
  <si>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</si>
  <si>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</si>
  <si>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</si>
  <si>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</si>
  <si>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</si>
  <si>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</si>
  <si>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</si>
  <si>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</si>
  <si>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</si>
  <si>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</si>
  <si>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</si>
  <si>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</si>
  <si>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</si>
  <si>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</si>
  <si>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</si>
  <si>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</si>
  <si>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</si>
  <si>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</si>
  <si>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</si>
  <si>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</si>
  <si>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</si>
  <si>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</si>
  <si>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</si>
  <si>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</si>
  <si>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</si>
  <si>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</si>
  <si>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</si>
  <si>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</si>
  <si>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</si>
  <si>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</si>
  <si>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</si>
  <si>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</si>
  <si>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</si>
  <si>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</si>
  <si>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</si>
  <si>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</si>
  <si>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</si>
  <si>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</si>
  <si>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</si>
  <si>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</si>
  <si>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</si>
  <si>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</si>
  <si>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</si>
  <si>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</si>
  <si>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</si>
  <si>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</si>
  <si>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</si>
  <si>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</si>
  <si>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</si>
  <si>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</si>
  <si>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</si>
  <si>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</si>
  <si>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</si>
  <si>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</si>
  <si>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</si>
  <si>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</si>
  <si>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</si>
  <si>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</si>
  <si>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</si>
  <si>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</si>
  <si>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</si>
  <si>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</si>
  <si>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</si>
  <si>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</si>
  <si>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</si>
  <si>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</si>
  <si>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</si>
  <si>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</si>
  <si>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</si>
  <si>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</si>
  <si>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</si>
  <si>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</si>
  <si>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</si>
  <si>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</si>
  <si>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</si>
  <si>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</si>
  <si>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</si>
  <si>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</si>
  <si>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</si>
  <si>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</si>
  <si>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</si>
  <si>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</si>
  <si>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</si>
  <si>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</si>
  <si>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</si>
  <si>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</si>
  <si>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</si>
  <si>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</si>
  <si>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</si>
  <si>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</si>
  <si>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</si>
  <si>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</si>
  <si>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</si>
  <si>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</si>
  <si>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</si>
  <si>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</si>
  <si>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</si>
  <si>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</si>
  <si>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</si>
  <si>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</si>
  <si>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</si>
  <si>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</si>
  <si>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</si>
  <si>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</si>
  <si>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</si>
  <si>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</si>
  <si>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</si>
  <si>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</si>
  <si>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</si>
  <si>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</si>
  <si>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</si>
  <si>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</si>
  <si>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</si>
  <si>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</si>
  <si>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</si>
  <si>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</si>
  <si>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</si>
  <si>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</si>
  <si>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</si>
  <si>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</si>
  <si>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</si>
  <si>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</si>
  <si>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</si>
  <si>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</si>
  <si>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</si>
  <si>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</si>
  <si>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</si>
  <si>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</si>
  <si>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</si>
  <si>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</si>
  <si>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</si>
  <si>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</si>
  <si>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</si>
  <si>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</si>
  <si>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</si>
  <si>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</si>
  <si>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</si>
  <si>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</si>
  <si>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</si>
  <si>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</si>
  <si>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</si>
  <si>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</si>
  <si>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</si>
  <si>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</si>
  <si>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</si>
  <si>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</si>
  <si>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</si>
  <si>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</si>
  <si>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</si>
  <si>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</si>
  <si>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</si>
  <si>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</si>
  <si>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</si>
  <si>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</si>
  <si>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</si>
  <si>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</si>
  <si>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</si>
  <si>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</si>
  <si>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</si>
  <si>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</si>
  <si>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</si>
  <si>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</si>
  <si>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</si>
  <si>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</si>
  <si>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</si>
  <si>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</si>
  <si>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</si>
  <si>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</si>
  <si>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</si>
  <si>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</si>
  <si>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</si>
  <si>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</si>
  <si>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</si>
  <si>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</si>
  <si>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</si>
  <si>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</si>
  <si>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</si>
  <si>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</si>
  <si>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</si>
  <si>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</si>
  <si>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</si>
  <si>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</si>
  <si>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</si>
  <si>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</si>
  <si>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</si>
  <si>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</si>
  <si>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</si>
  <si>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</si>
  <si>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</si>
  <si>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</si>
  <si>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</si>
  <si>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</si>
  <si>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</si>
  <si>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</si>
  <si>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</si>
  <si>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</si>
  <si>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</si>
  <si>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</si>
  <si>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</si>
  <si>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</si>
  <si>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</si>
  <si>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</si>
  <si>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</si>
  <si>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</si>
  <si>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</si>
  <si>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</si>
  <si>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</si>
  <si>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</si>
  <si>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</si>
  <si>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</si>
  <si>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</si>
  <si>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</si>
  <si>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</si>
  <si>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</si>
  <si>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</si>
  <si>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</si>
  <si>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</si>
  <si>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</si>
  <si>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</si>
  <si>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</si>
  <si>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</si>
  <si>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</si>
  <si>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</si>
  <si>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</si>
  <si>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</si>
  <si>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</si>
  <si>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</si>
  <si>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</si>
  <si>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</si>
  <si>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</si>
  <si>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</si>
  <si>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</si>
  <si>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</si>
  <si>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</si>
  <si>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</si>
  <si>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</si>
  <si>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</si>
  <si>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</si>
  <si>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</si>
  <si>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</si>
  <si>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</si>
  <si>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</si>
  <si>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</si>
  <si>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</si>
  <si>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</si>
  <si>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</si>
  <si>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</si>
  <si>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</si>
  <si>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</si>
  <si>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</si>
  <si>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</si>
  <si>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</si>
  <si>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</si>
  <si>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</si>
  <si>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</si>
  <si>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</si>
  <si>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</si>
  <si>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</si>
  <si>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</si>
  <si>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</si>
  <si>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</si>
  <si>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</si>
  <si>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</si>
  <si>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</si>
  <si>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</si>
  <si>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</si>
  <si>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</si>
  <si>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</si>
  <si>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</si>
  <si>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</si>
  <si>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</si>
  <si>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</si>
  <si>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</si>
  <si>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</si>
  <si>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</si>
  <si>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</si>
  <si>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</si>
  <si>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</si>
  <si>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</si>
  <si>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</si>
  <si>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</si>
  <si>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</si>
  <si>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</si>
  <si>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</si>
  <si>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</si>
  <si>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</si>
  <si>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</si>
  <si>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</si>
  <si>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</si>
  <si>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</si>
  <si>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</si>
  <si>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</si>
  <si>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</si>
  <si>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</si>
  <si>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</si>
  <si>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</si>
  <si>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</si>
  <si>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</si>
  <si>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</si>
  <si>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</si>
  <si>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</si>
  <si>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</si>
  <si>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</si>
  <si>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</si>
  <si>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</si>
  <si>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</si>
  <si>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</si>
  <si>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</si>
  <si>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</si>
  <si>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</si>
  <si>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</si>
  <si>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</si>
  <si>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</si>
  <si>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</si>
  <si>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</si>
  <si>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</si>
  <si>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</si>
  <si>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</si>
  <si>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</si>
  <si>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</si>
  <si>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</si>
  <si>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</si>
  <si>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</si>
  <si>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</si>
  <si>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</si>
  <si>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</si>
  <si>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</si>
  <si>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</si>
  <si>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</si>
  <si>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</si>
  <si>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</si>
  <si>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</si>
  <si>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</si>
  <si>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</si>
  <si>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</si>
  <si>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</si>
  <si>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</si>
  <si>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</si>
  <si>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</si>
  <si>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</si>
  <si>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</si>
  <si>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</si>
  <si>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</si>
  <si>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</si>
  <si>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</si>
  <si>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</si>
  <si>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</si>
  <si>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</si>
  <si>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</si>
  <si>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</si>
  <si>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</si>
  <si>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</si>
  <si>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</si>
  <si>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</si>
  <si>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</si>
  <si>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</si>
  <si>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</si>
  <si>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</si>
  <si>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</si>
  <si>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</si>
  <si>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</si>
  <si>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</si>
  <si>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</si>
  <si>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</si>
  <si>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</si>
  <si>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</si>
  <si>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</si>
  <si>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</si>
  <si>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</si>
  <si>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</si>
  <si>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</si>
  <si>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</si>
  <si>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</si>
  <si>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</si>
  <si>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</si>
  <si>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</si>
  <si>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</si>
  <si>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</si>
  <si>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</si>
  <si>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</si>
  <si>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</si>
  <si>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</si>
  <si>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</si>
  <si>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</si>
  <si>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</si>
  <si>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</si>
  <si>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</si>
  <si>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</si>
  <si>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</si>
  <si>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</si>
  <si>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</si>
  <si>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</si>
  <si>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</si>
  <si>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</si>
  <si>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</si>
  <si>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</si>
  <si>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</si>
  <si>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</si>
  <si>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</si>
  <si>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</si>
  <si>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</si>
  <si>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</si>
  <si>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</si>
  <si>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</si>
  <si>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</si>
  <si>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</si>
  <si>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</si>
  <si>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</si>
  <si>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</si>
  <si>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</si>
  <si>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</si>
  <si>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</si>
  <si>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</si>
  <si>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</si>
  <si>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</si>
  <si>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</si>
  <si>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</si>
  <si>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</si>
  <si>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</si>
  <si>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</si>
  <si>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</si>
  <si>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</si>
  <si>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</si>
  <si>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</si>
  <si>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</si>
  <si>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</si>
  <si>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</si>
  <si>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</si>
  <si>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</si>
  <si>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</si>
  <si>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</si>
  <si>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</si>
  <si>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</si>
  <si>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</si>
  <si>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</si>
  <si>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</si>
  <si>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</si>
  <si>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</si>
  <si>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</si>
  <si>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</si>
  <si>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</si>
  <si>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</si>
  <si>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</si>
  <si>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</si>
  <si>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</si>
  <si>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</si>
  <si>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</si>
  <si>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</si>
  <si>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</si>
  <si>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</si>
  <si>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</si>
  <si>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</si>
  <si>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</si>
  <si>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</si>
  <si>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</si>
  <si>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</si>
  <si>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</si>
  <si>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</si>
  <si>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</si>
  <si>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</si>
  <si>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</si>
  <si>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</si>
  <si>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</si>
  <si>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</si>
  <si>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</si>
  <si>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</si>
  <si>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</si>
  <si>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</si>
  <si>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</si>
  <si>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</si>
  <si>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</si>
  <si>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</si>
  <si>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</si>
  <si>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</si>
  <si>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</si>
  <si>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</si>
  <si>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</si>
  <si>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</si>
  <si>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</si>
  <si>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</si>
  <si>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</si>
  <si>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</si>
  <si>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</si>
  <si>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</si>
  <si>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</si>
  <si>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</si>
  <si>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</si>
  <si>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</si>
  <si>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</si>
  <si>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</si>
  <si>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</si>
  <si>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</si>
  <si>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</si>
  <si>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</si>
  <si>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</si>
  <si>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</si>
  <si>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</si>
  <si>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</si>
  <si>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</si>
  <si>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</si>
  <si>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</si>
  <si>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</si>
  <si>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</si>
  <si>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</si>
  <si>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</si>
  <si>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</si>
  <si>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</si>
  <si>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</si>
  <si>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</si>
  <si>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</si>
  <si>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</si>
  <si>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</si>
  <si>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</si>
  <si>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</si>
  <si>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</si>
  <si>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</si>
  <si>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</si>
  <si>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</si>
  <si>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</si>
  <si>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</si>
  <si>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</si>
  <si>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</si>
  <si>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</si>
  <si>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</si>
  <si>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</si>
  <si>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</si>
  <si>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</si>
  <si>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</si>
  <si>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</si>
  <si>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</si>
  <si>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</si>
  <si>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</si>
  <si>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</si>
  <si>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</si>
  <si>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</si>
  <si>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</si>
  <si>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</si>
  <si>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</si>
  <si>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</si>
  <si>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</si>
  <si>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</si>
  <si>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</si>
  <si>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</si>
  <si>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</si>
  <si>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</si>
  <si>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</si>
  <si>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</si>
  <si>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</si>
  <si>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</si>
  <si>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</si>
  <si>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</si>
  <si>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</si>
  <si>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</si>
  <si>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</si>
  <si>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</si>
  <si>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</si>
  <si>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</si>
  <si>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</si>
  <si>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</si>
  <si>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</si>
  <si>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</si>
  <si>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</si>
  <si>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</si>
  <si>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</si>
  <si>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</si>
  <si>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</si>
  <si>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</si>
  <si>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</si>
  <si>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</si>
  <si>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</si>
  <si>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</si>
  <si>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</si>
  <si>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</si>
  <si>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</si>
  <si>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</si>
  <si>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</si>
  <si>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</si>
  <si>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</si>
  <si>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</si>
  <si>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</si>
  <si>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</si>
  <si>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</si>
  <si>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</si>
  <si>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</si>
  <si>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</si>
  <si>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</si>
  <si>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</si>
  <si>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</si>
  <si>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</si>
  <si>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</si>
  <si>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</si>
  <si>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</si>
  <si>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</si>
  <si>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</si>
  <si>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</si>
  <si>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</si>
  <si>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</si>
  <si>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</si>
  <si>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</si>
  <si>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</si>
  <si>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</si>
  <si>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</si>
  <si>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</si>
  <si>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</si>
  <si>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</si>
  <si>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</si>
  <si>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</si>
  <si>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</si>
  <si>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</si>
  <si>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</si>
  <si>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</si>
  <si>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</si>
  <si>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</si>
  <si>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</si>
  <si>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</si>
  <si>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</si>
  <si>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</si>
  <si>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</si>
  <si>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</si>
  <si>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</si>
  <si>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</si>
  <si>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</si>
  <si>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</si>
  <si>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</si>
  <si>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</si>
  <si>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</si>
  <si>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</si>
  <si>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</si>
  <si>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</si>
  <si>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</si>
  <si>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</si>
  <si>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</si>
  <si>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</si>
  <si>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</si>
  <si>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</si>
  <si>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</si>
  <si>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</si>
  <si>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</si>
  <si>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</si>
  <si>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</si>
  <si>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</si>
  <si>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</si>
  <si>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</si>
  <si>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</si>
  <si>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</si>
  <si>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</si>
  <si>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</si>
  <si>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</si>
  <si>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</si>
  <si>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</si>
  <si>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</si>
  <si>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</si>
  <si>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</si>
  <si>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</si>
  <si>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</si>
  <si>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</si>
  <si>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</si>
  <si>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</si>
  <si>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</si>
  <si>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</si>
  <si>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</si>
  <si>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</si>
  <si>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</si>
  <si>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</si>
  <si>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</si>
  <si>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</si>
  <si>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</si>
  <si>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</si>
  <si>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</si>
  <si>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</si>
  <si>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</si>
  <si>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</si>
  <si>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</si>
  <si>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</si>
  <si>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</si>
  <si>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</si>
  <si>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</si>
  <si>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</si>
  <si>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</si>
  <si>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</si>
  <si>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</si>
  <si>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</si>
  <si>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</si>
  <si>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</si>
  <si>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</si>
  <si>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</si>
  <si>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</si>
  <si>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</si>
  <si>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</si>
  <si>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</si>
  <si>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</si>
  <si>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</si>
  <si>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</si>
  <si>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</si>
  <si>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</si>
  <si>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</si>
  <si>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</si>
  <si>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</si>
  <si>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</si>
  <si>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</si>
  <si>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</si>
  <si>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</si>
  <si>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</si>
  <si>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</si>
  <si>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</si>
  <si>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</si>
  <si>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</si>
  <si>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</si>
  <si>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</si>
  <si>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</si>
  <si>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</si>
  <si>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</si>
  <si>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</si>
  <si>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</si>
  <si>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</si>
  <si>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</si>
  <si>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</si>
  <si>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</si>
  <si>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</si>
  <si>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</si>
  <si>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</si>
  <si>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</si>
  <si>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</si>
  <si>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</si>
  <si>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</si>
  <si>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</si>
  <si>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</si>
  <si>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</si>
  <si>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</si>
  <si>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</si>
  <si>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</si>
  <si>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</si>
  <si>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</si>
  <si>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</si>
  <si>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</si>
  <si>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</si>
  <si>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</si>
  <si>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</si>
  <si>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</si>
  <si>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</si>
  <si>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</si>
  <si>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</si>
  <si>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</si>
  <si>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</si>
  <si>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</si>
  <si>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</si>
  <si>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</si>
  <si>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</si>
  <si>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</si>
  <si>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</si>
  <si>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</si>
  <si>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</si>
  <si>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</si>
  <si>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</si>
  <si>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</si>
  <si>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</si>
  <si>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</si>
  <si>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</si>
  <si>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</si>
  <si>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</si>
  <si>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</si>
  <si>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</si>
  <si>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</si>
  <si>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</si>
  <si>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</si>
  <si>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</si>
  <si>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</si>
  <si>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</si>
  <si>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</si>
  <si>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</si>
  <si>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</si>
  <si>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</si>
  <si>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</si>
  <si>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</si>
  <si>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</si>
  <si>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</si>
  <si>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</si>
  <si>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</si>
  <si>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</si>
  <si>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</si>
  <si>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</si>
  <si>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</si>
  <si>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</si>
  <si>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</si>
  <si>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</si>
  <si>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</si>
  <si>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</si>
  <si>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</si>
  <si>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</si>
  <si>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</si>
  <si>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</si>
  <si>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</si>
  <si>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</si>
  <si>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</si>
  <si>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</si>
  <si>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</si>
  <si>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</si>
  <si>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</si>
  <si>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</si>
  <si>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</si>
  <si>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</si>
  <si>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</si>
  <si>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</si>
  <si>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</si>
  <si>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</si>
  <si>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</si>
  <si>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</si>
  <si>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</si>
  <si>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</si>
  <si>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</si>
  <si>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</si>
  <si>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</si>
  <si>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</si>
  <si>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</si>
  <si>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</si>
  <si>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</si>
  <si>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</si>
  <si>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</si>
  <si>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</si>
  <si>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</si>
  <si>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</si>
  <si>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</si>
  <si>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</si>
  <si>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</si>
  <si>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</si>
  <si>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</si>
  <si>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</si>
  <si>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</si>
  <si>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</si>
  <si>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</si>
  <si>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</si>
  <si>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</si>
  <si>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</si>
  <si>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</si>
  <si>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</si>
  <si>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</si>
  <si>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</si>
  <si>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</si>
  <si>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</si>
  <si>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</si>
  <si>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</si>
  <si>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</si>
  <si>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</si>
  <si>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</si>
  <si>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</si>
  <si>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</si>
  <si>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</si>
  <si>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</si>
  <si>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</si>
  <si>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</si>
  <si>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</si>
  <si>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</si>
  <si>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</si>
  <si>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</si>
  <si>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</si>
  <si>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</si>
  <si>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</si>
  <si>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</si>
  <si>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</si>
  <si>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</si>
  <si>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</si>
  <si>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</si>
  <si>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</si>
  <si>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</si>
  <si>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</si>
  <si>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</si>
  <si>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</si>
  <si>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</si>
  <si>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</si>
  <si>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</si>
  <si>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</si>
  <si>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</si>
  <si>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</si>
  <si>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</si>
  <si>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</si>
  <si>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</si>
  <si>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</si>
  <si>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</si>
  <si>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</si>
  <si>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</si>
  <si>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</si>
  <si>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</si>
  <si>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</si>
  <si>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</si>
  <si>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</si>
  <si>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</si>
  <si>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</si>
  <si>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</si>
  <si>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</si>
  <si>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</si>
  <si>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</si>
  <si>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</si>
  <si>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</si>
  <si>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</si>
  <si>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</si>
  <si>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</si>
  <si>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</si>
  <si>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</si>
  <si>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</si>
  <si>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</si>
  <si>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</si>
  <si>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</si>
  <si>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</si>
  <si>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</si>
  <si>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</si>
  <si>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</si>
  <si>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</si>
  <si>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</si>
  <si>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</si>
  <si>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</si>
  <si>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</si>
  <si>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</si>
  <si>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</si>
  <si>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</si>
  <si>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</si>
  <si>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</si>
  <si>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</si>
  <si>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</si>
  <si>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</si>
  <si>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</si>
  <si>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</si>
  <si>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</si>
  <si>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</si>
  <si>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</si>
  <si>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</si>
  <si>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</si>
  <si>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</si>
  <si>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</si>
  <si>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</si>
  <si>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</si>
  <si>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</si>
  <si>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</si>
  <si>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</si>
  <si>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</si>
  <si>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</si>
  <si>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</si>
  <si>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</si>
  <si>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</si>
  <si>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</si>
  <si>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</si>
  <si>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</si>
  <si>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</si>
  <si>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</si>
  <si>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</si>
  <si>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</si>
  <si>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</si>
  <si>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</si>
  <si>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</si>
  <si>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</si>
  <si>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</si>
  <si>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</si>
  <si>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</si>
  <si>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</si>
  <si>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</si>
  <si>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</si>
  <si>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</si>
  <si>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</si>
  <si>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</si>
  <si>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</si>
  <si>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</si>
  <si>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</si>
  <si>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</si>
  <si>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</si>
  <si>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</si>
  <si>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</si>
  <si>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</si>
  <si>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</si>
  <si>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</si>
  <si>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</si>
  <si>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</si>
  <si>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</si>
  <si>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</si>
  <si>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</si>
  <si>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</si>
  <si>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</si>
  <si>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</si>
  <si>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</si>
  <si>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</si>
  <si>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</si>
  <si>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</si>
  <si>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</si>
  <si>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</si>
  <si>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</si>
  <si>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</si>
  <si>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</si>
  <si>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</si>
  <si>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</si>
  <si>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</si>
  <si>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</si>
  <si>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</si>
  <si>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</si>
  <si>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</si>
  <si>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</si>
  <si>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</si>
  <si>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</si>
  <si>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</si>
  <si>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</si>
  <si>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</si>
  <si>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</si>
  <si>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</si>
  <si>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</si>
  <si>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</si>
  <si>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</si>
  <si>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</si>
  <si>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</si>
  <si>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</si>
  <si>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</si>
  <si>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</si>
  <si>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</si>
  <si>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</si>
  <si>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</si>
  <si>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</si>
  <si>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</si>
  <si>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</si>
  <si>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</si>
  <si>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</si>
  <si>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</si>
  <si>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</si>
  <si>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</si>
  <si>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</si>
  <si>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</si>
  <si>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</si>
  <si>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</si>
  <si>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</si>
  <si>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</si>
  <si>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</si>
  <si>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</si>
  <si>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</si>
  <si>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</si>
  <si>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</si>
  <si>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</si>
  <si>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</si>
  <si>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</si>
  <si>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</si>
  <si>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</si>
  <si>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</si>
  <si>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</si>
  <si>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</si>
  <si>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</si>
  <si>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</si>
  <si>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</si>
  <si>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</si>
  <si>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</si>
  <si>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</si>
  <si>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</si>
  <si>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</si>
  <si>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</si>
  <si>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</si>
  <si>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</si>
  <si>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</si>
  <si>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</si>
  <si>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</si>
  <si>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</si>
  <si>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</si>
  <si>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</si>
  <si>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</si>
  <si>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</si>
  <si>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</si>
  <si>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</si>
  <si>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</si>
  <si>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</si>
  <si>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</si>
  <si>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</si>
  <si>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</si>
  <si>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</si>
  <si>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</si>
  <si>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</si>
  <si>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</si>
  <si>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</si>
  <si>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</si>
  <si>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</si>
  <si>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</si>
  <si>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</si>
  <si>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</si>
  <si>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</si>
  <si>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</si>
  <si>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</si>
  <si>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</si>
  <si>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</si>
  <si>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</si>
  <si>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</si>
  <si>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</si>
  <si>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</si>
  <si>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</si>
  <si>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</si>
  <si>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</si>
  <si>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</si>
  <si>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</si>
  <si>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</si>
  <si>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</si>
  <si>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</si>
  <si>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</si>
  <si>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</si>
  <si>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</si>
  <si>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</si>
  <si>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</si>
  <si>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</si>
  <si>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</si>
  <si>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</si>
  <si>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</si>
  <si>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</si>
  <si>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</si>
  <si>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</si>
  <si>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</si>
  <si>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</si>
  <si>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</si>
  <si>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</si>
  <si>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</si>
  <si>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</si>
  <si>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</si>
  <si>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</si>
  <si>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</si>
  <si>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</si>
  <si>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</si>
  <si>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</si>
  <si>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</si>
  <si>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</si>
  <si>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</si>
  <si>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</si>
  <si>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</si>
  <si>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</si>
  <si>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</si>
  <si>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</si>
  <si>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</si>
  <si>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</si>
  <si>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</si>
  <si>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</si>
  <si>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</si>
  <si>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</si>
  <si>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</si>
  <si>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</si>
  <si>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</si>
  <si>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</si>
  <si>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</si>
  <si>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</si>
  <si>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</si>
  <si>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</si>
  <si>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</si>
  <si>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</si>
  <si>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</si>
  <si>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</si>
  <si>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</si>
  <si>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</si>
  <si>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</si>
  <si>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</si>
  <si>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</si>
  <si>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</si>
  <si>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</si>
  <si>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</si>
  <si>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</si>
  <si>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</si>
  <si>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</si>
  <si>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</si>
  <si>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</si>
  <si>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</si>
  <si>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</si>
  <si>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</si>
  <si>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</si>
  <si>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</si>
  <si>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</si>
  <si>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</si>
  <si>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</si>
  <si>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</si>
  <si>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</si>
  <si>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</si>
  <si>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</si>
  <si>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</si>
  <si>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</si>
  <si>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</si>
  <si>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</si>
  <si>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</si>
  <si>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</si>
  <si>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</si>
  <si>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</si>
  <si>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</si>
  <si>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</si>
  <si>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</si>
  <si>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</si>
  <si>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</si>
  <si>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</si>
  <si>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</si>
  <si>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</si>
  <si>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</si>
  <si>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</si>
  <si>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</si>
  <si>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</si>
  <si>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</si>
  <si>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</si>
  <si>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</si>
  <si>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</si>
  <si>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</si>
  <si>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</si>
  <si>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</si>
  <si>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</si>
  <si>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</si>
  <si>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</si>
  <si>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</si>
  <si>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</si>
  <si>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</si>
  <si>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</si>
  <si>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</si>
  <si>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</si>
  <si>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</si>
  <si>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</si>
  <si>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</si>
  <si>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</si>
  <si>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</si>
  <si>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</si>
  <si>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</si>
  <si>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</si>
  <si>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</si>
  <si>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</si>
  <si>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</si>
  <si>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</si>
  <si>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</si>
  <si>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</si>
  <si>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</si>
  <si>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</si>
  <si>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</si>
  <si>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</si>
  <si>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</si>
  <si>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</si>
  <si>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</si>
  <si>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</si>
  <si>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</si>
  <si>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</si>
  <si>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</si>
  <si>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</si>
  <si>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</si>
  <si>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</si>
  <si>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</si>
  <si>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</si>
  <si>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</si>
  <si>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</si>
  <si>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</si>
  <si>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</si>
  <si>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</si>
  <si>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</si>
  <si>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</si>
  <si>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</si>
  <si>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</si>
  <si>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</si>
  <si>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</si>
  <si>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</si>
  <si>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</si>
  <si>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</si>
  <si>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</si>
  <si>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</si>
  <si>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</si>
  <si>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</si>
  <si>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</si>
  <si>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</si>
  <si>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</si>
  <si>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</si>
  <si>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</si>
  <si>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</si>
  <si>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</si>
  <si>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</si>
  <si>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</si>
  <si>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</si>
  <si>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</si>
  <si>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</si>
  <si>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</si>
  <si>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</si>
  <si>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</si>
  <si>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</si>
  <si>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</si>
  <si>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</si>
  <si>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</si>
  <si>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</si>
  <si>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</si>
  <si>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</si>
  <si>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</si>
  <si>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</si>
  <si>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</si>
  <si>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</si>
  <si>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</si>
  <si>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</si>
  <si>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</si>
  <si>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</si>
  <si>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</si>
  <si>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</si>
  <si>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</si>
  <si>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</si>
  <si>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</si>
  <si>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</si>
  <si>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</si>
  <si>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</si>
  <si>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</si>
  <si>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</si>
  <si>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</si>
  <si>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</si>
  <si>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</si>
  <si>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</si>
  <si>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</si>
  <si>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</si>
  <si>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</si>
  <si>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</si>
  <si>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</si>
  <si>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</si>
  <si>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</si>
  <si>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</si>
  <si>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</si>
  <si>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</si>
  <si>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</si>
  <si>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</si>
  <si>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</si>
  <si>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</si>
  <si>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</si>
  <si>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</si>
  <si>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</si>
  <si>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</si>
  <si>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</si>
  <si>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</si>
  <si>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</si>
  <si>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</si>
  <si>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</si>
  <si>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</si>
  <si>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</si>
  <si>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</si>
  <si>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</si>
  <si>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</si>
  <si>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</si>
  <si>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</si>
  <si>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</si>
  <si>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</si>
  <si>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</si>
  <si>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</si>
  <si>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</si>
  <si>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</si>
  <si>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</si>
  <si>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</si>
  <si>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</si>
  <si>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</si>
  <si>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</si>
  <si>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</si>
  <si>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</si>
  <si>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</si>
  <si>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</si>
  <si>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</si>
  <si>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</si>
  <si>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</si>
  <si>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</si>
  <si>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</si>
  <si>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</si>
  <si>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</si>
  <si>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</si>
  <si>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</si>
  <si>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</si>
  <si>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</si>
  <si>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</si>
  <si>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</si>
  <si>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</si>
  <si>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</si>
  <si>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</si>
  <si>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</si>
  <si>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</si>
  <si>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</si>
  <si>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</si>
  <si>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</si>
  <si>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</si>
  <si>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</si>
  <si>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</si>
  <si>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</si>
  <si>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</si>
  <si>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</si>
  <si>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</si>
  <si>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</si>
  <si>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</si>
  <si>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</si>
  <si>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</si>
  <si>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</si>
  <si>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</si>
  <si>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</si>
  <si>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</si>
  <si>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</si>
  <si>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</si>
  <si>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</si>
  <si>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</si>
  <si>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</si>
  <si>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</si>
  <si>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</si>
  <si>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</si>
  <si>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</si>
  <si>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</si>
  <si>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</si>
  <si>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</si>
  <si>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</si>
  <si>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</si>
  <si>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</si>
  <si>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</si>
  <si>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</si>
  <si>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</si>
  <si>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</si>
  <si>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</si>
  <si>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</si>
  <si>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</si>
  <si>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</si>
  <si>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</si>
  <si>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</si>
  <si>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</si>
  <si>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</si>
  <si>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</si>
  <si>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</si>
  <si>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</si>
  <si>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</si>
  <si>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</si>
  <si>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</si>
  <si>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</si>
  <si>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</si>
  <si>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</si>
  <si>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</si>
  <si>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</si>
  <si>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</si>
  <si>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</si>
  <si>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</si>
  <si>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</si>
  <si>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</si>
  <si>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</si>
  <si>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</si>
  <si>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</si>
  <si>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</si>
  <si>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</si>
  <si>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</si>
  <si>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</si>
  <si>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</si>
  <si>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</si>
  <si>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</si>
  <si>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</si>
  <si>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</si>
  <si>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</si>
  <si>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</si>
  <si>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</si>
  <si>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</si>
  <si>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</si>
  <si>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</si>
  <si>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</si>
  <si>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</si>
  <si>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</si>
  <si>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</si>
  <si>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</si>
  <si>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</si>
  <si>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</si>
  <si>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</si>
  <si>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</si>
  <si>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</si>
  <si>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</si>
  <si>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</si>
  <si>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</si>
  <si>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</si>
  <si>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</si>
  <si>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</si>
  <si>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</si>
  <si>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</si>
  <si>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</si>
  <si>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</si>
  <si>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</si>
  <si>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</si>
  <si>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</si>
  <si>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</si>
  <si>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</si>
  <si>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</si>
  <si>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</si>
  <si>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</si>
  <si>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</si>
  <si>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</si>
  <si>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</si>
  <si>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</si>
  <si>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</si>
  <si>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</si>
  <si>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</si>
  <si>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</si>
  <si>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</si>
  <si>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</si>
  <si>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</si>
  <si>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</si>
  <si>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</si>
  <si>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</si>
  <si>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</si>
  <si>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</si>
  <si>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</si>
  <si>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</si>
  <si>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</si>
  <si>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</si>
  <si>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</si>
  <si>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</si>
  <si>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</si>
  <si>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</si>
  <si>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</si>
  <si>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</si>
  <si>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</si>
  <si>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</si>
  <si>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</si>
  <si>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</si>
  <si>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</si>
  <si>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</si>
  <si>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</si>
  <si>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</si>
  <si>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</si>
  <si>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</si>
  <si>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</si>
  <si>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</si>
  <si>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</si>
  <si>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</si>
  <si>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</si>
  <si>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</si>
  <si>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</si>
  <si>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</si>
  <si>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</si>
  <si>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</si>
  <si>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</si>
  <si>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</si>
  <si>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</si>
  <si>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</si>
  <si>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</si>
  <si>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</si>
  <si>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</si>
  <si>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</si>
  <si>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</si>
  <si>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</si>
  <si>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</si>
  <si>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</si>
  <si>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</si>
  <si>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</si>
  <si>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</si>
  <si>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</si>
  <si>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</si>
  <si>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</si>
  <si>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</si>
  <si>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</si>
  <si>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</si>
  <si>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</si>
  <si>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</si>
  <si>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</si>
  <si>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</si>
  <si>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</si>
  <si>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</si>
  <si>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</si>
  <si>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</si>
  <si>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</si>
  <si>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</si>
  <si>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</si>
  <si>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</si>
  <si>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</si>
  <si>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</si>
  <si>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</si>
  <si>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</si>
  <si>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</si>
  <si>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</si>
  <si>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</si>
  <si>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</si>
  <si>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</si>
  <si>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</si>
  <si>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</si>
  <si>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</si>
  <si>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</si>
  <si>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</si>
  <si>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</si>
  <si>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</si>
  <si>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</si>
  <si>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</si>
  <si>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</si>
  <si>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</si>
  <si>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</si>
  <si>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</si>
  <si>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</si>
  <si>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</si>
  <si>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</si>
  <si>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</si>
  <si>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</si>
  <si>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</si>
  <si>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</si>
  <si>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</si>
  <si>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</si>
  <si>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</si>
  <si>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</si>
  <si>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</si>
  <si>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</si>
  <si>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</si>
  <si>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</si>
  <si>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</si>
  <si>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</si>
  <si>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</si>
  <si>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</si>
  <si>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</si>
  <si>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</si>
  <si>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</si>
  <si>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</si>
  <si>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</si>
  <si>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</si>
  <si>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</si>
  <si>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</si>
  <si>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</si>
  <si>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</si>
  <si>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</si>
  <si>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</si>
  <si>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</si>
  <si>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</si>
  <si>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</si>
  <si>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</si>
  <si>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</si>
  <si>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</si>
  <si>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</si>
  <si>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</si>
  <si>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</si>
  <si>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</si>
  <si>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</si>
  <si>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</si>
  <si>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</si>
  <si>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</si>
  <si>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</si>
  <si>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</si>
  <si>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</si>
  <si>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</si>
  <si>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</si>
  <si>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</si>
  <si>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</si>
  <si>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</si>
  <si>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</si>
  <si>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</si>
  <si>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</si>
  <si>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</si>
  <si>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</si>
  <si>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</si>
  <si>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</si>
  <si>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</si>
  <si>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</si>
  <si>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</si>
  <si>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</si>
  <si>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</si>
  <si>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</si>
  <si>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</si>
  <si>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</si>
  <si>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</si>
  <si>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</si>
  <si>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</si>
  <si>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</si>
  <si>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</si>
  <si>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</si>
  <si>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</si>
  <si>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</si>
  <si>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</si>
  <si>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</si>
  <si>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</si>
  <si>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</si>
  <si>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</si>
  <si>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</si>
  <si>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</si>
  <si>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</si>
  <si>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</si>
  <si>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</si>
  <si>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</si>
  <si>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</si>
  <si>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</si>
  <si>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</si>
  <si>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</si>
  <si>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</si>
  <si>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</si>
  <si>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</si>
  <si>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</si>
  <si>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</si>
  <si>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</si>
  <si>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</si>
  <si>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</si>
  <si>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</si>
  <si>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</si>
  <si>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</si>
  <si>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</si>
  <si>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</si>
  <si>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</si>
  <si>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</si>
  <si>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</si>
  <si>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</si>
  <si>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</si>
  <si>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</si>
  <si>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</si>
  <si>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</si>
  <si>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</si>
  <si>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</si>
  <si>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</si>
  <si>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</si>
  <si>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</si>
  <si>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</si>
  <si>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</si>
  <si>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</si>
  <si>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</si>
  <si>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</si>
  <si>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</si>
  <si>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</si>
  <si>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</si>
  <si>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</si>
  <si>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</si>
  <si>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</si>
  <si>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</si>
  <si>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</si>
  <si>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</si>
  <si>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</si>
  <si>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</si>
  <si>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</si>
  <si>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</si>
  <si>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</si>
  <si>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</si>
  <si>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</si>
  <si>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</si>
  <si>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</si>
  <si>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</si>
  <si>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</si>
  <si>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</si>
  <si>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</si>
  <si>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</si>
  <si>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</si>
  <si>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</si>
  <si>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</si>
  <si>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</si>
  <si>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</si>
  <si>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</si>
  <si>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</si>
  <si>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</si>
  <si>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</si>
  <si>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</si>
  <si>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</si>
  <si>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</si>
  <si>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</si>
  <si>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</si>
  <si>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</si>
  <si>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</si>
  <si>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</si>
  <si>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</si>
  <si>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</si>
  <si>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</si>
  <si>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</si>
  <si>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</si>
  <si>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</si>
  <si>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</si>
  <si>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</si>
  <si>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</si>
  <si>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</si>
  <si>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</si>
  <si>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</si>
  <si>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</si>
  <si>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</si>
  <si>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</si>
  <si>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</si>
  <si>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</si>
  <si>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</si>
  <si>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</si>
  <si>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</si>
  <si>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</si>
  <si>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</si>
  <si>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</si>
  <si>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</si>
  <si>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</si>
  <si>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</si>
  <si>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</si>
  <si>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</si>
  <si>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</si>
  <si>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</si>
  <si>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</si>
  <si>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</si>
  <si>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</si>
  <si>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</si>
  <si>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</si>
  <si>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</si>
  <si>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</si>
  <si>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</si>
  <si>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</si>
  <si>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</si>
  <si>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</si>
  <si>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</si>
  <si>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</si>
  <si>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</si>
  <si>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</si>
  <si>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</si>
  <si>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</si>
  <si>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</si>
  <si>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</si>
  <si>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</si>
  <si>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</si>
  <si>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</si>
  <si>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</si>
  <si>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</si>
  <si>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</si>
  <si>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</si>
  <si>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</si>
  <si>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</si>
  <si>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</si>
  <si>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</si>
  <si>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</si>
  <si>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</si>
  <si>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</si>
  <si>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</si>
  <si>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</si>
  <si>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</si>
  <si>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</si>
  <si>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</si>
  <si>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</si>
  <si>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</si>
  <si>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</si>
  <si>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</si>
  <si>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</si>
  <si>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</si>
  <si>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</si>
  <si>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</si>
  <si>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</si>
  <si>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</si>
  <si>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</si>
  <si>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</si>
  <si>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</si>
  <si>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</si>
  <si>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</si>
  <si>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</si>
  <si>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</si>
  <si>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</si>
  <si>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</si>
  <si>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</si>
  <si>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</si>
  <si>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</si>
  <si>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</si>
  <si>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</si>
  <si>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</si>
  <si>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</si>
  <si>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</si>
  <si>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</si>
  <si>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</si>
  <si>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</si>
  <si>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</si>
  <si>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</si>
  <si>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</si>
  <si>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</si>
  <si>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</si>
  <si>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</si>
  <si>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</si>
  <si>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</si>
  <si>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</si>
  <si>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</si>
  <si>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</si>
  <si>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</si>
  <si>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</si>
  <si>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</si>
  <si>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</si>
  <si>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</si>
  <si>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</si>
  <si>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</si>
  <si>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</si>
  <si>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</si>
  <si>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</si>
  <si>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</si>
  <si>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</si>
  <si>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</si>
  <si>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</si>
  <si>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</si>
  <si>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</si>
  <si>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</si>
  <si>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</si>
  <si>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</si>
  <si>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</si>
  <si>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</si>
  <si>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</si>
  <si>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</si>
  <si>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</si>
  <si>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</si>
  <si>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</si>
  <si>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</si>
  <si>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</si>
  <si>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</si>
  <si>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</si>
  <si>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</si>
  <si>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</si>
  <si>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</si>
  <si>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</si>
  <si>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</si>
  <si>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</si>
  <si>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</si>
  <si>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</si>
  <si>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</si>
  <si>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</si>
  <si>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</si>
  <si>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</si>
  <si>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</si>
  <si>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</si>
  <si>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</si>
  <si>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</si>
  <si>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</si>
  <si>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</si>
  <si>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</si>
  <si>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</si>
  <si>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</si>
  <si>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</si>
  <si>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</si>
  <si>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</si>
  <si>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</si>
  <si>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</si>
  <si>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</si>
  <si>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</si>
  <si>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</si>
  <si>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</si>
  <si>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</si>
  <si>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</si>
  <si>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</si>
  <si>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</si>
  <si>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</si>
  <si>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</si>
  <si>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</si>
  <si>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</si>
  <si>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</si>
  <si>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</si>
  <si>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</si>
  <si>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</si>
  <si>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</si>
  <si>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</si>
  <si>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</si>
  <si>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</si>
  <si>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</si>
  <si>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</si>
  <si>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</si>
  <si>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</si>
  <si>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</si>
  <si>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</si>
  <si>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</si>
  <si>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</si>
  <si>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</si>
  <si>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</si>
  <si>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</si>
  <si>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</si>
  <si>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</si>
  <si>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</si>
  <si>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</si>
  <si>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</si>
  <si>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</si>
  <si>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</si>
  <si>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</si>
  <si>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</si>
  <si>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</si>
  <si>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</si>
  <si>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</si>
  <si>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</si>
  <si>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</si>
  <si>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</si>
  <si>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</si>
  <si>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</si>
  <si>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</si>
  <si>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</si>
  <si>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</si>
  <si>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</si>
  <si>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</si>
  <si>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</si>
  <si>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</si>
  <si>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</si>
  <si>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</si>
  <si>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</si>
  <si>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</si>
  <si>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</si>
  <si>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</si>
  <si>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</si>
  <si>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</si>
  <si>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</si>
  <si>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</si>
  <si>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</si>
  <si>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</si>
  <si>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</si>
  <si>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</si>
  <si>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</si>
  <si>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</si>
  <si>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</si>
  <si>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</si>
  <si>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</si>
  <si>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</si>
  <si>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</si>
  <si>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</si>
  <si>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</si>
  <si>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</si>
  <si>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</si>
  <si>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</si>
  <si>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</si>
  <si>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</si>
  <si>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</si>
  <si>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</si>
  <si>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</si>
  <si>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</si>
  <si>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</si>
  <si>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</si>
  <si>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</si>
  <si>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</si>
  <si>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</si>
  <si>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</si>
  <si>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</si>
  <si>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</si>
  <si>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</si>
  <si>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</si>
  <si>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</si>
  <si>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</si>
  <si>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</si>
  <si>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</si>
  <si>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</si>
  <si>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</si>
  <si>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</si>
  <si>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</si>
  <si>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</si>
  <si>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</si>
  <si>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</si>
  <si>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</si>
  <si>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</si>
  <si>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</si>
  <si>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</si>
  <si>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</si>
  <si>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</si>
  <si>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</si>
  <si>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</si>
  <si>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</si>
  <si>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</si>
  <si>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</si>
  <si>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</si>
  <si>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</si>
  <si>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</si>
  <si>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</si>
  <si>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</si>
  <si>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</si>
  <si>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</si>
  <si>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</si>
  <si>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</si>
  <si>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</si>
  <si>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</si>
  <si>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</si>
  <si>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</si>
  <si>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</si>
  <si>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</si>
  <si>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</si>
  <si>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</si>
  <si>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</si>
  <si>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</si>
  <si>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</si>
  <si>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</si>
  <si>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</si>
  <si>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</si>
  <si>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</si>
  <si>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</si>
  <si>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</si>
  <si>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</si>
  <si>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</si>
  <si>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</si>
  <si>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</si>
  <si>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</si>
  <si>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</si>
  <si>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</si>
  <si>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</si>
  <si>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</si>
  <si>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</si>
  <si>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</si>
  <si>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</si>
  <si>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</si>
  <si>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</si>
  <si>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</si>
  <si>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</si>
  <si>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</si>
  <si>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</si>
  <si>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</si>
  <si>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</si>
  <si>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</si>
  <si>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</si>
  <si>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</si>
  <si>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</si>
  <si>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</si>
  <si>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</si>
  <si>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</si>
  <si>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</si>
  <si>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</si>
  <si>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</si>
  <si>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</si>
  <si>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</si>
  <si>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</si>
  <si>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</si>
  <si>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</si>
  <si>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</si>
  <si>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</si>
  <si>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</si>
  <si>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</si>
  <si>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</si>
  <si>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</si>
  <si>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</si>
  <si>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</si>
  <si>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</si>
  <si>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</si>
  <si>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</si>
  <si>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</si>
  <si>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</si>
  <si>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</si>
  <si>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</si>
  <si>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</si>
  <si>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</si>
  <si>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</si>
  <si>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</si>
  <si>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</si>
  <si>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</si>
  <si>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</si>
  <si>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</si>
  <si>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</si>
  <si>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</si>
  <si>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</si>
  <si>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</si>
  <si>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</si>
  <si>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</si>
  <si>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</si>
  <si>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</si>
  <si>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</si>
  <si>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</si>
  <si>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</si>
  <si>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</si>
  <si>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</si>
  <si>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</si>
  <si>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</si>
  <si>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</si>
  <si>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</si>
  <si>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</si>
  <si>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</si>
  <si>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</si>
  <si>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</si>
  <si>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</si>
  <si>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</si>
  <si>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</si>
  <si>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</si>
  <si>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</si>
  <si>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</si>
  <si>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</si>
  <si>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</si>
  <si>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</si>
  <si>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</si>
  <si>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</si>
  <si>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</si>
  <si>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</si>
  <si>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</si>
  <si>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</si>
  <si>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</si>
  <si>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</si>
  <si>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</si>
  <si>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</si>
  <si>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</si>
  <si>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</si>
  <si>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</si>
  <si>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</si>
  <si>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</si>
  <si>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</si>
  <si>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</si>
  <si>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</si>
  <si>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</si>
  <si>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</si>
  <si>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</si>
  <si>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</si>
  <si>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</si>
  <si>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</si>
  <si>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</si>
  <si>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</si>
  <si>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</si>
  <si>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</si>
  <si>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</si>
  <si>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</si>
  <si>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</si>
  <si>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</si>
  <si>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</si>
  <si>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</si>
  <si>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</si>
  <si>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</si>
  <si>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</si>
  <si>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</si>
  <si>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</si>
  <si>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</si>
  <si>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</si>
  <si>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</si>
  <si>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</si>
  <si>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</si>
  <si>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</si>
  <si>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</si>
  <si>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</si>
  <si>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</si>
  <si>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</si>
  <si>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</si>
  <si>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</si>
  <si>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</si>
  <si>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</si>
  <si>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</si>
  <si>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</si>
  <si>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</si>
  <si>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</si>
  <si>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</si>
  <si>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</si>
  <si>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</si>
  <si>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</si>
  <si>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</si>
  <si>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</si>
  <si>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</si>
  <si>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</si>
  <si>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</si>
  <si>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</si>
  <si>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</si>
  <si>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</si>
  <si>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</si>
  <si>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</si>
  <si>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</si>
  <si>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</si>
  <si>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</si>
  <si>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</si>
  <si>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</si>
  <si>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</si>
  <si>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</si>
  <si>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</si>
  <si>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</si>
  <si>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</si>
  <si>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</si>
  <si>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</si>
  <si>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</si>
  <si>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</si>
  <si>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</si>
  <si>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</si>
  <si>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</si>
  <si>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</si>
  <si>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</si>
  <si>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</si>
  <si>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</si>
  <si>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</si>
  <si>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</si>
  <si>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</si>
  <si>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</si>
  <si>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</si>
  <si>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</si>
  <si>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</si>
  <si>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</si>
  <si>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</si>
  <si>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</si>
  <si>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</si>
  <si>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</si>
  <si>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</si>
  <si>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</si>
  <si>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</si>
  <si>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</si>
  <si>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</si>
  <si>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</si>
  <si>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</si>
  <si>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</si>
  <si>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</si>
  <si>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</si>
  <si>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</si>
  <si>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</si>
  <si>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</si>
  <si>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</si>
  <si>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</si>
  <si>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</si>
  <si>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</si>
  <si>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</si>
  <si>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</si>
  <si>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</si>
  <si>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</si>
  <si>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</si>
  <si>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</si>
  <si>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</si>
  <si>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</si>
  <si>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</si>
  <si>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</si>
  <si>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</si>
  <si>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</si>
  <si>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</si>
  <si>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</si>
  <si>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</si>
  <si>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</si>
  <si>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</si>
  <si>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</si>
  <si>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</si>
  <si>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</si>
  <si>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</si>
  <si>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</si>
  <si>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</si>
  <si>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</si>
  <si>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</si>
  <si>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</si>
  <si>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</si>
  <si>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</si>
  <si>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</si>
  <si>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</si>
  <si>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</si>
  <si>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</si>
  <si>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</si>
  <si>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</si>
  <si>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</si>
  <si>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</si>
  <si>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</si>
  <si>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</si>
  <si>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</si>
  <si>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</si>
  <si>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</si>
  <si>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</si>
  <si>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</si>
  <si>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</si>
  <si>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</si>
  <si>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</si>
  <si>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</si>
  <si>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</si>
  <si>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</si>
  <si>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</si>
  <si>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</si>
  <si>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</si>
  <si>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</si>
  <si>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</si>
  <si>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</si>
  <si>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</si>
  <si>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</si>
  <si>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</si>
  <si>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</si>
  <si>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</si>
  <si>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</si>
  <si>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</si>
  <si>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</si>
  <si>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</si>
  <si>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</si>
  <si>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</si>
  <si>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</si>
  <si>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</si>
  <si>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</si>
  <si>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</si>
  <si>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</si>
  <si>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</si>
  <si>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</si>
  <si>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</si>
  <si>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</si>
  <si>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</si>
  <si>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</si>
  <si>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</si>
  <si>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</si>
  <si>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</si>
  <si>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</si>
  <si>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</si>
  <si>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</si>
  <si>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</si>
  <si>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</si>
  <si>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</si>
  <si>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</si>
  <si>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</si>
  <si>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</si>
  <si>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</si>
  <si>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</si>
  <si>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</si>
  <si>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</si>
  <si>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</si>
  <si>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</si>
  <si>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</si>
  <si>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</si>
  <si>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</si>
  <si>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</si>
  <si>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</si>
  <si>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</si>
  <si>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</si>
  <si>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</si>
  <si>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</si>
  <si>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</si>
  <si>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</si>
  <si>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</si>
  <si>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</si>
  <si>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</si>
  <si>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</si>
  <si>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</si>
  <si>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</si>
  <si>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</si>
  <si>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</si>
  <si>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</si>
  <si>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</si>
  <si>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</si>
  <si>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</si>
  <si>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</si>
  <si>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</si>
  <si>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</si>
  <si>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</si>
  <si>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</si>
  <si>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</si>
  <si>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</si>
  <si>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</si>
  <si>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</si>
  <si>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</si>
  <si>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</si>
  <si>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</si>
  <si>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</si>
  <si>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</si>
  <si>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</si>
  <si>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</si>
  <si>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</si>
  <si>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</si>
  <si>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</si>
  <si>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</si>
  <si>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</si>
  <si>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</si>
  <si>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</si>
  <si>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</si>
  <si>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</si>
  <si>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</si>
  <si>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</si>
  <si>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</si>
  <si>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</si>
  <si>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</si>
  <si>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</si>
  <si>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</si>
  <si>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</si>
  <si>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</si>
  <si>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</si>
  <si>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</si>
  <si>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</si>
  <si>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</si>
  <si>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</si>
  <si>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</si>
  <si>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</si>
  <si>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</si>
  <si>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</si>
  <si>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</si>
  <si>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</si>
  <si>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</si>
  <si>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</si>
  <si>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</si>
  <si>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</si>
  <si>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</si>
  <si>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</si>
  <si>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</si>
  <si>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</si>
  <si>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</si>
  <si>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</si>
  <si>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</si>
  <si>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</si>
  <si>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</si>
  <si>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</si>
  <si>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</si>
  <si>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</si>
  <si>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</si>
  <si>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</si>
  <si>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</si>
  <si>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</si>
  <si>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</si>
  <si>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</si>
  <si>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</si>
  <si>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</si>
  <si>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</si>
  <si>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</si>
  <si>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</si>
  <si>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</si>
  <si>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</si>
  <si>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</si>
  <si>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</si>
  <si>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</si>
  <si>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</si>
  <si>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</si>
  <si>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</si>
  <si>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</si>
  <si>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</si>
  <si>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</si>
  <si>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</si>
  <si>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</si>
  <si>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</si>
  <si>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</si>
  <si>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</si>
  <si>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</si>
  <si>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</si>
  <si>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</si>
  <si>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</si>
  <si>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</si>
  <si>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</si>
  <si>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</si>
  <si>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</si>
  <si>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</si>
  <si>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</si>
  <si>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</si>
  <si>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</si>
  <si>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</si>
  <si>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</si>
  <si>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</si>
  <si>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</si>
  <si>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</si>
  <si>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</si>
  <si>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</si>
  <si>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</si>
  <si>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</si>
  <si>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</si>
  <si>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</si>
  <si>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</si>
  <si>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</si>
  <si>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</si>
  <si>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</si>
  <si>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</si>
  <si>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</si>
  <si>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</si>
  <si>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</si>
  <si>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</si>
  <si>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</si>
  <si>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</si>
  <si>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</si>
  <si>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</si>
  <si>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</si>
  <si>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</si>
  <si>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</si>
  <si>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</si>
  <si>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</si>
  <si>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</si>
  <si>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</si>
  <si>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</si>
  <si>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</si>
  <si>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</si>
  <si>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</si>
  <si>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</si>
  <si>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</si>
  <si>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</si>
  <si>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</si>
  <si>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</si>
  <si>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</si>
  <si>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</si>
  <si>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</si>
  <si>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</si>
  <si>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</si>
  <si>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</si>
  <si>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</si>
  <si>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</si>
  <si>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</si>
  <si>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</si>
  <si>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</si>
  <si>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</si>
  <si>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</si>
  <si>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</si>
  <si>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</si>
  <si>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</si>
  <si>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</si>
  <si>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</si>
  <si>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</si>
  <si>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</si>
  <si>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</si>
  <si>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</si>
  <si>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</si>
  <si>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</si>
  <si>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</si>
  <si>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</si>
  <si>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</si>
  <si>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</si>
  <si>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</si>
  <si>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</si>
  <si>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</si>
  <si>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</si>
  <si>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</si>
  <si>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</si>
  <si>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</si>
  <si>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</si>
  <si>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</si>
  <si>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</si>
  <si>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</si>
  <si>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</si>
  <si>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</si>
  <si>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</si>
  <si>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</si>
  <si>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</si>
  <si>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</si>
  <si>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</si>
  <si>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</si>
  <si>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</si>
  <si>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</si>
  <si>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</si>
  <si>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</si>
  <si>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</si>
  <si>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</si>
  <si>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</si>
  <si>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</si>
  <si>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</si>
  <si>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</si>
  <si>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</si>
  <si>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</si>
  <si>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</si>
  <si>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</si>
  <si>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</si>
  <si>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</si>
  <si>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</si>
  <si>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</si>
  <si>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</si>
  <si>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</si>
  <si>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</si>
  <si>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</si>
  <si>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</si>
  <si>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</si>
  <si>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</si>
  <si>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</si>
  <si>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</si>
  <si>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</si>
  <si>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</si>
  <si>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</si>
  <si>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</si>
  <si>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</si>
  <si>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</si>
  <si>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</si>
  <si>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</si>
  <si>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</si>
  <si>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</si>
  <si>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</si>
  <si>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</si>
  <si>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</si>
  <si>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</si>
  <si>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</si>
  <si>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</si>
  <si>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</si>
  <si>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</si>
  <si>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</si>
  <si>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</si>
  <si>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</si>
  <si>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</si>
  <si>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</si>
  <si>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</si>
  <si>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</si>
  <si>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</si>
  <si>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</si>
  <si>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</si>
  <si>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</si>
  <si>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</si>
  <si>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</si>
  <si>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</si>
  <si>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</si>
  <si>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</si>
  <si>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</si>
  <si>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</si>
  <si>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</si>
  <si>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</si>
  <si>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</si>
  <si>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</si>
  <si>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</si>
  <si>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</si>
  <si>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</si>
  <si>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</si>
  <si>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</si>
  <si>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</si>
  <si>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</si>
  <si>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</si>
  <si>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</si>
  <si>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</si>
  <si>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</si>
  <si>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</si>
  <si>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</si>
  <si>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</si>
  <si>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</si>
  <si>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</si>
  <si>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</si>
  <si>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</si>
  <si>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</si>
  <si>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</si>
  <si>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</si>
  <si>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</si>
  <si>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</si>
  <si>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</si>
  <si>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</si>
  <si>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</si>
  <si>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</si>
  <si>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</si>
  <si>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</si>
  <si>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</si>
  <si>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</si>
  <si>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</si>
  <si>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</si>
  <si>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</si>
  <si>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</si>
  <si>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</si>
  <si>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</si>
  <si>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</si>
  <si>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</si>
  <si>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</si>
  <si>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</si>
  <si>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</si>
  <si>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</si>
  <si>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</si>
  <si>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</si>
  <si>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</si>
  <si>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</si>
  <si>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</si>
  <si>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</si>
  <si>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</si>
  <si>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</si>
  <si>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</si>
  <si>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</si>
  <si>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</si>
  <si>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</si>
  <si>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</si>
  <si>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</si>
  <si>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</si>
  <si>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</si>
  <si>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</si>
  <si>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</si>
  <si>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</si>
  <si>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</si>
  <si>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</si>
  <si>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</si>
  <si>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</si>
  <si>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</si>
  <si>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</si>
  <si>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</si>
  <si>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</si>
  <si>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</si>
  <si>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</si>
  <si>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</si>
  <si>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</si>
  <si>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</si>
  <si>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</si>
  <si>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</si>
  <si>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</si>
  <si>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</si>
  <si>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</si>
  <si>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</si>
  <si>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</si>
  <si>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</si>
  <si>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</si>
  <si>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</si>
  <si>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</si>
  <si>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</si>
  <si>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</si>
  <si>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</si>
  <si>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</si>
  <si>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</si>
  <si>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</si>
  <si>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</si>
  <si>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</si>
  <si>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</si>
  <si>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</si>
  <si>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</si>
  <si>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</si>
  <si>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</si>
  <si>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</si>
  <si>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</si>
  <si>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</si>
  <si>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</si>
  <si>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</si>
  <si>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</si>
  <si>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</si>
  <si>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</si>
  <si>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</si>
  <si>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</si>
  <si>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</si>
  <si>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</si>
  <si>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</si>
  <si>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</si>
  <si>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</si>
  <si>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</si>
  <si>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</si>
  <si>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</si>
  <si>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</si>
  <si>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</si>
  <si>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</si>
  <si>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</si>
  <si>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</si>
  <si>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</si>
  <si>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</si>
  <si>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</si>
  <si>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</si>
  <si>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</si>
  <si>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</si>
  <si>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</si>
  <si>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</si>
  <si>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</si>
  <si>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</si>
  <si>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</si>
  <si>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</si>
  <si>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</si>
  <si>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</si>
  <si>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</si>
  <si>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</si>
  <si>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</si>
  <si>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</si>
  <si>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</si>
  <si>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</si>
  <si>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</si>
  <si>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</si>
  <si>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</si>
  <si>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</si>
  <si>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</si>
  <si>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</si>
  <si>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</si>
  <si>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</si>
  <si>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</si>
  <si>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</si>
  <si>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</si>
  <si>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</si>
  <si>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</si>
  <si>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</si>
  <si>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</si>
  <si>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</si>
  <si>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</si>
  <si>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</si>
  <si>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</si>
  <si>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</si>
  <si>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</si>
  <si>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</si>
  <si>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</si>
  <si>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</si>
  <si>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</si>
  <si>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</si>
  <si>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</si>
  <si>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</si>
  <si>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</si>
  <si>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</si>
  <si>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</si>
  <si>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</si>
  <si>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</si>
  <si>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</si>
  <si>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</si>
  <si>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</si>
  <si>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</si>
  <si>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</si>
  <si>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</si>
  <si>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</si>
  <si>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</si>
  <si>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</si>
  <si>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</si>
  <si>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</si>
  <si>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</si>
  <si>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</si>
  <si>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</si>
  <si>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</si>
  <si>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</si>
  <si>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</si>
  <si>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</si>
  <si>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</si>
  <si>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</si>
  <si>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</si>
  <si>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</si>
  <si>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</si>
  <si>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</si>
  <si>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</si>
  <si>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</si>
  <si>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</si>
  <si>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</si>
  <si>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</si>
  <si>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</si>
  <si>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</si>
  <si>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</si>
  <si>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</si>
  <si>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</si>
  <si>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</si>
  <si>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</si>
  <si>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</si>
  <si>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</si>
  <si>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</si>
  <si>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</si>
  <si>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</si>
  <si>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</si>
  <si>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</si>
  <si>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</si>
  <si>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</si>
  <si>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</si>
  <si>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</si>
  <si>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</si>
  <si>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</si>
  <si>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</si>
  <si>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</si>
  <si>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</si>
  <si>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</si>
  <si>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</si>
  <si>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</si>
  <si>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</si>
  <si>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</si>
  <si>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</si>
  <si>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</si>
  <si>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</si>
  <si>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</si>
  <si>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</si>
  <si>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</si>
  <si>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</si>
  <si>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</si>
  <si>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</si>
  <si>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</si>
  <si>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</si>
  <si>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</si>
  <si>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</si>
  <si>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</si>
  <si>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</si>
  <si>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</si>
  <si>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</si>
  <si>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</si>
  <si>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</si>
  <si>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</si>
  <si>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</si>
  <si>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</si>
  <si>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</si>
  <si>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</si>
  <si>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</si>
  <si>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</si>
  <si>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</si>
  <si>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</si>
  <si>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</si>
  <si>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</si>
  <si>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</si>
  <si>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</si>
  <si>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</si>
  <si>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</si>
  <si>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</si>
  <si>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</si>
  <si>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</si>
  <si>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</si>
  <si>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</si>
  <si>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</si>
  <si>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</si>
  <si>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</si>
  <si>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</si>
  <si>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</si>
  <si>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</si>
  <si>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</si>
  <si>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</si>
  <si>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</si>
  <si>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</si>
  <si>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</si>
  <si>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</si>
  <si>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</si>
  <si>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</si>
  <si>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</si>
  <si>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</si>
  <si>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</si>
  <si>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</si>
  <si>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</si>
  <si>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</si>
  <si>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</si>
  <si>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</si>
  <si>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</si>
  <si>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</si>
  <si>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</si>
  <si>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</si>
  <si>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</si>
  <si>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</si>
  <si>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</si>
  <si>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</si>
  <si>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</si>
  <si>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</si>
  <si>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</si>
  <si>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</si>
  <si>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</si>
  <si>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</si>
  <si>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</si>
  <si>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</si>
  <si>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</si>
  <si>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</si>
  <si>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</si>
  <si>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</si>
  <si>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</si>
  <si>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</si>
  <si>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</si>
  <si>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</si>
  <si>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</si>
  <si>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</si>
  <si>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</si>
  <si>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</si>
  <si>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</si>
  <si>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</si>
  <si>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</si>
  <si>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</si>
  <si>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</si>
  <si>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</si>
  <si>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</si>
  <si>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</si>
  <si>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</si>
  <si>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</si>
  <si>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</si>
  <si>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</si>
  <si>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</si>
  <si>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</si>
  <si>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</si>
  <si>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</si>
  <si>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</si>
  <si>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</si>
  <si>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</si>
  <si>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</si>
  <si>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</si>
  <si>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</si>
  <si>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</si>
  <si>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</si>
  <si>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</si>
  <si>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</si>
  <si>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</si>
  <si>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</si>
  <si>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</si>
  <si>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</si>
  <si>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</si>
  <si>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</si>
  <si>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</si>
  <si>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</si>
  <si>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</si>
  <si>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</si>
  <si>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</si>
  <si>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</si>
  <si>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</si>
  <si>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</si>
  <si>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</si>
  <si>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</si>
  <si>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</si>
  <si>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</si>
  <si>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</si>
  <si>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</si>
  <si>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</si>
  <si>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</si>
  <si>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</si>
  <si>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</si>
  <si>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</si>
  <si>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</si>
  <si>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</si>
  <si>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</si>
  <si>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</si>
  <si>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</si>
  <si>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</si>
  <si>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</si>
  <si>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</si>
  <si>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</si>
  <si>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</si>
  <si>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</si>
  <si>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</si>
  <si>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</si>
  <si>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</si>
  <si>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</si>
  <si>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</si>
  <si>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</si>
  <si>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</si>
  <si>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</si>
  <si>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</si>
  <si>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</si>
  <si>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</si>
  <si>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</si>
  <si>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</si>
  <si>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</si>
  <si>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</si>
  <si>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</si>
  <si>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</si>
  <si>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</si>
  <si>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</si>
  <si>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</si>
  <si>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</si>
  <si>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</si>
  <si>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</si>
  <si>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</si>
  <si>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</si>
  <si>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</si>
  <si>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</si>
  <si>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</si>
  <si>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</si>
  <si>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</si>
  <si>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</si>
  <si>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</si>
  <si>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</si>
  <si>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</si>
  <si>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</si>
  <si>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</si>
  <si>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</si>
  <si>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</si>
  <si>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</si>
  <si>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</si>
  <si>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</si>
  <si>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</si>
  <si>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</si>
  <si>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</si>
  <si>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</si>
  <si>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</si>
  <si>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</si>
  <si>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</si>
  <si>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</si>
  <si>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</si>
  <si>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</si>
  <si>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</si>
  <si>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</si>
  <si>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</si>
  <si>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</si>
  <si>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</si>
  <si>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</si>
  <si>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</si>
  <si>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</si>
  <si>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</si>
  <si>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</si>
  <si>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</si>
  <si>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</si>
  <si>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</si>
  <si>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</si>
  <si>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</si>
  <si>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</si>
  <si>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</si>
  <si>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</si>
  <si>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</si>
  <si>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</si>
  <si>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</si>
  <si>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</si>
  <si>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</si>
  <si>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</si>
  <si>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</si>
  <si>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</si>
  <si>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</si>
  <si>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</si>
  <si>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</si>
  <si>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</si>
  <si>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</si>
  <si>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</si>
  <si>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</si>
  <si>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</si>
  <si>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</si>
  <si>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</si>
  <si>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</si>
  <si>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</si>
  <si>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</si>
  <si>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</si>
  <si>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</si>
  <si>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</si>
  <si>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</si>
  <si>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</si>
  <si>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</si>
  <si>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</si>
  <si>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</si>
  <si>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</si>
  <si>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</si>
  <si>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</si>
  <si>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</si>
  <si>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</si>
  <si>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</si>
  <si>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</si>
  <si>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</si>
  <si>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</si>
  <si>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</si>
  <si>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</si>
  <si>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</si>
  <si>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</si>
  <si>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</si>
  <si>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</si>
  <si>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</si>
  <si>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</si>
  <si>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</si>
  <si>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</si>
  <si>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</si>
  <si>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</si>
  <si>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</si>
  <si>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</si>
  <si>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</si>
  <si>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</si>
  <si>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</si>
  <si>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</si>
  <si>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</si>
  <si>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</si>
  <si>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</si>
  <si>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</si>
  <si>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</si>
  <si>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</si>
  <si>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</si>
  <si>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</si>
  <si>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</si>
  <si>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</si>
  <si>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</si>
  <si>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</si>
  <si>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</si>
  <si>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</si>
  <si>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</si>
  <si>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</si>
  <si>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</si>
  <si>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</si>
  <si>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</si>
  <si>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</si>
  <si>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</si>
  <si>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</si>
  <si>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</si>
  <si>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</si>
  <si>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</si>
  <si>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</si>
  <si>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</si>
  <si>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</si>
  <si>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</si>
  <si>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</si>
  <si>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</si>
  <si>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</si>
  <si>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</si>
  <si>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</si>
  <si>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</si>
  <si>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</si>
  <si>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</si>
  <si>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</si>
  <si>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</si>
  <si>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</si>
  <si>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</si>
  <si>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</si>
  <si>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</si>
  <si>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</si>
  <si>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</si>
  <si>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</si>
  <si>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</si>
  <si>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</si>
  <si>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</si>
  <si>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</si>
  <si>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</si>
  <si>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</si>
  <si>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</si>
  <si>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</si>
  <si>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</si>
  <si>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</si>
  <si>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</si>
  <si>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</si>
  <si>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</si>
  <si>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</si>
  <si>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</si>
  <si>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</si>
  <si>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</si>
  <si>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</si>
  <si>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</si>
  <si>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</si>
  <si>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</si>
  <si>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</si>
  <si>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</si>
  <si>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</si>
  <si>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</si>
  <si>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</si>
  <si>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</si>
  <si>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</si>
  <si>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</si>
  <si>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</si>
  <si>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</si>
  <si>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</si>
  <si>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</si>
  <si>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</si>
  <si>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</si>
  <si>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</si>
  <si>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</si>
  <si>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</si>
  <si>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</si>
  <si>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</si>
  <si>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</si>
  <si>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</si>
  <si>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</si>
  <si>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</si>
  <si>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</si>
  <si>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</si>
  <si>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</si>
  <si>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</si>
  <si>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</si>
  <si>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</si>
  <si>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</si>
  <si>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</si>
  <si>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</si>
  <si>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</si>
  <si>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</si>
  <si>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</si>
  <si>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</si>
  <si>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</si>
  <si>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</si>
  <si>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</si>
  <si>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</si>
  <si>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</si>
  <si>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</si>
  <si>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</si>
  <si>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</si>
  <si>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</si>
  <si>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</si>
  <si>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</si>
  <si>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</si>
  <si>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</si>
  <si>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</si>
  <si>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</si>
  <si>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</si>
  <si>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</si>
  <si>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</si>
  <si>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</si>
  <si>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</si>
  <si>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</si>
  <si>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</si>
  <si>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</si>
  <si>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</si>
  <si>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</si>
  <si>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</si>
  <si>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</si>
  <si>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</si>
  <si>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</si>
  <si>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</si>
  <si>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</si>
  <si>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</si>
  <si>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</si>
  <si>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</si>
  <si>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</si>
  <si>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</si>
  <si>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</si>
  <si>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</si>
  <si>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</si>
  <si>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</si>
  <si>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</si>
  <si>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</si>
  <si>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</si>
  <si>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</si>
  <si>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</si>
  <si>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</si>
  <si>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</si>
  <si>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</si>
  <si>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</si>
  <si>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</si>
  <si>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</si>
  <si>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</si>
  <si>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</si>
  <si>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</si>
  <si>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</si>
  <si>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</si>
  <si>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</si>
  <si>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</si>
  <si>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</si>
  <si>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</si>
  <si>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</si>
  <si>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</si>
  <si>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</si>
  <si>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</si>
  <si>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</si>
  <si>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</si>
  <si>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</si>
  <si>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</si>
  <si>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</si>
  <si>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</si>
  <si>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</si>
  <si>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</si>
  <si>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</si>
  <si>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</si>
  <si>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</si>
  <si>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</si>
  <si>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</si>
  <si>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</si>
  <si>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</si>
  <si>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</si>
  <si>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</si>
  <si>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</si>
  <si>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</si>
  <si>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</si>
  <si>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</si>
  <si>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</si>
  <si>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</si>
  <si>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</si>
  <si>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</si>
  <si>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</si>
  <si>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</si>
  <si>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</si>
  <si>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</si>
  <si>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</si>
  <si>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</si>
  <si>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</si>
  <si>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</si>
  <si>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</si>
  <si>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</si>
  <si>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</si>
  <si>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</si>
  <si>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</si>
  <si>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</si>
  <si>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</si>
  <si>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</si>
  <si>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</si>
  <si>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</si>
  <si>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</si>
  <si>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</si>
  <si>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</si>
  <si>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</si>
  <si>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</si>
  <si>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</si>
  <si>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</si>
  <si>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</si>
  <si>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</si>
  <si>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</si>
  <si>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</si>
  <si>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</si>
  <si>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</si>
  <si>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</si>
  <si>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</si>
  <si>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</si>
  <si>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</si>
  <si>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</si>
  <si>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</si>
  <si>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</si>
  <si>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</si>
  <si>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</si>
  <si>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</si>
  <si>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</si>
  <si>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</si>
  <si>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</si>
  <si>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</si>
  <si>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</si>
  <si>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</si>
  <si>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</si>
  <si>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</si>
  <si>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</si>
  <si>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</si>
  <si>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</si>
  <si>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</si>
  <si>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</si>
  <si>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</si>
  <si>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</si>
  <si>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</si>
  <si>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</si>
  <si>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</si>
  <si>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</si>
  <si>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</si>
  <si>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</si>
  <si>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</si>
  <si>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</si>
  <si>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</si>
  <si>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</si>
  <si>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</si>
  <si>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</si>
  <si>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</si>
  <si>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</si>
  <si>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</si>
  <si>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</si>
  <si>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</si>
  <si>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</si>
  <si>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</si>
  <si>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</si>
  <si>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</si>
  <si>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</si>
  <si>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</si>
  <si>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</si>
  <si>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</si>
  <si>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</si>
  <si>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</si>
  <si>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</si>
  <si>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</si>
  <si>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</si>
  <si>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</si>
  <si>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</si>
  <si>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</si>
  <si>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</si>
  <si>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</si>
  <si>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</si>
  <si>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</si>
  <si>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</si>
  <si>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</si>
  <si>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</si>
  <si>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</si>
  <si>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</si>
  <si>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</si>
  <si>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</si>
  <si>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</si>
  <si>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</si>
  <si>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</si>
  <si>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</si>
  <si>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</si>
  <si>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</si>
  <si>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</si>
  <si>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</si>
  <si>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</si>
  <si>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</si>
  <si>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</si>
  <si>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</si>
  <si>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</si>
  <si>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</si>
  <si>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</si>
  <si>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</si>
  <si>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</si>
  <si>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</si>
  <si>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</si>
  <si>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</si>
  <si>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</si>
  <si>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</si>
  <si>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</si>
  <si>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</si>
  <si>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</si>
  <si>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</si>
  <si>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</si>
  <si>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</si>
  <si>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</si>
  <si>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</si>
  <si>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</si>
  <si>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</si>
  <si>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</si>
  <si>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</si>
  <si>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</si>
  <si>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</si>
  <si>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</si>
  <si>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</si>
  <si>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</si>
  <si>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</si>
  <si>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</si>
  <si>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</si>
  <si>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</si>
  <si>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</si>
  <si>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</si>
  <si>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</si>
  <si>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</si>
  <si>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</si>
  <si>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</si>
  <si>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</si>
  <si>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</si>
  <si>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</si>
  <si>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</si>
  <si>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</si>
  <si>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</si>
  <si>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</si>
  <si>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</si>
  <si>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</si>
  <si>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</si>
  <si>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</si>
  <si>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</si>
  <si>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</si>
  <si>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</si>
  <si>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</si>
  <si>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</si>
  <si>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</si>
  <si>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</si>
  <si>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</si>
  <si>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</si>
  <si>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</si>
  <si>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</si>
  <si>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</si>
  <si>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</si>
  <si>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</si>
  <si>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</si>
  <si>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</si>
  <si>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</si>
  <si>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</si>
  <si>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</si>
  <si>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</si>
  <si>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</si>
  <si>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</si>
  <si>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</si>
  <si>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</si>
  <si>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</si>
  <si>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</si>
  <si>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</si>
  <si>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</si>
  <si>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</si>
  <si>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</si>
  <si>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</si>
  <si>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</si>
  <si>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</si>
  <si>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</si>
  <si>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</si>
  <si>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</si>
  <si>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</si>
  <si>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</si>
  <si>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</si>
  <si>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</si>
  <si>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</si>
  <si>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</si>
  <si>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</si>
  <si>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</si>
  <si>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</si>
  <si>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</si>
  <si>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</si>
  <si>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</si>
  <si>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</si>
  <si>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</si>
  <si>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</si>
  <si>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</si>
  <si>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</si>
  <si>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</si>
  <si>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</si>
  <si>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</si>
  <si>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</si>
  <si>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</si>
  <si>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</si>
  <si>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</si>
  <si>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</si>
  <si>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</si>
  <si>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</si>
  <si>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</si>
  <si>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</si>
  <si>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</si>
  <si>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</si>
  <si>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</si>
  <si>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</si>
  <si>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</si>
  <si>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</si>
  <si>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</si>
  <si>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</si>
  <si>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</si>
  <si>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</si>
  <si>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</si>
  <si>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</si>
  <si>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</si>
  <si>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</si>
  <si>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</si>
  <si>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</si>
  <si>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</si>
  <si>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</si>
  <si>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</si>
  <si>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</si>
  <si>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</si>
  <si>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</si>
  <si>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</si>
  <si>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</si>
  <si>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</si>
  <si>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</si>
  <si>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</si>
  <si>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</si>
  <si>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</si>
  <si>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</si>
  <si>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</si>
  <si>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</si>
  <si>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</si>
  <si>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</si>
  <si>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</si>
  <si>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</si>
  <si>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</si>
  <si>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</si>
  <si>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</si>
  <si>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</si>
  <si>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</si>
  <si>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</si>
  <si>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</si>
  <si>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</si>
  <si>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</si>
  <si>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</si>
  <si>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</si>
  <si>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</si>
  <si>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</si>
  <si>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</si>
  <si>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</si>
  <si>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</si>
  <si>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</si>
  <si>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</si>
  <si>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</si>
  <si>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</si>
  <si>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</si>
  <si>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</si>
  <si>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</si>
  <si>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</si>
  <si>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</si>
  <si>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</si>
  <si>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</si>
  <si>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</si>
  <si>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</si>
  <si>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</si>
  <si>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</si>
  <si>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</si>
  <si>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</si>
  <si>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</si>
  <si>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</si>
  <si>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</si>
  <si>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</si>
  <si>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</si>
  <si>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</si>
  <si>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</si>
  <si>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</si>
  <si>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</si>
  <si>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</si>
  <si>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</si>
  <si>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</si>
  <si>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</si>
  <si>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</si>
  <si>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</si>
  <si>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</si>
  <si>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</si>
  <si>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</si>
  <si>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</si>
  <si>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</si>
  <si>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</si>
  <si>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</si>
  <si>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</si>
  <si>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</si>
  <si>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</si>
  <si>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</si>
  <si>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</si>
  <si>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</si>
  <si>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</si>
  <si>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</si>
  <si>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</si>
  <si>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</si>
  <si>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</si>
  <si>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</si>
  <si>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</si>
  <si>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</si>
  <si>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</si>
  <si>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</si>
  <si>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</si>
  <si>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</si>
  <si>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</si>
  <si>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</si>
  <si>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</si>
  <si>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</si>
  <si>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</si>
  <si>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</si>
  <si>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</si>
  <si>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</si>
  <si>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</si>
  <si>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</si>
  <si>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</si>
  <si>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</si>
  <si>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</si>
  <si>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</si>
  <si>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</si>
  <si>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</si>
  <si>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</si>
  <si>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</si>
  <si>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</si>
  <si>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</si>
  <si>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</si>
  <si>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</si>
  <si>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</si>
  <si>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</si>
  <si>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</si>
  <si>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</si>
  <si>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</si>
  <si>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</si>
  <si>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</si>
  <si>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</si>
  <si>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</si>
  <si>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</si>
  <si>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</si>
  <si>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</si>
  <si>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</si>
  <si>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</si>
  <si>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</si>
  <si>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</si>
  <si>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</si>
  <si>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</si>
  <si>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</si>
  <si>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</si>
  <si>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</si>
  <si>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</si>
  <si>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</si>
  <si>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</si>
  <si>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</si>
  <si>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</si>
  <si>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</si>
  <si>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</si>
  <si>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</si>
  <si>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</si>
  <si>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</si>
  <si>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</si>
  <si>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</si>
  <si>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</si>
  <si>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</si>
  <si>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</si>
  <si>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</si>
  <si>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</si>
  <si>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</si>
  <si>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</si>
  <si>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</si>
  <si>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</si>
  <si>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</si>
  <si>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</si>
  <si>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</si>
  <si>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</si>
  <si>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</si>
  <si>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</si>
  <si>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</si>
  <si>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</si>
  <si>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</si>
  <si>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</si>
  <si>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</si>
  <si>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</si>
  <si>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</si>
  <si>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</si>
  <si>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</si>
  <si>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</si>
  <si>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</si>
  <si>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</si>
  <si>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</si>
  <si>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</si>
  <si>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</si>
  <si>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</si>
  <si>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</si>
  <si>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</si>
  <si>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</si>
  <si>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</si>
  <si>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</si>
  <si>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</si>
  <si>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</si>
  <si>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</si>
  <si>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</si>
  <si>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</si>
  <si>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</si>
  <si>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</si>
  <si>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</si>
  <si>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</si>
  <si>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</si>
  <si>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</si>
  <si>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</si>
  <si>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</si>
  <si>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</si>
  <si>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</si>
  <si>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</si>
  <si>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</si>
  <si>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</si>
  <si>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</si>
  <si>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</si>
  <si>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</si>
  <si>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</si>
  <si>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</si>
  <si>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</si>
  <si>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</si>
  <si>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</si>
  <si>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</si>
  <si>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</si>
  <si>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</si>
  <si>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</si>
  <si>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</si>
  <si>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</si>
  <si>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</si>
  <si>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</si>
  <si>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</si>
  <si>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</si>
  <si>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</si>
  <si>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</si>
  <si>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</si>
  <si>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</si>
  <si>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</si>
  <si>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</si>
  <si>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</si>
  <si>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</si>
  <si>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</si>
  <si>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</si>
  <si>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</si>
  <si>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</si>
  <si>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</si>
  <si>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</si>
  <si>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</si>
  <si>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</si>
  <si>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</si>
  <si>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</si>
  <si>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</si>
  <si>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</si>
  <si>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</si>
  <si>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</si>
  <si>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</si>
  <si>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</si>
  <si>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</si>
  <si>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</si>
  <si>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</si>
  <si>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</si>
  <si>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</si>
  <si>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</si>
  <si>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</si>
  <si>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</si>
  <si>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</si>
  <si>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</si>
  <si>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</si>
  <si>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</si>
  <si>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</si>
  <si>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</si>
  <si>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</si>
  <si>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</si>
  <si>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</si>
  <si>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</si>
  <si>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</si>
  <si>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</si>
  <si>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</si>
  <si>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</si>
  <si>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</si>
  <si>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</si>
  <si>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</si>
  <si>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</si>
  <si>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</si>
  <si>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</si>
  <si>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</si>
  <si>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</si>
  <si>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</si>
  <si>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</si>
  <si>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</si>
  <si>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</si>
  <si>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</si>
  <si>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</si>
  <si>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</si>
  <si>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</si>
  <si>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</si>
  <si>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</si>
  <si>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</si>
  <si>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</si>
  <si>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</si>
  <si>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</si>
  <si>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</si>
  <si>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</si>
  <si>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</si>
  <si>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</si>
  <si>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</si>
  <si>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</si>
  <si>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</si>
  <si>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</si>
  <si>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</si>
  <si>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</si>
  <si>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</si>
  <si>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</si>
  <si>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</si>
  <si>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</si>
  <si>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</si>
  <si>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</si>
  <si>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</si>
  <si>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</si>
  <si>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</si>
  <si>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</si>
  <si>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</si>
  <si>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</si>
  <si>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</si>
  <si>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</si>
  <si>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</si>
  <si>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</si>
  <si>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</si>
  <si>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</si>
  <si>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</si>
  <si>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</si>
  <si>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</si>
  <si>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</si>
  <si>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</si>
  <si>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</si>
  <si>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</si>
  <si>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</si>
  <si>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</si>
  <si>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</si>
  <si>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</si>
  <si>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</si>
  <si>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</si>
  <si>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</si>
  <si>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</si>
  <si>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</si>
  <si>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</si>
  <si>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</si>
  <si>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</si>
  <si>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</si>
  <si>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</si>
  <si>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</si>
  <si>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</si>
  <si>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</si>
  <si>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</si>
  <si>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</si>
  <si>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</si>
  <si>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</si>
  <si>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</si>
  <si>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</si>
  <si>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</si>
  <si>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</si>
  <si>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</si>
  <si>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</si>
  <si>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</si>
  <si>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</si>
  <si>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</si>
  <si>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</si>
  <si>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</si>
  <si>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</si>
  <si>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</si>
  <si>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</si>
  <si>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</si>
  <si>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</si>
  <si>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</si>
  <si>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</si>
  <si>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</si>
  <si>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</si>
  <si>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</si>
  <si>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</si>
  <si>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</si>
  <si>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</si>
  <si>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</si>
  <si>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</si>
  <si>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</si>
  <si>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</si>
  <si>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</si>
  <si>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</si>
  <si>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</si>
  <si>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</si>
  <si>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</si>
  <si>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</si>
  <si>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</si>
  <si>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</si>
  <si>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</si>
  <si>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</si>
  <si>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</si>
  <si>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</si>
  <si>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</si>
  <si>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</si>
  <si>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</si>
  <si>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</si>
  <si>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</si>
  <si>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</si>
  <si>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</si>
  <si>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</si>
  <si>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</si>
  <si>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</si>
  <si>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</si>
  <si>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</si>
  <si>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</si>
  <si>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</si>
  <si>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</si>
  <si>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</si>
  <si>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</si>
  <si>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</si>
  <si>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</si>
  <si>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</si>
  <si>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</si>
  <si>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</si>
  <si>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</si>
  <si>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</si>
  <si>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</si>
  <si>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</si>
  <si>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</si>
  <si>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</si>
  <si>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</si>
  <si>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</si>
  <si>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</si>
  <si>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</si>
  <si>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</si>
  <si>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</si>
  <si>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</si>
  <si>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</si>
  <si>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</si>
  <si>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</si>
  <si>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</si>
  <si>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</si>
  <si>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</si>
  <si>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</si>
  <si>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</si>
  <si>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</si>
  <si>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</si>
  <si>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</si>
  <si>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</si>
  <si>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</si>
  <si>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</si>
  <si>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</si>
  <si>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</si>
  <si>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</si>
  <si>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</si>
  <si>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</si>
  <si>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</si>
  <si>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</si>
  <si>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</si>
  <si>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</si>
  <si>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</si>
  <si>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</si>
  <si>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</si>
  <si>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</si>
  <si>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</si>
  <si>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</si>
  <si>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</si>
  <si>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</si>
  <si>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</si>
  <si>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</si>
  <si>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</si>
  <si>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</si>
  <si>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</si>
  <si>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</si>
  <si>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</si>
  <si>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</si>
  <si>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</si>
  <si>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</si>
  <si>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</si>
  <si>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</si>
  <si>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</si>
  <si>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</si>
  <si>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</si>
  <si>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</si>
  <si>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</si>
  <si>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</si>
  <si>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</si>
  <si>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</si>
  <si>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</si>
  <si>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</si>
  <si>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</si>
  <si>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</si>
  <si>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</si>
  <si>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</si>
  <si>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</si>
  <si>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</si>
  <si>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</si>
  <si>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</si>
  <si>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</si>
  <si>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</si>
  <si>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</si>
  <si>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</si>
  <si>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</si>
  <si>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</si>
  <si>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</si>
  <si>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</si>
  <si>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</si>
  <si>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</si>
  <si>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</si>
  <si>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</si>
  <si>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</si>
  <si>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</si>
  <si>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</si>
  <si>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</si>
  <si>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</si>
  <si>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</si>
  <si>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</si>
  <si>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</si>
  <si>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</si>
  <si>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</si>
  <si>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</si>
  <si>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</si>
  <si>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</si>
  <si>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</si>
  <si>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</si>
  <si>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</si>
  <si>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</si>
  <si>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</si>
  <si>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</si>
  <si>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</si>
  <si>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</si>
  <si>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</si>
  <si>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</si>
  <si>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</si>
  <si>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</si>
  <si>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</si>
  <si>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</si>
  <si>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</si>
  <si>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</si>
  <si>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</si>
  <si>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</si>
  <si>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</si>
  <si>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</si>
  <si>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</si>
  <si>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</si>
  <si>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</si>
  <si>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</si>
  <si>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</si>
  <si>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</si>
  <si>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</si>
  <si>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</si>
  <si>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</si>
  <si>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</si>
  <si>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</si>
  <si>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</si>
  <si>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</si>
  <si>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</si>
  <si>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</si>
  <si>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</si>
  <si>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</si>
  <si>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</si>
  <si>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</si>
  <si>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</si>
  <si>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</si>
  <si>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</si>
  <si>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</si>
  <si>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</si>
  <si>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</si>
  <si>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</si>
  <si>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</si>
  <si>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</si>
  <si>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</si>
  <si>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</si>
  <si>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</si>
  <si>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</si>
  <si>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</si>
  <si>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</si>
  <si>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</si>
  <si>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</si>
  <si>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</si>
  <si>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</si>
  <si>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</si>
  <si>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</si>
  <si>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</si>
  <si>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</si>
  <si>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</si>
  <si>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</si>
  <si>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</si>
  <si>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</si>
  <si>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</si>
  <si>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</si>
  <si>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</si>
  <si>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</si>
  <si>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</si>
  <si>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</si>
  <si>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</si>
  <si>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</si>
  <si>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</si>
  <si>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</si>
  <si>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</si>
  <si>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</si>
  <si>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</si>
  <si>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</si>
  <si>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</si>
  <si>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</si>
  <si>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</si>
  <si>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</si>
  <si>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</si>
  <si>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</si>
  <si>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</si>
  <si>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</si>
  <si>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</si>
  <si>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</si>
  <si>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</si>
  <si>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</si>
  <si>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</si>
  <si>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</si>
  <si>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</si>
  <si>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</si>
  <si>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</si>
  <si>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</si>
  <si>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</si>
  <si>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</si>
  <si>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</si>
  <si>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</si>
  <si>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</si>
  <si>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</si>
  <si>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</si>
  <si>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</si>
  <si>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</si>
  <si>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</si>
  <si>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</si>
  <si>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</si>
  <si>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</si>
  <si>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</si>
  <si>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</si>
  <si>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</si>
  <si>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</si>
  <si>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</si>
  <si>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</si>
  <si>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</si>
  <si>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</si>
  <si>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</si>
  <si>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</si>
  <si>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</si>
  <si>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</si>
  <si>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</si>
  <si>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</si>
  <si>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</si>
  <si>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</si>
  <si>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</si>
  <si>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</si>
  <si>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</si>
  <si>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</si>
  <si>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</si>
  <si>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</si>
  <si>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</si>
  <si>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</si>
  <si>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</si>
  <si>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</si>
  <si>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</si>
  <si>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</si>
  <si>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</si>
  <si>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</si>
  <si>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</si>
  <si>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</si>
  <si>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</si>
  <si>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</si>
  <si>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</si>
  <si>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</si>
  <si>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</si>
  <si>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</si>
  <si>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</si>
  <si>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</si>
  <si>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</si>
  <si>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</si>
  <si>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</si>
  <si>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</si>
  <si>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</si>
  <si>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</si>
  <si>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</si>
  <si>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</si>
  <si>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</si>
  <si>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</si>
  <si>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</si>
  <si>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</si>
  <si>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</si>
  <si>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</si>
  <si>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</si>
  <si>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</si>
  <si>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</si>
  <si>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</si>
  <si>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</si>
  <si>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</si>
  <si>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</si>
  <si>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</si>
  <si>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</si>
  <si>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</si>
  <si>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</si>
  <si>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</si>
  <si>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</si>
  <si>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</si>
  <si>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</si>
  <si>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</si>
  <si>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</si>
  <si>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</si>
  <si>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</si>
  <si>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</si>
  <si>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</si>
  <si>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</si>
  <si>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</si>
  <si>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</si>
  <si>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</si>
  <si>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</si>
  <si>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</si>
  <si>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</si>
  <si>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</si>
  <si>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</si>
  <si>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</si>
  <si>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</si>
  <si>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</si>
  <si>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</si>
  <si>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</si>
  <si>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</si>
  <si>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</si>
  <si>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</si>
  <si>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</si>
  <si>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</si>
  <si>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</si>
  <si>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</si>
  <si>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</si>
  <si>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</si>
  <si>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</si>
  <si>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</si>
  <si>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</si>
  <si>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</si>
  <si>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</si>
  <si>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</si>
  <si>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</si>
  <si>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</si>
  <si>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</si>
  <si>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</si>
  <si>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</si>
  <si>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</si>
  <si>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</si>
  <si>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</si>
  <si>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</si>
  <si>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</si>
  <si>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</si>
  <si>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</si>
  <si>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</si>
  <si>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</si>
  <si>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</si>
  <si>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</si>
  <si>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</si>
  <si>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</si>
  <si>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</si>
  <si>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</si>
  <si>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</si>
  <si>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</si>
  <si>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</si>
  <si>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</si>
  <si>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</si>
  <si>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</si>
  <si>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</si>
  <si>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</si>
  <si>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</si>
  <si>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</si>
  <si>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</si>
  <si>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</si>
  <si>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</si>
  <si>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</si>
  <si>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</si>
  <si>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</si>
  <si>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</si>
  <si>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</si>
  <si>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</si>
  <si>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</si>
  <si>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</si>
  <si>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</si>
  <si>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</si>
  <si>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</si>
  <si>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</si>
  <si>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</si>
  <si>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</si>
  <si>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</si>
  <si>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</si>
  <si>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</si>
  <si>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</si>
  <si>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</si>
  <si>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</si>
  <si>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</si>
  <si>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</si>
  <si>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</si>
  <si>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</si>
  <si>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</si>
  <si>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</si>
  <si>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</si>
  <si>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</si>
  <si>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</si>
  <si>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</si>
  <si>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</si>
  <si>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</si>
  <si>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</si>
  <si>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</si>
  <si>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</si>
  <si>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</si>
  <si>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</si>
  <si>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</si>
  <si>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</si>
  <si>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</si>
  <si>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</si>
  <si>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</si>
  <si>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</si>
  <si>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</si>
  <si>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</si>
  <si>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</si>
  <si>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</si>
  <si>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</si>
  <si>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</si>
  <si>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</si>
  <si>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</si>
  <si>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</si>
  <si>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</si>
  <si>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</si>
  <si>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</si>
  <si>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</si>
  <si>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</si>
  <si>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</si>
  <si>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</si>
  <si>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</si>
  <si>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</si>
  <si>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</si>
  <si>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</si>
  <si>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</si>
  <si>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</si>
  <si>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</si>
  <si>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</si>
  <si>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</si>
  <si>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</si>
  <si>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</si>
  <si>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</si>
  <si>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</si>
  <si>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</si>
  <si>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</si>
  <si>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</si>
  <si>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</si>
  <si>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</si>
  <si>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</si>
  <si>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</si>
  <si>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</si>
  <si>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</si>
  <si>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</si>
  <si>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</si>
  <si>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</si>
  <si>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</si>
  <si>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</si>
  <si>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</si>
  <si>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</si>
  <si>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</si>
  <si>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</si>
  <si>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</si>
  <si>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</si>
  <si>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</si>
  <si>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</si>
  <si>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</si>
  <si>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</si>
  <si>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</si>
  <si>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</si>
  <si>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</si>
  <si>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</si>
  <si>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</si>
  <si>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</si>
  <si>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</si>
  <si>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</si>
  <si>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</si>
  <si>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</si>
  <si>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</si>
  <si>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</si>
  <si>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</si>
  <si>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</si>
  <si>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</si>
  <si>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</si>
  <si>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</si>
  <si>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</si>
  <si>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</si>
  <si>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</si>
  <si>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</si>
  <si>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</si>
  <si>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</si>
  <si>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</si>
  <si>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</si>
  <si>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</si>
  <si>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</si>
  <si>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</si>
  <si>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</si>
  <si>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</si>
  <si>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</si>
  <si>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</si>
  <si>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</si>
  <si>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</si>
  <si>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</si>
  <si>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</si>
  <si>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</si>
  <si>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</si>
  <si>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</si>
  <si>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</si>
  <si>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</si>
  <si>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</si>
  <si>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</si>
  <si>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</si>
  <si>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</si>
  <si>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</si>
  <si>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</si>
  <si>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</si>
  <si>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</si>
  <si>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</si>
  <si>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</si>
  <si>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</si>
  <si>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</si>
  <si>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</si>
  <si>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</si>
  <si>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</si>
  <si>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</si>
  <si>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</si>
  <si>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</si>
  <si>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</si>
  <si>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</si>
  <si>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</si>
  <si>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</si>
  <si>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</si>
  <si>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</si>
  <si>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</si>
  <si>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</si>
  <si>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</si>
  <si>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</si>
  <si>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</si>
  <si>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</si>
  <si>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</si>
  <si>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</si>
  <si>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</si>
  <si>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</si>
  <si>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</si>
  <si>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</si>
  <si>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</si>
  <si>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</si>
  <si>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</si>
  <si>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</si>
  <si>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</si>
  <si>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</si>
  <si>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</si>
  <si>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</si>
  <si>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</si>
  <si>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</si>
  <si>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</si>
  <si>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</si>
  <si>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</si>
  <si>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</si>
  <si>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</si>
  <si>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</si>
  <si>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</si>
  <si>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</si>
  <si>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</si>
  <si>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</si>
  <si>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</si>
  <si>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</si>
  <si>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</si>
  <si>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</si>
  <si>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</si>
  <si>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</si>
  <si>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</si>
  <si>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</si>
  <si>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</si>
  <si>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</si>
  <si>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</si>
  <si>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</si>
  <si>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</si>
  <si>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</si>
  <si>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</si>
  <si>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</si>
  <si>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</si>
  <si>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</si>
  <si>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</si>
  <si>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</si>
  <si>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</si>
  <si>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</si>
  <si>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</si>
  <si>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</si>
  <si>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</si>
  <si>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</si>
  <si>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</si>
  <si>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</si>
  <si>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</si>
  <si>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</si>
  <si>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</si>
  <si>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</si>
  <si>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</si>
  <si>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</si>
  <si>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</si>
  <si>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</si>
  <si>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</si>
  <si>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</si>
  <si>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</si>
  <si>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</si>
  <si>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</si>
  <si>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</si>
  <si>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</si>
  <si>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</si>
  <si>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</si>
  <si>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</si>
  <si>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</si>
  <si>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</si>
  <si>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</si>
  <si>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</si>
  <si>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</si>
  <si>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</si>
  <si>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</si>
  <si>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</si>
  <si>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</si>
  <si>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</si>
  <si>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</si>
  <si>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</si>
  <si>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</si>
  <si>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</si>
  <si>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</si>
  <si>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</si>
  <si>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</si>
  <si>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</si>
  <si>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</si>
  <si>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</si>
  <si>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</si>
  <si>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</si>
  <si>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</si>
  <si>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</si>
  <si>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</si>
  <si>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</si>
  <si>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</si>
  <si>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</si>
  <si>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</si>
  <si>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</si>
  <si>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</si>
  <si>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</si>
  <si>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</si>
  <si>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</si>
  <si>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</si>
  <si>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</si>
  <si>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</si>
  <si>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</si>
  <si>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</si>
  <si>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</si>
  <si>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</si>
  <si>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</si>
  <si>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</si>
  <si>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</si>
  <si>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</si>
  <si>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</si>
  <si>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</si>
  <si>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</si>
  <si>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</si>
  <si>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</si>
  <si>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</si>
  <si>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</si>
  <si>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</si>
  <si>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</si>
  <si>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</si>
  <si>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</si>
  <si>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</si>
  <si>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</si>
  <si>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</si>
  <si>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</si>
  <si>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</si>
  <si>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</si>
  <si>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</si>
  <si>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</si>
  <si>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</si>
  <si>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</si>
  <si>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</si>
  <si>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</si>
  <si>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</si>
  <si>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</si>
  <si>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</si>
  <si>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</si>
  <si>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</si>
  <si>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</si>
  <si>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</si>
  <si>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</si>
  <si>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</si>
  <si>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</si>
  <si>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</si>
  <si>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</si>
  <si>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</si>
  <si>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</si>
  <si>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</si>
  <si>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</si>
  <si>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</si>
  <si>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</si>
  <si>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</si>
  <si>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</si>
  <si>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</si>
  <si>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</si>
  <si>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</si>
  <si>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</si>
  <si>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</si>
  <si>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</si>
  <si>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</si>
  <si>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</si>
  <si>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</si>
  <si>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</si>
  <si>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</si>
  <si>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</si>
  <si>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</si>
  <si>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</si>
  <si>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</si>
  <si>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</si>
  <si>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</si>
  <si>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</si>
  <si>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</si>
  <si>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</si>
  <si>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</si>
  <si>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</si>
  <si>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</si>
  <si>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</si>
  <si>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</si>
  <si>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</si>
  <si>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</si>
  <si>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</si>
  <si>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</si>
  <si>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</si>
  <si>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</si>
  <si>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</si>
  <si>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</si>
  <si>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</si>
  <si>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</si>
  <si>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</si>
  <si>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</si>
  <si>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</si>
  <si>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</si>
  <si>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</si>
  <si>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</si>
  <si>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</si>
  <si>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</si>
  <si>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</si>
  <si>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</si>
  <si>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</si>
  <si>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</si>
  <si>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</si>
  <si>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</si>
  <si>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</si>
  <si>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</si>
  <si>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</si>
  <si>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</si>
  <si>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</si>
  <si>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</si>
  <si>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</si>
  <si>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</si>
  <si>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</si>
  <si>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</si>
  <si>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</si>
  <si>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</si>
  <si>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</si>
  <si>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</si>
  <si>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</si>
  <si>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</si>
  <si>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</si>
  <si>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</si>
  <si>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</si>
  <si>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</si>
  <si>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</si>
  <si>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</si>
  <si>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</si>
  <si>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</si>
  <si>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</si>
  <si>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</si>
  <si>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</si>
  <si>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</si>
  <si>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</si>
  <si>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</si>
  <si>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</si>
  <si>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</si>
  <si>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</si>
  <si>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</si>
  <si>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</si>
  <si>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</si>
  <si>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</si>
  <si>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</si>
  <si>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</si>
  <si>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</si>
  <si>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</si>
  <si>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</si>
  <si>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</si>
  <si>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</si>
  <si>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</si>
  <si>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</si>
  <si>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</si>
  <si>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</si>
  <si>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</si>
  <si>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</si>
  <si>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</si>
  <si>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</si>
  <si>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</si>
  <si>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</si>
  <si>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</si>
  <si>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</si>
  <si>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</si>
  <si>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</si>
  <si>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</si>
  <si>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</si>
  <si>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</si>
  <si>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</si>
  <si>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</si>
  <si>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</si>
  <si>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</si>
  <si>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</si>
  <si>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</si>
  <si>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</si>
  <si>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</si>
  <si>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</si>
  <si>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</si>
  <si>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</si>
  <si>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</si>
  <si>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</si>
  <si>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</si>
  <si>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</si>
  <si>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</si>
  <si>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</si>
  <si>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</si>
  <si>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</si>
  <si>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</si>
  <si>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</si>
  <si>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</si>
  <si>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</si>
  <si>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</si>
  <si>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</si>
  <si>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</si>
  <si>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</si>
  <si>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</si>
  <si>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</si>
  <si>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</si>
  <si>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</si>
  <si>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</si>
  <si>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</si>
  <si>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</si>
  <si>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</si>
  <si>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</si>
  <si>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</si>
  <si>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</si>
  <si>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</si>
  <si>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</si>
  <si>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</si>
  <si>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</si>
  <si>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</si>
  <si>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</si>
  <si>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</si>
  <si>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</si>
  <si>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</si>
  <si>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</si>
  <si>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</si>
  <si>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</si>
  <si>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</si>
  <si>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</si>
  <si>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</si>
  <si>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</si>
  <si>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</si>
  <si>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</si>
  <si>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</si>
  <si>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</si>
  <si>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</si>
  <si>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</si>
  <si>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</si>
  <si>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</si>
  <si>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</si>
  <si>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</si>
  <si>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</si>
  <si>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</si>
  <si>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</si>
  <si>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</si>
  <si>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</si>
  <si>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</si>
  <si>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</si>
  <si>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</si>
  <si>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</si>
  <si>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</si>
  <si>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</si>
  <si>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</si>
  <si>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</si>
  <si>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</si>
  <si>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</si>
  <si>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</si>
  <si>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</si>
  <si>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</si>
  <si>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</si>
  <si>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</si>
  <si>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</si>
  <si>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</si>
  <si>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</si>
  <si>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</si>
  <si>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</si>
  <si>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</si>
  <si>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</si>
  <si>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</si>
  <si>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</si>
  <si>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</si>
  <si>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</si>
  <si>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</si>
  <si>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</si>
  <si>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</si>
  <si>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</si>
  <si>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</si>
  <si>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</si>
  <si>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</si>
  <si>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</si>
  <si>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</si>
  <si>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</si>
  <si>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</si>
  <si>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</si>
  <si>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</si>
  <si>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</si>
  <si>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</si>
  <si>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</si>
  <si>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</si>
  <si>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</si>
  <si>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</si>
  <si>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</si>
  <si>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</si>
  <si>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</si>
  <si>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</si>
  <si>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</si>
  <si>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</si>
  <si>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</si>
  <si>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</si>
  <si>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</si>
  <si>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</si>
  <si>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</si>
  <si>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</si>
  <si>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</si>
  <si>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</si>
  <si>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</si>
  <si>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</si>
  <si>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</si>
  <si>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</si>
  <si>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</si>
  <si>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</si>
  <si>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</si>
  <si>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</si>
  <si>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</si>
  <si>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</si>
  <si>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</si>
  <si>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</si>
  <si>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</si>
  <si>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</si>
  <si>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</si>
  <si>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</si>
  <si>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</si>
  <si>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</si>
  <si>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</si>
  <si>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</si>
  <si>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</si>
  <si>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</si>
  <si>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</si>
  <si>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</si>
  <si>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</si>
  <si>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</si>
  <si>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</si>
  <si>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</si>
  <si>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</si>
  <si>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</si>
  <si>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</si>
  <si>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</si>
  <si>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</si>
  <si>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</si>
  <si>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</si>
  <si>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</si>
  <si>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</si>
  <si>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</si>
  <si>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</si>
  <si>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</si>
  <si>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</si>
  <si>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</si>
  <si>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</si>
  <si>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</si>
  <si>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</si>
  <si>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</si>
  <si>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</si>
  <si>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</si>
  <si>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</si>
  <si>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</si>
  <si>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</si>
  <si>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</si>
  <si>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</si>
  <si>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</si>
  <si>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</si>
  <si>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</si>
  <si>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</si>
  <si>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</si>
  <si>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</si>
  <si>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</si>
  <si>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</si>
  <si>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</si>
  <si>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</si>
  <si>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</si>
  <si>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</si>
  <si>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</si>
  <si>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</si>
  <si>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</si>
  <si>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</si>
  <si>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</si>
  <si>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</si>
  <si>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</si>
  <si>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</si>
  <si>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</si>
  <si>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</si>
  <si>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</si>
  <si>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</si>
  <si>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</si>
  <si>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</si>
  <si>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</si>
  <si>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</si>
  <si>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</si>
  <si>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</si>
  <si>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</si>
  <si>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</si>
  <si>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</si>
  <si>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</si>
  <si>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</si>
  <si>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</si>
  <si>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</si>
  <si>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</si>
  <si>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</si>
  <si>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</si>
  <si>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</si>
  <si>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</si>
  <si>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</si>
  <si>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</si>
  <si>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</si>
  <si>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</si>
  <si>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</si>
  <si>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</si>
  <si>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</si>
  <si>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</si>
  <si>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</si>
  <si>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</si>
  <si>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</si>
  <si>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</si>
  <si>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</si>
  <si>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</si>
  <si>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</si>
  <si>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</si>
  <si>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</si>
  <si>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</si>
  <si>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</si>
  <si>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</si>
  <si>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</si>
  <si>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</si>
  <si>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</si>
  <si>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</si>
  <si>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</si>
  <si>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</si>
  <si>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</si>
  <si>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</si>
  <si>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</si>
  <si>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</si>
  <si>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</si>
  <si>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</si>
  <si>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</si>
  <si>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</si>
  <si>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</si>
  <si>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</si>
  <si>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</si>
  <si>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</si>
  <si>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</si>
  <si>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</si>
  <si>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</si>
  <si>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</si>
  <si>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</si>
  <si>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</si>
  <si>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</si>
  <si>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</si>
  <si>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</si>
  <si>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</si>
  <si>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</si>
  <si>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</si>
  <si>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</si>
  <si>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</si>
  <si>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</si>
  <si>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</si>
  <si>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</si>
  <si>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</si>
  <si>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</si>
  <si>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</si>
  <si>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</si>
  <si>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</si>
  <si>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</si>
  <si>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</si>
  <si>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</si>
  <si>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</si>
  <si>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</si>
  <si>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</si>
  <si>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</si>
  <si>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</si>
  <si>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</si>
  <si>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</si>
  <si>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</si>
  <si>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</si>
  <si>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</si>
  <si>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</si>
  <si>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</si>
  <si>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</si>
  <si>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</si>
  <si>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</si>
  <si>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</si>
  <si>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</si>
  <si>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</si>
  <si>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</si>
  <si>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</si>
  <si>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</si>
  <si>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</si>
  <si>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</si>
  <si>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</si>
  <si>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</si>
  <si>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</si>
  <si>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</si>
  <si>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</si>
  <si>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</si>
  <si>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</si>
  <si>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</si>
  <si>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</si>
  <si>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</si>
  <si>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</si>
  <si>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</si>
  <si>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</si>
  <si>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</si>
  <si>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</si>
  <si>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</si>
  <si>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</si>
  <si>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</si>
  <si>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</si>
  <si>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</si>
  <si>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</si>
  <si>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</si>
  <si>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</si>
  <si>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</si>
  <si>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</si>
  <si>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</si>
  <si>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</si>
  <si>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</si>
  <si>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</si>
  <si>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</si>
  <si>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</si>
  <si>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</si>
  <si>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</si>
  <si>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</si>
  <si>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</si>
  <si>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</si>
  <si>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</si>
  <si>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</si>
  <si>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</si>
  <si>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</si>
  <si>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</si>
  <si>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</si>
  <si>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</si>
  <si>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</si>
  <si>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</si>
  <si>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</si>
  <si>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</si>
  <si>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</si>
  <si>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</si>
  <si>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</si>
  <si>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</si>
  <si>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</si>
  <si>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</si>
  <si>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</si>
  <si>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</si>
  <si>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</si>
  <si>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</si>
  <si>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</si>
  <si>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</si>
  <si>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</si>
  <si>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</si>
  <si>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</si>
  <si>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</si>
  <si>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</si>
  <si>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</si>
  <si>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</si>
  <si>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</si>
  <si>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</si>
  <si>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</si>
  <si>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</si>
  <si>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</si>
  <si>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</si>
  <si>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</si>
  <si>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</si>
  <si>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</si>
  <si>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</si>
  <si>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</si>
  <si>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</si>
  <si>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</si>
  <si>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</si>
  <si>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</si>
  <si>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</si>
  <si>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</si>
  <si>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</si>
  <si>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</si>
  <si>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</si>
  <si>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</si>
  <si>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</si>
  <si>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</si>
  <si>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</si>
  <si>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</si>
  <si>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</si>
  <si>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</si>
  <si>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</si>
  <si>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</si>
  <si>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</si>
  <si>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</si>
  <si>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</si>
  <si>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</si>
  <si>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</si>
  <si>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</si>
  <si>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</si>
  <si>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</si>
  <si>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</si>
  <si>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</si>
  <si>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</si>
  <si>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</si>
  <si>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</si>
  <si>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</si>
  <si>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</si>
  <si>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</si>
  <si>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</si>
  <si>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</si>
  <si>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</si>
  <si>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</si>
  <si>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</si>
  <si>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</si>
  <si>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</si>
  <si>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</si>
  <si>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</si>
  <si>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</si>
  <si>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</si>
  <si>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</si>
  <si>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</si>
  <si>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</si>
  <si>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</si>
  <si>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</si>
  <si>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</si>
  <si>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</si>
  <si>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</si>
  <si>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</si>
  <si>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</si>
  <si>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</si>
  <si>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</si>
  <si>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</si>
  <si>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</si>
  <si>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</si>
  <si>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</si>
  <si>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</si>
  <si>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</si>
  <si>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</si>
  <si>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</si>
  <si>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</si>
  <si>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</si>
  <si>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</si>
  <si>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</si>
  <si>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</si>
  <si>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</si>
  <si>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</si>
  <si>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</si>
  <si>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</si>
  <si>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</si>
  <si>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</si>
  <si>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</si>
  <si>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</si>
  <si>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</si>
  <si>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</si>
  <si>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</si>
  <si>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</si>
  <si>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</si>
  <si>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</si>
  <si>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</si>
  <si>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</si>
  <si>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</si>
  <si>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</si>
  <si>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</si>
  <si>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</si>
  <si>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</si>
  <si>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</si>
  <si>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</si>
  <si>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</si>
  <si>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</si>
  <si>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</si>
  <si>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</si>
  <si>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</si>
  <si>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</si>
  <si>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</si>
  <si>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</si>
  <si>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</si>
  <si>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</si>
  <si>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</si>
  <si>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</si>
  <si>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</si>
  <si>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</si>
  <si>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</si>
  <si>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</si>
  <si>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</si>
  <si>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</si>
  <si>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</si>
  <si>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</si>
  <si>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</si>
  <si>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</si>
  <si>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</si>
  <si>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</si>
  <si>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</si>
  <si>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</si>
  <si>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</si>
  <si>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</si>
  <si>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</si>
  <si>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</si>
  <si>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</si>
  <si>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</si>
  <si>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</si>
  <si>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</si>
  <si>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</si>
  <si>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</si>
  <si>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</si>
  <si>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</si>
  <si>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</si>
  <si>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</si>
  <si>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</si>
  <si>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</si>
  <si>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</si>
  <si>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</si>
  <si>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</si>
  <si>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</si>
  <si>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</si>
  <si>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</si>
  <si>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</si>
  <si>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</si>
  <si>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</si>
  <si>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</si>
  <si>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</si>
  <si>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</si>
  <si>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</si>
  <si>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</si>
  <si>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</si>
  <si>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</si>
  <si>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</si>
  <si>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</si>
  <si>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</si>
  <si>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</si>
  <si>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</si>
  <si>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</si>
  <si>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</si>
  <si>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</si>
  <si>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</si>
  <si>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</si>
  <si>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</si>
  <si>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</si>
  <si>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</si>
  <si>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</si>
  <si>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</si>
  <si>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</si>
  <si>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</si>
  <si>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</si>
  <si>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</si>
  <si>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</si>
  <si>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</si>
  <si>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</si>
  <si>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</si>
  <si>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</si>
  <si>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</si>
  <si>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</si>
  <si>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</si>
  <si>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</si>
  <si>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</si>
  <si>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</si>
  <si>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</si>
  <si>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</si>
  <si>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</si>
  <si>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</si>
  <si>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</si>
  <si>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</si>
  <si>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</si>
  <si>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</si>
  <si>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</si>
  <si>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</si>
  <si>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</si>
  <si>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</si>
  <si>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</si>
  <si>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</si>
  <si>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</si>
  <si>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</si>
  <si>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</si>
  <si>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</si>
  <si>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</si>
  <si>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</si>
  <si>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</si>
  <si>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</si>
  <si>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</si>
  <si>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</si>
  <si>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</si>
  <si>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</si>
  <si>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</si>
  <si>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</si>
  <si>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</si>
  <si>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</si>
  <si>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</si>
  <si>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</si>
  <si>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</si>
  <si>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</si>
  <si>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</si>
  <si>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</si>
  <si>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</si>
  <si>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</si>
  <si>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</si>
  <si>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</si>
  <si>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</si>
  <si>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</si>
  <si>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</si>
  <si>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</si>
  <si>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</si>
  <si>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</si>
  <si>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</si>
  <si>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</si>
  <si>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</si>
  <si>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</si>
  <si>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</si>
  <si>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</si>
  <si>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</si>
  <si>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</si>
  <si>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</si>
  <si>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</si>
  <si>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</si>
  <si>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</si>
  <si>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</si>
  <si>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</si>
  <si>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</si>
  <si>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</si>
  <si>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</si>
  <si>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</si>
  <si>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</si>
  <si>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</si>
  <si>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</si>
  <si>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</si>
  <si>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</si>
  <si>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</si>
  <si>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</si>
  <si>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</si>
  <si>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</si>
  <si>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</si>
  <si>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</si>
  <si>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</si>
  <si>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</si>
  <si>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</si>
  <si>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</si>
  <si>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</si>
  <si>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</si>
  <si>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</si>
  <si>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</si>
  <si>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</si>
  <si>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</si>
  <si>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</si>
  <si>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</si>
  <si>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</si>
  <si>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</si>
  <si>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</si>
  <si>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</si>
  <si>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</si>
  <si>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</si>
  <si>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</si>
  <si>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</si>
  <si>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</si>
  <si>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</si>
  <si>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</si>
  <si>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</si>
  <si>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</si>
  <si>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</si>
  <si>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</si>
  <si>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</si>
  <si>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</si>
  <si>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</si>
  <si>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</si>
  <si>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</si>
  <si>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</si>
  <si>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</si>
  <si>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</si>
  <si>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</si>
  <si>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</si>
  <si>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</si>
  <si>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</si>
  <si>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</si>
  <si>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</si>
  <si>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</si>
  <si>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</si>
  <si>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</si>
  <si>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</si>
  <si>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</si>
  <si>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</si>
  <si>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</si>
  <si>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</si>
  <si>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</si>
  <si>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</si>
  <si>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</si>
  <si>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</si>
  <si>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</si>
  <si>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</si>
  <si>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</si>
  <si>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</si>
  <si>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</si>
  <si>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</si>
  <si>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</si>
  <si>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</si>
  <si>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</si>
  <si>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</si>
  <si>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</si>
  <si>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</si>
  <si>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</si>
  <si>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</si>
  <si>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</si>
  <si>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</si>
  <si>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</si>
  <si>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</si>
  <si>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</si>
  <si>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</si>
  <si>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</si>
  <si>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</si>
  <si>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</si>
  <si>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</si>
  <si>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</si>
  <si>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</si>
  <si>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</si>
  <si>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</si>
  <si>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</si>
  <si>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</si>
  <si>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</si>
  <si>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</si>
  <si>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</si>
  <si>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</si>
  <si>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</si>
  <si>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</si>
  <si>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</si>
  <si>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</si>
  <si>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</si>
  <si>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</si>
  <si>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</si>
  <si>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</si>
  <si>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</si>
  <si>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</si>
  <si>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</si>
  <si>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</si>
  <si>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</si>
  <si>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</si>
  <si>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</si>
  <si>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</si>
  <si>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</si>
  <si>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</si>
  <si>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</si>
  <si>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</si>
  <si>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</si>
  <si>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</si>
  <si>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</si>
  <si>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</si>
  <si>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</si>
  <si>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</si>
  <si>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</si>
  <si>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</si>
  <si>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</si>
  <si>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</si>
  <si>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</si>
  <si>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</si>
  <si>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</si>
  <si>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</si>
  <si>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</si>
  <si>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</si>
  <si>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</si>
  <si>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</si>
  <si>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</si>
  <si>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</si>
  <si>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</si>
  <si>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</si>
  <si>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</si>
  <si>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</si>
  <si>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</si>
  <si>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</si>
  <si>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</si>
  <si>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</si>
  <si>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</si>
  <si>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</si>
  <si>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</si>
  <si>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</si>
  <si>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</si>
  <si>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</si>
  <si>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</si>
  <si>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</si>
  <si>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</si>
  <si>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</si>
  <si>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</si>
  <si>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</si>
  <si>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</si>
  <si>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</si>
  <si>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</si>
  <si>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</si>
  <si>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</si>
  <si>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</si>
  <si>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</si>
  <si>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</si>
  <si>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</si>
  <si>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</si>
  <si>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</si>
  <si>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</si>
  <si>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</si>
  <si>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</si>
  <si>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</si>
  <si>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</si>
  <si>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</si>
  <si>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</si>
  <si>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</si>
  <si>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</si>
  <si>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</si>
  <si>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</si>
  <si>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</si>
  <si>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</si>
  <si>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</si>
  <si>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</si>
  <si>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</si>
  <si>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</si>
  <si>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</si>
  <si>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</si>
  <si>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</si>
  <si>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</si>
  <si>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</si>
  <si>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</si>
  <si>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</si>
  <si>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</si>
  <si>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</si>
  <si>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</si>
  <si>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</si>
  <si>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</si>
  <si>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</si>
  <si>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</si>
  <si>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</si>
  <si>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</si>
  <si>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</si>
  <si>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</si>
  <si>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</si>
  <si>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</si>
  <si>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</si>
  <si>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</si>
  <si>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</si>
  <si>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</si>
  <si>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</si>
  <si>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</si>
  <si>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</si>
  <si>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</si>
  <si>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</si>
  <si>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</si>
  <si>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</si>
  <si>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</si>
  <si>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</si>
  <si>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</si>
  <si>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</si>
  <si>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</si>
  <si>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</si>
  <si>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</si>
  <si>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</si>
  <si>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</si>
  <si>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</si>
  <si>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</si>
  <si>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</si>
  <si>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</si>
  <si>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</si>
  <si>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</si>
  <si>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</si>
  <si>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</si>
  <si>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</si>
  <si>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</si>
  <si>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</si>
  <si>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</si>
  <si>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</si>
  <si>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</si>
  <si>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</si>
  <si>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</si>
  <si>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</si>
  <si>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</si>
  <si>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</si>
  <si>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</si>
  <si>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</si>
  <si>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</si>
  <si>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</si>
  <si>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</si>
  <si>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</si>
  <si>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</si>
  <si>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</si>
  <si>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</si>
  <si>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</si>
  <si>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</si>
  <si>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</si>
  <si>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</si>
  <si>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</si>
  <si>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</si>
  <si>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</si>
  <si>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</si>
  <si>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</si>
  <si>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</si>
  <si>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</si>
  <si>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</si>
  <si>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</si>
  <si>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</si>
  <si>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</si>
  <si>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</si>
  <si>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</si>
  <si>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</si>
  <si>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</si>
  <si>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</si>
  <si>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</si>
  <si>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</si>
  <si>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</si>
  <si>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</si>
  <si>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</si>
  <si>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</si>
  <si>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</si>
  <si>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</si>
  <si>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</si>
  <si>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</si>
  <si>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</si>
  <si>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</si>
  <si>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</si>
  <si>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</si>
  <si>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</si>
  <si>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</si>
  <si>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</si>
  <si>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</si>
  <si>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</si>
  <si>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</si>
  <si>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</si>
  <si>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</si>
  <si>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</si>
  <si>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</si>
  <si>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</si>
  <si>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</si>
  <si>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</si>
  <si>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</si>
  <si>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</si>
  <si>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</si>
  <si>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</si>
  <si>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</si>
  <si>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</si>
  <si>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</si>
  <si>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</si>
  <si>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</si>
  <si>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</si>
  <si>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</si>
  <si>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</si>
  <si>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</si>
  <si>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</si>
  <si>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</si>
  <si>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</si>
  <si>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</si>
  <si>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</si>
  <si>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</si>
  <si>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</si>
  <si>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</si>
  <si>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</si>
  <si>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</si>
  <si>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</si>
  <si>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</si>
  <si>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</si>
  <si>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</si>
  <si>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</si>
  <si>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</si>
  <si>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</si>
  <si>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</si>
  <si>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</si>
  <si>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</si>
  <si>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</si>
  <si>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</si>
  <si>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</si>
  <si>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</si>
  <si>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</si>
  <si>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</si>
  <si>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</si>
  <si>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</si>
  <si>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</si>
  <si>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</si>
  <si>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</si>
  <si>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</si>
  <si>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</si>
  <si>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</si>
  <si>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</si>
  <si>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</si>
  <si>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</si>
  <si>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</si>
  <si>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</si>
  <si>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</si>
  <si>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</si>
  <si>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</si>
  <si>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</si>
  <si>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</si>
  <si>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</si>
  <si>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</si>
  <si>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</si>
  <si>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</si>
  <si>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</si>
  <si>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</si>
  <si>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</si>
  <si>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</si>
  <si>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</si>
  <si>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</si>
  <si>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</si>
  <si>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</si>
  <si>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</si>
  <si>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</si>
  <si>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</si>
  <si>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</si>
  <si>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</si>
  <si>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</si>
  <si>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</si>
  <si>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</si>
  <si>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</si>
  <si>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</si>
  <si>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</si>
  <si>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</si>
  <si>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</si>
  <si>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</si>
  <si>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</si>
  <si>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</si>
  <si>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</si>
  <si>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</si>
  <si>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</si>
  <si>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</si>
  <si>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</si>
  <si>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</si>
  <si>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</si>
  <si>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</si>
  <si>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</si>
  <si>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</si>
  <si>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</si>
  <si>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</si>
  <si>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</si>
  <si>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</si>
  <si>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</si>
  <si>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</si>
  <si>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</si>
  <si>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</si>
  <si>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</si>
  <si>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</si>
  <si>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</si>
  <si>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</si>
  <si>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</si>
  <si>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</si>
  <si>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</si>
  <si>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</si>
  <si>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</si>
  <si>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</si>
  <si>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</si>
  <si>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</si>
  <si>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</si>
  <si>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</si>
  <si>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</si>
  <si>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</si>
  <si>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</si>
  <si>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</si>
  <si>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</si>
  <si>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</si>
  <si>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</si>
  <si>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</si>
  <si>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</si>
  <si>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</si>
  <si>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</si>
  <si>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</si>
  <si>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</si>
  <si>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</si>
  <si>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</si>
  <si>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</si>
  <si>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</si>
  <si>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</si>
  <si>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</si>
  <si>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</si>
  <si>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</si>
  <si>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</si>
  <si>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</si>
  <si>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</si>
  <si>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</si>
  <si>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</si>
  <si>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</si>
  <si>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</si>
  <si>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</si>
  <si>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</si>
  <si>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</si>
  <si>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</si>
  <si>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</si>
  <si>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</si>
  <si>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</si>
  <si>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</si>
  <si>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</si>
  <si>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</si>
  <si>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</si>
  <si>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</si>
  <si>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</si>
  <si>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</si>
  <si>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</si>
  <si>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</si>
  <si>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</si>
  <si>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</si>
  <si>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</si>
  <si>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</si>
  <si>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</si>
  <si>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</si>
  <si>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</si>
  <si>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</si>
  <si>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</si>
  <si>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</si>
  <si>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</si>
  <si>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</si>
  <si>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</si>
  <si>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</si>
  <si>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</si>
  <si>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</si>
  <si>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</si>
  <si>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</si>
  <si>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</si>
  <si>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</si>
  <si>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</si>
  <si>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</si>
  <si>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</si>
  <si>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</si>
  <si>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</si>
  <si>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</si>
  <si>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</si>
  <si>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</si>
  <si>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</si>
  <si>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</si>
  <si>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</si>
  <si>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</si>
  <si>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</si>
  <si>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</si>
  <si>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</si>
  <si>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</si>
  <si>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</si>
  <si>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</si>
  <si>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</si>
  <si>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</si>
  <si>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</si>
  <si>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</si>
  <si>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</si>
  <si>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</si>
  <si>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</si>
  <si>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</si>
  <si>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</si>
  <si>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</si>
  <si>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</si>
  <si>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</si>
  <si>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</si>
  <si>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</si>
  <si>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</si>
  <si>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</si>
  <si>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</si>
  <si>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</si>
  <si>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</si>
  <si>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</si>
  <si>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</si>
  <si>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</si>
  <si>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</si>
  <si>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</si>
  <si>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</si>
  <si>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</si>
  <si>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</si>
  <si>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</si>
  <si>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</si>
  <si>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</si>
  <si>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</si>
  <si>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</si>
  <si>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</si>
  <si>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</si>
  <si>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</si>
  <si>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</si>
  <si>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</si>
  <si>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</si>
  <si>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</si>
  <si>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</si>
  <si>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</si>
  <si>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</si>
  <si>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</si>
  <si>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</si>
  <si>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</si>
  <si>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</si>
  <si>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</si>
  <si>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</si>
  <si>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</si>
  <si>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</si>
  <si>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</si>
  <si>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</si>
  <si>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</si>
  <si>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</si>
  <si>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</si>
  <si>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</si>
  <si>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</si>
  <si>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</si>
  <si>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</si>
  <si>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</si>
  <si>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</si>
  <si>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</si>
  <si>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</si>
  <si>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</si>
  <si>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</si>
  <si>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</si>
  <si>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</si>
  <si>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</si>
  <si>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</si>
  <si>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</si>
  <si>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</si>
  <si>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</si>
  <si>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</si>
  <si>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</si>
  <si>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</si>
  <si>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</si>
  <si>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</si>
  <si>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</si>
  <si>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</si>
  <si>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</si>
  <si>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</si>
  <si>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</si>
  <si>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</si>
  <si>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</si>
  <si>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</si>
  <si>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</si>
  <si>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</si>
  <si>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</si>
  <si>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</si>
  <si>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</si>
  <si>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</si>
  <si>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</si>
  <si>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</si>
  <si>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</si>
  <si>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</si>
  <si>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</si>
  <si>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</si>
  <si>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</si>
  <si>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</si>
  <si>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</si>
  <si>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</si>
  <si>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</si>
  <si>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</si>
  <si>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</si>
  <si>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</si>
  <si>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</si>
  <si>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</si>
  <si>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</si>
  <si>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</si>
  <si>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</si>
  <si>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</si>
  <si>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</si>
  <si>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</si>
  <si>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</si>
  <si>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</si>
  <si>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</si>
  <si>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</si>
  <si>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</si>
  <si>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</si>
  <si>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</si>
  <si>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</si>
  <si>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</si>
  <si>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</si>
  <si>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</si>
  <si>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</si>
  <si>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</si>
  <si>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</si>
  <si>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</si>
  <si>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</si>
  <si>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</si>
  <si>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</si>
  <si>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</si>
  <si>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</si>
  <si>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</si>
  <si>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</si>
  <si>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</si>
  <si>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</si>
  <si>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</si>
  <si>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</si>
  <si>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</si>
  <si>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</si>
  <si>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</si>
  <si>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</si>
  <si>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</si>
  <si>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</si>
  <si>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</si>
  <si>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</si>
  <si>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</si>
  <si>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</si>
  <si>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</si>
  <si>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</si>
  <si>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</si>
  <si>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</si>
  <si>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</si>
  <si>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</si>
  <si>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</si>
  <si>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</si>
  <si>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</si>
  <si>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</si>
  <si>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</si>
  <si>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</si>
  <si>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</si>
  <si>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</si>
  <si>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</si>
  <si>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</si>
  <si>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</si>
  <si>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</si>
  <si>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</si>
  <si>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</si>
  <si>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</si>
  <si>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</si>
  <si>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</si>
  <si>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</si>
  <si>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</si>
  <si>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</si>
  <si>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</si>
  <si>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</si>
  <si>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</si>
  <si>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</si>
  <si>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</si>
  <si>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</si>
  <si>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</si>
  <si>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</si>
  <si>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</si>
  <si>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</si>
  <si>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</si>
  <si>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</si>
  <si>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</si>
  <si>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</si>
  <si>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</si>
  <si>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</si>
  <si>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</si>
  <si>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</si>
  <si>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</si>
  <si>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</si>
  <si>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</si>
  <si>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</si>
  <si>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</si>
  <si>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</si>
  <si>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</si>
  <si>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</si>
  <si>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</si>
  <si>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</si>
  <si>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</si>
  <si>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</si>
  <si>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</si>
  <si>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</si>
  <si>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</si>
  <si>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</si>
  <si>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</si>
  <si>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</si>
  <si>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</si>
  <si>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</si>
  <si>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</si>
  <si>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</si>
  <si>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</si>
  <si>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</si>
  <si>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</si>
  <si>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</si>
  <si>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</si>
  <si>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</si>
  <si>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</si>
  <si>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</si>
  <si>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</si>
  <si>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</si>
  <si>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</si>
  <si>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</si>
  <si>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</si>
  <si>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</si>
  <si>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</si>
  <si>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</si>
  <si>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</si>
  <si>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</si>
  <si>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</si>
  <si>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</si>
  <si>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</si>
  <si>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</si>
  <si>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</si>
  <si>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</si>
  <si>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</si>
  <si>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</si>
  <si>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</si>
  <si>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</si>
  <si>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</si>
  <si>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</si>
  <si>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</si>
  <si>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</si>
  <si>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</si>
  <si>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</si>
  <si>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</si>
  <si>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</si>
  <si>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</si>
  <si>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</si>
  <si>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</si>
  <si>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</si>
  <si>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</si>
  <si>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</si>
  <si>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</si>
  <si>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</si>
  <si>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</si>
  <si>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</si>
  <si>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</si>
  <si>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</si>
  <si>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</si>
  <si>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</si>
  <si>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</si>
  <si>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</si>
  <si>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</si>
  <si>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</si>
  <si>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</si>
  <si>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</si>
  <si>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</si>
  <si>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</si>
  <si>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</si>
  <si>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</si>
  <si>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</si>
  <si>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</si>
  <si>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</si>
  <si>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</si>
  <si>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</si>
  <si>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</si>
  <si>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</si>
  <si>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</si>
  <si>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</si>
  <si>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</si>
  <si>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</si>
  <si>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</si>
  <si>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</si>
  <si>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</si>
  <si>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</si>
  <si>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</si>
  <si>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</si>
  <si>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</si>
  <si>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</si>
  <si>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</si>
  <si>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</si>
  <si>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</si>
  <si>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</si>
  <si>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</si>
  <si>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</si>
  <si>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</si>
  <si>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</si>
  <si>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</si>
  <si>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</si>
  <si>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</si>
  <si>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</si>
  <si>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</si>
  <si>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</si>
  <si>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</si>
  <si>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</si>
  <si>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</si>
  <si>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</si>
  <si>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</si>
  <si>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</si>
  <si>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</si>
  <si>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</si>
  <si>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</si>
  <si>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</si>
  <si>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</si>
  <si>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</si>
  <si>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</si>
  <si>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</si>
  <si>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</si>
  <si>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</si>
  <si>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</si>
  <si>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</si>
  <si>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</si>
  <si>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</si>
  <si>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</si>
  <si>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</si>
  <si>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</si>
  <si>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</si>
  <si>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</si>
  <si>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</si>
  <si>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</si>
  <si>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</si>
  <si>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</si>
  <si>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</si>
  <si>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</si>
  <si>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</si>
  <si>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</si>
  <si>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</si>
  <si>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</si>
  <si>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</si>
  <si>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</si>
  <si>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</si>
  <si>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</si>
  <si>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</si>
  <si>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</si>
  <si>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</si>
  <si>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</si>
  <si>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</si>
  <si>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</si>
  <si>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</si>
  <si>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</si>
  <si>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</si>
  <si>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</si>
  <si>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</si>
  <si>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</si>
  <si>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</si>
  <si>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</si>
  <si>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</si>
  <si>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</si>
  <si>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</si>
  <si>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</si>
  <si>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</si>
  <si>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</si>
  <si>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</si>
  <si>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</si>
  <si>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</si>
  <si>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</si>
  <si>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</si>
  <si>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</si>
  <si>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</si>
  <si>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</si>
  <si>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</si>
  <si>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</si>
  <si>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</si>
  <si>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</si>
  <si>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</si>
  <si>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</si>
  <si>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</si>
  <si>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</si>
  <si>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</si>
  <si>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</si>
  <si>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</si>
  <si>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</si>
  <si>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</si>
  <si>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</si>
  <si>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</si>
  <si>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</si>
  <si>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</si>
  <si>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</si>
  <si>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</si>
  <si>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</si>
  <si>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</si>
  <si>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</si>
  <si>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</si>
  <si>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</si>
  <si>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</si>
  <si>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</si>
  <si>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</si>
  <si>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</si>
  <si>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</si>
  <si>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</si>
  <si>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</si>
  <si>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</si>
  <si>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</si>
  <si>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</si>
  <si>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</si>
  <si>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</si>
  <si>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</si>
  <si>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</si>
  <si>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</si>
  <si>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</si>
  <si>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</si>
  <si>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</si>
  <si>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</si>
  <si>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</si>
  <si>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</si>
  <si>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</si>
  <si>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</si>
  <si>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</si>
  <si>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</si>
  <si>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</si>
  <si>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</si>
  <si>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</si>
  <si>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</si>
  <si>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</si>
  <si>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</si>
  <si>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</si>
  <si>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</si>
  <si>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</si>
  <si>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</si>
  <si>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</si>
  <si>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</si>
  <si>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</si>
  <si>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</si>
  <si>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</si>
  <si>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</si>
  <si>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</si>
  <si>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</si>
  <si>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</si>
  <si>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</si>
  <si>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</si>
  <si>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</si>
  <si>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</si>
  <si>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</si>
  <si>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</si>
  <si>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</si>
  <si>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</si>
  <si>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</si>
  <si>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</si>
  <si>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</si>
  <si>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</si>
  <si>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</si>
  <si>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</si>
  <si>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</si>
  <si>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</si>
  <si>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</si>
  <si>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</si>
  <si>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</si>
  <si>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</si>
  <si>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</si>
  <si>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</si>
  <si>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</si>
  <si>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</si>
  <si>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</si>
  <si>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</si>
  <si>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</si>
  <si>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</si>
  <si>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</si>
  <si>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</si>
  <si>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</si>
  <si>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</si>
  <si>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</si>
  <si>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</si>
  <si>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</si>
  <si>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</si>
  <si>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</si>
  <si>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</si>
  <si>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</si>
  <si>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</si>
  <si>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</si>
  <si>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</si>
  <si>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</si>
  <si>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</si>
  <si>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</si>
  <si>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</si>
  <si>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</si>
  <si>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</si>
  <si>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</si>
  <si>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</si>
  <si>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</si>
  <si>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</si>
  <si>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</si>
  <si>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</si>
  <si>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</si>
  <si>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</si>
  <si>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</si>
  <si>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</si>
  <si>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</si>
  <si>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</si>
  <si>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</si>
  <si>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</si>
  <si>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</si>
  <si>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</si>
  <si>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</si>
  <si>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</si>
  <si>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</si>
  <si>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</si>
  <si>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</si>
  <si>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</si>
  <si>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</si>
  <si>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</si>
  <si>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</si>
  <si>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</si>
  <si>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</si>
  <si>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</si>
  <si>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</si>
  <si>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</si>
  <si>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</si>
  <si>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</si>
  <si>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</si>
  <si>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</si>
  <si>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</si>
  <si>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</si>
  <si>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</si>
  <si>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</si>
  <si>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</si>
  <si>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</si>
  <si>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</si>
  <si>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</si>
  <si>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</si>
  <si>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</si>
  <si>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</si>
  <si>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</si>
  <si>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</si>
  <si>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</si>
  <si>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</si>
  <si>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</si>
  <si>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</si>
  <si>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</si>
  <si>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</si>
  <si>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</si>
  <si>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</si>
  <si>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</si>
  <si>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</si>
  <si>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</si>
  <si>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</si>
  <si>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</si>
  <si>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</si>
  <si>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</si>
  <si>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</si>
  <si>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</si>
  <si>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</si>
  <si>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</si>
  <si>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</si>
  <si>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</si>
  <si>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</si>
  <si>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</si>
  <si>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</si>
  <si>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</si>
  <si>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</si>
  <si>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</si>
  <si>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</si>
  <si>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</si>
  <si>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</si>
  <si>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</si>
  <si>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</si>
  <si>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</si>
  <si>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</si>
  <si>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</si>
  <si>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</si>
  <si>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</si>
  <si>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</si>
  <si>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</si>
  <si>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</si>
  <si>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</si>
  <si>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</si>
  <si>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</si>
  <si>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</si>
  <si>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</si>
  <si>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</si>
  <si>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</si>
  <si>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</si>
  <si>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</si>
  <si>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</si>
  <si>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</si>
  <si>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</si>
  <si>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</si>
  <si>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</si>
  <si>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</si>
  <si>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</si>
  <si>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</si>
  <si>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</si>
  <si>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</si>
  <si>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</si>
  <si>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</si>
  <si>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</si>
  <si>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</si>
  <si>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</si>
  <si>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</si>
  <si>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</si>
  <si>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</si>
  <si>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</si>
  <si>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</si>
  <si>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</si>
  <si>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</si>
  <si>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</si>
  <si>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</si>
  <si>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</si>
  <si>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</si>
  <si>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</si>
  <si>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</si>
  <si>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</si>
  <si>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</si>
  <si>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</si>
  <si>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</si>
  <si>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</si>
  <si>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</si>
  <si>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</si>
  <si>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</si>
  <si>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</si>
  <si>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</si>
  <si>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</si>
  <si>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</si>
  <si>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</si>
  <si>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</si>
  <si>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</si>
  <si>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</si>
  <si>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</si>
  <si>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</si>
  <si>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</si>
  <si>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</si>
  <si>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</si>
  <si>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</si>
  <si>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</si>
  <si>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</si>
  <si>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</si>
  <si>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</si>
  <si>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</si>
  <si>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</si>
  <si>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</si>
  <si>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</si>
  <si>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</si>
  <si>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</si>
  <si>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</si>
  <si>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</si>
  <si>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</si>
  <si>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</si>
  <si>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</si>
  <si>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</si>
  <si>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</si>
  <si>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</si>
  <si>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</si>
  <si>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</si>
  <si>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</si>
  <si>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</si>
  <si>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</si>
  <si>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</si>
  <si>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</si>
  <si>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</si>
  <si>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</si>
  <si>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</si>
  <si>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</si>
  <si>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</si>
  <si>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</si>
  <si>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</si>
  <si>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</si>
  <si>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</si>
  <si>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</si>
  <si>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</si>
  <si>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</si>
  <si>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</si>
  <si>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</si>
  <si>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</si>
  <si>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</si>
  <si>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</si>
  <si>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</si>
  <si>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</si>
  <si>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</si>
  <si>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</si>
  <si>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</si>
  <si>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</si>
  <si>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</si>
  <si>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</si>
  <si>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</si>
  <si>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</si>
  <si>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</si>
  <si>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</si>
  <si>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</si>
  <si>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</si>
  <si>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</si>
  <si>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</si>
  <si>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</si>
  <si>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</si>
  <si>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</si>
  <si>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</si>
  <si>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</si>
  <si>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</si>
  <si>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</si>
  <si>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</si>
  <si>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</si>
  <si>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</si>
  <si>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</si>
  <si>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</si>
  <si>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</si>
  <si>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</si>
  <si>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</si>
  <si>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</si>
  <si>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</si>
  <si>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</si>
  <si>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</si>
  <si>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</si>
  <si>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</si>
  <si>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</si>
  <si>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</si>
  <si>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</si>
  <si>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</si>
  <si>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</si>
  <si>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</si>
  <si>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</si>
  <si>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</si>
  <si>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</si>
  <si>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</si>
  <si>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</si>
  <si>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</si>
  <si>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</si>
  <si>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</si>
  <si>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</si>
  <si>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</si>
  <si>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</si>
  <si>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</si>
  <si>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</si>
  <si>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</si>
  <si>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</si>
  <si>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</si>
  <si>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</si>
  <si>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</si>
  <si>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</si>
  <si>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</si>
  <si>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</si>
  <si>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</si>
  <si>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</si>
  <si>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</si>
  <si>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</si>
  <si>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</si>
  <si>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</si>
  <si>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</si>
  <si>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</si>
  <si>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</si>
  <si>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</si>
  <si>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</si>
  <si>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</si>
  <si>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</si>
  <si>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</si>
  <si>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</si>
  <si>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</si>
  <si>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</si>
  <si>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</si>
  <si>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</si>
  <si>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</si>
  <si>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</si>
  <si>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</si>
  <si>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</si>
  <si>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</si>
  <si>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</si>
  <si>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</si>
  <si>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</si>
  <si>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</si>
  <si>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</si>
  <si>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</si>
  <si>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</si>
  <si>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</si>
  <si>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</si>
  <si>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</si>
  <si>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</si>
  <si>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</si>
  <si>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</si>
  <si>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</si>
  <si>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</si>
  <si>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</si>
  <si>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</si>
  <si>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</si>
  <si>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</si>
  <si>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</si>
  <si>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</si>
  <si>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</si>
  <si>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</si>
  <si>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</si>
  <si>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</si>
  <si>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</si>
  <si>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</si>
  <si>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</si>
  <si>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</si>
  <si>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</si>
  <si>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</si>
  <si>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</si>
  <si>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</si>
  <si>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</si>
  <si>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</si>
  <si>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</si>
  <si>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</si>
  <si>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</si>
  <si>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</si>
  <si>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</si>
  <si>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</si>
  <si>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</si>
  <si>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</si>
  <si>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</si>
  <si>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</si>
  <si>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</si>
  <si>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</si>
  <si>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</si>
  <si>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</si>
  <si>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</si>
  <si>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</si>
  <si>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</si>
  <si>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</si>
  <si>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</si>
  <si>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</si>
  <si>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</si>
  <si>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</si>
  <si>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</si>
  <si>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</si>
  <si>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</si>
  <si>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</si>
  <si>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</si>
  <si>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</si>
  <si>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</si>
  <si>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</si>
  <si>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</si>
  <si>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</si>
  <si>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</si>
  <si>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</si>
  <si>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</si>
  <si>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</si>
  <si>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</si>
  <si>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</si>
  <si>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</si>
  <si>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</si>
  <si>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</si>
  <si>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</si>
  <si>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</si>
  <si>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</si>
  <si>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</si>
  <si>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</si>
  <si>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</si>
  <si>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</si>
  <si>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</si>
  <si>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</si>
  <si>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</si>
  <si>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</si>
  <si>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</si>
  <si>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</si>
  <si>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</si>
  <si>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</si>
  <si>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</si>
  <si>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</si>
  <si>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</si>
  <si>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</si>
  <si>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</si>
  <si>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</si>
  <si>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</si>
  <si>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</si>
  <si>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</si>
  <si>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</si>
  <si>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</si>
  <si>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</si>
  <si>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</si>
  <si>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</si>
  <si>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</si>
  <si>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</si>
  <si>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</si>
  <si>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</si>
  <si>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</si>
  <si>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</si>
  <si>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</si>
  <si>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</si>
  <si>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</si>
  <si>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</si>
  <si>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</si>
  <si>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</si>
  <si>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</si>
  <si>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</si>
  <si>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</si>
  <si>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</si>
  <si>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</si>
  <si>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</si>
  <si>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</si>
  <si>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</si>
  <si>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</si>
  <si>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</si>
  <si>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</si>
  <si>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</si>
  <si>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</si>
  <si>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</si>
  <si>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</si>
  <si>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</si>
  <si>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</si>
  <si>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</si>
  <si>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</si>
  <si>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</si>
  <si>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</si>
  <si>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</si>
  <si>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</si>
  <si>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</si>
  <si>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</si>
  <si>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</si>
  <si>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</si>
  <si>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</si>
  <si>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</si>
  <si>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</si>
  <si>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</si>
  <si>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</si>
  <si>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</si>
  <si>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</si>
  <si>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</si>
  <si>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</si>
  <si>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</si>
  <si>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</si>
  <si>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</si>
  <si>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</si>
  <si>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</si>
  <si>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</si>
  <si>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</si>
  <si>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</si>
  <si>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</si>
  <si>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</si>
  <si>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</si>
  <si>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</si>
  <si>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</si>
  <si>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</si>
  <si>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</si>
  <si>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</si>
  <si>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</si>
  <si>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</si>
  <si>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</si>
  <si>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</si>
  <si>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</si>
  <si>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</si>
  <si>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</si>
  <si>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</si>
  <si>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</si>
  <si>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</si>
  <si>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</si>
  <si>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</si>
  <si>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</si>
  <si>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</si>
  <si>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</si>
  <si>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</si>
  <si>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</si>
  <si>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</si>
  <si>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</si>
  <si>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</si>
  <si>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</si>
  <si>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</si>
  <si>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</si>
  <si>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</si>
  <si>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</si>
  <si>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</si>
  <si>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</si>
  <si>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</si>
  <si>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</si>
  <si>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</si>
  <si>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</si>
  <si>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</si>
  <si>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</si>
  <si>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</si>
  <si>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</si>
  <si>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</si>
  <si>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</si>
  <si>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</si>
  <si>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</si>
  <si>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</si>
  <si>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</si>
  <si>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</si>
  <si>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</si>
  <si>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</si>
  <si>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</si>
  <si>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</si>
  <si>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</si>
  <si>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</si>
  <si>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</si>
  <si>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</si>
  <si>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</si>
  <si>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</si>
  <si>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</si>
  <si>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</si>
  <si>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</si>
  <si>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</si>
  <si>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</si>
  <si>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</si>
  <si>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</si>
  <si>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</si>
  <si>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</si>
  <si>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</si>
  <si>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</si>
  <si>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</si>
  <si>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</si>
  <si>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</si>
  <si>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</si>
  <si>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</si>
  <si>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</si>
  <si>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</si>
  <si>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</si>
  <si>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</si>
  <si>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</si>
  <si>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</si>
  <si>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</si>
  <si>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</si>
  <si>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</si>
  <si>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</si>
  <si>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</si>
  <si>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</si>
  <si>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</si>
  <si>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</si>
  <si>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</si>
  <si>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</si>
  <si>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</si>
  <si>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</si>
  <si>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</si>
  <si>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</si>
  <si>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</si>
  <si>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</si>
  <si>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</si>
  <si>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</si>
  <si>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</si>
  <si>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</si>
  <si>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</si>
  <si>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</si>
  <si>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</si>
  <si>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</si>
  <si>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</si>
  <si>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</si>
  <si>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</si>
  <si>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</si>
  <si>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</si>
  <si>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</si>
  <si>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</si>
  <si>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</si>
  <si>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</si>
  <si>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</si>
  <si>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</si>
  <si>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</si>
  <si>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</si>
  <si>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</si>
  <si>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</si>
  <si>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</si>
  <si>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</si>
  <si>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</si>
  <si>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</si>
  <si>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</si>
  <si>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</si>
  <si>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</si>
  <si>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</si>
  <si>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</si>
  <si>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</si>
  <si>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</si>
  <si>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</si>
  <si>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</si>
  <si>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</si>
  <si>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</si>
  <si>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</si>
  <si>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</si>
  <si>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</si>
  <si>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</si>
  <si>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</si>
  <si>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</si>
  <si>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</si>
  <si>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</si>
  <si>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</si>
  <si>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</si>
  <si>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</si>
  <si>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</si>
  <si>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</si>
  <si>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</si>
  <si>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</si>
  <si>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</si>
  <si>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</si>
  <si>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</si>
  <si>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</si>
  <si>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</si>
  <si>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</si>
  <si>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</si>
  <si>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</si>
  <si>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</si>
  <si>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</si>
  <si>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</si>
  <si>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</si>
  <si>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</si>
  <si>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</si>
  <si>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</si>
  <si>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</si>
  <si>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</si>
  <si>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</si>
  <si>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</si>
  <si>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</si>
  <si>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</si>
  <si>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</si>
  <si>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</si>
  <si>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</si>
  <si>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</si>
  <si>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</si>
  <si>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</si>
  <si>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</si>
  <si>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</si>
  <si>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</si>
  <si>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</si>
  <si>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</si>
  <si>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</si>
  <si>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</si>
  <si>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</si>
  <si>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</si>
  <si>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</si>
  <si>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</si>
  <si>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</si>
  <si>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</si>
  <si>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</si>
  <si>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</si>
  <si>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</si>
  <si>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</si>
  <si>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</si>
  <si>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</si>
  <si>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</si>
  <si>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</si>
  <si>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</si>
  <si>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</si>
  <si>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</si>
  <si>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</si>
  <si>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</si>
  <si>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</si>
  <si>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</si>
  <si>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</si>
  <si>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</si>
  <si>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</si>
  <si>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</si>
  <si>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</si>
  <si>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</si>
  <si>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</si>
  <si>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</si>
  <si>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</si>
  <si>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</si>
  <si>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</si>
  <si>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</si>
  <si>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</si>
  <si>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</si>
  <si>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</si>
  <si>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</si>
  <si>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</si>
  <si>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</si>
  <si>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</si>
  <si>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</si>
  <si>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</si>
  <si>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</si>
  <si>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</si>
  <si>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</si>
  <si>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</si>
  <si>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</si>
  <si>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</si>
  <si>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</si>
  <si>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</si>
  <si>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</si>
  <si>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</si>
  <si>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</si>
  <si>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</si>
  <si>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</si>
  <si>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</si>
  <si>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</si>
  <si>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</si>
  <si>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</si>
  <si>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</si>
  <si>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</si>
  <si>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</si>
  <si>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</si>
  <si>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</si>
  <si>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</si>
  <si>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</si>
  <si>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</si>
  <si>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</si>
  <si>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</si>
  <si>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</si>
  <si>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</si>
  <si>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</si>
  <si>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</si>
  <si>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</si>
  <si>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</si>
  <si>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</si>
  <si>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</si>
  <si>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</si>
  <si>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</si>
  <si>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</si>
  <si>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</si>
  <si>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</si>
  <si>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</si>
  <si>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</si>
  <si>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</si>
  <si>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</si>
  <si>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</si>
  <si>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</si>
  <si>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</si>
  <si>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</si>
  <si>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</si>
  <si>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</si>
  <si>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</si>
  <si>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</si>
  <si>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</si>
  <si>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</si>
  <si>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</si>
  <si>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</si>
  <si>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</si>
  <si>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</si>
  <si>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</si>
  <si>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</si>
  <si>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</si>
  <si>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</si>
  <si>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</si>
  <si>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</si>
  <si>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</si>
  <si>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</si>
  <si>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</si>
  <si>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</si>
  <si>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</si>
  <si>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</si>
  <si>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</si>
  <si>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</si>
  <si>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</si>
  <si>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</si>
  <si>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</si>
  <si>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</si>
  <si>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</si>
  <si>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</si>
  <si>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</si>
  <si>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</si>
  <si>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</si>
  <si>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</si>
  <si>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</si>
  <si>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</si>
  <si>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</si>
  <si>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</si>
  <si>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</si>
  <si>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</si>
  <si>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</si>
  <si>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</si>
  <si>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</si>
  <si>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</si>
  <si>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</si>
  <si>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</si>
  <si>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</si>
  <si>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</si>
  <si>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</si>
  <si>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</si>
  <si>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</si>
  <si>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</si>
  <si>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</si>
  <si>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</si>
  <si>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</si>
  <si>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</si>
  <si>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</si>
  <si>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</si>
  <si>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</si>
  <si>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</si>
  <si>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</si>
  <si>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</si>
  <si>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</si>
  <si>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</si>
  <si>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</si>
  <si>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</si>
  <si>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</si>
  <si>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</si>
  <si>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</si>
  <si>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</si>
  <si>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</si>
  <si>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</si>
  <si>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</si>
  <si>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</si>
  <si>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</si>
  <si>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</si>
  <si>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</si>
  <si>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</si>
  <si>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</si>
  <si>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</si>
  <si>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</si>
  <si>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</si>
  <si>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</si>
  <si>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</si>
  <si>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</si>
  <si>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</si>
  <si>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</si>
  <si>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</si>
  <si>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</si>
  <si>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</si>
  <si>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</si>
  <si>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</si>
  <si>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</si>
  <si>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</si>
  <si>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</si>
  <si>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</si>
  <si>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</si>
  <si>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</si>
  <si>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</si>
  <si>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</si>
  <si>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</si>
  <si>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</si>
  <si>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</si>
  <si>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</si>
  <si>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</si>
  <si>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</si>
  <si>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</si>
  <si>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</si>
  <si>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</si>
  <si>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</si>
  <si>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</si>
  <si>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</si>
  <si>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</si>
  <si>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</si>
  <si>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</si>
  <si>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</si>
  <si>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</si>
  <si>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</si>
  <si>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</si>
  <si>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</si>
  <si>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</si>
  <si>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</si>
  <si>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</si>
  <si>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</si>
  <si>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</si>
  <si>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</si>
  <si>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</si>
  <si>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</si>
  <si>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</si>
  <si>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</si>
  <si>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</si>
  <si>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</si>
  <si>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</si>
  <si>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</si>
  <si>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</si>
  <si>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</si>
  <si>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</si>
  <si>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</si>
  <si>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</si>
  <si>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</si>
  <si>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</si>
  <si>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</si>
  <si>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</si>
  <si>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</si>
  <si>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</si>
  <si>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</si>
  <si>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</si>
  <si>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</si>
  <si>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</si>
  <si>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</si>
  <si>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</si>
  <si>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</si>
  <si>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</si>
  <si>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</si>
  <si>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</si>
  <si>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</si>
  <si>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</si>
  <si>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</si>
  <si>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</si>
  <si>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</si>
  <si>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</si>
  <si>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</si>
  <si>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</si>
  <si>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</si>
  <si>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</si>
  <si>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</si>
  <si>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</si>
  <si>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</si>
  <si>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</si>
  <si>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</si>
  <si>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</si>
  <si>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</si>
  <si>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</si>
  <si>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</si>
  <si>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</si>
  <si>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</si>
  <si>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</si>
  <si>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</si>
  <si>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</si>
  <si>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</si>
  <si>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</si>
  <si>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</si>
  <si>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</si>
  <si>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</si>
  <si>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</si>
  <si>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</si>
  <si>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</si>
  <si>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</si>
  <si>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</si>
  <si>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</si>
  <si>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</si>
  <si>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</si>
  <si>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</si>
  <si>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</si>
  <si>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</si>
  <si>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</si>
  <si>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</si>
  <si>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</si>
  <si>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</si>
  <si>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</si>
  <si>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</si>
  <si>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</si>
  <si>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</si>
  <si>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</si>
  <si>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</si>
  <si>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</si>
  <si>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</si>
  <si>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</si>
  <si>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</si>
  <si>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</si>
  <si>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</si>
  <si>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</si>
  <si>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</si>
  <si>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</si>
  <si>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</si>
  <si>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</si>
  <si>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</si>
  <si>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</si>
  <si>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</si>
  <si>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</si>
  <si>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</si>
  <si>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</si>
  <si>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</si>
  <si>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</si>
  <si>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</si>
  <si>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</si>
  <si>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</si>
  <si>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</si>
  <si>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</si>
  <si>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</si>
  <si>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</si>
  <si>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</si>
  <si>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</si>
  <si>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</si>
  <si>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</si>
  <si>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</si>
  <si>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</si>
  <si>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</si>
  <si>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</si>
  <si>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</si>
  <si>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</si>
  <si>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</si>
  <si>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</si>
  <si>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</si>
  <si>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</si>
  <si>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</si>
  <si>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</si>
  <si>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</si>
  <si>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</si>
  <si>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</si>
  <si>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</si>
  <si>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</si>
  <si>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</si>
  <si>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</si>
  <si>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</si>
  <si>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</si>
  <si>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</si>
  <si>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</si>
  <si>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</si>
  <si>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</si>
  <si>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</si>
  <si>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</si>
  <si>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</si>
  <si>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</si>
  <si>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</si>
  <si>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</si>
  <si>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</si>
  <si>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</si>
  <si>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</si>
  <si>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</si>
  <si>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</si>
  <si>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</si>
  <si>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</si>
  <si>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</si>
  <si>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</si>
  <si>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</si>
  <si>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</si>
  <si>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</si>
  <si>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</si>
  <si>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</si>
  <si>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</si>
  <si>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</si>
  <si>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</si>
  <si>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</si>
  <si>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</si>
  <si>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</si>
  <si>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</si>
  <si>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</si>
  <si>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</si>
  <si>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</si>
  <si>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</si>
  <si>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</si>
  <si>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</si>
  <si>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</si>
  <si>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</si>
  <si>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</si>
  <si>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</si>
  <si>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</si>
  <si>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</si>
  <si>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</si>
  <si>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</si>
  <si>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</si>
  <si>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</si>
  <si>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</si>
  <si>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</si>
  <si>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</si>
  <si>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</si>
  <si>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</si>
  <si>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</si>
  <si>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</si>
  <si>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</si>
  <si>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</si>
  <si>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</si>
  <si>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</si>
  <si>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</si>
  <si>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</si>
  <si>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</si>
  <si>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</si>
  <si>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</si>
  <si>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</si>
  <si>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</si>
  <si>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</si>
  <si>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</si>
  <si>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</si>
  <si>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</si>
  <si>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</si>
  <si>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</si>
  <si>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</si>
  <si>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</si>
  <si>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</si>
  <si>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</si>
  <si>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</si>
  <si>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</si>
  <si>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</si>
  <si>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</si>
  <si>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</si>
  <si>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</si>
  <si>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</si>
  <si>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</si>
  <si>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</si>
  <si>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</si>
  <si>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</si>
  <si>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</si>
  <si>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</si>
  <si>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</si>
  <si>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</si>
  <si>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</si>
  <si>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</si>
  <si>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</si>
  <si>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</si>
  <si>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</si>
  <si>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</si>
  <si>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</si>
  <si>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</si>
  <si>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</si>
  <si>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</si>
  <si>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</si>
  <si>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</si>
  <si>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</si>
  <si>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</si>
  <si>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</si>
  <si>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</si>
  <si>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</si>
  <si>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</si>
  <si>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</si>
  <si>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</si>
  <si>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</si>
  <si>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</si>
  <si>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</si>
  <si>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</si>
  <si>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</si>
  <si>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</si>
  <si>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</si>
  <si>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</si>
  <si>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</si>
  <si>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</si>
  <si>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</si>
  <si>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</si>
  <si>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</si>
  <si>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</si>
  <si>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</si>
  <si>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</si>
  <si>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</si>
  <si>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</si>
  <si>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</si>
  <si>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</si>
  <si>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</si>
  <si>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</si>
  <si>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</si>
  <si>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</si>
  <si>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</si>
  <si>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</si>
  <si>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</si>
  <si>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</si>
  <si>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</si>
  <si>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</si>
  <si>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</si>
  <si>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</si>
  <si>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</si>
  <si>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</si>
  <si>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</si>
  <si>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</si>
  <si>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</si>
  <si>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</si>
  <si>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</si>
  <si>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</si>
  <si>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</si>
  <si>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</si>
  <si>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</si>
  <si>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</si>
  <si>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</si>
  <si>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</si>
  <si>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</si>
  <si>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</si>
  <si>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</si>
  <si>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</si>
  <si>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</si>
  <si>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</si>
  <si>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</si>
  <si>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</si>
  <si>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</si>
  <si>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</si>
  <si>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</si>
  <si>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</si>
  <si>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</si>
  <si>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</si>
  <si>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</si>
  <si>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</si>
  <si>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</si>
  <si>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</si>
  <si>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</si>
  <si>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</si>
  <si>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</si>
  <si>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</si>
  <si>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</si>
  <si>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</si>
  <si>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</si>
  <si>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</si>
  <si>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</si>
  <si>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</si>
  <si>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</si>
  <si>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</si>
  <si>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</si>
  <si>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</si>
  <si>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</si>
  <si>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</si>
  <si>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</si>
  <si>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</si>
  <si>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</si>
  <si>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</si>
  <si>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</si>
  <si>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</si>
  <si>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</si>
  <si>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</si>
  <si>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</si>
  <si>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</si>
  <si>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</si>
  <si>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</si>
  <si>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</si>
  <si>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</si>
  <si>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</si>
  <si>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</si>
  <si>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</si>
  <si>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</si>
  <si>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</si>
  <si>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</si>
  <si>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</si>
  <si>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</si>
  <si>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</si>
  <si>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</si>
  <si>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</si>
  <si>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</si>
  <si>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</si>
  <si>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</si>
  <si>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</si>
  <si>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</si>
  <si>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</si>
  <si>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</si>
  <si>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</si>
  <si>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</si>
  <si>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</si>
  <si>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</si>
  <si>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</si>
  <si>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</si>
  <si>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</si>
  <si>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</si>
  <si>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</si>
  <si>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</si>
  <si>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</si>
  <si>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</si>
  <si>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</si>
  <si>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</si>
  <si>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</si>
  <si>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</si>
  <si>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</si>
  <si>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</si>
  <si>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</si>
  <si>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</si>
  <si>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</si>
  <si>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</si>
  <si>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</si>
  <si>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</si>
  <si>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</si>
  <si>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</si>
  <si>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</si>
  <si>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</si>
  <si>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</si>
  <si>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</si>
  <si>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</si>
  <si>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</si>
  <si>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</si>
  <si>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</si>
  <si>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</si>
  <si>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</si>
  <si>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</si>
  <si>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</si>
  <si>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</si>
  <si>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</si>
  <si>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</si>
  <si>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</si>
  <si>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</si>
  <si>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</si>
  <si>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</si>
  <si>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</si>
  <si>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</si>
  <si>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</si>
  <si>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</si>
  <si>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</si>
  <si>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</si>
  <si>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</si>
  <si>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</si>
  <si>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</si>
  <si>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</si>
  <si>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</si>
  <si>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</si>
  <si>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</si>
  <si>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</si>
  <si>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</si>
  <si>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</si>
  <si>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</si>
  <si>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</si>
  <si>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</si>
  <si>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</si>
  <si>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</si>
  <si>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</si>
  <si>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</si>
  <si>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</si>
  <si>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</si>
  <si>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</si>
  <si>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</si>
  <si>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</si>
  <si>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</si>
  <si>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</si>
  <si>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</si>
  <si>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</si>
  <si>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</si>
  <si>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</si>
  <si>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</si>
  <si>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</si>
  <si>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</si>
  <si>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</si>
  <si>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</si>
  <si>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</si>
  <si>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</si>
  <si>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</si>
  <si>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</si>
  <si>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</si>
  <si>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</si>
  <si>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</si>
  <si>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</si>
  <si>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</si>
  <si>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</si>
  <si>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</si>
  <si>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</si>
  <si>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</si>
  <si>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</si>
  <si>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</si>
  <si>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</si>
  <si>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</si>
  <si>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</si>
  <si>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</si>
  <si>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</si>
  <si>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</si>
  <si>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</si>
  <si>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</si>
  <si>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</si>
  <si>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</si>
  <si>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</si>
  <si>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</si>
  <si>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</si>
  <si>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</si>
  <si>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</si>
  <si>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</si>
  <si>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</si>
  <si>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</si>
  <si>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</si>
  <si>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</si>
  <si>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</si>
  <si>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</si>
  <si>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</si>
  <si>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</si>
  <si>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</si>
  <si>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</si>
  <si>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</si>
  <si>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</si>
  <si>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</si>
  <si>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</si>
  <si>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</si>
  <si>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</si>
  <si>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</si>
  <si>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</si>
  <si>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</si>
  <si>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</si>
  <si>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</si>
  <si>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</si>
  <si>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</si>
  <si>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</si>
  <si>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</si>
  <si>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</si>
  <si>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</si>
  <si>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</si>
  <si>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</si>
  <si>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</si>
  <si>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</si>
  <si>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</si>
  <si>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</si>
  <si>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</si>
  <si>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</si>
  <si>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</si>
  <si>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</si>
  <si>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</si>
  <si>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</si>
  <si>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</si>
  <si>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</si>
  <si>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</si>
  <si>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</si>
  <si>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</si>
  <si>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</si>
  <si>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</si>
  <si>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</si>
  <si>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</si>
  <si>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</si>
  <si>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</si>
  <si>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</si>
  <si>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</si>
  <si>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</si>
  <si>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</si>
  <si>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</si>
  <si>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</si>
  <si>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</si>
  <si>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</si>
  <si>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</si>
  <si>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</si>
  <si>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</si>
  <si>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</si>
  <si>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</si>
  <si>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</si>
  <si>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</si>
  <si>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</si>
  <si>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</si>
  <si>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</si>
  <si>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</si>
  <si>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</si>
  <si>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</si>
  <si>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</si>
  <si>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</si>
  <si>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</si>
  <si>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</si>
  <si>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</si>
  <si>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</si>
  <si>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</si>
  <si>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</si>
  <si>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</si>
  <si>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</si>
  <si>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</si>
  <si>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</si>
  <si>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</si>
  <si>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</si>
  <si>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</si>
  <si>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</si>
  <si>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</si>
  <si>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</si>
  <si>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</si>
  <si>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</si>
  <si>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</si>
  <si>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</si>
  <si>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</si>
  <si>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</si>
  <si>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</si>
  <si>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</si>
  <si>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</si>
  <si>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</si>
  <si>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</si>
  <si>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</si>
  <si>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</si>
  <si>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</si>
  <si>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</si>
  <si>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</si>
  <si>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</si>
  <si>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</si>
  <si>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</si>
  <si>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</si>
  <si>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</si>
  <si>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</si>
  <si>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</si>
  <si>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</si>
  <si>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</si>
  <si>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</si>
  <si>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</si>
  <si>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</si>
  <si>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</si>
  <si>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</si>
  <si>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</si>
  <si>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</si>
  <si>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</si>
  <si>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</si>
  <si>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</si>
  <si>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</si>
  <si>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</si>
  <si>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</si>
  <si>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</si>
  <si>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</si>
  <si>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</si>
  <si>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</si>
  <si>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</si>
  <si>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</si>
  <si>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</si>
  <si>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</si>
  <si>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</si>
  <si>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</si>
  <si>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</si>
  <si>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</si>
  <si>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</si>
  <si>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</si>
  <si>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</si>
  <si>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</si>
  <si>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</si>
  <si>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</si>
  <si>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</si>
  <si>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</si>
  <si>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</si>
  <si>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</si>
  <si>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</si>
  <si>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</si>
  <si>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</si>
  <si>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</si>
  <si>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</si>
  <si>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</si>
  <si>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</si>
  <si>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</si>
  <si>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</si>
  <si>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</si>
  <si>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</si>
  <si>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</si>
  <si>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</si>
  <si>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</si>
  <si>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</si>
  <si>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</si>
  <si>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</si>
  <si>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</si>
  <si>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</si>
  <si>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</si>
  <si>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</si>
  <si>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</si>
  <si>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</si>
  <si>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</si>
  <si>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</si>
  <si>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</si>
  <si>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</si>
  <si>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</si>
  <si>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</si>
  <si>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</si>
  <si>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</si>
  <si>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</si>
  <si>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</si>
  <si>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</si>
  <si>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</si>
  <si>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</si>
  <si>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</si>
  <si>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</si>
  <si>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</si>
  <si>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</si>
  <si>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</si>
  <si>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</si>
  <si>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</si>
  <si>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</si>
  <si>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</si>
  <si>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</si>
  <si>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</si>
  <si>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</si>
  <si>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</si>
  <si>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</si>
  <si>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</si>
  <si>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</si>
  <si>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</si>
  <si>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</si>
  <si>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</si>
  <si>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</si>
  <si>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</si>
  <si>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</si>
  <si>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</si>
  <si>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</si>
  <si>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</si>
  <si>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</si>
  <si>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</si>
  <si>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</si>
  <si>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</si>
  <si>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</si>
  <si>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</si>
  <si>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</si>
  <si>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</si>
  <si>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</si>
  <si>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</si>
  <si>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</si>
  <si>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</si>
  <si>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</si>
  <si>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</si>
  <si>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</si>
  <si>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</si>
  <si>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</si>
  <si>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</si>
  <si>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</si>
  <si>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</si>
  <si>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</si>
  <si>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</si>
  <si>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</si>
  <si>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</si>
  <si>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</si>
  <si>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</si>
  <si>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</si>
  <si>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</si>
  <si>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</si>
  <si>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</si>
  <si>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</si>
  <si>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</si>
  <si>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</si>
  <si>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</si>
  <si>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</si>
  <si>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</si>
  <si>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</si>
  <si>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</si>
  <si>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</si>
  <si>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</si>
  <si>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</si>
  <si>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</si>
  <si>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</si>
  <si>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</si>
  <si>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</si>
  <si>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</si>
  <si>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</si>
  <si>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</si>
  <si>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</si>
  <si>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</si>
  <si>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</si>
  <si>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</si>
  <si>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</si>
  <si>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</si>
  <si>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</si>
  <si>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</si>
  <si>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</si>
  <si>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</si>
  <si>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</si>
  <si>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</si>
  <si>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</si>
  <si>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</si>
  <si>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</si>
  <si>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</si>
  <si>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</si>
  <si>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</si>
  <si>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</si>
  <si>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</si>
  <si>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</si>
  <si>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</si>
  <si>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</si>
  <si>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</si>
  <si>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</si>
  <si>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</si>
  <si>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</si>
  <si>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</si>
  <si>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</si>
  <si>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</si>
  <si>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</si>
  <si>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</si>
  <si>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</si>
  <si>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</si>
  <si>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</si>
  <si>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</si>
  <si>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</si>
  <si>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</si>
  <si>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</si>
  <si>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</si>
  <si>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</si>
  <si>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</si>
  <si>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</si>
  <si>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</si>
  <si>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</si>
  <si>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</si>
  <si>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</si>
  <si>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</si>
  <si>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</si>
  <si>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</si>
  <si>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</si>
  <si>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</si>
  <si>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</si>
  <si>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</si>
  <si>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</si>
  <si>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</si>
  <si>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</si>
  <si>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</si>
  <si>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</si>
  <si>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</si>
  <si>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</si>
  <si>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</si>
  <si>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</si>
  <si>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</si>
  <si>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</si>
  <si>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</si>
  <si>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</si>
  <si>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</si>
  <si>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</si>
  <si>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</si>
  <si>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</si>
  <si>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</si>
  <si>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</si>
  <si>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</si>
  <si>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</si>
  <si>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</si>
  <si>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</si>
  <si>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</si>
  <si>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</si>
  <si>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</si>
  <si>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</si>
  <si>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</si>
  <si>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</si>
  <si>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</si>
  <si>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</si>
  <si>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</si>
  <si>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</si>
  <si>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</si>
  <si>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</si>
  <si>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</si>
  <si>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</si>
  <si>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</si>
  <si>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</si>
  <si>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</si>
  <si>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</si>
  <si>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</si>
  <si>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</si>
  <si>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</si>
  <si>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</si>
  <si>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</si>
  <si>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</si>
  <si>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</si>
  <si>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</si>
  <si>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</si>
  <si>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</si>
  <si>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</si>
  <si>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</si>
  <si>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</si>
  <si>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</si>
  <si>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</si>
  <si>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</si>
  <si>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</si>
  <si>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</si>
  <si>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</si>
  <si>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</si>
  <si>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</si>
  <si>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</si>
  <si>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</si>
  <si>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</si>
  <si>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</si>
  <si>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</si>
  <si>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</si>
  <si>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</si>
  <si>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</si>
  <si>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</si>
  <si>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</si>
  <si>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</si>
  <si>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</si>
  <si>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</si>
  <si>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</si>
  <si>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</si>
  <si>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</si>
  <si>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</si>
  <si>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</si>
  <si>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</si>
  <si>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</si>
  <si>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</si>
  <si>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</si>
  <si>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</si>
  <si>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</si>
  <si>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</si>
  <si>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</si>
  <si>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</si>
  <si>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</si>
  <si>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</si>
  <si>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</si>
  <si>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</si>
  <si>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</si>
  <si>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</si>
  <si>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</si>
  <si>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</si>
  <si>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</si>
  <si>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</si>
  <si>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</si>
  <si>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</si>
  <si>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</si>
  <si>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</si>
  <si>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</si>
  <si>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</si>
  <si>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</si>
  <si>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</si>
  <si>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</si>
  <si>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</si>
  <si>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</si>
  <si>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</si>
  <si>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</si>
  <si>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</si>
  <si>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</si>
  <si>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</si>
  <si>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</si>
  <si>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</si>
  <si>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</si>
  <si>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</si>
  <si>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</si>
  <si>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</si>
  <si>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</si>
  <si>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</si>
  <si>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</si>
  <si>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</si>
  <si>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</si>
  <si>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</si>
  <si>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</si>
  <si>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</si>
  <si>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</si>
  <si>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</si>
  <si>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</si>
  <si>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</si>
  <si>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</si>
  <si>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</si>
  <si>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</si>
  <si>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</si>
  <si>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</si>
  <si>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</si>
  <si>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</si>
  <si>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</si>
  <si>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</si>
  <si>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</si>
  <si>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</si>
  <si>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</si>
  <si>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</si>
  <si>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</si>
  <si>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</si>
  <si>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</si>
  <si>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</si>
  <si>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</si>
  <si>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</si>
  <si>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</si>
  <si>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</si>
  <si>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</si>
  <si>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</si>
  <si>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</si>
  <si>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</si>
  <si>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</si>
  <si>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</si>
  <si>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</si>
  <si>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</si>
  <si>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</si>
  <si>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</si>
  <si>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</si>
  <si>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</si>
  <si>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</si>
  <si>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</si>
  <si>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</si>
  <si>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</si>
  <si>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</si>
  <si>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</si>
  <si>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</si>
  <si>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</si>
  <si>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</si>
  <si>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</si>
  <si>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</si>
  <si>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</si>
  <si>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</si>
  <si>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</si>
  <si>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</si>
  <si>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</si>
  <si>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</si>
  <si>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</si>
  <si>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</si>
  <si>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</si>
  <si>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</si>
  <si>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</si>
  <si>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</si>
  <si>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</si>
  <si>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</si>
  <si>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</si>
  <si>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</si>
  <si>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</si>
  <si>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</si>
  <si>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</si>
  <si>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</si>
  <si>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</si>
  <si>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</si>
  <si>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</si>
  <si>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</si>
  <si>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</si>
  <si>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</si>
  <si>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</si>
  <si>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</si>
  <si>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</si>
  <si>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</si>
  <si>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</si>
  <si>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</si>
  <si>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</si>
  <si>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</si>
  <si>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</si>
  <si>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</si>
  <si>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</si>
  <si>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</si>
  <si>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</si>
  <si>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</si>
  <si>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</si>
  <si>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</si>
  <si>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</si>
  <si>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</si>
  <si>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</si>
  <si>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</si>
  <si>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</si>
  <si>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</si>
  <si>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</si>
  <si>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</si>
  <si>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</si>
  <si>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</si>
  <si>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</si>
  <si>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</si>
  <si>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</si>
  <si>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</si>
  <si>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</si>
  <si>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</si>
  <si>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</si>
  <si>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</si>
  <si>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</si>
  <si>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</si>
  <si>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</si>
  <si>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</si>
  <si>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</si>
  <si>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</si>
  <si>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</si>
  <si>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</si>
  <si>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</si>
  <si>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</si>
  <si>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</si>
  <si>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</si>
  <si>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</si>
  <si>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</si>
  <si>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</si>
  <si>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</si>
  <si>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</si>
  <si>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</si>
  <si>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</si>
  <si>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</si>
  <si>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</si>
  <si>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</si>
  <si>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</si>
  <si>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</si>
  <si>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</si>
  <si>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</si>
  <si>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</si>
  <si>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</si>
  <si>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</si>
  <si>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</si>
  <si>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</si>
  <si>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</si>
  <si>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</si>
  <si>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</si>
  <si>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</si>
  <si>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</si>
  <si>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</si>
  <si>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</si>
  <si>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</si>
  <si>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</si>
  <si>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</si>
  <si>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</si>
  <si>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</si>
  <si>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</si>
  <si>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</si>
  <si>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</si>
  <si>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</si>
  <si>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</si>
  <si>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</si>
  <si>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</si>
  <si>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</si>
  <si>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</si>
  <si>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</si>
  <si>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</si>
  <si>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</si>
  <si>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</si>
  <si>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</si>
  <si>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</si>
  <si>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</si>
  <si>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</si>
  <si>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</si>
  <si>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</si>
  <si>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</si>
  <si>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</si>
  <si>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</si>
  <si>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</si>
  <si>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</si>
  <si>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</si>
  <si>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</si>
  <si>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</si>
  <si>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</si>
  <si>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</si>
  <si>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</si>
  <si>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</si>
  <si>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</si>
  <si>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</si>
  <si>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</si>
  <si>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</si>
  <si>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</si>
  <si>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</si>
  <si>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</si>
  <si>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</si>
  <si>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</si>
  <si>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</si>
  <si>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</si>
  <si>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</si>
  <si>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</si>
  <si>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</si>
  <si>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</si>
  <si>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</si>
  <si>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</si>
  <si>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</si>
  <si>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</si>
  <si>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</si>
  <si>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</si>
  <si>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</si>
  <si>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</si>
  <si>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</si>
  <si>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</si>
  <si>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</si>
  <si>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</si>
  <si>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</si>
  <si>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</si>
  <si>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</si>
  <si>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</si>
  <si>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</si>
  <si>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</si>
  <si>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</si>
  <si>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</si>
  <si>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</si>
  <si>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</si>
  <si>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</si>
  <si>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</si>
  <si>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</si>
  <si>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</si>
  <si>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</si>
  <si>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</si>
  <si>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</si>
  <si>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</si>
  <si>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</si>
  <si>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</si>
  <si>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</si>
  <si>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</si>
  <si>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</si>
  <si>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</si>
  <si>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</si>
  <si>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</si>
  <si>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</si>
  <si>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</si>
  <si>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</si>
  <si>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</si>
  <si>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</si>
  <si>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</si>
  <si>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</si>
  <si>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</si>
  <si>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</si>
  <si>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</si>
  <si>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</si>
  <si>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</si>
  <si>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</si>
  <si>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</si>
  <si>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</si>
  <si>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</si>
  <si>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</si>
  <si>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</si>
  <si>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</si>
  <si>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</si>
  <si>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</si>
  <si>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</si>
  <si>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</si>
  <si>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</si>
  <si>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</si>
  <si>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</si>
  <si>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</si>
  <si>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</si>
  <si>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</si>
  <si>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</si>
  <si>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</si>
  <si>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</si>
  <si>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</si>
  <si>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</si>
  <si>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</si>
  <si>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</si>
  <si>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</si>
  <si>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</si>
  <si>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</si>
  <si>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</si>
  <si>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</si>
  <si>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</si>
  <si>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</si>
  <si>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</si>
  <si>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</si>
  <si>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</si>
  <si>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</si>
  <si>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</si>
  <si>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</si>
  <si>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</si>
  <si>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</si>
  <si>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</si>
  <si>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</si>
  <si>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</si>
  <si>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</si>
  <si>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</si>
  <si>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</si>
  <si>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</si>
  <si>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</si>
  <si>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</si>
  <si>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</si>
  <si>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</si>
  <si>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</si>
  <si>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</si>
  <si>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</si>
  <si>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</si>
  <si>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</si>
  <si>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</si>
  <si>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</si>
  <si>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</si>
  <si>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</si>
  <si>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</si>
  <si>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</si>
  <si>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</si>
  <si>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</si>
  <si>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</si>
  <si>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</si>
  <si>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</si>
  <si>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</si>
  <si>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</si>
  <si>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</si>
  <si>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</si>
  <si>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</si>
  <si>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</si>
  <si>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</si>
  <si>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</si>
  <si>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</si>
  <si>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</si>
  <si>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</si>
  <si>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</si>
  <si>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</si>
  <si>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</si>
  <si>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</si>
  <si>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</si>
  <si>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</si>
  <si>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</si>
  <si>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</si>
  <si>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</si>
  <si>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</si>
  <si>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</si>
  <si>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</si>
  <si>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</si>
  <si>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</si>
  <si>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</si>
  <si>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</si>
  <si>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</si>
  <si>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</si>
  <si>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</si>
  <si>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</si>
  <si>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</si>
  <si>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</si>
  <si>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</si>
  <si>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</si>
  <si>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</si>
  <si>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</si>
  <si>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</si>
  <si>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</si>
  <si>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</si>
  <si>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</si>
  <si>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</si>
  <si>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</si>
  <si>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</si>
  <si>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</si>
  <si>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</si>
  <si>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</si>
  <si>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</si>
  <si>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</si>
  <si>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</si>
  <si>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</si>
  <si>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</si>
  <si>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</si>
  <si>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</si>
  <si>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</si>
  <si>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</si>
  <si>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</si>
  <si>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</si>
  <si>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</si>
  <si>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</si>
  <si>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</si>
  <si>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</si>
  <si>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</si>
  <si>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</si>
  <si>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</si>
  <si>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</si>
  <si>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</si>
  <si>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</si>
  <si>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</si>
  <si>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</si>
  <si>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</si>
  <si>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</si>
  <si>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</si>
  <si>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</si>
  <si>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</si>
  <si>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</si>
  <si>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</si>
  <si>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</si>
  <si>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</si>
  <si>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</si>
  <si>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</si>
  <si>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</si>
  <si>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</si>
  <si>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</si>
  <si>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</si>
  <si>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</si>
  <si>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</si>
  <si>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</si>
  <si>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</si>
  <si>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</si>
  <si>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</si>
  <si>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</si>
  <si>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</si>
  <si>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</si>
  <si>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</si>
  <si>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</si>
  <si>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</si>
  <si>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</si>
  <si>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</si>
  <si>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</si>
  <si>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</si>
  <si>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</si>
  <si>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</si>
  <si>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</si>
  <si>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</si>
  <si>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</si>
  <si>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</si>
  <si>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</si>
  <si>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</si>
  <si>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</si>
  <si>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</si>
  <si>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</si>
  <si>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</si>
  <si>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</si>
  <si>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</si>
  <si>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</si>
  <si>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</si>
  <si>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</si>
  <si>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</si>
  <si>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</si>
  <si>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</si>
  <si>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</si>
  <si>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</si>
  <si>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</si>
  <si>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</si>
  <si>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</si>
  <si>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</si>
  <si>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</si>
  <si>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</si>
  <si>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</si>
  <si>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</si>
  <si>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</si>
  <si>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</si>
  <si>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</si>
  <si>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</si>
  <si>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</si>
  <si>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</si>
  <si>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</si>
  <si>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</si>
  <si>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</si>
  <si>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</si>
  <si>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</si>
  <si>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</si>
  <si>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</si>
  <si>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</si>
  <si>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</si>
  <si>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</si>
  <si>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</si>
  <si>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</si>
  <si>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</si>
  <si>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</si>
  <si>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</si>
  <si>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</si>
  <si>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</si>
  <si>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</si>
  <si>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</si>
  <si>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</si>
  <si>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</si>
  <si>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</si>
  <si>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</si>
  <si>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</si>
  <si>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</si>
  <si>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</si>
  <si>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</si>
  <si>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</si>
  <si>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</si>
  <si>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</si>
  <si>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</si>
  <si>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</si>
  <si>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</si>
  <si>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</si>
  <si>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</si>
  <si>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</si>
  <si>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</si>
  <si>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</si>
  <si>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</si>
  <si>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</si>
  <si>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</si>
  <si>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</si>
  <si>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</si>
  <si>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</si>
  <si>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</si>
  <si>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</si>
  <si>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</si>
  <si>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</si>
  <si>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</si>
  <si>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</si>
  <si>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</si>
  <si>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</si>
  <si>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</si>
  <si>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</si>
  <si>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</si>
  <si>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</si>
  <si>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</si>
  <si>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</si>
  <si>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</si>
  <si>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</si>
  <si>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</si>
  <si>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</si>
  <si>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</si>
  <si>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</si>
  <si>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</si>
  <si>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</si>
  <si>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</si>
  <si>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</si>
  <si>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</si>
  <si>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</si>
  <si>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</si>
  <si>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</si>
  <si>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</si>
  <si>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</si>
  <si>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</si>
  <si>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</si>
  <si>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</si>
  <si>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</si>
  <si>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</si>
  <si>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</si>
  <si>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</si>
  <si>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</si>
  <si>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</si>
  <si>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</si>
  <si>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</si>
  <si>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</si>
  <si>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</si>
  <si>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</si>
  <si>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</si>
  <si>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</si>
  <si>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</si>
  <si>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</si>
  <si>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</si>
  <si>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</si>
  <si>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</si>
  <si>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</si>
  <si>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</si>
  <si>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</si>
  <si>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</si>
  <si>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</si>
  <si>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</si>
  <si>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</si>
  <si>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</si>
  <si>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</si>
  <si>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</si>
  <si>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</si>
  <si>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</si>
  <si>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</si>
  <si>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</si>
  <si>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</si>
  <si>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</si>
  <si>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</si>
  <si>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</si>
  <si>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</si>
  <si>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</si>
  <si>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</si>
  <si>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</si>
  <si>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</si>
  <si>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</si>
  <si>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</si>
  <si>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</si>
  <si>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</si>
  <si>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</si>
  <si>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</si>
  <si>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</si>
  <si>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</si>
  <si>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</si>
  <si>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</si>
  <si>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</si>
  <si>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</si>
  <si>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</si>
  <si>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</si>
  <si>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</si>
  <si>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</si>
  <si>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</si>
  <si>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</si>
  <si>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</si>
  <si>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</si>
  <si>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</si>
  <si>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</si>
  <si>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</si>
  <si>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</si>
  <si>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</si>
  <si>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</si>
  <si>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</si>
  <si>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</si>
  <si>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</si>
  <si>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</si>
  <si>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</si>
  <si>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</si>
  <si>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</si>
  <si>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</si>
  <si>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</si>
  <si>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</si>
  <si>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</si>
  <si>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</si>
  <si>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</si>
  <si>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</si>
  <si>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</si>
  <si>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</si>
  <si>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</si>
  <si>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</si>
  <si>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</si>
  <si>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</si>
  <si>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</si>
  <si>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</si>
  <si>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</si>
  <si>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</si>
  <si>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</si>
  <si>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</si>
  <si>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</si>
  <si>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</si>
  <si>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</si>
  <si>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</si>
  <si>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</si>
  <si>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</si>
  <si>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</si>
  <si>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</si>
  <si>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</si>
  <si>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</si>
  <si>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</si>
  <si>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</si>
  <si>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</si>
  <si>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</si>
  <si>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</si>
  <si>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</si>
  <si>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</si>
  <si>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</si>
  <si>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</si>
  <si>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</si>
  <si>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</si>
  <si>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</si>
  <si>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</si>
  <si>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</si>
  <si>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</si>
  <si>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</si>
  <si>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</si>
  <si>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</si>
  <si>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</si>
  <si>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</si>
  <si>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</si>
  <si>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</si>
  <si>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</si>
  <si>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</si>
  <si>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</si>
  <si>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</si>
  <si>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</si>
  <si>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</si>
  <si>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</si>
  <si>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</si>
  <si>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</si>
  <si>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</si>
  <si>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</si>
  <si>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</si>
  <si>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</si>
  <si>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</si>
  <si>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</si>
  <si>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</si>
  <si>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</si>
  <si>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</si>
  <si>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</si>
  <si>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</si>
  <si>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</si>
  <si>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</si>
  <si>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</si>
  <si>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</si>
  <si>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</si>
  <si>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</si>
  <si>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</si>
  <si>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</si>
  <si>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</si>
  <si>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</si>
  <si>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</si>
  <si>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</si>
  <si>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</si>
  <si>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</si>
  <si>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</si>
  <si>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</si>
  <si>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</si>
  <si>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</si>
  <si>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</si>
  <si>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</si>
  <si>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</si>
  <si>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</si>
  <si>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</si>
  <si>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</si>
  <si>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</si>
  <si>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</si>
  <si>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</si>
  <si>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</si>
  <si>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</si>
  <si>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</si>
  <si>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</si>
  <si>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</si>
  <si>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</si>
  <si>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</si>
  <si>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</si>
  <si>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</si>
  <si>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</si>
  <si>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</si>
  <si>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</si>
  <si>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</si>
  <si>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</si>
  <si>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</si>
  <si>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</si>
  <si>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</si>
  <si>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</si>
  <si>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</si>
  <si>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</si>
  <si>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</si>
  <si>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</si>
  <si>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</si>
  <si>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</si>
  <si>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</si>
  <si>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</si>
  <si>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</si>
  <si>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</si>
  <si>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</si>
  <si>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</si>
  <si>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</si>
  <si>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</si>
  <si>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</si>
  <si>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</si>
  <si>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</si>
  <si>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</si>
  <si>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</si>
  <si>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</si>
  <si>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</si>
  <si>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</si>
  <si>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</si>
  <si>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</si>
  <si>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</si>
  <si>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</si>
  <si>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</si>
  <si>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</si>
  <si>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</si>
  <si>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</si>
  <si>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</si>
  <si>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</si>
  <si>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</si>
  <si>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</si>
  <si>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</si>
  <si>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</si>
  <si>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</si>
  <si>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</si>
  <si>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</si>
  <si>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</si>
  <si>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</si>
  <si>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</si>
  <si>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</si>
  <si>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</si>
  <si>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</si>
  <si>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</si>
  <si>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</si>
  <si>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</si>
  <si>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</si>
  <si>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</si>
  <si>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</si>
  <si>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</si>
  <si>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</si>
  <si>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</si>
  <si>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</si>
  <si>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</si>
  <si>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</si>
  <si>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</si>
  <si>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</si>
  <si>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</si>
  <si>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</si>
  <si>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</si>
  <si>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</si>
  <si>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</si>
  <si>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</si>
  <si>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</si>
  <si>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</si>
  <si>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</si>
  <si>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</si>
  <si>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</si>
  <si>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</si>
  <si>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</si>
  <si>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</si>
  <si>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</si>
  <si>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</si>
  <si>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</si>
  <si>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</si>
  <si>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</si>
  <si>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</si>
  <si>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</si>
  <si>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</si>
  <si>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</si>
  <si>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</si>
  <si>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</si>
  <si>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</si>
  <si>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</si>
  <si>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</si>
  <si>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</si>
  <si>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</si>
  <si>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</si>
  <si>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</si>
  <si>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</si>
  <si>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</si>
  <si>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</si>
  <si>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</si>
  <si>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</si>
  <si>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</si>
  <si>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</si>
  <si>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</si>
  <si>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</si>
  <si>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</si>
  <si>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</si>
  <si>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</si>
  <si>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</si>
  <si>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</si>
  <si>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</si>
  <si>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</si>
  <si>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</si>
  <si>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</si>
  <si>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</si>
  <si>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</si>
  <si>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</si>
  <si>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</si>
  <si>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</si>
  <si>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</si>
  <si>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</si>
  <si>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</si>
  <si>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</si>
  <si>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</si>
  <si>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</si>
  <si>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</si>
  <si>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</si>
  <si>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</si>
  <si>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</si>
  <si>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</si>
  <si>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</si>
  <si>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</si>
  <si>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</si>
  <si>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</si>
  <si>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</si>
  <si>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</si>
  <si>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</si>
  <si>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</si>
  <si>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</si>
  <si>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</si>
  <si>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</si>
  <si>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</si>
  <si>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</si>
  <si>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</si>
  <si>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</si>
  <si>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</si>
  <si>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</si>
  <si>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</si>
  <si>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</si>
  <si>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</si>
  <si>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</si>
  <si>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</si>
  <si>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</si>
  <si>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</si>
  <si>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</si>
  <si>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</si>
  <si>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</si>
  <si>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</si>
  <si>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</si>
  <si>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</si>
  <si>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</si>
  <si>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</si>
  <si>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</si>
  <si>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</si>
  <si>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</si>
  <si>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</si>
  <si>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</si>
  <si>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</si>
  <si>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</si>
  <si>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</si>
  <si>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</si>
  <si>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</si>
  <si>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</si>
  <si>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</si>
  <si>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</si>
  <si>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</si>
  <si>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</si>
  <si>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</si>
  <si>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</si>
  <si>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</si>
  <si>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</si>
  <si>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</si>
  <si>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</si>
  <si>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</si>
  <si>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</si>
  <si>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</si>
  <si>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</si>
  <si>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</si>
  <si>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</si>
  <si>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</si>
  <si>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</si>
  <si>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</si>
  <si>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</si>
  <si>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</si>
  <si>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</si>
  <si>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</si>
  <si>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</si>
  <si>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</si>
  <si>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</si>
  <si>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</si>
  <si>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</si>
  <si>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</si>
  <si>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</si>
  <si>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</si>
  <si>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</si>
  <si>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</si>
  <si>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</si>
  <si>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</si>
  <si>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</si>
  <si>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</si>
  <si>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</si>
  <si>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</si>
  <si>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</si>
  <si>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</si>
  <si>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</si>
  <si>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</si>
  <si>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</si>
  <si>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</si>
  <si>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</si>
  <si>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</si>
  <si>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</si>
  <si>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</si>
  <si>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</si>
  <si>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</si>
  <si>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</si>
  <si>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</si>
  <si>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</si>
  <si>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</si>
  <si>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</si>
  <si>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</si>
  <si>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</si>
  <si>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</si>
  <si>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</si>
  <si>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</si>
  <si>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</si>
  <si>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</si>
  <si>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</si>
  <si>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</si>
  <si>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</si>
  <si>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</si>
  <si>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</si>
  <si>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</si>
  <si>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</si>
  <si>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</si>
  <si>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</si>
  <si>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</si>
  <si>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</si>
  <si>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</si>
  <si>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</si>
  <si>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</si>
  <si>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</si>
  <si>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</si>
  <si>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</si>
  <si>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</si>
  <si>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</si>
  <si>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</si>
  <si>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</si>
  <si>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</si>
  <si>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</si>
  <si>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</si>
  <si>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</si>
  <si>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</si>
  <si>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</si>
  <si>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</si>
  <si>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</si>
  <si>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</si>
  <si>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</si>
  <si>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</si>
  <si>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</si>
  <si>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</si>
  <si>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</si>
  <si>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</si>
  <si>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</si>
  <si>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</si>
  <si>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</si>
  <si>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</si>
  <si>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</si>
  <si>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</si>
  <si>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</si>
  <si>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</si>
  <si>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</si>
  <si>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</si>
  <si>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</si>
  <si>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</si>
  <si>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</si>
  <si>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</si>
  <si>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</si>
  <si>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</si>
  <si>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</si>
  <si>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</si>
  <si>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</si>
  <si>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</si>
  <si>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</si>
  <si>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</si>
  <si>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</si>
  <si>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</si>
  <si>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</si>
  <si>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</si>
  <si>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</si>
  <si>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</si>
  <si>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</si>
  <si>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</si>
  <si>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</si>
  <si>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</si>
  <si>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</si>
  <si>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</si>
  <si>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</si>
  <si>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</si>
  <si>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</si>
  <si>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</si>
  <si>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</si>
  <si>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</si>
  <si>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</si>
  <si>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</si>
  <si>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</si>
  <si>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</si>
  <si>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</si>
  <si>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</si>
  <si>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</si>
  <si>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</si>
  <si>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</si>
  <si>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</si>
  <si>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</si>
  <si>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</si>
  <si>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</si>
  <si>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</si>
  <si>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</si>
  <si>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</si>
  <si>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</si>
  <si>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</si>
  <si>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</si>
  <si>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</si>
  <si>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</si>
  <si>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</si>
  <si>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</si>
  <si>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</si>
  <si>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</si>
  <si>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</si>
  <si>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</si>
  <si>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</si>
  <si>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</si>
  <si>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</si>
  <si>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</si>
  <si>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</si>
  <si>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</si>
  <si>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</si>
  <si>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</si>
  <si>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</si>
  <si>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</si>
  <si>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</si>
  <si>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</si>
  <si>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</si>
  <si>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</si>
  <si>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</si>
  <si>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</si>
  <si>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</si>
  <si>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</si>
  <si>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</si>
  <si>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</si>
  <si>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</si>
  <si>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</si>
  <si>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</si>
  <si>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</si>
  <si>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</si>
  <si>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</si>
  <si>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</si>
  <si>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</si>
  <si>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</si>
  <si>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</si>
  <si>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</si>
  <si>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</si>
  <si>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</si>
  <si>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</si>
  <si>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</si>
  <si>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</si>
  <si>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</si>
  <si>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</si>
  <si>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</si>
  <si>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</si>
  <si>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</si>
  <si>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</si>
  <si>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</si>
  <si>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</si>
  <si>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</si>
  <si>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</si>
  <si>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</si>
  <si>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</si>
  <si>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</si>
  <si>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</si>
  <si>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</si>
  <si>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</si>
  <si>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</si>
  <si>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</si>
  <si>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</si>
  <si>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</si>
  <si>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</si>
  <si>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</si>
  <si>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</si>
  <si>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</si>
  <si>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</si>
  <si>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</si>
  <si>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</si>
  <si>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</si>
  <si>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</si>
  <si>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</si>
  <si>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</si>
  <si>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</si>
  <si>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</si>
  <si>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</si>
  <si>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</si>
  <si>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</si>
  <si>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</si>
  <si>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</si>
  <si>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</si>
  <si>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</si>
  <si>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</si>
  <si>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</si>
  <si>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</si>
  <si>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</si>
  <si>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</si>
  <si>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</si>
  <si>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</si>
  <si>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</si>
  <si>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</si>
  <si>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</si>
  <si>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</si>
  <si>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</si>
  <si>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</si>
  <si>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</si>
  <si>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</si>
  <si>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</si>
  <si>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</si>
  <si>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</si>
  <si>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</si>
  <si>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</si>
  <si>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</si>
  <si>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</si>
  <si>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</si>
  <si>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</si>
  <si>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</si>
  <si>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</si>
  <si>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</si>
  <si>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</si>
  <si>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</si>
  <si>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</si>
  <si>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</si>
  <si>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</si>
  <si>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</si>
  <si>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</si>
  <si>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</si>
  <si>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</si>
  <si>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</si>
  <si>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</si>
  <si>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</si>
  <si>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</si>
  <si>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</si>
  <si>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</si>
  <si>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</si>
  <si>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</si>
  <si>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</si>
  <si>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</si>
  <si>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</si>
  <si>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</si>
  <si>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</si>
  <si>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</si>
  <si>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</si>
  <si>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</si>
  <si>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</si>
  <si>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</si>
  <si>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</si>
  <si>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</si>
  <si>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</si>
  <si>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</si>
  <si>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</si>
  <si>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</si>
  <si>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</si>
  <si>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</si>
  <si>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</si>
  <si>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</si>
  <si>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</si>
  <si>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</si>
  <si>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</si>
  <si>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</si>
  <si>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</si>
  <si>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</si>
  <si>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CE2001</t>
  </si>
  <si>
    <t>STE DE COMMERCE INTERNATIONAL</t>
  </si>
  <si>
    <t>TRT90</t>
  </si>
  <si>
    <t>RUE 8300 LUXOR II MONTPLAISIR</t>
  </si>
  <si>
    <t>TUNISIE</t>
  </si>
  <si>
    <t>SCI</t>
  </si>
  <si>
    <t>CE2002</t>
  </si>
  <si>
    <t>CAPA</t>
  </si>
  <si>
    <t>TRT30</t>
  </si>
  <si>
    <t>TUNIS</t>
  </si>
  <si>
    <t>France</t>
  </si>
  <si>
    <t>USE</t>
  </si>
  <si>
    <t>CE2003</t>
  </si>
  <si>
    <t>STE GLOBAL INTERNATIONAL TRAD</t>
  </si>
  <si>
    <t>RUE RESSAS EL MENZEH1</t>
  </si>
  <si>
    <t>CE2004</t>
  </si>
  <si>
    <t>MAMADOU</t>
  </si>
  <si>
    <t>USD</t>
  </si>
  <si>
    <t>MALI</t>
  </si>
  <si>
    <t>CD</t>
  </si>
  <si>
    <t>CE2005</t>
  </si>
  <si>
    <t>PRODUCTS FOR EXCHANGE AND MAN</t>
  </si>
  <si>
    <t>721 RUE ARISTOTE</t>
  </si>
  <si>
    <t>CE2006</t>
  </si>
  <si>
    <t>STE IMPORT EXPORT FOUSSOUL</t>
  </si>
  <si>
    <t>ESPECE</t>
  </si>
  <si>
    <t>EN FACE CITE SPORTIVE MOSRATA</t>
  </si>
  <si>
    <t>CE2007</t>
  </si>
  <si>
    <t>STE KHALFALLAH DE COM.INTERNA</t>
  </si>
  <si>
    <t>ZONE INDUSTRIELLE ARIANA</t>
  </si>
  <si>
    <t>CE2008</t>
  </si>
  <si>
    <t>STE PROTECTION EXPORT IMPORT</t>
  </si>
  <si>
    <t>TRIPOLIE - LIBYE</t>
  </si>
  <si>
    <t>CE2009</t>
  </si>
  <si>
    <t>STE EDERY IMPORT EXPORT</t>
  </si>
  <si>
    <t>MUSRATA / AL JAMAHIRIA - LIBYE</t>
  </si>
  <si>
    <t>CE2010</t>
  </si>
  <si>
    <t>STE AL WIKAYA AL AHLIA</t>
  </si>
  <si>
    <t>HOTEL TOURISTIQUE DE LA LIGUE</t>
  </si>
  <si>
    <t>CE2011</t>
  </si>
  <si>
    <t>JAMEL SERVICES IMPORT EXPORT</t>
  </si>
  <si>
    <t>OULED CHAMEKH 5120 MAHDIA</t>
  </si>
  <si>
    <t>CE2012</t>
  </si>
  <si>
    <t>A. AJMI IMPORT EXPORT</t>
  </si>
  <si>
    <t>ROUTE DE TUNIS  KM 1</t>
  </si>
  <si>
    <t>CE2013</t>
  </si>
  <si>
    <t>STE AL KARIA IMPORT EXPORT</t>
  </si>
  <si>
    <t>MOUSRATA - LIBYE</t>
  </si>
  <si>
    <t>CE2014</t>
  </si>
  <si>
    <t>ULYSSE TRADING COMPANY</t>
  </si>
  <si>
    <t>0000000AAA000</t>
  </si>
  <si>
    <t>IMM.MAK.CROWN TUNIS</t>
  </si>
  <si>
    <t>EXPORT</t>
  </si>
  <si>
    <t>CE2015</t>
  </si>
  <si>
    <t>SOCIETE AL WARDA ALBAYDA LIBY</t>
  </si>
  <si>
    <t>EN FACE CITE OLYMPIQUE MOSRATA</t>
  </si>
  <si>
    <t>CE2016</t>
  </si>
  <si>
    <t>SOCIETE SOUKRINA TRADING</t>
  </si>
  <si>
    <t>CHQCPT</t>
  </si>
  <si>
    <t>79 LOTISSEMENT EL AGHBA</t>
  </si>
  <si>
    <t>CE2017</t>
  </si>
  <si>
    <t>SAHEL INTERNATIONAL TRADE</t>
  </si>
  <si>
    <t>TRT60</t>
  </si>
  <si>
    <t>CITY CENTER SAHLOUL - SOUSSE</t>
  </si>
  <si>
    <t>CE2018</t>
  </si>
  <si>
    <t>E.U.R.L FINANCE ONE</t>
  </si>
  <si>
    <t>LCR</t>
  </si>
  <si>
    <t>182 RUE AISSAT IDIR - ALGER</t>
  </si>
  <si>
    <t>CE2019</t>
  </si>
  <si>
    <t>AL AMAL AL JAAD</t>
  </si>
  <si>
    <t>AL KREMIA - SOUANI</t>
  </si>
  <si>
    <t>CE2020</t>
  </si>
  <si>
    <t>MEDEX</t>
  </si>
  <si>
    <t>IMMEUBLE SAFSAF - MONTPLAISIR</t>
  </si>
  <si>
    <t>CE2021</t>
  </si>
  <si>
    <t>IMEX 2000</t>
  </si>
  <si>
    <t>AV. FARHAT HACHED - KORBA</t>
  </si>
  <si>
    <t>CE2022</t>
  </si>
  <si>
    <t>IFIS SARL</t>
  </si>
  <si>
    <t>BP. 15448 DOUALA - CAMEROUN</t>
  </si>
  <si>
    <t>CE2023</t>
  </si>
  <si>
    <t>AFRIMARINE COMPANY LTD</t>
  </si>
  <si>
    <t>14 HILL STREET -BANJUL-GAMBIA</t>
  </si>
  <si>
    <t>CE2024</t>
  </si>
  <si>
    <t>H.G.I.G - GABON</t>
  </si>
  <si>
    <t>B.P 8673 LIBREVILLE - GABON</t>
  </si>
  <si>
    <t>CE2025</t>
  </si>
  <si>
    <t>SAWABA - GUINEE</t>
  </si>
  <si>
    <t>B.P 1847 CONAKRY - GUINEE</t>
  </si>
  <si>
    <t>GUINEE</t>
  </si>
  <si>
    <t>CE2026</t>
  </si>
  <si>
    <t>MEDIMEX</t>
  </si>
  <si>
    <t>42 AVENUE DE CARTHAGE - TUNIS</t>
  </si>
  <si>
    <t>CE2027</t>
  </si>
  <si>
    <t>SEPA - FRANCE</t>
  </si>
  <si>
    <t>384 RUE DE VAUGIARD 75015PARIS</t>
  </si>
  <si>
    <t>CE2028</t>
  </si>
  <si>
    <t>SODISCOUNT</t>
  </si>
  <si>
    <t>EUR</t>
  </si>
  <si>
    <t>0000000000</t>
  </si>
  <si>
    <t>Z.I KAWENI B.P 70 MAYOTTE</t>
  </si>
  <si>
    <t>MAYOTTE</t>
  </si>
  <si>
    <t>CE2029</t>
  </si>
  <si>
    <t>SELINA ENTREPRISES</t>
  </si>
  <si>
    <t>14 C CARLTON CAREW RD FREETOWN</t>
  </si>
  <si>
    <t>CE2030</t>
  </si>
  <si>
    <t>AL MAJMOUAA AL ALAMIA</t>
  </si>
  <si>
    <t>00000000000000</t>
  </si>
  <si>
    <t>CE2031</t>
  </si>
  <si>
    <t>GAMIL ABDELKARIM</t>
  </si>
  <si>
    <t>Z.Z S GABODE - BP 2997</t>
  </si>
  <si>
    <t>DJIBOUTI</t>
  </si>
  <si>
    <t>CE2032</t>
  </si>
  <si>
    <t>GRANDE BOUCHERIE AKID</t>
  </si>
  <si>
    <t>MAURITANIE</t>
  </si>
  <si>
    <t>CE2033</t>
  </si>
  <si>
    <t>GENERALE DE COMMERCE INTERNAT</t>
  </si>
  <si>
    <t>6 RUE MEDINAT ECHAHBA - SOUKRA</t>
  </si>
  <si>
    <t>CE2034</t>
  </si>
  <si>
    <t>RAFIE INTERNATIONAL TRADING</t>
  </si>
  <si>
    <t>30 RUE CHEIKH MEGDICHE SFAX</t>
  </si>
  <si>
    <t>CE2035</t>
  </si>
  <si>
    <t>RISSA ALI BOUBACAR</t>
  </si>
  <si>
    <t>BP 2184 NIAMEY - NIGER</t>
  </si>
  <si>
    <t>CE2036</t>
  </si>
  <si>
    <t>HAC CO LTD</t>
  </si>
  <si>
    <t>24 BUCKLE STREET BANJUL GAMBIA</t>
  </si>
  <si>
    <t>CE2037</t>
  </si>
  <si>
    <t>ETS MOKADEM</t>
  </si>
  <si>
    <t>99 AVENUE DU MERLAN MARSEILLE</t>
  </si>
  <si>
    <t>CE2038</t>
  </si>
  <si>
    <t>NOUR FOR COMMERCIAL MARKETING</t>
  </si>
  <si>
    <t>AVENUE HABIB BOURGUIBA - GROMB</t>
  </si>
  <si>
    <t>CE2039</t>
  </si>
  <si>
    <t>SOCIETE EL BOCHRA</t>
  </si>
  <si>
    <t>AV. HEDI NOUIRA ENNASER II</t>
  </si>
  <si>
    <t>CE2040</t>
  </si>
  <si>
    <t>ALIMENTATION GENERALE MEDINA</t>
  </si>
  <si>
    <t>B.P 800 PORT GENTIL GABON</t>
  </si>
  <si>
    <t>CE2041</t>
  </si>
  <si>
    <t>G.M.A IMPORTS</t>
  </si>
  <si>
    <t>4 FATHALLAH REFATT ST NASRCITY</t>
  </si>
  <si>
    <t>CE2042</t>
  </si>
  <si>
    <t>TCSONS TRADING</t>
  </si>
  <si>
    <t>B.P-E5051 BAMAKO - MALI</t>
  </si>
  <si>
    <t>CE2043</t>
  </si>
  <si>
    <t>PARTEX INTERNATIONAL</t>
  </si>
  <si>
    <t>02 RUE GENERAL QUINIVET POINTI</t>
  </si>
  <si>
    <t>CE2044</t>
  </si>
  <si>
    <t>FOUANI BROTHERS CORPORATION</t>
  </si>
  <si>
    <t>MONROVIA - LIBERIA</t>
  </si>
  <si>
    <t>CE2045</t>
  </si>
  <si>
    <t>NOSOCO TOGO</t>
  </si>
  <si>
    <t>15 RUE DU COMMERCE B.P 14389</t>
  </si>
  <si>
    <t>CE2046</t>
  </si>
  <si>
    <t>ZANGABEEL COMPANY</t>
  </si>
  <si>
    <t>TRIPOLI - LIBYA</t>
  </si>
  <si>
    <t>CE2047</t>
  </si>
  <si>
    <t>DIALLO ALHASSANE</t>
  </si>
  <si>
    <t>B.P 800 - PORT GENTIL - GABON</t>
  </si>
  <si>
    <t>PORT-GENTIL</t>
  </si>
  <si>
    <t>CE2048</t>
  </si>
  <si>
    <t>AFRIQUE AUTO</t>
  </si>
  <si>
    <t>RUE KARAMOKO DIABY B.P 1975</t>
  </si>
  <si>
    <t>CE2049</t>
  </si>
  <si>
    <t>RYMA IMPORT EXPORT SARL</t>
  </si>
  <si>
    <t>216 RUE 4031 2000 LE BARDO</t>
  </si>
  <si>
    <t>CE2050</t>
  </si>
  <si>
    <t>SARL STE RABIE EL AMEL IMPORT</t>
  </si>
  <si>
    <t>BOUCHEBKA EL HOUIDIBET W. TEBE</t>
  </si>
  <si>
    <t>CE2051</t>
  </si>
  <si>
    <t>DARLING SARL</t>
  </si>
  <si>
    <t>DOMINGO RAMOS X BAINA B.P 244</t>
  </si>
  <si>
    <t>CE2052</t>
  </si>
  <si>
    <t>GIMEX 2000</t>
  </si>
  <si>
    <t>24 B RUE DE PERPIGNON FRUILEG</t>
  </si>
  <si>
    <t>CE2053</t>
  </si>
  <si>
    <t>ETS KASSO IMPORT EXPORT</t>
  </si>
  <si>
    <t>B.P 2299 NIAMEY - NIGER</t>
  </si>
  <si>
    <t>NIGER</t>
  </si>
  <si>
    <t>CE2054</t>
  </si>
  <si>
    <t>NOUVELLE GEDISPA</t>
  </si>
  <si>
    <t>05 PO BOX 1133 ABIDJAN 05 COTE</t>
  </si>
  <si>
    <t>CE2055</t>
  </si>
  <si>
    <t>FRIT RAVICH S.L</t>
  </si>
  <si>
    <t>17412 MASSANET DE LA SELVA GIR</t>
  </si>
  <si>
    <t>CE2056</t>
  </si>
  <si>
    <t>MORITA CO.; LTD.</t>
  </si>
  <si>
    <t>507 SHINKOUSAN BLD. OSAKA</t>
  </si>
  <si>
    <t>CE2057</t>
  </si>
  <si>
    <t>UNIVERSAL TRADING</t>
  </si>
  <si>
    <t>71321056</t>
  </si>
  <si>
    <t>19 RUE ALLEMAGNE 1000 TUNIS</t>
  </si>
  <si>
    <t>71321064</t>
  </si>
  <si>
    <t>CE2058</t>
  </si>
  <si>
    <t>SOCIETE SINDBAD DE DISTRIBUTI</t>
  </si>
  <si>
    <t>AV. HEDI NOUIRA SOUSSE TUNISIE</t>
  </si>
  <si>
    <t>CE2059</t>
  </si>
  <si>
    <t>RAFIE INTERNATIONAL BUSINESS</t>
  </si>
  <si>
    <t>30; RUE CHEIKH MEGHDICHE SFAX</t>
  </si>
  <si>
    <t>CE2060</t>
  </si>
  <si>
    <t>LE GRAND BAZAR</t>
  </si>
  <si>
    <t>B.P 09 NDJAMENA TCHAD</t>
  </si>
  <si>
    <t>CE2061</t>
  </si>
  <si>
    <t>SERIO SURGELATI SRL</t>
  </si>
  <si>
    <t>C/DA PIANNA GRANDE SS 113 KM</t>
  </si>
  <si>
    <t>CE2062</t>
  </si>
  <si>
    <t>INTERFRESH CO.; LTD.</t>
  </si>
  <si>
    <t>VIR060</t>
  </si>
  <si>
    <t>13-26 KITASHIN-MACHI; JAPON</t>
  </si>
  <si>
    <t>CE2063</t>
  </si>
  <si>
    <t>M &amp; P CORPORATION</t>
  </si>
  <si>
    <t>3-21-10 YADA BLG 4F HIGASHI</t>
  </si>
  <si>
    <t>CE2064</t>
  </si>
  <si>
    <t>ASAHI SHOJI CO.; LTD.</t>
  </si>
  <si>
    <t>2F; 2745-1 YAMAZAKI; NODA-CITY</t>
  </si>
  <si>
    <t>CE2065</t>
  </si>
  <si>
    <t>JRAH TRADING INTERNATIONAL</t>
  </si>
  <si>
    <t>IMMEUBLE DAGDOUG 5000 MONASTIR</t>
  </si>
  <si>
    <t>CE2066</t>
  </si>
  <si>
    <t>JAPAN GENERAL CORPORATION</t>
  </si>
  <si>
    <t>3-17-6 SHINSHO YOKKAICHI-CITY</t>
  </si>
  <si>
    <t>CE2067</t>
  </si>
  <si>
    <t>FAMO MAURITANIE</t>
  </si>
  <si>
    <t>B.P 677 Z.I FOIRE EL MINA</t>
  </si>
  <si>
    <t>CE2068</t>
  </si>
  <si>
    <t>MOVERCO</t>
  </si>
  <si>
    <t>5 RUE ZARBIYA MOULAY ISMAIL</t>
  </si>
  <si>
    <t>CE2069</t>
  </si>
  <si>
    <t>TASHARUKIAT ALNAWRAS</t>
  </si>
  <si>
    <t>COMMERCIAL CENTER ASHARAA ALGH</t>
  </si>
  <si>
    <t>CE2070</t>
  </si>
  <si>
    <t>MAPAL - TOGO</t>
  </si>
  <si>
    <t>Z.F INDUSTRIELLE LOME TOGO</t>
  </si>
  <si>
    <t>CE2071</t>
  </si>
  <si>
    <t>IDEAL TRADING SERVICES</t>
  </si>
  <si>
    <t>B.P 18 BIS 3062 SFAX TUNISIE</t>
  </si>
  <si>
    <t>CE2072</t>
  </si>
  <si>
    <t>GLOBAL IMORT EXPORT</t>
  </si>
  <si>
    <t>20 RUE THIONG &amp; RAFFENEL DAKAR</t>
  </si>
  <si>
    <t>CE2073</t>
  </si>
  <si>
    <t>GLOBAL AFRICAIN TRADING</t>
  </si>
  <si>
    <t>RUE CHAABANE BHOURI ARIANA</t>
  </si>
  <si>
    <t>CE2074</t>
  </si>
  <si>
    <t>KASUGA &amp; CO.; LTD</t>
  </si>
  <si>
    <t>ISOGAMI DORI 5-1-13 CHUO-KU</t>
  </si>
  <si>
    <t>JAPON</t>
  </si>
  <si>
    <t>CE2075</t>
  </si>
  <si>
    <t>STE SOUMPOU</t>
  </si>
  <si>
    <t>B.P 10454 LIBREVILLE - GABON</t>
  </si>
  <si>
    <t>CE2076</t>
  </si>
  <si>
    <t>ELTAWOOS CO. TRADING AGENCIES</t>
  </si>
  <si>
    <t>33 ELKABUA ST. MISR ELKADIMA</t>
  </si>
  <si>
    <t>CE2077</t>
  </si>
  <si>
    <t>SACKO MAMADOU</t>
  </si>
  <si>
    <t>B.P 2 KAYES MALI</t>
  </si>
  <si>
    <t>CE2078</t>
  </si>
  <si>
    <t>UNO FOR TRADING &amp; DISTRIBUTIO</t>
  </si>
  <si>
    <t>BECHARA EL KHOURY BLVD - SABIL</t>
  </si>
  <si>
    <t>CE2079</t>
  </si>
  <si>
    <t>BAH MAMADOU SALIOU</t>
  </si>
  <si>
    <t>CONAKRY - GUINEE</t>
  </si>
  <si>
    <t>CE2080</t>
  </si>
  <si>
    <t>ALFAYROUZ CO.; FOR TRADE</t>
  </si>
  <si>
    <t>11 OSMAN AMIN S. MOHAMED REFFA</t>
  </si>
  <si>
    <t>CE2081</t>
  </si>
  <si>
    <t>STE BOURKY</t>
  </si>
  <si>
    <t>12111111111111</t>
  </si>
  <si>
    <t>54 RUE KOKETI BP 1654 LOME TOG</t>
  </si>
  <si>
    <t>TOGO</t>
  </si>
  <si>
    <t>CE2082</t>
  </si>
  <si>
    <t>M2A EXPORT</t>
  </si>
  <si>
    <t>53 AV. VICTOR HUGO 75116 PARIS</t>
  </si>
  <si>
    <t>paris</t>
  </si>
  <si>
    <t>CE2083</t>
  </si>
  <si>
    <t>ABID TRADING COMPANY SARL</t>
  </si>
  <si>
    <t>ESPACE PORT D'ANFA 3 RUE BAB E</t>
  </si>
  <si>
    <t>CE2084</t>
  </si>
  <si>
    <t>OUEDRAOGO BOUREIMA (OBOUF)</t>
  </si>
  <si>
    <t>01 BP 3850 OUAGADOUGOU BURKINA</t>
  </si>
  <si>
    <t>CE2085</t>
  </si>
  <si>
    <t>MR. TAHAR SAID SEIF</t>
  </si>
  <si>
    <t>P.O. BOX 472 DJIBOUTI</t>
  </si>
  <si>
    <t>CE2086</t>
  </si>
  <si>
    <t>FLAWLESS CO.; LTD.</t>
  </si>
  <si>
    <t>3F TANIMACHI PLAZA BUILDING</t>
  </si>
  <si>
    <t>CE2087</t>
  </si>
  <si>
    <t>STE MAWEL INTERNATIONAL</t>
  </si>
  <si>
    <t>BP 362 DJIBOUTI - DJIBOUTI</t>
  </si>
  <si>
    <t>CE2088</t>
  </si>
  <si>
    <t>STE BASSIRA INTERNATIONAL TRA</t>
  </si>
  <si>
    <t>20 RUE ABOU MOUTRAF EL WAFED</t>
  </si>
  <si>
    <t>CE2089</t>
  </si>
  <si>
    <t>ETS BOUREIMA</t>
  </si>
  <si>
    <t>BP 507 DOUALA - CAMEROUN</t>
  </si>
  <si>
    <t>CE2090</t>
  </si>
  <si>
    <t>INTRANAF</t>
  </si>
  <si>
    <t>BERGES DU LAC TUNIS - TUNISIE</t>
  </si>
  <si>
    <t>CE2091</t>
  </si>
  <si>
    <t>UNITED TRADING INVESTMENT UTI</t>
  </si>
  <si>
    <t>BVD DE LA TERRE CENTRE URBAIN</t>
  </si>
  <si>
    <t>CE2092</t>
  </si>
  <si>
    <t>BUSINESS PROJECTS COMPANY OFF</t>
  </si>
  <si>
    <t>BECHARA EL KHOURY TOWER 9TH FL</t>
  </si>
  <si>
    <t>CE2093</t>
  </si>
  <si>
    <t>DAUPHIMEX S.A.R.L</t>
  </si>
  <si>
    <t>125 AV. GENERAL LECLERC 38950</t>
  </si>
  <si>
    <t>CE2094</t>
  </si>
  <si>
    <t>TASHARUKIAT AL MASA - TRIPOLI</t>
  </si>
  <si>
    <t>AL KRIMIA - TRIPOLI LIBYA</t>
  </si>
  <si>
    <t>CE2095</t>
  </si>
  <si>
    <t>NEPLE CO.;</t>
  </si>
  <si>
    <t>284-9 YATAP-DONG BUNDANG-GU;</t>
  </si>
  <si>
    <t>CE2096</t>
  </si>
  <si>
    <t>ITHMAR FOOD PRODUCTS CO.</t>
  </si>
  <si>
    <t>128 SHARIF NASER STREET; SPORT</t>
  </si>
  <si>
    <t>CE2097</t>
  </si>
  <si>
    <t>JP BEEMSTERBOER BV</t>
  </si>
  <si>
    <t>STATIONSSTRAAT 17 PO BOX 8</t>
  </si>
  <si>
    <t>CE2098</t>
  </si>
  <si>
    <t>TRANS DAZZ TRADING</t>
  </si>
  <si>
    <t>91 AL KHABEESI 62113 DUBAI UAE</t>
  </si>
  <si>
    <t>CE2099</t>
  </si>
  <si>
    <t>ORBIS INTERNATIONAL</t>
  </si>
  <si>
    <t>17822115</t>
  </si>
  <si>
    <t>P.O BOX 54657 ADLIYA KINGDOM OF</t>
  </si>
  <si>
    <t>ARIANA</t>
  </si>
  <si>
    <t>CE2100</t>
  </si>
  <si>
    <t>DISTRIBUTION SAKO ET FILS SAR</t>
  </si>
  <si>
    <t>ADJAME PETIT MARCHE ABIDJAN</t>
  </si>
  <si>
    <t>CE2101</t>
  </si>
  <si>
    <t>SOCIETE GLOBINEX COMMERCE INT</t>
  </si>
  <si>
    <t>BP 1038 SFAX 3018 TUNISIE</t>
  </si>
  <si>
    <t>CE2102</t>
  </si>
  <si>
    <t>ITOCHU FRANCE</t>
  </si>
  <si>
    <t>TOUR MAINE MONTPARNASSE</t>
  </si>
  <si>
    <t>CE2103</t>
  </si>
  <si>
    <t>FIRST QUALITY FOODS</t>
  </si>
  <si>
    <t>UNIT 35 THE BEECHES BRISTOL UK</t>
  </si>
  <si>
    <t>CE2104</t>
  </si>
  <si>
    <t>IBRAHIMA DIALLO</t>
  </si>
  <si>
    <t>LOME - TOGO</t>
  </si>
  <si>
    <t>CE2105</t>
  </si>
  <si>
    <t>CEFADIS</t>
  </si>
  <si>
    <t>ROUTE PRINCIPALE CASABLANCA</t>
  </si>
  <si>
    <t>CE2106</t>
  </si>
  <si>
    <t>JABIMEX ENTREPRISE</t>
  </si>
  <si>
    <t>24 BUCKLE STREET P.O BOX 70 BA</t>
  </si>
  <si>
    <t>CE2107</t>
  </si>
  <si>
    <t>TERMER CONSULTING SARL</t>
  </si>
  <si>
    <t>39 RUE LOUBTANE MOHAMED BELVED</t>
  </si>
  <si>
    <t>CE2108</t>
  </si>
  <si>
    <t>FAHED FOODS</t>
  </si>
  <si>
    <t>P.O BOX 8155 DOHA - QATAR</t>
  </si>
  <si>
    <t>CE2109</t>
  </si>
  <si>
    <t>ALIZERICA</t>
  </si>
  <si>
    <t>C/CARC 2708810 BARCELONA SPAIN</t>
  </si>
  <si>
    <t>CE2110</t>
  </si>
  <si>
    <t>BEST FOODS TRADING ESTABLISHM</t>
  </si>
  <si>
    <t>IN SULY EXT-17 RIADH 11575 KSA</t>
  </si>
  <si>
    <t>CE2111</t>
  </si>
  <si>
    <t>ETS TIMBI MADINA</t>
  </si>
  <si>
    <t>B.P 800 POG - GABON</t>
  </si>
  <si>
    <t>PORT GENTIL</t>
  </si>
  <si>
    <t>CE2112</t>
  </si>
  <si>
    <t>JEAN JKHAVHOU AND CO SARL</t>
  </si>
  <si>
    <t>CE2113</t>
  </si>
  <si>
    <t>MONICA PRODUCTS LLC</t>
  </si>
  <si>
    <t>CE2114</t>
  </si>
  <si>
    <t>KEVERAL TRADING CONPANY</t>
  </si>
  <si>
    <t>CE2115</t>
  </si>
  <si>
    <t>E.A.S.B NAFA GB LDA</t>
  </si>
  <si>
    <t>CE2116</t>
  </si>
  <si>
    <t>P.O BOX 54657 ADLIYA KIGDOM OF</t>
  </si>
  <si>
    <t>CE2117</t>
  </si>
  <si>
    <t>LA GENERALE DES ECHANGES INTERNATIO</t>
  </si>
  <si>
    <t>71862006</t>
  </si>
  <si>
    <t>510073GAM000</t>
  </si>
  <si>
    <t>RUE DU LAC TOBA LES BERGES DU LA</t>
  </si>
  <si>
    <t>71862049</t>
  </si>
  <si>
    <t>CE2118</t>
  </si>
  <si>
    <t>ARAY FOR FOOD IMPORT COMPANY</t>
  </si>
  <si>
    <t>214776413</t>
  </si>
  <si>
    <t>CE2119</t>
  </si>
  <si>
    <t>ETS TCHOUMI NATALIE</t>
  </si>
  <si>
    <t>99892909</t>
  </si>
  <si>
    <t>B.P 15478 DOUALA CAMEROUN</t>
  </si>
  <si>
    <t>DOUALA</t>
  </si>
  <si>
    <t>CE2120</t>
  </si>
  <si>
    <t>PINTO HOUSE, 187, MALTA</t>
  </si>
  <si>
    <t>PINTO HOUSE MARSA</t>
  </si>
  <si>
    <t>CE2121</t>
  </si>
  <si>
    <t>SOCIPAL</t>
  </si>
  <si>
    <t>LIBREVILLE - GABON</t>
  </si>
  <si>
    <t>LIBREVILLE</t>
  </si>
  <si>
    <t>CE2122</t>
  </si>
  <si>
    <t>STE OMRANE SAS</t>
  </si>
  <si>
    <t>143 RUE DIDEROT 93500 PATIN PARI</t>
  </si>
  <si>
    <t>PARIS</t>
  </si>
  <si>
    <t>CE2123</t>
  </si>
  <si>
    <t>STE AL MAJMOUA MOTTAHIDA</t>
  </si>
  <si>
    <t>09132075440000</t>
  </si>
  <si>
    <t>AIRPORT ROAD BEHIND APARTMENTS</t>
  </si>
  <si>
    <t>TRIPOLI</t>
  </si>
  <si>
    <t>CE2124</t>
  </si>
  <si>
    <t>HEDAR TRADING COMPANY</t>
  </si>
  <si>
    <t>432 PORT SAID STREET</t>
  </si>
  <si>
    <t>CAIRO</t>
  </si>
  <si>
    <t>CE2125</t>
  </si>
  <si>
    <t>LES ALIMENTS LOUISA</t>
  </si>
  <si>
    <t>1668 CALIXA-LAVALLEE STE JUKIE Q</t>
  </si>
  <si>
    <t>QUEBEC</t>
  </si>
  <si>
    <t>CE2126</t>
  </si>
  <si>
    <t>INTERNATIONAL GOLDEN FOODS</t>
  </si>
  <si>
    <t>819 INDUSTRIAL DR.</t>
  </si>
  <si>
    <t>BENSENVILLE IL 60106</t>
  </si>
  <si>
    <t>CE2127</t>
  </si>
  <si>
    <t>DIARRA ALDIOUMA IMPORT EXPORT</t>
  </si>
  <si>
    <t>B.P 461 BAMAKO MALI</t>
  </si>
  <si>
    <t>BAMAKO</t>
  </si>
  <si>
    <t>CE2128</t>
  </si>
  <si>
    <t>CERCO DMCC</t>
  </si>
  <si>
    <t>AG TOWER SUITE 14A DUBAI - UAE</t>
  </si>
  <si>
    <t>DUBAI</t>
  </si>
  <si>
    <t>CE2129</t>
  </si>
  <si>
    <t>JRT INDUSTRIES &amp; TRADING SARL</t>
  </si>
  <si>
    <t>B.P 11005 DOUALA CAMEROUN</t>
  </si>
  <si>
    <t>CE2130</t>
  </si>
  <si>
    <t>TUNITRADE IMPORT EXPORT INC.</t>
  </si>
  <si>
    <t>612 DELORME GRANBY QC J2J 2H5</t>
  </si>
  <si>
    <t>CANADA</t>
  </si>
  <si>
    <t>CE2131</t>
  </si>
  <si>
    <t>AL-KAIR &amp; ELBARAKA TRADING EST.</t>
  </si>
  <si>
    <t>P.O BOX 3433 JEDDAH 21955 KSA</t>
  </si>
  <si>
    <t>JEDDAH</t>
  </si>
  <si>
    <t>CE2132</t>
  </si>
  <si>
    <t>GROUP AL CHERIF &amp; CO.</t>
  </si>
  <si>
    <t>RESIDENCE AL YASAMINE</t>
  </si>
  <si>
    <t>MANAR I - TUNIS</t>
  </si>
  <si>
    <t>CE2133</t>
  </si>
  <si>
    <t>E.A.S.B. NAFA</t>
  </si>
  <si>
    <t>55 LEMAN STREET BANJUL GAMBIA</t>
  </si>
  <si>
    <t>SOUSSE</t>
  </si>
  <si>
    <t>BANJUL</t>
  </si>
  <si>
    <t>CE2134</t>
  </si>
  <si>
    <t>MAKAN TOUNKARA IMPORT EXPORT</t>
  </si>
  <si>
    <t>CE2135</t>
  </si>
  <si>
    <t>SARL CND</t>
  </si>
  <si>
    <t>13 RUE DE ORESTIS 06 06300 NICE</t>
  </si>
  <si>
    <t>NICE</t>
  </si>
  <si>
    <t>CE2136</t>
  </si>
  <si>
    <t>OMECO TUNISIE</t>
  </si>
  <si>
    <t>1262180HAM000</t>
  </si>
  <si>
    <t>11 PLACE 20 MARS RUE DE FRANCE</t>
  </si>
  <si>
    <t>CE2137</t>
  </si>
  <si>
    <t>TUNISIAN AFRICAN BUSINESS</t>
  </si>
  <si>
    <t>71350855</t>
  </si>
  <si>
    <t>1154276MAM000</t>
  </si>
  <si>
    <t>RUE DE LA JUSTICE 4023 SOUSSE</t>
  </si>
  <si>
    <t>CE2138</t>
  </si>
  <si>
    <t>SODIPOG</t>
  </si>
  <si>
    <t>CARREFOUR DE LA DOUANE</t>
  </si>
  <si>
    <t>CE2139</t>
  </si>
  <si>
    <t>EVOLTECH CO LTD</t>
  </si>
  <si>
    <t>Taiheiyoukuwana building 5F-3-11</t>
  </si>
  <si>
    <t>kuwana city</t>
  </si>
  <si>
    <t>CE2140</t>
  </si>
  <si>
    <t>ETS JSM GABON</t>
  </si>
  <si>
    <t>B.P 14110 LIBREVILLE GABON</t>
  </si>
  <si>
    <t>CE2141</t>
  </si>
  <si>
    <t>STE SM GABON</t>
  </si>
  <si>
    <t>CE2142</t>
  </si>
  <si>
    <t>SOCOONE</t>
  </si>
  <si>
    <t>71901300</t>
  </si>
  <si>
    <t>1202753RAM000</t>
  </si>
  <si>
    <t>RUE JEAN -JACQUES ROUSSEAU MONTP</t>
  </si>
  <si>
    <t>CE2143</t>
  </si>
  <si>
    <t>SMTI</t>
  </si>
  <si>
    <t>29209899</t>
  </si>
  <si>
    <t>1248053RAM000</t>
  </si>
  <si>
    <t>CE2144</t>
  </si>
  <si>
    <t>DE CARE SP ZOO</t>
  </si>
  <si>
    <t>CE2145</t>
  </si>
  <si>
    <t>JASMINE MINI MARKET</t>
  </si>
  <si>
    <t>2-2-14-101 MOTOAZABU TOKYO</t>
  </si>
  <si>
    <t>TOKYO</t>
  </si>
  <si>
    <t>CE2146</t>
  </si>
  <si>
    <t>ENTREPRISE DU MALI EMERGENT SARL</t>
  </si>
  <si>
    <t>CE2147</t>
  </si>
  <si>
    <t>DAVIS FOOD INGREDIENT PTY Ltd</t>
  </si>
  <si>
    <t>16 Bessemer Drive, Dandenong</t>
  </si>
  <si>
    <t>DANDENONG</t>
  </si>
  <si>
    <t>CE2148</t>
  </si>
  <si>
    <t>COMPTOIR EXPORT DE MATIERES PR</t>
  </si>
  <si>
    <t>82-86 Rue de l'etoile Bobigny</t>
  </si>
  <si>
    <t>Paris</t>
  </si>
  <si>
    <t>CE2149</t>
  </si>
  <si>
    <t>DAVIS TRADING CO LTD</t>
  </si>
  <si>
    <t>91 CARBINE RD, MT WELLINGTON</t>
  </si>
  <si>
    <t>AUCKLAND</t>
  </si>
  <si>
    <t>CE2150</t>
  </si>
  <si>
    <t>MIDWEST INTERNATIONAL IMPORTS</t>
  </si>
  <si>
    <t>00170886580000</t>
  </si>
  <si>
    <t>2050 JANICE AVENUE MELROSE PARK</t>
  </si>
  <si>
    <t>ILLINOIS</t>
  </si>
  <si>
    <t>CE2151</t>
  </si>
  <si>
    <t xml:space="preserve">EGYPTIAN GROUP FOR TRADING </t>
  </si>
  <si>
    <t>22727170000000</t>
  </si>
  <si>
    <t>Land 5515 4th District Mokatam</t>
  </si>
  <si>
    <t>Cairo - Mokatam</t>
  </si>
  <si>
    <t>CE2152</t>
  </si>
  <si>
    <t>GEDIR SARL</t>
  </si>
  <si>
    <t>00222469718880</t>
  </si>
  <si>
    <t>RUE DES COMMERCANTS</t>
  </si>
  <si>
    <t>NOUAKCHOTT - MAURITANIE</t>
  </si>
  <si>
    <t>CE2153</t>
  </si>
  <si>
    <t>STE AL BADR</t>
  </si>
  <si>
    <t>71861003</t>
  </si>
  <si>
    <t>1045669TAM000</t>
  </si>
  <si>
    <t>RES. LES CYGNES BERGES DU LAC</t>
  </si>
  <si>
    <t>CE2154</t>
  </si>
  <si>
    <t>SODIFRAM SAS</t>
  </si>
  <si>
    <t>00262611076000</t>
  </si>
  <si>
    <t>B.P 70 MAMOUDZOU MAYOTTE 97600</t>
  </si>
  <si>
    <t>MAMOUDZOU</t>
  </si>
  <si>
    <t>CE2155</t>
  </si>
  <si>
    <t>SHENZHEN DOREDO SUPPLY CHAIN</t>
  </si>
  <si>
    <t>75527263888000</t>
  </si>
  <si>
    <t>BUILDING 33 MAANSHAN, SHAJING,</t>
  </si>
  <si>
    <t>SHENZHEN</t>
  </si>
  <si>
    <t>CE2156</t>
  </si>
  <si>
    <t>MARKETING TRADING SERVICES</t>
  </si>
  <si>
    <t>29172120</t>
  </si>
  <si>
    <t>1003182TAM000</t>
  </si>
  <si>
    <t>29 RUE ERRAHMA 2026 SIDI BOUSSAI</t>
  </si>
  <si>
    <t>CE2157</t>
  </si>
  <si>
    <t>RICETEC, INC</t>
  </si>
  <si>
    <t>00128133156550</t>
  </si>
  <si>
    <t>ALVIN, TX 77512 HOUSTON</t>
  </si>
  <si>
    <t>HOUSTON</t>
  </si>
  <si>
    <t>CE2158</t>
  </si>
  <si>
    <t>SIDAG</t>
  </si>
  <si>
    <t>66788231000000</t>
  </si>
  <si>
    <t>B.P 4927 LIBREVILLE - GABON</t>
  </si>
  <si>
    <t>CE2159</t>
  </si>
  <si>
    <t>TRANS SYSTEM TRADING</t>
  </si>
  <si>
    <t>24530453</t>
  </si>
  <si>
    <t>1050423FAM000</t>
  </si>
  <si>
    <t>008 TOUR ELYSSA GAMMARTH</t>
  </si>
  <si>
    <t>CE2160</t>
  </si>
  <si>
    <t>CEDICOM</t>
  </si>
  <si>
    <t>01775748000000</t>
  </si>
  <si>
    <t>B.P 2026 LIBREVILLE - GABON</t>
  </si>
  <si>
    <t>CE2161</t>
  </si>
  <si>
    <t>PREMIUM INTERNATIONAL TRADING</t>
  </si>
  <si>
    <t>20080206</t>
  </si>
  <si>
    <t>1038761WAM000</t>
  </si>
  <si>
    <t>perle du sahel sousse</t>
  </si>
  <si>
    <t>CE2162</t>
  </si>
  <si>
    <t>BAOQUANG PRODUCING</t>
  </si>
  <si>
    <t>37723624000000</t>
  </si>
  <si>
    <t>Block N2-BT1 Me Tri Ha New Urban</t>
  </si>
  <si>
    <t>Hanoi</t>
  </si>
  <si>
    <t>CE2163</t>
  </si>
  <si>
    <t>BIMEX NEGOCE</t>
  </si>
  <si>
    <t>66138097500000</t>
  </si>
  <si>
    <t>Z.I AIT MELLOUL B.P 1273 AGADIR</t>
  </si>
  <si>
    <t>AGADIR</t>
  </si>
  <si>
    <t>CE2164</t>
  </si>
  <si>
    <t>STE MEDILIFE IMPORT &amp; EXPORT</t>
  </si>
  <si>
    <t>73325724</t>
  </si>
  <si>
    <t>1291491HAM000</t>
  </si>
  <si>
    <t>AV. DE LA REPUBLIQUE HAMMAM SOUS</t>
  </si>
  <si>
    <t>CE2165</t>
  </si>
  <si>
    <t>ANGSTREM TRADING</t>
  </si>
  <si>
    <t>6 SHOTLANDSKAYA STR 198035</t>
  </si>
  <si>
    <t>SAINT PETERSBURG RUSSIA</t>
  </si>
  <si>
    <t>CE2166</t>
  </si>
  <si>
    <t>ASTRA INTERNATIONAL DE COMMERCE</t>
  </si>
  <si>
    <t>1333039YAM000</t>
  </si>
  <si>
    <t>19 RUE NAPLOUSE 1001 TUNIS</t>
  </si>
  <si>
    <t>CE2167</t>
  </si>
  <si>
    <t>GOLDEN NETWORKS TUNISIA</t>
  </si>
  <si>
    <t>28409110</t>
  </si>
  <si>
    <t>1259943DAM000</t>
  </si>
  <si>
    <t>76 AV. HABIB BOURGUIBA 2040 RADE</t>
  </si>
  <si>
    <t>BEN AROUS</t>
  </si>
  <si>
    <t>71460715</t>
  </si>
  <si>
    <t>CE2168</t>
  </si>
  <si>
    <t>STE OMEGA TRADING</t>
  </si>
  <si>
    <t>55662707</t>
  </si>
  <si>
    <t>1137923YAM000</t>
  </si>
  <si>
    <t>ENNASER II 2037 ARIANA</t>
  </si>
  <si>
    <t>CE2169</t>
  </si>
  <si>
    <t>RAMMAL ORIGINAL</t>
  </si>
  <si>
    <t>14760820000000</t>
  </si>
  <si>
    <t>TOHWITA, NASSAR BUILDING BEIRUT</t>
  </si>
  <si>
    <t>BEIRUT</t>
  </si>
  <si>
    <t>CE2170</t>
  </si>
  <si>
    <t>MOUASSASET FOUED ABDALLAH</t>
  </si>
  <si>
    <t>00216718730030</t>
  </si>
  <si>
    <t>AL MADINA ALMOUNAWARA KSA</t>
  </si>
  <si>
    <t>AL MADINA</t>
  </si>
  <si>
    <t>CE2171</t>
  </si>
  <si>
    <t>BNC DE COMMERCE INTERNATIONAL</t>
  </si>
  <si>
    <t>71965934</t>
  </si>
  <si>
    <t>IMB LE CAPITOLE LE BERGES DU LAC</t>
  </si>
  <si>
    <t>CE2172</t>
  </si>
  <si>
    <t>STE MEDI FOOD</t>
  </si>
  <si>
    <t>71449240</t>
  </si>
  <si>
    <t>1232445YAM000</t>
  </si>
  <si>
    <t>RUE MOHAMED MADHOUR ETTAHRIR</t>
  </si>
  <si>
    <t>CE2173</t>
  </si>
  <si>
    <t>NEGOCE SANS FRONTIERES</t>
  </si>
  <si>
    <t>0685073173</t>
  </si>
  <si>
    <t>27/29 RUE RAFFET 75016 PARIS</t>
  </si>
  <si>
    <t>CE2174</t>
  </si>
  <si>
    <t>MAHANNA MOHAMED MAUMOUN</t>
  </si>
  <si>
    <t>MATROUTH-aLHAMMAM CITY EGYPTE</t>
  </si>
  <si>
    <t>EGYPTE</t>
  </si>
  <si>
    <t>CE2175</t>
  </si>
  <si>
    <t>BFB INTERNATIONAL TRADING</t>
  </si>
  <si>
    <t>56 RUE AL OUANNANE HAY SMARA HAY</t>
  </si>
  <si>
    <t>MAROC</t>
  </si>
  <si>
    <t>CE2176</t>
  </si>
  <si>
    <t xml:space="preserve">ETS D'IMPORTATION ET DE COMMERCE </t>
  </si>
  <si>
    <t>BP 40150</t>
  </si>
  <si>
    <t>NOUAKCHOTT MAURITANIE</t>
  </si>
  <si>
    <t>CE2177</t>
  </si>
  <si>
    <t>MARJANE HOLDING S.A</t>
  </si>
  <si>
    <t>06000980040000</t>
  </si>
  <si>
    <t>MEDERSA CASABLANCA - MAROC</t>
  </si>
  <si>
    <t>CASABLANCA</t>
  </si>
  <si>
    <t>CE2178</t>
  </si>
  <si>
    <t>ARCADIA</t>
  </si>
  <si>
    <t>1420857PAM000</t>
  </si>
  <si>
    <t>BLA L'OURMIA IMM MINIAR BERGES D</t>
  </si>
  <si>
    <t>CE2179</t>
  </si>
  <si>
    <t>CASA NOSTRA TRADING</t>
  </si>
  <si>
    <t>54677297</t>
  </si>
  <si>
    <t>16 RUE FARHAT HACHED TEBORBA</t>
  </si>
  <si>
    <t>CE2180</t>
  </si>
  <si>
    <t>IDEAL INTERNATIONAL TRADING COMPANY</t>
  </si>
  <si>
    <t>71861559</t>
  </si>
  <si>
    <t>1109980AAM000</t>
  </si>
  <si>
    <t>ALL,IMM RAHMA LAC HURON, BERGE D</t>
  </si>
  <si>
    <t>71862195</t>
  </si>
  <si>
    <t>CE2181</t>
  </si>
  <si>
    <t>ALJESSR ALMAGHARIBI</t>
  </si>
  <si>
    <t>26828215</t>
  </si>
  <si>
    <t>1221966KAM000</t>
  </si>
  <si>
    <t>96 RUE DE LA LIBERTE 1002 TUNIS</t>
  </si>
  <si>
    <t>CE2182</t>
  </si>
  <si>
    <t>INTERNATIONAL FOODSTUFF GROUP</t>
  </si>
  <si>
    <t>P.O BOX 23101 DOHA - QTATR</t>
  </si>
  <si>
    <t>DOHA</t>
  </si>
  <si>
    <t>CE2183</t>
  </si>
  <si>
    <t>CHRIST IMMINENCE</t>
  </si>
  <si>
    <t>08600222000000</t>
  </si>
  <si>
    <t>B.P. 108 ABIDJAN - COTE D'IVOIRE</t>
  </si>
  <si>
    <t>ABIDJAN</t>
  </si>
  <si>
    <t>CE2184</t>
  </si>
  <si>
    <t>ALERTIQA ALAWAL CO FOR FOOD IMPORTS</t>
  </si>
  <si>
    <t>09270494380000</t>
  </si>
  <si>
    <t>CE2185</t>
  </si>
  <si>
    <t>MARS SARL</t>
  </si>
  <si>
    <t>33390056000000</t>
  </si>
  <si>
    <t>NOUKCHOTT - MAURITANIE</t>
  </si>
  <si>
    <t>NOUAKCHOTT</t>
  </si>
  <si>
    <t>CE2186</t>
  </si>
  <si>
    <t>PANAMA OTOMOTIV SAN VE TIC LTD STI</t>
  </si>
  <si>
    <t>75045202060000</t>
  </si>
  <si>
    <t>SEHREMINI TURGUT OZAL MILLET CAD</t>
  </si>
  <si>
    <t>ISTANBUL</t>
  </si>
  <si>
    <t>CE2187</t>
  </si>
  <si>
    <t>EASYFRESH</t>
  </si>
  <si>
    <t>73237127</t>
  </si>
  <si>
    <t>08 RUE COMMANDANT BEJAOUI SOUSSE</t>
  </si>
  <si>
    <t>CE2188</t>
  </si>
  <si>
    <t>ALESHARA ALDHABAIA CO.</t>
  </si>
  <si>
    <t>09148874760000</t>
  </si>
  <si>
    <t>CE2189</t>
  </si>
  <si>
    <t>EURL JILIRA IMP/EXP</t>
  </si>
  <si>
    <t>11111111000000</t>
  </si>
  <si>
    <t>LA NOUVELLE CITE A06 BIR EL ATER</t>
  </si>
  <si>
    <t>TEBESSA</t>
  </si>
  <si>
    <t>CE2190</t>
  </si>
  <si>
    <t>EURL GUERMAT SR IMPORT/EXPORT</t>
  </si>
  <si>
    <t>11111111111111</t>
  </si>
  <si>
    <t>CITE LOTS SUD N.57 43000 W. MILA</t>
  </si>
  <si>
    <t>MILA</t>
  </si>
  <si>
    <t>CE2191</t>
  </si>
  <si>
    <t>ETS HIMADOU HAMANI</t>
  </si>
  <si>
    <t>20740110000000</t>
  </si>
  <si>
    <t>B.P 12367 NIAMEY - NIGER</t>
  </si>
  <si>
    <t>NIAMEY</t>
  </si>
  <si>
    <t>CE2192</t>
  </si>
  <si>
    <t>SOCIETE FRIKHA TRADE COMPANY</t>
  </si>
  <si>
    <t>74400275</t>
  </si>
  <si>
    <t>1471495PAM000</t>
  </si>
  <si>
    <t>AV. LAKHMI 3027 SFAX</t>
  </si>
  <si>
    <t>74400276</t>
  </si>
  <si>
    <t>CE2193</t>
  </si>
  <si>
    <t>STE FUTURE GENERAL TRADING</t>
  </si>
  <si>
    <t>73227745</t>
  </si>
  <si>
    <t>1361978SAM000</t>
  </si>
  <si>
    <t>RUE TAIEB MHIRI RESIDENCE PHENIX</t>
  </si>
  <si>
    <t>73227747</t>
  </si>
  <si>
    <t>CE2194</t>
  </si>
  <si>
    <t>OYOUN LIBYA FOR IMPORT FOODSTUFF</t>
  </si>
  <si>
    <t>58432222000000</t>
  </si>
  <si>
    <t>MISRATA - LIBYA</t>
  </si>
  <si>
    <t>MISRATA</t>
  </si>
  <si>
    <t>CE2195</t>
  </si>
  <si>
    <t>SOCIETE ULYSSE AFRICA TRADE</t>
  </si>
  <si>
    <t>98251080</t>
  </si>
  <si>
    <t>1492946LAM000</t>
  </si>
  <si>
    <t>RUE DE COMMERCE CHAURGUI I</t>
  </si>
  <si>
    <t>CE2196</t>
  </si>
  <si>
    <t>ALPHA IMPORT EXPORT SUARL</t>
  </si>
  <si>
    <t>78121091000000</t>
  </si>
  <si>
    <t>YOFF RANMAR</t>
  </si>
  <si>
    <t>DAKAR</t>
  </si>
  <si>
    <t>CE2197</t>
  </si>
  <si>
    <t>ALERTIKA GROUP FOR IMPORTING</t>
  </si>
  <si>
    <t>91706728700000</t>
  </si>
  <si>
    <t>TRIPOLI LIBYA</t>
  </si>
  <si>
    <t>CE2198</t>
  </si>
  <si>
    <t>NADA TRIPOLI COMPANY</t>
  </si>
  <si>
    <t>21710484000000</t>
  </si>
  <si>
    <t>ALSARRAJ TRIPOLI - LIBYA</t>
  </si>
  <si>
    <t>CE2199</t>
  </si>
  <si>
    <t>PRICE STABILITY FUND</t>
  </si>
  <si>
    <t>21480808200000</t>
  </si>
  <si>
    <t>ROAD 10TH STREET</t>
  </si>
  <si>
    <t>CE2200</t>
  </si>
  <si>
    <t>MAMUDOU BAH T/A TEDOUGNAL FARM</t>
  </si>
  <si>
    <t>73 LEMAN STREET BANJUL GAMBIA</t>
  </si>
  <si>
    <t>CE2201</t>
  </si>
  <si>
    <t>BABYLON GROSSHANDEL GMBH</t>
  </si>
  <si>
    <t>PONKRTZ STR 1 / 80995</t>
  </si>
  <si>
    <t>MUNCHEN</t>
  </si>
  <si>
    <t>CE2202</t>
  </si>
  <si>
    <t>SOCIETE RIADH EL ANDALOUS</t>
  </si>
  <si>
    <t>71813020</t>
  </si>
  <si>
    <t>1541120ZAM000</t>
  </si>
  <si>
    <t>RESIDENCE ENNOUR ARIANA 2080</t>
  </si>
  <si>
    <t>73813542</t>
  </si>
  <si>
    <t>CE2203</t>
  </si>
  <si>
    <t>STE B.T.C TRADING</t>
  </si>
  <si>
    <t>53779388</t>
  </si>
  <si>
    <t>1427621AAM000</t>
  </si>
  <si>
    <t>MNIHLA ARIANA</t>
  </si>
  <si>
    <t>CE2204</t>
  </si>
  <si>
    <t>AL WASL INTERNATIONAL COMPANY</t>
  </si>
  <si>
    <t>91218864600000</t>
  </si>
  <si>
    <t>SOUK AL JUMAA - TRIPOLY LIBYA</t>
  </si>
  <si>
    <t>CE2205</t>
  </si>
  <si>
    <t>SECOF - BENIN</t>
  </si>
  <si>
    <t>69105441000000</t>
  </si>
  <si>
    <t>QUARTIER GBEDAGBA ILOT 1299</t>
  </si>
  <si>
    <t>COTONOU</t>
  </si>
  <si>
    <t>CE2206</t>
  </si>
  <si>
    <t>HAYA LIBYA CO. TO IMPORT FOOD</t>
  </si>
  <si>
    <t>91371017200000</t>
  </si>
  <si>
    <t>ALSARRAJ - TRIPOLI LIBYA</t>
  </si>
  <si>
    <t>CE2207</t>
  </si>
  <si>
    <t>SARL SOKOM</t>
  </si>
  <si>
    <t>69265892200000</t>
  </si>
  <si>
    <t>10 RUE CHARLES GOUNOD 97400</t>
  </si>
  <si>
    <t>SAINT-DENIS ILE DE LA REUNION</t>
  </si>
  <si>
    <t>26221729800000</t>
  </si>
  <si>
    <t>CE2208</t>
  </si>
  <si>
    <t>STE MIDCOM INTERNATIONAL</t>
  </si>
  <si>
    <t>71695877</t>
  </si>
  <si>
    <t>0916786MAM000</t>
  </si>
  <si>
    <t>96 RUE RADHIA HADDED</t>
  </si>
  <si>
    <t>70698787</t>
  </si>
  <si>
    <t>CE2209</t>
  </si>
  <si>
    <t>CISSE MBENG SOUMAILA</t>
  </si>
  <si>
    <t>06062020000000</t>
  </si>
  <si>
    <t>B.P 8673 LIBREVILLE GABON</t>
  </si>
  <si>
    <t>CE2210</t>
  </si>
  <si>
    <t>GREENLAND</t>
  </si>
  <si>
    <t>1208394PAM000</t>
  </si>
  <si>
    <t>RUE DE LA PHYSIQUE 2013</t>
  </si>
  <si>
    <t>CE2211</t>
  </si>
  <si>
    <t>MANARET AL BAHR ALMOUTAWSSET</t>
  </si>
  <si>
    <t>CE2212</t>
  </si>
  <si>
    <t>TIMBI MADINA</t>
  </si>
  <si>
    <t>07842921000000</t>
  </si>
  <si>
    <t>PETIT PARIS B.P 7290 GABON</t>
  </si>
  <si>
    <t>CE2213</t>
  </si>
  <si>
    <t>AWG LIBYA COMPANY TO IMPORT FOOD</t>
  </si>
  <si>
    <t>CE2214</t>
  </si>
  <si>
    <t xml:space="preserve">STE ARIJ </t>
  </si>
  <si>
    <t>91460979000000</t>
  </si>
  <si>
    <t>CE2215</t>
  </si>
  <si>
    <t>WODIS &amp; TRADE SOCIETE</t>
  </si>
  <si>
    <t>33426681000000</t>
  </si>
  <si>
    <t>364 RUE DRUOT AKWA BP 15233</t>
  </si>
  <si>
    <t>CE2216</t>
  </si>
  <si>
    <t>STE ARICOM</t>
  </si>
  <si>
    <t>99985151</t>
  </si>
  <si>
    <t>0596629RAM000</t>
  </si>
  <si>
    <t>HERGLA - SOUSSE 4012 TUNISIE</t>
  </si>
  <si>
    <t>HERGLA</t>
  </si>
  <si>
    <t>CE2217</t>
  </si>
  <si>
    <t>AGRICOLD INTERNATIONAL</t>
  </si>
  <si>
    <t>71948258</t>
  </si>
  <si>
    <t>1168015PAM000</t>
  </si>
  <si>
    <t>007 AMILCAR TUNIS</t>
  </si>
  <si>
    <t>71948108</t>
  </si>
  <si>
    <t>CE2218</t>
  </si>
  <si>
    <t>SHARIKAT AL HAD AL AKSA</t>
  </si>
  <si>
    <t>92230160700000</t>
  </si>
  <si>
    <t>CE2219</t>
  </si>
  <si>
    <t>ADVENS France</t>
  </si>
  <si>
    <t>FRANCE</t>
  </si>
  <si>
    <t>CE2220</t>
  </si>
  <si>
    <t>A2</t>
  </si>
  <si>
    <t>MAHARA ALAMIA FOR IMP EXP FOOD</t>
  </si>
  <si>
    <t xml:space="preserve">TRIPOLI </t>
  </si>
  <si>
    <t>CE2221</t>
  </si>
  <si>
    <t>SOCIETE AL BADR EXPORT</t>
  </si>
  <si>
    <t>CE2222</t>
  </si>
  <si>
    <t>ABOURA FOODS</t>
  </si>
  <si>
    <t xml:space="preserve">PO BOX 2681 AMMAN </t>
  </si>
  <si>
    <t>AMMAN</t>
  </si>
  <si>
    <t>CE2223</t>
  </si>
  <si>
    <t>MIKSAB IMORT EXPORT S.R.L</t>
  </si>
  <si>
    <t>0000000AAA001</t>
  </si>
  <si>
    <t>REPUBLIQUE DOMINICAINE</t>
  </si>
  <si>
    <t>CE2224</t>
  </si>
  <si>
    <t>AHODHIPE-BENISSAN</t>
  </si>
  <si>
    <t>CE2225</t>
  </si>
  <si>
    <t>TOYOTA TSUSHO UK LTD</t>
  </si>
  <si>
    <t>CE2226</t>
  </si>
  <si>
    <t>INTERNATIONAL SMART BUSINESS</t>
  </si>
  <si>
    <t>CE2227</t>
  </si>
  <si>
    <t>BIOFIELD</t>
  </si>
  <si>
    <t>RUE ALI BACH HAMBA RESIDENCE SFAX</t>
  </si>
  <si>
    <t>CE2228</t>
  </si>
  <si>
    <t>GOLDEN PEARL</t>
  </si>
  <si>
    <t>0000000AAA002</t>
  </si>
  <si>
    <t>LAC</t>
  </si>
  <si>
    <t>CE2229</t>
  </si>
  <si>
    <t>SOPALIM</t>
  </si>
  <si>
    <t>GARGES LES GONESSE PARIS</t>
  </si>
  <si>
    <t>CE2230</t>
  </si>
  <si>
    <t>AL JAWDA AL RAEDA</t>
  </si>
  <si>
    <t>LIBYE</t>
  </si>
  <si>
    <t>CE2231</t>
  </si>
  <si>
    <t>ADJA KHADY FOOD DISTRIBUTORS</t>
  </si>
  <si>
    <t>USA</t>
  </si>
  <si>
    <t>CE2232</t>
  </si>
  <si>
    <t>SARL ANOOR</t>
  </si>
  <si>
    <t>AVENUE DES FLANDRES</t>
  </si>
  <si>
    <t>CE2233</t>
  </si>
  <si>
    <t>ALAM ELAMAN FOOD IMPORT CO</t>
  </si>
  <si>
    <t>CE2234</t>
  </si>
  <si>
    <t xml:space="preserve">BO ET CO </t>
  </si>
  <si>
    <t>1630797NAM000</t>
  </si>
  <si>
    <t>MONASTIR 5000 TUNISIE</t>
  </si>
  <si>
    <t>CE2235</t>
  </si>
  <si>
    <t>GREEN WORLD FOOD EXPRESS</t>
  </si>
  <si>
    <t>5380 MAINGATE DRIVE MISSISSAUGA</t>
  </si>
  <si>
    <t>CE2236</t>
  </si>
  <si>
    <t>ALATHEER ALZAHER COMPANY FOR</t>
  </si>
  <si>
    <t>CE2237</t>
  </si>
  <si>
    <t>AL HAMAT AL DAWLIA</t>
  </si>
  <si>
    <t>CE2238</t>
  </si>
  <si>
    <t>SYNERGY INTERNATIONAL</t>
  </si>
  <si>
    <t>CE2239</t>
  </si>
  <si>
    <t>A LUISI GENERAL TRADING / ALGT</t>
  </si>
  <si>
    <t>CE2240</t>
  </si>
  <si>
    <t>RNK DISTRIBUTION</t>
  </si>
  <si>
    <t>Madagascar</t>
  </si>
  <si>
    <t>CE2241</t>
  </si>
  <si>
    <t>DISTREUROP</t>
  </si>
  <si>
    <t>CE2242</t>
  </si>
  <si>
    <t>VALENCIA FOR MARKETING</t>
  </si>
  <si>
    <t>LIBAN</t>
  </si>
  <si>
    <t>CE2243</t>
  </si>
  <si>
    <t>MAJAN GULF FOODS LLC</t>
  </si>
  <si>
    <t>OMAN</t>
  </si>
  <si>
    <t>CE2244</t>
  </si>
  <si>
    <t>MBCD RUNGIS</t>
  </si>
  <si>
    <t>CE2245</t>
  </si>
  <si>
    <t>HMM EXPORT</t>
  </si>
  <si>
    <t>CE2246</t>
  </si>
  <si>
    <t>CENTRAL FOOD</t>
  </si>
  <si>
    <t>CE2247</t>
  </si>
  <si>
    <t>MATMATA TRADING</t>
  </si>
  <si>
    <t>CE2248</t>
  </si>
  <si>
    <t>SEYAL TCHAD SA</t>
  </si>
  <si>
    <t>TCHAD</t>
  </si>
  <si>
    <t>CE2249</t>
  </si>
  <si>
    <t>SOGETRAC</t>
  </si>
  <si>
    <t>1456682BAM000</t>
  </si>
  <si>
    <t>CE2250</t>
  </si>
  <si>
    <t>STE CT TRADING DE COMMERCE INTR</t>
  </si>
  <si>
    <t>000MA1266832P</t>
  </si>
  <si>
    <t>CE2251</t>
  </si>
  <si>
    <t>STE DORCAS INTER TRADE</t>
  </si>
  <si>
    <t>CE2252</t>
  </si>
  <si>
    <t>HERMES GENERAL TRADING</t>
  </si>
  <si>
    <t>CE2253</t>
  </si>
  <si>
    <t>NEW ADAMER</t>
  </si>
  <si>
    <t>CE2254</t>
  </si>
  <si>
    <t>FOOD EXPORT</t>
  </si>
  <si>
    <t>CE2255</t>
  </si>
  <si>
    <t>MUCH MARK INTR - 2MIT</t>
  </si>
  <si>
    <t>CE2256</t>
  </si>
  <si>
    <t>PUNIC INTERNATINAL TRADE</t>
  </si>
  <si>
    <t>CE2257</t>
  </si>
  <si>
    <t>LAMP FALL IMP EXP - LAFFIMEX</t>
  </si>
  <si>
    <t>SENEGAL</t>
  </si>
  <si>
    <t>CE2258</t>
  </si>
  <si>
    <t>FOODMED</t>
  </si>
  <si>
    <t>CE2259</t>
  </si>
  <si>
    <t>SAFA FOOD</t>
  </si>
  <si>
    <t>CAD</t>
  </si>
  <si>
    <t>CE2260</t>
  </si>
  <si>
    <t>JANNET AL KHAYRAT</t>
  </si>
  <si>
    <t>CE2261</t>
  </si>
  <si>
    <t>MARCOM INTERN</t>
  </si>
  <si>
    <t>CE2262</t>
  </si>
  <si>
    <t>MASREF AL RAYAN</t>
  </si>
  <si>
    <t>QATAR</t>
  </si>
  <si>
    <t>CE2263</t>
  </si>
  <si>
    <t>SANJAY TRADING</t>
  </si>
  <si>
    <t>CAMEROUN</t>
  </si>
  <si>
    <t>CE2264</t>
  </si>
  <si>
    <t>AFRICAN GATE</t>
  </si>
  <si>
    <t>CE2265</t>
  </si>
  <si>
    <t>SHARIKAT MAYAN</t>
  </si>
  <si>
    <t>CE2266</t>
  </si>
  <si>
    <t>AL SAHL MOUTAQADEM</t>
  </si>
  <si>
    <t>CE2267</t>
  </si>
  <si>
    <t>SOCIETE REGAL</t>
  </si>
  <si>
    <t>CONGO</t>
  </si>
  <si>
    <t>CE2268</t>
  </si>
  <si>
    <t>YAFRIB INTR</t>
  </si>
  <si>
    <t>BENIN</t>
  </si>
  <si>
    <t>CE2269</t>
  </si>
  <si>
    <t>DEBENHAM</t>
  </si>
  <si>
    <t>KENYA</t>
  </si>
  <si>
    <t>CE2270</t>
  </si>
  <si>
    <t>EASY TRADE / GLOBAL GOODS CAPA</t>
  </si>
  <si>
    <t>CE2271</t>
  </si>
  <si>
    <t>TEAM NEGOCE - YET GROUPE</t>
  </si>
  <si>
    <t>CE2272</t>
  </si>
  <si>
    <t>STE WAFA LIBYE</t>
  </si>
  <si>
    <t>CE2273</t>
  </si>
  <si>
    <t>I3C+</t>
  </si>
  <si>
    <t>CE2274</t>
  </si>
  <si>
    <t>GGM</t>
  </si>
  <si>
    <t>CE2275</t>
  </si>
  <si>
    <t>SODIC</t>
  </si>
  <si>
    <t>CE2276</t>
  </si>
  <si>
    <t xml:space="preserve">HARVEST </t>
  </si>
  <si>
    <t>CE2277</t>
  </si>
  <si>
    <t>KRUPYANIY - DUBAV</t>
  </si>
  <si>
    <t>ROMANIE</t>
  </si>
  <si>
    <t>CE2278</t>
  </si>
  <si>
    <t xml:space="preserve">RAMAS TRADING </t>
  </si>
  <si>
    <t>SOMALIE</t>
  </si>
  <si>
    <t>CE2279</t>
  </si>
  <si>
    <t xml:space="preserve">AL RAEDA </t>
  </si>
  <si>
    <t>CE2280</t>
  </si>
  <si>
    <t>ACS DISTRIBUTION</t>
  </si>
  <si>
    <t>ILE DE REUNION</t>
  </si>
  <si>
    <t>CE2281</t>
  </si>
  <si>
    <t>ETS ELEMINE</t>
  </si>
  <si>
    <t>CE2282</t>
  </si>
  <si>
    <t>HK ENTREPRISE</t>
  </si>
  <si>
    <t>LIBERIA</t>
  </si>
  <si>
    <t>CE2283</t>
  </si>
  <si>
    <t>FONTANA SAS</t>
  </si>
  <si>
    <t>CE2284</t>
  </si>
  <si>
    <t>MESBAH DAHDAH</t>
  </si>
  <si>
    <t>SUDAN</t>
  </si>
  <si>
    <t>CE2285</t>
  </si>
  <si>
    <t>STE WAEL</t>
  </si>
  <si>
    <t>ARABIE SAOUDITE</t>
  </si>
  <si>
    <t>CE2286</t>
  </si>
  <si>
    <t>NOUI AMADJRASS</t>
  </si>
  <si>
    <t>CE2287</t>
  </si>
  <si>
    <t>STE BISO NA BISO</t>
  </si>
  <si>
    <t>CE2288</t>
  </si>
  <si>
    <t>SOCIETE CHEMA</t>
  </si>
  <si>
    <t>CE2289</t>
  </si>
  <si>
    <t>STE AL AKIL</t>
  </si>
  <si>
    <t>LC</t>
  </si>
  <si>
    <t>CE2290</t>
  </si>
  <si>
    <t>SCCI</t>
  </si>
  <si>
    <t>CE2291</t>
  </si>
  <si>
    <t>WILSON AMANDEM</t>
  </si>
  <si>
    <t>GHANA</t>
  </si>
  <si>
    <t>CE2292</t>
  </si>
  <si>
    <t>RIVEXIA</t>
  </si>
  <si>
    <t>CE2293</t>
  </si>
  <si>
    <t xml:space="preserve">WONDERCHAIN INTERNATIONAL TRADE </t>
  </si>
  <si>
    <t>CE2294</t>
  </si>
  <si>
    <t xml:space="preserve">GENERIC BRANDS LIMITED </t>
  </si>
  <si>
    <t>CE2295</t>
  </si>
  <si>
    <t>ALMOSTAWRED ALJADEED CO. FOR IMPORT</t>
  </si>
  <si>
    <t>CE2296</t>
  </si>
  <si>
    <t>WAHAT ALASIMA CO.FOR IMPORTING FOOD</t>
  </si>
  <si>
    <t>CE2297</t>
  </si>
  <si>
    <t>LAMET AL EKHWA</t>
  </si>
  <si>
    <t>CE2298</t>
  </si>
  <si>
    <t>CHB</t>
  </si>
  <si>
    <t>RUSSIE</t>
  </si>
  <si>
    <t>CE2299</t>
  </si>
  <si>
    <t>CE2300</t>
  </si>
  <si>
    <t>AL MOSTAFA - FAYROUZ</t>
  </si>
  <si>
    <t>CE22100</t>
  </si>
  <si>
    <t>UBL</t>
  </si>
  <si>
    <t>CE2301</t>
  </si>
  <si>
    <t>POWERTRADE</t>
  </si>
  <si>
    <t>Num Piéce</t>
  </si>
  <si>
    <t>Date Facture</t>
  </si>
  <si>
    <t>Code</t>
  </si>
  <si>
    <t>Désignation Client</t>
  </si>
  <si>
    <t>Timbre</t>
  </si>
  <si>
    <t>T.T.C</t>
  </si>
  <si>
    <t>Couscous</t>
  </si>
  <si>
    <t>P. Coupée</t>
  </si>
  <si>
    <t>P.Long</t>
  </si>
  <si>
    <t>P.spécial</t>
  </si>
  <si>
    <t xml:space="preserve"> FRET Couscous</t>
  </si>
  <si>
    <t xml:space="preserve"> FRET P. Coupée</t>
  </si>
  <si>
    <t xml:space="preserve"> FRET P.Long</t>
  </si>
  <si>
    <t xml:space="preserve"> FRET P.spécial</t>
  </si>
  <si>
    <t>Réference</t>
  </si>
  <si>
    <t>FAE-19-00001</t>
  </si>
  <si>
    <t>SENEGAL - 50/50</t>
  </si>
  <si>
    <t>FAE-19-00002</t>
  </si>
  <si>
    <t>SOCIETE OMEGA TRADING</t>
  </si>
  <si>
    <t>NIGER - 20/80</t>
  </si>
  <si>
    <t>FAE-19-00003</t>
  </si>
  <si>
    <t>PO586032</t>
  </si>
  <si>
    <t>FAE-19-00004</t>
  </si>
  <si>
    <t>FAE-19-00005</t>
  </si>
  <si>
    <t>ARCADIA INTERNATIONAL TRADING</t>
  </si>
  <si>
    <t>CIAO</t>
  </si>
  <si>
    <t>FAE-19-00006</t>
  </si>
  <si>
    <t>40/60</t>
  </si>
  <si>
    <t>FAE-19-00007</t>
  </si>
  <si>
    <t>FAE-19-00008</t>
  </si>
  <si>
    <t>LIBERIA  - 100 % BD</t>
  </si>
  <si>
    <t>Somme de T.T.C</t>
  </si>
  <si>
    <t>annee</t>
  </si>
  <si>
    <t>FAE-19-00009</t>
  </si>
  <si>
    <t>P.O 72881 - ETA08/03</t>
  </si>
  <si>
    <t>mois</t>
  </si>
  <si>
    <t>Total général</t>
  </si>
  <si>
    <t>FAE-19-00010</t>
  </si>
  <si>
    <t>PO72883 - ETA 08/03</t>
  </si>
  <si>
    <t>FAE-19-00011</t>
  </si>
  <si>
    <t>PO 72882 - ETA08/03</t>
  </si>
  <si>
    <t>FAE-19-00012</t>
  </si>
  <si>
    <t>2 TC</t>
  </si>
  <si>
    <t>FAE-19-00013</t>
  </si>
  <si>
    <t>FAE-19-00014</t>
  </si>
  <si>
    <t>ANGSTREM TRADING COMPANY "AFG"</t>
  </si>
  <si>
    <t>APPENDIX 16</t>
  </si>
  <si>
    <t>FAE-19-00015</t>
  </si>
  <si>
    <t>AWG LIBYA COMPANY</t>
  </si>
  <si>
    <t>FAE-19-00016</t>
  </si>
  <si>
    <t>TOGO - 50/50</t>
  </si>
  <si>
    <t>FAE-19-00017</t>
  </si>
  <si>
    <t>FAE-19-00018</t>
  </si>
  <si>
    <t>SOCIETE AL BADR</t>
  </si>
  <si>
    <t>SENEGAL - I -</t>
  </si>
  <si>
    <t>FAE-19-00019</t>
  </si>
  <si>
    <t>FQF 1</t>
  </si>
  <si>
    <t>FAE-19-00020</t>
  </si>
  <si>
    <t>FQF 2</t>
  </si>
  <si>
    <t>FAE-19-00021</t>
  </si>
  <si>
    <t>K&amp;K</t>
  </si>
  <si>
    <t>FAE-19-00022</t>
  </si>
  <si>
    <t>INTERFRESH 351</t>
  </si>
  <si>
    <t>FAE-19-00023</t>
  </si>
  <si>
    <t>GABON</t>
  </si>
  <si>
    <t>FAE-19-00025</t>
  </si>
  <si>
    <t>PORT-GENTIL - 50/50</t>
  </si>
  <si>
    <t>FAE-19-00026</t>
  </si>
  <si>
    <t>LIBREVILLE - 50/50</t>
  </si>
  <si>
    <t>FAE-19-00027</t>
  </si>
  <si>
    <t>FAE-19-00028</t>
  </si>
  <si>
    <t>PO588362</t>
  </si>
  <si>
    <t>FAE-19-00029</t>
  </si>
  <si>
    <t>20/80</t>
  </si>
  <si>
    <t>FAE-19-00030</t>
  </si>
  <si>
    <t>FAE-19-00031</t>
  </si>
  <si>
    <t>FAE-19-00032</t>
  </si>
  <si>
    <t>FAE-19-00033</t>
  </si>
  <si>
    <t>FAE-19-00034</t>
  </si>
  <si>
    <t>PC - 50/50</t>
  </si>
  <si>
    <t>FAE-19-00035</t>
  </si>
  <si>
    <t>FOOD MED 1</t>
  </si>
  <si>
    <t>FAE-19-00036</t>
  </si>
  <si>
    <t>ETIQUETTES + PALETTE</t>
  </si>
  <si>
    <t>FAE-19-00037</t>
  </si>
  <si>
    <t>FAE-19-00038</t>
  </si>
  <si>
    <t>FAE-19-00039</t>
  </si>
  <si>
    <t>PO 73394 - ETA 10/04</t>
  </si>
  <si>
    <t>FAE-19-00040</t>
  </si>
  <si>
    <t>LECLERC</t>
  </si>
  <si>
    <t>FAE-19-00041</t>
  </si>
  <si>
    <t>CANADA 2473</t>
  </si>
  <si>
    <t>FAE-19-00042</t>
  </si>
  <si>
    <t>FAE-19-00043</t>
  </si>
  <si>
    <t>GABON - 50/50</t>
  </si>
  <si>
    <t>FAE-19-00044</t>
  </si>
  <si>
    <t>AREEJ ALMOUTAWASET FOR IMPORT</t>
  </si>
  <si>
    <t>AVEC INSPECTION</t>
  </si>
  <si>
    <t>FAE-19-00045</t>
  </si>
  <si>
    <t>FAE-19-00046</t>
  </si>
  <si>
    <t>FAE-19-00047</t>
  </si>
  <si>
    <t>FAE-19-00048</t>
  </si>
  <si>
    <t>FAE-19-00049</t>
  </si>
  <si>
    <t>ALMAGEMUA ALMOTAHIDA co</t>
  </si>
  <si>
    <t>FAE-19-00050</t>
  </si>
  <si>
    <t>FAE-19-00051</t>
  </si>
  <si>
    <t>FAE-19-00052</t>
  </si>
  <si>
    <t>BURKINA - 100 % B.D</t>
  </si>
  <si>
    <t>FAE-19-00053</t>
  </si>
  <si>
    <t>SUR PALETTE</t>
  </si>
  <si>
    <t>FAE-19-00054</t>
  </si>
  <si>
    <t>COSTA RICA</t>
  </si>
  <si>
    <t>FAE-19-00055</t>
  </si>
  <si>
    <t>INTERFRESH 352</t>
  </si>
  <si>
    <t>FAE-19-00056</t>
  </si>
  <si>
    <t>GROUPAGE AMT</t>
  </si>
  <si>
    <t>FAE-19-00057</t>
  </si>
  <si>
    <t>FAE-19-00058</t>
  </si>
  <si>
    <t>NIGER 2 - 20/80</t>
  </si>
  <si>
    <t>FAE-19-00059</t>
  </si>
  <si>
    <t>FAE-19-00060</t>
  </si>
  <si>
    <t>PO3343</t>
  </si>
  <si>
    <t>FAE-19-00061</t>
  </si>
  <si>
    <t>PO592745</t>
  </si>
  <si>
    <t>FAE-19-00062</t>
  </si>
  <si>
    <t>SOCIETE ARICOM</t>
  </si>
  <si>
    <t>BURKINA FASO - 50/50</t>
  </si>
  <si>
    <t>FAE-19-00063</t>
  </si>
  <si>
    <t>FAE-19-00064</t>
  </si>
  <si>
    <t>PO 74026 - ETA 08/05</t>
  </si>
  <si>
    <t>FAE-19-00065</t>
  </si>
  <si>
    <t>3 TC</t>
  </si>
  <si>
    <t>FAE-19-00066</t>
  </si>
  <si>
    <t>FAE-19-00067</t>
  </si>
  <si>
    <t>FAE-19-00068</t>
  </si>
  <si>
    <t>50/50</t>
  </si>
  <si>
    <t>FAE-19-00069</t>
  </si>
  <si>
    <t>avec AMT</t>
  </si>
  <si>
    <t>FAE-19-00070</t>
  </si>
  <si>
    <t>FQF</t>
  </si>
  <si>
    <t>FAE-19-00071</t>
  </si>
  <si>
    <t>FAE-19-00072</t>
  </si>
  <si>
    <t>FOOD MED-MARSEILLE</t>
  </si>
  <si>
    <t>FAE-19-00073</t>
  </si>
  <si>
    <t>INTERFRESH 353</t>
  </si>
  <si>
    <t>FAE-19-00074</t>
  </si>
  <si>
    <t>FAE-19-00075</t>
  </si>
  <si>
    <t>WORLD DISTRIBUTION AND TRADE</t>
  </si>
  <si>
    <t>EPAISSEUR 1.7 MM</t>
  </si>
  <si>
    <t>FAE-19-00076</t>
  </si>
  <si>
    <t>FAE-19-00077</t>
  </si>
  <si>
    <t>FAE-19-00078</t>
  </si>
  <si>
    <t>FAE-19-00079</t>
  </si>
  <si>
    <t>FAE-19-00080</t>
  </si>
  <si>
    <t>GROUPAGE AVEC AMT</t>
  </si>
  <si>
    <t>FAE-19-00081</t>
  </si>
  <si>
    <t>PO 74167 - ETA 28/05</t>
  </si>
  <si>
    <t>FAE-19-00082</t>
  </si>
  <si>
    <t>FAE-19-00083</t>
  </si>
  <si>
    <t>FOODMED005</t>
  </si>
  <si>
    <t>FAE-19-00084</t>
  </si>
  <si>
    <t>TOGO 1</t>
  </si>
  <si>
    <t>FAE-19-00085</t>
  </si>
  <si>
    <t>FAE-19-00086</t>
  </si>
  <si>
    <t>FAE-19-00087</t>
  </si>
  <si>
    <t>EN TOTALITE</t>
  </si>
  <si>
    <t>FAE-19-00088</t>
  </si>
  <si>
    <t>PO 599525</t>
  </si>
  <si>
    <t>FAE-19-00089</t>
  </si>
  <si>
    <t>SOCIETE MIDCOM INTERNATIONAL</t>
  </si>
  <si>
    <t>RUSSIE / ETIQUETTES</t>
  </si>
  <si>
    <t>FAE-19-00090</t>
  </si>
  <si>
    <t>FAE-19-00091</t>
  </si>
  <si>
    <t>FAE-19-00092</t>
  </si>
  <si>
    <t>POLOGNE</t>
  </si>
  <si>
    <t>FAE-19-00093</t>
  </si>
  <si>
    <t>FAE-19-00094</t>
  </si>
  <si>
    <t>TCI - FRANCE</t>
  </si>
  <si>
    <t>FAE-19-00095</t>
  </si>
  <si>
    <t>AGRIGOLD INTERNATIONAL</t>
  </si>
  <si>
    <t>GROUPAGE</t>
  </si>
  <si>
    <t>FAE-19-00096</t>
  </si>
  <si>
    <t>FAE-19-00097</t>
  </si>
  <si>
    <t>BURKINA FASO</t>
  </si>
  <si>
    <t>FAE-19-00098</t>
  </si>
  <si>
    <t>FOOD-MED 002</t>
  </si>
  <si>
    <t>FAE-19-00099</t>
  </si>
  <si>
    <t>BURKINA FASO - 100 %</t>
  </si>
  <si>
    <t>FAE-19-00100</t>
  </si>
  <si>
    <t>SIERRA LEONE - 100 %</t>
  </si>
  <si>
    <t>FAE-19-00101</t>
  </si>
  <si>
    <t>TCHAD - 50/50</t>
  </si>
  <si>
    <t>FAE-19-00102</t>
  </si>
  <si>
    <t>GROUPE AL-GAMIL</t>
  </si>
  <si>
    <t>100 % BLE DUR</t>
  </si>
  <si>
    <t>FAE-19-00103</t>
  </si>
  <si>
    <t>DJEDDAH</t>
  </si>
  <si>
    <t>FAE-19-00104</t>
  </si>
  <si>
    <t>TOGO 2</t>
  </si>
  <si>
    <t>FAE-19-00105</t>
  </si>
  <si>
    <t>BURKINA FASO - 40/60</t>
  </si>
  <si>
    <t>FAE-19-00106</t>
  </si>
  <si>
    <t>APPENDIX N°17</t>
  </si>
  <si>
    <t>FAE-19-00107</t>
  </si>
  <si>
    <t>FAE-19-00108</t>
  </si>
  <si>
    <t>PO 74468 - ETA 25/06</t>
  </si>
  <si>
    <t>FAE-19-00109</t>
  </si>
  <si>
    <t>STE OMRANE LES CINQ ETOILES</t>
  </si>
  <si>
    <t>SUR PALETTES</t>
  </si>
  <si>
    <t>FAE-19-00110</t>
  </si>
  <si>
    <t>FAE-19-00111</t>
  </si>
  <si>
    <t>SENEGAL - 40/60</t>
  </si>
  <si>
    <t>FAE-19-00112</t>
  </si>
  <si>
    <t>NIGER 1 - 20/80</t>
  </si>
  <si>
    <t>FAE-19-00113</t>
  </si>
  <si>
    <t>FAE-19-00114</t>
  </si>
  <si>
    <t>PO3425</t>
  </si>
  <si>
    <t>FAE-19-00115</t>
  </si>
  <si>
    <t>CHARGEMENT / 2 LOTS</t>
  </si>
  <si>
    <t>FAE-19-00116</t>
  </si>
  <si>
    <t>FAE-19-00117</t>
  </si>
  <si>
    <t>FAE-19-00118</t>
  </si>
  <si>
    <t>IGF 2</t>
  </si>
  <si>
    <t>FAE-19-00119</t>
  </si>
  <si>
    <t>CRISPA PC</t>
  </si>
  <si>
    <t>FAE-19-00120</t>
  </si>
  <si>
    <t>FAE-19-00121</t>
  </si>
  <si>
    <t>CRISPA</t>
  </si>
  <si>
    <t>FAE-19-00122</t>
  </si>
  <si>
    <t>TCI - MARSEILLE</t>
  </si>
  <si>
    <t>FAE-19-00123</t>
  </si>
  <si>
    <t>FAE-19-00124</t>
  </si>
  <si>
    <t>FAE-19-00125</t>
  </si>
  <si>
    <t>TOGO 3</t>
  </si>
  <si>
    <t>FAE-19-00126</t>
  </si>
  <si>
    <t>BURKINA FASO - 100</t>
  </si>
  <si>
    <t>FAE-19-00127</t>
  </si>
  <si>
    <t>M&amp;P</t>
  </si>
  <si>
    <t>FAE-19-00128</t>
  </si>
  <si>
    <t>ADVENS - FRANCE</t>
  </si>
  <si>
    <t>FAE-19-00129</t>
  </si>
  <si>
    <t>INTERFRESH 354</t>
  </si>
  <si>
    <t>FAE-19-00130</t>
  </si>
  <si>
    <t>PO608245</t>
  </si>
  <si>
    <t>FAE-19-00131</t>
  </si>
  <si>
    <t>PO 75096 - ETA 14/08</t>
  </si>
  <si>
    <t>FAE-19-00132</t>
  </si>
  <si>
    <t>FAE-19-00133</t>
  </si>
  <si>
    <t>70/30</t>
  </si>
  <si>
    <t>FAE-19-00134</t>
  </si>
  <si>
    <t>Niger 20/80</t>
  </si>
  <si>
    <t>FAE-19-00135</t>
  </si>
  <si>
    <t>NIGER 3 - 20/80</t>
  </si>
  <si>
    <t>FAE-19-00136</t>
  </si>
  <si>
    <t>FAE-19-00137</t>
  </si>
  <si>
    <t>FAE-19-00138</t>
  </si>
  <si>
    <t>FAE-19-00139</t>
  </si>
  <si>
    <t>FAE-19-00140</t>
  </si>
  <si>
    <t>FAE-19-00141</t>
  </si>
  <si>
    <t>FAE-19-00142</t>
  </si>
  <si>
    <t>FAE-19-00143</t>
  </si>
  <si>
    <t>FAE-19-00144</t>
  </si>
  <si>
    <t>Sénégal - 40/60</t>
  </si>
  <si>
    <t>FAE-19-00145</t>
  </si>
  <si>
    <t>FAE-19-00146</t>
  </si>
  <si>
    <t>FAE-19-00147</t>
  </si>
  <si>
    <t>FAE-19-00148</t>
  </si>
  <si>
    <t>UKRAINE</t>
  </si>
  <si>
    <t>FAE-19-00149</t>
  </si>
  <si>
    <t>PO 75741 - ETA S39</t>
  </si>
  <si>
    <t>FAE-19-00150</t>
  </si>
  <si>
    <t>100% BLE DUR</t>
  </si>
  <si>
    <t>FAE-19-00151</t>
  </si>
  <si>
    <t>FAE-19-00152</t>
  </si>
  <si>
    <t>FAE-19-00153</t>
  </si>
  <si>
    <t>FAE-19-00154</t>
  </si>
  <si>
    <t>FAE-19-00155</t>
  </si>
  <si>
    <t>INTERFRESH 355</t>
  </si>
  <si>
    <t>FAE-19-00156</t>
  </si>
  <si>
    <t>SENEGAL 40/60</t>
  </si>
  <si>
    <t>FAE-19-00158</t>
  </si>
  <si>
    <t>COUSCOUS</t>
  </si>
  <si>
    <t>FAE-19-00159</t>
  </si>
  <si>
    <t>Qatar</t>
  </si>
  <si>
    <t>FAE-19-00160</t>
  </si>
  <si>
    <t>GABON 50/50</t>
  </si>
  <si>
    <t>FAE-19-00161</t>
  </si>
  <si>
    <t>Togo</t>
  </si>
  <si>
    <t>FAE-19-00162</t>
  </si>
  <si>
    <t>FQF 13115</t>
  </si>
  <si>
    <t>FAE-19-00163</t>
  </si>
  <si>
    <t>FAE-19-00164</t>
  </si>
  <si>
    <t>FAE-19-00165</t>
  </si>
  <si>
    <t>FAE-19-00166</t>
  </si>
  <si>
    <t xml:space="preserve"> Interfresh 356&amp;357</t>
  </si>
  <si>
    <t>FAE-19-00167</t>
  </si>
  <si>
    <t>Canada -2503</t>
  </si>
  <si>
    <t>FAE-19-00168</t>
  </si>
  <si>
    <t>sierra-leone</t>
  </si>
  <si>
    <t>FAE-19-00169</t>
  </si>
  <si>
    <t>FAE-19-00170</t>
  </si>
  <si>
    <t>BURKINA-FASO</t>
  </si>
  <si>
    <t>FAE-19-00171</t>
  </si>
  <si>
    <t>FAE-19-00172</t>
  </si>
  <si>
    <t>FAE-19-00173</t>
  </si>
  <si>
    <t>SPG 50/50</t>
  </si>
  <si>
    <t>FAE-19-00174</t>
  </si>
  <si>
    <t>FAE-19-00175</t>
  </si>
  <si>
    <t>FAE-19-00176</t>
  </si>
  <si>
    <t>FAE-19-00177</t>
  </si>
  <si>
    <t>NIGER 5 - 20/80</t>
  </si>
  <si>
    <t>FAE-19-00178</t>
  </si>
  <si>
    <t>FAE-19-00179</t>
  </si>
  <si>
    <t>PO616748</t>
  </si>
  <si>
    <t>FAE-19-00180</t>
  </si>
  <si>
    <t>APPENDIX N°18</t>
  </si>
  <si>
    <t>FAE-19-00181</t>
  </si>
  <si>
    <t>GREENWORLD 1: 70/30</t>
  </si>
  <si>
    <t>FAE-19-00182</t>
  </si>
  <si>
    <t>FAE-19-00183</t>
  </si>
  <si>
    <t>FAE-19-00184</t>
  </si>
  <si>
    <t>FAE-19-00185</t>
  </si>
  <si>
    <t>FAE-19-00186</t>
  </si>
  <si>
    <t>FAE-19-00187</t>
  </si>
  <si>
    <t>FQF - 2 TC</t>
  </si>
  <si>
    <t>FAE-19-00188</t>
  </si>
  <si>
    <t>FAE-19-00189</t>
  </si>
  <si>
    <t>FAE-19-00190</t>
  </si>
  <si>
    <t>OMEGA 1 20/80</t>
  </si>
  <si>
    <t>FAE-19-00191</t>
  </si>
  <si>
    <t>FAE-19-00192</t>
  </si>
  <si>
    <t>Appendix 19</t>
  </si>
  <si>
    <t>FAE-19-00193</t>
  </si>
  <si>
    <t>Appendix 20</t>
  </si>
  <si>
    <t>FAE-19-00194</t>
  </si>
  <si>
    <t>PO621671</t>
  </si>
  <si>
    <t>FAE-19-00195</t>
  </si>
  <si>
    <t>RUSSIE- AVC ETIQ</t>
  </si>
  <si>
    <t>FAE-19-00196</t>
  </si>
  <si>
    <t>FAE-19-00197</t>
  </si>
  <si>
    <t>CRISPA SPG</t>
  </si>
  <si>
    <t>FAE-19-00198</t>
  </si>
  <si>
    <t>60/40</t>
  </si>
  <si>
    <t>FAE-19-00199</t>
  </si>
  <si>
    <t>FAE-19-00200</t>
  </si>
  <si>
    <t>RUSSIE - AVC ETIQ</t>
  </si>
  <si>
    <t>FAE-19-00201</t>
  </si>
  <si>
    <t>FAE-19-00202</t>
  </si>
  <si>
    <t>FQF - 13343</t>
  </si>
  <si>
    <t>FAE-19-00203</t>
  </si>
  <si>
    <t>40/60 Gabon</t>
  </si>
  <si>
    <t>FAE-19-00204</t>
  </si>
  <si>
    <t>FAE-19-00205</t>
  </si>
  <si>
    <t>40/60 Sénégal</t>
  </si>
  <si>
    <t>FAE-19-00206</t>
  </si>
  <si>
    <t>FAE-19-00207</t>
  </si>
  <si>
    <t>FAE-19-00208</t>
  </si>
  <si>
    <t>FAE-19-00209</t>
  </si>
  <si>
    <t>FAE-19-00210</t>
  </si>
  <si>
    <t>FAE-19-00211</t>
  </si>
  <si>
    <t>FAE-19-00212</t>
  </si>
  <si>
    <t>FAE-19-00213</t>
  </si>
  <si>
    <t>FAE-19-00214</t>
  </si>
  <si>
    <t>FAE-19-00215</t>
  </si>
  <si>
    <t>FAE-19-00216</t>
  </si>
  <si>
    <t>Gabon</t>
  </si>
  <si>
    <t>FAE-19-00217</t>
  </si>
  <si>
    <t>Crispa SP 3</t>
  </si>
  <si>
    <t>FAE-19-00218</t>
  </si>
  <si>
    <t>MIKSAB IMPORT EXPORT S.R.L</t>
  </si>
  <si>
    <t>FAE-19-00219</t>
  </si>
  <si>
    <t>Cap Vert</t>
  </si>
  <si>
    <t>FAE-19-00220</t>
  </si>
  <si>
    <t>Interfresh 357</t>
  </si>
  <si>
    <t>FAE-19-00221</t>
  </si>
  <si>
    <t>Appendix 21</t>
  </si>
  <si>
    <t>FAE-19-00222</t>
  </si>
  <si>
    <t>LIBERIA 1</t>
  </si>
  <si>
    <t>FAE-19-00223</t>
  </si>
  <si>
    <t>FQF - PO 13417</t>
  </si>
  <si>
    <t>FAE-19-00224</t>
  </si>
  <si>
    <t>KARTAGO</t>
  </si>
  <si>
    <t>FAE-19-00225</t>
  </si>
  <si>
    <t>Russia 1</t>
  </si>
  <si>
    <t>FAE-19-00226</t>
  </si>
  <si>
    <t>PO 77734/ ETA S01</t>
  </si>
  <si>
    <t>FAE-19-00227</t>
  </si>
  <si>
    <t>FAE-19-00228</t>
  </si>
  <si>
    <t>PO3566</t>
  </si>
  <si>
    <t>FAE-19-00229</t>
  </si>
  <si>
    <t>PO628943</t>
  </si>
  <si>
    <t>FAE-19-00230</t>
  </si>
  <si>
    <t>Sénégal</t>
  </si>
  <si>
    <t>FAE-19-00231</t>
  </si>
  <si>
    <t>FAE-19-00232</t>
  </si>
  <si>
    <t>Niger</t>
  </si>
  <si>
    <t>FAE-19-00233</t>
  </si>
  <si>
    <t>TOGO- 2éme Lot</t>
  </si>
  <si>
    <t>FAE-19-00234</t>
  </si>
  <si>
    <t>E.A.S.B NAFA</t>
  </si>
  <si>
    <t>FAE-19-00235</t>
  </si>
  <si>
    <t>Appendix 22</t>
  </si>
  <si>
    <t>FAE-19-00236</t>
  </si>
  <si>
    <t>TCI</t>
  </si>
  <si>
    <t>FAE-19-00237</t>
  </si>
  <si>
    <t>FAE-19-00238</t>
  </si>
  <si>
    <t>APPENDIX N°23</t>
  </si>
  <si>
    <t>FAE-19-00239</t>
  </si>
  <si>
    <t>FAE-19-00240</t>
  </si>
  <si>
    <t>FAE-19-00241</t>
  </si>
  <si>
    <t>FAE-19-00242</t>
  </si>
  <si>
    <t>FAE-19-00243</t>
  </si>
  <si>
    <t>LIBERIA 2</t>
  </si>
  <si>
    <t>FAE-19-00244</t>
  </si>
  <si>
    <t>Appendix24 STP</t>
  </si>
  <si>
    <t>FAE-19-00245</t>
  </si>
  <si>
    <t>FAE-19-00246</t>
  </si>
  <si>
    <t>AHODIKPE - BENISSAN</t>
  </si>
  <si>
    <t>FAE-19-00247</t>
  </si>
  <si>
    <t>Gambia</t>
  </si>
  <si>
    <t>FAE-19-00248</t>
  </si>
  <si>
    <t>Russia 2</t>
  </si>
  <si>
    <t>FAE-19-00249</t>
  </si>
  <si>
    <t>Appendix25 Novoros</t>
  </si>
  <si>
    <t>FAE-19-00250</t>
  </si>
  <si>
    <t>TCHAD 50/50</t>
  </si>
  <si>
    <t>FAE-19-00251</t>
  </si>
  <si>
    <t>50-50</t>
  </si>
  <si>
    <t>FAE-19-00252</t>
  </si>
  <si>
    <t>50 - 50</t>
  </si>
  <si>
    <t>FAE-19-00253</t>
  </si>
  <si>
    <t>PO 78322 - S04</t>
  </si>
  <si>
    <t>FAE-19-00254</t>
  </si>
  <si>
    <t>INTERFRESH 358</t>
  </si>
  <si>
    <t>FAE-19-00255</t>
  </si>
  <si>
    <t>FAE-19-00256</t>
  </si>
  <si>
    <t>FAE-19-00257</t>
  </si>
  <si>
    <t>SENEGAL 40-60</t>
  </si>
  <si>
    <t>FAE-19-00258</t>
  </si>
  <si>
    <t>GABON 40-60</t>
  </si>
  <si>
    <t>FAE-19-00259</t>
  </si>
  <si>
    <t>PO635063</t>
  </si>
  <si>
    <t>FAE-19-00260</t>
  </si>
  <si>
    <t>FAE-19-00261</t>
  </si>
  <si>
    <t>FAE-19-00262</t>
  </si>
  <si>
    <t>FAE-19-00263</t>
  </si>
  <si>
    <t>Canada 2505</t>
  </si>
  <si>
    <t>FAE-19-00264</t>
  </si>
  <si>
    <t>Ukraine</t>
  </si>
  <si>
    <t>FAE-19-00265</t>
  </si>
  <si>
    <t>FAE-19-00266</t>
  </si>
  <si>
    <t>FAE-19-00267</t>
  </si>
  <si>
    <t>78912  S08</t>
  </si>
  <si>
    <t>FAE-19-00268</t>
  </si>
  <si>
    <t>FAE-19-00269</t>
  </si>
  <si>
    <t>FAE-20-00001</t>
  </si>
  <si>
    <t>FAE-20-00002</t>
  </si>
  <si>
    <t>FAE-20-00003</t>
  </si>
  <si>
    <t>FAE-20-00004</t>
  </si>
  <si>
    <t>FAE-20-00005</t>
  </si>
  <si>
    <t>FAE-20-00006</t>
  </si>
  <si>
    <t>2EME LOT</t>
  </si>
  <si>
    <t>FAE-20-00007</t>
  </si>
  <si>
    <t>LOT 1221</t>
  </si>
  <si>
    <t>FAE-20-00008</t>
  </si>
  <si>
    <t>PO79105 - ETA S10</t>
  </si>
  <si>
    <t>FAE-20-00009</t>
  </si>
  <si>
    <t>PO791056 - ETA S10</t>
  </si>
  <si>
    <t>FAE-20-00010</t>
  </si>
  <si>
    <t>PO635131</t>
  </si>
  <si>
    <t>FAE-20-00011</t>
  </si>
  <si>
    <t>FAE-20-00012</t>
  </si>
  <si>
    <t>FAE-20-00013</t>
  </si>
  <si>
    <t>Appendix 26 STP</t>
  </si>
  <si>
    <t>FAE-20-00014</t>
  </si>
  <si>
    <t>30/70 - BENIN</t>
  </si>
  <si>
    <t>FAE-20-00015</t>
  </si>
  <si>
    <t>FAE-20-00016</t>
  </si>
  <si>
    <t>OMEGA2 20/80</t>
  </si>
  <si>
    <t>FAE-20-00017</t>
  </si>
  <si>
    <t>FAE-20-00018</t>
  </si>
  <si>
    <t>CIAO 1</t>
  </si>
  <si>
    <t>FAE-20-00019</t>
  </si>
  <si>
    <t>Oman</t>
  </si>
  <si>
    <t>FAE-20-00020</t>
  </si>
  <si>
    <t>GOLDEN PEARL INTERNATIONAL</t>
  </si>
  <si>
    <t>FAE-20-00021</t>
  </si>
  <si>
    <t>FOB</t>
  </si>
  <si>
    <t>FAE-20-00022</t>
  </si>
  <si>
    <t>FAE-20-00023</t>
  </si>
  <si>
    <t>FAE-20-00024</t>
  </si>
  <si>
    <t>40/60 1 LOT</t>
  </si>
  <si>
    <t>FAE-20-00025</t>
  </si>
  <si>
    <t>FAE-20-00026</t>
  </si>
  <si>
    <t>FAE-20-00027</t>
  </si>
  <si>
    <t>FAE-20-00028</t>
  </si>
  <si>
    <t>FAE-20-00029</t>
  </si>
  <si>
    <t>FAE-20-00030</t>
  </si>
  <si>
    <t>Appendix 27 Novoro</t>
  </si>
  <si>
    <t>FAE-20-00031</t>
  </si>
  <si>
    <t>79587</t>
  </si>
  <si>
    <t>FAE-20-00032</t>
  </si>
  <si>
    <t>PO3633</t>
  </si>
  <si>
    <t>FAE-20-00033</t>
  </si>
  <si>
    <t>FAE-20-00034</t>
  </si>
  <si>
    <t>FAE-20-00035</t>
  </si>
  <si>
    <t>FAE-20-00036</t>
  </si>
  <si>
    <t>Gabon 40/60</t>
  </si>
  <si>
    <t>FAE-20-00037</t>
  </si>
  <si>
    <t>FAE-20-00038</t>
  </si>
  <si>
    <t>FAE-20-00039</t>
  </si>
  <si>
    <t>30/70</t>
  </si>
  <si>
    <t>FAE-20-00040</t>
  </si>
  <si>
    <t>FAE-20-00041</t>
  </si>
  <si>
    <t>FAE-20-00042</t>
  </si>
  <si>
    <t>LIV FEVRIER</t>
  </si>
  <si>
    <t>FAE-20-00043</t>
  </si>
  <si>
    <t>APPENDIX N°28 - NOV</t>
  </si>
  <si>
    <t>FAE-20-00044</t>
  </si>
  <si>
    <t>PO639635</t>
  </si>
  <si>
    <t>FAE-20-00045</t>
  </si>
  <si>
    <t>FAE-20-00046</t>
  </si>
  <si>
    <t>Jordan</t>
  </si>
  <si>
    <t>FAE-20-00047</t>
  </si>
  <si>
    <t>Sierra leone</t>
  </si>
  <si>
    <t>FAE-20-00048</t>
  </si>
  <si>
    <t>FAE-20-00049</t>
  </si>
  <si>
    <t>CIAO 2</t>
  </si>
  <si>
    <t>FAE-20-00050</t>
  </si>
  <si>
    <t>FAE-20-00051</t>
  </si>
  <si>
    <t>Niger  20/80</t>
  </si>
  <si>
    <t>FAE-20-00052</t>
  </si>
  <si>
    <t>FAE-20-00053</t>
  </si>
  <si>
    <t>Libye</t>
  </si>
  <si>
    <t>FAE-20-00054</t>
  </si>
  <si>
    <t>80559</t>
  </si>
  <si>
    <t>FAE-20-00055</t>
  </si>
  <si>
    <t>FAE-20-00056</t>
  </si>
  <si>
    <t>APPENDIX N°29- NOVR</t>
  </si>
  <si>
    <t>FAE-20-00057</t>
  </si>
  <si>
    <t>APPENDIX 30 - ST PET</t>
  </si>
  <si>
    <t>FAE-20-00058</t>
  </si>
  <si>
    <t>FAE-20-00059</t>
  </si>
  <si>
    <t>Sierra Leone</t>
  </si>
  <si>
    <t>FAE-20-00060</t>
  </si>
  <si>
    <t>FAE-20-00061</t>
  </si>
  <si>
    <t>FAE-20-00062</t>
  </si>
  <si>
    <t>FAE-20-00063</t>
  </si>
  <si>
    <t>Canada</t>
  </si>
  <si>
    <t>FAE-20-00064</t>
  </si>
  <si>
    <t>CRISPA 70/30</t>
  </si>
  <si>
    <t>FAE-20-00065</t>
  </si>
  <si>
    <t>FAE-20-00066</t>
  </si>
  <si>
    <t>FAE-20-00067</t>
  </si>
  <si>
    <t>FAE-20-00068</t>
  </si>
  <si>
    <t>Appendix 31 ST Peter</t>
  </si>
  <si>
    <t>FAE-20-00069</t>
  </si>
  <si>
    <t>appendix 35 Novoro</t>
  </si>
  <si>
    <t>FAE-20-00070</t>
  </si>
  <si>
    <t>Gambie</t>
  </si>
  <si>
    <t>FAE-20-00071</t>
  </si>
  <si>
    <t>FAE-20-00073</t>
  </si>
  <si>
    <t>FAE-20-00075</t>
  </si>
  <si>
    <t>FAE-20-00076</t>
  </si>
  <si>
    <t>FAE-20-00077</t>
  </si>
  <si>
    <t>appendix 32 ST Peter</t>
  </si>
  <si>
    <t>FAE-20-00078</t>
  </si>
  <si>
    <t>FAE-20-00079</t>
  </si>
  <si>
    <t>FAE-20-00080</t>
  </si>
  <si>
    <t>FAE-20-00082</t>
  </si>
  <si>
    <t>ADJA KHADY FOOD DISTIBUTORS</t>
  </si>
  <si>
    <t>FAE-20-00083</t>
  </si>
  <si>
    <t>appendix 36 Novoro</t>
  </si>
  <si>
    <t>FAE-20-00084</t>
  </si>
  <si>
    <t>CFR</t>
  </si>
  <si>
    <t>FAE-20-00085</t>
  </si>
  <si>
    <t>CAP VERT</t>
  </si>
  <si>
    <t>FAE-20-00086</t>
  </si>
  <si>
    <t>FAE-20-00087</t>
  </si>
  <si>
    <t>Cde Mars</t>
  </si>
  <si>
    <t>FAE-20-00088</t>
  </si>
  <si>
    <t>GABON - PROF126</t>
  </si>
  <si>
    <t>FAE-20-00089</t>
  </si>
  <si>
    <t>FAE-20-00090</t>
  </si>
  <si>
    <t>CDE SOPALIM</t>
  </si>
  <si>
    <t>FAE-20-00091</t>
  </si>
  <si>
    <t>PO646693</t>
  </si>
  <si>
    <t>FAE-20-00092</t>
  </si>
  <si>
    <t>PO3729</t>
  </si>
  <si>
    <t>FAE-20-00093</t>
  </si>
  <si>
    <t>PO80939</t>
  </si>
  <si>
    <t>FAE-20-00094</t>
  </si>
  <si>
    <t>FAE-20-00095</t>
  </si>
  <si>
    <t>APDX N°33 ST PETR</t>
  </si>
  <si>
    <t>FAE-20-00096</t>
  </si>
  <si>
    <t>APDX N°37 NOVRS</t>
  </si>
  <si>
    <t>FAE-20-00097</t>
  </si>
  <si>
    <t>FAE-20-00098</t>
  </si>
  <si>
    <t>1ER TC</t>
  </si>
  <si>
    <t>FAE-20-00099</t>
  </si>
  <si>
    <t>40/60 2 LOT</t>
  </si>
  <si>
    <t>FAE-20-00100</t>
  </si>
  <si>
    <t>FAE-20-00101</t>
  </si>
  <si>
    <t>SIERRA LEONE</t>
  </si>
  <si>
    <t>FAE-20-00102</t>
  </si>
  <si>
    <t>FAE-20-00103</t>
  </si>
  <si>
    <t>Niger 13 TC</t>
  </si>
  <si>
    <t>FAE-20-00104</t>
  </si>
  <si>
    <t>FAE-20-00105</t>
  </si>
  <si>
    <t>FAE-20-00106</t>
  </si>
  <si>
    <t>FAE-20-00107</t>
  </si>
  <si>
    <t>2EME TC + AMT</t>
  </si>
  <si>
    <t>FAE-20-00108</t>
  </si>
  <si>
    <t>BURKINA</t>
  </si>
  <si>
    <t>FAE-20-00109</t>
  </si>
  <si>
    <t>FAE-20-00110</t>
  </si>
  <si>
    <t>MELVIT</t>
  </si>
  <si>
    <t>FAE-20-00111</t>
  </si>
  <si>
    <t>FAE-20-00112</t>
  </si>
  <si>
    <t>FAE-20-00113</t>
  </si>
  <si>
    <t>FAE-20-00114</t>
  </si>
  <si>
    <t>FAE-20-00115</t>
  </si>
  <si>
    <t>BURKINA FASSO</t>
  </si>
  <si>
    <t>FAE-20-00116</t>
  </si>
  <si>
    <t>FAE-20-00117</t>
  </si>
  <si>
    <t>FAE-20-00118</t>
  </si>
  <si>
    <t>APDX N°34 ST PETERS</t>
  </si>
  <si>
    <t>FAE-20-00119</t>
  </si>
  <si>
    <t>Gambia 40/60</t>
  </si>
  <si>
    <t>FAE-20-00120</t>
  </si>
  <si>
    <t>APDX 38 - NOV</t>
  </si>
  <si>
    <t>FAE-20-00121</t>
  </si>
  <si>
    <t>FAE-20-00122</t>
  </si>
  <si>
    <t>PO650179</t>
  </si>
  <si>
    <t>FAE-20-00123</t>
  </si>
  <si>
    <t>NIGER - 3TC PC</t>
  </si>
  <si>
    <t>FAE-20-00124</t>
  </si>
  <si>
    <t>FAE-20-00125</t>
  </si>
  <si>
    <t>FAE-20-00126</t>
  </si>
  <si>
    <t>FAE-20-00127</t>
  </si>
  <si>
    <t>80850 S23</t>
  </si>
  <si>
    <t>FAE-20-00128</t>
  </si>
  <si>
    <t>80851  S25</t>
  </si>
  <si>
    <t>FAE-20-00129</t>
  </si>
  <si>
    <t>FAE-20-00130</t>
  </si>
  <si>
    <t>Gabon  3 RB</t>
  </si>
  <si>
    <t>FAE-20-00131</t>
  </si>
  <si>
    <t>GABON 1 - PC PRO 127</t>
  </si>
  <si>
    <t>FAE-20-00132</t>
  </si>
  <si>
    <t>FAE-20-00133</t>
  </si>
  <si>
    <t>FAE-20-00134</t>
  </si>
  <si>
    <t>FAE-20-00135</t>
  </si>
  <si>
    <t>FAE-20-00136</t>
  </si>
  <si>
    <t>FAE-20-00137</t>
  </si>
  <si>
    <t>NV CLIENT-  ENDAKSI</t>
  </si>
  <si>
    <t>FAE-20-00138</t>
  </si>
  <si>
    <t>APDX 39 - ST PETR</t>
  </si>
  <si>
    <t>FAE-20-00139</t>
  </si>
  <si>
    <t>Angleterre</t>
  </si>
  <si>
    <t>FAE-20-00140</t>
  </si>
  <si>
    <t>FAE-20-00141</t>
  </si>
  <si>
    <t>1ERE CDE</t>
  </si>
  <si>
    <t>FAE-20-00142</t>
  </si>
  <si>
    <t>FAE-20-00143</t>
  </si>
  <si>
    <t>FAE-20-00144</t>
  </si>
  <si>
    <t>FAE-20-00145</t>
  </si>
  <si>
    <t>FAE-20-00146</t>
  </si>
  <si>
    <t>Burkina Fasso 130</t>
  </si>
  <si>
    <t>FAE-20-00147</t>
  </si>
  <si>
    <t>FAE-20-00148</t>
  </si>
  <si>
    <t>FAE-20-00149</t>
  </si>
  <si>
    <t>PO80852 - S27</t>
  </si>
  <si>
    <t>FAE-20-00150</t>
  </si>
  <si>
    <t>PO80853- S30</t>
  </si>
  <si>
    <t>FAE-20-00151</t>
  </si>
  <si>
    <t>40/60 3 LOT</t>
  </si>
  <si>
    <t>FAE-20-00152</t>
  </si>
  <si>
    <t>FAE-20-00153</t>
  </si>
  <si>
    <t>STE BO ET CO</t>
  </si>
  <si>
    <t>Île Maurice</t>
  </si>
  <si>
    <t>FAE-20-00154</t>
  </si>
  <si>
    <t>FAE-20-00155</t>
  </si>
  <si>
    <t>FAE-20-00156</t>
  </si>
  <si>
    <t>JOCKER 20/80</t>
  </si>
  <si>
    <t>FAE-20-00157</t>
  </si>
  <si>
    <t>FAE-20-00158</t>
  </si>
  <si>
    <t>USA-Kartago</t>
  </si>
  <si>
    <t>FAE-20-00159</t>
  </si>
  <si>
    <t>Liberia</t>
  </si>
  <si>
    <t>FAE-20-00160</t>
  </si>
  <si>
    <t>FAE-20-00161</t>
  </si>
  <si>
    <t>DIARI</t>
  </si>
  <si>
    <t>FAE-20-00162</t>
  </si>
  <si>
    <t>SPG 20/80 - NIGER</t>
  </si>
  <si>
    <t>FAE-20-00163</t>
  </si>
  <si>
    <t>FAE-20-00164</t>
  </si>
  <si>
    <t>FAE-20-00165</t>
  </si>
  <si>
    <t>FAE-20-00166</t>
  </si>
  <si>
    <t>FAE-20-00167</t>
  </si>
  <si>
    <t>Angleterre 534795</t>
  </si>
  <si>
    <t>FAE-20-00168</t>
  </si>
  <si>
    <t>FAE-20-00169</t>
  </si>
  <si>
    <t>FAE-20-00170</t>
  </si>
  <si>
    <t>App 41  ST Peter</t>
  </si>
  <si>
    <t>FAE-20-00171</t>
  </si>
  <si>
    <t>FAE-20-00172</t>
  </si>
  <si>
    <t>FAE-20-00173</t>
  </si>
  <si>
    <t>CDE ANNOR - SOPA</t>
  </si>
  <si>
    <t>FAE-20-00174</t>
  </si>
  <si>
    <t>FAE-20-00175</t>
  </si>
  <si>
    <t>TOGO 30/70</t>
  </si>
  <si>
    <t>FAE-20-00176</t>
  </si>
  <si>
    <t>FAE-20-00177</t>
  </si>
  <si>
    <t>FAE-20-00178</t>
  </si>
  <si>
    <t>FAE-20-00179</t>
  </si>
  <si>
    <t>Angleterre 534794</t>
  </si>
  <si>
    <t>FAE-20-00180</t>
  </si>
  <si>
    <t>Angleterre 535191</t>
  </si>
  <si>
    <t>FAE-20-00181</t>
  </si>
  <si>
    <t>FAE-20-00182</t>
  </si>
  <si>
    <t>FAE-20-00183</t>
  </si>
  <si>
    <t>FAE-20-00184</t>
  </si>
  <si>
    <t>FAE-20-00185</t>
  </si>
  <si>
    <t>FAE-20-00186</t>
  </si>
  <si>
    <t>FAE-20-00187</t>
  </si>
  <si>
    <t>FAE-20-00188</t>
  </si>
  <si>
    <t>FAE-20-00189</t>
  </si>
  <si>
    <t>3eme lot</t>
  </si>
  <si>
    <t>FAE-20-00190</t>
  </si>
  <si>
    <t>ELLAMA</t>
  </si>
  <si>
    <t>FAE-20-00191</t>
  </si>
  <si>
    <t>FAE-20-00192</t>
  </si>
  <si>
    <t>FAE-20-00193</t>
  </si>
  <si>
    <t>Sénégal - solde</t>
  </si>
  <si>
    <t>FAE-20-00194</t>
  </si>
  <si>
    <t>FAE-20-00195</t>
  </si>
  <si>
    <t>11TC</t>
  </si>
  <si>
    <t>FAE-20-00196</t>
  </si>
  <si>
    <t>Vanille Gourmet</t>
  </si>
  <si>
    <t>FAE-20-00197</t>
  </si>
  <si>
    <t>S46</t>
  </si>
  <si>
    <t>FAE-20-00198</t>
  </si>
  <si>
    <t>FAE-20-00199</t>
  </si>
  <si>
    <t>FAE-20-00200</t>
  </si>
  <si>
    <t>FAE-20-00201</t>
  </si>
  <si>
    <t>12 TC</t>
  </si>
  <si>
    <t>FAE-20-00202</t>
  </si>
  <si>
    <t>FAE-20-00203</t>
  </si>
  <si>
    <t>FAE-20-00204</t>
  </si>
  <si>
    <t>FAE-20-00205</t>
  </si>
  <si>
    <t>Sparoni -Siera Leone</t>
  </si>
  <si>
    <t>FAE-20-00206</t>
  </si>
  <si>
    <t>GREEN WORLD FOOD EXPRESS INC</t>
  </si>
  <si>
    <t>GREEN WORLD</t>
  </si>
  <si>
    <t>FAE-20-00207</t>
  </si>
  <si>
    <t>FAE-20-00208</t>
  </si>
  <si>
    <t>FAE-20-00209</t>
  </si>
  <si>
    <t>FAE-20-00210</t>
  </si>
  <si>
    <t>FAE-20-00211</t>
  </si>
  <si>
    <t>9 TC</t>
  </si>
  <si>
    <t>FAE-20-00212</t>
  </si>
  <si>
    <t>FAE-20-00213</t>
  </si>
  <si>
    <t>FAE-20-00214</t>
  </si>
  <si>
    <t>FAE-20-00215</t>
  </si>
  <si>
    <t>FAE-20-00216</t>
  </si>
  <si>
    <t>10TC</t>
  </si>
  <si>
    <t>FAE-20-00217</t>
  </si>
  <si>
    <t>FAE-20-00218</t>
  </si>
  <si>
    <t>FAE-20-00219</t>
  </si>
  <si>
    <t>FAE-20-00220</t>
  </si>
  <si>
    <t>FAE-20-00221</t>
  </si>
  <si>
    <t>FAE-20-00222</t>
  </si>
  <si>
    <t>Couscous Nâama</t>
  </si>
  <si>
    <t>FAE-20-00223</t>
  </si>
  <si>
    <t>FAE-20-00224</t>
  </si>
  <si>
    <t>ENDAKSI - RUSSIE</t>
  </si>
  <si>
    <t>FAE-20-00225</t>
  </si>
  <si>
    <t>FAE-20-00226</t>
  </si>
  <si>
    <t>FAE-20-00227</t>
  </si>
  <si>
    <t>AL HAMAT ALDAWLIA FOR FOOD STUFF</t>
  </si>
  <si>
    <t>11 TC SPARONI</t>
  </si>
  <si>
    <t>FAE-20-00228</t>
  </si>
  <si>
    <t>FAE-20-00229</t>
  </si>
  <si>
    <t>FAE-20-00230</t>
  </si>
  <si>
    <t>FAE-20-00231</t>
  </si>
  <si>
    <t>Diari</t>
  </si>
  <si>
    <t>FAE-20-00232</t>
  </si>
  <si>
    <t>GABON-2eme Cde AVRIL</t>
  </si>
  <si>
    <t>FAE-20-00233</t>
  </si>
  <si>
    <t>FAE-20-00234</t>
  </si>
  <si>
    <t>40/60 - 4EME CDE</t>
  </si>
  <si>
    <t>FAE-20-00235</t>
  </si>
  <si>
    <t>FAE-20-00236</t>
  </si>
  <si>
    <t>Burkina - Couscous</t>
  </si>
  <si>
    <t>FAE-20-00237</t>
  </si>
  <si>
    <t>La Bianca</t>
  </si>
  <si>
    <t>FAE-20-00238</t>
  </si>
  <si>
    <t>AB World</t>
  </si>
  <si>
    <t>FAE-20-00239</t>
  </si>
  <si>
    <t>FAE-20-00240</t>
  </si>
  <si>
    <t>FAE-20-00241</t>
  </si>
  <si>
    <t>FAE-20-00242</t>
  </si>
  <si>
    <t>PO664648</t>
  </si>
  <si>
    <t>FAE-20-00243</t>
  </si>
  <si>
    <t>SYNERGIE INTERNATIONAL</t>
  </si>
  <si>
    <t>FAE-20-00244</t>
  </si>
  <si>
    <t>FAE-20-00245</t>
  </si>
  <si>
    <t>BENGHAZI</t>
  </si>
  <si>
    <t>FAE-20-00246</t>
  </si>
  <si>
    <t>FAE-20-00247</t>
  </si>
  <si>
    <t>FAE-20-00248</t>
  </si>
  <si>
    <t>FAE-20-00249</t>
  </si>
  <si>
    <t>FAE-20-00250</t>
  </si>
  <si>
    <t>FAE-20-00251</t>
  </si>
  <si>
    <t>FAE-20-00252</t>
  </si>
  <si>
    <t>FAE-20-00253</t>
  </si>
  <si>
    <t>FAE-20-00254</t>
  </si>
  <si>
    <t>FAE-20-00255</t>
  </si>
  <si>
    <t>FAE-20-00256</t>
  </si>
  <si>
    <t>FAE-20-00257</t>
  </si>
  <si>
    <t>FAE-20-00258</t>
  </si>
  <si>
    <t>Guinee</t>
  </si>
  <si>
    <t>FAE-20-00259</t>
  </si>
  <si>
    <t>APDX N°42-ST NOV</t>
  </si>
  <si>
    <t>FAE-20-00260</t>
  </si>
  <si>
    <t>FAE-20-00261</t>
  </si>
  <si>
    <t>AB World Food</t>
  </si>
  <si>
    <t>FAE-20-00262</t>
  </si>
  <si>
    <t>Golden Foods</t>
  </si>
  <si>
    <t>FAE-20-00263</t>
  </si>
  <si>
    <t>FAE-20-00264</t>
  </si>
  <si>
    <t>FAE-20-00265</t>
  </si>
  <si>
    <t>FAE-20-00266</t>
  </si>
  <si>
    <t>FAE-20-00267</t>
  </si>
  <si>
    <t>FAE-20-00268</t>
  </si>
  <si>
    <t>80855 - S50</t>
  </si>
  <si>
    <t>FAE-20-00269</t>
  </si>
  <si>
    <t>TRANSIT Dakar</t>
  </si>
  <si>
    <t>FAE-20-00270</t>
  </si>
  <si>
    <t>Appendix43</t>
  </si>
  <si>
    <t>FAE-20-00271</t>
  </si>
  <si>
    <t>FAE-20-00272</t>
  </si>
  <si>
    <t>Burkina Faso</t>
  </si>
  <si>
    <t>FAE-20-00273</t>
  </si>
  <si>
    <t>FAE-20-00274</t>
  </si>
  <si>
    <t>Brukina-Faso</t>
  </si>
  <si>
    <t>FAE-20-00275</t>
  </si>
  <si>
    <t>LUMIERE</t>
  </si>
  <si>
    <t>FAE-20-00276</t>
  </si>
  <si>
    <t>FAE-20-00277</t>
  </si>
  <si>
    <t>FAE-20-00278</t>
  </si>
  <si>
    <t>FAE-20-00279</t>
  </si>
  <si>
    <t>Vanillet Gourmet</t>
  </si>
  <si>
    <t>FAE-20-00280</t>
  </si>
  <si>
    <t>A LUISIE GENERAL TRADING / ALGT</t>
  </si>
  <si>
    <t>Dubai</t>
  </si>
  <si>
    <t>FAE-20-00281</t>
  </si>
  <si>
    <t>FAE-20-00282</t>
  </si>
  <si>
    <t>FAE-20-00283</t>
  </si>
  <si>
    <t>FAE-20-00284</t>
  </si>
  <si>
    <t>FAE-20-00285</t>
  </si>
  <si>
    <t>FAE-20-00286</t>
  </si>
  <si>
    <t>FAE-20-00287</t>
  </si>
  <si>
    <t>FAE-20-00288</t>
  </si>
  <si>
    <t>LA BIANCA</t>
  </si>
  <si>
    <t>FAE-20-00289</t>
  </si>
  <si>
    <t>FAE-20-00290</t>
  </si>
  <si>
    <t>FAE-20-00291</t>
  </si>
  <si>
    <t>FAE-20-00292</t>
  </si>
  <si>
    <t>FAE-20-00293</t>
  </si>
  <si>
    <t>GUINEE BISSAU</t>
  </si>
  <si>
    <t>FAE-20-00294</t>
  </si>
  <si>
    <t>PO672322</t>
  </si>
  <si>
    <t>FAE-20-00295</t>
  </si>
  <si>
    <t>AB World food</t>
  </si>
  <si>
    <t>FAE-20-00296</t>
  </si>
  <si>
    <t>FAE-20-00297</t>
  </si>
  <si>
    <t>Pologne</t>
  </si>
  <si>
    <t>FAE-20-00298</t>
  </si>
  <si>
    <t>80856 S03/2021</t>
  </si>
  <si>
    <t>FAE-20-00299</t>
  </si>
  <si>
    <t>FAE-20-00300</t>
  </si>
  <si>
    <t>FAE-20-00301</t>
  </si>
  <si>
    <t>FAE-20-00302</t>
  </si>
  <si>
    <t>FAE-20-00303</t>
  </si>
  <si>
    <t>Guinee Equatoriale</t>
  </si>
  <si>
    <t>FAE-20-00304</t>
  </si>
  <si>
    <t>FAE-20-00305</t>
  </si>
  <si>
    <t>FAE-20-00306</t>
  </si>
  <si>
    <t>FAE-20-00307</t>
  </si>
  <si>
    <t>Appendix 44</t>
  </si>
  <si>
    <t>FAE-20-00308</t>
  </si>
  <si>
    <t>FAE-20-00309</t>
  </si>
  <si>
    <t>FAE-20-00310</t>
  </si>
  <si>
    <t>NIGER PL</t>
  </si>
  <si>
    <t>FAE-20-00311</t>
  </si>
  <si>
    <t>BURKINA FASO - 1LOT</t>
  </si>
  <si>
    <t>FAE-20-00312</t>
  </si>
  <si>
    <t>CANADA BIO</t>
  </si>
  <si>
    <t>FAE-20-00313</t>
  </si>
  <si>
    <t>Crispa SP3</t>
  </si>
  <si>
    <t>FAE-20-00314</t>
  </si>
  <si>
    <t>FAE-20-00315</t>
  </si>
  <si>
    <t>FAE-20-00316</t>
  </si>
  <si>
    <t>FAE-20-00317</t>
  </si>
  <si>
    <t>Appendix 45</t>
  </si>
  <si>
    <t>FAE-20-00318</t>
  </si>
  <si>
    <t>PO675467</t>
  </si>
  <si>
    <t>FAE-20-00319</t>
  </si>
  <si>
    <t>2TC</t>
  </si>
  <si>
    <t>FAE-20-00320</t>
  </si>
  <si>
    <t>FAE-20-00321</t>
  </si>
  <si>
    <t>FAE-20-00322</t>
  </si>
  <si>
    <t>FAE-20-00323</t>
  </si>
  <si>
    <t>FAE-20-00324</t>
  </si>
  <si>
    <t>FAE-20-00325</t>
  </si>
  <si>
    <t>FAE-20-00326</t>
  </si>
  <si>
    <t>PO85524 - S05-21</t>
  </si>
  <si>
    <t>FAE-20-00327</t>
  </si>
  <si>
    <t>Burkina faso</t>
  </si>
  <si>
    <t>FAE-20-00328</t>
  </si>
  <si>
    <t>FAE-20-00329</t>
  </si>
  <si>
    <t>FAE-20-00330</t>
  </si>
  <si>
    <t>1er lot GAMBIE RB</t>
  </si>
  <si>
    <t>FAE-20-00331</t>
  </si>
  <si>
    <t>FAE-20-00332</t>
  </si>
  <si>
    <t>FAE-20-00333</t>
  </si>
  <si>
    <t>SIERRA LEONE -SPR</t>
  </si>
  <si>
    <t>FAE-20-00334</t>
  </si>
  <si>
    <t>Guinee Bissau</t>
  </si>
  <si>
    <t>FAE-21-00001</t>
  </si>
  <si>
    <t>FAE-21-00002</t>
  </si>
  <si>
    <t>BURKINA FASO - 2 LOT</t>
  </si>
  <si>
    <t>FAE-21-00003</t>
  </si>
  <si>
    <t>FAE-21-00004</t>
  </si>
  <si>
    <t>FAE-21-00005</t>
  </si>
  <si>
    <t>FAE-21-00006</t>
  </si>
  <si>
    <t>FAE-21-00007</t>
  </si>
  <si>
    <t>FAE-21-00008</t>
  </si>
  <si>
    <t>FAE-21-00009</t>
  </si>
  <si>
    <t>FAE-21-00010</t>
  </si>
  <si>
    <t>FAE-21-00011</t>
  </si>
  <si>
    <t>FAE-21-00012</t>
  </si>
  <si>
    <t>FAE-21-00013</t>
  </si>
  <si>
    <t>FAE-21-00014</t>
  </si>
  <si>
    <t>FAE-21-00015</t>
  </si>
  <si>
    <t>FAE-21-00016</t>
  </si>
  <si>
    <t>FAE-21-00017</t>
  </si>
  <si>
    <t>FAE-21-00018</t>
  </si>
  <si>
    <t>FAE-21-00019</t>
  </si>
  <si>
    <t>FAE-21-00020</t>
  </si>
  <si>
    <t>FAE-21-00021</t>
  </si>
  <si>
    <t>FAE-21-00022</t>
  </si>
  <si>
    <t>FAE-21-00023</t>
  </si>
  <si>
    <t>FAE-21-00024</t>
  </si>
  <si>
    <t>FAE-21-00025</t>
  </si>
  <si>
    <t>FAE-21-00026</t>
  </si>
  <si>
    <t>FAE-21-00027</t>
  </si>
  <si>
    <t>FAE-21-00028</t>
  </si>
  <si>
    <t>FAE-21-00029</t>
  </si>
  <si>
    <t>FAE-21-00030</t>
  </si>
  <si>
    <t>FAE-21-00031</t>
  </si>
  <si>
    <t>FAE-21-00032</t>
  </si>
  <si>
    <t>FAE-21-00033</t>
  </si>
  <si>
    <t>FAE-21-00034</t>
  </si>
  <si>
    <t>FAE-21-00035</t>
  </si>
  <si>
    <t>FAE-21-00036</t>
  </si>
  <si>
    <t>FAE-21-00037</t>
  </si>
  <si>
    <t>FAE-21-00038</t>
  </si>
  <si>
    <t>FAE-21-00039</t>
  </si>
  <si>
    <t>FAE-21-00040</t>
  </si>
  <si>
    <t>FAE-21-00041</t>
  </si>
  <si>
    <t>FAE-21-00042</t>
  </si>
  <si>
    <t>FAE-21-00043</t>
  </si>
  <si>
    <t>FAE-21-00044</t>
  </si>
  <si>
    <t>STE GENERALE DES TRANSACTIONS</t>
  </si>
  <si>
    <t>FAE-21-00045</t>
  </si>
  <si>
    <t>STE CT TRADING DE COMMERCE</t>
  </si>
  <si>
    <t>FAE-21-00046</t>
  </si>
  <si>
    <t>FAE-21-00047</t>
  </si>
  <si>
    <t>FAE-21-00048</t>
  </si>
  <si>
    <t>FAE-21-00049</t>
  </si>
  <si>
    <t>FAE-21-00050</t>
  </si>
  <si>
    <t>FAE-21-00051</t>
  </si>
  <si>
    <t>FAE-21-00052</t>
  </si>
  <si>
    <t>FAE-21-00053</t>
  </si>
  <si>
    <t>FAE-21-00054</t>
  </si>
  <si>
    <t>FAE-21-00055</t>
  </si>
  <si>
    <t>FAE-21-00056</t>
  </si>
  <si>
    <t>FAE-21-00057</t>
  </si>
  <si>
    <t>FAE-21-00058</t>
  </si>
  <si>
    <t>FAE-21-00059</t>
  </si>
  <si>
    <t>STE DORCAS INTERNATIONAL</t>
  </si>
  <si>
    <t>FAE-21-00060</t>
  </si>
  <si>
    <t>FAE-21-00061</t>
  </si>
  <si>
    <t>FAE-21-00062</t>
  </si>
  <si>
    <t>FAE-21-00063</t>
  </si>
  <si>
    <t>FAE-21-00064</t>
  </si>
  <si>
    <t>FAE-21-00065</t>
  </si>
  <si>
    <t>FAE-21-00066</t>
  </si>
  <si>
    <t>FAE-21-00067</t>
  </si>
  <si>
    <t>FAE-21-00068</t>
  </si>
  <si>
    <t>FAE-21-00069</t>
  </si>
  <si>
    <t>FAE-21-00070</t>
  </si>
  <si>
    <t>FAE-21-00071</t>
  </si>
  <si>
    <t>FAE-21-00072</t>
  </si>
  <si>
    <t>FAE-21-00073</t>
  </si>
  <si>
    <t>FAE-21-00074</t>
  </si>
  <si>
    <t>FAE-21-00075</t>
  </si>
  <si>
    <t>FAE-21-00076</t>
  </si>
  <si>
    <t>FAE-21-00077</t>
  </si>
  <si>
    <t>FAE-21-00078</t>
  </si>
  <si>
    <t>FAE-21-00079</t>
  </si>
  <si>
    <t>FAE-21-00080</t>
  </si>
  <si>
    <t>FAE-21-00081</t>
  </si>
  <si>
    <t>FAE-21-00082</t>
  </si>
  <si>
    <t>FAE-21-00083</t>
  </si>
  <si>
    <t>FAE-21-00084</t>
  </si>
  <si>
    <t>FAE-21-00085</t>
  </si>
  <si>
    <t>FAE-21-00086</t>
  </si>
  <si>
    <t>FAE-21-00087</t>
  </si>
  <si>
    <t>FAE-21-00088</t>
  </si>
  <si>
    <t>FAE-21-00089</t>
  </si>
  <si>
    <t>FAE-21-00090</t>
  </si>
  <si>
    <t>FAE-21-00091</t>
  </si>
  <si>
    <t>FAE-21-00092</t>
  </si>
  <si>
    <t>FAE-21-00093</t>
  </si>
  <si>
    <t>FAE-21-00094</t>
  </si>
  <si>
    <t>FAE-21-00095</t>
  </si>
  <si>
    <t>FAE-21-00096</t>
  </si>
  <si>
    <t>FAE-21-00097</t>
  </si>
  <si>
    <t>FAE-21-00098</t>
  </si>
  <si>
    <t>FAE-21-00099</t>
  </si>
  <si>
    <t>FAE-21-00100</t>
  </si>
  <si>
    <t>STE NEW ADAMER</t>
  </si>
  <si>
    <t>FAE-21-00101</t>
  </si>
  <si>
    <t>FAE-21-00102</t>
  </si>
  <si>
    <t>FAE-21-00103</t>
  </si>
  <si>
    <t>FAE-21-00104</t>
  </si>
  <si>
    <t>FAE-21-00105</t>
  </si>
  <si>
    <t>FAE-21-00106</t>
  </si>
  <si>
    <t>FAE-21-00107</t>
  </si>
  <si>
    <t>FAE-21-00108</t>
  </si>
  <si>
    <t>FAE-21-00109</t>
  </si>
  <si>
    <t>FAE-21-00110</t>
  </si>
  <si>
    <t>FAE-21-00111</t>
  </si>
  <si>
    <t>FAE-21-00112</t>
  </si>
  <si>
    <t>FAE-21-00113</t>
  </si>
  <si>
    <t>FAE-21-00114</t>
  </si>
  <si>
    <t>FAE-21-00115</t>
  </si>
  <si>
    <t>FAE-21-00116</t>
  </si>
  <si>
    <t>FAE-21-00117</t>
  </si>
  <si>
    <t>FAE-21-00118</t>
  </si>
  <si>
    <t>FAE-21-00119</t>
  </si>
  <si>
    <t>FAE-21-00120</t>
  </si>
  <si>
    <t>FAE-21-00121</t>
  </si>
  <si>
    <t>FAE-21-00122</t>
  </si>
  <si>
    <t>FAE-21-00123</t>
  </si>
  <si>
    <t>FAE-21-00124</t>
  </si>
  <si>
    <t>FAE-21-00125</t>
  </si>
  <si>
    <t>FAE-21-00126</t>
  </si>
  <si>
    <t>FAE-21-00127</t>
  </si>
  <si>
    <t>FAE-21-00128</t>
  </si>
  <si>
    <t>FAE-21-00129</t>
  </si>
  <si>
    <t>FAE-21-00130</t>
  </si>
  <si>
    <t>FAE-21-00131</t>
  </si>
  <si>
    <t>FAE-21-00132</t>
  </si>
  <si>
    <t>FAE-21-00133</t>
  </si>
  <si>
    <t>FAE-21-00134</t>
  </si>
  <si>
    <t>FAE-21-00135</t>
  </si>
  <si>
    <t>FAE-21-00136</t>
  </si>
  <si>
    <t>FAE-21-00137</t>
  </si>
  <si>
    <t>FAE-21-00138</t>
  </si>
  <si>
    <t>FAE-21-00139</t>
  </si>
  <si>
    <t>FAE-21-00140</t>
  </si>
  <si>
    <t>FAE-21-00141</t>
  </si>
  <si>
    <t>FAE-21-00142</t>
  </si>
  <si>
    <t>FAE-21-00143</t>
  </si>
  <si>
    <t>FAE-21-00144</t>
  </si>
  <si>
    <t>FAE-21-00145</t>
  </si>
  <si>
    <t>FAE-21-00146</t>
  </si>
  <si>
    <t>FAE-21-00147</t>
  </si>
  <si>
    <t>FAE-21-00148</t>
  </si>
  <si>
    <t>FAE-21-00149</t>
  </si>
  <si>
    <t>FAE-21-00150</t>
  </si>
  <si>
    <t>FAE-21-00151</t>
  </si>
  <si>
    <t>FAE-21-00152</t>
  </si>
  <si>
    <t>FAE-21-00153</t>
  </si>
  <si>
    <t>FAE-21-00154</t>
  </si>
  <si>
    <t>FAE-21-00155</t>
  </si>
  <si>
    <t>FAE-21-00156</t>
  </si>
  <si>
    <t>FAE-21-00157</t>
  </si>
  <si>
    <t>FAE-21-00158</t>
  </si>
  <si>
    <t>FAE-21-00159</t>
  </si>
  <si>
    <t>FAE-21-00160</t>
  </si>
  <si>
    <t>FAE-21-00161</t>
  </si>
  <si>
    <t>FAE-21-00162</t>
  </si>
  <si>
    <t>FAE-21-00163</t>
  </si>
  <si>
    <t>FAE-21-00164</t>
  </si>
  <si>
    <t>FAE-21-00165</t>
  </si>
  <si>
    <t>FAE-21-00166</t>
  </si>
  <si>
    <t>FAE-21-00167</t>
  </si>
  <si>
    <t>FAE-21-00168</t>
  </si>
  <si>
    <t>FAE-21-00169</t>
  </si>
  <si>
    <t>FAE-21-00170</t>
  </si>
  <si>
    <t>FAE-21-00171</t>
  </si>
  <si>
    <t>FAE-21-00172</t>
  </si>
  <si>
    <t>FAE-21-00173</t>
  </si>
  <si>
    <t>FAE-21-00174</t>
  </si>
  <si>
    <t>FAE-21-00175</t>
  </si>
  <si>
    <t>FAE-21-00176</t>
  </si>
  <si>
    <t>FAE-21-00177</t>
  </si>
  <si>
    <t>FAE-21-00178</t>
  </si>
  <si>
    <t>FAE-21-00179</t>
  </si>
  <si>
    <t>FAE-21-00180</t>
  </si>
  <si>
    <t>FAE-21-00181</t>
  </si>
  <si>
    <t>FAE-21-00182</t>
  </si>
  <si>
    <t>FAE-21-00183</t>
  </si>
  <si>
    <t>FAE-21-00184</t>
  </si>
  <si>
    <t>FAE-21-00185</t>
  </si>
  <si>
    <t>FAE-21-00186</t>
  </si>
  <si>
    <t>FAE-21-00187</t>
  </si>
  <si>
    <t>FAE-21-00188</t>
  </si>
  <si>
    <t>FAE-21-00189</t>
  </si>
  <si>
    <t>FAE-21-00190</t>
  </si>
  <si>
    <t>FAE-21-00191</t>
  </si>
  <si>
    <t>FAE-21-00192</t>
  </si>
  <si>
    <t>FAE-21-00193</t>
  </si>
  <si>
    <t>FAE-21-00194</t>
  </si>
  <si>
    <t>FAE-21-00195</t>
  </si>
  <si>
    <t>FAE-21-00196</t>
  </si>
  <si>
    <t>FAE-21-00197</t>
  </si>
  <si>
    <t>FAE-21-00198</t>
  </si>
  <si>
    <t>FAE-21-00199</t>
  </si>
  <si>
    <t>FAE-21-00200</t>
  </si>
  <si>
    <t>FAE-21-00201</t>
  </si>
  <si>
    <t>FAE-21-00202</t>
  </si>
  <si>
    <t>FAE-21-00203</t>
  </si>
  <si>
    <t>FAE-21-00204</t>
  </si>
  <si>
    <t>FAE-21-00205</t>
  </si>
  <si>
    <t>FAE-21-00206</t>
  </si>
  <si>
    <t>FAE-21-00207</t>
  </si>
  <si>
    <t>FAE-21-00208</t>
  </si>
  <si>
    <t>FAE-21-00209</t>
  </si>
  <si>
    <t>FAE-21-00210</t>
  </si>
  <si>
    <t>FAE-21-00211</t>
  </si>
  <si>
    <t>FAE-21-00212</t>
  </si>
  <si>
    <t>FAE-21-00213</t>
  </si>
  <si>
    <t>FAE-21-00214</t>
  </si>
  <si>
    <t>FAE-21-00215</t>
  </si>
  <si>
    <t>FAE-21-00216</t>
  </si>
  <si>
    <t>FAE-21-00217</t>
  </si>
  <si>
    <t>FAE-21-00218</t>
  </si>
  <si>
    <t>FAE-21-00219</t>
  </si>
  <si>
    <t>FAE-21-00220</t>
  </si>
  <si>
    <t>FAE-21-00221</t>
  </si>
  <si>
    <t>FAE-21-00222</t>
  </si>
  <si>
    <t>FAE-21-00223</t>
  </si>
  <si>
    <t>FAE-21-00224</t>
  </si>
  <si>
    <t>FAE-21-00225</t>
  </si>
  <si>
    <t>MUCH MARK INTER / 2MIT FRANCE</t>
  </si>
  <si>
    <t>FAE-21-00226</t>
  </si>
  <si>
    <t>PUNIC INTERNATIONAL TRADE</t>
  </si>
  <si>
    <t>FAE-21-00227</t>
  </si>
  <si>
    <t>FAE-21-00228</t>
  </si>
  <si>
    <t>FAE-21-00229</t>
  </si>
  <si>
    <t>FAE-21-00230</t>
  </si>
  <si>
    <t>FAE-21-00231</t>
  </si>
  <si>
    <t>FAE-21-00232</t>
  </si>
  <si>
    <t>FAE-21-00233</t>
  </si>
  <si>
    <t>FAE-21-00234</t>
  </si>
  <si>
    <t>FAE-21-00235</t>
  </si>
  <si>
    <t>FAE-21-00236</t>
  </si>
  <si>
    <t>FAE-21-00237</t>
  </si>
  <si>
    <t>FAE-21-00238</t>
  </si>
  <si>
    <t>FAE-21-00239</t>
  </si>
  <si>
    <t>FAE-21-00240</t>
  </si>
  <si>
    <t>FAE-21-00241</t>
  </si>
  <si>
    <t>FAE-21-00242</t>
  </si>
  <si>
    <t>FAE-21-00243</t>
  </si>
  <si>
    <t>FAE-21-00244</t>
  </si>
  <si>
    <t>FAE-21-00245</t>
  </si>
  <si>
    <t>FAE-21-00246</t>
  </si>
  <si>
    <t>FAE-21-00247</t>
  </si>
  <si>
    <t>FAE-21-00248</t>
  </si>
  <si>
    <t>FAE-21-00249</t>
  </si>
  <si>
    <t>FAE-21-00250</t>
  </si>
  <si>
    <t>FAE-21-00251</t>
  </si>
  <si>
    <t>FAE-21-00252</t>
  </si>
  <si>
    <t>FAE-21-00253</t>
  </si>
  <si>
    <t>FAE-21-00254</t>
  </si>
  <si>
    <t>FAE-21-00256</t>
  </si>
  <si>
    <t>FAE-21-00257</t>
  </si>
  <si>
    <t>FAE-21-00258</t>
  </si>
  <si>
    <t>FAE-21-00259</t>
  </si>
  <si>
    <t>FAE-21-00260</t>
  </si>
  <si>
    <t>FAE-21-00261</t>
  </si>
  <si>
    <t>FAE-21-00262</t>
  </si>
  <si>
    <t>FAE-21-00263</t>
  </si>
  <si>
    <t>FAE-21-00264</t>
  </si>
  <si>
    <t>FAE-21-00265</t>
  </si>
  <si>
    <t>FAE-21-00266</t>
  </si>
  <si>
    <t>FAE-21-00267</t>
  </si>
  <si>
    <t>FAE-21-00268</t>
  </si>
  <si>
    <t>FAE-21-00269</t>
  </si>
  <si>
    <t>FAE-21-00270</t>
  </si>
  <si>
    <t>FAE-21-00271</t>
  </si>
  <si>
    <t>FAE-21-00272</t>
  </si>
  <si>
    <t>FAE-21-00273</t>
  </si>
  <si>
    <t>FAE-21-00274</t>
  </si>
  <si>
    <t>FAE-21-00275</t>
  </si>
  <si>
    <t>FAE-21-00276</t>
  </si>
  <si>
    <t>FAE-21-00277</t>
  </si>
  <si>
    <t>FAE-21-00278</t>
  </si>
  <si>
    <t>FAE-21-00279</t>
  </si>
  <si>
    <t>FOODMED TRADING</t>
  </si>
  <si>
    <t>FAE-21-00280</t>
  </si>
  <si>
    <t>FAE-21-00281</t>
  </si>
  <si>
    <t>FAE-21-00282</t>
  </si>
  <si>
    <t>FAE-21-00283</t>
  </si>
  <si>
    <t>FAE-21-00284</t>
  </si>
  <si>
    <t>FAE-21-00285</t>
  </si>
  <si>
    <t>FAE-21-00286</t>
  </si>
  <si>
    <t>FAE-21-00287</t>
  </si>
  <si>
    <t>FAE-21-00288</t>
  </si>
  <si>
    <t>LAMPE FALL IMPORT EXPORT SUARL</t>
  </si>
  <si>
    <t>FAE-21-00289</t>
  </si>
  <si>
    <t>FAE-21-00290</t>
  </si>
  <si>
    <t>FAE-21-00292</t>
  </si>
  <si>
    <t>FAE-22-00001</t>
  </si>
  <si>
    <t>FAE-22-00002</t>
  </si>
  <si>
    <t>FAE-22-00003</t>
  </si>
  <si>
    <t>FAE-22-00004</t>
  </si>
  <si>
    <t>FAE-22-00005</t>
  </si>
  <si>
    <t>FAE-22-00006</t>
  </si>
  <si>
    <t>FAE-22-00007</t>
  </si>
  <si>
    <t>FAE-22-00008</t>
  </si>
  <si>
    <t>FAE-22-00009</t>
  </si>
  <si>
    <t>FAE-22-00010</t>
  </si>
  <si>
    <t>FAE-22-00011</t>
  </si>
  <si>
    <t>FAE-22-00012</t>
  </si>
  <si>
    <t>FAE-22-00013</t>
  </si>
  <si>
    <t>FAE-22-00014</t>
  </si>
  <si>
    <t>FAE-22-00015</t>
  </si>
  <si>
    <t>FAE-22-00016</t>
  </si>
  <si>
    <t>FAE-22-00017</t>
  </si>
  <si>
    <t>FAE-22-00018</t>
  </si>
  <si>
    <t>FAE-22-00019</t>
  </si>
  <si>
    <t>FAE-22-00020</t>
  </si>
  <si>
    <t>FAE-22-00021</t>
  </si>
  <si>
    <t>FAE-22-00022</t>
  </si>
  <si>
    <t>FAE-22-00023</t>
  </si>
  <si>
    <t>FAE-22-00024</t>
  </si>
  <si>
    <t>FAE-22-00025</t>
  </si>
  <si>
    <t>FAE-22-00026</t>
  </si>
  <si>
    <t>FAE-22-00027</t>
  </si>
  <si>
    <t>FAE-22-00028</t>
  </si>
  <si>
    <t>FAE-22-00029</t>
  </si>
  <si>
    <t>FAE-22-00030</t>
  </si>
  <si>
    <t>FAE-22-00031</t>
  </si>
  <si>
    <t>FAE-22-00032</t>
  </si>
  <si>
    <t>FAE-22-00033</t>
  </si>
  <si>
    <t>FAE-22-00034</t>
  </si>
  <si>
    <t>FAE-22-00035</t>
  </si>
  <si>
    <t>FAE-22-00036</t>
  </si>
  <si>
    <t>FAE-22-00037</t>
  </si>
  <si>
    <t>FAE-22-00038</t>
  </si>
  <si>
    <t>FAE-22-00039</t>
  </si>
  <si>
    <t>FAE-22-00040</t>
  </si>
  <si>
    <t>FAE-22-00041</t>
  </si>
  <si>
    <t>FAE-22-00042</t>
  </si>
  <si>
    <t>FAE-22-00043</t>
  </si>
  <si>
    <t>FAE-22-00044</t>
  </si>
  <si>
    <t>FAE-22-00045</t>
  </si>
  <si>
    <t>FAE-22-00046</t>
  </si>
  <si>
    <t>FAE-22-00047</t>
  </si>
  <si>
    <t>FAE-22-00048</t>
  </si>
  <si>
    <t>FAE-22-00049</t>
  </si>
  <si>
    <t>FAE-22-00050</t>
  </si>
  <si>
    <t>FAE-22-00051</t>
  </si>
  <si>
    <t>SANJAY TRADING CO</t>
  </si>
  <si>
    <t>FAE-22-00052</t>
  </si>
  <si>
    <t>FAE-22-00053</t>
  </si>
  <si>
    <t>FAE-22-00054</t>
  </si>
  <si>
    <t>FAE-22-00055</t>
  </si>
  <si>
    <t>FAE-22-00056</t>
  </si>
  <si>
    <t>FAE-22-00057</t>
  </si>
  <si>
    <t>FAE-22-00058</t>
  </si>
  <si>
    <t>FAE-22-00059</t>
  </si>
  <si>
    <t>FAE-22-00060</t>
  </si>
  <si>
    <t>FAE-22-00061</t>
  </si>
  <si>
    <t>FAE-22-00062</t>
  </si>
  <si>
    <t>FAE-22-00063</t>
  </si>
  <si>
    <t>FAE-22-00064</t>
  </si>
  <si>
    <t>CHARIKAT MAYAN ALHADITHA FOR IMPORT</t>
  </si>
  <si>
    <t>FAE-22-00065</t>
  </si>
  <si>
    <t>FAE-22-00066</t>
  </si>
  <si>
    <t>FAE-22-00067</t>
  </si>
  <si>
    <t>MARCOM INTERNATIONAL</t>
  </si>
  <si>
    <t>FAE-22-00068</t>
  </si>
  <si>
    <t>FAE-22-00069</t>
  </si>
  <si>
    <t>FAE-22-00070</t>
  </si>
  <si>
    <t>FAE-22-00071</t>
  </si>
  <si>
    <t>FAE-22-00072</t>
  </si>
  <si>
    <t>FAE-22-00073</t>
  </si>
  <si>
    <t>FAE-22-00074</t>
  </si>
  <si>
    <t>FAE-22-00075</t>
  </si>
  <si>
    <t>FAE-22-00076</t>
  </si>
  <si>
    <t>FAE-22-00077</t>
  </si>
  <si>
    <t>FAE-22-00078</t>
  </si>
  <si>
    <t>FAE-22-00079</t>
  </si>
  <si>
    <t>FAE-22-00080</t>
  </si>
  <si>
    <t>FAE-22-00081</t>
  </si>
  <si>
    <t>AL SAHL ALMOUTQADEM</t>
  </si>
  <si>
    <t>FAE-22-00082</t>
  </si>
  <si>
    <t>FAE-22-00083</t>
  </si>
  <si>
    <t>Societe Regal</t>
  </si>
  <si>
    <t>FAE-22-00084</t>
  </si>
  <si>
    <t>FAE-22-00085</t>
  </si>
  <si>
    <t>FAE-22-00086</t>
  </si>
  <si>
    <t>FAE-22-00087</t>
  </si>
  <si>
    <t>FAE-22-00088</t>
  </si>
  <si>
    <t>FAE-22-00089</t>
  </si>
  <si>
    <t>FAE-22-00090</t>
  </si>
  <si>
    <t>FAE-22-00091</t>
  </si>
  <si>
    <t>FAE-22-00092</t>
  </si>
  <si>
    <t>FAE-22-00093</t>
  </si>
  <si>
    <t>FAE-22-00094</t>
  </si>
  <si>
    <t>FAE-22-00095</t>
  </si>
  <si>
    <t>FAE-22-00096</t>
  </si>
  <si>
    <t>FAE-22-00097</t>
  </si>
  <si>
    <t>FAE-22-00098</t>
  </si>
  <si>
    <t>FAE-22-00099</t>
  </si>
  <si>
    <t>FAE-22-00100</t>
  </si>
  <si>
    <t>FAE-22-00101</t>
  </si>
  <si>
    <t>FAE-22-00102</t>
  </si>
  <si>
    <t>FAE-22-00103</t>
  </si>
  <si>
    <t>FAE-22-00104</t>
  </si>
  <si>
    <t>FAE-22-00105</t>
  </si>
  <si>
    <t>FAE-22-00106</t>
  </si>
  <si>
    <t>FAE-22-00107</t>
  </si>
  <si>
    <t>YAFRIB-INTERN</t>
  </si>
  <si>
    <t>FAE-22-00108</t>
  </si>
  <si>
    <t>FAE-22-00109</t>
  </si>
  <si>
    <t>FAE-22-00110</t>
  </si>
  <si>
    <t>FAE-22-00111</t>
  </si>
  <si>
    <t>FAE-22-00112</t>
  </si>
  <si>
    <t>FAE-22-00113</t>
  </si>
  <si>
    <t>FAE-22-00114</t>
  </si>
  <si>
    <t>FAE-22-00115</t>
  </si>
  <si>
    <t>FAE-22-00116</t>
  </si>
  <si>
    <t>FAE-22-00117</t>
  </si>
  <si>
    <t>FAE-22-00119</t>
  </si>
  <si>
    <t>FAE-22-00120</t>
  </si>
  <si>
    <t>FAE-22-00121</t>
  </si>
  <si>
    <t>FAE-22-00122</t>
  </si>
  <si>
    <t>FAE-22-00123</t>
  </si>
  <si>
    <t>FAE-22-00124</t>
  </si>
  <si>
    <t>FAE-22-00125</t>
  </si>
  <si>
    <t>FAE-22-00126</t>
  </si>
  <si>
    <t>FAE-22-00127</t>
  </si>
  <si>
    <t>FAE-22-00128</t>
  </si>
  <si>
    <t>FAE-22-00129</t>
  </si>
  <si>
    <t>FAE-22-00130</t>
  </si>
  <si>
    <t>FAE-22-00131</t>
  </si>
  <si>
    <t>FAE-22-00132</t>
  </si>
  <si>
    <t>FAE-22-00133</t>
  </si>
  <si>
    <t>FAE-22-00134</t>
  </si>
  <si>
    <t>FAE-22-00135</t>
  </si>
  <si>
    <t>FAE-22-00136</t>
  </si>
  <si>
    <t>FAE-22-00137</t>
  </si>
  <si>
    <t>FAE-22-00139</t>
  </si>
  <si>
    <t>FAE-22-00140</t>
  </si>
  <si>
    <t>FAE-22-00141</t>
  </si>
  <si>
    <t>FAE-22-00142</t>
  </si>
  <si>
    <t>FAE-22-00143</t>
  </si>
  <si>
    <t>DEBENHAM &amp; FEAR</t>
  </si>
  <si>
    <t>FAE-22-00144</t>
  </si>
  <si>
    <t>FAE-22-00145</t>
  </si>
  <si>
    <t>FAE-22-00146</t>
  </si>
  <si>
    <t>FAE-22-00147</t>
  </si>
  <si>
    <t>FAE-22-00148</t>
  </si>
  <si>
    <t>FAE-22-00149</t>
  </si>
  <si>
    <t>FAE-22-00150</t>
  </si>
  <si>
    <t>FAE-22-00151</t>
  </si>
  <si>
    <t>FAE-22-00152</t>
  </si>
  <si>
    <t>FAE-22-00153</t>
  </si>
  <si>
    <t>FAE-22-00154</t>
  </si>
  <si>
    <t>EASY TRADE</t>
  </si>
  <si>
    <t>FAE-22-00155</t>
  </si>
  <si>
    <t>FAE-22-00156</t>
  </si>
  <si>
    <t>FAE-22-00157</t>
  </si>
  <si>
    <t>FAE-22-00158</t>
  </si>
  <si>
    <t>FAE-22-00159</t>
  </si>
  <si>
    <t>FAE-22-00160</t>
  </si>
  <si>
    <t>FAE-22-00161</t>
  </si>
  <si>
    <t>FAE-22-00162</t>
  </si>
  <si>
    <t>FAE-22-00163</t>
  </si>
  <si>
    <t>FAE-22-00164</t>
  </si>
  <si>
    <t>FAE-22-00165</t>
  </si>
  <si>
    <t>FAE-22-00166</t>
  </si>
  <si>
    <t>FAE-22-00167</t>
  </si>
  <si>
    <t>FAE-22-00168</t>
  </si>
  <si>
    <t>FAE-22-00169</t>
  </si>
  <si>
    <t>FAE-22-00170</t>
  </si>
  <si>
    <t>FAE-22-00171</t>
  </si>
  <si>
    <t>FAE-22-00172</t>
  </si>
  <si>
    <t>FAE-22-00173</t>
  </si>
  <si>
    <t>FAE-22-00174</t>
  </si>
  <si>
    <t>FAE-22-00175</t>
  </si>
  <si>
    <t>FAE-22-00176</t>
  </si>
  <si>
    <t>FAE-22-00177</t>
  </si>
  <si>
    <t>FAE-22-00178</t>
  </si>
  <si>
    <t>FAE-22-00179</t>
  </si>
  <si>
    <t>FAE-22-00180</t>
  </si>
  <si>
    <t>FAE-22-00181</t>
  </si>
  <si>
    <t>FAE-22-00182</t>
  </si>
  <si>
    <t>FAE-22-00183</t>
  </si>
  <si>
    <t>FAE-22-00184</t>
  </si>
  <si>
    <t>FAE-22-00185</t>
  </si>
  <si>
    <t>FAE-22-00186</t>
  </si>
  <si>
    <t>FAE-22-00187</t>
  </si>
  <si>
    <t>FAE-22-00188</t>
  </si>
  <si>
    <t>FAE-22-00189</t>
  </si>
  <si>
    <t>FAE-22-00190</t>
  </si>
  <si>
    <t>FAE-22-00191</t>
  </si>
  <si>
    <t>FAE-22-00192</t>
  </si>
  <si>
    <t>TEAM NEGOCE</t>
  </si>
  <si>
    <t>FAE-22-00193</t>
  </si>
  <si>
    <t>STE WAFA IMPORT</t>
  </si>
  <si>
    <t>FAE-22-00194</t>
  </si>
  <si>
    <t>FAE-22-00195</t>
  </si>
  <si>
    <t>FAE-22-00196</t>
  </si>
  <si>
    <t>FAE-22-00197</t>
  </si>
  <si>
    <t>FAE-22-00198</t>
  </si>
  <si>
    <t>FAE-22-00199</t>
  </si>
  <si>
    <t>FAE-22-00200</t>
  </si>
  <si>
    <t>FAE-22-00201</t>
  </si>
  <si>
    <t>FAE-22-00202</t>
  </si>
  <si>
    <t>FAE-22-00203</t>
  </si>
  <si>
    <t>FAE-22-00204</t>
  </si>
  <si>
    <t>FAE-22-00205</t>
  </si>
  <si>
    <t>FAE-22-00206</t>
  </si>
  <si>
    <t>FAE-22-00207</t>
  </si>
  <si>
    <t>FAE-22-00208</t>
  </si>
  <si>
    <t>FAE-22-00209</t>
  </si>
  <si>
    <t>FAE-22-00210</t>
  </si>
  <si>
    <t>FAE-22-00211</t>
  </si>
  <si>
    <t>FAE-22-00212</t>
  </si>
  <si>
    <t>FAE-22-00213</t>
  </si>
  <si>
    <t>FAE-22-00214</t>
  </si>
  <si>
    <t>FAE-22-00215</t>
  </si>
  <si>
    <t>FAE-22-00216</t>
  </si>
  <si>
    <t>FAE-22-00217</t>
  </si>
  <si>
    <t>FAE-22-00218</t>
  </si>
  <si>
    <t>FAE-22-00219</t>
  </si>
  <si>
    <t>FAE-22-00220</t>
  </si>
  <si>
    <t>FAE-22-00221</t>
  </si>
  <si>
    <t>FAE-22-00222</t>
  </si>
  <si>
    <t>FAE-22-00223</t>
  </si>
  <si>
    <t>FAE-22-00224</t>
  </si>
  <si>
    <t>FAE-22-00225</t>
  </si>
  <si>
    <t>FAE-22-00226</t>
  </si>
  <si>
    <t>FAE-22-00227</t>
  </si>
  <si>
    <t>FAE-22-00228</t>
  </si>
  <si>
    <t>FAE-22-00229</t>
  </si>
  <si>
    <t>FAE-22-00230</t>
  </si>
  <si>
    <t>FAE-22-00231</t>
  </si>
  <si>
    <t>FAE-22-00232</t>
  </si>
  <si>
    <t>FAE-22-00233</t>
  </si>
  <si>
    <t>FAE-22-00234</t>
  </si>
  <si>
    <t>FAE-22-00235</t>
  </si>
  <si>
    <t>FAE-22-00236</t>
  </si>
  <si>
    <t>FAE-22-00237</t>
  </si>
  <si>
    <t>FAE-22-00238</t>
  </si>
  <si>
    <t>FAE-22-00239</t>
  </si>
  <si>
    <t>FAE-22-00240</t>
  </si>
  <si>
    <t>FAE-22-00241</t>
  </si>
  <si>
    <t>FAE-22-00242</t>
  </si>
  <si>
    <t>FAE-22-00243</t>
  </si>
  <si>
    <t>FAE-22-00244</t>
  </si>
  <si>
    <t>FAE-22-00245</t>
  </si>
  <si>
    <t>FAE-22-00246</t>
  </si>
  <si>
    <t>FAE-22-00247</t>
  </si>
  <si>
    <t>FAE-22-00249</t>
  </si>
  <si>
    <t>FAE-22-00250</t>
  </si>
  <si>
    <t>FAE-22-00251</t>
  </si>
  <si>
    <t>FAE-22-00252</t>
  </si>
  <si>
    <t>FAE-22-00253</t>
  </si>
  <si>
    <t>FAE-22-00254</t>
  </si>
  <si>
    <t>FAE-22-00255</t>
  </si>
  <si>
    <t>FAE-22-00256</t>
  </si>
  <si>
    <t>FAE-22-00257</t>
  </si>
  <si>
    <t>FAE-22-00259</t>
  </si>
  <si>
    <t>FAE-22-00260</t>
  </si>
  <si>
    <t>FAE-23-00001</t>
  </si>
  <si>
    <t>FAE-23-00002</t>
  </si>
  <si>
    <t>FAE-23-00003</t>
  </si>
  <si>
    <t>FAE-23-00004</t>
  </si>
  <si>
    <t>FAE-23-00005</t>
  </si>
  <si>
    <t>FAE-23-00006</t>
  </si>
  <si>
    <t>FAE-23-00007</t>
  </si>
  <si>
    <t>G.G.M Commodities s.a.l</t>
  </si>
  <si>
    <t>FAE-23-00008</t>
  </si>
  <si>
    <t>FAE-23-00009</t>
  </si>
  <si>
    <t>FAE-23-00010</t>
  </si>
  <si>
    <t>FAE-23-00011</t>
  </si>
  <si>
    <t>FAE-23-00012</t>
  </si>
  <si>
    <t>FAE-23-00013</t>
  </si>
  <si>
    <t>FAE-23-00014</t>
  </si>
  <si>
    <t>FAE-23-00015</t>
  </si>
  <si>
    <t>FAE-23-00016</t>
  </si>
  <si>
    <t>FAE-23-00017</t>
  </si>
  <si>
    <t>FAE-23-00018</t>
  </si>
  <si>
    <t>FAE-23-00019</t>
  </si>
  <si>
    <t>FAE-23-00020</t>
  </si>
  <si>
    <t>FAE-23-00021</t>
  </si>
  <si>
    <t>FAE-23-00022</t>
  </si>
  <si>
    <t>FAE-23-00023</t>
  </si>
  <si>
    <t>FAE-23-00024</t>
  </si>
  <si>
    <t>FAE-23-00025</t>
  </si>
  <si>
    <t>FAE-23-00026</t>
  </si>
  <si>
    <t>FAE-23-00027</t>
  </si>
  <si>
    <t>FAE-23-00028</t>
  </si>
  <si>
    <t>FAE-23-00029</t>
  </si>
  <si>
    <t>FAE-23-00030</t>
  </si>
  <si>
    <t>FAE-23-00031</t>
  </si>
  <si>
    <t>FAE-23-00032</t>
  </si>
  <si>
    <t>FAE-23-00033</t>
  </si>
  <si>
    <t>FAE-23-00034</t>
  </si>
  <si>
    <t>FAE-23-00035</t>
  </si>
  <si>
    <t>FAE-23-00036</t>
  </si>
  <si>
    <t>FAE-23-00037</t>
  </si>
  <si>
    <t>FAE-23-00038</t>
  </si>
  <si>
    <t>FAE-23-00039</t>
  </si>
  <si>
    <t>FAE-23-00040</t>
  </si>
  <si>
    <t>FAE-23-00041</t>
  </si>
  <si>
    <t>FAE-23-00042</t>
  </si>
  <si>
    <t>FAE-23-00043</t>
  </si>
  <si>
    <t>FAE-23-00044</t>
  </si>
  <si>
    <t>FAE-23-00045</t>
  </si>
  <si>
    <t>FAE-23-00046</t>
  </si>
  <si>
    <t>FAE-23-00047</t>
  </si>
  <si>
    <t>FAE-23-00048</t>
  </si>
  <si>
    <t>FAE-23-00049</t>
  </si>
  <si>
    <t>FAE-23-00050</t>
  </si>
  <si>
    <t>FAE-23-00051</t>
  </si>
  <si>
    <t>FAE-23-00052</t>
  </si>
  <si>
    <t>FAE-23-00053</t>
  </si>
  <si>
    <t>FAE-23-00054</t>
  </si>
  <si>
    <t>FAE-23-00055</t>
  </si>
  <si>
    <t>FAE-23-00056</t>
  </si>
  <si>
    <t>FAE-23-00057</t>
  </si>
  <si>
    <t>FAE-23-00058</t>
  </si>
  <si>
    <t>FAE-23-00059</t>
  </si>
  <si>
    <t>FAE-23-00060</t>
  </si>
  <si>
    <t>FAE-23-00061</t>
  </si>
  <si>
    <t>FAE-23-00062</t>
  </si>
  <si>
    <t>FAE-23-00063</t>
  </si>
  <si>
    <t>FAE-23-00064</t>
  </si>
  <si>
    <t>FAE-23-00065</t>
  </si>
  <si>
    <t>FAE-23-00066</t>
  </si>
  <si>
    <t>FAE-23-00067</t>
  </si>
  <si>
    <t>FAE-23-00068</t>
  </si>
  <si>
    <t>FAE-23-00069</t>
  </si>
  <si>
    <t>FAE-23-00070</t>
  </si>
  <si>
    <t>FAE-23-00071</t>
  </si>
  <si>
    <t>FAE-23-00072</t>
  </si>
  <si>
    <t>FAE-23-00073</t>
  </si>
  <si>
    <t>FAE-23-00074</t>
  </si>
  <si>
    <t>FAE-23-00075</t>
  </si>
  <si>
    <t>FAE-23-00076</t>
  </si>
  <si>
    <t>FAE-23-00077</t>
  </si>
  <si>
    <t>FAE-23-00078</t>
  </si>
  <si>
    <t>FAE-23-00079</t>
  </si>
  <si>
    <t>FAE-23-00080</t>
  </si>
  <si>
    <t>FAE-23-00081</t>
  </si>
  <si>
    <t>FAE-23-00082</t>
  </si>
  <si>
    <t>FAE-23-00083</t>
  </si>
  <si>
    <t>FAE-23-00084</t>
  </si>
  <si>
    <t>FAE-23-00085</t>
  </si>
  <si>
    <t>FAE-23-00086</t>
  </si>
  <si>
    <t>FAE-23-00087</t>
  </si>
  <si>
    <t>FAE-23-00088</t>
  </si>
  <si>
    <t>FAE-23-00089</t>
  </si>
  <si>
    <t>FAE-23-00090</t>
  </si>
  <si>
    <t>FAE-23-00091</t>
  </si>
  <si>
    <t>FAE-23-00092</t>
  </si>
  <si>
    <t>FAE-23-00093</t>
  </si>
  <si>
    <t>FAE-23-00094</t>
  </si>
  <si>
    <t>FAE-23-00095</t>
  </si>
  <si>
    <t>FAE-23-00096</t>
  </si>
  <si>
    <t>FAE-23-00097</t>
  </si>
  <si>
    <t>FAE-23-00098</t>
  </si>
  <si>
    <t>FAE-23-00099</t>
  </si>
  <si>
    <t>FAE-23-00100</t>
  </si>
  <si>
    <t>FAE-23-00101</t>
  </si>
  <si>
    <t>FAE-23-00102</t>
  </si>
  <si>
    <t>FAE-23-00103</t>
  </si>
  <si>
    <t>FAE-23-00104</t>
  </si>
  <si>
    <t>FAE-23-00106</t>
  </si>
  <si>
    <t>FAE-23-00107</t>
  </si>
  <si>
    <t>FAE-23-00108</t>
  </si>
  <si>
    <t>KRUPYANIY DVIR LLC</t>
  </si>
  <si>
    <t>FAE-23-00109</t>
  </si>
  <si>
    <t>FAE-23-00110</t>
  </si>
  <si>
    <t>FAE-23-00111</t>
  </si>
  <si>
    <t>FAE-23-00112</t>
  </si>
  <si>
    <t>FAE-23-00113</t>
  </si>
  <si>
    <t>FAE-23-00114</t>
  </si>
  <si>
    <t>FAE-23-00115</t>
  </si>
  <si>
    <t>FAE-23-00116</t>
  </si>
  <si>
    <t>FAE-23-00117</t>
  </si>
  <si>
    <t>FAE-23-00118</t>
  </si>
  <si>
    <t>HARVEST INTER TRADING</t>
  </si>
  <si>
    <t>FAE-23-00119</t>
  </si>
  <si>
    <t>FAE-23-00120</t>
  </si>
  <si>
    <t>FAE-23-00121</t>
  </si>
  <si>
    <t>FAE-23-00122</t>
  </si>
  <si>
    <t>FAE-23-00123</t>
  </si>
  <si>
    <t>FAE-23-00124</t>
  </si>
  <si>
    <t>FAE-23-00125</t>
  </si>
  <si>
    <t>FAE-23-00126</t>
  </si>
  <si>
    <t>FAE-23-00127</t>
  </si>
  <si>
    <t>FAE-23-00128</t>
  </si>
  <si>
    <t>FAE-23-00129</t>
  </si>
  <si>
    <t>FAE-23-00130</t>
  </si>
  <si>
    <t>FAE-23-00131</t>
  </si>
  <si>
    <t>FAE-23-00132</t>
  </si>
  <si>
    <t>FAE-23-00133</t>
  </si>
  <si>
    <t>FAE-23-00134</t>
  </si>
  <si>
    <t>FAE-23-00135</t>
  </si>
  <si>
    <t>FAE-23-00136</t>
  </si>
  <si>
    <t>FAE-23-00137</t>
  </si>
  <si>
    <t>FAE-23-00138</t>
  </si>
  <si>
    <t>FAE-23-00139</t>
  </si>
  <si>
    <t>FAE-23-00140</t>
  </si>
  <si>
    <t>FAE-23-00141</t>
  </si>
  <si>
    <t>FAE-23-00142</t>
  </si>
  <si>
    <t>FAE-23-00143</t>
  </si>
  <si>
    <t>FAE-23-00144</t>
  </si>
  <si>
    <t>FAE-23-00145</t>
  </si>
  <si>
    <t>FAE-23-00146</t>
  </si>
  <si>
    <t>FAE-23-00147</t>
  </si>
  <si>
    <t>FAE-23-00148</t>
  </si>
  <si>
    <t>FAE-23-00149</t>
  </si>
  <si>
    <t>FAE-23-00150</t>
  </si>
  <si>
    <t>FAE-23-00151</t>
  </si>
  <si>
    <t>FAE-23-00152</t>
  </si>
  <si>
    <t>FAE-23-00153</t>
  </si>
  <si>
    <t>FAE-23-00154</t>
  </si>
  <si>
    <t>FAE-23-00155</t>
  </si>
  <si>
    <t>FAE-23-00156</t>
  </si>
  <si>
    <t>FAE-23-00157</t>
  </si>
  <si>
    <t>FAE-23-00158</t>
  </si>
  <si>
    <t>FAE-23-00159</t>
  </si>
  <si>
    <t>FAE-23-00160</t>
  </si>
  <si>
    <t>FAE-23-00161</t>
  </si>
  <si>
    <t>FAE-23-00162</t>
  </si>
  <si>
    <t>FAE-23-00163</t>
  </si>
  <si>
    <t>FAE-23-00164</t>
  </si>
  <si>
    <t>FAE-23-00165</t>
  </si>
  <si>
    <t>FAE-23-00166</t>
  </si>
  <si>
    <t>FAE-23-00167</t>
  </si>
  <si>
    <t>FAE-23-00168</t>
  </si>
  <si>
    <t>FAE-23-00169</t>
  </si>
  <si>
    <t>FAE-23-00170</t>
  </si>
  <si>
    <t>FAE-23-00171</t>
  </si>
  <si>
    <t>FAE-23-00172</t>
  </si>
  <si>
    <t>FAE-23-00173</t>
  </si>
  <si>
    <t>FAE-23-00174</t>
  </si>
  <si>
    <t>FAE-23-00175</t>
  </si>
  <si>
    <t>FAE-23-00176</t>
  </si>
  <si>
    <t>FAE-23-00177</t>
  </si>
  <si>
    <t>FAE-23-00178</t>
  </si>
  <si>
    <t>FAE-23-00179</t>
  </si>
  <si>
    <t>FAE-23-00180</t>
  </si>
  <si>
    <t>FAE-23-00181</t>
  </si>
  <si>
    <t>FAE-23-00182</t>
  </si>
  <si>
    <t>FAE-23-00183</t>
  </si>
  <si>
    <t>FAE-23-00184</t>
  </si>
  <si>
    <t>FAE-23-00185</t>
  </si>
  <si>
    <t>FAE-23-00186</t>
  </si>
  <si>
    <t>FAE-23-00187</t>
  </si>
  <si>
    <t>FAE-23-00188</t>
  </si>
  <si>
    <t>FAE-23-00189</t>
  </si>
  <si>
    <t>FAE-23-00190</t>
  </si>
  <si>
    <t>FAE-23-00191</t>
  </si>
  <si>
    <t>FAE-23-00192</t>
  </si>
  <si>
    <t>RAMAS TRADING</t>
  </si>
  <si>
    <t>FAE-23-00193</t>
  </si>
  <si>
    <t>FAE-23-00194</t>
  </si>
  <si>
    <t>FAE-23-00195</t>
  </si>
  <si>
    <t>FAE-23-00196</t>
  </si>
  <si>
    <t>FAE-23-00197</t>
  </si>
  <si>
    <t>FAE-23-00198</t>
  </si>
  <si>
    <t>FAE-23-00199</t>
  </si>
  <si>
    <t>FAE-23-00200</t>
  </si>
  <si>
    <t>FAE-23-00201</t>
  </si>
  <si>
    <t>FAE-23-00202</t>
  </si>
  <si>
    <t>FAE-23-00203</t>
  </si>
  <si>
    <t>FAE-23-00204</t>
  </si>
  <si>
    <t>FAE-23-00205</t>
  </si>
  <si>
    <t>FAE-23-00206</t>
  </si>
  <si>
    <t>FAE-23-00207</t>
  </si>
  <si>
    <t>FAE-23-00208</t>
  </si>
  <si>
    <t>FAE-23-00209</t>
  </si>
  <si>
    <t>FAE-23-00210</t>
  </si>
  <si>
    <t>FAE-23-00211</t>
  </si>
  <si>
    <t>FAE-23-00212</t>
  </si>
  <si>
    <t>FAE-23-00213</t>
  </si>
  <si>
    <t>FAE-23-00214</t>
  </si>
  <si>
    <t>FAE-23-00215</t>
  </si>
  <si>
    <t>FAE-23-00216</t>
  </si>
  <si>
    <t>FAE-23-00217</t>
  </si>
  <si>
    <t>ALCHARIKA AL RAAIDA</t>
  </si>
  <si>
    <t>FAE-23-00218</t>
  </si>
  <si>
    <t>FAE-23-00219</t>
  </si>
  <si>
    <t>FAE-23-00220</t>
  </si>
  <si>
    <t>FAE-23-00221</t>
  </si>
  <si>
    <t>FAE-23-00222</t>
  </si>
  <si>
    <t>FAE-23-00223</t>
  </si>
  <si>
    <t>FAE-23-00224</t>
  </si>
  <si>
    <t>FAE-23-00225</t>
  </si>
  <si>
    <t>FAE-23-00226</t>
  </si>
  <si>
    <t>FAE-23-00227</t>
  </si>
  <si>
    <t>FAE-23-00228</t>
  </si>
  <si>
    <t>FAE-23-00229</t>
  </si>
  <si>
    <t>FAE-23-00230</t>
  </si>
  <si>
    <t>FAE-23-00231</t>
  </si>
  <si>
    <t>FAE-23-00232</t>
  </si>
  <si>
    <t>FAE-23-00233</t>
  </si>
  <si>
    <t>FAE-23-00234</t>
  </si>
  <si>
    <t>FAE-23-00235</t>
  </si>
  <si>
    <t>FAE-23-00236</t>
  </si>
  <si>
    <t>FAE-23-00237</t>
  </si>
  <si>
    <t>FAE-23-00238</t>
  </si>
  <si>
    <t>FAE-23-00239</t>
  </si>
  <si>
    <t>ETS EL ELEMINE</t>
  </si>
  <si>
    <t>FAE-23-00240</t>
  </si>
  <si>
    <t>FAE-23-00241</t>
  </si>
  <si>
    <t>FAE-23-00242</t>
  </si>
  <si>
    <t>FAE-23-00243</t>
  </si>
  <si>
    <t>FAE-23-00244</t>
  </si>
  <si>
    <t>FAE-23-00245</t>
  </si>
  <si>
    <t>FAE-23-00246</t>
  </si>
  <si>
    <t>FAE-23-00247</t>
  </si>
  <si>
    <t>FAE-23-00248</t>
  </si>
  <si>
    <t>FAE-23-00249</t>
  </si>
  <si>
    <t>FAE-23-00250</t>
  </si>
  <si>
    <t>FAE-23-00251</t>
  </si>
  <si>
    <t>FAE-23-00252</t>
  </si>
  <si>
    <t>FAE-23-00253</t>
  </si>
  <si>
    <t>FAE-23-00254</t>
  </si>
  <si>
    <t>FAE-23-00255</t>
  </si>
  <si>
    <t>FAE-23-00256</t>
  </si>
  <si>
    <t>FAE-23-00257</t>
  </si>
  <si>
    <t>FAE-23-00258</t>
  </si>
  <si>
    <t>FAE-23-00259</t>
  </si>
  <si>
    <t>FAE-23-00260</t>
  </si>
  <si>
    <t>FAE-23-00261</t>
  </si>
  <si>
    <t>FAE-23-00262</t>
  </si>
  <si>
    <t>FAE-23-00263</t>
  </si>
  <si>
    <t>FAE-23-00264</t>
  </si>
  <si>
    <t>FAE-23-00265</t>
  </si>
  <si>
    <t>FAE-23-00266</t>
  </si>
  <si>
    <t>FAE-23-00267</t>
  </si>
  <si>
    <t>FAE-23-00268</t>
  </si>
  <si>
    <t>FAE-23-00269</t>
  </si>
  <si>
    <t>FAE-23-00270</t>
  </si>
  <si>
    <t>FAE-23-00271</t>
  </si>
  <si>
    <t>FAE-23-00272</t>
  </si>
  <si>
    <t>FAE-23-00273</t>
  </si>
  <si>
    <t>FAE-23-00274</t>
  </si>
  <si>
    <t>FAE-23-00275</t>
  </si>
  <si>
    <t>FAE-23-00276</t>
  </si>
  <si>
    <t>FAE-23-00277</t>
  </si>
  <si>
    <t>FAE-23-00278</t>
  </si>
  <si>
    <t>FAE-23-00279</t>
  </si>
  <si>
    <t>FAE-23-00280</t>
  </si>
  <si>
    <t>FAE-23-00281</t>
  </si>
  <si>
    <t>FAE-23-00282</t>
  </si>
  <si>
    <t>FAE-23-00283</t>
  </si>
  <si>
    <t>FAE-23-00284</t>
  </si>
  <si>
    <t>FAE-23-00285</t>
  </si>
  <si>
    <t>FAE-23-00286</t>
  </si>
  <si>
    <t>FAE-23-00287</t>
  </si>
  <si>
    <t>FAE-23-00288</t>
  </si>
  <si>
    <t>FAE-23-00289</t>
  </si>
  <si>
    <t>FAE-23-00290</t>
  </si>
  <si>
    <t>FAE-23-00291</t>
  </si>
  <si>
    <t>FAE-23-00292</t>
  </si>
  <si>
    <t>FAE-23-00293</t>
  </si>
  <si>
    <t>FAE-23-00294</t>
  </si>
  <si>
    <t>FAE-23-00295</t>
  </si>
  <si>
    <t>FAE-23-00296</t>
  </si>
  <si>
    <t>FAE-23-00297</t>
  </si>
  <si>
    <t>FAE-23-00298</t>
  </si>
  <si>
    <t>FAE-23-00299</t>
  </si>
  <si>
    <t>FAE-23-00300</t>
  </si>
  <si>
    <t>FAE-23-00301</t>
  </si>
  <si>
    <t>FAE-23-00302</t>
  </si>
  <si>
    <t>FAE-23-00303</t>
  </si>
  <si>
    <t>FAE-23-00304</t>
  </si>
  <si>
    <t>FAE-23-00305</t>
  </si>
  <si>
    <t>FAE-23-00306</t>
  </si>
  <si>
    <t>FAE-23-00307</t>
  </si>
  <si>
    <t>FAE-23-00308</t>
  </si>
  <si>
    <t>FAE-23-00309</t>
  </si>
  <si>
    <t>FAE-23-00310</t>
  </si>
  <si>
    <t>FAE-23-00311</t>
  </si>
  <si>
    <t>FAE-23-00312</t>
  </si>
  <si>
    <t>FAE-23-00313</t>
  </si>
  <si>
    <t>FAE-23-00314</t>
  </si>
  <si>
    <t>FAE-23-00315</t>
  </si>
  <si>
    <t>FAE-23-00316</t>
  </si>
  <si>
    <t>FAE-23-00317</t>
  </si>
  <si>
    <t>FAE-23-00318</t>
  </si>
  <si>
    <t>FAE-23-00319</t>
  </si>
  <si>
    <t>FAE-23-00321</t>
  </si>
  <si>
    <t>FAE-23-00322</t>
  </si>
  <si>
    <t>FAE-23-00323</t>
  </si>
  <si>
    <t>FAE-23-00324</t>
  </si>
  <si>
    <t>FAE-23-00325</t>
  </si>
  <si>
    <t>FAE-24-00001</t>
  </si>
  <si>
    <t>FAE-24-00002</t>
  </si>
  <si>
    <t>FAE-24-00003</t>
  </si>
  <si>
    <t>FAE-24-00004</t>
  </si>
  <si>
    <t>FAE-24-00005</t>
  </si>
  <si>
    <t>FAE-24-00006</t>
  </si>
  <si>
    <t>FAE-24-00007</t>
  </si>
  <si>
    <t>FAE-24-00008</t>
  </si>
  <si>
    <t>FAE-24-00009</t>
  </si>
  <si>
    <t>FAE-24-00010</t>
  </si>
  <si>
    <t>FAE-24-00011</t>
  </si>
  <si>
    <t>MESBAH DAHADAH GENERAL</t>
  </si>
  <si>
    <t>FAE-24-00012</t>
  </si>
  <si>
    <t>FAE-24-00013</t>
  </si>
  <si>
    <t>FAE-24-00014</t>
  </si>
  <si>
    <t>FAE-24-00015</t>
  </si>
  <si>
    <t>FAE-24-00016</t>
  </si>
  <si>
    <t>FAE-24-00017</t>
  </si>
  <si>
    <t>STE WAEL FOR COMMERCE</t>
  </si>
  <si>
    <t>FAE-24-00018</t>
  </si>
  <si>
    <t>FAE-24-00019</t>
  </si>
  <si>
    <t>FAE-24-00020</t>
  </si>
  <si>
    <t>FAE-24-00021</t>
  </si>
  <si>
    <t>FAE-24-00022</t>
  </si>
  <si>
    <t>FAE-24-00023</t>
  </si>
  <si>
    <t>FAE-24-00024</t>
  </si>
  <si>
    <t>FAE-24-00025</t>
  </si>
  <si>
    <t>FAE-24-00026</t>
  </si>
  <si>
    <t>FAE-24-00027</t>
  </si>
  <si>
    <t>FAE-24-00028</t>
  </si>
  <si>
    <t>FAE-24-00029</t>
  </si>
  <si>
    <t>FAE-24-00030</t>
  </si>
  <si>
    <t>FAE-24-00031</t>
  </si>
  <si>
    <t>FAE-24-00032</t>
  </si>
  <si>
    <t>FAE-24-00033</t>
  </si>
  <si>
    <t>FAE-24-00034</t>
  </si>
  <si>
    <t>FAE-24-00035</t>
  </si>
  <si>
    <t>FAE-24-00036</t>
  </si>
  <si>
    <t>pour verifivation</t>
  </si>
  <si>
    <t>FAE-24-00037</t>
  </si>
  <si>
    <t>FAE-24-00038</t>
  </si>
  <si>
    <t>FAE-24-00039</t>
  </si>
  <si>
    <t>FAE-24-00040</t>
  </si>
  <si>
    <t>FAE-24-00041</t>
  </si>
  <si>
    <t>FAE-24-00042</t>
  </si>
  <si>
    <t>FAE-24-00043</t>
  </si>
  <si>
    <t>FAE-24-00044</t>
  </si>
  <si>
    <t>FAE-24-00045</t>
  </si>
  <si>
    <t>FAE-24-00046</t>
  </si>
  <si>
    <t>FAE-24-00047</t>
  </si>
  <si>
    <t>FAE-24-00048</t>
  </si>
  <si>
    <t>FAE-24-00049</t>
  </si>
  <si>
    <t>FAE-24-00050</t>
  </si>
  <si>
    <t>FAE-24-00051</t>
  </si>
  <si>
    <t>FAE-24-00052</t>
  </si>
  <si>
    <t>FAE-24-00053</t>
  </si>
  <si>
    <t>FAE-24-00054</t>
  </si>
  <si>
    <t>FAE-24-00055</t>
  </si>
  <si>
    <t>FAE-24-00056</t>
  </si>
  <si>
    <t>FAE-24-00057</t>
  </si>
  <si>
    <t>FAE-24-00058</t>
  </si>
  <si>
    <t>FAE-24-00059</t>
  </si>
  <si>
    <t>FAE-24-00060</t>
  </si>
  <si>
    <t>FAE-24-00061</t>
  </si>
  <si>
    <t>FAE-24-00062</t>
  </si>
  <si>
    <t>FAE-24-00063</t>
  </si>
  <si>
    <t>FAE-24-00064</t>
  </si>
  <si>
    <t>FAE-24-00065</t>
  </si>
  <si>
    <t>FAE-24-00066</t>
  </si>
  <si>
    <t>FAE-24-00067</t>
  </si>
  <si>
    <t>FAE-24-00068</t>
  </si>
  <si>
    <t>FAE-24-00069</t>
  </si>
  <si>
    <t>FAE-24-00070</t>
  </si>
  <si>
    <t>FAE-24-00071</t>
  </si>
  <si>
    <t>FAE-24-00072</t>
  </si>
  <si>
    <t>FAE-24-00073</t>
  </si>
  <si>
    <t>FAE-24-00074</t>
  </si>
  <si>
    <t>FAE-24-00075</t>
  </si>
  <si>
    <t>FAE-24-00076</t>
  </si>
  <si>
    <t>FAE-24-00077</t>
  </si>
  <si>
    <t>FAE-24-00078</t>
  </si>
  <si>
    <t>FAE-24-00079</t>
  </si>
  <si>
    <t>FAE-24-00080</t>
  </si>
  <si>
    <t>FAE-24-00081</t>
  </si>
  <si>
    <t>FAE-24-00082</t>
  </si>
  <si>
    <t>FAE-24-00083</t>
  </si>
  <si>
    <t>FAE-24-00084</t>
  </si>
  <si>
    <t>FAE-24-00085</t>
  </si>
  <si>
    <t>FAE-24-00086</t>
  </si>
  <si>
    <t>FAE-24-00087</t>
  </si>
  <si>
    <t>FAE-24-00088</t>
  </si>
  <si>
    <t>FAE-24-00089</t>
  </si>
  <si>
    <t>FAE-24-00090</t>
  </si>
  <si>
    <t>FAE-24-00091</t>
  </si>
  <si>
    <t>FAE-24-00092</t>
  </si>
  <si>
    <t>FAE-24-00093</t>
  </si>
  <si>
    <t>FAE-24-00094</t>
  </si>
  <si>
    <t>FAE-24-00095</t>
  </si>
  <si>
    <t>FAE-24-00096</t>
  </si>
  <si>
    <t>FAE-24-00097</t>
  </si>
  <si>
    <t>FAE-24-00098</t>
  </si>
  <si>
    <t>FAE-24-00099</t>
  </si>
  <si>
    <t>FAE-24-00100</t>
  </si>
  <si>
    <t>FAE-24-00101</t>
  </si>
  <si>
    <t>FAE-24-00102</t>
  </si>
  <si>
    <t>FAE-24-00103</t>
  </si>
  <si>
    <t>FAE-24-00104</t>
  </si>
  <si>
    <t>FAE-24-00105</t>
  </si>
  <si>
    <t>FAE-24-00106</t>
  </si>
  <si>
    <t>FAE-24-00107</t>
  </si>
  <si>
    <t>FAE-24-00108</t>
  </si>
  <si>
    <t>FAE-24-00109</t>
  </si>
  <si>
    <t>FAE-24-00110</t>
  </si>
  <si>
    <t>FAE-24-00111</t>
  </si>
  <si>
    <t>FAE-24-00112</t>
  </si>
  <si>
    <t>FAE-24-00113</t>
  </si>
  <si>
    <t>FAE-24-00114</t>
  </si>
  <si>
    <t>FAE-24-00115</t>
  </si>
  <si>
    <t>FAE-24-00116</t>
  </si>
  <si>
    <t>FAE-24-00117</t>
  </si>
  <si>
    <t>FAE-24-00118</t>
  </si>
  <si>
    <t>FAE-24-00119</t>
  </si>
  <si>
    <t>BISO NA BISO</t>
  </si>
  <si>
    <t>FAE-24-00120</t>
  </si>
  <si>
    <t>FAE-24-00121</t>
  </si>
  <si>
    <t>FAE-24-00122</t>
  </si>
  <si>
    <t>FAE-24-00123</t>
  </si>
  <si>
    <t>FAE-24-00124</t>
  </si>
  <si>
    <t>FAE-24-00125</t>
  </si>
  <si>
    <t>FAE-24-00126</t>
  </si>
  <si>
    <t>FAE-24-00127</t>
  </si>
  <si>
    <t>FAE-24-00128</t>
  </si>
  <si>
    <t>FAE-24-00129</t>
  </si>
  <si>
    <t>FAE-24-00130</t>
  </si>
  <si>
    <t>FAE-24-00131</t>
  </si>
  <si>
    <t>FAE-24-00132</t>
  </si>
  <si>
    <t>FAE-24-00133</t>
  </si>
  <si>
    <t>FAE-24-00134</t>
  </si>
  <si>
    <t>FAE-24-00135</t>
  </si>
  <si>
    <t>FAE-24-00136</t>
  </si>
  <si>
    <t>FAE-24-00137</t>
  </si>
  <si>
    <t>FAE-24-00138</t>
  </si>
  <si>
    <t>FAE-24-00139</t>
  </si>
  <si>
    <t>FAE-24-00140</t>
  </si>
  <si>
    <t>FAE-24-00141</t>
  </si>
  <si>
    <t>FAE-24-00142</t>
  </si>
  <si>
    <t>FAE-24-00143</t>
  </si>
  <si>
    <t>FAE-24-00144</t>
  </si>
  <si>
    <t>FAE-24-00145</t>
  </si>
  <si>
    <t>FAE-24-00146</t>
  </si>
  <si>
    <t>FAE-24-00147</t>
  </si>
  <si>
    <t>FAE-24-00148</t>
  </si>
  <si>
    <t>FAE-24-00149</t>
  </si>
  <si>
    <t>FAE-24-00150</t>
  </si>
  <si>
    <t>FAE-24-00151</t>
  </si>
  <si>
    <t>FAE-24-00152</t>
  </si>
  <si>
    <t>FAE-24-00153</t>
  </si>
  <si>
    <t>FAE-24-00154</t>
  </si>
  <si>
    <t>FAE-24-00155</t>
  </si>
  <si>
    <t>FAE-24-00156</t>
  </si>
  <si>
    <t>FAE-24-00157</t>
  </si>
  <si>
    <t>FAE-24-00158</t>
  </si>
  <si>
    <t>FAE-24-00159</t>
  </si>
  <si>
    <t>FAE-24-00160</t>
  </si>
  <si>
    <t>FAE-24-00161</t>
  </si>
  <si>
    <t>FAE-24-00162</t>
  </si>
  <si>
    <t>FAE-24-00163</t>
  </si>
  <si>
    <t>FAE-24-00164</t>
  </si>
  <si>
    <t>FAE-24-00165</t>
  </si>
  <si>
    <t>FAE-24-00166</t>
  </si>
  <si>
    <t>FAE-24-00167</t>
  </si>
  <si>
    <t>FAE-24-00168</t>
  </si>
  <si>
    <t>FAE-24-00169</t>
  </si>
  <si>
    <t>FAE-24-00170</t>
  </si>
  <si>
    <t>FAE-24-00171</t>
  </si>
  <si>
    <t>FAE-24-00172</t>
  </si>
  <si>
    <t>FAE-24-00173</t>
  </si>
  <si>
    <t>FAE-24-00174</t>
  </si>
  <si>
    <t>FAE-24-00175</t>
  </si>
  <si>
    <t>FAE-24-00176</t>
  </si>
  <si>
    <t>FAE-24-00177</t>
  </si>
  <si>
    <t>FAE-24-00178</t>
  </si>
  <si>
    <t>FAE-24-00179</t>
  </si>
  <si>
    <t>FAE-24-00180</t>
  </si>
  <si>
    <t>FAE-24-00181</t>
  </si>
  <si>
    <t>FAE-24-00182</t>
  </si>
  <si>
    <t>FAE-24-00183</t>
  </si>
  <si>
    <t>FAE-24-00184</t>
  </si>
  <si>
    <t>FAE-24-00185</t>
  </si>
  <si>
    <t>FAE-24-00186</t>
  </si>
  <si>
    <t>FAE-24-00187</t>
  </si>
  <si>
    <t>FAE-24-00188</t>
  </si>
  <si>
    <t>FAE-24-00189</t>
  </si>
  <si>
    <t>FAE-24-00190</t>
  </si>
  <si>
    <t>AL AKIL IMPORT</t>
  </si>
  <si>
    <t>FAE-24-00191</t>
  </si>
  <si>
    <t>FAE-24-00192</t>
  </si>
  <si>
    <t>FAE-24-00193</t>
  </si>
  <si>
    <t>FAE-24-00194</t>
  </si>
  <si>
    <t>FAE-24-00195</t>
  </si>
  <si>
    <t>FAE-24-00196</t>
  </si>
  <si>
    <t>FAE-24-00197</t>
  </si>
  <si>
    <t>FAE-24-00198</t>
  </si>
  <si>
    <t>FAE-24-00199</t>
  </si>
  <si>
    <t>FAE-24-00200</t>
  </si>
  <si>
    <t>FAE-24-00201</t>
  </si>
  <si>
    <t>FAE-24-00202</t>
  </si>
  <si>
    <t>FAE-24-00203</t>
  </si>
  <si>
    <t>FAE-24-00204</t>
  </si>
  <si>
    <t>FAE-24-00205</t>
  </si>
  <si>
    <t>FAE-24-00206</t>
  </si>
  <si>
    <t>FAE-24-00207</t>
  </si>
  <si>
    <t>FAE-24-00208</t>
  </si>
  <si>
    <t>SOCIETE CENTRALE DE COMMERCE INTER</t>
  </si>
  <si>
    <t>FAE-24-00209</t>
  </si>
  <si>
    <t>FAE-24-00210</t>
  </si>
  <si>
    <t>FAE-24-00211</t>
  </si>
  <si>
    <t>FAE-24-00212</t>
  </si>
  <si>
    <t>FAE-24-00213</t>
  </si>
  <si>
    <t>FAE-24-00214</t>
  </si>
  <si>
    <t>FAE-24-00215</t>
  </si>
  <si>
    <t>FAE-24-00216</t>
  </si>
  <si>
    <t>FAE-24-00217</t>
  </si>
  <si>
    <t>FAE-24-00218</t>
  </si>
  <si>
    <t>FAE-24-00219</t>
  </si>
  <si>
    <t>FAE-24-00220</t>
  </si>
  <si>
    <t>FAE-24-00221</t>
  </si>
  <si>
    <t>FAE-24-00222</t>
  </si>
  <si>
    <t>FAE-24-00223</t>
  </si>
  <si>
    <t>FAE-24-00224</t>
  </si>
  <si>
    <t>FAE-24-00225</t>
  </si>
  <si>
    <t>FAE-24-00226</t>
  </si>
  <si>
    <t>FAE-24-00227</t>
  </si>
  <si>
    <t>FAE-24-00228</t>
  </si>
  <si>
    <t>FAE-24-00229</t>
  </si>
  <si>
    <t>FAE-24-00230</t>
  </si>
  <si>
    <t>FAE-24-00231</t>
  </si>
  <si>
    <t>FAE-24-00232</t>
  </si>
  <si>
    <t>FAE-24-00233</t>
  </si>
  <si>
    <t>FAE-24-00234</t>
  </si>
  <si>
    <t>FAE-24-00235</t>
  </si>
  <si>
    <t>FAE-24-00236</t>
  </si>
  <si>
    <t>FAE-24-00237</t>
  </si>
  <si>
    <t>FAE-24-00238</t>
  </si>
  <si>
    <t>FAE-24-00239</t>
  </si>
  <si>
    <t>FAE-24-00240</t>
  </si>
  <si>
    <t>FAE-24-00241</t>
  </si>
  <si>
    <t>FAE-24-00242</t>
  </si>
  <si>
    <t>FAE-24-00243</t>
  </si>
  <si>
    <t>FAE-24-00244</t>
  </si>
  <si>
    <t>FAE-24-00245</t>
  </si>
  <si>
    <t>FAE-24-00246</t>
  </si>
  <si>
    <t>FAE-24-00247</t>
  </si>
  <si>
    <t>FAE-24-00248</t>
  </si>
  <si>
    <t>FAE-24-00249</t>
  </si>
  <si>
    <t>FAE-24-00250</t>
  </si>
  <si>
    <t>FAE-24-00251</t>
  </si>
  <si>
    <t>FAE-24-00252</t>
  </si>
  <si>
    <t>FAE-24-00253</t>
  </si>
  <si>
    <t>FAE-24-00254</t>
  </si>
  <si>
    <t>FAE-24-00255</t>
  </si>
  <si>
    <t>FAE-24-00256</t>
  </si>
  <si>
    <t>FAE-24-00257</t>
  </si>
  <si>
    <t>FAE-24-00258</t>
  </si>
  <si>
    <t>FAE-24-00259</t>
  </si>
  <si>
    <t>FAE-24-00260</t>
  </si>
  <si>
    <t>FAE-24-00261</t>
  </si>
  <si>
    <t>FAE-24-00262</t>
  </si>
  <si>
    <t>FAE-24-00263</t>
  </si>
  <si>
    <t>FAE-24-00264</t>
  </si>
  <si>
    <t>FAE-24-00265</t>
  </si>
  <si>
    <t>FAE-24-00266</t>
  </si>
  <si>
    <t>FAE-24-00267</t>
  </si>
  <si>
    <t>FAE-24-00268</t>
  </si>
  <si>
    <t>FAE-24-00269</t>
  </si>
  <si>
    <t>FAE-24-00270</t>
  </si>
  <si>
    <t>FAE-24-00271</t>
  </si>
  <si>
    <t>FAE-24-00272</t>
  </si>
  <si>
    <t>FAE-24-00273</t>
  </si>
  <si>
    <t>FAE-24-00274</t>
  </si>
  <si>
    <t>FAE-24-00275</t>
  </si>
  <si>
    <t>FAE-24-00276</t>
  </si>
  <si>
    <t>FAE-24-00277</t>
  </si>
  <si>
    <t>FAE-24-00278</t>
  </si>
  <si>
    <t>FAE-24-00279</t>
  </si>
  <si>
    <t>FAE-24-00280</t>
  </si>
  <si>
    <t>FAE-24-00281</t>
  </si>
  <si>
    <t>FAE-24-00282</t>
  </si>
  <si>
    <t>FAE-24-00283</t>
  </si>
  <si>
    <t>FAE-24-00284</t>
  </si>
  <si>
    <t>FAE-24-00285</t>
  </si>
  <si>
    <t>FAE-24-00286</t>
  </si>
  <si>
    <t>FAE-24-00287</t>
  </si>
  <si>
    <t>FAE-24-00288</t>
  </si>
  <si>
    <t>FAE-24-00289</t>
  </si>
  <si>
    <t>FAE-24-00290</t>
  </si>
  <si>
    <t>FAE-24-00291</t>
  </si>
  <si>
    <t>FAE-24-00292</t>
  </si>
  <si>
    <t>FAE-24-00293</t>
  </si>
  <si>
    <t>FAE-24-00294</t>
  </si>
  <si>
    <t>WONDERCHAIN INTERNATIONAL TRADE</t>
  </si>
  <si>
    <t>FAE-24-00295</t>
  </si>
  <si>
    <t>FAE-24-00296</t>
  </si>
  <si>
    <t>FAE-24-00297</t>
  </si>
  <si>
    <t>FAE-24-00298</t>
  </si>
  <si>
    <t>FAE-24-00299</t>
  </si>
  <si>
    <t>FAE-24-00300</t>
  </si>
  <si>
    <t>FAE-24-00301</t>
  </si>
  <si>
    <t>FAE-24-00302</t>
  </si>
  <si>
    <t>FAE-24-00303</t>
  </si>
  <si>
    <t>FAE-24-00304</t>
  </si>
  <si>
    <t>FAE-24-00305</t>
  </si>
  <si>
    <t>FAE-24-00306</t>
  </si>
  <si>
    <t>FAE-24-00307</t>
  </si>
  <si>
    <t>FAE-24-00308</t>
  </si>
  <si>
    <t>FAE-24-00309</t>
  </si>
  <si>
    <t>FAE-24-00310</t>
  </si>
  <si>
    <t>FAE-24-00311</t>
  </si>
  <si>
    <t>FAE-24-00312</t>
  </si>
  <si>
    <t>FAE-24-00313</t>
  </si>
  <si>
    <t>FAE-24-00314</t>
  </si>
  <si>
    <t>FAE-24-00315</t>
  </si>
  <si>
    <t>FAE-24-00316</t>
  </si>
  <si>
    <t>FAE-24-00317</t>
  </si>
  <si>
    <t>FAE-24-00318</t>
  </si>
  <si>
    <t>FAE-24-00319</t>
  </si>
  <si>
    <t>FAE-24-00320</t>
  </si>
  <si>
    <t>FAE-24-00321</t>
  </si>
  <si>
    <t>FAE-24-00322</t>
  </si>
  <si>
    <t>FAE-24-00323</t>
  </si>
  <si>
    <t>FAE-24-00324</t>
  </si>
  <si>
    <t>FAE-24-00325</t>
  </si>
  <si>
    <t>FAE-24-00326</t>
  </si>
  <si>
    <t>FAE-24-00327</t>
  </si>
  <si>
    <t>FAE-24-00328</t>
  </si>
  <si>
    <t>FAE-24-00329</t>
  </si>
  <si>
    <t>FAE-24-00330</t>
  </si>
  <si>
    <t>FAE-24-00331</t>
  </si>
  <si>
    <t>FAE-24-00332</t>
  </si>
  <si>
    <t>FAE-24-00333</t>
  </si>
  <si>
    <t>FAE-24-00334</t>
  </si>
  <si>
    <t>FAE-24-00335</t>
  </si>
  <si>
    <t>FAE-24-00336</t>
  </si>
  <si>
    <t>FAE-24-00337</t>
  </si>
  <si>
    <t>FAE-24-00338</t>
  </si>
  <si>
    <t>FAE-24-00339</t>
  </si>
  <si>
    <t>FAE-24-00340</t>
  </si>
  <si>
    <t>FAE-24-00341</t>
  </si>
  <si>
    <t>FAE-24-00342</t>
  </si>
  <si>
    <t>FAE-24-00343</t>
  </si>
  <si>
    <t>FAE-24-00344</t>
  </si>
  <si>
    <t>FAE-24-00345</t>
  </si>
  <si>
    <t>FAE-24-00346</t>
  </si>
  <si>
    <t>FAE-24-00347</t>
  </si>
  <si>
    <t>FAE-24-00348</t>
  </si>
  <si>
    <t>FAE-24-00349</t>
  </si>
  <si>
    <t>FAE-24-00350</t>
  </si>
  <si>
    <t>FAE-24-00351</t>
  </si>
  <si>
    <t>FAE-24-00352</t>
  </si>
  <si>
    <t>FAE-24-00353</t>
  </si>
  <si>
    <t>FAE-24-00354</t>
  </si>
  <si>
    <t>FAE-24-00355</t>
  </si>
  <si>
    <t>FAE-24-00356</t>
  </si>
  <si>
    <t>FAE-24-00357</t>
  </si>
  <si>
    <t>FAE-24-00358</t>
  </si>
  <si>
    <t>FAE-24-00359</t>
  </si>
  <si>
    <t>FAE-24-00360</t>
  </si>
  <si>
    <t>FAE-24-00361</t>
  </si>
  <si>
    <t>FAE-24-00362</t>
  </si>
  <si>
    <t>FAE-24-00363</t>
  </si>
  <si>
    <t>FAE-24-00364</t>
  </si>
  <si>
    <t>FAE-24-00365</t>
  </si>
  <si>
    <t>FAE-24-00366</t>
  </si>
  <si>
    <t>FAE-24-00367</t>
  </si>
  <si>
    <t>FAE-24-00368</t>
  </si>
  <si>
    <t>FAE-24-00369</t>
  </si>
  <si>
    <t>FAE-24-00370</t>
  </si>
  <si>
    <t>FAE-24-00371</t>
  </si>
  <si>
    <t>FAE-24-00372</t>
  </si>
  <si>
    <t>FAE-24-00373</t>
  </si>
  <si>
    <t>FAE-24-00374</t>
  </si>
  <si>
    <t>FAE-24-00375</t>
  </si>
  <si>
    <t>FAE-24-00376</t>
  </si>
  <si>
    <t>FAE-24-00377</t>
  </si>
  <si>
    <t>FAE-24-00378</t>
  </si>
  <si>
    <t>FAE-24-00379</t>
  </si>
  <si>
    <t>FAE-24-00380</t>
  </si>
  <si>
    <t>FAE-24-00381</t>
  </si>
  <si>
    <t>FAE-24-00382</t>
  </si>
  <si>
    <t>FAE-24-00383</t>
  </si>
  <si>
    <t>FAE-24-00384</t>
  </si>
  <si>
    <t>FAE-24-00385</t>
  </si>
  <si>
    <t>FAE-24-00386</t>
  </si>
  <si>
    <t>FAE-24-00387</t>
  </si>
  <si>
    <t>FAE-24-00388</t>
  </si>
  <si>
    <t>FAE-24-00389</t>
  </si>
  <si>
    <t>FAE-24-00390</t>
  </si>
  <si>
    <t>FAE-24-00391</t>
  </si>
  <si>
    <t>FAE-24-00392</t>
  </si>
  <si>
    <t>FAE-24-00393</t>
  </si>
  <si>
    <t>FAE-24-00394</t>
  </si>
  <si>
    <t>FAE-24-00395</t>
  </si>
  <si>
    <t>FAE-24-00396</t>
  </si>
  <si>
    <t>FAE-24-00397</t>
  </si>
  <si>
    <t>FAE-24-00398</t>
  </si>
  <si>
    <t>FAE-25-00001</t>
  </si>
  <si>
    <t>Date de livraison</t>
  </si>
  <si>
    <t>Quantité (kg)</t>
  </si>
  <si>
    <t>Valeur (DT)</t>
  </si>
  <si>
    <t>Coût Transport</t>
  </si>
  <si>
    <t>Valeur EXW</t>
  </si>
  <si>
    <t>Prix Net (DT)</t>
  </si>
  <si>
    <t>Client</t>
  </si>
  <si>
    <t>N° Facture</t>
  </si>
  <si>
    <t>Date Fact.</t>
  </si>
  <si>
    <t>subv /foprodex</t>
  </si>
  <si>
    <t>Somme de Coût Transport</t>
  </si>
  <si>
    <t>TAB</t>
  </si>
  <si>
    <t>Total</t>
  </si>
  <si>
    <t>ARCADIA - IGF</t>
  </si>
  <si>
    <t>FAE-18-00250</t>
  </si>
  <si>
    <t>SALIOU BAH</t>
  </si>
  <si>
    <t>OMEGA</t>
  </si>
  <si>
    <t>DAVIS TRADING</t>
  </si>
  <si>
    <t>ARCADIA - ASAHI</t>
  </si>
  <si>
    <t>SAHEL</t>
  </si>
  <si>
    <t>SCIT</t>
  </si>
  <si>
    <t>MAMADOU TEDOUGNAL</t>
  </si>
  <si>
    <t>AWG LIBYA</t>
  </si>
  <si>
    <t>ANGSTREM</t>
  </si>
  <si>
    <t>ARCADIA - FQF</t>
  </si>
  <si>
    <t>SODIFRAM</t>
  </si>
  <si>
    <t>SAWABA</t>
  </si>
  <si>
    <t>ARCADIA - K&amp;K</t>
  </si>
  <si>
    <t>AL BADR</t>
  </si>
  <si>
    <t>ARCADIA - MARSEILLE</t>
  </si>
  <si>
    <t>ARCADIA - INTERFRESH</t>
  </si>
  <si>
    <t>ETS KASSO</t>
  </si>
  <si>
    <t>ARCADIA - VANILLE</t>
  </si>
  <si>
    <t>RAMMAL</t>
  </si>
  <si>
    <t>AREEJ ALMOUTAWASSET</t>
  </si>
  <si>
    <t>AL MAGEMOUAA</t>
  </si>
  <si>
    <t>DAVIS FOOD</t>
  </si>
  <si>
    <t>ARCADIA - COSTA RICA</t>
  </si>
  <si>
    <t>BAIT</t>
  </si>
  <si>
    <t>M&amp;P CORPORATION</t>
  </si>
  <si>
    <t>ARICOM</t>
  </si>
  <si>
    <t>ARCADIA - FOOD MED</t>
  </si>
  <si>
    <t>WODIS</t>
  </si>
  <si>
    <t>MIDCOM</t>
  </si>
  <si>
    <t>ARCADIA - MELVIT</t>
  </si>
  <si>
    <t>ARCADIA - TCI</t>
  </si>
  <si>
    <t>ARCADIA-FQF</t>
  </si>
  <si>
    <t>FAE-1900120</t>
  </si>
  <si>
    <t>ARCADIA-DJEDDAH</t>
  </si>
  <si>
    <t>GAMIL</t>
  </si>
  <si>
    <t>OMRANE</t>
  </si>
  <si>
    <t>AGRIGOLD</t>
  </si>
  <si>
    <t>AL MAGEMOUA</t>
  </si>
  <si>
    <t>SHARIKAT AL HAD AKSA</t>
  </si>
  <si>
    <t>ARCADIA-CANADA</t>
  </si>
  <si>
    <t>ARCADIA-IGF</t>
  </si>
  <si>
    <t xml:space="preserve">ARCADIA-IGF </t>
  </si>
  <si>
    <t xml:space="preserve">Angstrem </t>
  </si>
  <si>
    <t>Arcadia</t>
  </si>
  <si>
    <t xml:space="preserve">Sahel </t>
  </si>
  <si>
    <t>Advens</t>
  </si>
  <si>
    <t xml:space="preserve">Sodifram </t>
  </si>
  <si>
    <t>Mamudou Bah T/D</t>
  </si>
  <si>
    <t>Mahara Alamia</t>
  </si>
  <si>
    <t xml:space="preserve">Davis Trading </t>
  </si>
  <si>
    <t>Salio-Bah</t>
  </si>
  <si>
    <t>Sahel</t>
  </si>
  <si>
    <t xml:space="preserve">Arcadia </t>
  </si>
  <si>
    <t>Sawaba</t>
  </si>
  <si>
    <t>Kasso</t>
  </si>
  <si>
    <t>Mamudou T/D</t>
  </si>
  <si>
    <t>Rammal</t>
  </si>
  <si>
    <t>STE Medilife</t>
  </si>
  <si>
    <t>Al Badr</t>
  </si>
  <si>
    <t>Aboura Foods</t>
  </si>
  <si>
    <t>Al Magemoua</t>
  </si>
  <si>
    <t>ETS Kasso</t>
  </si>
  <si>
    <t xml:space="preserve">Angestrem </t>
  </si>
  <si>
    <t>Tab</t>
  </si>
  <si>
    <t>S.C.I.T</t>
  </si>
  <si>
    <t>Omega</t>
  </si>
  <si>
    <t>Midcom</t>
  </si>
  <si>
    <t>Davis Trading</t>
  </si>
  <si>
    <t xml:space="preserve">Sawaba </t>
  </si>
  <si>
    <t xml:space="preserve">Mahara </t>
  </si>
  <si>
    <t xml:space="preserve">ANGSTREM </t>
  </si>
  <si>
    <t>KASSO</t>
  </si>
  <si>
    <t>ANGSTREM N°21</t>
  </si>
  <si>
    <t>MIKSSAB</t>
  </si>
  <si>
    <t>ARCADIA-INTERFRESH</t>
  </si>
  <si>
    <t>EASB</t>
  </si>
  <si>
    <t>ARCADIA- KARTAGO</t>
  </si>
  <si>
    <t>ANGSTREM N°22</t>
  </si>
  <si>
    <t>ARCADIA-M&amp;P</t>
  </si>
  <si>
    <t>ANGSTREM N°23</t>
  </si>
  <si>
    <t>AL HAD AKSSA</t>
  </si>
  <si>
    <t>ARCADIA-QATAR</t>
  </si>
  <si>
    <t>ANGSTREM N°24</t>
  </si>
  <si>
    <t>AHODIKPE</t>
  </si>
  <si>
    <t>TOYOTA TSUSHO</t>
  </si>
  <si>
    <t>ISBT</t>
  </si>
  <si>
    <t>ARCADIA- COSTA RICA</t>
  </si>
  <si>
    <t>ARCADIA- CANADA</t>
  </si>
  <si>
    <t>ANGSTREM N°25</t>
  </si>
  <si>
    <t xml:space="preserve">SODIFRAM </t>
  </si>
  <si>
    <t>ARCADIA -SHELL</t>
  </si>
  <si>
    <t>ABOURA FOOD</t>
  </si>
  <si>
    <t>ANGSTREM N°26</t>
  </si>
  <si>
    <t>ARCADIA-ASAHI</t>
  </si>
  <si>
    <t>AL GAMIL</t>
  </si>
  <si>
    <t>ARCADIA -FQF</t>
  </si>
  <si>
    <t>ANGSTREM N°27</t>
  </si>
  <si>
    <t>ARCADIA-MELVIT</t>
  </si>
  <si>
    <t>ANGSTREM APDX N°28</t>
  </si>
  <si>
    <t>SAHEL-PC</t>
  </si>
  <si>
    <t>ANGSTREM APDX 30 - ST PERT</t>
  </si>
  <si>
    <t>TOYOTA</t>
  </si>
  <si>
    <t>ANGSTREM APDX 29- NOV</t>
  </si>
  <si>
    <t>ARCADIA-OMAN</t>
  </si>
  <si>
    <t>ANGSTREM-APDX N°31</t>
  </si>
  <si>
    <t>MAMADOU TEDOUNGAL</t>
  </si>
  <si>
    <t>ANGSTREM APDX 35- NOV</t>
  </si>
  <si>
    <t>ANGSTREM APDX 32- ST PETR</t>
  </si>
  <si>
    <t>ANGSTREM APDX 36- NOV</t>
  </si>
  <si>
    <t>ANOOR</t>
  </si>
  <si>
    <t>ANGSTREM-APDX N°33</t>
  </si>
  <si>
    <t>ANGSTREM-APDX N°37</t>
  </si>
  <si>
    <t>ARCADIA - CENTRAL FOOD</t>
  </si>
  <si>
    <t>ARCADIA -CANADA</t>
  </si>
  <si>
    <t xml:space="preserve"> SAHEL</t>
  </si>
  <si>
    <t>ANGSTREM APDX N°34</t>
  </si>
  <si>
    <t>ADJA KHADY</t>
  </si>
  <si>
    <t>TAB- SENEGAL</t>
  </si>
  <si>
    <t>ARCADIA-CRISPA</t>
  </si>
  <si>
    <t>ANGSTREM APDX N°38</t>
  </si>
  <si>
    <t>ALAM EL AMAN</t>
  </si>
  <si>
    <t>ANGSTREM APDX N°39</t>
  </si>
  <si>
    <t>ARCADIA-KARTAGO</t>
  </si>
  <si>
    <t>BG&amp;CO</t>
  </si>
  <si>
    <t>ANGSTREM-APDX 40</t>
  </si>
  <si>
    <t>ARCADIA - CRISPA</t>
  </si>
  <si>
    <t>AL ATHEER AL ZAHER</t>
  </si>
  <si>
    <t xml:space="preserve">SAHEL </t>
  </si>
  <si>
    <t>GREENWORLD</t>
  </si>
  <si>
    <t>ANGSTREM APDX 41</t>
  </si>
  <si>
    <t>ADVENS</t>
  </si>
  <si>
    <t>ARCADIA-AB FOOD</t>
  </si>
  <si>
    <t>ANGSTREM APDX 42</t>
  </si>
  <si>
    <t>ARCADIA-CRISPA VER</t>
  </si>
  <si>
    <t>SYNERGIY INTERNATIONAL</t>
  </si>
  <si>
    <t>MAJAN GULF FOODS</t>
  </si>
  <si>
    <t>ALGT</t>
  </si>
  <si>
    <t>ANGSTREM APDX 43</t>
  </si>
  <si>
    <t>VALENCIA</t>
  </si>
  <si>
    <t>MAMADOU TD</t>
  </si>
  <si>
    <t xml:space="preserve">MBCD </t>
  </si>
  <si>
    <t>ANGSTREM APDX°44</t>
  </si>
  <si>
    <t>ANGSTREM APDX°45</t>
  </si>
  <si>
    <t>ANGSTREM APDX°46</t>
  </si>
  <si>
    <t>ARCADIA-AB</t>
  </si>
  <si>
    <t>MATMATA</t>
  </si>
  <si>
    <t xml:space="preserve">ARCADIA </t>
  </si>
  <si>
    <t xml:space="preserve">ARCADIA -AB </t>
  </si>
  <si>
    <t>ARCADIA-K&amp;K</t>
  </si>
  <si>
    <t>ARCADIA - KARTAGO</t>
  </si>
  <si>
    <t>CT TRADING</t>
  </si>
  <si>
    <t>ANGSTREM APDX°47</t>
  </si>
  <si>
    <t>MBCD</t>
  </si>
  <si>
    <t>SEYAL TCHAD</t>
  </si>
  <si>
    <t>DORCAS</t>
  </si>
  <si>
    <t>ARCADIA - SUISSE</t>
  </si>
  <si>
    <t>HERMES</t>
  </si>
  <si>
    <t>ARCADIA-AB WORLD</t>
  </si>
  <si>
    <t>ARCADIA- BELARUS</t>
  </si>
  <si>
    <t>ARCADI -USA</t>
  </si>
  <si>
    <t>ABOURA</t>
  </si>
  <si>
    <t>ANGSTREM APDX°50</t>
  </si>
  <si>
    <t>ANGSTREM - APDX 48</t>
  </si>
  <si>
    <t>ANGSTREM - APDX 49</t>
  </si>
  <si>
    <t>ARCADIA- AB</t>
  </si>
  <si>
    <t xml:space="preserve">ARCADIA-AB </t>
  </si>
  <si>
    <t>E.A.S.B GB LDA</t>
  </si>
  <si>
    <t>ANGSTREM APDX N°52</t>
  </si>
  <si>
    <t>ANGSTREM APDX N°53</t>
  </si>
  <si>
    <t>ARCADIA- M&amp;P</t>
  </si>
  <si>
    <t>ARCADIA- AB WORLD</t>
  </si>
  <si>
    <t>ARCADIA-SAFA FOOD</t>
  </si>
  <si>
    <t>ARCADIA-GOLDEN FOODS</t>
  </si>
  <si>
    <t>MEDILIFE</t>
  </si>
  <si>
    <t>MUCH MARK - 2MIT</t>
  </si>
  <si>
    <t>PUNIC</t>
  </si>
  <si>
    <t xml:space="preserve">OMRANE </t>
  </si>
  <si>
    <t>FAE-21-00291</t>
  </si>
  <si>
    <t>LAMP -FALL</t>
  </si>
  <si>
    <t>AL JAWDA RAEDA</t>
  </si>
  <si>
    <t>LAMP FALL</t>
  </si>
  <si>
    <t>MAYAN</t>
  </si>
  <si>
    <t>MARCOM</t>
  </si>
  <si>
    <t>AL SAHL MOTAQADEM</t>
  </si>
  <si>
    <t>SANJAY</t>
  </si>
  <si>
    <t>REGAL</t>
  </si>
  <si>
    <t>RNK</t>
  </si>
  <si>
    <t>YAFRIB</t>
  </si>
  <si>
    <t>EASB NAFA</t>
  </si>
  <si>
    <t>AL MAHARA ALAMIA</t>
  </si>
  <si>
    <t xml:space="preserve">DEBENHAM </t>
  </si>
  <si>
    <t>EASB NAFA GB</t>
  </si>
  <si>
    <t>AL WAFA</t>
  </si>
  <si>
    <t>CT Trading</t>
  </si>
  <si>
    <t xml:space="preserve">AL MAGEMOUA </t>
  </si>
  <si>
    <t xml:space="preserve">G.G.M </t>
  </si>
  <si>
    <t xml:space="preserve">GOLDEN PEARL </t>
  </si>
  <si>
    <t xml:space="preserve">EASB </t>
  </si>
  <si>
    <t xml:space="preserve">RNK </t>
  </si>
  <si>
    <t xml:space="preserve">DUABUV Krupyaniy </t>
  </si>
  <si>
    <t xml:space="preserve">SALIOU </t>
  </si>
  <si>
    <t>JPB</t>
  </si>
  <si>
    <t>HARVEST</t>
  </si>
  <si>
    <t>RNK DISRIBUTION</t>
  </si>
  <si>
    <t>AL SAHL LOUTAQADEM</t>
  </si>
  <si>
    <t>RAMAS</t>
  </si>
  <si>
    <t>LAMPFALL</t>
  </si>
  <si>
    <t>AL RAEDA</t>
  </si>
  <si>
    <t>ACS Distrubution</t>
  </si>
  <si>
    <t xml:space="preserve">SAFA FOOD </t>
  </si>
  <si>
    <t>AL SAH MOUTAQADEM</t>
  </si>
  <si>
    <t>FONTANA</t>
  </si>
  <si>
    <t>RNK Disribution</t>
  </si>
  <si>
    <t xml:space="preserve">BTC Trading </t>
  </si>
  <si>
    <t>HK Entreprise</t>
  </si>
  <si>
    <t>MASBAH DAHDAH</t>
  </si>
  <si>
    <t>TEDOUNGAL</t>
  </si>
  <si>
    <t xml:space="preserve">NOUI AMADJRASS </t>
  </si>
  <si>
    <t>ARRCADIA</t>
  </si>
  <si>
    <t>BTC Trading</t>
  </si>
  <si>
    <t xml:space="preserve">AL WAFA </t>
  </si>
  <si>
    <t xml:space="preserve">BISO NA BISO </t>
  </si>
  <si>
    <t>BTC TRADING</t>
  </si>
  <si>
    <t xml:space="preserve">EASB NAFA </t>
  </si>
  <si>
    <t>AL SAHL</t>
  </si>
  <si>
    <t>RAMMAS</t>
  </si>
  <si>
    <t>STE CHEMA</t>
  </si>
  <si>
    <t>AL AKIL</t>
  </si>
  <si>
    <t>ACS Distribution</t>
  </si>
  <si>
    <t>31//07/2024</t>
  </si>
  <si>
    <t>MATAMATA</t>
  </si>
  <si>
    <t xml:space="preserve">SODIC </t>
  </si>
  <si>
    <t>LAMET ALIKHWA</t>
  </si>
  <si>
    <t>STE Chema</t>
  </si>
  <si>
    <t xml:space="preserve">ABOURA </t>
  </si>
  <si>
    <t>FAE-25-00002</t>
  </si>
  <si>
    <t>FAE-25-00003</t>
  </si>
  <si>
    <t>FAE-25-00004</t>
  </si>
  <si>
    <t>FAE-25-00005</t>
  </si>
  <si>
    <t>FAE-25-00006</t>
  </si>
  <si>
    <t>FAE-25-00007</t>
  </si>
  <si>
    <t>FAE-25-00008</t>
  </si>
  <si>
    <t>FAE-25-00009</t>
  </si>
  <si>
    <t>FAE-25-00010</t>
  </si>
  <si>
    <t>FAE-25-00011</t>
  </si>
  <si>
    <t>FAE-25-00012</t>
  </si>
  <si>
    <t>FAE-25-00013</t>
  </si>
  <si>
    <t>FAE-25-00014</t>
  </si>
  <si>
    <t>FAE-25-00015</t>
  </si>
  <si>
    <t>FAE-25-00016</t>
  </si>
  <si>
    <t>FAE-25-00017</t>
  </si>
  <si>
    <t>FAE-25-00018</t>
  </si>
  <si>
    <t>FAE-25-00019</t>
  </si>
  <si>
    <t>FAE-25-00020</t>
  </si>
  <si>
    <t>FAE-25-00021</t>
  </si>
  <si>
    <t>Wonderchain</t>
  </si>
  <si>
    <t>FAE-25-00022</t>
  </si>
  <si>
    <t>FAE-25-00023</t>
  </si>
  <si>
    <t>FAE-25-00024</t>
  </si>
  <si>
    <t>FAE-25-00025</t>
  </si>
  <si>
    <t>FAE-25-00026</t>
  </si>
  <si>
    <t>FAE-25-00027</t>
  </si>
  <si>
    <t>FAE-25-00028</t>
  </si>
  <si>
    <t>FAE-25-00029</t>
  </si>
  <si>
    <t>FAE-25-00030</t>
  </si>
  <si>
    <t>FAE-25-00031</t>
  </si>
  <si>
    <t>FAE-25-00032</t>
  </si>
  <si>
    <t>FAE-25-00033</t>
  </si>
  <si>
    <t>FAE-25-00034</t>
  </si>
  <si>
    <t>FAE-25-00035</t>
  </si>
  <si>
    <t>FAE-25-00036</t>
  </si>
  <si>
    <t>FAE-25-00037</t>
  </si>
  <si>
    <t>FAE-25-00038</t>
  </si>
  <si>
    <t>FAE-25-00039</t>
  </si>
  <si>
    <t>FAE-25-00040</t>
  </si>
  <si>
    <t>FAE-25-00041</t>
  </si>
  <si>
    <t>FAE-25-00042</t>
  </si>
  <si>
    <t>15/01/205</t>
  </si>
  <si>
    <t>WAHAT ALASEMA</t>
  </si>
  <si>
    <t>FAE-25-00043</t>
  </si>
  <si>
    <t>FAE-25-00044</t>
  </si>
  <si>
    <t>FAE-25-00045</t>
  </si>
  <si>
    <t>FAE-25-00046</t>
  </si>
  <si>
    <t>FAE-25-00047</t>
  </si>
  <si>
    <t>FAE-25-00048</t>
  </si>
  <si>
    <t>FAE-25-00049</t>
  </si>
  <si>
    <t>FAE-25-00050</t>
  </si>
  <si>
    <t>FAE-25-00051</t>
  </si>
  <si>
    <t>FAE-25-00052</t>
  </si>
  <si>
    <t>FAE-25-00053</t>
  </si>
  <si>
    <t>FAE-25-00054</t>
  </si>
  <si>
    <t>FAE-25-00055</t>
  </si>
  <si>
    <t>FAE-25-00056</t>
  </si>
  <si>
    <t>FAE-25-00057</t>
  </si>
  <si>
    <t>FAE-25-00058</t>
  </si>
  <si>
    <t>FAE-25-00059</t>
  </si>
  <si>
    <t>FAE-25-00060</t>
  </si>
  <si>
    <t>FAE-25-00061</t>
  </si>
  <si>
    <t>FAE-25-00062</t>
  </si>
  <si>
    <t>FAE-25-00063</t>
  </si>
  <si>
    <t>FAE-25-00064</t>
  </si>
  <si>
    <t>FAE-25-00065</t>
  </si>
  <si>
    <t>FAE-25-00066</t>
  </si>
  <si>
    <t>FAE-25-00067</t>
  </si>
  <si>
    <t>FAE-25-00068</t>
  </si>
  <si>
    <t>FAE-25-00069</t>
  </si>
  <si>
    <t>FAE-25-00070</t>
  </si>
  <si>
    <t>FAE-25-00071</t>
  </si>
  <si>
    <t>FAE-25-00072</t>
  </si>
  <si>
    <t>FAE-25-00073</t>
  </si>
  <si>
    <t>AL MOSTAWRED</t>
  </si>
  <si>
    <t>FAE-25-00074</t>
  </si>
  <si>
    <t>17/02/20255</t>
  </si>
  <si>
    <t>CHEMA</t>
  </si>
  <si>
    <t>FAE-25-00075</t>
  </si>
  <si>
    <t>FAE-25-00076</t>
  </si>
  <si>
    <t>FAE-25-00077</t>
  </si>
  <si>
    <t>FAE-25-00078</t>
  </si>
  <si>
    <t>FAE-25-00079</t>
  </si>
  <si>
    <t>FAE-25-00080</t>
  </si>
  <si>
    <t>FAE-25-00081</t>
  </si>
  <si>
    <t>FAE-25-00082</t>
  </si>
  <si>
    <t>FAE-25-00083</t>
  </si>
  <si>
    <t>FAE-25-00084</t>
  </si>
  <si>
    <t>FAE-25-00085</t>
  </si>
  <si>
    <t>FAE-25-00086</t>
  </si>
  <si>
    <t>FAE-25-00087</t>
  </si>
  <si>
    <t>FAE-25-00088</t>
  </si>
  <si>
    <t>FAE-25-00089</t>
  </si>
  <si>
    <t>FAE-25-00090</t>
  </si>
  <si>
    <t>FAE-25-00091</t>
  </si>
  <si>
    <t>FAE-25-00092</t>
  </si>
  <si>
    <t>FAE-25-00093</t>
  </si>
  <si>
    <t>FAE-25-00094</t>
  </si>
  <si>
    <t>FAE-25-00095</t>
  </si>
  <si>
    <t>GENERIC BRANDS</t>
  </si>
  <si>
    <t>FAE-25-00096</t>
  </si>
  <si>
    <t>FAE-25-00097</t>
  </si>
  <si>
    <t>FAE-25-00098</t>
  </si>
  <si>
    <t>FAE-25-00099</t>
  </si>
  <si>
    <t>FAE-25-00100</t>
  </si>
  <si>
    <t>FAE-25-00101</t>
  </si>
  <si>
    <t>FAE-25-00102</t>
  </si>
  <si>
    <t xml:space="preserve">Al Mostawreed </t>
  </si>
  <si>
    <t>FAE-25-00103</t>
  </si>
  <si>
    <t>FAE-25-00104</t>
  </si>
  <si>
    <t>FAE-25-00105</t>
  </si>
  <si>
    <t>FAE-25-00106</t>
  </si>
  <si>
    <t>FAE-25-00107</t>
  </si>
  <si>
    <t>FAE-25-00108</t>
  </si>
  <si>
    <t>FAE-25-00109</t>
  </si>
  <si>
    <t>FAE-25-00110</t>
  </si>
  <si>
    <t>FAE-25-00111</t>
  </si>
  <si>
    <t>FAE-25-00112</t>
  </si>
  <si>
    <t>FAE-25-00113</t>
  </si>
  <si>
    <t>FAE-25-00114</t>
  </si>
  <si>
    <t>FAE-25-00115</t>
  </si>
  <si>
    <t>FAE-25-00116</t>
  </si>
  <si>
    <t>FAE-25-00117</t>
  </si>
  <si>
    <t>FAE-25-00118</t>
  </si>
  <si>
    <t>FAE-25-00119</t>
  </si>
  <si>
    <t>FAE-25-00120</t>
  </si>
  <si>
    <t>FAE-25-00121</t>
  </si>
  <si>
    <t>FAE-25-00122</t>
  </si>
  <si>
    <t>FAE-25-00123</t>
  </si>
  <si>
    <t>FAE-25-00124</t>
  </si>
  <si>
    <t>FAE-25-00125</t>
  </si>
  <si>
    <t>FAE-25-00126</t>
  </si>
  <si>
    <t>FAE-25-00127</t>
  </si>
  <si>
    <t>FAE-25-00128</t>
  </si>
  <si>
    <t>FAE-25-00129</t>
  </si>
  <si>
    <t>FAE-25-00130</t>
  </si>
  <si>
    <t>FAE-25-00131</t>
  </si>
  <si>
    <t>FAE-25-00132</t>
  </si>
  <si>
    <t>FAE-25-00133</t>
  </si>
  <si>
    <t>FAE-25-00134</t>
  </si>
  <si>
    <t>FAE-25-00135</t>
  </si>
  <si>
    <t>FAE-25-00136</t>
  </si>
  <si>
    <t>FAE-25-00137</t>
  </si>
  <si>
    <t>FAE-25-00138</t>
  </si>
  <si>
    <t>FAE-25-00139</t>
  </si>
  <si>
    <t>FAE-25-00140</t>
  </si>
  <si>
    <t>FAE-25-00141</t>
  </si>
  <si>
    <t>FAE-25-00142</t>
  </si>
  <si>
    <t>FAE-25-00143</t>
  </si>
  <si>
    <t>FAE-25-00144</t>
  </si>
  <si>
    <t>FAE-25-00145</t>
  </si>
  <si>
    <t>FAE-25-00147</t>
  </si>
  <si>
    <t>FAE-25-00148</t>
  </si>
  <si>
    <t>FAE-25-00149</t>
  </si>
  <si>
    <t>FAE-25-00150</t>
  </si>
  <si>
    <t>FAE-25-00151</t>
  </si>
  <si>
    <t>FAE-25-00153</t>
  </si>
  <si>
    <t>FAE-25-00154</t>
  </si>
  <si>
    <t>FAE-25-00155</t>
  </si>
  <si>
    <t>FAE-25-00156</t>
  </si>
  <si>
    <t>FAE-25-00157</t>
  </si>
  <si>
    <t>ALMOSTAWRED ALJADEED</t>
  </si>
  <si>
    <t>FAE-25-00158</t>
  </si>
  <si>
    <t>FAE-25-00159</t>
  </si>
  <si>
    <t>FAE-25-00160</t>
  </si>
  <si>
    <t>BEST FOOD</t>
  </si>
  <si>
    <t>FAE-25-00161</t>
  </si>
  <si>
    <t>FAE-25-00162</t>
  </si>
  <si>
    <t>FAE-25-00163</t>
  </si>
  <si>
    <t>FAE-25-00164</t>
  </si>
  <si>
    <t>FAE-25-00165</t>
  </si>
  <si>
    <t>FAE-25-00166</t>
  </si>
  <si>
    <t>SALIOU</t>
  </si>
  <si>
    <t>FAE-25-00167</t>
  </si>
  <si>
    <t>FAE-25-00168</t>
  </si>
  <si>
    <t>FAE-25-00169</t>
  </si>
  <si>
    <t>FAE-25-00170</t>
  </si>
  <si>
    <t>FAE-25-00171</t>
  </si>
  <si>
    <t>FAE-25-00172</t>
  </si>
  <si>
    <t>FAE-25-00173</t>
  </si>
  <si>
    <t>FAE-25-00174</t>
  </si>
  <si>
    <t>FAE-25-00175</t>
  </si>
  <si>
    <t>FAE-25-00176</t>
  </si>
  <si>
    <t>FAE-25-00177</t>
  </si>
  <si>
    <t>FAE-25-00178</t>
  </si>
  <si>
    <t>FAE-25-00179</t>
  </si>
  <si>
    <t>FAE-25-00180</t>
  </si>
  <si>
    <t>FAE-25-00181</t>
  </si>
  <si>
    <t>FAE-25-00182</t>
  </si>
  <si>
    <t>FAE-25-00183</t>
  </si>
  <si>
    <t>FAE-25-00184</t>
  </si>
  <si>
    <t>FAE-25-00185</t>
  </si>
  <si>
    <t>FAE-25-00186</t>
  </si>
  <si>
    <t>FAE-25-00187</t>
  </si>
  <si>
    <t>FAE-25-00188</t>
  </si>
  <si>
    <t>FAE-25-00189</t>
  </si>
  <si>
    <t>FAE-25-00190</t>
  </si>
  <si>
    <t>FAE-25-00191</t>
  </si>
  <si>
    <t>FAE-25-00192</t>
  </si>
  <si>
    <t>AL MOSTAFA</t>
  </si>
  <si>
    <t>FAE-25-00193</t>
  </si>
  <si>
    <t>GENERIC BRAND</t>
  </si>
  <si>
    <t>FAE-25-00194</t>
  </si>
  <si>
    <t>FAE-25-00195</t>
  </si>
  <si>
    <t>FAE-25-00196</t>
  </si>
  <si>
    <t>FAE-25-00197</t>
  </si>
  <si>
    <t>FAE-25-00198</t>
  </si>
  <si>
    <t>FAE-25-00199</t>
  </si>
  <si>
    <t>FAE-25-00200</t>
  </si>
  <si>
    <t>FAE-25-00201</t>
  </si>
  <si>
    <t>FAE-25-00202</t>
  </si>
  <si>
    <t>FAE-25-00203</t>
  </si>
  <si>
    <t>FAE-25-00204</t>
  </si>
  <si>
    <t>FAE-25-00205</t>
  </si>
  <si>
    <t>FAE-25-00206</t>
  </si>
  <si>
    <t>FAE-25-00209</t>
  </si>
  <si>
    <t>FAE-25-00210</t>
  </si>
  <si>
    <t>FAE-25-00211</t>
  </si>
  <si>
    <t>WONDERCHAINE</t>
  </si>
  <si>
    <t>FAE-25-00212</t>
  </si>
  <si>
    <t>FAE-25-00214</t>
  </si>
  <si>
    <t>(vide)</t>
  </si>
  <si>
    <t>POWER TRADE</t>
  </si>
  <si>
    <t>CLIENT</t>
  </si>
  <si>
    <t>CA / FACTURE</t>
  </si>
  <si>
    <t>LIVRAISON</t>
  </si>
  <si>
    <t>QUANTITE</t>
  </si>
  <si>
    <t>REGLEMENT</t>
  </si>
  <si>
    <t>VALEUR  AVEC MISE A FOB / TRANSPORT</t>
  </si>
  <si>
    <t>VALEUR / KG   EN FOB / CFR</t>
  </si>
  <si>
    <t>SUBVENTIONN</t>
  </si>
  <si>
    <t>TRANSPORT</t>
  </si>
  <si>
    <t>VALEUR / KG   EN EXW</t>
  </si>
  <si>
    <t>COMP</t>
  </si>
  <si>
    <t>N° FACT</t>
  </si>
  <si>
    <t>DIFF N FACT</t>
  </si>
  <si>
    <t>N° FAE</t>
  </si>
  <si>
    <t>ANNEE</t>
  </si>
  <si>
    <t>DEVISE</t>
  </si>
  <si>
    <t>CA TND</t>
  </si>
  <si>
    <t>cours</t>
  </si>
  <si>
    <t>MT FACT EN DEVISE</t>
  </si>
  <si>
    <t>PAYS LIV</t>
  </si>
  <si>
    <t>DATE LIVRAISON</t>
  </si>
  <si>
    <t>Couscous LIV</t>
  </si>
  <si>
    <t>P. Coupée LIV</t>
  </si>
  <si>
    <t>P.Long LIV</t>
  </si>
  <si>
    <t>P.spécial LIV</t>
  </si>
  <si>
    <t>TOTAL QT</t>
  </si>
  <si>
    <t>REGL</t>
  </si>
  <si>
    <t>P.Couscous VAL</t>
  </si>
  <si>
    <t>P. Coupée VAL</t>
  </si>
  <si>
    <t>P.Long VAL</t>
  </si>
  <si>
    <t>P.spécial VAL</t>
  </si>
  <si>
    <t>P.Couscous P UN</t>
  </si>
  <si>
    <t>P. Coupée P UN</t>
  </si>
  <si>
    <t>P.Long P UN</t>
  </si>
  <si>
    <t>P.spécial P UN</t>
  </si>
  <si>
    <t>FOPRODEX</t>
  </si>
  <si>
    <t>trans/kg</t>
  </si>
  <si>
    <t>COUS S TRANSPORT</t>
  </si>
  <si>
    <t>P. Coupée S TRANSPORT</t>
  </si>
  <si>
    <t>P.Long S TRANSPORT</t>
  </si>
  <si>
    <t>P.spécial S TRANSPORT</t>
  </si>
  <si>
    <t>INTEG COUSC</t>
  </si>
  <si>
    <t>INTEG PC</t>
  </si>
  <si>
    <t>INTEG PL</t>
  </si>
  <si>
    <t>INTEG PS</t>
  </si>
  <si>
    <t>OUI</t>
  </si>
  <si>
    <t>New Zealand</t>
  </si>
  <si>
    <t>Liban</t>
  </si>
  <si>
    <t>Japon</t>
  </si>
  <si>
    <t>Guinée</t>
  </si>
  <si>
    <t>Mayotte</t>
  </si>
  <si>
    <t>Russie</t>
  </si>
  <si>
    <t>Bahrein</t>
  </si>
  <si>
    <t>FAE-19-00024</t>
  </si>
  <si>
    <t>ANNULEE</t>
  </si>
  <si>
    <t>Marseille</t>
  </si>
  <si>
    <t>La Reunion</t>
  </si>
  <si>
    <t>Costa Rica</t>
  </si>
  <si>
    <t>Jordanie</t>
  </si>
  <si>
    <t>Australie</t>
  </si>
  <si>
    <t>Libéria</t>
  </si>
  <si>
    <t>Cameroun</t>
  </si>
  <si>
    <t>Omane</t>
  </si>
  <si>
    <t>Tchad</t>
  </si>
  <si>
    <t>Djibouti</t>
  </si>
  <si>
    <t>Arabie saoudite</t>
  </si>
  <si>
    <t>FAE-19-00157</t>
  </si>
  <si>
    <t>Ghana</t>
  </si>
  <si>
    <t>28/09/2019 &amp; 01/10/2019</t>
  </si>
  <si>
    <t>PARTIEL</t>
  </si>
  <si>
    <t>République Dominicaine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</si>
  <si>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</si>
  <si>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</si>
  <si>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</si>
  <si>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</si>
  <si>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</si>
  <si>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</si>
  <si>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</si>
  <si>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</si>
  <si>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</si>
  <si>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</si>
  <si>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</si>
  <si>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</si>
  <si>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</si>
  <si>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</si>
  <si>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Benin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</si>
  <si>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</si>
  <si>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</si>
  <si>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</si>
  <si>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</si>
  <si>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</si>
  <si>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</si>
  <si>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</si>
  <si>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</si>
  <si>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</si>
  <si>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</si>
  <si>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</si>
  <si>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</si>
  <si>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</si>
  <si>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</si>
  <si>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</si>
  <si>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</si>
  <si>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</si>
  <si>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</si>
  <si>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</si>
  <si>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</si>
  <si>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</si>
  <si>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</si>
  <si>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</si>
  <si>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</si>
  <si>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</si>
  <si>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</si>
  <si>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</si>
  <si>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</si>
  <si>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</si>
  <si>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</si>
  <si>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</si>
  <si>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</si>
  <si>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</si>
  <si>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</si>
  <si>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</si>
  <si>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NON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</si>
  <si>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</si>
  <si>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</si>
  <si>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</si>
  <si>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</si>
  <si>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</si>
  <si>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</si>
  <si>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</si>
  <si>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</si>
  <si>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</si>
  <si>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</si>
  <si>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</si>
  <si>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</si>
  <si>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</si>
  <si>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</si>
  <si>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</si>
  <si>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</si>
  <si>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</si>
  <si>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</si>
  <si>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</si>
  <si>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</si>
  <si>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</si>
  <si>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</si>
  <si>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</si>
  <si>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FAE-20-00072</t>
  </si>
  <si>
    <t>073</t>
  </si>
  <si>
    <t>074</t>
  </si>
  <si>
    <t>FAE-20-00074</t>
  </si>
  <si>
    <t>075</t>
  </si>
  <si>
    <t>076</t>
  </si>
  <si>
    <t>077</t>
  </si>
  <si>
    <t>078</t>
  </si>
  <si>
    <t>079</t>
  </si>
  <si>
    <t>080</t>
  </si>
  <si>
    <t>081</t>
  </si>
  <si>
    <t>FAE-20-00081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</si>
  <si>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</si>
  <si>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</si>
  <si>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</si>
  <si>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</si>
  <si>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</si>
  <si>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</si>
  <si>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</si>
  <si>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</si>
  <si>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</si>
  <si>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</si>
  <si>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</si>
  <si>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</si>
  <si>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</si>
  <si>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</si>
  <si>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</si>
  <si>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</si>
  <si>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</si>
  <si>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</si>
  <si>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30/05/2020 &amp; 01/06/2020</t>
  </si>
  <si>
    <t>03//06/2020</t>
  </si>
  <si>
    <t>05//06/2020</t>
  </si>
  <si>
    <t>12//06/2020</t>
  </si>
  <si>
    <t>16//06/2020</t>
  </si>
  <si>
    <t>Iles Maurice</t>
  </si>
  <si>
    <t>30/06/2020 &amp; 01/07/2020</t>
  </si>
  <si>
    <t xml:space="preserve">Japon </t>
  </si>
  <si>
    <t>31/07/2020 &amp; 03/08/2020</t>
  </si>
  <si>
    <t>30/09/2020 &amp; 01/10/2020</t>
  </si>
  <si>
    <t>06/01/2021</t>
  </si>
  <si>
    <t>40% S - 60% F</t>
  </si>
  <si>
    <t>Mauritanie</t>
  </si>
  <si>
    <t>07/01/2021</t>
  </si>
  <si>
    <t>08/01/2021</t>
  </si>
  <si>
    <t>20% S -80% F</t>
  </si>
  <si>
    <t>11/01/2021</t>
  </si>
  <si>
    <t>MQ</t>
  </si>
  <si>
    <t>13/01/2021</t>
  </si>
  <si>
    <t>Allemagne</t>
  </si>
  <si>
    <t>50% (40% S - 60% F) / 50% (100%)</t>
  </si>
  <si>
    <t>Belgique</t>
  </si>
  <si>
    <t>Belarus</t>
  </si>
  <si>
    <t>Suisse</t>
  </si>
  <si>
    <t>Tcheque</t>
  </si>
  <si>
    <t xml:space="preserve"> (40% S - 60% F) / (100%)</t>
  </si>
  <si>
    <t>60% S - 40% F</t>
  </si>
  <si>
    <t>Guinée Bissau</t>
  </si>
  <si>
    <t>31/05/2021 &amp; 01/06/2021</t>
  </si>
  <si>
    <t>Cote d'ivoire</t>
  </si>
  <si>
    <t>40% S - 60% F / 100%</t>
  </si>
  <si>
    <t>30% S -70% F</t>
  </si>
  <si>
    <t>70% S - 30% F</t>
  </si>
  <si>
    <t>Angola</t>
  </si>
  <si>
    <t>Congo</t>
  </si>
  <si>
    <t>40% S -60% F</t>
  </si>
  <si>
    <t>Senegal</t>
  </si>
  <si>
    <t>FAE-21-00255</t>
  </si>
  <si>
    <t>10% S -90% F</t>
  </si>
  <si>
    <t>50% S -50% F</t>
  </si>
  <si>
    <t>PART</t>
  </si>
  <si>
    <t>31/01/2022 &amp; 01/02/2022</t>
  </si>
  <si>
    <t>28/02/2022 &amp; 01/03/2022</t>
  </si>
  <si>
    <t>70% S -30% F</t>
  </si>
  <si>
    <t>New zealand</t>
  </si>
  <si>
    <t>oui</t>
  </si>
  <si>
    <t>31/05/2022 &amp; 01/06/2022</t>
  </si>
  <si>
    <t>FAE-22-00118</t>
  </si>
  <si>
    <t>Egypte</t>
  </si>
  <si>
    <t>FAE-22-00138</t>
  </si>
  <si>
    <t>Kenya</t>
  </si>
  <si>
    <t>Guinee Bisau</t>
  </si>
  <si>
    <t>Italie</t>
  </si>
  <si>
    <t>70%S-30%F</t>
  </si>
  <si>
    <t>Côte D'ivoire</t>
  </si>
  <si>
    <t xml:space="preserve">Mayotte </t>
  </si>
  <si>
    <t xml:space="preserve">Côte D'ivoire </t>
  </si>
  <si>
    <t>FAE-22-00248</t>
  </si>
  <si>
    <t xml:space="preserve">Niger </t>
  </si>
  <si>
    <t>FAE-22-00258</t>
  </si>
  <si>
    <t>50%-50%</t>
  </si>
  <si>
    <t>30%-70%</t>
  </si>
  <si>
    <t>10%-90%</t>
  </si>
  <si>
    <t>20%-80%</t>
  </si>
  <si>
    <t>Bahraine</t>
  </si>
  <si>
    <t>UK</t>
  </si>
  <si>
    <t>New Zeland</t>
  </si>
  <si>
    <t xml:space="preserve">Guinée </t>
  </si>
  <si>
    <t>31/03/2023 and 03/04/2023</t>
  </si>
  <si>
    <t>FAE-23-00105</t>
  </si>
  <si>
    <t>Romanie</t>
  </si>
  <si>
    <t>70%-30%</t>
  </si>
  <si>
    <t>Bukina Faso</t>
  </si>
  <si>
    <t>Somalia</t>
  </si>
  <si>
    <t>Maroc</t>
  </si>
  <si>
    <t>Ile De Reunion</t>
  </si>
  <si>
    <t>Poland</t>
  </si>
  <si>
    <t>30/11/2023/04/12/2023</t>
  </si>
  <si>
    <t>1411/2023</t>
  </si>
  <si>
    <t xml:space="preserve">UK </t>
  </si>
  <si>
    <t>FAE-23-00320</t>
  </si>
  <si>
    <t>ce2275</t>
  </si>
  <si>
    <t>Sudan</t>
  </si>
  <si>
    <t>KSA</t>
  </si>
  <si>
    <t>31/01/2024 &amp; 01/02/2024</t>
  </si>
  <si>
    <t>Lithuanie</t>
  </si>
  <si>
    <t>29/02/2024 &amp; 04/03/2024</t>
  </si>
  <si>
    <t>libye</t>
  </si>
  <si>
    <t>Brazil</t>
  </si>
  <si>
    <t>31/05/2024 &amp; 03/06/2024</t>
  </si>
  <si>
    <t>Côte D'ivore</t>
  </si>
  <si>
    <t>cap Vert</t>
  </si>
  <si>
    <t>Somalie</t>
  </si>
  <si>
    <t>29/06/2024 &amp; 01/07/2024</t>
  </si>
  <si>
    <t xml:space="preserve">New Zealand </t>
  </si>
  <si>
    <t>Marco</t>
  </si>
  <si>
    <t>Bissau</t>
  </si>
  <si>
    <t>Tcha</t>
  </si>
  <si>
    <t>ce2149</t>
  </si>
  <si>
    <t xml:space="preserve">COUS </t>
  </si>
  <si>
    <t>PATCP</t>
  </si>
  <si>
    <t>PATLG</t>
  </si>
  <si>
    <t>PATSP</t>
  </si>
  <si>
    <t>Marque</t>
  </si>
  <si>
    <t>N° TC</t>
  </si>
  <si>
    <t>Destination</t>
  </si>
  <si>
    <t>DATE LIV</t>
  </si>
  <si>
    <t>FRET EN TND</t>
  </si>
  <si>
    <t>FRET / KG</t>
  </si>
  <si>
    <t>FRET COUS</t>
  </si>
  <si>
    <t>FRET PATCP</t>
  </si>
  <si>
    <t>FRET PATLG</t>
  </si>
  <si>
    <t>FRET SP</t>
  </si>
  <si>
    <t>La Rose Blanche</t>
  </si>
  <si>
    <t>BEAU2961529-MSMU2264380</t>
  </si>
  <si>
    <t>MEDU5896588-MSMU2471182-HPCU2341362-MSMU2667473-MSDU2764625</t>
  </si>
  <si>
    <t>SUDU8896361-MSKU1682934</t>
  </si>
  <si>
    <t>MSKU17222282-BSIU9848200</t>
  </si>
  <si>
    <t>SALIO BAH</t>
  </si>
  <si>
    <t>MSDU8136776-BEAU5923266</t>
  </si>
  <si>
    <t>Warda/RB</t>
  </si>
  <si>
    <t>MSDU1060730</t>
  </si>
  <si>
    <t>AL MAGEMUA</t>
  </si>
  <si>
    <t xml:space="preserve">Warda </t>
  </si>
  <si>
    <t>25-14133/25-18515</t>
  </si>
  <si>
    <t>MSDU2429859</t>
  </si>
  <si>
    <t>CMAU2543716-CMAU2541694-TLLU5217947</t>
  </si>
  <si>
    <t>MSCU5310962</t>
  </si>
  <si>
    <t xml:space="preserve">MESBAH </t>
  </si>
  <si>
    <t>MSMU2267950</t>
  </si>
  <si>
    <t>REM102955</t>
  </si>
  <si>
    <t xml:space="preserve">DAVIS TRADING </t>
  </si>
  <si>
    <t>SUDU7658266</t>
  </si>
  <si>
    <t>MSKU4386303</t>
  </si>
  <si>
    <t>TLLU5122498</t>
  </si>
  <si>
    <t>MRSU4882602-MRSU5918124</t>
  </si>
  <si>
    <t xml:space="preserve">STE WAEL </t>
  </si>
  <si>
    <t>LMCU1275250</t>
  </si>
  <si>
    <t>TCKU2293887</t>
  </si>
  <si>
    <t>Warda</t>
  </si>
  <si>
    <t>MRSU4583793</t>
  </si>
  <si>
    <t>MRSU5495948</t>
  </si>
  <si>
    <t>Nâama</t>
  </si>
  <si>
    <t>MSMU1777666-MSMU3251325-MSMU1294138-MSMU2725163-MSMU3259563-MSMU2680243</t>
  </si>
  <si>
    <t>MEDU3607120-FCIU4029785-FCIU6437770-MEDU5334997-MEDU6560073-MEDU3266297</t>
  </si>
  <si>
    <t>Sparoni</t>
  </si>
  <si>
    <t>MSMU2722482</t>
  </si>
  <si>
    <t>MSMU1607593</t>
  </si>
  <si>
    <t>FFAU3015774</t>
  </si>
  <si>
    <t>MSDU8959331</t>
  </si>
  <si>
    <t>ARKU2428370-ARKU2446899</t>
  </si>
  <si>
    <t>ARKU2313664-ARKU2342282</t>
  </si>
  <si>
    <t>MSCU6477933-MSCU6097044-MEDU1571115-MEDU6268061-MEDU6041674-MEDU5882434-MEDU2428109</t>
  </si>
  <si>
    <t>REM102839</t>
  </si>
  <si>
    <t>Green World/Sparoni</t>
  </si>
  <si>
    <t>CAAU5272063</t>
  </si>
  <si>
    <t>FFAU4001158</t>
  </si>
  <si>
    <t>TCLU2550935-MSMU1424165-HPCU2349975-MSMU1726329-CAIU3061505</t>
  </si>
  <si>
    <t>TGHU1796040-LMCU1133430-LMCU1255546-LMCU1228411</t>
  </si>
  <si>
    <t>MRSU4215282-TCKU7552044-TEMU7286545-CAAU6609863-TRHU6181646-TCLU9323086-CAIU4691197-MRSU4455339-TCNU3528506-MSKU9845956</t>
  </si>
  <si>
    <t>LMCU9175684</t>
  </si>
  <si>
    <t>Doré</t>
  </si>
  <si>
    <t>MEDU5489073-MSMU2597777-CXDU1475043-CAIU6827298-MSMU1286127-UETU2687304-MEDU5796275-TGBU3059883-TCKU2233954-HPCU2368337-MSMU2072731-CAIU6720210-TRHU3511831-MSDU1879445-MSMU1358839-MSMU2382758</t>
  </si>
  <si>
    <t>1-25-1830/25-18515/25-19099/25-14133</t>
  </si>
  <si>
    <t>REM102861</t>
  </si>
  <si>
    <t>MRKU3663485-TCKU1199407-TCKU1192700</t>
  </si>
  <si>
    <t>TCKU7388368-SUDU7768920-TLLU5889160</t>
  </si>
  <si>
    <t>SGCU1992188-TEMU3421251-LMCU1268760-LMCU1272760-TRHU2390530-SEGU3884385</t>
  </si>
  <si>
    <t>MSKU7976915-SUDU7907060-MSKU5071260-MRKU8052806-SUDU1498010-MRKU7233292-MRKU9222384-MRKU7137642-MSKU4488645-MRKU3294258</t>
  </si>
  <si>
    <t>REM103037</t>
  </si>
  <si>
    <t>TRHU4669267-MRKU2248010</t>
  </si>
  <si>
    <t>SUDU7549938-TLLU2394173</t>
  </si>
  <si>
    <t>MRKU9576270</t>
  </si>
  <si>
    <t>UETU2626166-MSMU2841224-MSDU1323815-MSMU3470175-TGBU3831894-MSDU2494284-MSMU2288839</t>
  </si>
  <si>
    <t>Crispa</t>
  </si>
  <si>
    <t>MSMU3435810</t>
  </si>
  <si>
    <t>MEDU9367793</t>
  </si>
  <si>
    <t>REM115508</t>
  </si>
  <si>
    <t>MSMU1862393-MSMU3223792</t>
  </si>
  <si>
    <t>GSIU3026660</t>
  </si>
  <si>
    <t>Warda/Sparoni</t>
  </si>
  <si>
    <t>SEKU4693144-CAAU5260397</t>
  </si>
  <si>
    <t>MRSU5429340</t>
  </si>
  <si>
    <t>REM113619</t>
  </si>
  <si>
    <t>REM113715</t>
  </si>
  <si>
    <t>REM113622</t>
  </si>
  <si>
    <t>MSMU1883550-MSDU2257873</t>
  </si>
  <si>
    <t>MRKU7047092</t>
  </si>
  <si>
    <t>MSMU200882</t>
  </si>
  <si>
    <t>MRKU3750893/MRSU6356443/MRSU5832463/MRKU7939735/HASU1374146</t>
  </si>
  <si>
    <t>REM113620</t>
  </si>
  <si>
    <t>MSDU5597774</t>
  </si>
  <si>
    <t>CAAU5186371-CIPU5268009</t>
  </si>
  <si>
    <t>102953REM</t>
  </si>
  <si>
    <t>MSMU3483146-MEDU5401101-MEDU5394430-MSMU2170830-MSDU2390572-MSDU1421133</t>
  </si>
  <si>
    <t>SOCIETE ETS ELEMINE</t>
  </si>
  <si>
    <t>TGBU9393394</t>
  </si>
  <si>
    <t>113657 REM</t>
  </si>
  <si>
    <t>REM111717</t>
  </si>
  <si>
    <t>Al MAGEMUA</t>
  </si>
  <si>
    <t>5-29555/25-14451/25-19099/25-18135/5-30751/25-14133/5-30828/5-24454/5-26606/25-18515/5-35422</t>
  </si>
  <si>
    <t>TEMU2673080</t>
  </si>
  <si>
    <t>REM102954</t>
  </si>
  <si>
    <t>AW632WW</t>
  </si>
  <si>
    <t>LMCU9193142-LMCU1203753-LMCU9160977-TGCU5330072</t>
  </si>
  <si>
    <t>MRSU6052137-MRSU4854977-MRSU6159450-HASU4321345-FFAU1870245-TCKU7425461-MRSU6530920-TCLU9310638-MRSU5470976-FCIU9075593</t>
  </si>
  <si>
    <t>TRHU3993517</t>
  </si>
  <si>
    <t>LA Bianca</t>
  </si>
  <si>
    <t>MSKU3017933</t>
  </si>
  <si>
    <t>MEDU2509807-MSDU1778012-MEDU3358578-TEMU4639211-TCNU3556046-MSDU2953450-MSMU2486541-MSMU2758655-MSMU2550960-MSMU3511931</t>
  </si>
  <si>
    <t>TLLU7563236</t>
  </si>
  <si>
    <t>MSDU1728367-TLLU3450610-MSDU2889155</t>
  </si>
  <si>
    <t>MSMU2986634-FTAU1453871</t>
  </si>
  <si>
    <t>MSMU3378840</t>
  </si>
  <si>
    <t>CMAU8431971</t>
  </si>
  <si>
    <t>TXGU7229717</t>
  </si>
  <si>
    <t>MRSU4313400-MRSU5360921</t>
  </si>
  <si>
    <t>AF 67661</t>
  </si>
  <si>
    <t>AY 510 WX</t>
  </si>
  <si>
    <t>REM103038</t>
  </si>
  <si>
    <t>MSDU1661324-FCIU3629912-MEDU5203770</t>
  </si>
  <si>
    <t>MSDU2300795-MSMU2306911-FTAU1456802-FBIU0226892</t>
  </si>
  <si>
    <t>CMAU358563-TRHU3144058-TTNU1011245-TCLU3945246</t>
  </si>
  <si>
    <t>ARKU2482730-TLLU3550310</t>
  </si>
  <si>
    <t>ARKU2465179-ARKU2414211</t>
  </si>
  <si>
    <t>3730 TU 125</t>
  </si>
  <si>
    <t>5-35936/5-24454/33-1300/25-18135/5-31085/5-29555/25-19099/25-17719/5-30751/25-14225</t>
  </si>
  <si>
    <t>REM102857</t>
  </si>
  <si>
    <t>BB 797 AM</t>
  </si>
  <si>
    <t>MSMU6278546-MSDU6516118</t>
  </si>
  <si>
    <t>MSNU3205531</t>
  </si>
  <si>
    <t>5-33-195/41-60/25-16283/3-4143/1-14-412/14-5-10047</t>
  </si>
  <si>
    <t>BEAU5699243</t>
  </si>
  <si>
    <t>TRHU7588929</t>
  </si>
  <si>
    <t>MSMU8535495-MSDU8308279</t>
  </si>
  <si>
    <t>La Rose Blanche/Warda</t>
  </si>
  <si>
    <t>FFAU4773700-MRKU5727721-TEMU6425570-FFAU4773188-TCKU6122223-MRSU5318536-GCXU5796249-GCXU5593642-MRSU6191370-MRSU5583381</t>
  </si>
  <si>
    <t>MRSU6150690-TRHU5249295-MRSU4498011-MRSU5793644-MRKU4658586-CAAU6202482-MRSU6315423-TRHU6328300-TCNU5910544-MRSU4698513</t>
  </si>
  <si>
    <t>GCXU5866069</t>
  </si>
  <si>
    <t>FFAU4919858</t>
  </si>
  <si>
    <t>la Rose Blanche</t>
  </si>
  <si>
    <t>CAIU3054656-MSDU1670603-MSMU1505272</t>
  </si>
  <si>
    <t>LMCU1256922-LMCU1255675</t>
  </si>
  <si>
    <t>MSMU1204005-MSMU2536940-MSDU2838034</t>
  </si>
  <si>
    <t>MSNU3232268</t>
  </si>
  <si>
    <t>TTNU1140983</t>
  </si>
  <si>
    <t>STJU2013881</t>
  </si>
  <si>
    <t>MSMU1107453-MEDU5761854-MSMU2297661-MSDU2534875-MSMU1422115-MSDU2673567-MSMU2114842-MSMU1355070-MSMU2493643-MSDU1080741-MSMU2216530-MSNU3235729-MSDU1544800-MSNU1406247-MSMU1056042-MSMU3234185-</t>
  </si>
  <si>
    <t>ARKU2233390-FCIU3289807</t>
  </si>
  <si>
    <t>LAMPE FALL</t>
  </si>
  <si>
    <t>MSDU2956274-TLLU3374567-GAOU2445824-MSDU2339523-MSMU1175294-MEDU5752071-MSMU2726977</t>
  </si>
  <si>
    <t>MSDU8441656-FYCU7066104</t>
  </si>
  <si>
    <t>CMAU9596940</t>
  </si>
  <si>
    <t>TCNU8733340</t>
  </si>
  <si>
    <t>TLLU2431955</t>
  </si>
  <si>
    <t>LA Rose Blanche</t>
  </si>
  <si>
    <t>MRKU9907188</t>
  </si>
  <si>
    <t>TRHU2123174-MEDU6358761</t>
  </si>
  <si>
    <t>TTNU1032443</t>
  </si>
  <si>
    <t>TGBU2688304-MSDU2514061</t>
  </si>
  <si>
    <t>MSMU2655889-HPCU2300018</t>
  </si>
  <si>
    <t>MSDU2368584</t>
  </si>
  <si>
    <t>MSKU7580729</t>
  </si>
  <si>
    <t>MSKU7023805-MRSU0549194-MRKU2612164-TCKU6697207-MRSU6255659</t>
  </si>
  <si>
    <t>CMAU2645997-CMAU2887938-FBIU0273390-TRHU6881444</t>
  </si>
  <si>
    <t>34-106/25-19099/5-35271/5-29555</t>
  </si>
  <si>
    <t>MRKU8698988</t>
  </si>
  <si>
    <t>MSMU7686223-MSDU5276692</t>
  </si>
  <si>
    <t>Warda/Diari</t>
  </si>
  <si>
    <t>TRHU5031451</t>
  </si>
  <si>
    <t>ARKU2407491-ARKU2232407</t>
  </si>
  <si>
    <t>TEMU3226002</t>
  </si>
  <si>
    <t>MEDU7609959</t>
  </si>
  <si>
    <t>CMAU2862415-CMAU2864336</t>
  </si>
  <si>
    <t>25-13318</t>
  </si>
  <si>
    <t>25-3183</t>
  </si>
  <si>
    <t>MRSU6004782-TCKU7799800</t>
  </si>
  <si>
    <t>MRSU5843344-GCXU5545217</t>
  </si>
  <si>
    <t>MSNU3230970-MSMU3367336-MSMU1728105-MSMU1500990-MSMU2068665-MSMU3472075-BEAU2763800-MSDU1592727-HPCU2374237-MSMU216615-MSDU5131045</t>
  </si>
  <si>
    <t>warda</t>
  </si>
  <si>
    <t>MSMU8662798</t>
  </si>
  <si>
    <t>BEAU5695295-MSMU6977008-MSMU4919620</t>
  </si>
  <si>
    <t>MSMU2349894</t>
  </si>
  <si>
    <t>CBON</t>
  </si>
  <si>
    <t>MSMU2984210-MSNU1421093-MSMU1157053-MSDU2687679-GAOU2440524</t>
  </si>
  <si>
    <t>REM111729</t>
  </si>
  <si>
    <t>Al Akil</t>
  </si>
  <si>
    <t>5-9086/3-21-427/25-25-2233/1-25-11390/5-158215</t>
  </si>
  <si>
    <t>MSMU2131536-MSNU1002395-MSDU2003945-MSDU2307697-MSDU2574029-GAOU2444242-CAIU6883521-HPCU2301776-</t>
  </si>
  <si>
    <t>BMOU1611747-MSNU3246868-MSMU1421530</t>
  </si>
  <si>
    <t>MRSU0010685</t>
  </si>
  <si>
    <t>TRHU8024311</t>
  </si>
  <si>
    <t>Alyssa</t>
  </si>
  <si>
    <t>MSMU1736775-MSMU2296454</t>
  </si>
  <si>
    <t>MSMU1306727</t>
  </si>
  <si>
    <t>MRKU7933660-HASU1315570</t>
  </si>
  <si>
    <t xml:space="preserve">RNK DISRIBUTION </t>
  </si>
  <si>
    <t>MSMU6681572-MSMU4137549</t>
  </si>
  <si>
    <t>CAAU6082622</t>
  </si>
  <si>
    <t>LMCU9172915-LMCU9168113-CICU2299221</t>
  </si>
  <si>
    <t>TGBU9302809</t>
  </si>
  <si>
    <t>TRDU8702707-MRSU0286919-MRKU6754341</t>
  </si>
  <si>
    <t>TopSaho</t>
  </si>
  <si>
    <t>MRSU0358222</t>
  </si>
  <si>
    <t>CIPU5249781-GCXU5818902-MRSU4052734-MRSU5178183-MRSU6059168-MRSU6199853-TCKU7429636-TCKU7978298-TGBU6657554-TRHU7447113</t>
  </si>
  <si>
    <t>SEGU5144360</t>
  </si>
  <si>
    <t>MSMU7181695-MSNU1501250</t>
  </si>
  <si>
    <t>Spiga</t>
  </si>
  <si>
    <t>5-23974/25-15734</t>
  </si>
  <si>
    <t>HASU4728161-MIEU3040680-MRKU9664956-MSKU3767769-MRKU9172540-TEMU3896410</t>
  </si>
  <si>
    <t>FTAU1473163-MEDU5483218-MEDU2566957-SEGU3687081</t>
  </si>
  <si>
    <t>MSMU3042536</t>
  </si>
  <si>
    <t>HASU1191274</t>
  </si>
  <si>
    <t>CAAU5811062</t>
  </si>
  <si>
    <t>LMCU1255654-LMCU1255952-LMCU1256199-LMCU1256286-LMCU1259053-LMCU1259243-LMCU1260389-LMCU1261385-LMCU1261641-LMCU1252463-LMCU1263963-LMCU1264424-LMCU1264620-LCU1266957-LMCU1268158-LMCU1268348-LMCU1270197-LMCU1272203-LMCU1272986-TGCU2176831</t>
  </si>
  <si>
    <t>MRKU8115735-MRKU9295610</t>
  </si>
  <si>
    <t>MRKU9880600-MRKU8663699-TLLU2231284-HASU4547461-MRSU5954008</t>
  </si>
  <si>
    <t>MSDU7559578-MSMU6126311</t>
  </si>
  <si>
    <t>MSMU6894578-TGCU5106864-MSMU4504264-FCIU5779172</t>
  </si>
  <si>
    <t>MRSU0615784</t>
  </si>
  <si>
    <t>MRSU6498880-BEAU5920159-MRSU4746294-TCKU7081366-MRSU4473224-MRSU5197049-MRSU6263633-CAAU6630095-MRSU5645903-MRSU6054470</t>
  </si>
  <si>
    <t>ARKU2479784</t>
  </si>
  <si>
    <t>MSDU6296055-MSDU7382060-MSMU8316856-MEDU7896376-MSMU6211060</t>
  </si>
  <si>
    <t>BMOU1605024-MEDU6880077-FTAU1342543-TLLU3455381</t>
  </si>
  <si>
    <t>TGBU3062275</t>
  </si>
  <si>
    <t>CMAU8586818</t>
  </si>
  <si>
    <t>FFAU2070294-MEDU4692872</t>
  </si>
  <si>
    <t>MSMU1643815</t>
  </si>
  <si>
    <t>ARKU2377910</t>
  </si>
  <si>
    <t>LMCU1256671-LMCU1268760</t>
  </si>
  <si>
    <t>TEMU5360303-TGBU2178466-CMAU0603170</t>
  </si>
  <si>
    <t>Al AKIL</t>
  </si>
  <si>
    <t>5-30906/25-16152/40-78/5-24427</t>
  </si>
  <si>
    <t>SEKU6792378-MSMU4246787-MSDU7469622</t>
  </si>
  <si>
    <t>SUDU7989393</t>
  </si>
  <si>
    <t>TCKU1196687</t>
  </si>
  <si>
    <t>TLLU2463525</t>
  </si>
  <si>
    <t>TCNU3513867</t>
  </si>
  <si>
    <t>FFAU4216201</t>
  </si>
  <si>
    <t>LMCU1271830-LMCU1259480-LMCU1266598-LMCU1272287-TGHU1582686</t>
  </si>
  <si>
    <t>LMCU1274398-LMCU1267969-LMCU1261066-TEMU5602900-LMCU1161597</t>
  </si>
  <si>
    <t>CMAU0432992-TCLU3706154-TLLU2320360-TEMU2690261-CMAU2344817-CMAU2822428-CMAU2224107-TEMU0986378-TEMU1108227-CMAU2819430-CMAU2816071-FCIU6167530-FCIU4775249-CMAU0554780-CMAU2386860-TCLU3732929-GCXU2398684-CMAU0192016-TLLU2741122-TCLU5734900</t>
  </si>
  <si>
    <t>MSMU6610706-MSDU8862300-MSDU5781077-MSDU8438483-MSDU7974331</t>
  </si>
  <si>
    <t>TGHU1554133</t>
  </si>
  <si>
    <t>TGHU1788506-TCLU3238053</t>
  </si>
  <si>
    <t>MRKU6646780</t>
  </si>
  <si>
    <t>TLLU8311622-TLLU3585744-SUDU7442533</t>
  </si>
  <si>
    <t>5-8707/5-30906/25-16152/25-14518/5-33772</t>
  </si>
  <si>
    <t>5-35936/5-20582/25-12150/5-35271/4-879/5-24455/25-18135/25-14225/-25-16134/5-36757/25-14133/5-29228/5-30131/5-26606/4-1088</t>
  </si>
  <si>
    <t>Barakati</t>
  </si>
  <si>
    <t>MRSU0137638-MRKU8213372</t>
  </si>
  <si>
    <t>SGCU1923661-LMCU1249456</t>
  </si>
  <si>
    <t>MSNU7831963-MSMU8767567</t>
  </si>
  <si>
    <t>MSDU6128241-MSDU6155606-TGBU3882607</t>
  </si>
  <si>
    <t>Warda/La Rose Blanche</t>
  </si>
  <si>
    <t>MRKU5671638-MRKU3044665-MRKU6124912-MSKU1605455-TEMU7265711</t>
  </si>
  <si>
    <t>MRSU4991943-TGBU5401681</t>
  </si>
  <si>
    <t>MRKU9268425-MRKU8114003</t>
  </si>
  <si>
    <t>MSMU3506046-MSNU3028423</t>
  </si>
  <si>
    <t>MSDU2153138-MSNU1527450</t>
  </si>
  <si>
    <t>ARKU2378156-ARKU2240594-ARKU2287267</t>
  </si>
  <si>
    <t>47-151/5-12917/4-894/25-1185/30-1454/5-24669/25-19099/25-14451/5-26606/5-28398/-5-24454</t>
  </si>
  <si>
    <t>MSDU21601236-MSDU2621619</t>
  </si>
  <si>
    <t>ARKU2447386-ARKU2392323</t>
  </si>
  <si>
    <t>YOIU1180234</t>
  </si>
  <si>
    <t>MSDU1180566-MSNU3555126-MSNU2678893</t>
  </si>
  <si>
    <t>MSKU7003012-MSKU5427979-MRKU7007504-MSKU5846960-MSKU3916604-SUDU1746924-PONU00540690-MVIU2009105-MSKU7607537-MSKU7129443</t>
  </si>
  <si>
    <t>MSMU6784565-MSMU8000868-MSMU4768729-MSMU7787131-MSMSU4721676</t>
  </si>
  <si>
    <t xml:space="preserve">HK ENTREPRISE </t>
  </si>
  <si>
    <t>Sparoni/Nâama</t>
  </si>
  <si>
    <t>MSNU3293216</t>
  </si>
  <si>
    <t>MSMU2247167-MSNU2663975-MSMU2558235-MSNU1464475-MSMU3407167</t>
  </si>
  <si>
    <t>TLLU203735</t>
  </si>
  <si>
    <t>MSMU1202846-MSMU2345517-MSMU1736815-MSNU31099994-MSMU1087275-MEDU5947068</t>
  </si>
  <si>
    <t>MSNU8041726</t>
  </si>
  <si>
    <t>CORU2617848-CORU2431730</t>
  </si>
  <si>
    <t>CMAU3695781</t>
  </si>
  <si>
    <t>LMCU1266432-LMCU1262890-LMCU1269299-LMCU1274612-LMCU1274000-LMCU1256326-LMCU1269600</t>
  </si>
  <si>
    <t>CORU2618905-GAOU2466339</t>
  </si>
  <si>
    <t>MSNU7280984-MSMU4321411</t>
  </si>
  <si>
    <t>REM113617</t>
  </si>
  <si>
    <t>REM102962</t>
  </si>
  <si>
    <t>MSDU5815264-MSDU2066326-MSMU3331591</t>
  </si>
  <si>
    <t>TLLU2399149-MRSU0535950-MRSU0470042</t>
  </si>
  <si>
    <t>TGBU9924192-MSDU6734167-MSMU7934593</t>
  </si>
  <si>
    <t>TGBU4315193</t>
  </si>
  <si>
    <t>TLLU5774562</t>
  </si>
  <si>
    <t>LMCU1266582-TCLU1964416-LMCU1265647-LMCU1262381-LMCU1275286-LMCU1266330</t>
  </si>
  <si>
    <t>40-6-10-25-9147</t>
  </si>
  <si>
    <t>5-23449/5-14205/5-33768</t>
  </si>
  <si>
    <t>LMCU1254621-LMCU1233280-LMCU1121552-LMCU1217567-LMCU1163455-TEMU5475365</t>
  </si>
  <si>
    <t>MSMU5546027-MSDU6008170-MSDU2904075-MSMU3511314-MSMU2171580-MSDU5305173-FFAU1240190-LYGU1602896-RFSU3014089</t>
  </si>
  <si>
    <t>MSNU2607502</t>
  </si>
  <si>
    <t>CAAU7359270</t>
  </si>
  <si>
    <t>LMCU1269895-LMCU1260162-LMCU1271167-LMCU1158736-LMCU1273452</t>
  </si>
  <si>
    <t>TCKU7447769-GCXU5735454</t>
  </si>
  <si>
    <t>Pasty</t>
  </si>
  <si>
    <t>SEKU6909612</t>
  </si>
  <si>
    <t>MEDU8816143</t>
  </si>
  <si>
    <t>5-31085/5-12917/40-44</t>
  </si>
  <si>
    <t>Amunchi</t>
  </si>
  <si>
    <t>MSNU3064499-MSMU3006879-MSMU1007618-MSNU2125186-MSNU3284493-MSMU3399919-MSNU3064518-MSNU1193364-MSMU2145859-MSMU1214467-MSMU2740450-MSDU2818146</t>
  </si>
  <si>
    <t>Warda/Nâama</t>
  </si>
  <si>
    <t>TXGU6755912-MSNU5009335</t>
  </si>
  <si>
    <t>MRKU6766750</t>
  </si>
  <si>
    <t>REM113657</t>
  </si>
  <si>
    <t>REM113616</t>
  </si>
  <si>
    <t>MSMU1604193-MSNU2090180-MSMU2389520-MSNU2677027-MSMU1835063-FTAU1523829-MSNU2475540-MSNU2480418-MNU2677161-MSNU2483675</t>
  </si>
  <si>
    <t>GCXU5381767</t>
  </si>
  <si>
    <t>TRHU4660980</t>
  </si>
  <si>
    <t>MSNU3508274-MSNU2041246-MSBU2031451-MSNU1781865-MSNU1773068</t>
  </si>
  <si>
    <t>CAIU4719252-MRSU4801447-MRSU3202315-TCNU3196783</t>
  </si>
  <si>
    <t>LMCU1255905-LMCU1260795-LMCU1271064</t>
  </si>
  <si>
    <t>TCLU3451048-IKSU2608384-IKSU2609523-LMCU1191966</t>
  </si>
  <si>
    <t>MRSU0561749-UETU2969000</t>
  </si>
  <si>
    <t>MSDU8723304</t>
  </si>
  <si>
    <t>DP044RN</t>
  </si>
  <si>
    <t>Abibel</t>
  </si>
  <si>
    <t>LMCU1272456-IKSU2608506</t>
  </si>
  <si>
    <t>TLLU8520052</t>
  </si>
  <si>
    <t>MRSU0333749-TLLU2357326</t>
  </si>
  <si>
    <t>MRSU4290780-BEAU5736590</t>
  </si>
  <si>
    <t>FFAU21793930</t>
  </si>
  <si>
    <t>ARKU2215890-ARKU2422095</t>
  </si>
  <si>
    <t>TIIU2105957-STJU2000708-MRSU0383884-TIIU2252897-TIIU2098035-UETU2964610-UETU2968678-UETU2968467-UETU2962598-UETU2965494</t>
  </si>
  <si>
    <t>TGBU3992250-UETU2282297</t>
  </si>
  <si>
    <t>MSMU1769070-MSNU1192459-MSBU2021113-MSDU2441941-MSNU1414957-MSMU1715094-MSNU3331759-MSMU3435153-MSMU2191345-SEKU1340210-MSDU2164390-MSMU2719303-MSNU2348675</t>
  </si>
  <si>
    <t>MRSU5093825-MRSU4908306</t>
  </si>
  <si>
    <t>UETU2963526-TIIU2252979-STJU2015077-MRSU0395340-MRSU0386353</t>
  </si>
  <si>
    <t>MRSU4745791-HASU4582610</t>
  </si>
  <si>
    <t>ARKU2401981-ARKU2388133</t>
  </si>
  <si>
    <t>MSMU1551560-GAOU2470344</t>
  </si>
  <si>
    <t>MEDU4744554-TRHU6824660-MSMU7299013</t>
  </si>
  <si>
    <t>XA 427 TG</t>
  </si>
  <si>
    <t>HASU4340160-MRKU4300150-MRKU6127697</t>
  </si>
  <si>
    <t>ARKU2410242</t>
  </si>
  <si>
    <t>MSMU8994956</t>
  </si>
  <si>
    <t>TRHU1137002</t>
  </si>
  <si>
    <t>LMCU1273806-LMCU1265101-LMCU1258268-TGCU2207589-LMCU1258102-LMCU1273581-TRHU3826192-IKSU2612954-LMCU1262777-LMCU1268501-LMCU1255700-TRDU6797600-TRDU6797811-LMCU1268604-LMCU1261240-VSTU2046336</t>
  </si>
  <si>
    <t>MSNU3689850-UETU2886121-GAOU2421329-MSMU1840326-MSMU1938312-</t>
  </si>
  <si>
    <t>Barakatti</t>
  </si>
  <si>
    <t>TCLU2318468-SUDU7675664-HASU1478834-MRKU8811570</t>
  </si>
  <si>
    <t>25-15626/8-13297/5-22699/4-1179/5-33162/5-34926/25-14218/5-17281</t>
  </si>
  <si>
    <t>WONDERCHAIN</t>
  </si>
  <si>
    <t>Diana</t>
  </si>
  <si>
    <t>APZU2114418-TRHU1109593</t>
  </si>
  <si>
    <t>CMAU8813125</t>
  </si>
  <si>
    <t>ARKU2344686-ARKU2282687</t>
  </si>
  <si>
    <t>TTNU1148325</t>
  </si>
  <si>
    <t>MSNU1422232-MSMU1718787-MSNU2488213-MSNU3284507</t>
  </si>
  <si>
    <t>CAAU8116911-MSMU1895139-MSMU6312039-CAIU4885227-MSBU5181060-TXGU5481988-MSNU7277424-MSMU3286553-MSMU1948630</t>
  </si>
  <si>
    <t>TRHU4857048-TCKU6950280</t>
  </si>
  <si>
    <t>HASU1226684</t>
  </si>
  <si>
    <t>CMAU9679920</t>
  </si>
  <si>
    <t>XA 249 HZ</t>
  </si>
  <si>
    <t>MSNU1400660-MSDU2636408-MSMU3390207-HPCU2301776-MSNU2116330</t>
  </si>
  <si>
    <t>ARKU2315754</t>
  </si>
  <si>
    <t>MSNU5525163-MSDU2231668</t>
  </si>
  <si>
    <t>MSMU2655235</t>
  </si>
  <si>
    <t>MSKU3985360-MRKU7491424-MRKU6990460-MRKU6782451-SUDU7623212</t>
  </si>
  <si>
    <t>CMAU3233227-TRHU2931399</t>
  </si>
  <si>
    <t>AW 127 YX</t>
  </si>
  <si>
    <t>AT 023 YQ</t>
  </si>
  <si>
    <t>MSDU1992960</t>
  </si>
  <si>
    <t>ARKU2367146</t>
  </si>
  <si>
    <t>DP 101 RN</t>
  </si>
  <si>
    <t>AT 926 YP-AN 475 XZ</t>
  </si>
  <si>
    <t>XA 253 HZ</t>
  </si>
  <si>
    <t>4-1011/26-240/25-15034/47-88/47-11-5-31831</t>
  </si>
  <si>
    <t>MSBU3246686</t>
  </si>
  <si>
    <t>MSMU1221511</t>
  </si>
  <si>
    <t>TLLU2473903</t>
  </si>
  <si>
    <t>Sparoni/Warda</t>
  </si>
  <si>
    <t>MSMU1330699-MSMU3315378-MSMU2744688-MSMU2629339-CAAU2054582-MSNU3187981</t>
  </si>
  <si>
    <t>MSMU4822075-FTAU1381703</t>
  </si>
  <si>
    <t>UETU2960050</t>
  </si>
  <si>
    <t>MSDU8844440-MSDU5294021-MSMU4121882-MEDU4862270</t>
  </si>
  <si>
    <t>LMCU1275007</t>
  </si>
  <si>
    <t>MSMU1044852-MSDU2891300-MSMU2967716</t>
  </si>
  <si>
    <t>MSMU6389025</t>
  </si>
  <si>
    <t>Santa Maria/Warda</t>
  </si>
  <si>
    <t>LMCU9170764-LMCU1265740</t>
  </si>
  <si>
    <t>Houchi</t>
  </si>
  <si>
    <t>5-24131/25-16058/5-24583</t>
  </si>
  <si>
    <t>ARKU2398701</t>
  </si>
  <si>
    <t>ARKU2414741-ARKU2378829</t>
  </si>
  <si>
    <t>MSMU2176295-MSNU1345835</t>
  </si>
  <si>
    <t>CV 167  NF</t>
  </si>
  <si>
    <t>MSMU2096950-MSNU1021570-MSNU1086689-CORU2560275</t>
  </si>
  <si>
    <t>TGCU2162057-MSDU1895955</t>
  </si>
  <si>
    <t>AT 863 YP - DP 485 QR</t>
  </si>
  <si>
    <t>FSCU8839485-MSMU6006773</t>
  </si>
  <si>
    <t>MSNU3128680-MSBU3270661-MSDU1686169</t>
  </si>
  <si>
    <t>4-899/25-15251</t>
  </si>
  <si>
    <t>HPCU2679426-UETU2884258-GAOU2464892-HPCU2348330-MSMU3025040-MSMU3087576-MSMU1396621-MSMU4082019</t>
  </si>
  <si>
    <t>CMAU2704087-CMAU2624778</t>
  </si>
  <si>
    <t>TIIU4828127-MSNU6033439-MSDU5307427-CAAU8164118-MSNU9043071-MSNU5596675-MSNU8598440-MSBU2019862-MSNU1921680-MSNU2806171</t>
  </si>
  <si>
    <t>CAAU6683773-FFAU5224813-MRSU4202515-MRSU4832031-MRSU6051228-TCKU6528932-TCKU6971160-TIIU5282724-TIIU5282766-TIIU5840019-TRHU7676151-TRHU8422589 </t>
  </si>
  <si>
    <t>MSNU9642608-MSMU6398325-TGBU9380416-MSMU5762638-MSNU8030249-MSMU7861603-MSDU6068857</t>
  </si>
  <si>
    <t>MSMU3372034-MSBU2020230-MSMU1978423-MSNU3085547-SEKU1322089</t>
  </si>
  <si>
    <t>MSMU310870-MSMU2178019-MSMU1510221-MSMU2003392-MSNU2971284</t>
  </si>
  <si>
    <t>LYGU1594609-MSNU3199468-CAIU3600525-GAOU2374063</t>
  </si>
  <si>
    <t>TGCU5324336</t>
  </si>
  <si>
    <t>MSNU9022320</t>
  </si>
  <si>
    <t>MRSU7682643</t>
  </si>
  <si>
    <t>CR 756 BR</t>
  </si>
  <si>
    <t>MSMU1646809-MSNU1802361-MEDU5320139</t>
  </si>
  <si>
    <t>MSNU3610136</t>
  </si>
  <si>
    <t>MSDU1728916-MSDU2490479</t>
  </si>
  <si>
    <t>CMAU7298890</t>
  </si>
  <si>
    <t>CMAU4867951</t>
  </si>
  <si>
    <t>25-15276/8-13297/5-32375/5-25565/5-32207/25-15945/5-34592/25-15314/8-9606/4-596/14-2262/5-31804</t>
  </si>
  <si>
    <t>MSBU2009416</t>
  </si>
  <si>
    <t>TLLU5116010</t>
  </si>
  <si>
    <t>5-24131/10-9-1016</t>
  </si>
  <si>
    <t>FE 970 BN</t>
  </si>
  <si>
    <t>DW 951 PZ - CT 941 JV</t>
  </si>
  <si>
    <t>5-31881/25-12290/5-25565/25-16914</t>
  </si>
  <si>
    <t>5-28106/25-14225/14-2393/5-26066/6-1157/5-31029/25-15367/25-15315/14-1400/8-13297/5-18815/25-14191</t>
  </si>
  <si>
    <t>TCLU3250017-ARKU2304786</t>
  </si>
  <si>
    <t>CMAU3819774</t>
  </si>
  <si>
    <t>TLLU4165089</t>
  </si>
  <si>
    <t>MSDU5198202-TIIU5987273</t>
  </si>
  <si>
    <t>MSMU3233222-FCIU5868937-MSDU1896566-MSMU1400034-MSNU2344263</t>
  </si>
  <si>
    <t>MSDU1300403-MSDU2041155</t>
  </si>
  <si>
    <t>MSDU2086364-GLDU0135250-MSNU2785401</t>
  </si>
  <si>
    <t>TGCU5423771</t>
  </si>
  <si>
    <t>DP 616 QR</t>
  </si>
  <si>
    <t>LMCU9193836</t>
  </si>
  <si>
    <t>ARKU2436191-ARKU2212381</t>
  </si>
  <si>
    <t>TLLU4313982-MSMU1044000</t>
  </si>
  <si>
    <t>TGBU3964095-CARU2192446-UESU2381250-MSMU1479300-MSNU3695365-TCKU3075663-HPCU2501476-TLLU3299139-MSMU2402495-MSNU3216673-MSNU1450570-MSNU1828319-MSMU1032673-MSMU1190067-MSDU1054212-TEMU1737174-MSMU3391292-MSMU3285460</t>
  </si>
  <si>
    <t>AY 321 WX</t>
  </si>
  <si>
    <t>GP 399 EC - GX 053 ZK</t>
  </si>
  <si>
    <t>SEKU5637335</t>
  </si>
  <si>
    <t>TEXU1555384-MSDU1706630-MSMU1128501-FCIU6447681</t>
  </si>
  <si>
    <t>MSNU3264877</t>
  </si>
  <si>
    <t>CXDU2146886-MEDU6932000-MSDU1443467-MSMU3490633-MEDU5496935-TGBU3901693-DFSU2713051-TRLU9353984-SEKU1323887-FCIU4203855</t>
  </si>
  <si>
    <t>MRKU8856722</t>
  </si>
  <si>
    <t>ARKU2305313-ARKU2231680</t>
  </si>
  <si>
    <t>CAAU5787958-MSDU6973881-MSMU5506894-MSDU8923323-MSMU5571647-MSMU4078765-TIIU4175357-MSDU7319242-MSDU7066400-MSNU8544119</t>
  </si>
  <si>
    <t>CAAU7257129</t>
  </si>
  <si>
    <t>TCNU3234420</t>
  </si>
  <si>
    <t>5-26066/5-5331/47-175/25-15314/5-28459</t>
  </si>
  <si>
    <t>Sodic</t>
  </si>
  <si>
    <t>DW 063 QA - CV 068 PR</t>
  </si>
  <si>
    <t>DW 981 PZ - DW 034 QA</t>
  </si>
  <si>
    <t>MSNU2645760</t>
  </si>
  <si>
    <t>Elyssa</t>
  </si>
  <si>
    <t>MEDU5999077-XHCU2467659</t>
  </si>
  <si>
    <t>MSMU6690450-MSDU2188010</t>
  </si>
  <si>
    <t>MEDU5260364-MSDU2528194-HPCU2496148-MSNU1510185-MSMU2664010-MSMU2227941</t>
  </si>
  <si>
    <t>MSNU1353234-MEDU5324920-CORU2572867-MSMU151776-MSDU2468808-MSDU1581790-MEDU5115330-MSNU3580129</t>
  </si>
  <si>
    <t>FTAU1246010-BMOU2094741-TGHU2960040</t>
  </si>
  <si>
    <t>MSNU1074374-MSNU1410036</t>
  </si>
  <si>
    <t>MSDU1012840-MSMU1948938</t>
  </si>
  <si>
    <t>CMAU2342481-SEGU1858396-CMAU2237790</t>
  </si>
  <si>
    <t>MRSU0607080</t>
  </si>
  <si>
    <t>TIIU2118810</t>
  </si>
  <si>
    <t>LYGU0100846</t>
  </si>
  <si>
    <t>MSMU3362062-MSMU3005618-MSDU1130755</t>
  </si>
  <si>
    <t>50-98/25-15129/25-14414/30-3395/5-27926/5-28256/25-16226/5-38142</t>
  </si>
  <si>
    <t>GAOU2370746-MSNU1361970-MSDU2268435-MSDU2071528-MSMU1931175-HPCU2292930-MSDU1111708-MSDU1370177-MEDU6193640-MSMU1271554</t>
  </si>
  <si>
    <t>TCKU1463130</t>
  </si>
  <si>
    <t>HASU1307929-MRKU6599862-HASU1409582-CAAU2244978</t>
  </si>
  <si>
    <t>MSMU4264395</t>
  </si>
  <si>
    <t>MSNU6100769MSDU8357801-MSDU6157975-MSDU8616630</t>
  </si>
  <si>
    <t>ARKU2317551-ARKU2361873</t>
  </si>
  <si>
    <t>MSMU2234787-MSDU1001300-HPCU2541740-RFSU3057373-CAIU6930562-MSNU1215127-TGHU1827500</t>
  </si>
  <si>
    <t>MSNU1905143-MSDU2402333-TLLU3427724-MSNU3007945-TGBU1005960</t>
  </si>
  <si>
    <t>FDCU0053700-MSCU4977170-CAAU7837750-MSMU8400890-TRHU6221414-MSMU7657328-MSNU7777311-MSMU7278509</t>
  </si>
  <si>
    <t>FTAU1249889-MEDU6311656</t>
  </si>
  <si>
    <t>MSDU8805911-MSMU5760240-MSNU8578124</t>
  </si>
  <si>
    <t>CRSU1483018-MSNU1245409-CAIU6151665-MSDU1717824-MSMU1486470-MEDU5951474-MEDU5054640-UETU2591368-MSDU1017369-MSMU1282055-MSDU2517266-MSDU2717270-MSNU1236990-MSNU3595005-MSNU3149195-TEMU3662027-MSMU2012840-MEDU1060033-MEDU5940320-MSNU3559800</t>
  </si>
  <si>
    <t>MSDU1560376-MEDU5572906-DFSU1527793-MSMU3032564-MSDU2409765-MSMU3322199-MSMU1240698-MSDU1101485-MEDU1832918-MEDU5706688-TGBU3832231-MSMU1549100</t>
  </si>
  <si>
    <t>DP606QR-BB797AM</t>
  </si>
  <si>
    <t>MSMU2483183-MSMU3291098-MSDU1924863-TGCU0142600-TRHU2296020-MSDU2561891-MSMU1135990</t>
  </si>
  <si>
    <t>MRKU8333296-GESU1330970-MRKU8111787-MRKU9968310-TLLU2228280-TRLU9179738-MRKU7648149-MRKU7885222-TTNU1145542-MSKU2785644-CAAU6485823-SUDU7825743-TCLU3403121</t>
  </si>
  <si>
    <t>ARKU2222250-ARKU2371296</t>
  </si>
  <si>
    <t>TRHU7289661-CAAU5269990-SEKU6874590</t>
  </si>
  <si>
    <t>MAdagascar</t>
  </si>
  <si>
    <t>DP573QR</t>
  </si>
  <si>
    <t>DP529QR-AY321WZ</t>
  </si>
  <si>
    <t>CB93563</t>
  </si>
  <si>
    <t>XA399TG</t>
  </si>
  <si>
    <t>GCXU5763498</t>
  </si>
  <si>
    <t>MSMU4459925-MSNU5936646-HPCU2307455-MSNU1064400-MSDU1939755-TLLU8605545-FFAU1658391-MSMU5298342-MSNU2695798</t>
  </si>
  <si>
    <t xml:space="preserve">AL SAHL </t>
  </si>
  <si>
    <t>5-35882/26-258</t>
  </si>
  <si>
    <t>5-28062/25-208/5-32860/25-27/27-12961/5-31180/5-31098/5-28434/5-28130/25-24/25-15454</t>
  </si>
  <si>
    <t>25-15945/25-15314/5-35869/5-34592</t>
  </si>
  <si>
    <t>5-13508/40-20/25-16921/25-15470/25-16964/5-33772/40-19/5-4361</t>
  </si>
  <si>
    <t>CAAU8650547</t>
  </si>
  <si>
    <t>MEDU5898791-MSMU1253545-MSDU2846560-MSMU2408404</t>
  </si>
  <si>
    <t>MSMU5350902-MSDU8230273-MSNU9034974-MSMU8076863-TCNU1359921-MSDU5515518</t>
  </si>
  <si>
    <t>MSMU5606321-MSNU5504494</t>
  </si>
  <si>
    <t>TEMU5291157-CMAU1973158</t>
  </si>
  <si>
    <t>MSMU6747324-CAIU4871990-TRHU7561168-TGBU5790789-TRHU7729523-MSDU8759122-MSNU7110524-CAAU8085220-MSNU7885384-TGBU7478580-MSNU3224220-MSNU1932072-MSMU3241590-MSBU3228105-GAOU2460114-MSMU1436124-</t>
  </si>
  <si>
    <t>MSNU7199867-MSBU5509020-MSNU6562601-FFAU1915150-MSCU5189336-MSDU6096545-MSNU7147781-MEDU4721991-MSDU8195465-BEAU4281829-MSDU5394442-MSDU8362578</t>
  </si>
  <si>
    <t>CAAU9183637-GCXU6271379</t>
  </si>
  <si>
    <t>CAAU8348898-MRSU4443410</t>
  </si>
  <si>
    <t>AF37131-CR238AS-XA164CP</t>
  </si>
  <si>
    <t>CMAU2808292-CMAU3245640-CMAU2755227-TEMU0026021-CMAU2503631-FTAU1853517-CMAU3042051-GLDU5402430-CMAU3292657-TEMU4251801</t>
  </si>
  <si>
    <t>ARKU2476002-ARKU2406920</t>
  </si>
  <si>
    <t>CAIU7740130</t>
  </si>
  <si>
    <t>CORU2422954-MSNU1219143-FYCU7081222-MSDU2819883-MSDU2353202</t>
  </si>
  <si>
    <t>MSNU1413415</t>
  </si>
  <si>
    <t>Primavera</t>
  </si>
  <si>
    <t>LMCU1257364-LMCU1256990-LMCU1322372-LMCU1274607-LMCU1275460-LMCU1268590-LMCU1263217</t>
  </si>
  <si>
    <t>kenya</t>
  </si>
  <si>
    <t>MSBU5443555</t>
  </si>
  <si>
    <t>FFAU3796018</t>
  </si>
  <si>
    <t>CAAU7910547</t>
  </si>
  <si>
    <t>CAAU7898122-MSDU5164943</t>
  </si>
  <si>
    <t>MSNU3552507-MSNU1800986-MSNU1413185</t>
  </si>
  <si>
    <t>28/02/2025-03/03/2025</t>
  </si>
  <si>
    <t>CORU2616775-MSNU2627068-MSNU1902118-MSMU1130896-MSNU1850781-MSMU1876437-MSNU3672668-MSNU1354734-MSNU9026074</t>
  </si>
  <si>
    <t>UETU2063993-MRKU8632234-BMOU2891880-MRKU7266090-SUDU1764580-MSKU7790089-TCKU1127161-TCLU2529326</t>
  </si>
  <si>
    <t>DH825WD</t>
  </si>
  <si>
    <t>DP064RN-DP127RN-XA252HZ</t>
  </si>
  <si>
    <t>FTAU1851366-CMAU0972434-CMAU2318910-CMAU2324030-TCLU7442661-FTAU1823702-CMAU2744881-TCLU7445871</t>
  </si>
  <si>
    <t>9618 tu 133</t>
  </si>
  <si>
    <t>Arabie Saoudie</t>
  </si>
  <si>
    <t>25-14407/5-17281/5-32375/40-101/5-28286/25-16914/4-1130/8-13297/4-1179/5-25-1950</t>
  </si>
  <si>
    <t>GreenWorld</t>
  </si>
  <si>
    <t>MSDU6154390</t>
  </si>
  <si>
    <t>MRSU0610289-MRSU0564630-TCKU1268977-HACU1070708</t>
  </si>
  <si>
    <t>MSDU2774536-TGBU3548415-MSMU1773995</t>
  </si>
  <si>
    <t>TCLU3973422-MAGU2495310-TCLU7445444</t>
  </si>
  <si>
    <t>CICU9776774</t>
  </si>
  <si>
    <t>MSBU3127748-MSMU1486130-MSNU1117162</t>
  </si>
  <si>
    <t>MSBU3118345-MSDU1991178-UETU2874429-MSMU3279873</t>
  </si>
  <si>
    <t>MSNU2112210-MSDU1013490-MSMU2722694-MSMU1375630</t>
  </si>
  <si>
    <t>TLLU3428827-MSBU3232358-MSNU1254524-UETU2863384</t>
  </si>
  <si>
    <t>ARKU2475201-ARKU2470200</t>
  </si>
  <si>
    <t>ARKU8462773</t>
  </si>
  <si>
    <t>CAAU8155902-MSDU8678822-TLLU7914422-MSDU8795881-FCIU8776407-MSMU5241898-TGBU5454737-MSCU5170032-SEGU6085529-MEDU7096310-MSNU6689833-CAIU4843453</t>
  </si>
  <si>
    <t>MSNU7605755-CAIU7776472-MSMU5542700-MSNU7122295-MSCU5225027-FFAU3059730-MEDU9414257-CAAU9221146-TRHU7435508-TXGU5482942-MSNU7077149-MSCU5468074</t>
  </si>
  <si>
    <t>MRSU5325828-MRSU4970128</t>
  </si>
  <si>
    <t>MRKU9510077</t>
  </si>
  <si>
    <t>MSDU1300321-MSMU1589870</t>
  </si>
  <si>
    <t>FTAU1518519</t>
  </si>
  <si>
    <t>MSMU2316410-MSNU3743041-MSMU1562863-MSDU2940581-HPCU2305961-MSMU2941060-MSMU2573142-MSNU1755357-MSNU3096691-MSDU2940046</t>
  </si>
  <si>
    <t>MSKU5832550-TCKU3474874-MRKU6928865-MRKU8757041</t>
  </si>
  <si>
    <t>115 TU 48</t>
  </si>
  <si>
    <t>Malaisie</t>
  </si>
  <si>
    <t>Lumière</t>
  </si>
  <si>
    <t>MSMU6347441-FFAU3076022</t>
  </si>
  <si>
    <t>MSDU2820708-HPCU2362621-MSMU1907590-MSNU2929828-MSNU2392976</t>
  </si>
  <si>
    <t>SUDU1764363</t>
  </si>
  <si>
    <t>CAAU7699476</t>
  </si>
  <si>
    <t>MSNU1106975-MSMU2532863</t>
  </si>
  <si>
    <t>TRHU8950230</t>
  </si>
  <si>
    <t>GAOU7033692</t>
  </si>
  <si>
    <t>CMAU8843032</t>
  </si>
  <si>
    <t>TIIU4798660</t>
  </si>
  <si>
    <t>MRSU6308532</t>
  </si>
  <si>
    <t>MSDU1353297-HPCU2508737</t>
  </si>
  <si>
    <t>MSNU2704523-MSDU1771445</t>
  </si>
  <si>
    <t>HPCU2639125-SEKU1324306-MSDU2888415-TGBU3804040-MSNU2935435</t>
  </si>
  <si>
    <t>SEGU6996314</t>
  </si>
  <si>
    <t>SUDU7948141-TIIU2250385-MRSU0033783-MRKU8206162-TRHU3805538-TRLU9362287-TRHU3802307-STJU2000020-MSKU7030661-PONU2071035</t>
  </si>
  <si>
    <t>CAIU6280370-SUDU7498770-UETU2934739-TRHU1762653-MRKU8985843-MSKU4093814-MSKU5886303-MSKU7041563</t>
  </si>
  <si>
    <t>TGBU3512921-TGBU2655018</t>
  </si>
  <si>
    <t>MSBU5270505-MSDU5164141</t>
  </si>
  <si>
    <t>TLLU7918566-FFAU3719808</t>
  </si>
  <si>
    <t>GCXU2550610</t>
  </si>
  <si>
    <t>TIIU4422837-TCLU7731480</t>
  </si>
  <si>
    <t>MSMU2114776-MEDU5911126-MSMU2539868-MSNU2670850</t>
  </si>
  <si>
    <t>14/04/2025</t>
  </si>
  <si>
    <t>TGCU2119019-TGBU3223507-TLLU3419759-MEDU5729153-MSMU3319467-MSMU2289985-MEDU5275739-MSNU2710439-MSBU2039534-MSNU2967160-MSDU1479583-MSNU1107879-MSDU1487249-MSNU1833207-CAIU6149610-MSBU3098228-MSDU2475474-MSDU2404758-MSNU3039731-MSNU3207650</t>
  </si>
  <si>
    <t>MRSU0179839-TLLU2396406-MRKU9701896-MRKU6773763-MRSU0496263-MRKU8099399-MRSU0446220-TCLU3056608</t>
  </si>
  <si>
    <t>SUDU9656250-SEKU4598764</t>
  </si>
  <si>
    <t>MSNU1481549-MSDU2906463</t>
  </si>
  <si>
    <t>MSKU3551569-MRKU8065613-MRKU8743665-HASU1069688-CXDU1198252</t>
  </si>
  <si>
    <t>30/04/2025&amp;07/05/2025</t>
  </si>
  <si>
    <t>MSNU5541862</t>
  </si>
  <si>
    <t>FBIU0454779-FYCU7081238-HPCU2301251-MSMU1609894-MSMU1632214-SEGU3680826-TCLU2659150-MSDU2110100-MSMU2031901-TRHU2066578</t>
  </si>
  <si>
    <t>XA 407 TG</t>
  </si>
  <si>
    <t>DT 329 CQ</t>
  </si>
  <si>
    <t>23/04/2025</t>
  </si>
  <si>
    <t>MEDU2611830-TCLU6924490-TEMU5399291-LYGU1607440-MSBU1134542-MSNU3130651-RFSU3011069</t>
  </si>
  <si>
    <t>MSBU1294242-MSBU1125860</t>
  </si>
  <si>
    <t>25/04/2025</t>
  </si>
  <si>
    <t>25-13913/25-15256/5-32375/8-13297/25-16914/5-15232/5-25565/4-1179/25-14762/25-18955</t>
  </si>
  <si>
    <t>29/04/2025</t>
  </si>
  <si>
    <t>MSNU3686960-MSNU1980487-MSNU2933896</t>
  </si>
  <si>
    <t>TGBU3983243-MSDU1804322-MSNU3605119-MSDU2233866</t>
  </si>
  <si>
    <t>MRKU8185373-TEMU1363979-SUDU7807800-TLLU2234067-MRSU0215896-MRKU6940011-MRKU9366709-MSKU5434345-TIIU2072730-TRHU2979303</t>
  </si>
  <si>
    <t>MEDU3230041-TLLU3419002</t>
  </si>
  <si>
    <t>CORU2555324-MSNU7765347</t>
  </si>
  <si>
    <t>MSMU3526090</t>
  </si>
  <si>
    <t>MSMU7373907-TGBU4300594-MSMU7652408</t>
  </si>
  <si>
    <t>BSIU3239321-CULU1802938-CULU1936705-BSIU3322266-VSTU2416472</t>
  </si>
  <si>
    <t>LMCU1318120-LMCU1257472-LMCU1265185-LMCU1275497-LMCU1315692-LMCU1260774-LMCU1256331-LMCU1325330-LMCU1275476</t>
  </si>
  <si>
    <t>MSDU1920805-MSMU3351936-MSMU2216504-FYCU7067841</t>
  </si>
  <si>
    <t>CAIU4918887-TGBU7949458-MSNU5018770-MSDU7537440-MSBU6595151-UETU7919927</t>
  </si>
  <si>
    <t>MSNU2250251-MSNU1986799-MSMU1990326-MSMU1197884</t>
  </si>
  <si>
    <t>MSBU3294642-MSNU2967242-MSMU3445444</t>
  </si>
  <si>
    <t>HPCU2378490-GAOU2463392-MSNU2663337-UETU2869314</t>
  </si>
  <si>
    <t>MSNU1737013-MSNU2090981-MRKU3663485</t>
  </si>
  <si>
    <t>Grispa</t>
  </si>
  <si>
    <t>MSNU3070660</t>
  </si>
  <si>
    <t>FFAU2505057</t>
  </si>
  <si>
    <t>MEDU4639559</t>
  </si>
  <si>
    <t>MRSU5216745-SUDU6529881-MEIU3055968-CAAU8472342-FFAU4844677-MRKU6171534-CAAU8982454-CAAU7422244-MRSU3550310-MRSU3617292-MRSU3076897-HASU5020881-MRSU6135674-MRKU8118554-TTNU1143133</t>
  </si>
  <si>
    <t>MSNU1588177-MSMU3531861-MSDU2433226-CAOU2454750</t>
  </si>
  <si>
    <t>HPCU2342121-CORU2618335</t>
  </si>
  <si>
    <t>MSDU2522133</t>
  </si>
  <si>
    <t>MSMU1155699</t>
  </si>
  <si>
    <t>RFSU3060103</t>
  </si>
  <si>
    <t>MSNU7089216-MSDU8485220</t>
  </si>
  <si>
    <t>FAE-25-00146</t>
  </si>
  <si>
    <t>13/05/2025</t>
  </si>
  <si>
    <t>SEKU6920205-SEKU6977181</t>
  </si>
  <si>
    <t>UETU7505249</t>
  </si>
  <si>
    <t>UETU7355560</t>
  </si>
  <si>
    <t>TXGU4410357</t>
  </si>
  <si>
    <t>ECMU7184231</t>
  </si>
  <si>
    <t>FAE-25-00152</t>
  </si>
  <si>
    <t>Santa Maria</t>
  </si>
  <si>
    <t>Burandi</t>
  </si>
  <si>
    <t>14/05/2025</t>
  </si>
  <si>
    <t>25-160101</t>
  </si>
  <si>
    <t>16/05/2025</t>
  </si>
  <si>
    <t>MSDU1164729-MSDU2549807-MSNU1505804-MSNU3312337-MSDU1908013</t>
  </si>
  <si>
    <t>MSDU2251031</t>
  </si>
  <si>
    <t>26/05/2025</t>
  </si>
  <si>
    <t>AN475 XZ-XA784WJ</t>
  </si>
  <si>
    <t>25-14407</t>
  </si>
  <si>
    <t>40-103/25-16152/5-27928/5-31932/5-33859/68-5/5-30304-5-22217/</t>
  </si>
  <si>
    <t>23/06/2025</t>
  </si>
  <si>
    <t>MSNU1476943</t>
  </si>
  <si>
    <t>FFAU4137740</t>
  </si>
  <si>
    <t>µ</t>
  </si>
  <si>
    <t>MSNU1203337</t>
  </si>
  <si>
    <t>FWRU0209846</t>
  </si>
  <si>
    <t>LYGU0125227-XHCU2461060</t>
  </si>
  <si>
    <t>13/06/2025</t>
  </si>
  <si>
    <t>HPCU2355514-MSDU2385982-MSMU2110981-MSNU1190055-MSNU3342178-MSNU1826790-MSMU1312057</t>
  </si>
  <si>
    <t>25-15945/5-12851/25-15314/5-19860/5-35003/5-334592/47-175/34-576/8-13236/5-29805</t>
  </si>
  <si>
    <t>16/06/2025</t>
  </si>
  <si>
    <t>MRSU6789422-TRHU4132874-MRSU3945331-MRKU4318755</t>
  </si>
  <si>
    <t>17/06/2025</t>
  </si>
  <si>
    <t>TLLU3609424</t>
  </si>
  <si>
    <t>MSNU1272317-TEMU1878779-MSNU1088151-MSNU2205490-MSBU1468703-MSMU1476404</t>
  </si>
  <si>
    <t>BMOU5589889-MSMU8809580-MSDU7257330</t>
  </si>
  <si>
    <t>MEDU5029252-GLDU9570710</t>
  </si>
  <si>
    <t>MSMU2554414</t>
  </si>
  <si>
    <t>MSMU7107173-MSNU9513180</t>
  </si>
  <si>
    <t>TXGU4240250</t>
  </si>
  <si>
    <t>HPCU2312430-MSMU1745695-HPCU2543126-MSDU2845753</t>
  </si>
  <si>
    <t>TEMU3785850-TEMU5839209-MSDU2010116-MEDU6819740-TGHU3949092-TXGU8920180</t>
  </si>
  <si>
    <t>TCLU7189110-GCXU2366856-SEKU1078970-TGBU6564127</t>
  </si>
  <si>
    <t>MRSU6817226</t>
  </si>
  <si>
    <t>UAE</t>
  </si>
  <si>
    <t>UETU6938429-MTSU9617903-MRSU6797048-MRSU6210309-CAAU7617987-CAAU7947968-CAAU7736878</t>
  </si>
  <si>
    <t>20/06/2025</t>
  </si>
  <si>
    <t>MSNU2172333-FTAU1542372-MSNU3732685</t>
  </si>
  <si>
    <t>MSBU1307186</t>
  </si>
  <si>
    <t>CAAU6852889-CAAU6512852-GCXU5530048-MRSU5561000</t>
  </si>
  <si>
    <t>TCKU1281480</t>
  </si>
  <si>
    <t>23/09/2025</t>
  </si>
  <si>
    <t>TIIU2551178</t>
  </si>
  <si>
    <t>DP093 RN - XA 784 WJ</t>
  </si>
  <si>
    <t>MSDU7683845</t>
  </si>
  <si>
    <t>MSMU2374855-MSNU2284396-MSMU2080465-MSMU1459454-DFSU2814313</t>
  </si>
  <si>
    <t>MSNU1318151</t>
  </si>
  <si>
    <t>BMOU2926498-TGBU3536604-MSMU3591963-MSDU1996992-MEDU5572125-MSNU1917904-MEDU5234489-MEDU5428519-CXDU1503438-MSMU1098726-MSCU6721187-CXDU1401210-TCKU1691130</t>
  </si>
  <si>
    <t>CMAU4684478</t>
  </si>
  <si>
    <t>SEKU5861448</t>
  </si>
  <si>
    <t>DRYU9647069</t>
  </si>
  <si>
    <t>TLLU2305176</t>
  </si>
  <si>
    <t>2-811/5-22217/25-14221/5-30304</t>
  </si>
  <si>
    <t>LMCU1273107-TGHU1869573-LMCU1267001-LMCU1264213-LMCU1231539-LMCU1255720-LMCU1324251-LMCU1317421-LMCU1272190-LMCU1271275</t>
  </si>
  <si>
    <t>MSMU1988226-MSMU1142958-TCKU2594324-CAIU6194646-CRSU1276140-MSMU1880416-FRIU0385739-MSDU2311336</t>
  </si>
  <si>
    <t>ARKU8358748</t>
  </si>
  <si>
    <t>MCDU5012220</t>
  </si>
  <si>
    <t>ARKU8576056</t>
  </si>
  <si>
    <t>ARKU8574217</t>
  </si>
  <si>
    <t>ARKU8412089</t>
  </si>
  <si>
    <t>17/07/2025</t>
  </si>
  <si>
    <t>MSDU2232216-MSMU1118458-MSMU1926130-MSBU3072244-TGBU322631-MSBU1721961-FTAU1903222-MSBU1422683-MSNU2277817-MSMU3227838-MSMU3017277-TEMU5365521-MSDU2038582-MSNU1735638-MSCU1702402-MSNU2319363-MSNU1783301-MEDU5800101-MSMU2725203-MSBU1456261</t>
  </si>
  <si>
    <t>CAAU2253141-HASU1354160</t>
  </si>
  <si>
    <t>CAIU4627705-CAAU6623630</t>
  </si>
  <si>
    <t>25-20028/25-20133</t>
  </si>
  <si>
    <t>5-37495/5-31085/5-37744/5-24669/5-42364/5-30799</t>
  </si>
  <si>
    <t>21/07/2025</t>
  </si>
  <si>
    <t>GAOU2551810</t>
  </si>
  <si>
    <t>FAE-25-00207</t>
  </si>
  <si>
    <t>CMAU3101196</t>
  </si>
  <si>
    <t>FAE-25-00208</t>
  </si>
  <si>
    <t>CMAU2331229</t>
  </si>
  <si>
    <t>18/07/2025</t>
  </si>
  <si>
    <t>MSMU8232436-MSMU7916809</t>
  </si>
  <si>
    <t>MSKU7400386</t>
  </si>
  <si>
    <t>23/07/2025</t>
  </si>
  <si>
    <t>MRSU0543093-SEKU1527432-TIIU2261712-SEKU1648157-TCKU1132208-TRHU1149220-UETU2935972</t>
  </si>
  <si>
    <t>24/07/2025</t>
  </si>
  <si>
    <t>DG468KP-DT443CW-DH497WF</t>
  </si>
  <si>
    <t>FAE-25-00213</t>
  </si>
  <si>
    <t>CAIU3716480</t>
  </si>
  <si>
    <t>28/07/2025</t>
  </si>
  <si>
    <t>DH497WF</t>
  </si>
  <si>
    <t>FAE-25-00215</t>
  </si>
  <si>
    <t>ARKU8605365</t>
  </si>
  <si>
    <t>FAE-25-00216</t>
  </si>
  <si>
    <t>ARKU8451167</t>
  </si>
  <si>
    <t>FAE-25-00217</t>
  </si>
  <si>
    <t>ARKU8477048</t>
  </si>
  <si>
    <t>FAE-25-00218</t>
  </si>
  <si>
    <t>ARKU8604081</t>
  </si>
  <si>
    <t>FAE-25-00219</t>
  </si>
  <si>
    <t>TCLU8589739</t>
  </si>
  <si>
    <t>FAE-25-00220</t>
  </si>
  <si>
    <t>MSMU2575690-FCIU6445565-UETU2874840-MSNU3654089-MEDU5360996</t>
  </si>
  <si>
    <t>FAE-25-00221</t>
  </si>
  <si>
    <t>MSNU2975422-MSNU2077568-MSNU2671841-MSNU3637348-MSDU2985230-TGBU3898115-HPCU2372168-MSMU1161048-MSMU1268735-MSNU1062413</t>
  </si>
  <si>
    <t>FAE-25-00222</t>
  </si>
  <si>
    <t>CORU2569734</t>
  </si>
  <si>
    <t>FAE-25-00223</t>
  </si>
  <si>
    <t>ARKU2507741</t>
  </si>
  <si>
    <t>FAE-25-00224</t>
  </si>
  <si>
    <t>MSNU2198512-MSNU1813216-SEGU3064780-MSDU2313600-MSDU2557947-MSNU1235421-MSDU2137287-MSMU2197111-MSDU1430789-MSDU2818763-MSMU3572449-MSNU1223884-MSNU1963290</t>
  </si>
  <si>
    <t>FAE-25-00225</t>
  </si>
  <si>
    <t>LMCU9126397</t>
  </si>
  <si>
    <t>FAE-25-00226</t>
  </si>
  <si>
    <t>CMAU2234677</t>
  </si>
  <si>
    <t>FAE-25-00227</t>
  </si>
  <si>
    <t>FAE-25-00228</t>
  </si>
  <si>
    <t>XA774WJ XA887CN</t>
  </si>
  <si>
    <t>FAE-25-00229</t>
  </si>
  <si>
    <t>MSNU1522191-MSMU1194519-MSDU2252357-MSDU2164338-MSNU2205118</t>
  </si>
  <si>
    <t>FAE-25-00230</t>
  </si>
  <si>
    <t>MSBU2722828-MSDU1974118-MSNU1353039-MSNU2321247-TCLU2177400</t>
  </si>
  <si>
    <t>FAE-25-00231</t>
  </si>
  <si>
    <t>FCYU7034350-MSDU2549598-MSMU2098309-MSNU3320820-FCIU4685356</t>
  </si>
  <si>
    <t>FAE-25-00232</t>
  </si>
  <si>
    <t>MSBU6844604-UETU6231293</t>
  </si>
  <si>
    <t>FAE-25-00233</t>
  </si>
  <si>
    <t>MSBU1264058-UETU2869309-MSMU1687536-MSNU1216057-MSBU1133886</t>
  </si>
  <si>
    <t>FAE-25-00234</t>
  </si>
  <si>
    <t>MSMU1850860-MSNU2574604-MSNU2162464-MEDU5933800-MSNU1535305-LYGU1607455-MSMU3698566-TLLU3458502-CAAU2116977-TGBU1026140-MSNU1936988</t>
  </si>
  <si>
    <t>FAE-25-00235</t>
  </si>
  <si>
    <t>TGBU2431722</t>
  </si>
  <si>
    <t>FAE-25-00236</t>
  </si>
  <si>
    <t>5-42364/5-24669/25-20564/25-30133/25-13754/5-37495</t>
  </si>
  <si>
    <t>FAE-25-00237</t>
  </si>
  <si>
    <t>25-20136/5-29652/5-30799/5-39154/5-24454/5-30842/5-40194/25-19475/25-14469/5-37872/5-23050/5-40930</t>
  </si>
  <si>
    <t>FAE-25-00238</t>
  </si>
  <si>
    <t>CAIU9864818-MSDU8264714-UETU6872018-MSNU9145216-MSBU5401117-GAOU7471615-MSBU5272391</t>
  </si>
  <si>
    <t>FAE-25-00239</t>
  </si>
  <si>
    <t>MSMU1732168-MSNU2317602-MSMU1742021</t>
  </si>
  <si>
    <t>FAE-25-00240</t>
  </si>
  <si>
    <t>FAE-25-00241</t>
  </si>
  <si>
    <t>MEDU5924709-MSMU2062902-MSNU2422920-MSNU3703352</t>
  </si>
  <si>
    <t>FAE-25-00242</t>
  </si>
  <si>
    <t>MRSU0596004</t>
  </si>
  <si>
    <t>FAE-25-00243</t>
  </si>
  <si>
    <t>CMAU2838614-ECMU2744307-TCKU7898398-TGBU1167451</t>
  </si>
  <si>
    <t>FAE-25-00244</t>
  </si>
  <si>
    <t>FAE-25-00245</t>
  </si>
  <si>
    <t>FAE-25-00246</t>
  </si>
  <si>
    <t>XA 825 RR</t>
  </si>
  <si>
    <t>FAE-25-00247</t>
  </si>
  <si>
    <t>FAE-25-00248</t>
  </si>
  <si>
    <t>FAE-25-00249</t>
  </si>
  <si>
    <t>FAE-25-00250</t>
  </si>
  <si>
    <t>FAE-25-00251</t>
  </si>
  <si>
    <t>FAE-25-00252</t>
  </si>
  <si>
    <t>MRSU5200646-MRSU8792810</t>
  </si>
  <si>
    <t>FAE-25-00253</t>
  </si>
  <si>
    <t>FAE-25-00254</t>
  </si>
  <si>
    <t>FAE-25-00255</t>
  </si>
  <si>
    <t>FAE-25-00256</t>
  </si>
  <si>
    <t>FAE-25-00257</t>
  </si>
  <si>
    <t>FAE-25-00258</t>
  </si>
  <si>
    <t>FAE-25-00259</t>
  </si>
  <si>
    <t>FAE-25-00260</t>
  </si>
  <si>
    <t>FAE-25-00261</t>
  </si>
  <si>
    <t>FAE-25-00262</t>
  </si>
  <si>
    <t>FAE-25-00263</t>
  </si>
  <si>
    <t>FAE-25-00264</t>
  </si>
  <si>
    <t>FAE-25-00265</t>
  </si>
  <si>
    <t>FAE-25-00266</t>
  </si>
  <si>
    <t>INTG COUS</t>
  </si>
  <si>
    <t>INTEG OL</t>
  </si>
  <si>
    <t>30%S-70%F</t>
  </si>
  <si>
    <t>'30%S-70%F</t>
  </si>
  <si>
    <t>20%S-80%F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</si>
</sst>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_-* #,##0.00\ _€_-;\-* #,##0.00\ _€_-;_-* &quot;-&quot;??\ _€_-;_-@_-"/>
    <numFmt numFmtId="165" formatCode="#,##0.000"/>
    <numFmt numFmtId="166" formatCode="0.000"/>
    <numFmt numFmtId="167" formatCode="#,##0.0"/>
    <numFmt numFmtId="168" formatCode="\ dd\/mm\/yyyy"/>
    <numFmt numFmtId="169" formatCode="dd/mm/yy"/>
    <numFmt numFmtId="170" formatCode="#,##0.000;[Red]#,##0.000"/>
    <numFmt numFmtId="171" formatCode="#,###.###########0000"/>
    <numFmt numFmtId="172" formatCode="_-* #,##0.000\ _€_-;\-* #,##0.000\ _€_-;_-* &quot;-&quot;??\ _€_-;_-@_-"/>
    <numFmt numFmtId="173" formatCode="yyyy\-mm\-dd;@"/>
  </numFmts>
  <fonts count="81"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9"/>
      <color indexed="10"/>
      <name val="Arial"/>
      <family val="2"/>
    </font>
    <font>
      <b/>
      <u/>
      <sz val="16"/>
      <name val="Arial"/>
      <family val="2"/>
    </font>
    <font>
      <b/>
      <sz val="9"/>
      <name val="Tahoma"/>
      <family val="2"/>
    </font>
    <font>
      <sz val="9"/>
      <name val="Tahoma"/>
      <family val="2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9"/>
      <color theme="0"/>
      <name val="Arial"/>
      <family val="2"/>
    </font>
    <font>
      <b/>
      <sz val="9"/>
      <color rgb="FFFF0000"/>
      <name val="Arial"/>
      <family val="2"/>
    </font>
    <font>
      <b/>
      <sz val="9"/>
      <color rgb="FF00B050"/>
      <name val="Arial"/>
      <family val="2"/>
    </font>
    <font>
      <sz val="9"/>
      <color theme="0"/>
      <name val="Arial"/>
      <family val="2"/>
    </font>
    <font>
      <b/>
      <sz val="9"/>
      <color rgb="FF7030A0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4" tint="-0.249977111117893"/>
      <name val="Arial"/>
      <family val="2"/>
    </font>
    <font>
      <sz val="10"/>
      <color rgb="FF7030A0"/>
      <name val="Arial"/>
      <family val="2"/>
    </font>
    <font>
      <sz val="10"/>
      <color theme="9" tint="-0.249977111117893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rgb="FFC00000"/>
      <name val="Arial"/>
      <family val="2"/>
    </font>
    <font>
      <b/>
      <sz val="8"/>
      <color indexed="8"/>
      <name val="Arial"/>
      <family val="2"/>
    </font>
    <font>
      <sz val="9"/>
      <color indexed="8"/>
      <name val="Calibri"/>
      <family val="2"/>
      <scheme val="minor"/>
    </font>
    <font>
      <b/>
      <sz val="9"/>
      <name val="Calibri"/>
      <family val="2"/>
      <scheme val="minor"/>
    </font>
    <font>
      <sz val="9"/>
      <color indexed="12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sz val="8"/>
      <color rgb="FFFF0000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9"/>
      <color theme="1"/>
      <name val="Calibri"/>
      <family val="2"/>
      <scheme val="minor"/>
    </font>
    <font>
      <b/>
      <sz val="8"/>
      <color theme="0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9"/>
      <color theme="8" tint="-0.249977111117893"/>
      <name val="Arial"/>
      <family val="2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color rgb="FF000000"/>
      <name val="Arial"/>
      <family val="2"/>
    </font>
    <font>
      <b/>
      <sz val="11"/>
      <color theme="4" tint="-0.249977111117893"/>
      <name val="Calibri"/>
      <family val="2"/>
      <scheme val="minor"/>
    </font>
    <font>
      <b/>
      <sz val="9"/>
      <color theme="4" tint="-0.249977111117893"/>
      <name val="Arial"/>
      <family val="2"/>
    </font>
    <font>
      <b/>
      <sz val="11"/>
      <color rgb="FFFF0000"/>
      <name val="Calibri"/>
      <family val="2"/>
      <scheme val="minor"/>
    </font>
    <font>
      <b/>
      <sz val="9"/>
      <color theme="1" tint="0.49998474074526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theme="1"/>
      <name val="Arial"/>
      <family val="2"/>
    </font>
    <font>
      <sz val="8"/>
      <color theme="9" tint="-0.249977111117893"/>
      <name val="Arial"/>
      <family val="2"/>
    </font>
    <font>
      <sz val="9"/>
      <color theme="9" tint="-0.249977111117893"/>
      <name val="Arial"/>
      <family val="2"/>
    </font>
    <font>
      <b/>
      <sz val="9"/>
      <color theme="9" tint="-0.249977111117893"/>
      <name val="Arial"/>
      <family val="2"/>
    </font>
    <font>
      <b/>
      <sz val="8"/>
      <color theme="9" tint="-0.249977111117893"/>
      <name val="Arial"/>
      <family val="2"/>
    </font>
    <font>
      <sz val="8"/>
      <color theme="9" tint="-0.249977111117893"/>
      <name val="Calibri"/>
      <family val="2"/>
      <scheme val="minor"/>
    </font>
    <font>
      <sz val="8"/>
      <color theme="9" tint="-0.499984740745262"/>
      <name val="Arial"/>
      <family val="2"/>
    </font>
    <font>
      <sz val="9"/>
      <color theme="9" tint="-0.499984740745262"/>
      <name val="Arial"/>
      <family val="2"/>
    </font>
    <font>
      <b/>
      <sz val="9"/>
      <color theme="9" tint="-0.499984740745262"/>
      <name val="Arial"/>
      <family val="2"/>
    </font>
    <font>
      <sz val="8"/>
      <color rgb="FFFF0000"/>
      <name val="Calibri"/>
      <family val="2"/>
      <scheme val="minor"/>
    </font>
    <font>
      <b/>
      <sz val="8"/>
      <color theme="9" tint="-0.499984740745262"/>
      <name val="Arial"/>
      <family val="2"/>
    </font>
    <font>
      <sz val="8"/>
      <color theme="9" tint="-0.499984740745262"/>
      <name val="Calibri"/>
      <family val="2"/>
      <scheme val="minor"/>
    </font>
    <font>
      <b/>
      <sz val="8"/>
      <color theme="9" tint="-0.249977111117893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rgb="FFCCFF3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0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>
      <alignment vertical="top"/>
    </xf>
    <xf numFmtId="0" fontId="11" fillId="0" borderId="0" applyNumberFormat="0" applyFill="0" applyBorder="0" applyAlignment="0" applyProtection="0">
      <alignment vertical="top"/>
    </xf>
    <xf numFmtId="164" fontId="11" fillId="0" borderId="0" applyFont="0" applyFill="0" applyBorder="0" applyAlignment="0" applyProtection="0">
      <alignment vertical="top"/>
    </xf>
    <xf numFmtId="9" fontId="11" fillId="0" borderId="0" applyFont="0" applyFill="0" applyBorder="0" applyAlignment="0" applyProtection="0">
      <alignment vertical="top"/>
    </xf>
    <xf numFmtId="0" fontId="11" fillId="0" borderId="0" applyNumberFormat="0" applyFill="0" applyBorder="0" applyAlignment="0" applyProtection="0">
      <alignment vertical="top"/>
    </xf>
    <xf numFmtId="0" fontId="38" fillId="0" borderId="0"/>
  </cellStyleXfs>
  <cellXfs count="992">
    <xf numFmtId="0" fontId="0" fillId="0" borderId="0" xfId="0">
      <alignment vertical="top"/>
    </xf>
    <xf numFmtId="0" fontId="2" fillId="0" borderId="0" xfId="0" applyFont="1">
      <alignment vertical="top"/>
    </xf>
    <xf numFmtId="0" fontId="3" fillId="0" borderId="0" xfId="0" applyFont="1">
      <alignment vertical="top"/>
    </xf>
    <xf numFmtId="0" fontId="2" fillId="6" borderId="0" xfId="0" applyFont="1" applyFill="1">
      <alignment vertical="top"/>
    </xf>
    <xf numFmtId="0" fontId="17" fillId="0" borderId="0" xfId="0" applyFont="1">
      <alignment vertical="top"/>
    </xf>
    <xf numFmtId="0" fontId="4" fillId="0" borderId="0" xfId="0" applyFont="1">
      <alignment vertical="top"/>
    </xf>
    <xf numFmtId="0" fontId="4" fillId="11" borderId="0" xfId="0" applyFont="1" applyFill="1">
      <alignment vertical="top"/>
    </xf>
    <xf numFmtId="0" fontId="5" fillId="0" borderId="0" xfId="0" applyFont="1">
      <alignment vertical="top"/>
    </xf>
    <xf numFmtId="14" fontId="5" fillId="0" borderId="0" xfId="0" applyNumberFormat="1" applyFont="1">
      <alignment vertical="top"/>
    </xf>
    <xf numFmtId="1" fontId="6" fillId="0" borderId="0" xfId="0" applyNumberFormat="1" applyFont="1">
      <alignment vertical="top"/>
    </xf>
    <xf numFmtId="14" fontId="6" fillId="0" borderId="0" xfId="0" applyNumberFormat="1" applyFont="1" applyAlignment="1">
      <alignment horizontal="right" vertical="top"/>
    </xf>
    <xf numFmtId="0" fontId="6" fillId="0" borderId="0" xfId="0" applyFont="1">
      <alignment vertical="top"/>
    </xf>
    <xf numFmtId="14" fontId="6" fillId="0" borderId="0" xfId="0" applyNumberFormat="1" applyFont="1">
      <alignment vertical="top"/>
    </xf>
    <xf numFmtId="0" fontId="5" fillId="11" borderId="0" xfId="0" applyFont="1" applyFill="1">
      <alignment vertical="top"/>
    </xf>
    <xf numFmtId="3" fontId="6" fillId="0" borderId="0" xfId="0" applyNumberFormat="1" applyFont="1">
      <alignment vertical="top"/>
    </xf>
    <xf numFmtId="3" fontId="6" fillId="11" borderId="0" xfId="0" applyNumberFormat="1" applyFont="1" applyFill="1">
      <alignment vertical="top"/>
    </xf>
    <xf numFmtId="9" fontId="6" fillId="11" borderId="0" xfId="0" applyNumberFormat="1" applyFont="1" applyFill="1">
      <alignment vertical="top"/>
    </xf>
    <xf numFmtId="165" fontId="2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1" fontId="18" fillId="0" borderId="0" xfId="0" applyNumberFormat="1" applyFont="1">
      <alignment vertical="top"/>
    </xf>
    <xf numFmtId="14" fontId="18" fillId="0" borderId="0" xfId="0" applyNumberFormat="1" applyFont="1" applyAlignment="1">
      <alignment horizontal="right" vertical="top"/>
    </xf>
    <xf numFmtId="0" fontId="18" fillId="0" borderId="0" xfId="0" applyFont="1">
      <alignment vertical="top"/>
    </xf>
    <xf numFmtId="14" fontId="18" fillId="0" borderId="0" xfId="0" applyNumberFormat="1" applyFont="1">
      <alignment vertical="top"/>
    </xf>
    <xf numFmtId="0" fontId="6" fillId="11" borderId="0" xfId="0" applyFont="1" applyFill="1">
      <alignment vertical="top"/>
    </xf>
    <xf numFmtId="165" fontId="17" fillId="0" borderId="0" xfId="0" applyNumberFormat="1" applyFont="1" applyAlignment="1">
      <alignment horizontal="right" vertical="top"/>
    </xf>
    <xf numFmtId="9" fontId="6" fillId="0" borderId="0" xfId="0" applyNumberFormat="1" applyFont="1">
      <alignment vertical="top"/>
    </xf>
    <xf numFmtId="3" fontId="18" fillId="11" borderId="0" xfId="0" applyNumberFormat="1" applyFont="1" applyFill="1" applyAlignment="1">
      <alignment horizontal="left" vertical="top"/>
    </xf>
    <xf numFmtId="3" fontId="18" fillId="11" borderId="0" xfId="0" applyNumberFormat="1" applyFont="1" applyFill="1">
      <alignment vertical="top"/>
    </xf>
    <xf numFmtId="3" fontId="6" fillId="11" borderId="0" xfId="0" applyNumberFormat="1" applyFont="1" applyFill="1" applyAlignment="1">
      <alignment horizontal="left" vertical="top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19" fillId="0" borderId="0" xfId="0" applyNumberFormat="1" applyFont="1">
      <alignment vertical="top"/>
    </xf>
    <xf numFmtId="0" fontId="8" fillId="0" borderId="3" xfId="0" applyFont="1" applyBorder="1" applyAlignment="1"/>
    <xf numFmtId="0" fontId="23" fillId="0" borderId="0" xfId="0" applyFont="1">
      <alignment vertical="top"/>
    </xf>
    <xf numFmtId="0" fontId="3" fillId="6" borderId="0" xfId="0" applyFont="1" applyFill="1">
      <alignment vertical="top"/>
    </xf>
    <xf numFmtId="0" fontId="2" fillId="7" borderId="0" xfId="0" applyFont="1" applyFill="1">
      <alignment vertical="top"/>
    </xf>
    <xf numFmtId="165" fontId="2" fillId="0" borderId="0" xfId="0" applyNumberFormat="1" applyFont="1">
      <alignment vertical="top"/>
    </xf>
    <xf numFmtId="4" fontId="2" fillId="0" borderId="0" xfId="0" applyNumberFormat="1" applyFont="1">
      <alignment vertical="top"/>
    </xf>
    <xf numFmtId="14" fontId="2" fillId="0" borderId="0" xfId="0" applyNumberFormat="1" applyFont="1">
      <alignment vertical="top"/>
    </xf>
    <xf numFmtId="165" fontId="2" fillId="8" borderId="0" xfId="0" applyNumberFormat="1" applyFont="1" applyFill="1" applyAlignment="1">
      <alignment horizontal="right" vertical="top"/>
    </xf>
    <xf numFmtId="165" fontId="2" fillId="5" borderId="0" xfId="0" applyNumberFormat="1" applyFont="1" applyFill="1" applyAlignment="1">
      <alignment horizontal="right" vertical="top"/>
    </xf>
    <xf numFmtId="165" fontId="2" fillId="9" borderId="0" xfId="0" applyNumberFormat="1" applyFont="1" applyFill="1" applyAlignment="1">
      <alignment horizontal="right" vertical="top"/>
    </xf>
    <xf numFmtId="165" fontId="2" fillId="3" borderId="0" xfId="0" applyNumberFormat="1" applyFont="1" applyFill="1" applyAlignment="1">
      <alignment horizontal="right" vertical="top"/>
    </xf>
    <xf numFmtId="165" fontId="2" fillId="17" borderId="0" xfId="0" applyNumberFormat="1" applyFont="1" applyFill="1" applyAlignment="1">
      <alignment horizontal="right" vertical="top"/>
    </xf>
    <xf numFmtId="9" fontId="2" fillId="9" borderId="0" xfId="0" applyNumberFormat="1" applyFont="1" applyFill="1" applyAlignment="1">
      <alignment horizontal="right" vertical="top"/>
    </xf>
    <xf numFmtId="0" fontId="3" fillId="0" borderId="1" xfId="0" applyFont="1" applyBorder="1">
      <alignment vertical="top"/>
    </xf>
    <xf numFmtId="165" fontId="3" fillId="9" borderId="1" xfId="0" applyNumberFormat="1" applyFont="1" applyFill="1" applyBorder="1" applyAlignment="1">
      <alignment horizontal="right" vertical="top"/>
    </xf>
    <xf numFmtId="165" fontId="3" fillId="5" borderId="0" xfId="0" applyNumberFormat="1" applyFont="1" applyFill="1" applyAlignment="1">
      <alignment horizontal="right" vertical="top"/>
    </xf>
    <xf numFmtId="165" fontId="3" fillId="9" borderId="0" xfId="0" applyNumberFormat="1" applyFont="1" applyFill="1" applyAlignment="1">
      <alignment horizontal="right" vertical="top"/>
    </xf>
    <xf numFmtId="0" fontId="3" fillId="0" borderId="0" xfId="0" applyFont="1" applyAlignment="1">
      <alignment horizontal="right" vertical="top"/>
    </xf>
    <xf numFmtId="3" fontId="2" fillId="0" borderId="0" xfId="0" applyNumberFormat="1" applyFont="1">
      <alignment vertical="top"/>
    </xf>
    <xf numFmtId="0" fontId="6" fillId="6" borderId="0" xfId="0" applyFont="1" applyFill="1">
      <alignment vertical="top"/>
    </xf>
    <xf numFmtId="14" fontId="6" fillId="6" borderId="0" xfId="0" applyNumberFormat="1" applyFont="1" applyFill="1">
      <alignment vertical="top"/>
    </xf>
    <xf numFmtId="14" fontId="2" fillId="0" borderId="0" xfId="0" applyNumberFormat="1" applyFont="1" applyAlignment="1">
      <alignment horizontal="right" vertical="top"/>
    </xf>
    <xf numFmtId="165" fontId="2" fillId="6" borderId="0" xfId="0" applyNumberFormat="1" applyFont="1" applyFill="1">
      <alignment vertical="top"/>
    </xf>
    <xf numFmtId="4" fontId="17" fillId="0" borderId="0" xfId="0" applyNumberFormat="1" applyFont="1">
      <alignment vertical="top"/>
    </xf>
    <xf numFmtId="165" fontId="17" fillId="5" borderId="0" xfId="0" applyNumberFormat="1" applyFont="1" applyFill="1" applyAlignment="1">
      <alignment horizontal="right" vertical="top"/>
    </xf>
    <xf numFmtId="0" fontId="2" fillId="21" borderId="0" xfId="0" applyFont="1" applyFill="1">
      <alignment vertical="top"/>
    </xf>
    <xf numFmtId="165" fontId="2" fillId="7" borderId="0" xfId="0" applyNumberFormat="1" applyFont="1" applyFill="1">
      <alignment vertical="top"/>
    </xf>
    <xf numFmtId="3" fontId="0" fillId="0" borderId="0" xfId="0" applyNumberFormat="1">
      <alignment vertical="top"/>
    </xf>
    <xf numFmtId="165" fontId="0" fillId="0" borderId="0" xfId="0" applyNumberFormat="1">
      <alignment vertical="top"/>
    </xf>
    <xf numFmtId="0" fontId="0" fillId="0" borderId="14" xfId="0" applyBorder="1">
      <alignment vertical="top"/>
    </xf>
    <xf numFmtId="0" fontId="0" fillId="0" borderId="15" xfId="0" applyBorder="1">
      <alignment vertical="top"/>
    </xf>
    <xf numFmtId="0" fontId="0" fillId="0" borderId="16" xfId="0" applyBorder="1">
      <alignment vertical="top"/>
    </xf>
    <xf numFmtId="0" fontId="0" fillId="0" borderId="17" xfId="0" applyBorder="1">
      <alignment vertical="top"/>
    </xf>
    <xf numFmtId="0" fontId="0" fillId="0" borderId="18" xfId="0" applyBorder="1">
      <alignment vertical="top"/>
    </xf>
    <xf numFmtId="0" fontId="0" fillId="0" borderId="19" xfId="0" applyBorder="1">
      <alignment vertical="top"/>
    </xf>
    <xf numFmtId="0" fontId="0" fillId="0" borderId="20" xfId="0" applyBorder="1">
      <alignment vertical="top"/>
    </xf>
    <xf numFmtId="0" fontId="12" fillId="0" borderId="0" xfId="0" applyFont="1" applyAlignment="1"/>
    <xf numFmtId="0" fontId="0" fillId="0" borderId="0" xfId="0" applyAlignment="1">
      <alignment vertical="center"/>
    </xf>
    <xf numFmtId="0" fontId="0" fillId="21" borderId="0" xfId="0" applyFill="1" applyAlignment="1"/>
    <xf numFmtId="0" fontId="0" fillId="0" borderId="0" xfId="0" applyAlignment="1"/>
    <xf numFmtId="0" fontId="7" fillId="0" borderId="0" xfId="0" applyFont="1" applyAlignment="1"/>
    <xf numFmtId="0" fontId="0" fillId="20" borderId="0" xfId="0" applyFill="1" applyAlignment="1"/>
    <xf numFmtId="0" fontId="0" fillId="0" borderId="3" xfId="0" applyBorder="1" applyAlignment="1"/>
    <xf numFmtId="165" fontId="0" fillId="0" borderId="0" xfId="0" applyNumberFormat="1" applyAlignment="1"/>
    <xf numFmtId="0" fontId="13" fillId="0" borderId="0" xfId="0" applyFont="1" applyAlignment="1"/>
    <xf numFmtId="14" fontId="3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20" borderId="1" xfId="0" applyNumberFormat="1" applyFont="1" applyFill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/>
    </xf>
    <xf numFmtId="3" fontId="7" fillId="0" borderId="3" xfId="0" applyNumberFormat="1" applyFont="1" applyBorder="1" applyAlignment="1">
      <alignment horizontal="center"/>
    </xf>
    <xf numFmtId="165" fontId="7" fillId="0" borderId="3" xfId="0" applyNumberFormat="1" applyFont="1" applyBorder="1" applyAlignment="1">
      <alignment horizontal="center"/>
    </xf>
    <xf numFmtId="165" fontId="28" fillId="20" borderId="3" xfId="0" applyNumberFormat="1" applyFont="1" applyFill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165" fontId="16" fillId="20" borderId="3" xfId="0" applyNumberFormat="1" applyFont="1" applyFill="1" applyBorder="1" applyAlignment="1">
      <alignment horizontal="center"/>
    </xf>
    <xf numFmtId="0" fontId="8" fillId="0" borderId="5" xfId="0" applyFont="1" applyBorder="1" applyAlignment="1">
      <alignment horizontal="right"/>
    </xf>
    <xf numFmtId="0" fontId="13" fillId="0" borderId="3" xfId="0" applyFont="1" applyBorder="1" applyAlignment="1">
      <alignment horizontal="center"/>
    </xf>
    <xf numFmtId="169" fontId="3" fillId="0" borderId="10" xfId="0" applyNumberFormat="1" applyFont="1" applyBorder="1" applyAlignment="1">
      <alignment horizontal="center" vertical="center"/>
    </xf>
    <xf numFmtId="0" fontId="12" fillId="0" borderId="1" xfId="0" applyFont="1" applyBorder="1" applyAlignment="1"/>
    <xf numFmtId="169" fontId="0" fillId="0" borderId="8" xfId="0" applyNumberFormat="1" applyBorder="1" applyAlignment="1">
      <alignment horizontal="center"/>
    </xf>
    <xf numFmtId="0" fontId="0" fillId="0" borderId="22" xfId="0" applyBorder="1">
      <alignment vertical="top"/>
    </xf>
    <xf numFmtId="169" fontId="7" fillId="0" borderId="8" xfId="0" applyNumberFormat="1" applyFont="1" applyBorder="1" applyAlignment="1">
      <alignment horizontal="center"/>
    </xf>
    <xf numFmtId="0" fontId="0" fillId="0" borderId="3" xfId="0" applyBorder="1" applyAlignment="1">
      <alignment vertical="center"/>
    </xf>
    <xf numFmtId="165" fontId="28" fillId="20" borderId="3" xfId="0" applyNumberFormat="1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16" fillId="20" borderId="3" xfId="0" applyNumberFormat="1" applyFont="1" applyFill="1" applyBorder="1" applyAlignment="1">
      <alignment horizontal="center" vertical="center"/>
    </xf>
    <xf numFmtId="14" fontId="0" fillId="0" borderId="8" xfId="0" applyNumberFormat="1" applyBorder="1" applyAlignment="1">
      <alignment horizontal="center"/>
    </xf>
    <xf numFmtId="165" fontId="0" fillId="10" borderId="3" xfId="0" applyNumberFormat="1" applyFill="1" applyBorder="1" applyAlignment="1">
      <alignment horizontal="center"/>
    </xf>
    <xf numFmtId="165" fontId="8" fillId="10" borderId="3" xfId="0" applyNumberFormat="1" applyFon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4" fontId="28" fillId="0" borderId="3" xfId="0" applyNumberFormat="1" applyFont="1" applyBorder="1" applyAlignment="1">
      <alignment horizontal="center"/>
    </xf>
    <xf numFmtId="3" fontId="28" fillId="0" borderId="3" xfId="0" applyNumberFormat="1" applyFont="1" applyBorder="1" applyAlignment="1">
      <alignment horizontal="center"/>
    </xf>
    <xf numFmtId="165" fontId="28" fillId="0" borderId="3" xfId="0" applyNumberFormat="1" applyFont="1" applyBorder="1" applyAlignment="1">
      <alignment horizontal="center"/>
    </xf>
    <xf numFmtId="165" fontId="29" fillId="0" borderId="3" xfId="0" applyNumberFormat="1" applyFont="1" applyBorder="1" applyAlignment="1">
      <alignment horizontal="center"/>
    </xf>
    <xf numFmtId="1" fontId="28" fillId="0" borderId="3" xfId="0" applyNumberFormat="1" applyFon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5" fontId="7" fillId="20" borderId="3" xfId="0" applyNumberFormat="1" applyFont="1" applyFill="1" applyBorder="1" applyAlignment="1">
      <alignment horizontal="center"/>
    </xf>
    <xf numFmtId="165" fontId="21" fillId="20" borderId="3" xfId="0" applyNumberFormat="1" applyFont="1" applyFill="1" applyBorder="1" applyAlignment="1">
      <alignment horizontal="center"/>
    </xf>
    <xf numFmtId="165" fontId="7" fillId="0" borderId="11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center"/>
    </xf>
    <xf numFmtId="4" fontId="2" fillId="0" borderId="3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65" fontId="2" fillId="20" borderId="3" xfId="0" applyNumberFormat="1" applyFont="1" applyFill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65" fontId="2" fillId="0" borderId="11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4" fontId="0" fillId="0" borderId="3" xfId="0" applyNumberFormat="1" applyBorder="1" applyAlignment="1">
      <alignment horizontal="center"/>
    </xf>
    <xf numFmtId="14" fontId="2" fillId="0" borderId="8" xfId="0" applyNumberFormat="1" applyFont="1" applyBorder="1" applyAlignment="1">
      <alignment horizontal="center" vertical="center"/>
    </xf>
    <xf numFmtId="169" fontId="7" fillId="0" borderId="8" xfId="0" applyNumberFormat="1" applyFont="1" applyBorder="1" applyAlignment="1">
      <alignment horizontal="center" vertical="center"/>
    </xf>
    <xf numFmtId="165" fontId="17" fillId="20" borderId="3" xfId="0" applyNumberFormat="1" applyFont="1" applyFill="1" applyBorder="1" applyAlignment="1">
      <alignment horizontal="center"/>
    </xf>
    <xf numFmtId="14" fontId="0" fillId="0" borderId="8" xfId="0" applyNumberFormat="1" applyBorder="1" applyAlignment="1">
      <alignment horizontal="center" vertical="center"/>
    </xf>
    <xf numFmtId="14" fontId="7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center" vertical="top"/>
    </xf>
    <xf numFmtId="14" fontId="7" fillId="22" borderId="3" xfId="0" applyNumberFormat="1" applyFont="1" applyFill="1" applyBorder="1" applyAlignment="1">
      <alignment horizontal="center"/>
    </xf>
    <xf numFmtId="4" fontId="0" fillId="22" borderId="3" xfId="0" applyNumberFormat="1" applyFill="1" applyBorder="1" applyAlignment="1">
      <alignment horizontal="right" vertical="center"/>
    </xf>
    <xf numFmtId="165" fontId="0" fillId="22" borderId="3" xfId="0" applyNumberFormat="1" applyFill="1" applyBorder="1" applyAlignment="1"/>
    <xf numFmtId="165" fontId="2" fillId="22" borderId="3" xfId="0" applyNumberFormat="1" applyFont="1" applyFill="1" applyBorder="1" applyAlignment="1">
      <alignment horizontal="center"/>
    </xf>
    <xf numFmtId="165" fontId="8" fillId="22" borderId="3" xfId="0" applyNumberFormat="1" applyFont="1" applyFill="1" applyBorder="1" applyAlignment="1">
      <alignment horizontal="center"/>
    </xf>
    <xf numFmtId="1" fontId="2" fillId="22" borderId="3" xfId="0" applyNumberFormat="1" applyFont="1" applyFill="1" applyBorder="1" applyAlignment="1">
      <alignment horizontal="center"/>
    </xf>
    <xf numFmtId="4" fontId="0" fillId="0" borderId="3" xfId="0" applyNumberFormat="1" applyBorder="1" applyAlignment="1">
      <alignment horizontal="right" vertical="center"/>
    </xf>
    <xf numFmtId="165" fontId="0" fillId="0" borderId="3" xfId="0" applyNumberFormat="1" applyBorder="1" applyAlignment="1"/>
    <xf numFmtId="14" fontId="7" fillId="0" borderId="3" xfId="0" applyNumberFormat="1" applyFont="1" applyBorder="1" applyAlignment="1">
      <alignment horizontal="center" vertical="center"/>
    </xf>
    <xf numFmtId="165" fontId="7" fillId="0" borderId="0" xfId="0" applyNumberFormat="1" applyFont="1">
      <alignment vertical="top"/>
    </xf>
    <xf numFmtId="165" fontId="7" fillId="0" borderId="3" xfId="0" applyNumberFormat="1" applyFont="1" applyBorder="1" applyAlignment="1"/>
    <xf numFmtId="14" fontId="7" fillId="0" borderId="8" xfId="0" applyNumberFormat="1" applyFont="1" applyBorder="1" applyAlignment="1">
      <alignment horizontal="center" vertical="top"/>
    </xf>
    <xf numFmtId="14" fontId="7" fillId="22" borderId="8" xfId="0" applyNumberFormat="1" applyFont="1" applyFill="1" applyBorder="1" applyAlignment="1">
      <alignment horizontal="center"/>
    </xf>
    <xf numFmtId="14" fontId="7" fillId="21" borderId="3" xfId="0" applyNumberFormat="1" applyFont="1" applyFill="1" applyBorder="1" applyAlignment="1">
      <alignment horizontal="center"/>
    </xf>
    <xf numFmtId="4" fontId="0" fillId="21" borderId="3" xfId="0" applyNumberFormat="1" applyFill="1" applyBorder="1" applyAlignment="1">
      <alignment horizontal="right" vertical="center"/>
    </xf>
    <xf numFmtId="165" fontId="7" fillId="21" borderId="0" xfId="0" applyNumberFormat="1" applyFont="1" applyFill="1">
      <alignment vertical="top"/>
    </xf>
    <xf numFmtId="165" fontId="2" fillId="21" borderId="3" xfId="0" applyNumberFormat="1" applyFont="1" applyFill="1" applyBorder="1" applyAlignment="1">
      <alignment horizontal="center"/>
    </xf>
    <xf numFmtId="165" fontId="8" fillId="21" borderId="3" xfId="0" applyNumberFormat="1" applyFont="1" applyFill="1" applyBorder="1" applyAlignment="1">
      <alignment horizontal="center"/>
    </xf>
    <xf numFmtId="1" fontId="2" fillId="21" borderId="3" xfId="0" applyNumberFormat="1" applyFont="1" applyFill="1" applyBorder="1" applyAlignment="1">
      <alignment horizontal="center"/>
    </xf>
    <xf numFmtId="4" fontId="0" fillId="0" borderId="3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165" fontId="7" fillId="22" borderId="0" xfId="0" applyNumberFormat="1" applyFont="1" applyFill="1">
      <alignment vertical="top"/>
    </xf>
    <xf numFmtId="165" fontId="23" fillId="20" borderId="3" xfId="0" applyNumberFormat="1" applyFont="1" applyFill="1" applyBorder="1" applyAlignment="1">
      <alignment horizontal="center"/>
    </xf>
    <xf numFmtId="14" fontId="7" fillId="23" borderId="3" xfId="0" applyNumberFormat="1" applyFont="1" applyFill="1" applyBorder="1" applyAlignment="1">
      <alignment horizontal="center"/>
    </xf>
    <xf numFmtId="4" fontId="0" fillId="23" borderId="3" xfId="0" applyNumberFormat="1" applyFill="1" applyBorder="1" applyAlignment="1">
      <alignment horizontal="right" vertical="center"/>
    </xf>
    <xf numFmtId="165" fontId="7" fillId="23" borderId="0" xfId="0" applyNumberFormat="1" applyFont="1" applyFill="1">
      <alignment vertical="top"/>
    </xf>
    <xf numFmtId="165" fontId="2" fillId="23" borderId="3" xfId="0" applyNumberFormat="1" applyFont="1" applyFill="1" applyBorder="1" applyAlignment="1">
      <alignment horizontal="center"/>
    </xf>
    <xf numFmtId="165" fontId="8" fillId="23" borderId="3" xfId="0" applyNumberFormat="1" applyFont="1" applyFill="1" applyBorder="1" applyAlignment="1">
      <alignment horizontal="center"/>
    </xf>
    <xf numFmtId="1" fontId="2" fillId="23" borderId="3" xfId="0" applyNumberFormat="1" applyFont="1" applyFill="1" applyBorder="1" applyAlignment="1">
      <alignment horizontal="center"/>
    </xf>
    <xf numFmtId="3" fontId="0" fillId="0" borderId="3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3" fontId="0" fillId="23" borderId="3" xfId="0" applyNumberFormat="1" applyFill="1" applyBorder="1" applyAlignment="1">
      <alignment horizontal="right"/>
    </xf>
    <xf numFmtId="165" fontId="0" fillId="23" borderId="3" xfId="0" applyNumberFormat="1" applyFill="1" applyBorder="1" applyAlignment="1">
      <alignment horizontal="right"/>
    </xf>
    <xf numFmtId="1" fontId="28" fillId="23" borderId="3" xfId="0" applyNumberFormat="1" applyFont="1" applyFill="1" applyBorder="1" applyAlignment="1">
      <alignment horizontal="center"/>
    </xf>
    <xf numFmtId="165" fontId="8" fillId="20" borderId="3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 vertical="center"/>
    </xf>
    <xf numFmtId="14" fontId="7" fillId="0" borderId="0" xfId="0" applyNumberFormat="1" applyFont="1" applyAlignment="1">
      <alignment horizontal="center"/>
    </xf>
    <xf numFmtId="14" fontId="7" fillId="21" borderId="8" xfId="0" applyNumberFormat="1" applyFont="1" applyFill="1" applyBorder="1" applyAlignment="1">
      <alignment horizontal="center"/>
    </xf>
    <xf numFmtId="0" fontId="0" fillId="21" borderId="3" xfId="0" applyFill="1" applyBorder="1" applyAlignment="1"/>
    <xf numFmtId="0" fontId="0" fillId="21" borderId="19" xfId="0" applyFill="1" applyBorder="1">
      <alignment vertical="top"/>
    </xf>
    <xf numFmtId="14" fontId="7" fillId="23" borderId="8" xfId="0" applyNumberFormat="1" applyFont="1" applyFill="1" applyBorder="1" applyAlignment="1">
      <alignment horizontal="center"/>
    </xf>
    <xf numFmtId="14" fontId="0" fillId="23" borderId="8" xfId="0" applyNumberFormat="1" applyFill="1" applyBorder="1" applyAlignment="1">
      <alignment horizontal="center"/>
    </xf>
    <xf numFmtId="165" fontId="3" fillId="20" borderId="3" xfId="0" applyNumberFormat="1" applyFont="1" applyFill="1" applyBorder="1" applyAlignment="1">
      <alignment horizontal="center"/>
    </xf>
    <xf numFmtId="165" fontId="7" fillId="0" borderId="0" xfId="0" applyNumberFormat="1" applyFont="1" applyAlignment="1">
      <alignment horizontal="center"/>
    </xf>
    <xf numFmtId="14" fontId="7" fillId="24" borderId="0" xfId="0" applyNumberFormat="1" applyFont="1" applyFill="1" applyAlignment="1">
      <alignment horizontal="center"/>
    </xf>
    <xf numFmtId="3" fontId="7" fillId="24" borderId="3" xfId="0" applyNumberFormat="1" applyFont="1" applyFill="1" applyBorder="1" applyAlignment="1">
      <alignment horizontal="center"/>
    </xf>
    <xf numFmtId="165" fontId="7" fillId="24" borderId="0" xfId="0" applyNumberFormat="1" applyFont="1" applyFill="1" applyAlignment="1">
      <alignment horizontal="center"/>
    </xf>
    <xf numFmtId="165" fontId="2" fillId="24" borderId="3" xfId="0" applyNumberFormat="1" applyFont="1" applyFill="1" applyBorder="1" applyAlignment="1">
      <alignment horizontal="center"/>
    </xf>
    <xf numFmtId="165" fontId="8" fillId="24" borderId="3" xfId="0" applyNumberFormat="1" applyFont="1" applyFill="1" applyBorder="1" applyAlignment="1">
      <alignment horizontal="center"/>
    </xf>
    <xf numFmtId="1" fontId="2" fillId="24" borderId="3" xfId="0" applyNumberFormat="1" applyFont="1" applyFill="1" applyBorder="1" applyAlignment="1">
      <alignment horizontal="center"/>
    </xf>
    <xf numFmtId="4" fontId="7" fillId="0" borderId="3" xfId="0" applyNumberFormat="1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7" fillId="0" borderId="11" xfId="0" applyNumberFormat="1" applyFont="1" applyBorder="1" applyAlignment="1">
      <alignment horizontal="center" vertical="center"/>
    </xf>
    <xf numFmtId="14" fontId="7" fillId="24" borderId="8" xfId="0" applyNumberFormat="1" applyFont="1" applyFill="1" applyBorder="1" applyAlignment="1">
      <alignment horizontal="center" vertical="center"/>
    </xf>
    <xf numFmtId="14" fontId="0" fillId="12" borderId="3" xfId="0" applyNumberFormat="1" applyFill="1" applyBorder="1" applyAlignment="1">
      <alignment horizontal="center"/>
    </xf>
    <xf numFmtId="3" fontId="0" fillId="12" borderId="3" xfId="0" applyNumberFormat="1" applyFill="1" applyBorder="1" applyAlignment="1">
      <alignment horizontal="center"/>
    </xf>
    <xf numFmtId="165" fontId="0" fillId="12" borderId="3" xfId="0" applyNumberFormat="1" applyFill="1" applyBorder="1" applyAlignment="1">
      <alignment horizontal="center"/>
    </xf>
    <xf numFmtId="165" fontId="2" fillId="12" borderId="3" xfId="0" applyNumberFormat="1" applyFont="1" applyFill="1" applyBorder="1" applyAlignment="1">
      <alignment horizontal="center"/>
    </xf>
    <xf numFmtId="165" fontId="8" fillId="12" borderId="3" xfId="0" applyNumberFormat="1" applyFont="1" applyFill="1" applyBorder="1" applyAlignment="1">
      <alignment horizontal="center"/>
    </xf>
    <xf numFmtId="1" fontId="2" fillId="12" borderId="3" xfId="0" applyNumberFormat="1" applyFont="1" applyFill="1" applyBorder="1" applyAlignment="1">
      <alignment horizontal="center"/>
    </xf>
    <xf numFmtId="165" fontId="8" fillId="12" borderId="3" xfId="0" applyNumberFormat="1" applyFont="1" applyFill="1" applyBorder="1" applyAlignment="1">
      <alignment horizontal="center" wrapText="1"/>
    </xf>
    <xf numFmtId="165" fontId="8" fillId="0" borderId="3" xfId="0" applyNumberFormat="1" applyFont="1" applyBorder="1" applyAlignment="1">
      <alignment horizontal="center" wrapText="1"/>
    </xf>
    <xf numFmtId="14" fontId="0" fillId="12" borderId="8" xfId="0" applyNumberFormat="1" applyFill="1" applyBorder="1" applyAlignment="1">
      <alignment horizontal="center"/>
    </xf>
    <xf numFmtId="165" fontId="2" fillId="2" borderId="3" xfId="0" applyNumberFormat="1" applyFont="1" applyFill="1" applyBorder="1" applyAlignment="1">
      <alignment horizontal="center"/>
    </xf>
    <xf numFmtId="165" fontId="23" fillId="0" borderId="3" xfId="0" applyNumberFormat="1" applyFont="1" applyBorder="1" applyAlignment="1">
      <alignment horizontal="center"/>
    </xf>
    <xf numFmtId="165" fontId="23" fillId="2" borderId="3" xfId="0" applyNumberFormat="1" applyFont="1" applyFill="1" applyBorder="1" applyAlignment="1">
      <alignment horizontal="center"/>
    </xf>
    <xf numFmtId="14" fontId="20" fillId="0" borderId="3" xfId="0" applyNumberFormat="1" applyFont="1" applyBorder="1" applyAlignment="1">
      <alignment horizontal="center"/>
    </xf>
    <xf numFmtId="14" fontId="7" fillId="0" borderId="3" xfId="0" applyNumberFormat="1" applyFont="1" applyBorder="1" applyAlignment="1">
      <alignment horizontal="center" vertical="top"/>
    </xf>
    <xf numFmtId="4" fontId="0" fillId="22" borderId="3" xfId="0" applyNumberFormat="1" applyFill="1" applyBorder="1" applyAlignment="1">
      <alignment horizontal="center"/>
    </xf>
    <xf numFmtId="165" fontId="0" fillId="22" borderId="3" xfId="0" applyNumberFormat="1" applyFill="1" applyBorder="1" applyAlignment="1">
      <alignment horizontal="center"/>
    </xf>
    <xf numFmtId="14" fontId="0" fillId="8" borderId="3" xfId="0" applyNumberFormat="1" applyFill="1" applyBorder="1" applyAlignment="1">
      <alignment horizontal="center"/>
    </xf>
    <xf numFmtId="4" fontId="0" fillId="8" borderId="3" xfId="0" applyNumberFormat="1" applyFill="1" applyBorder="1" applyAlignment="1">
      <alignment horizontal="center"/>
    </xf>
    <xf numFmtId="165" fontId="7" fillId="8" borderId="3" xfId="0" applyNumberFormat="1" applyFont="1" applyFill="1" applyBorder="1" applyAlignment="1">
      <alignment horizontal="center"/>
    </xf>
    <xf numFmtId="165" fontId="23" fillId="8" borderId="3" xfId="0" applyNumberFormat="1" applyFont="1" applyFill="1" applyBorder="1" applyAlignment="1">
      <alignment horizontal="center"/>
    </xf>
    <xf numFmtId="165" fontId="2" fillId="8" borderId="3" xfId="0" applyNumberFormat="1" applyFont="1" applyFill="1" applyBorder="1" applyAlignment="1">
      <alignment horizontal="center"/>
    </xf>
    <xf numFmtId="165" fontId="8" fillId="8" borderId="3" xfId="0" applyNumberFormat="1" applyFont="1" applyFill="1" applyBorder="1" applyAlignment="1">
      <alignment horizontal="center"/>
    </xf>
    <xf numFmtId="1" fontId="2" fillId="8" borderId="3" xfId="0" applyNumberFormat="1" applyFont="1" applyFill="1" applyBorder="1" applyAlignment="1">
      <alignment horizontal="center"/>
    </xf>
    <xf numFmtId="165" fontId="0" fillId="8" borderId="3" xfId="0" applyNumberFormat="1" applyFill="1" applyBorder="1" applyAlignment="1">
      <alignment horizontal="center"/>
    </xf>
    <xf numFmtId="1" fontId="28" fillId="8" borderId="3" xfId="0" applyNumberFormat="1" applyFont="1" applyFill="1" applyBorder="1" applyAlignment="1">
      <alignment horizontal="center"/>
    </xf>
    <xf numFmtId="165" fontId="30" fillId="0" borderId="3" xfId="0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169" fontId="0" fillId="0" borderId="3" xfId="0" applyNumberFormat="1" applyBorder="1" applyAlignment="1">
      <alignment horizontal="center"/>
    </xf>
    <xf numFmtId="169" fontId="0" fillId="22" borderId="3" xfId="0" applyNumberFormat="1" applyFill="1" applyBorder="1" applyAlignment="1">
      <alignment horizontal="center"/>
    </xf>
    <xf numFmtId="14" fontId="0" fillId="22" borderId="3" xfId="0" applyNumberFormat="1" applyFill="1" applyBorder="1" applyAlignment="1">
      <alignment horizontal="center"/>
    </xf>
    <xf numFmtId="14" fontId="7" fillId="8" borderId="3" xfId="0" applyNumberFormat="1" applyFont="1" applyFill="1" applyBorder="1" applyAlignment="1">
      <alignment horizontal="center"/>
    </xf>
    <xf numFmtId="14" fontId="7" fillId="0" borderId="0" xfId="0" applyNumberFormat="1" applyFont="1" applyAlignment="1">
      <alignment horizontal="center" vertical="top"/>
    </xf>
    <xf numFmtId="4" fontId="28" fillId="0" borderId="3" xfId="0" applyNumberFormat="1" applyFont="1" applyBorder="1" applyAlignment="1">
      <alignment horizontal="center"/>
    </xf>
    <xf numFmtId="14" fontId="0" fillId="0" borderId="3" xfId="0" applyNumberFormat="1" applyBorder="1" applyAlignment="1">
      <alignment horizontal="center" vertical="center"/>
    </xf>
    <xf numFmtId="14" fontId="0" fillId="20" borderId="3" xfId="0" applyNumberFormat="1" applyFill="1" applyBorder="1" applyAlignment="1">
      <alignment horizontal="center"/>
    </xf>
    <xf numFmtId="4" fontId="0" fillId="20" borderId="3" xfId="0" applyNumberFormat="1" applyFill="1" applyBorder="1" applyAlignment="1">
      <alignment horizontal="center"/>
    </xf>
    <xf numFmtId="165" fontId="0" fillId="20" borderId="3" xfId="0" applyNumberFormat="1" applyFill="1" applyBorder="1" applyAlignment="1">
      <alignment horizontal="center"/>
    </xf>
    <xf numFmtId="4" fontId="0" fillId="8" borderId="8" xfId="0" applyNumberFormat="1" applyFill="1" applyBorder="1" applyAlignment="1">
      <alignment horizontal="center"/>
    </xf>
    <xf numFmtId="165" fontId="8" fillId="8" borderId="11" xfId="0" applyNumberFormat="1" applyFont="1" applyFill="1" applyBorder="1" applyAlignment="1">
      <alignment horizontal="center"/>
    </xf>
    <xf numFmtId="14" fontId="7" fillId="20" borderId="3" xfId="0" applyNumberFormat="1" applyFont="1" applyFill="1" applyBorder="1" applyAlignment="1">
      <alignment horizontal="center" vertical="center"/>
    </xf>
    <xf numFmtId="170" fontId="0" fillId="0" borderId="3" xfId="0" applyNumberFormat="1" applyBorder="1" applyAlignment="1">
      <alignment horizontal="center" vertical="center"/>
    </xf>
    <xf numFmtId="170" fontId="29" fillId="0" borderId="3" xfId="0" applyNumberFormat="1" applyFont="1" applyBorder="1" applyAlignment="1">
      <alignment horizontal="center" vertical="center"/>
    </xf>
    <xf numFmtId="165" fontId="8" fillId="7" borderId="3" xfId="0" applyNumberFormat="1" applyFont="1" applyFill="1" applyBorder="1" applyAlignment="1">
      <alignment horizontal="center"/>
    </xf>
    <xf numFmtId="14" fontId="0" fillId="7" borderId="3" xfId="0" applyNumberFormat="1" applyFill="1" applyBorder="1" applyAlignment="1">
      <alignment horizontal="center"/>
    </xf>
    <xf numFmtId="14" fontId="7" fillId="7" borderId="3" xfId="0" applyNumberFormat="1" applyFont="1" applyFill="1" applyBorder="1" applyAlignment="1">
      <alignment horizontal="center"/>
    </xf>
    <xf numFmtId="14" fontId="29" fillId="0" borderId="3" xfId="0" applyNumberFormat="1" applyFont="1" applyBorder="1" applyAlignment="1">
      <alignment horizontal="center"/>
    </xf>
    <xf numFmtId="4" fontId="29" fillId="0" borderId="3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center" vertical="top"/>
    </xf>
    <xf numFmtId="14" fontId="0" fillId="3" borderId="3" xfId="0" applyNumberFormat="1" applyFill="1" applyBorder="1" applyAlignment="1">
      <alignment horizontal="center"/>
    </xf>
    <xf numFmtId="4" fontId="0" fillId="3" borderId="3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165" fontId="23" fillId="3" borderId="3" xfId="0" applyNumberFormat="1" applyFont="1" applyFill="1" applyBorder="1" applyAlignment="1">
      <alignment horizontal="center"/>
    </xf>
    <xf numFmtId="165" fontId="2" fillId="3" borderId="3" xfId="0" applyNumberFormat="1" applyFont="1" applyFill="1" applyBorder="1" applyAlignment="1">
      <alignment horizontal="center"/>
    </xf>
    <xf numFmtId="165" fontId="8" fillId="3" borderId="3" xfId="0" applyNumberFormat="1" applyFont="1" applyFill="1" applyBorder="1" applyAlignment="1">
      <alignment horizontal="center"/>
    </xf>
    <xf numFmtId="165" fontId="3" fillId="3" borderId="3" xfId="0" applyNumberFormat="1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center"/>
    </xf>
    <xf numFmtId="165" fontId="0" fillId="0" borderId="0" xfId="0" applyNumberFormat="1" applyAlignment="1">
      <alignment horizontal="center" vertical="top"/>
    </xf>
    <xf numFmtId="14" fontId="0" fillId="0" borderId="12" xfId="0" applyNumberForma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4" fontId="7" fillId="0" borderId="13" xfId="0" applyNumberFormat="1" applyFont="1" applyBorder="1" applyAlignment="1">
      <alignment horizontal="center" vertical="top"/>
    </xf>
    <xf numFmtId="14" fontId="8" fillId="0" borderId="13" xfId="0" applyNumberFormat="1" applyFont="1" applyBorder="1" applyAlignment="1">
      <alignment horizontal="center" vertical="top"/>
    </xf>
    <xf numFmtId="14" fontId="7" fillId="3" borderId="3" xfId="0" applyNumberFormat="1" applyFont="1" applyFill="1" applyBorder="1" applyAlignment="1">
      <alignment horizontal="center"/>
    </xf>
    <xf numFmtId="169" fontId="7" fillId="3" borderId="3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top"/>
    </xf>
    <xf numFmtId="0" fontId="0" fillId="6" borderId="0" xfId="0" applyFill="1">
      <alignment vertical="top"/>
    </xf>
    <xf numFmtId="165" fontId="0" fillId="14" borderId="3" xfId="0" applyNumberFormat="1" applyFill="1" applyBorder="1" applyAlignment="1">
      <alignment horizontal="center"/>
    </xf>
    <xf numFmtId="165" fontId="8" fillId="14" borderId="3" xfId="0" applyNumberFormat="1" applyFont="1" applyFill="1" applyBorder="1" applyAlignment="1">
      <alignment horizontal="center"/>
    </xf>
    <xf numFmtId="0" fontId="0" fillId="25" borderId="0" xfId="0" applyFill="1">
      <alignment vertical="top"/>
    </xf>
    <xf numFmtId="0" fontId="0" fillId="20" borderId="0" xfId="0" applyFill="1">
      <alignment vertical="top"/>
    </xf>
    <xf numFmtId="0" fontId="19" fillId="0" borderId="0" xfId="0" applyFont="1">
      <alignment vertical="top"/>
    </xf>
    <xf numFmtId="0" fontId="7" fillId="0" borderId="0" xfId="0" applyFont="1">
      <alignment vertical="top"/>
    </xf>
    <xf numFmtId="0" fontId="32" fillId="0" borderId="0" xfId="0" applyFont="1">
      <alignment vertical="top"/>
    </xf>
    <xf numFmtId="165" fontId="31" fillId="0" borderId="0" xfId="0" applyNumberFormat="1" applyFont="1">
      <alignment vertical="top"/>
    </xf>
    <xf numFmtId="0" fontId="33" fillId="0" borderId="0" xfId="0" applyFont="1">
      <alignment vertical="top"/>
    </xf>
    <xf numFmtId="168" fontId="0" fillId="0" borderId="0" xfId="0" applyNumberFormat="1">
      <alignment vertical="top"/>
    </xf>
    <xf numFmtId="165" fontId="32" fillId="0" borderId="0" xfId="0" applyNumberFormat="1" applyFont="1">
      <alignment vertical="top"/>
    </xf>
    <xf numFmtId="165" fontId="33" fillId="0" borderId="0" xfId="0" applyNumberFormat="1" applyFont="1">
      <alignment vertical="top"/>
    </xf>
    <xf numFmtId="0" fontId="0" fillId="0" borderId="23" xfId="0" applyBorder="1">
      <alignment vertical="top"/>
    </xf>
    <xf numFmtId="0" fontId="0" fillId="0" borderId="21" xfId="0" applyBorder="1">
      <alignment vertical="top"/>
    </xf>
    <xf numFmtId="165" fontId="31" fillId="25" borderId="0" xfId="0" applyNumberFormat="1" applyFont="1" applyFill="1">
      <alignment vertical="top"/>
    </xf>
    <xf numFmtId="165" fontId="33" fillId="25" borderId="0" xfId="0" applyNumberFormat="1" applyFont="1" applyFill="1">
      <alignment vertical="top"/>
    </xf>
    <xf numFmtId="165" fontId="31" fillId="20" borderId="0" xfId="0" applyNumberFormat="1" applyFont="1" applyFill="1">
      <alignment vertical="top"/>
    </xf>
    <xf numFmtId="165" fontId="33" fillId="20" borderId="0" xfId="0" applyNumberFormat="1" applyFont="1" applyFill="1">
      <alignment vertical="top"/>
    </xf>
    <xf numFmtId="165" fontId="0" fillId="25" borderId="0" xfId="0" applyNumberFormat="1" applyFill="1">
      <alignment vertical="top"/>
    </xf>
    <xf numFmtId="165" fontId="0" fillId="13" borderId="0" xfId="0" applyNumberFormat="1" applyFill="1">
      <alignment vertical="top"/>
    </xf>
    <xf numFmtId="165" fontId="0" fillId="20" borderId="0" xfId="0" applyNumberFormat="1" applyFill="1">
      <alignment vertical="top"/>
    </xf>
    <xf numFmtId="165" fontId="31" fillId="6" borderId="0" xfId="0" applyNumberFormat="1" applyFont="1" applyFill="1">
      <alignment vertical="top"/>
    </xf>
    <xf numFmtId="165" fontId="33" fillId="6" borderId="0" xfId="0" applyNumberFormat="1" applyFont="1" applyFill="1">
      <alignment vertical="top"/>
    </xf>
    <xf numFmtId="165" fontId="0" fillId="6" borderId="0" xfId="0" applyNumberFormat="1" applyFill="1">
      <alignment vertical="top"/>
    </xf>
    <xf numFmtId="0" fontId="2" fillId="10" borderId="0" xfId="0" applyFont="1" applyFill="1">
      <alignment vertical="top"/>
    </xf>
    <xf numFmtId="165" fontId="2" fillId="10" borderId="0" xfId="0" applyNumberFormat="1" applyFont="1" applyFill="1">
      <alignment vertical="top"/>
    </xf>
    <xf numFmtId="0" fontId="2" fillId="8" borderId="0" xfId="0" applyFont="1" applyFill="1">
      <alignment vertical="top"/>
    </xf>
    <xf numFmtId="165" fontId="2" fillId="8" borderId="0" xfId="0" applyNumberFormat="1" applyFont="1" applyFill="1">
      <alignment vertical="top"/>
    </xf>
    <xf numFmtId="0" fontId="0" fillId="0" borderId="0" xfId="0" quotePrefix="1" applyAlignment="1">
      <alignment horizontal="left" vertical="top"/>
    </xf>
    <xf numFmtId="165" fontId="8" fillId="0" borderId="3" xfId="0" quotePrefix="1" applyNumberFormat="1" applyFont="1" applyBorder="1" applyAlignment="1">
      <alignment horizontal="center"/>
    </xf>
    <xf numFmtId="1" fontId="2" fillId="22" borderId="3" xfId="0" quotePrefix="1" applyNumberFormat="1" applyFont="1" applyFill="1" applyBorder="1" applyAlignment="1">
      <alignment horizontal="center"/>
    </xf>
    <xf numFmtId="1" fontId="28" fillId="0" borderId="3" xfId="0" quotePrefix="1" applyNumberFormat="1" applyFont="1" applyBorder="1" applyAlignment="1">
      <alignment horizontal="center"/>
    </xf>
    <xf numFmtId="1" fontId="2" fillId="0" borderId="3" xfId="0" quotePrefix="1" applyNumberFormat="1" applyFont="1" applyBorder="1" applyAlignment="1">
      <alignment horizontal="center"/>
    </xf>
    <xf numFmtId="1" fontId="2" fillId="20" borderId="3" xfId="0" quotePrefix="1" applyNumberFormat="1" applyFont="1" applyFill="1" applyBorder="1" applyAlignment="1">
      <alignment horizontal="center"/>
    </xf>
    <xf numFmtId="1" fontId="2" fillId="8" borderId="3" xfId="0" quotePrefix="1" applyNumberFormat="1" applyFont="1" applyFill="1" applyBorder="1" applyAlignment="1">
      <alignment horizontal="center"/>
    </xf>
    <xf numFmtId="1" fontId="2" fillId="7" borderId="3" xfId="0" quotePrefix="1" applyNumberFormat="1" applyFont="1" applyFill="1" applyBorder="1" applyAlignment="1">
      <alignment horizontal="center"/>
    </xf>
    <xf numFmtId="1" fontId="2" fillId="0" borderId="8" xfId="0" quotePrefix="1" applyNumberFormat="1" applyFont="1" applyBorder="1" applyAlignment="1">
      <alignment horizontal="center"/>
    </xf>
    <xf numFmtId="1" fontId="3" fillId="0" borderId="8" xfId="0" quotePrefix="1" applyNumberFormat="1" applyFont="1" applyBorder="1" applyAlignment="1">
      <alignment horizontal="center"/>
    </xf>
    <xf numFmtId="1" fontId="2" fillId="3" borderId="3" xfId="0" quotePrefix="1" applyNumberFormat="1" applyFont="1" applyFill="1" applyBorder="1" applyAlignment="1">
      <alignment horizontal="center"/>
    </xf>
    <xf numFmtId="1" fontId="28" fillId="3" borderId="3" xfId="0" quotePrefix="1" applyNumberFormat="1" applyFont="1" applyFill="1" applyBorder="1" applyAlignment="1">
      <alignment horizontal="center"/>
    </xf>
    <xf numFmtId="1" fontId="0" fillId="0" borderId="3" xfId="0" quotePrefix="1" applyNumberFormat="1" applyBorder="1" applyAlignment="1">
      <alignment horizontal="center"/>
    </xf>
    <xf numFmtId="1" fontId="7" fillId="3" borderId="3" xfId="0" quotePrefix="1" applyNumberFormat="1" applyFont="1" applyFill="1" applyBorder="1" applyAlignment="1">
      <alignment horizontal="center"/>
    </xf>
    <xf numFmtId="3" fontId="18" fillId="11" borderId="0" xfId="0" quotePrefix="1" applyNumberFormat="1" applyFont="1" applyFill="1" applyAlignment="1">
      <alignment horizontal="left" vertical="top"/>
    </xf>
    <xf numFmtId="3" fontId="6" fillId="11" borderId="0" xfId="0" quotePrefix="1" applyNumberFormat="1" applyFont="1" applyFill="1" applyAlignment="1">
      <alignment horizontal="left" vertical="top"/>
    </xf>
    <xf numFmtId="0" fontId="0" fillId="0" borderId="15" xfId="0" pivotButton="1" applyBorder="1">
      <alignment vertical="top"/>
    </xf>
    <xf numFmtId="14" fontId="35" fillId="0" borderId="3" xfId="0" applyNumberFormat="1" applyFont="1" applyBorder="1" applyAlignment="1">
      <alignment horizontal="center"/>
    </xf>
    <xf numFmtId="3" fontId="35" fillId="0" borderId="3" xfId="0" applyNumberFormat="1" applyFont="1" applyBorder="1" applyAlignment="1">
      <alignment horizontal="center"/>
    </xf>
    <xf numFmtId="165" fontId="35" fillId="0" borderId="3" xfId="0" applyNumberFormat="1" applyFont="1" applyBorder="1" applyAlignment="1">
      <alignment horizontal="center"/>
    </xf>
    <xf numFmtId="1" fontId="36" fillId="0" borderId="3" xfId="0" quotePrefix="1" applyNumberFormat="1" applyFont="1" applyBorder="1" applyAlignment="1">
      <alignment horizontal="center"/>
    </xf>
    <xf numFmtId="169" fontId="35" fillId="0" borderId="3" xfId="0" applyNumberFormat="1" applyFont="1" applyBorder="1" applyAlignment="1">
      <alignment horizontal="center"/>
    </xf>
    <xf numFmtId="165" fontId="37" fillId="0" borderId="3" xfId="0" applyNumberFormat="1" applyFont="1" applyBorder="1" applyAlignment="1">
      <alignment horizontal="center"/>
    </xf>
    <xf numFmtId="1" fontId="35" fillId="0" borderId="3" xfId="0" quotePrefix="1" applyNumberFormat="1" applyFont="1" applyBorder="1" applyAlignment="1">
      <alignment horizontal="center"/>
    </xf>
    <xf numFmtId="14" fontId="38" fillId="0" borderId="3" xfId="5" applyNumberFormat="1" applyBorder="1" applyAlignment="1">
      <alignment horizontal="center"/>
    </xf>
    <xf numFmtId="3" fontId="38" fillId="0" borderId="3" xfId="5" applyNumberFormat="1" applyBorder="1" applyAlignment="1">
      <alignment horizontal="center"/>
    </xf>
    <xf numFmtId="165" fontId="38" fillId="0" borderId="3" xfId="5" applyNumberFormat="1" applyBorder="1" applyAlignment="1">
      <alignment horizontal="center"/>
    </xf>
    <xf numFmtId="165" fontId="2" fillId="0" borderId="3" xfId="5" applyNumberFormat="1" applyFont="1" applyBorder="1" applyAlignment="1">
      <alignment horizontal="center"/>
    </xf>
    <xf numFmtId="165" fontId="8" fillId="0" borderId="3" xfId="5" applyNumberFormat="1" applyFont="1" applyBorder="1" applyAlignment="1">
      <alignment horizontal="center"/>
    </xf>
    <xf numFmtId="1" fontId="28" fillId="0" borderId="3" xfId="5" quotePrefix="1" applyNumberFormat="1" applyFont="1" applyBorder="1" applyAlignment="1">
      <alignment horizontal="center"/>
    </xf>
    <xf numFmtId="169" fontId="38" fillId="0" borderId="3" xfId="5" applyNumberFormat="1" applyBorder="1" applyAlignment="1">
      <alignment horizontal="center"/>
    </xf>
    <xf numFmtId="165" fontId="30" fillId="0" borderId="3" xfId="5" applyNumberFormat="1" applyFont="1" applyBorder="1" applyAlignment="1">
      <alignment horizontal="center"/>
    </xf>
    <xf numFmtId="1" fontId="38" fillId="0" borderId="3" xfId="5" quotePrefix="1" applyNumberFormat="1" applyBorder="1" applyAlignment="1">
      <alignment horizontal="center"/>
    </xf>
    <xf numFmtId="165" fontId="28" fillId="0" borderId="3" xfId="5" applyNumberFormat="1" applyFont="1" applyBorder="1" applyAlignment="1">
      <alignment horizontal="center"/>
    </xf>
    <xf numFmtId="3" fontId="18" fillId="0" borderId="0" xfId="0" applyNumberFormat="1" applyFont="1" applyAlignment="1">
      <alignment horizontal="left" vertical="top"/>
    </xf>
    <xf numFmtId="3" fontId="18" fillId="0" borderId="0" xfId="0" quotePrefix="1" applyNumberFormat="1" applyFont="1" applyAlignment="1">
      <alignment horizontal="left" vertical="top"/>
    </xf>
    <xf numFmtId="0" fontId="6" fillId="8" borderId="0" xfId="0" applyFont="1" applyFill="1">
      <alignment vertical="top"/>
    </xf>
    <xf numFmtId="0" fontId="9" fillId="16" borderId="2" xfId="0" applyFont="1" applyFill="1" applyBorder="1" applyAlignment="1">
      <alignment horizontal="left"/>
    </xf>
    <xf numFmtId="14" fontId="9" fillId="16" borderId="2" xfId="0" applyNumberFormat="1" applyFont="1" applyFill="1" applyBorder="1" applyAlignment="1">
      <alignment horizontal="left"/>
    </xf>
    <xf numFmtId="3" fontId="39" fillId="0" borderId="1" xfId="0" applyNumberFormat="1" applyFont="1" applyBorder="1" applyAlignment="1">
      <alignment horizontal="center" vertical="center"/>
    </xf>
    <xf numFmtId="166" fontId="39" fillId="0" borderId="1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14" fontId="39" fillId="0" borderId="1" xfId="0" applyNumberFormat="1" applyFont="1" applyBorder="1" applyAlignment="1">
      <alignment horizontal="center" vertical="center"/>
    </xf>
    <xf numFmtId="3" fontId="39" fillId="0" borderId="4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horizontal="left" vertical="center"/>
    </xf>
    <xf numFmtId="0" fontId="39" fillId="0" borderId="5" xfId="0" applyFont="1" applyBorder="1" applyAlignment="1">
      <alignment horizontal="center" vertical="center"/>
    </xf>
    <xf numFmtId="165" fontId="39" fillId="2" borderId="1" xfId="0" applyNumberFormat="1" applyFont="1" applyFill="1" applyBorder="1" applyAlignment="1">
      <alignment vertical="center"/>
    </xf>
    <xf numFmtId="165" fontId="39" fillId="4" borderId="1" xfId="0" applyNumberFormat="1" applyFont="1" applyFill="1" applyBorder="1" applyAlignment="1">
      <alignment vertical="center"/>
    </xf>
    <xf numFmtId="165" fontId="39" fillId="5" borderId="1" xfId="0" applyNumberFormat="1" applyFont="1" applyFill="1" applyBorder="1" applyAlignment="1">
      <alignment vertical="center"/>
    </xf>
    <xf numFmtId="165" fontId="39" fillId="15" borderId="1" xfId="0" applyNumberFormat="1" applyFont="1" applyFill="1" applyBorder="1" applyAlignment="1">
      <alignment vertical="center"/>
    </xf>
    <xf numFmtId="165" fontId="40" fillId="0" borderId="1" xfId="0" applyNumberFormat="1" applyFont="1" applyBorder="1">
      <alignment vertical="top"/>
    </xf>
    <xf numFmtId="165" fontId="4" fillId="16" borderId="2" xfId="0" applyNumberFormat="1" applyFont="1" applyFill="1" applyBorder="1" applyAlignment="1">
      <alignment horizontal="center"/>
    </xf>
    <xf numFmtId="165" fontId="6" fillId="16" borderId="2" xfId="0" applyNumberFormat="1" applyFont="1" applyFill="1" applyBorder="1" applyAlignment="1">
      <alignment horizontal="center"/>
    </xf>
    <xf numFmtId="165" fontId="5" fillId="16" borderId="2" xfId="0" applyNumberFormat="1" applyFont="1" applyFill="1" applyBorder="1" applyAlignment="1">
      <alignment horizontal="center"/>
    </xf>
    <xf numFmtId="14" fontId="4" fillId="16" borderId="2" xfId="0" applyNumberFormat="1" applyFont="1" applyFill="1" applyBorder="1" applyAlignment="1">
      <alignment horizontal="center"/>
    </xf>
    <xf numFmtId="14" fontId="6" fillId="16" borderId="2" xfId="0" applyNumberFormat="1" applyFont="1" applyFill="1" applyBorder="1" applyAlignment="1">
      <alignment horizontal="center"/>
    </xf>
    <xf numFmtId="3" fontId="6" fillId="16" borderId="2" xfId="0" applyNumberFormat="1" applyFont="1" applyFill="1" applyBorder="1" applyAlignment="1">
      <alignment horizontal="center"/>
    </xf>
    <xf numFmtId="4" fontId="6" fillId="16" borderId="2" xfId="0" applyNumberFormat="1" applyFont="1" applyFill="1" applyBorder="1" applyAlignment="1">
      <alignment horizontal="center"/>
    </xf>
    <xf numFmtId="0" fontId="6" fillId="16" borderId="6" xfId="0" applyFont="1" applyFill="1" applyBorder="1" applyAlignment="1">
      <alignment horizontal="left"/>
    </xf>
    <xf numFmtId="165" fontId="46" fillId="16" borderId="2" xfId="0" applyNumberFormat="1" applyFont="1" applyFill="1" applyBorder="1">
      <alignment vertical="top"/>
    </xf>
    <xf numFmtId="165" fontId="46" fillId="16" borderId="2" xfId="3" applyNumberFormat="1" applyFont="1" applyFill="1" applyBorder="1">
      <alignment vertical="top"/>
    </xf>
    <xf numFmtId="0" fontId="2" fillId="10" borderId="0" xfId="0" applyFont="1" applyFill="1" applyAlignment="1">
      <alignment horizontal="right" vertical="top"/>
    </xf>
    <xf numFmtId="1" fontId="2" fillId="10" borderId="0" xfId="0" applyNumberFormat="1" applyFont="1" applyFill="1">
      <alignment vertical="top"/>
    </xf>
    <xf numFmtId="14" fontId="2" fillId="10" borderId="0" xfId="0" applyNumberFormat="1" applyFont="1" applyFill="1" applyAlignment="1">
      <alignment horizontal="right" vertical="top"/>
    </xf>
    <xf numFmtId="0" fontId="17" fillId="10" borderId="0" xfId="0" applyFont="1" applyFill="1">
      <alignment vertical="top"/>
    </xf>
    <xf numFmtId="4" fontId="17" fillId="10" borderId="0" xfId="0" applyNumberFormat="1" applyFont="1" applyFill="1">
      <alignment vertical="top"/>
    </xf>
    <xf numFmtId="3" fontId="2" fillId="10" borderId="0" xfId="0" applyNumberFormat="1" applyFont="1" applyFill="1">
      <alignment vertical="top"/>
    </xf>
    <xf numFmtId="0" fontId="6" fillId="10" borderId="0" xfId="0" applyFont="1" applyFill="1">
      <alignment vertical="top"/>
    </xf>
    <xf numFmtId="165" fontId="2" fillId="10" borderId="0" xfId="0" applyNumberFormat="1" applyFont="1" applyFill="1" applyAlignment="1">
      <alignment horizontal="right" vertical="top"/>
    </xf>
    <xf numFmtId="165" fontId="17" fillId="10" borderId="0" xfId="0" applyNumberFormat="1" applyFont="1" applyFill="1" applyAlignment="1">
      <alignment horizontal="right" vertical="top"/>
    </xf>
    <xf numFmtId="165" fontId="26" fillId="10" borderId="0" xfId="0" applyNumberFormat="1" applyFont="1" applyFill="1" applyAlignment="1">
      <alignment horizontal="right" vertical="top"/>
    </xf>
    <xf numFmtId="9" fontId="2" fillId="10" borderId="0" xfId="0" applyNumberFormat="1" applyFont="1" applyFill="1" applyAlignment="1">
      <alignment horizontal="right" vertical="top"/>
    </xf>
    <xf numFmtId="3" fontId="18" fillId="20" borderId="0" xfId="0" quotePrefix="1" applyNumberFormat="1" applyFont="1" applyFill="1" applyAlignment="1">
      <alignment horizontal="left" vertical="top"/>
    </xf>
    <xf numFmtId="0" fontId="6" fillId="20" borderId="0" xfId="0" applyFont="1" applyFill="1">
      <alignment vertical="top"/>
    </xf>
    <xf numFmtId="14" fontId="6" fillId="20" borderId="0" xfId="0" applyNumberFormat="1" applyFont="1" applyFill="1">
      <alignment vertical="top"/>
    </xf>
    <xf numFmtId="3" fontId="18" fillId="20" borderId="0" xfId="0" applyNumberFormat="1" applyFont="1" applyFill="1" applyAlignment="1">
      <alignment horizontal="left" vertical="top"/>
    </xf>
    <xf numFmtId="9" fontId="6" fillId="20" borderId="0" xfId="0" applyNumberFormat="1" applyFont="1" applyFill="1">
      <alignment vertical="top"/>
    </xf>
    <xf numFmtId="14" fontId="6" fillId="8" borderId="0" xfId="0" applyNumberFormat="1" applyFont="1" applyFill="1">
      <alignment vertical="top"/>
    </xf>
    <xf numFmtId="3" fontId="18" fillId="8" borderId="0" xfId="0" quotePrefix="1" applyNumberFormat="1" applyFont="1" applyFill="1" applyAlignment="1">
      <alignment horizontal="left" vertical="top"/>
    </xf>
    <xf numFmtId="9" fontId="6" fillId="8" borderId="0" xfId="0" applyNumberFormat="1" applyFont="1" applyFill="1">
      <alignment vertical="top"/>
    </xf>
    <xf numFmtId="9" fontId="18" fillId="8" borderId="0" xfId="3" quotePrefix="1" applyFont="1" applyFill="1" applyAlignment="1">
      <alignment horizontal="left" vertical="top"/>
    </xf>
    <xf numFmtId="3" fontId="18" fillId="26" borderId="0" xfId="0" quotePrefix="1" applyNumberFormat="1" applyFont="1" applyFill="1" applyAlignment="1">
      <alignment horizontal="left" vertical="top"/>
    </xf>
    <xf numFmtId="3" fontId="18" fillId="6" borderId="0" xfId="0" quotePrefix="1" applyNumberFormat="1" applyFont="1" applyFill="1" applyAlignment="1">
      <alignment horizontal="left" vertical="top"/>
    </xf>
    <xf numFmtId="9" fontId="6" fillId="6" borderId="0" xfId="0" applyNumberFormat="1" applyFont="1" applyFill="1">
      <alignment vertical="top"/>
    </xf>
    <xf numFmtId="14" fontId="6" fillId="10" borderId="0" xfId="0" applyNumberFormat="1" applyFont="1" applyFill="1">
      <alignment vertical="top"/>
    </xf>
    <xf numFmtId="3" fontId="18" fillId="10" borderId="0" xfId="0" quotePrefix="1" applyNumberFormat="1" applyFont="1" applyFill="1" applyAlignment="1">
      <alignment horizontal="left" vertical="top"/>
    </xf>
    <xf numFmtId="9" fontId="6" fillId="10" borderId="0" xfId="0" applyNumberFormat="1" applyFont="1" applyFill="1">
      <alignment vertical="top"/>
    </xf>
    <xf numFmtId="165" fontId="41" fillId="14" borderId="2" xfId="0" applyNumberFormat="1" applyFont="1" applyFill="1" applyBorder="1" applyAlignment="1">
      <alignment horizontal="center" vertical="center"/>
    </xf>
    <xf numFmtId="165" fontId="36" fillId="14" borderId="2" xfId="0" applyNumberFormat="1" applyFont="1" applyFill="1" applyBorder="1" applyAlignment="1">
      <alignment horizontal="center" vertical="center"/>
    </xf>
    <xf numFmtId="165" fontId="42" fillId="14" borderId="2" xfId="0" applyNumberFormat="1" applyFont="1" applyFill="1" applyBorder="1" applyAlignment="1">
      <alignment horizontal="center" vertical="center"/>
    </xf>
    <xf numFmtId="0" fontId="41" fillId="14" borderId="24" xfId="0" quotePrefix="1" applyFont="1" applyFill="1" applyBorder="1" applyAlignment="1">
      <alignment horizontal="center" vertical="center"/>
    </xf>
    <xf numFmtId="1" fontId="36" fillId="14" borderId="2" xfId="0" applyNumberFormat="1" applyFont="1" applyFill="1" applyBorder="1" applyAlignment="1">
      <alignment horizontal="center" vertical="center"/>
    </xf>
    <xf numFmtId="14" fontId="41" fillId="14" borderId="2" xfId="0" applyNumberFormat="1" applyFont="1" applyFill="1" applyBorder="1" applyAlignment="1">
      <alignment horizontal="center" vertical="center"/>
    </xf>
    <xf numFmtId="14" fontId="36" fillId="14" borderId="2" xfId="0" applyNumberFormat="1" applyFont="1" applyFill="1" applyBorder="1" applyAlignment="1">
      <alignment horizontal="center" vertical="center"/>
    </xf>
    <xf numFmtId="3" fontId="36" fillId="14" borderId="2" xfId="0" applyNumberFormat="1" applyFont="1" applyFill="1" applyBorder="1" applyAlignment="1">
      <alignment horizontal="center" vertical="center"/>
    </xf>
    <xf numFmtId="4" fontId="36" fillId="14" borderId="2" xfId="0" applyNumberFormat="1" applyFont="1" applyFill="1" applyBorder="1" applyAlignment="1">
      <alignment horizontal="center" vertical="center"/>
    </xf>
    <xf numFmtId="0" fontId="36" fillId="14" borderId="6" xfId="0" applyFont="1" applyFill="1" applyBorder="1" applyAlignment="1">
      <alignment horizontal="center" vertical="center"/>
    </xf>
    <xf numFmtId="0" fontId="43" fillId="14" borderId="2" xfId="0" applyFont="1" applyFill="1" applyBorder="1" applyAlignment="1">
      <alignment horizontal="center" vertical="center"/>
    </xf>
    <xf numFmtId="0" fontId="42" fillId="14" borderId="7" xfId="0" applyFont="1" applyFill="1" applyBorder="1" applyAlignment="1">
      <alignment horizontal="center" vertical="center"/>
    </xf>
    <xf numFmtId="14" fontId="44" fillId="14" borderId="2" xfId="0" applyNumberFormat="1" applyFont="1" applyFill="1" applyBorder="1" applyAlignment="1">
      <alignment horizontal="center" vertical="center"/>
    </xf>
    <xf numFmtId="165" fontId="45" fillId="14" borderId="0" xfId="0" applyNumberFormat="1" applyFont="1" applyFill="1" applyAlignment="1">
      <alignment horizontal="center" vertical="center"/>
    </xf>
    <xf numFmtId="0" fontId="2" fillId="5" borderId="0" xfId="0" applyFont="1" applyFill="1">
      <alignment vertical="top"/>
    </xf>
    <xf numFmtId="0" fontId="17" fillId="5" borderId="0" xfId="0" applyFont="1" applyFill="1">
      <alignment vertical="top"/>
    </xf>
    <xf numFmtId="4" fontId="17" fillId="5" borderId="0" xfId="0" applyNumberFormat="1" applyFont="1" applyFill="1">
      <alignment vertical="top"/>
    </xf>
    <xf numFmtId="3" fontId="2" fillId="5" borderId="0" xfId="0" applyNumberFormat="1" applyFont="1" applyFill="1">
      <alignment vertical="top"/>
    </xf>
    <xf numFmtId="0" fontId="6" fillId="5" borderId="0" xfId="0" applyFont="1" applyFill="1">
      <alignment vertical="top"/>
    </xf>
    <xf numFmtId="165" fontId="26" fillId="5" borderId="0" xfId="0" applyNumberFormat="1" applyFont="1" applyFill="1" applyAlignment="1">
      <alignment horizontal="right" vertical="top"/>
    </xf>
    <xf numFmtId="9" fontId="2" fillId="5" borderId="0" xfId="0" applyNumberFormat="1" applyFont="1" applyFill="1" applyAlignment="1">
      <alignment horizontal="right" vertical="top"/>
    </xf>
    <xf numFmtId="14" fontId="47" fillId="16" borderId="2" xfId="0" applyNumberFormat="1" applyFont="1" applyFill="1" applyBorder="1" applyAlignment="1">
      <alignment horizontal="center"/>
    </xf>
    <xf numFmtId="14" fontId="42" fillId="14" borderId="7" xfId="0" applyNumberFormat="1" applyFont="1" applyFill="1" applyBorder="1" applyAlignment="1">
      <alignment horizontal="center" vertical="center"/>
    </xf>
    <xf numFmtId="3" fontId="47" fillId="16" borderId="2" xfId="0" applyNumberFormat="1" applyFont="1" applyFill="1" applyBorder="1" applyAlignment="1">
      <alignment horizontal="center"/>
    </xf>
    <xf numFmtId="4" fontId="47" fillId="16" borderId="2" xfId="0" applyNumberFormat="1" applyFont="1" applyFill="1" applyBorder="1" applyAlignment="1">
      <alignment horizontal="center"/>
    </xf>
    <xf numFmtId="165" fontId="47" fillId="16" borderId="2" xfId="0" applyNumberFormat="1" applyFont="1" applyFill="1" applyBorder="1" applyAlignment="1">
      <alignment horizontal="center"/>
    </xf>
    <xf numFmtId="165" fontId="46" fillId="20" borderId="2" xfId="0" applyNumberFormat="1" applyFont="1" applyFill="1" applyBorder="1">
      <alignment vertical="top"/>
    </xf>
    <xf numFmtId="165" fontId="46" fillId="20" borderId="2" xfId="3" applyNumberFormat="1" applyFont="1" applyFill="1" applyBorder="1">
      <alignment vertical="top"/>
    </xf>
    <xf numFmtId="165" fontId="18" fillId="20" borderId="2" xfId="0" applyNumberFormat="1" applyFont="1" applyFill="1" applyBorder="1" applyAlignment="1">
      <alignment horizontal="center"/>
    </xf>
    <xf numFmtId="14" fontId="48" fillId="16" borderId="2" xfId="0" applyNumberFormat="1" applyFont="1" applyFill="1" applyBorder="1" applyAlignment="1">
      <alignment horizontal="center"/>
    </xf>
    <xf numFmtId="165" fontId="48" fillId="16" borderId="2" xfId="0" applyNumberFormat="1" applyFont="1" applyFill="1" applyBorder="1" applyAlignment="1">
      <alignment horizontal="center"/>
    </xf>
    <xf numFmtId="0" fontId="45" fillId="20" borderId="7" xfId="0" applyFont="1" applyFill="1" applyBorder="1" applyAlignment="1">
      <alignment horizontal="center" vertical="center"/>
    </xf>
    <xf numFmtId="14" fontId="18" fillId="16" borderId="2" xfId="0" applyNumberFormat="1" applyFont="1" applyFill="1" applyBorder="1" applyAlignment="1">
      <alignment horizontal="center"/>
    </xf>
    <xf numFmtId="0" fontId="49" fillId="14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top"/>
    </xf>
    <xf numFmtId="168" fontId="6" fillId="0" borderId="0" xfId="0" applyNumberFormat="1" applyFont="1">
      <alignment vertical="top"/>
    </xf>
    <xf numFmtId="165" fontId="6" fillId="0" borderId="0" xfId="0" applyNumberFormat="1" applyFont="1">
      <alignment vertical="top"/>
    </xf>
    <xf numFmtId="4" fontId="6" fillId="0" borderId="0" xfId="0" applyNumberFormat="1" applyFont="1">
      <alignment vertical="top"/>
    </xf>
    <xf numFmtId="0" fontId="5" fillId="6" borderId="0" xfId="0" applyFont="1" applyFill="1">
      <alignment vertical="top"/>
    </xf>
    <xf numFmtId="165" fontId="5" fillId="5" borderId="0" xfId="0" applyNumberFormat="1" applyFont="1" applyFill="1" applyAlignment="1">
      <alignment horizontal="right" vertical="top"/>
    </xf>
    <xf numFmtId="165" fontId="5" fillId="4" borderId="0" xfId="0" applyNumberFormat="1" applyFont="1" applyFill="1" applyAlignment="1">
      <alignment horizontal="right" vertical="top"/>
    </xf>
    <xf numFmtId="165" fontId="5" fillId="9" borderId="0" xfId="0" applyNumberFormat="1" applyFont="1" applyFill="1" applyAlignment="1">
      <alignment horizontal="right" vertical="top"/>
    </xf>
    <xf numFmtId="165" fontId="50" fillId="18" borderId="0" xfId="0" applyNumberFormat="1" applyFont="1" applyFill="1" applyAlignment="1">
      <alignment horizontal="right" vertical="top"/>
    </xf>
    <xf numFmtId="165" fontId="5" fillId="10" borderId="0" xfId="0" applyNumberFormat="1" applyFont="1" applyFill="1" applyAlignment="1">
      <alignment horizontal="right" vertical="top"/>
    </xf>
    <xf numFmtId="165" fontId="51" fillId="10" borderId="0" xfId="0" applyNumberFormat="1" applyFont="1" applyFill="1" applyAlignment="1">
      <alignment horizontal="right" vertical="top"/>
    </xf>
    <xf numFmtId="3" fontId="50" fillId="27" borderId="0" xfId="0" applyNumberFormat="1" applyFont="1" applyFill="1">
      <alignment vertical="top"/>
    </xf>
    <xf numFmtId="0" fontId="50" fillId="27" borderId="0" xfId="0" applyFont="1" applyFill="1">
      <alignment vertical="top"/>
    </xf>
    <xf numFmtId="168" fontId="50" fillId="27" borderId="0" xfId="0" applyNumberFormat="1" applyFont="1" applyFill="1">
      <alignment vertical="top"/>
    </xf>
    <xf numFmtId="165" fontId="50" fillId="27" borderId="0" xfId="0" applyNumberFormat="1" applyFont="1" applyFill="1">
      <alignment vertical="top"/>
    </xf>
    <xf numFmtId="4" fontId="50" fillId="27" borderId="0" xfId="0" applyNumberFormat="1" applyFont="1" applyFill="1">
      <alignment vertical="top"/>
    </xf>
    <xf numFmtId="14" fontId="50" fillId="27" borderId="0" xfId="0" applyNumberFormat="1" applyFont="1" applyFill="1" applyAlignment="1">
      <alignment horizontal="left" vertical="top"/>
    </xf>
    <xf numFmtId="165" fontId="50" fillId="27" borderId="0" xfId="0" applyNumberFormat="1" applyFont="1" applyFill="1" applyAlignment="1">
      <alignment horizontal="right" vertical="top"/>
    </xf>
    <xf numFmtId="165" fontId="22" fillId="27" borderId="0" xfId="0" applyNumberFormat="1" applyFont="1" applyFill="1" applyAlignment="1">
      <alignment horizontal="right" vertical="top"/>
    </xf>
    <xf numFmtId="0" fontId="22" fillId="27" borderId="0" xfId="0" applyFont="1" applyFill="1" applyAlignment="1">
      <alignment horizontal="right" vertical="top"/>
    </xf>
    <xf numFmtId="0" fontId="22" fillId="27" borderId="0" xfId="0" applyFont="1" applyFill="1">
      <alignment vertical="top"/>
    </xf>
    <xf numFmtId="3" fontId="5" fillId="6" borderId="0" xfId="0" applyNumberFormat="1" applyFont="1" applyFill="1">
      <alignment vertical="top"/>
    </xf>
    <xf numFmtId="3" fontId="51" fillId="0" borderId="0" xfId="0" applyNumberFormat="1" applyFont="1">
      <alignment vertical="top"/>
    </xf>
    <xf numFmtId="0" fontId="51" fillId="0" borderId="0" xfId="0" applyFont="1">
      <alignment vertical="top"/>
    </xf>
    <xf numFmtId="14" fontId="51" fillId="0" borderId="0" xfId="0" applyNumberFormat="1" applyFont="1">
      <alignment vertical="top"/>
    </xf>
    <xf numFmtId="165" fontId="51" fillId="0" borderId="0" xfId="0" applyNumberFormat="1" applyFont="1">
      <alignment vertical="top"/>
    </xf>
    <xf numFmtId="4" fontId="51" fillId="0" borderId="0" xfId="0" applyNumberFormat="1" applyFont="1">
      <alignment vertical="top"/>
    </xf>
    <xf numFmtId="3" fontId="51" fillId="6" borderId="0" xfId="0" applyNumberFormat="1" applyFont="1" applyFill="1">
      <alignment vertical="top"/>
    </xf>
    <xf numFmtId="165" fontId="51" fillId="5" borderId="0" xfId="0" applyNumberFormat="1" applyFont="1" applyFill="1" applyAlignment="1">
      <alignment horizontal="right" vertical="top"/>
    </xf>
    <xf numFmtId="165" fontId="51" fillId="4" borderId="0" xfId="0" applyNumberFormat="1" applyFont="1" applyFill="1" applyAlignment="1">
      <alignment horizontal="right" vertical="top"/>
    </xf>
    <xf numFmtId="165" fontId="51" fillId="9" borderId="0" xfId="0" applyNumberFormat="1" applyFont="1" applyFill="1" applyAlignment="1">
      <alignment horizontal="right" vertical="top"/>
    </xf>
    <xf numFmtId="165" fontId="51" fillId="18" borderId="0" xfId="0" applyNumberFormat="1" applyFont="1" applyFill="1" applyAlignment="1">
      <alignment horizontal="right" vertical="top"/>
    </xf>
    <xf numFmtId="165" fontId="23" fillId="0" borderId="0" xfId="0" applyNumberFormat="1" applyFont="1" applyAlignment="1">
      <alignment horizontal="right" vertical="top"/>
    </xf>
    <xf numFmtId="0" fontId="23" fillId="0" borderId="0" xfId="0" applyFont="1" applyAlignment="1">
      <alignment horizontal="right" vertical="top"/>
    </xf>
    <xf numFmtId="14" fontId="6" fillId="0" borderId="0" xfId="0" applyNumberFormat="1" applyFont="1" applyAlignment="1">
      <alignment horizontal="right"/>
    </xf>
    <xf numFmtId="165" fontId="4" fillId="0" borderId="0" xfId="0" applyNumberFormat="1" applyFont="1" applyAlignment="1"/>
    <xf numFmtId="165" fontId="4" fillId="0" borderId="0" xfId="0" applyNumberFormat="1" applyFont="1">
      <alignment vertical="top"/>
    </xf>
    <xf numFmtId="3" fontId="3" fillId="6" borderId="0" xfId="0" applyNumberFormat="1" applyFont="1" applyFill="1">
      <alignment vertical="top"/>
    </xf>
    <xf numFmtId="165" fontId="23" fillId="4" borderId="0" xfId="0" applyNumberFormat="1" applyFont="1" applyFill="1" applyAlignment="1">
      <alignment horizontal="right" vertical="top"/>
    </xf>
    <xf numFmtId="165" fontId="3" fillId="4" borderId="0" xfId="0" applyNumberFormat="1" applyFont="1" applyFill="1" applyAlignment="1">
      <alignment horizontal="right" vertical="top"/>
    </xf>
    <xf numFmtId="165" fontId="22" fillId="18" borderId="0" xfId="0" applyNumberFormat="1" applyFont="1" applyFill="1" applyAlignment="1">
      <alignment horizontal="right" vertical="top"/>
    </xf>
    <xf numFmtId="165" fontId="3" fillId="10" borderId="0" xfId="0" applyNumberFormat="1" applyFont="1" applyFill="1" applyAlignment="1">
      <alignment horizontal="right" vertical="top"/>
    </xf>
    <xf numFmtId="165" fontId="6" fillId="28" borderId="0" xfId="0" applyNumberFormat="1" applyFont="1" applyFill="1">
      <alignment vertical="top"/>
    </xf>
    <xf numFmtId="0" fontId="6" fillId="28" borderId="0" xfId="0" applyFont="1" applyFill="1">
      <alignment vertical="top"/>
    </xf>
    <xf numFmtId="4" fontId="6" fillId="28" borderId="0" xfId="0" applyNumberFormat="1" applyFont="1" applyFill="1">
      <alignment vertical="top"/>
    </xf>
    <xf numFmtId="4" fontId="18" fillId="0" borderId="0" xfId="0" applyNumberFormat="1" applyFont="1">
      <alignment vertical="top"/>
    </xf>
    <xf numFmtId="165" fontId="6" fillId="19" borderId="0" xfId="0" applyNumberFormat="1" applyFont="1" applyFill="1">
      <alignment vertical="top"/>
    </xf>
    <xf numFmtId="165" fontId="6" fillId="10" borderId="0" xfId="0" applyNumberFormat="1" applyFont="1" applyFill="1" applyAlignment="1">
      <alignment horizontal="right" vertical="top"/>
    </xf>
    <xf numFmtId="165" fontId="18" fillId="10" borderId="0" xfId="0" applyNumberFormat="1" applyFont="1" applyFill="1" applyAlignment="1">
      <alignment horizontal="right" vertical="top"/>
    </xf>
    <xf numFmtId="3" fontId="5" fillId="0" borderId="0" xfId="0" applyNumberFormat="1" applyFont="1">
      <alignment vertical="top"/>
    </xf>
    <xf numFmtId="165" fontId="5" fillId="0" borderId="0" xfId="0" applyNumberFormat="1" applyFont="1" applyAlignment="1">
      <alignment horizontal="right" vertical="top"/>
    </xf>
    <xf numFmtId="165" fontId="50" fillId="0" borderId="0" xfId="0" applyNumberFormat="1" applyFont="1" applyAlignment="1">
      <alignment horizontal="right" vertical="top"/>
    </xf>
    <xf numFmtId="165" fontId="51" fillId="0" borderId="0" xfId="0" applyNumberFormat="1" applyFont="1" applyAlignment="1">
      <alignment horizontal="right" vertical="top"/>
    </xf>
    <xf numFmtId="3" fontId="6" fillId="6" borderId="0" xfId="0" applyNumberFormat="1" applyFont="1" applyFill="1">
      <alignment vertical="top"/>
    </xf>
    <xf numFmtId="165" fontId="6" fillId="6" borderId="0" xfId="0" applyNumberFormat="1" applyFont="1" applyFill="1">
      <alignment vertical="top"/>
    </xf>
    <xf numFmtId="165" fontId="4" fillId="6" borderId="0" xfId="0" applyNumberFormat="1" applyFont="1" applyFill="1">
      <alignment vertical="top"/>
    </xf>
    <xf numFmtId="165" fontId="5" fillId="6" borderId="0" xfId="0" applyNumberFormat="1" applyFont="1" applyFill="1" applyAlignment="1">
      <alignment horizontal="right" vertical="top"/>
    </xf>
    <xf numFmtId="165" fontId="50" fillId="6" borderId="0" xfId="0" applyNumberFormat="1" applyFont="1" applyFill="1" applyAlignment="1">
      <alignment horizontal="right" vertical="top"/>
    </xf>
    <xf numFmtId="165" fontId="51" fillId="6" borderId="0" xfId="0" applyNumberFormat="1" applyFont="1" applyFill="1" applyAlignment="1">
      <alignment horizontal="right" vertical="top"/>
    </xf>
    <xf numFmtId="165" fontId="3" fillId="6" borderId="0" xfId="0" applyNumberFormat="1" applyFont="1" applyFill="1" applyAlignment="1">
      <alignment horizontal="right" vertical="top"/>
    </xf>
    <xf numFmtId="0" fontId="3" fillId="6" borderId="0" xfId="0" applyFont="1" applyFill="1" applyAlignment="1">
      <alignment horizontal="right" vertical="top"/>
    </xf>
    <xf numFmtId="4" fontId="6" fillId="6" borderId="0" xfId="0" applyNumberFormat="1" applyFont="1" applyFill="1">
      <alignment vertical="top"/>
    </xf>
    <xf numFmtId="1" fontId="2" fillId="0" borderId="0" xfId="0" applyNumberFormat="1" applyFont="1">
      <alignment vertical="top"/>
    </xf>
    <xf numFmtId="4" fontId="2" fillId="6" borderId="0" xfId="0" applyNumberFormat="1" applyFont="1" applyFill="1">
      <alignment vertical="top"/>
    </xf>
    <xf numFmtId="3" fontId="2" fillId="6" borderId="0" xfId="0" applyNumberFormat="1" applyFont="1" applyFill="1">
      <alignment vertical="top"/>
    </xf>
    <xf numFmtId="165" fontId="26" fillId="17" borderId="0" xfId="0" applyNumberFormat="1" applyFont="1" applyFill="1" applyAlignment="1">
      <alignment horizontal="right" vertical="top"/>
    </xf>
    <xf numFmtId="9" fontId="2" fillId="9" borderId="0" xfId="0" applyNumberFormat="1" applyFont="1" applyFill="1">
      <alignment vertical="top"/>
    </xf>
    <xf numFmtId="3" fontId="24" fillId="0" borderId="0" xfId="0" applyNumberFormat="1" applyFont="1">
      <alignment vertical="top"/>
    </xf>
    <xf numFmtId="0" fontId="24" fillId="0" borderId="0" xfId="0" applyFont="1">
      <alignment vertical="top"/>
    </xf>
    <xf numFmtId="1" fontId="24" fillId="0" borderId="0" xfId="0" applyNumberFormat="1" applyFont="1">
      <alignment vertical="top"/>
    </xf>
    <xf numFmtId="14" fontId="24" fillId="0" borderId="0" xfId="0" applyNumberFormat="1" applyFont="1" applyAlignment="1">
      <alignment horizontal="right" vertical="top"/>
    </xf>
    <xf numFmtId="0" fontId="24" fillId="12" borderId="0" xfId="0" applyFont="1" applyFill="1">
      <alignment vertical="top"/>
    </xf>
    <xf numFmtId="165" fontId="24" fillId="12" borderId="0" xfId="0" applyNumberFormat="1" applyFont="1" applyFill="1">
      <alignment vertical="top"/>
    </xf>
    <xf numFmtId="4" fontId="24" fillId="12" borderId="0" xfId="0" applyNumberFormat="1" applyFont="1" applyFill="1">
      <alignment vertical="top"/>
    </xf>
    <xf numFmtId="3" fontId="24" fillId="6" borderId="0" xfId="0" applyNumberFormat="1" applyFont="1" applyFill="1">
      <alignment vertical="top"/>
    </xf>
    <xf numFmtId="165" fontId="24" fillId="8" borderId="0" xfId="0" applyNumberFormat="1" applyFont="1" applyFill="1" applyAlignment="1">
      <alignment horizontal="right" vertical="top"/>
    </xf>
    <xf numFmtId="165" fontId="24" fillId="9" borderId="0" xfId="0" applyNumberFormat="1" applyFont="1" applyFill="1" applyAlignment="1">
      <alignment horizontal="right" vertical="top"/>
    </xf>
    <xf numFmtId="165" fontId="24" fillId="3" borderId="0" xfId="0" applyNumberFormat="1" applyFont="1" applyFill="1" applyAlignment="1">
      <alignment horizontal="right" vertical="top"/>
    </xf>
    <xf numFmtId="9" fontId="24" fillId="9" borderId="0" xfId="0" applyNumberFormat="1" applyFont="1" applyFill="1" applyAlignment="1">
      <alignment horizontal="right" vertical="top"/>
    </xf>
    <xf numFmtId="9" fontId="24" fillId="9" borderId="0" xfId="0" applyNumberFormat="1" applyFont="1" applyFill="1">
      <alignment vertical="top"/>
    </xf>
    <xf numFmtId="3" fontId="17" fillId="0" borderId="0" xfId="0" applyNumberFormat="1" applyFont="1">
      <alignment vertical="top"/>
    </xf>
    <xf numFmtId="1" fontId="17" fillId="0" borderId="0" xfId="0" applyNumberFormat="1" applyFont="1">
      <alignment vertical="top"/>
    </xf>
    <xf numFmtId="14" fontId="17" fillId="0" borderId="0" xfId="0" applyNumberFormat="1" applyFont="1" applyAlignment="1">
      <alignment horizontal="right" vertical="top"/>
    </xf>
    <xf numFmtId="165" fontId="17" fillId="0" borderId="0" xfId="0" applyNumberFormat="1" applyFont="1">
      <alignment vertical="top"/>
    </xf>
    <xf numFmtId="3" fontId="17" fillId="6" borderId="0" xfId="0" applyNumberFormat="1" applyFont="1" applyFill="1">
      <alignment vertical="top"/>
    </xf>
    <xf numFmtId="165" fontId="17" fillId="9" borderId="0" xfId="0" applyNumberFormat="1" applyFont="1" applyFill="1" applyAlignment="1">
      <alignment horizontal="right" vertical="top"/>
    </xf>
    <xf numFmtId="165" fontId="17" fillId="3" borderId="0" xfId="0" applyNumberFormat="1" applyFont="1" applyFill="1" applyAlignment="1">
      <alignment horizontal="right" vertical="top"/>
    </xf>
    <xf numFmtId="165" fontId="23" fillId="17" borderId="0" xfId="0" applyNumberFormat="1" applyFont="1" applyFill="1" applyAlignment="1">
      <alignment horizontal="right" vertical="top"/>
    </xf>
    <xf numFmtId="9" fontId="17" fillId="9" borderId="0" xfId="0" applyNumberFormat="1" applyFont="1" applyFill="1" applyAlignment="1">
      <alignment horizontal="right" vertical="top"/>
    </xf>
    <xf numFmtId="9" fontId="17" fillId="9" borderId="0" xfId="0" applyNumberFormat="1" applyFont="1" applyFill="1">
      <alignment vertical="top"/>
    </xf>
    <xf numFmtId="0" fontId="17" fillId="6" borderId="0" xfId="0" applyFont="1" applyFill="1">
      <alignment vertical="top"/>
    </xf>
    <xf numFmtId="165" fontId="17" fillId="6" borderId="0" xfId="0" applyNumberFormat="1" applyFont="1" applyFill="1">
      <alignment vertical="top"/>
    </xf>
    <xf numFmtId="4" fontId="17" fillId="6" borderId="0" xfId="0" applyNumberFormat="1" applyFont="1" applyFill="1">
      <alignment vertical="top"/>
    </xf>
    <xf numFmtId="165" fontId="17" fillId="6" borderId="0" xfId="0" applyNumberFormat="1" applyFont="1" applyFill="1" applyAlignment="1">
      <alignment horizontal="right" vertical="top"/>
    </xf>
    <xf numFmtId="0" fontId="2" fillId="20" borderId="0" xfId="0" applyFont="1" applyFill="1">
      <alignment vertical="top"/>
    </xf>
    <xf numFmtId="165" fontId="2" fillId="20" borderId="0" xfId="0" applyNumberFormat="1" applyFont="1" applyFill="1">
      <alignment vertical="top"/>
    </xf>
    <xf numFmtId="4" fontId="2" fillId="20" borderId="0" xfId="0" applyNumberFormat="1" applyFont="1" applyFill="1">
      <alignment vertical="top"/>
    </xf>
    <xf numFmtId="165" fontId="2" fillId="21" borderId="0" xfId="0" applyNumberFormat="1" applyFont="1" applyFill="1">
      <alignment vertical="top"/>
    </xf>
    <xf numFmtId="4" fontId="2" fillId="21" borderId="0" xfId="0" applyNumberFormat="1" applyFont="1" applyFill="1">
      <alignment vertical="top"/>
    </xf>
    <xf numFmtId="3" fontId="2" fillId="7" borderId="0" xfId="0" applyNumberFormat="1" applyFont="1" applyFill="1">
      <alignment vertical="top"/>
    </xf>
    <xf numFmtId="1" fontId="2" fillId="7" borderId="0" xfId="0" applyNumberFormat="1" applyFont="1" applyFill="1">
      <alignment vertical="top"/>
    </xf>
    <xf numFmtId="14" fontId="2" fillId="7" borderId="0" xfId="0" applyNumberFormat="1" applyFont="1" applyFill="1" applyAlignment="1">
      <alignment horizontal="right" vertical="top"/>
    </xf>
    <xf numFmtId="4" fontId="2" fillId="7" borderId="0" xfId="0" applyNumberFormat="1" applyFont="1" applyFill="1">
      <alignment vertical="top"/>
    </xf>
    <xf numFmtId="0" fontId="6" fillId="7" borderId="0" xfId="0" applyFont="1" applyFill="1">
      <alignment vertical="top"/>
    </xf>
    <xf numFmtId="165" fontId="2" fillId="7" borderId="0" xfId="0" applyNumberFormat="1" applyFont="1" applyFill="1" applyAlignment="1">
      <alignment horizontal="right" vertical="top"/>
    </xf>
    <xf numFmtId="165" fontId="17" fillId="7" borderId="0" xfId="0" applyNumberFormat="1" applyFont="1" applyFill="1" applyAlignment="1">
      <alignment horizontal="right" vertical="top"/>
    </xf>
    <xf numFmtId="165" fontId="26" fillId="7" borderId="0" xfId="0" applyNumberFormat="1" applyFont="1" applyFill="1" applyAlignment="1">
      <alignment horizontal="right" vertical="top"/>
    </xf>
    <xf numFmtId="9" fontId="2" fillId="7" borderId="0" xfId="0" applyNumberFormat="1" applyFont="1" applyFill="1" applyAlignment="1">
      <alignment horizontal="right" vertical="top"/>
    </xf>
    <xf numFmtId="9" fontId="2" fillId="7" borderId="0" xfId="0" applyNumberFormat="1" applyFont="1" applyFill="1">
      <alignment vertical="top"/>
    </xf>
    <xf numFmtId="3" fontId="25" fillId="27" borderId="0" xfId="0" applyNumberFormat="1" applyFont="1" applyFill="1">
      <alignment vertical="top"/>
    </xf>
    <xf numFmtId="0" fontId="25" fillId="27" borderId="0" xfId="0" applyFont="1" applyFill="1">
      <alignment vertical="top"/>
    </xf>
    <xf numFmtId="1" fontId="25" fillId="27" borderId="0" xfId="0" applyNumberFormat="1" applyFont="1" applyFill="1">
      <alignment vertical="top"/>
    </xf>
    <xf numFmtId="14" fontId="25" fillId="27" borderId="0" xfId="0" applyNumberFormat="1" applyFont="1" applyFill="1" applyAlignment="1">
      <alignment horizontal="right" vertical="top"/>
    </xf>
    <xf numFmtId="165" fontId="25" fillId="27" borderId="0" xfId="0" applyNumberFormat="1" applyFont="1" applyFill="1">
      <alignment vertical="top"/>
    </xf>
    <xf numFmtId="4" fontId="25" fillId="27" borderId="0" xfId="0" applyNumberFormat="1" applyFont="1" applyFill="1">
      <alignment vertical="top"/>
    </xf>
    <xf numFmtId="165" fontId="25" fillId="27" borderId="0" xfId="0" applyNumberFormat="1" applyFont="1" applyFill="1" applyAlignment="1">
      <alignment horizontal="right" vertical="top"/>
    </xf>
    <xf numFmtId="9" fontId="25" fillId="27" borderId="0" xfId="0" applyNumberFormat="1" applyFont="1" applyFill="1" applyAlignment="1">
      <alignment horizontal="right" vertical="top"/>
    </xf>
    <xf numFmtId="9" fontId="25" fillId="27" borderId="0" xfId="0" applyNumberFormat="1" applyFont="1" applyFill="1">
      <alignment vertical="top"/>
    </xf>
    <xf numFmtId="0" fontId="2" fillId="0" borderId="0" xfId="0" quotePrefix="1" applyFont="1" applyAlignment="1">
      <alignment horizontal="left" vertical="top"/>
    </xf>
    <xf numFmtId="3" fontId="2" fillId="29" borderId="0" xfId="0" applyNumberFormat="1" applyFont="1" applyFill="1">
      <alignment vertical="top"/>
    </xf>
    <xf numFmtId="0" fontId="2" fillId="29" borderId="0" xfId="0" applyFont="1" applyFill="1">
      <alignment vertical="top"/>
    </xf>
    <xf numFmtId="1" fontId="2" fillId="29" borderId="0" xfId="0" applyNumberFormat="1" applyFont="1" applyFill="1">
      <alignment vertical="top"/>
    </xf>
    <xf numFmtId="14" fontId="2" fillId="29" borderId="0" xfId="0" applyNumberFormat="1" applyFont="1" applyFill="1" applyAlignment="1">
      <alignment horizontal="right" vertical="top"/>
    </xf>
    <xf numFmtId="165" fontId="2" fillId="29" borderId="0" xfId="0" applyNumberFormat="1" applyFont="1" applyFill="1">
      <alignment vertical="top"/>
    </xf>
    <xf numFmtId="4" fontId="2" fillId="29" borderId="0" xfId="0" applyNumberFormat="1" applyFont="1" applyFill="1">
      <alignment vertical="top"/>
    </xf>
    <xf numFmtId="0" fontId="6" fillId="29" borderId="0" xfId="0" applyFont="1" applyFill="1">
      <alignment vertical="top"/>
    </xf>
    <xf numFmtId="165" fontId="2" fillId="29" borderId="0" xfId="0" applyNumberFormat="1" applyFont="1" applyFill="1" applyAlignment="1">
      <alignment horizontal="right" vertical="top"/>
    </xf>
    <xf numFmtId="165" fontId="17" fillId="29" borderId="0" xfId="0" applyNumberFormat="1" applyFont="1" applyFill="1" applyAlignment="1">
      <alignment horizontal="right" vertical="top"/>
    </xf>
    <xf numFmtId="165" fontId="26" fillId="29" borderId="0" xfId="0" applyNumberFormat="1" applyFont="1" applyFill="1" applyAlignment="1">
      <alignment horizontal="right" vertical="top"/>
    </xf>
    <xf numFmtId="9" fontId="2" fillId="29" borderId="0" xfId="0" applyNumberFormat="1" applyFont="1" applyFill="1" applyAlignment="1">
      <alignment horizontal="right" vertical="top"/>
    </xf>
    <xf numFmtId="9" fontId="2" fillId="29" borderId="0" xfId="0" applyNumberFormat="1" applyFont="1" applyFill="1">
      <alignment vertical="top"/>
    </xf>
    <xf numFmtId="3" fontId="2" fillId="30" borderId="0" xfId="0" applyNumberFormat="1" applyFont="1" applyFill="1" applyAlignment="1">
      <alignment horizontal="right" vertical="top"/>
    </xf>
    <xf numFmtId="0" fontId="2" fillId="30" borderId="0" xfId="0" applyFont="1" applyFill="1">
      <alignment vertical="top"/>
    </xf>
    <xf numFmtId="3" fontId="2" fillId="30" borderId="0" xfId="0" applyNumberFormat="1" applyFont="1" applyFill="1">
      <alignment vertical="top"/>
    </xf>
    <xf numFmtId="1" fontId="2" fillId="30" borderId="0" xfId="0" applyNumberFormat="1" applyFont="1" applyFill="1">
      <alignment vertical="top"/>
    </xf>
    <xf numFmtId="14" fontId="2" fillId="30" borderId="0" xfId="0" applyNumberFormat="1" applyFont="1" applyFill="1" applyAlignment="1">
      <alignment horizontal="right" vertical="top"/>
    </xf>
    <xf numFmtId="0" fontId="2" fillId="30" borderId="0" xfId="0" quotePrefix="1" applyFont="1" applyFill="1" applyAlignment="1">
      <alignment horizontal="left" vertical="top"/>
    </xf>
    <xf numFmtId="165" fontId="2" fillId="30" borderId="0" xfId="0" applyNumberFormat="1" applyFont="1" applyFill="1">
      <alignment vertical="top"/>
    </xf>
    <xf numFmtId="4" fontId="2" fillId="30" borderId="0" xfId="0" applyNumberFormat="1" applyFont="1" applyFill="1">
      <alignment vertical="top"/>
    </xf>
    <xf numFmtId="0" fontId="6" fillId="30" borderId="0" xfId="0" applyFont="1" applyFill="1">
      <alignment vertical="top"/>
    </xf>
    <xf numFmtId="165" fontId="2" fillId="30" borderId="0" xfId="0" applyNumberFormat="1" applyFont="1" applyFill="1" applyAlignment="1">
      <alignment horizontal="right" vertical="top"/>
    </xf>
    <xf numFmtId="165" fontId="17" fillId="30" borderId="0" xfId="0" applyNumberFormat="1" applyFont="1" applyFill="1" applyAlignment="1">
      <alignment horizontal="right" vertical="top"/>
    </xf>
    <xf numFmtId="165" fontId="26" fillId="30" borderId="0" xfId="0" applyNumberFormat="1" applyFont="1" applyFill="1" applyAlignment="1">
      <alignment horizontal="right" vertical="top"/>
    </xf>
    <xf numFmtId="9" fontId="2" fillId="30" borderId="0" xfId="0" applyNumberFormat="1" applyFont="1" applyFill="1" applyAlignment="1">
      <alignment horizontal="right" vertical="top"/>
    </xf>
    <xf numFmtId="3" fontId="3" fillId="5" borderId="0" xfId="0" applyNumberFormat="1" applyFont="1" applyFill="1" applyAlignment="1">
      <alignment horizontal="right" vertical="top"/>
    </xf>
    <xf numFmtId="0" fontId="3" fillId="5" borderId="0" xfId="0" applyFont="1" applyFill="1">
      <alignment vertical="top"/>
    </xf>
    <xf numFmtId="3" fontId="3" fillId="5" borderId="0" xfId="0" applyNumberFormat="1" applyFont="1" applyFill="1">
      <alignment vertical="top"/>
    </xf>
    <xf numFmtId="1" fontId="3" fillId="5" borderId="0" xfId="0" applyNumberFormat="1" applyFont="1" applyFill="1">
      <alignment vertical="top"/>
    </xf>
    <xf numFmtId="14" fontId="3" fillId="5" borderId="0" xfId="0" applyNumberFormat="1" applyFont="1" applyFill="1" applyAlignment="1">
      <alignment horizontal="right" vertical="top"/>
    </xf>
    <xf numFmtId="0" fontId="3" fillId="5" borderId="0" xfId="0" quotePrefix="1" applyFont="1" applyFill="1" applyAlignment="1">
      <alignment horizontal="left" vertical="top"/>
    </xf>
    <xf numFmtId="165" fontId="3" fillId="5" borderId="0" xfId="0" applyNumberFormat="1" applyFont="1" applyFill="1">
      <alignment vertical="top"/>
    </xf>
    <xf numFmtId="4" fontId="3" fillId="5" borderId="0" xfId="0" applyNumberFormat="1" applyFont="1" applyFill="1">
      <alignment vertical="top"/>
    </xf>
    <xf numFmtId="0" fontId="5" fillId="5" borderId="0" xfId="0" applyFont="1" applyFill="1">
      <alignment vertical="top"/>
    </xf>
    <xf numFmtId="9" fontId="3" fillId="5" borderId="0" xfId="0" applyNumberFormat="1" applyFont="1" applyFill="1" applyAlignment="1">
      <alignment horizontal="right" vertical="top"/>
    </xf>
    <xf numFmtId="4" fontId="2" fillId="30" borderId="0" xfId="0" applyNumberFormat="1" applyFont="1" applyFill="1" applyAlignment="1">
      <alignment horizontal="left" vertical="top"/>
    </xf>
    <xf numFmtId="0" fontId="2" fillId="10" borderId="0" xfId="0" quotePrefix="1" applyFont="1" applyFill="1" applyAlignment="1">
      <alignment horizontal="left" vertical="top"/>
    </xf>
    <xf numFmtId="0" fontId="2" fillId="5" borderId="0" xfId="0" quotePrefix="1" applyFont="1" applyFill="1" applyAlignment="1">
      <alignment horizontal="left" vertical="top"/>
    </xf>
    <xf numFmtId="0" fontId="2" fillId="31" borderId="0" xfId="0" quotePrefix="1" applyFont="1" applyFill="1" applyAlignment="1">
      <alignment horizontal="left" vertical="top"/>
    </xf>
    <xf numFmtId="0" fontId="27" fillId="30" borderId="0" xfId="0" quotePrefix="1" applyFont="1" applyFill="1" applyAlignment="1">
      <alignment horizontal="left" vertical="top"/>
    </xf>
    <xf numFmtId="0" fontId="27" fillId="30" borderId="0" xfId="0" applyFont="1" applyFill="1">
      <alignment vertical="top"/>
    </xf>
    <xf numFmtId="4" fontId="27" fillId="30" borderId="0" xfId="0" applyNumberFormat="1" applyFont="1" applyFill="1">
      <alignment vertical="top"/>
    </xf>
    <xf numFmtId="0" fontId="27" fillId="30" borderId="0" xfId="0" applyFont="1" applyFill="1" applyAlignment="1">
      <alignment horizontal="left" vertical="top"/>
    </xf>
    <xf numFmtId="3" fontId="2" fillId="20" borderId="0" xfId="0" applyNumberFormat="1" applyFont="1" applyFill="1" applyAlignment="1">
      <alignment horizontal="right" vertical="top"/>
    </xf>
    <xf numFmtId="3" fontId="2" fillId="20" borderId="0" xfId="0" applyNumberFormat="1" applyFont="1" applyFill="1">
      <alignment vertical="top"/>
    </xf>
    <xf numFmtId="1" fontId="2" fillId="20" borderId="0" xfId="0" applyNumberFormat="1" applyFont="1" applyFill="1">
      <alignment vertical="top"/>
    </xf>
    <xf numFmtId="14" fontId="2" fillId="20" borderId="0" xfId="0" applyNumberFormat="1" applyFont="1" applyFill="1" applyAlignment="1">
      <alignment horizontal="right" vertical="top"/>
    </xf>
    <xf numFmtId="0" fontId="27" fillId="20" borderId="0" xfId="0" applyFont="1" applyFill="1" applyAlignment="1">
      <alignment horizontal="left" vertical="top"/>
    </xf>
    <xf numFmtId="165" fontId="2" fillId="20" borderId="0" xfId="0" applyNumberFormat="1" applyFont="1" applyFill="1" applyAlignment="1">
      <alignment horizontal="right" vertical="top"/>
    </xf>
    <xf numFmtId="165" fontId="17" fillId="20" borderId="0" xfId="0" applyNumberFormat="1" applyFont="1" applyFill="1" applyAlignment="1">
      <alignment horizontal="right" vertical="top"/>
    </xf>
    <xf numFmtId="165" fontId="26" fillId="20" borderId="0" xfId="0" applyNumberFormat="1" applyFont="1" applyFill="1" applyAlignment="1">
      <alignment horizontal="right" vertical="top"/>
    </xf>
    <xf numFmtId="9" fontId="2" fillId="20" borderId="0" xfId="0" applyNumberFormat="1" applyFont="1" applyFill="1" applyAlignment="1">
      <alignment horizontal="right" vertical="top"/>
    </xf>
    <xf numFmtId="3" fontId="2" fillId="30" borderId="0" xfId="0" quotePrefix="1" applyNumberFormat="1" applyFont="1" applyFill="1" applyAlignment="1">
      <alignment horizontal="right" vertical="top"/>
    </xf>
    <xf numFmtId="0" fontId="34" fillId="30" borderId="0" xfId="0" applyFont="1" applyFill="1">
      <alignment vertical="top"/>
    </xf>
    <xf numFmtId="4" fontId="34" fillId="30" borderId="0" xfId="0" applyNumberFormat="1" applyFont="1" applyFill="1">
      <alignment vertical="top"/>
    </xf>
    <xf numFmtId="3" fontId="2" fillId="0" borderId="0" xfId="0" applyNumberFormat="1" applyFont="1" applyAlignment="1">
      <alignment horizontal="right" vertical="top"/>
    </xf>
    <xf numFmtId="0" fontId="27" fillId="0" borderId="0" xfId="0" applyFont="1" applyAlignment="1">
      <alignment horizontal="left" vertical="top"/>
    </xf>
    <xf numFmtId="165" fontId="26" fillId="0" borderId="0" xfId="0" applyNumberFormat="1" applyFont="1" applyAlignment="1">
      <alignment horizontal="right" vertical="top"/>
    </xf>
    <xf numFmtId="9" fontId="2" fillId="0" borderId="0" xfId="0" applyNumberFormat="1" applyFont="1" applyAlignment="1">
      <alignment horizontal="right" vertical="top"/>
    </xf>
    <xf numFmtId="0" fontId="34" fillId="32" borderId="0" xfId="0" applyFont="1" applyFill="1" applyAlignment="1">
      <alignment horizontal="left" vertical="top"/>
    </xf>
    <xf numFmtId="0" fontId="2" fillId="32" borderId="0" xfId="0" applyFont="1" applyFill="1">
      <alignment vertical="top"/>
    </xf>
    <xf numFmtId="4" fontId="2" fillId="32" borderId="0" xfId="0" applyNumberFormat="1" applyFont="1" applyFill="1">
      <alignment vertical="top"/>
    </xf>
    <xf numFmtId="0" fontId="23" fillId="30" borderId="0" xfId="0" applyFont="1" applyFill="1">
      <alignment vertical="top"/>
    </xf>
    <xf numFmtId="0" fontId="2" fillId="8" borderId="0" xfId="0" applyFont="1" applyFill="1" applyAlignment="1">
      <alignment horizontal="right" vertical="top"/>
    </xf>
    <xf numFmtId="1" fontId="2" fillId="8" borderId="0" xfId="0" applyNumberFormat="1" applyFont="1" applyFill="1">
      <alignment vertical="top"/>
    </xf>
    <xf numFmtId="0" fontId="17" fillId="20" borderId="0" xfId="0" applyFont="1" applyFill="1">
      <alignment vertical="top"/>
    </xf>
    <xf numFmtId="4" fontId="17" fillId="20" borderId="0" xfId="0" applyNumberFormat="1" applyFont="1" applyFill="1">
      <alignment vertical="top"/>
    </xf>
    <xf numFmtId="3" fontId="2" fillId="8" borderId="0" xfId="0" applyNumberFormat="1" applyFont="1" applyFill="1">
      <alignment vertical="top"/>
    </xf>
    <xf numFmtId="165" fontId="17" fillId="8" borderId="0" xfId="0" applyNumberFormat="1" applyFont="1" applyFill="1" applyAlignment="1">
      <alignment horizontal="right" vertical="top"/>
    </xf>
    <xf numFmtId="165" fontId="26" fillId="8" borderId="0" xfId="0" applyNumberFormat="1" applyFont="1" applyFill="1" applyAlignment="1">
      <alignment horizontal="right" vertical="top"/>
    </xf>
    <xf numFmtId="9" fontId="2" fillId="8" borderId="0" xfId="0" applyNumberFormat="1" applyFont="1" applyFill="1" applyAlignment="1">
      <alignment horizontal="right" vertical="top"/>
    </xf>
    <xf numFmtId="0" fontId="2" fillId="3" borderId="0" xfId="0" applyFont="1" applyFill="1" applyAlignment="1">
      <alignment horizontal="right" vertical="top"/>
    </xf>
    <xf numFmtId="0" fontId="2" fillId="3" borderId="0" xfId="0" applyFont="1" applyFill="1">
      <alignment vertical="top"/>
    </xf>
    <xf numFmtId="1" fontId="2" fillId="3" borderId="0" xfId="0" applyNumberFormat="1" applyFont="1" applyFill="1">
      <alignment vertical="top"/>
    </xf>
    <xf numFmtId="14" fontId="2" fillId="3" borderId="0" xfId="0" applyNumberFormat="1" applyFont="1" applyFill="1" applyAlignment="1">
      <alignment horizontal="right" vertical="top"/>
    </xf>
    <xf numFmtId="3" fontId="2" fillId="3" borderId="0" xfId="0" applyNumberFormat="1" applyFont="1" applyFill="1">
      <alignment vertical="top"/>
    </xf>
    <xf numFmtId="0" fontId="6" fillId="3" borderId="0" xfId="0" applyFont="1" applyFill="1">
      <alignment vertical="top"/>
    </xf>
    <xf numFmtId="9" fontId="2" fillId="3" borderId="0" xfId="0" applyNumberFormat="1" applyFont="1" applyFill="1" applyAlignment="1">
      <alignment horizontal="right" vertical="top"/>
    </xf>
    <xf numFmtId="0" fontId="2" fillId="6" borderId="0" xfId="0" applyFont="1" applyFill="1" applyAlignment="1">
      <alignment horizontal="right" vertical="top"/>
    </xf>
    <xf numFmtId="1" fontId="2" fillId="6" borderId="0" xfId="0" applyNumberFormat="1" applyFont="1" applyFill="1">
      <alignment vertical="top"/>
    </xf>
    <xf numFmtId="14" fontId="2" fillId="6" borderId="0" xfId="0" applyNumberFormat="1" applyFont="1" applyFill="1" applyAlignment="1">
      <alignment horizontal="right" vertical="top"/>
    </xf>
    <xf numFmtId="165" fontId="2" fillId="6" borderId="0" xfId="0" applyNumberFormat="1" applyFont="1" applyFill="1" applyAlignment="1">
      <alignment horizontal="right" vertical="top"/>
    </xf>
    <xf numFmtId="9" fontId="2" fillId="6" borderId="0" xfId="0" applyNumberFormat="1" applyFont="1" applyFill="1" applyAlignment="1">
      <alignment horizontal="right" vertical="top"/>
    </xf>
    <xf numFmtId="0" fontId="25" fillId="21" borderId="0" xfId="0" applyFont="1" applyFill="1" applyAlignment="1">
      <alignment horizontal="right" vertical="top"/>
    </xf>
    <xf numFmtId="0" fontId="25" fillId="21" borderId="0" xfId="0" applyFont="1" applyFill="1">
      <alignment vertical="top"/>
    </xf>
    <xf numFmtId="1" fontId="25" fillId="21" borderId="0" xfId="0" applyNumberFormat="1" applyFont="1" applyFill="1">
      <alignment vertical="top"/>
    </xf>
    <xf numFmtId="14" fontId="25" fillId="21" borderId="0" xfId="0" applyNumberFormat="1" applyFont="1" applyFill="1" applyAlignment="1">
      <alignment horizontal="right" vertical="top"/>
    </xf>
    <xf numFmtId="165" fontId="25" fillId="21" borderId="0" xfId="0" applyNumberFormat="1" applyFont="1" applyFill="1">
      <alignment vertical="top"/>
    </xf>
    <xf numFmtId="4" fontId="25" fillId="21" borderId="0" xfId="0" applyNumberFormat="1" applyFont="1" applyFill="1">
      <alignment vertical="top"/>
    </xf>
    <xf numFmtId="3" fontId="25" fillId="21" borderId="0" xfId="0" applyNumberFormat="1" applyFont="1" applyFill="1">
      <alignment vertical="top"/>
    </xf>
    <xf numFmtId="0" fontId="52" fillId="21" borderId="0" xfId="0" applyFont="1" applyFill="1">
      <alignment vertical="top"/>
    </xf>
    <xf numFmtId="165" fontId="25" fillId="21" borderId="0" xfId="0" applyNumberFormat="1" applyFont="1" applyFill="1" applyAlignment="1">
      <alignment horizontal="right" vertical="top"/>
    </xf>
    <xf numFmtId="165" fontId="22" fillId="21" borderId="0" xfId="0" applyNumberFormat="1" applyFont="1" applyFill="1" applyAlignment="1">
      <alignment horizontal="right" vertical="top"/>
    </xf>
    <xf numFmtId="9" fontId="25" fillId="21" borderId="0" xfId="0" applyNumberFormat="1" applyFont="1" applyFill="1" applyAlignment="1">
      <alignment horizontal="right" vertical="top"/>
    </xf>
    <xf numFmtId="165" fontId="26" fillId="6" borderId="0" xfId="0" applyNumberFormat="1" applyFont="1" applyFill="1" applyAlignment="1">
      <alignment horizontal="right" vertical="top"/>
    </xf>
    <xf numFmtId="3" fontId="53" fillId="5" borderId="0" xfId="0" applyNumberFormat="1" applyFont="1" applyFill="1">
      <alignment vertical="top"/>
    </xf>
    <xf numFmtId="0" fontId="2" fillId="20" borderId="0" xfId="0" applyFont="1" applyFill="1" applyAlignment="1">
      <alignment horizontal="right" vertical="top"/>
    </xf>
    <xf numFmtId="14" fontId="2" fillId="33" borderId="0" xfId="0" applyNumberFormat="1" applyFont="1" applyFill="1" applyAlignment="1">
      <alignment horizontal="right" vertical="top"/>
    </xf>
    <xf numFmtId="0" fontId="2" fillId="33" borderId="0" xfId="0" applyFont="1" applyFill="1">
      <alignment vertical="top"/>
    </xf>
    <xf numFmtId="0" fontId="3" fillId="0" borderId="10" xfId="0" applyFont="1" applyBorder="1">
      <alignment vertical="top"/>
    </xf>
    <xf numFmtId="0" fontId="3" fillId="0" borderId="9" xfId="0" applyFont="1" applyBorder="1">
      <alignment vertical="top"/>
    </xf>
    <xf numFmtId="0" fontId="3" fillId="0" borderId="4" xfId="0" applyFont="1" applyBorder="1">
      <alignment vertical="top"/>
    </xf>
    <xf numFmtId="0" fontId="6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165" fontId="3" fillId="8" borderId="0" xfId="0" applyNumberFormat="1" applyFont="1" applyFill="1" applyAlignment="1">
      <alignment horizontal="center" vertical="center"/>
    </xf>
    <xf numFmtId="165" fontId="3" fillId="5" borderId="0" xfId="0" applyNumberFormat="1" applyFont="1" applyFill="1" applyAlignment="1">
      <alignment horizontal="center" vertical="center"/>
    </xf>
    <xf numFmtId="165" fontId="3" fillId="9" borderId="0" xfId="0" applyNumberFormat="1" applyFont="1" applyFill="1" applyAlignment="1">
      <alignment horizontal="center" vertical="center"/>
    </xf>
    <xf numFmtId="165" fontId="3" fillId="3" borderId="0" xfId="0" applyNumberFormat="1" applyFont="1" applyFill="1" applyAlignment="1">
      <alignment horizontal="center" vertical="center"/>
    </xf>
    <xf numFmtId="165" fontId="3" fillId="17" borderId="0" xfId="0" applyNumberFormat="1" applyFont="1" applyFill="1" applyAlignment="1">
      <alignment horizontal="center" vertical="center"/>
    </xf>
    <xf numFmtId="9" fontId="3" fillId="9" borderId="0" xfId="0" applyNumberFormat="1" applyFont="1" applyFill="1" applyAlignment="1">
      <alignment horizontal="center" vertical="center"/>
    </xf>
    <xf numFmtId="0" fontId="10" fillId="0" borderId="0" xfId="0" applyFont="1" applyAlignment="1"/>
    <xf numFmtId="0" fontId="10" fillId="20" borderId="0" xfId="0" applyFont="1" applyFill="1" applyAlignment="1"/>
    <xf numFmtId="14" fontId="10" fillId="0" borderId="0" xfId="0" applyNumberFormat="1" applyFont="1" applyAlignment="1"/>
    <xf numFmtId="172" fontId="10" fillId="0" borderId="0" xfId="2" applyNumberFormat="1" applyFont="1" applyAlignment="1"/>
    <xf numFmtId="0" fontId="10" fillId="0" borderId="3" xfId="0" applyFont="1" applyBorder="1" applyAlignment="1"/>
    <xf numFmtId="172" fontId="10" fillId="0" borderId="22" xfId="0" applyNumberFormat="1" applyFont="1" applyBorder="1">
      <alignment vertical="top"/>
    </xf>
    <xf numFmtId="14" fontId="55" fillId="0" borderId="3" xfId="0" applyNumberFormat="1" applyFont="1" applyBorder="1" applyAlignment="1">
      <alignment horizontal="center"/>
    </xf>
    <xf numFmtId="3" fontId="55" fillId="0" borderId="3" xfId="0" applyNumberFormat="1" applyFont="1" applyBorder="1" applyAlignment="1">
      <alignment horizontal="center"/>
    </xf>
    <xf numFmtId="165" fontId="55" fillId="0" borderId="3" xfId="0" applyNumberFormat="1" applyFont="1" applyBorder="1" applyAlignment="1">
      <alignment horizontal="center"/>
    </xf>
    <xf numFmtId="165" fontId="55" fillId="20" borderId="3" xfId="0" applyNumberFormat="1" applyFont="1" applyFill="1" applyBorder="1" applyAlignment="1">
      <alignment horizontal="center"/>
    </xf>
    <xf numFmtId="165" fontId="56" fillId="0" borderId="3" xfId="0" applyNumberFormat="1" applyFont="1" applyBorder="1" applyAlignment="1">
      <alignment horizontal="center"/>
    </xf>
    <xf numFmtId="165" fontId="57" fillId="0" borderId="3" xfId="0" applyNumberFormat="1" applyFont="1" applyBorder="1" applyAlignment="1">
      <alignment horizontal="center"/>
    </xf>
    <xf numFmtId="1" fontId="55" fillId="0" borderId="3" xfId="0" applyNumberFormat="1" applyFont="1" applyBorder="1" applyAlignment="1">
      <alignment horizontal="center"/>
    </xf>
    <xf numFmtId="169" fontId="56" fillId="0" borderId="8" xfId="0" applyNumberFormat="1" applyFont="1" applyBorder="1" applyAlignment="1">
      <alignment horizontal="center"/>
    </xf>
    <xf numFmtId="0" fontId="56" fillId="0" borderId="3" xfId="0" applyFont="1" applyBorder="1" applyAlignment="1"/>
    <xf numFmtId="172" fontId="0" fillId="0" borderId="22" xfId="0" applyNumberFormat="1" applyBorder="1">
      <alignment vertical="top"/>
    </xf>
    <xf numFmtId="172" fontId="0" fillId="0" borderId="23" xfId="0" applyNumberFormat="1" applyBorder="1">
      <alignment vertical="top"/>
    </xf>
    <xf numFmtId="172" fontId="0" fillId="21" borderId="23" xfId="0" applyNumberFormat="1" applyFill="1" applyBorder="1">
      <alignment vertical="top"/>
    </xf>
    <xf numFmtId="14" fontId="0" fillId="2" borderId="3" xfId="0" applyNumberFormat="1" applyFill="1" applyBorder="1" applyAlignment="1">
      <alignment horizontal="center"/>
    </xf>
    <xf numFmtId="4" fontId="0" fillId="2" borderId="3" xfId="0" applyNumberFormat="1" applyFill="1" applyBorder="1" applyAlignment="1">
      <alignment horizontal="center"/>
    </xf>
    <xf numFmtId="165" fontId="0" fillId="2" borderId="3" xfId="0" applyNumberFormat="1" applyFill="1" applyBorder="1" applyAlignment="1">
      <alignment horizontal="center"/>
    </xf>
    <xf numFmtId="165" fontId="8" fillId="2" borderId="3" xfId="0" applyNumberFormat="1" applyFont="1" applyFill="1" applyBorder="1" applyAlignment="1">
      <alignment horizontal="center"/>
    </xf>
    <xf numFmtId="1" fontId="2" fillId="2" borderId="3" xfId="0" quotePrefix="1" applyNumberFormat="1" applyFont="1" applyFill="1" applyBorder="1" applyAlignment="1">
      <alignment horizontal="center"/>
    </xf>
    <xf numFmtId="165" fontId="17" fillId="2" borderId="3" xfId="0" applyNumberFormat="1" applyFont="1" applyFill="1" applyBorder="1" applyAlignment="1">
      <alignment horizontal="center"/>
    </xf>
    <xf numFmtId="3" fontId="0" fillId="2" borderId="3" xfId="0" applyNumberFormat="1" applyFill="1" applyBorder="1" applyAlignment="1">
      <alignment horizontal="center"/>
    </xf>
    <xf numFmtId="1" fontId="28" fillId="2" borderId="3" xfId="0" quotePrefix="1" applyNumberFormat="1" applyFont="1" applyFill="1" applyBorder="1" applyAlignment="1">
      <alignment horizontal="center"/>
    </xf>
    <xf numFmtId="169" fontId="0" fillId="2" borderId="3" xfId="0" applyNumberFormat="1" applyFill="1" applyBorder="1" applyAlignment="1">
      <alignment horizontal="center"/>
    </xf>
    <xf numFmtId="165" fontId="30" fillId="2" borderId="3" xfId="0" applyNumberFormat="1" applyFont="1" applyFill="1" applyBorder="1" applyAlignment="1">
      <alignment horizontal="center"/>
    </xf>
    <xf numFmtId="1" fontId="0" fillId="2" borderId="3" xfId="0" quotePrefix="1" applyNumberFormat="1" applyFill="1" applyBorder="1" applyAlignment="1">
      <alignment horizontal="center"/>
    </xf>
    <xf numFmtId="3" fontId="28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28" fillId="0" borderId="3" xfId="0" quotePrefix="1" applyFont="1" applyBorder="1" applyAlignment="1">
      <alignment horizontal="center" vertical="center"/>
    </xf>
    <xf numFmtId="169" fontId="28" fillId="0" borderId="3" xfId="0" applyNumberFormat="1" applyFont="1" applyBorder="1" applyAlignment="1">
      <alignment horizontal="center" vertical="center"/>
    </xf>
    <xf numFmtId="3" fontId="29" fillId="0" borderId="3" xfId="0" applyNumberFormat="1" applyFont="1" applyBorder="1" applyAlignment="1">
      <alignment horizontal="center"/>
    </xf>
    <xf numFmtId="1" fontId="29" fillId="0" borderId="3" xfId="0" quotePrefix="1" applyNumberFormat="1" applyFont="1" applyBorder="1" applyAlignment="1">
      <alignment horizontal="center"/>
    </xf>
    <xf numFmtId="169" fontId="29" fillId="0" borderId="3" xfId="0" applyNumberFormat="1" applyFont="1" applyBorder="1" applyAlignment="1">
      <alignment horizontal="center"/>
    </xf>
    <xf numFmtId="0" fontId="10" fillId="0" borderId="19" xfId="0" applyFont="1" applyBorder="1">
      <alignment vertical="top"/>
    </xf>
    <xf numFmtId="172" fontId="10" fillId="0" borderId="23" xfId="0" applyNumberFormat="1" applyFont="1" applyBorder="1">
      <alignment vertical="top"/>
    </xf>
    <xf numFmtId="169" fontId="7" fillId="0" borderId="3" xfId="0" applyNumberFormat="1" applyFont="1" applyBorder="1" applyAlignment="1">
      <alignment horizontal="center"/>
    </xf>
    <xf numFmtId="14" fontId="10" fillId="0" borderId="3" xfId="0" applyNumberFormat="1" applyFont="1" applyBorder="1" applyAlignment="1">
      <alignment horizontal="center"/>
    </xf>
    <xf numFmtId="4" fontId="10" fillId="0" borderId="3" xfId="0" applyNumberFormat="1" applyFont="1" applyBorder="1" applyAlignment="1">
      <alignment horizontal="center"/>
    </xf>
    <xf numFmtId="165" fontId="10" fillId="0" borderId="3" xfId="0" applyNumberFormat="1" applyFont="1" applyBorder="1" applyAlignment="1">
      <alignment horizontal="center"/>
    </xf>
    <xf numFmtId="1" fontId="57" fillId="0" borderId="3" xfId="0" applyNumberFormat="1" applyFont="1" applyBorder="1" applyAlignment="1">
      <alignment horizontal="center"/>
    </xf>
    <xf numFmtId="169" fontId="10" fillId="0" borderId="3" xfId="0" applyNumberFormat="1" applyFont="1" applyBorder="1" applyAlignment="1">
      <alignment horizontal="center"/>
    </xf>
    <xf numFmtId="3" fontId="10" fillId="0" borderId="3" xfId="0" applyNumberFormat="1" applyFont="1" applyBorder="1" applyAlignment="1">
      <alignment horizontal="center"/>
    </xf>
    <xf numFmtId="1" fontId="42" fillId="0" borderId="3" xfId="0" applyNumberFormat="1" applyFont="1" applyBorder="1" applyAlignment="1">
      <alignment horizontal="center"/>
    </xf>
    <xf numFmtId="169" fontId="49" fillId="0" borderId="3" xfId="0" applyNumberFormat="1" applyFont="1" applyBorder="1" applyAlignment="1">
      <alignment horizontal="center"/>
    </xf>
    <xf numFmtId="3" fontId="10" fillId="0" borderId="3" xfId="0" applyNumberFormat="1" applyFont="1" applyBorder="1" applyAlignment="1">
      <alignment horizontal="center" vertical="center"/>
    </xf>
    <xf numFmtId="1" fontId="49" fillId="0" borderId="3" xfId="0" applyNumberFormat="1" applyFont="1" applyBorder="1" applyAlignment="1">
      <alignment horizontal="center"/>
    </xf>
    <xf numFmtId="14" fontId="10" fillId="0" borderId="8" xfId="0" applyNumberFormat="1" applyFont="1" applyBorder="1" applyAlignment="1">
      <alignment horizontal="center"/>
    </xf>
    <xf numFmtId="3" fontId="10" fillId="0" borderId="5" xfId="0" applyNumberFormat="1" applyFont="1" applyBorder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1" fontId="54" fillId="0" borderId="0" xfId="0" applyNumberFormat="1" applyFont="1" applyAlignment="1">
      <alignment horizontal="center"/>
    </xf>
    <xf numFmtId="169" fontId="10" fillId="0" borderId="5" xfId="0" applyNumberFormat="1" applyFont="1" applyBorder="1" applyAlignment="1">
      <alignment horizontal="center"/>
    </xf>
    <xf numFmtId="1" fontId="29" fillId="0" borderId="0" xfId="0" applyNumberFormat="1" applyFont="1" applyAlignment="1">
      <alignment horizontal="center"/>
    </xf>
    <xf numFmtId="14" fontId="10" fillId="34" borderId="8" xfId="0" applyNumberFormat="1" applyFont="1" applyFill="1" applyBorder="1" applyAlignment="1">
      <alignment horizontal="center"/>
    </xf>
    <xf numFmtId="3" fontId="10" fillId="34" borderId="3" xfId="0" applyNumberFormat="1" applyFont="1" applyFill="1" applyBorder="1" applyAlignment="1">
      <alignment horizontal="center"/>
    </xf>
    <xf numFmtId="165" fontId="10" fillId="34" borderId="0" xfId="0" applyNumberFormat="1" applyFont="1" applyFill="1" applyAlignment="1">
      <alignment horizontal="center"/>
    </xf>
    <xf numFmtId="165" fontId="3" fillId="34" borderId="3" xfId="0" applyNumberFormat="1" applyFont="1" applyFill="1" applyBorder="1" applyAlignment="1">
      <alignment horizontal="center"/>
    </xf>
    <xf numFmtId="165" fontId="8" fillId="34" borderId="3" xfId="0" applyNumberFormat="1" applyFont="1" applyFill="1" applyBorder="1" applyAlignment="1">
      <alignment horizontal="center"/>
    </xf>
    <xf numFmtId="1" fontId="29" fillId="34" borderId="0" xfId="0" applyNumberFormat="1" applyFont="1" applyFill="1" applyAlignment="1">
      <alignment horizontal="center"/>
    </xf>
    <xf numFmtId="169" fontId="10" fillId="34" borderId="3" xfId="0" applyNumberFormat="1" applyFont="1" applyFill="1" applyBorder="1" applyAlignment="1">
      <alignment horizontal="center"/>
    </xf>
    <xf numFmtId="14" fontId="10" fillId="35" borderId="8" xfId="0" applyNumberFormat="1" applyFont="1" applyFill="1" applyBorder="1" applyAlignment="1">
      <alignment horizontal="center" vertical="center"/>
    </xf>
    <xf numFmtId="3" fontId="10" fillId="35" borderId="3" xfId="0" applyNumberFormat="1" applyFont="1" applyFill="1" applyBorder="1" applyAlignment="1">
      <alignment horizontal="center" vertical="center"/>
    </xf>
    <xf numFmtId="165" fontId="10" fillId="35" borderId="0" xfId="0" applyNumberFormat="1" applyFont="1" applyFill="1" applyAlignment="1">
      <alignment horizontal="center" vertical="center"/>
    </xf>
    <xf numFmtId="165" fontId="3" fillId="35" borderId="3" xfId="0" applyNumberFormat="1" applyFont="1" applyFill="1" applyBorder="1" applyAlignment="1">
      <alignment horizontal="center"/>
    </xf>
    <xf numFmtId="165" fontId="8" fillId="35" borderId="3" xfId="0" applyNumberFormat="1" applyFont="1" applyFill="1" applyBorder="1" applyAlignment="1">
      <alignment horizontal="center"/>
    </xf>
    <xf numFmtId="1" fontId="10" fillId="35" borderId="0" xfId="0" applyNumberFormat="1" applyFont="1" applyFill="1" applyAlignment="1">
      <alignment horizontal="center" vertical="center"/>
    </xf>
    <xf numFmtId="169" fontId="10" fillId="35" borderId="3" xfId="0" applyNumberFormat="1" applyFont="1" applyFill="1" applyBorder="1" applyAlignment="1">
      <alignment horizontal="center" vertical="center"/>
    </xf>
    <xf numFmtId="14" fontId="10" fillId="0" borderId="8" xfId="0" applyNumberFormat="1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30" fillId="0" borderId="3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9" fontId="10" fillId="0" borderId="3" xfId="0" applyNumberFormat="1" applyFont="1" applyBorder="1" applyAlignment="1">
      <alignment horizontal="center" vertical="center"/>
    </xf>
    <xf numFmtId="1" fontId="29" fillId="0" borderId="3" xfId="0" applyNumberFormat="1" applyFont="1" applyBorder="1" applyAlignment="1">
      <alignment horizontal="center"/>
    </xf>
    <xf numFmtId="14" fontId="10" fillId="2" borderId="3" xfId="0" applyNumberFormat="1" applyFont="1" applyFill="1" applyBorder="1" applyAlignment="1">
      <alignment horizontal="center"/>
    </xf>
    <xf numFmtId="3" fontId="10" fillId="2" borderId="3" xfId="0" applyNumberFormat="1" applyFont="1" applyFill="1" applyBorder="1" applyAlignment="1">
      <alignment horizontal="center"/>
    </xf>
    <xf numFmtId="165" fontId="10" fillId="2" borderId="3" xfId="0" applyNumberFormat="1" applyFont="1" applyFill="1" applyBorder="1" applyAlignment="1">
      <alignment horizontal="center"/>
    </xf>
    <xf numFmtId="165" fontId="3" fillId="2" borderId="3" xfId="0" applyNumberFormat="1" applyFont="1" applyFill="1" applyBorder="1" applyAlignment="1">
      <alignment horizontal="center"/>
    </xf>
    <xf numFmtId="1" fontId="29" fillId="2" borderId="3" xfId="0" applyNumberFormat="1" applyFont="1" applyFill="1" applyBorder="1" applyAlignment="1">
      <alignment horizontal="center"/>
    </xf>
    <xf numFmtId="169" fontId="10" fillId="2" borderId="3" xfId="0" applyNumberFormat="1" applyFont="1" applyFill="1" applyBorder="1" applyAlignment="1">
      <alignment horizontal="center"/>
    </xf>
    <xf numFmtId="165" fontId="3" fillId="36" borderId="3" xfId="0" applyNumberFormat="1" applyFont="1" applyFill="1" applyBorder="1" applyAlignment="1">
      <alignment horizontal="center"/>
    </xf>
    <xf numFmtId="14" fontId="10" fillId="11" borderId="3" xfId="0" applyNumberFormat="1" applyFont="1" applyFill="1" applyBorder="1" applyAlignment="1">
      <alignment horizontal="center"/>
    </xf>
    <xf numFmtId="3" fontId="10" fillId="11" borderId="3" xfId="0" applyNumberFormat="1" applyFont="1" applyFill="1" applyBorder="1" applyAlignment="1">
      <alignment horizontal="center"/>
    </xf>
    <xf numFmtId="165" fontId="10" fillId="11" borderId="3" xfId="0" applyNumberFormat="1" applyFont="1" applyFill="1" applyBorder="1" applyAlignment="1">
      <alignment horizontal="center"/>
    </xf>
    <xf numFmtId="165" fontId="3" fillId="11" borderId="3" xfId="0" applyNumberFormat="1" applyFont="1" applyFill="1" applyBorder="1" applyAlignment="1">
      <alignment horizontal="center"/>
    </xf>
    <xf numFmtId="165" fontId="30" fillId="11" borderId="3" xfId="0" applyNumberFormat="1" applyFont="1" applyFill="1" applyBorder="1" applyAlignment="1">
      <alignment horizontal="center"/>
    </xf>
    <xf numFmtId="1" fontId="29" fillId="11" borderId="3" xfId="0" applyNumberFormat="1" applyFont="1" applyFill="1" applyBorder="1" applyAlignment="1">
      <alignment horizontal="center"/>
    </xf>
    <xf numFmtId="169" fontId="10" fillId="11" borderId="3" xfId="0" applyNumberFormat="1" applyFont="1" applyFill="1" applyBorder="1" applyAlignment="1">
      <alignment horizontal="center"/>
    </xf>
    <xf numFmtId="0" fontId="10" fillId="11" borderId="0" xfId="0" applyFont="1" applyFill="1" applyAlignment="1"/>
    <xf numFmtId="0" fontId="0" fillId="11" borderId="0" xfId="0" applyFill="1" applyAlignment="1"/>
    <xf numFmtId="1" fontId="10" fillId="0" borderId="3" xfId="0" applyNumberFormat="1" applyFont="1" applyBorder="1" applyAlignment="1">
      <alignment horizontal="center"/>
    </xf>
    <xf numFmtId="14" fontId="8" fillId="0" borderId="3" xfId="0" applyNumberFormat="1" applyFont="1" applyBorder="1" applyAlignment="1">
      <alignment horizontal="center"/>
    </xf>
    <xf numFmtId="3" fontId="8" fillId="0" borderId="3" xfId="0" applyNumberFormat="1" applyFont="1" applyBorder="1" applyAlignment="1">
      <alignment horizontal="center"/>
    </xf>
    <xf numFmtId="169" fontId="8" fillId="0" borderId="3" xfId="0" applyNumberFormat="1" applyFont="1" applyBorder="1" applyAlignment="1">
      <alignment horizontal="center"/>
    </xf>
    <xf numFmtId="14" fontId="29" fillId="3" borderId="3" xfId="0" applyNumberFormat="1" applyFont="1" applyFill="1" applyBorder="1" applyAlignment="1">
      <alignment horizontal="center"/>
    </xf>
    <xf numFmtId="3" fontId="29" fillId="3" borderId="3" xfId="0" applyNumberFormat="1" applyFont="1" applyFill="1" applyBorder="1" applyAlignment="1">
      <alignment horizontal="center"/>
    </xf>
    <xf numFmtId="165" fontId="29" fillId="3" borderId="3" xfId="0" applyNumberFormat="1" applyFont="1" applyFill="1" applyBorder="1" applyAlignment="1">
      <alignment horizontal="center"/>
    </xf>
    <xf numFmtId="1" fontId="29" fillId="3" borderId="3" xfId="0" applyNumberFormat="1" applyFont="1" applyFill="1" applyBorder="1" applyAlignment="1">
      <alignment horizontal="center"/>
    </xf>
    <xf numFmtId="169" fontId="29" fillId="3" borderId="3" xfId="0" applyNumberFormat="1" applyFont="1" applyFill="1" applyBorder="1" applyAlignment="1">
      <alignment horizontal="center"/>
    </xf>
    <xf numFmtId="14" fontId="8" fillId="3" borderId="3" xfId="0" applyNumberFormat="1" applyFont="1" applyFill="1" applyBorder="1" applyAlignment="1">
      <alignment horizontal="center"/>
    </xf>
    <xf numFmtId="3" fontId="8" fillId="3" borderId="3" xfId="0" applyNumberFormat="1" applyFont="1" applyFill="1" applyBorder="1" applyAlignment="1">
      <alignment horizontal="center"/>
    </xf>
    <xf numFmtId="1" fontId="8" fillId="3" borderId="3" xfId="0" applyNumberFormat="1" applyFont="1" applyFill="1" applyBorder="1" applyAlignment="1">
      <alignment horizontal="center"/>
    </xf>
    <xf numFmtId="169" fontId="8" fillId="3" borderId="3" xfId="0" applyNumberFormat="1" applyFont="1" applyFill="1" applyBorder="1" applyAlignment="1">
      <alignment horizontal="center"/>
    </xf>
    <xf numFmtId="0" fontId="8" fillId="0" borderId="0" xfId="0" applyFont="1" applyAlignment="1"/>
    <xf numFmtId="3" fontId="29" fillId="0" borderId="3" xfId="0" applyNumberFormat="1" applyFont="1" applyBorder="1" applyAlignment="1">
      <alignment horizontal="center" vertical="center"/>
    </xf>
    <xf numFmtId="169" fontId="29" fillId="0" borderId="3" xfId="0" applyNumberFormat="1" applyFont="1" applyBorder="1" applyAlignment="1">
      <alignment horizontal="center" vertical="center"/>
    </xf>
    <xf numFmtId="0" fontId="54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4" fontId="58" fillId="0" borderId="3" xfId="0" applyNumberFormat="1" applyFont="1" applyBorder="1" applyAlignment="1">
      <alignment horizontal="center"/>
    </xf>
    <xf numFmtId="165" fontId="3" fillId="22" borderId="3" xfId="0" applyNumberFormat="1" applyFont="1" applyFill="1" applyBorder="1" applyAlignment="1">
      <alignment horizontal="center"/>
    </xf>
    <xf numFmtId="1" fontId="28" fillId="22" borderId="3" xfId="0" applyNumberFormat="1" applyFont="1" applyFill="1" applyBorder="1" applyAlignment="1">
      <alignment horizontal="center"/>
    </xf>
    <xf numFmtId="14" fontId="0" fillId="25" borderId="3" xfId="0" applyNumberFormat="1" applyFill="1" applyBorder="1" applyAlignment="1">
      <alignment horizontal="center"/>
    </xf>
    <xf numFmtId="3" fontId="0" fillId="25" borderId="3" xfId="0" applyNumberFormat="1" applyFill="1" applyBorder="1" applyAlignment="1">
      <alignment horizontal="center"/>
    </xf>
    <xf numFmtId="165" fontId="0" fillId="25" borderId="3" xfId="0" applyNumberFormat="1" applyFill="1" applyBorder="1" applyAlignment="1">
      <alignment horizontal="center"/>
    </xf>
    <xf numFmtId="165" fontId="2" fillId="25" borderId="3" xfId="0" applyNumberFormat="1" applyFont="1" applyFill="1" applyBorder="1" applyAlignment="1">
      <alignment horizontal="center"/>
    </xf>
    <xf numFmtId="165" fontId="3" fillId="25" borderId="3" xfId="0" applyNumberFormat="1" applyFont="1" applyFill="1" applyBorder="1" applyAlignment="1">
      <alignment horizontal="center"/>
    </xf>
    <xf numFmtId="165" fontId="8" fillId="25" borderId="3" xfId="0" applyNumberFormat="1" applyFont="1" applyFill="1" applyBorder="1" applyAlignment="1">
      <alignment horizontal="center"/>
    </xf>
    <xf numFmtId="1" fontId="28" fillId="25" borderId="3" xfId="0" applyNumberFormat="1" applyFont="1" applyFill="1" applyBorder="1" applyAlignment="1">
      <alignment horizontal="center"/>
    </xf>
    <xf numFmtId="169" fontId="0" fillId="25" borderId="3" xfId="0" applyNumberFormat="1" applyFill="1" applyBorder="1" applyAlignment="1">
      <alignment horizontal="center"/>
    </xf>
    <xf numFmtId="3" fontId="0" fillId="0" borderId="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0" fillId="14" borderId="8" xfId="0" applyNumberFormat="1" applyFill="1" applyBorder="1" applyAlignment="1">
      <alignment horizontal="center"/>
    </xf>
    <xf numFmtId="3" fontId="0" fillId="14" borderId="3" xfId="0" applyNumberFormat="1" applyFill="1" applyBorder="1" applyAlignment="1">
      <alignment horizontal="center" vertical="center"/>
    </xf>
    <xf numFmtId="165" fontId="0" fillId="14" borderId="0" xfId="0" applyNumberFormat="1" applyFill="1" applyAlignment="1">
      <alignment horizontal="center"/>
    </xf>
    <xf numFmtId="165" fontId="30" fillId="14" borderId="3" xfId="0" applyNumberFormat="1" applyFont="1" applyFill="1" applyBorder="1" applyAlignment="1">
      <alignment horizontal="center"/>
    </xf>
    <xf numFmtId="1" fontId="0" fillId="14" borderId="0" xfId="0" applyNumberFormat="1" applyFill="1" applyAlignment="1">
      <alignment horizontal="center"/>
    </xf>
    <xf numFmtId="169" fontId="0" fillId="14" borderId="3" xfId="0" applyNumberFormat="1" applyFill="1" applyBorder="1" applyAlignment="1">
      <alignment horizontal="center"/>
    </xf>
    <xf numFmtId="3" fontId="0" fillId="14" borderId="3" xfId="0" applyNumberFormat="1" applyFill="1" applyBorder="1" applyAlignment="1">
      <alignment horizontal="center"/>
    </xf>
    <xf numFmtId="1" fontId="28" fillId="14" borderId="3" xfId="0" applyNumberFormat="1" applyFont="1" applyFill="1" applyBorder="1" applyAlignment="1">
      <alignment horizontal="center"/>
    </xf>
    <xf numFmtId="14" fontId="59" fillId="5" borderId="8" xfId="0" applyNumberFormat="1" applyFont="1" applyFill="1" applyBorder="1" applyAlignment="1">
      <alignment horizontal="center"/>
    </xf>
    <xf numFmtId="3" fontId="59" fillId="5" borderId="3" xfId="0" applyNumberFormat="1" applyFont="1" applyFill="1" applyBorder="1" applyAlignment="1">
      <alignment horizontal="center" vertical="center"/>
    </xf>
    <xf numFmtId="165" fontId="59" fillId="5" borderId="0" xfId="0" applyNumberFormat="1" applyFont="1" applyFill="1" applyAlignment="1">
      <alignment horizontal="center"/>
    </xf>
    <xf numFmtId="165" fontId="60" fillId="5" borderId="3" xfId="0" applyNumberFormat="1" applyFont="1" applyFill="1" applyBorder="1" applyAlignment="1">
      <alignment horizontal="center"/>
    </xf>
    <xf numFmtId="165" fontId="19" fillId="5" borderId="3" xfId="0" applyNumberFormat="1" applyFont="1" applyFill="1" applyBorder="1" applyAlignment="1">
      <alignment horizontal="center"/>
    </xf>
    <xf numFmtId="1" fontId="61" fillId="31" borderId="0" xfId="0" applyNumberFormat="1" applyFont="1" applyFill="1" applyAlignment="1">
      <alignment horizontal="center"/>
    </xf>
    <xf numFmtId="169" fontId="61" fillId="31" borderId="3" xfId="0" applyNumberFormat="1" applyFont="1" applyFill="1" applyBorder="1" applyAlignment="1">
      <alignment horizontal="center"/>
    </xf>
    <xf numFmtId="165" fontId="0" fillId="14" borderId="3" xfId="0" applyNumberFormat="1" applyFill="1" applyBorder="1" applyAlignment="1">
      <alignment horizontal="center" vertical="center"/>
    </xf>
    <xf numFmtId="3" fontId="59" fillId="5" borderId="3" xfId="0" applyNumberFormat="1" applyFont="1" applyFill="1" applyBorder="1" applyAlignment="1">
      <alignment horizontal="center"/>
    </xf>
    <xf numFmtId="165" fontId="59" fillId="5" borderId="3" xfId="0" applyNumberFormat="1" applyFont="1" applyFill="1" applyBorder="1" applyAlignment="1">
      <alignment horizontal="center"/>
    </xf>
    <xf numFmtId="1" fontId="61" fillId="31" borderId="3" xfId="0" applyNumberFormat="1" applyFont="1" applyFill="1" applyBorder="1" applyAlignment="1">
      <alignment horizontal="center"/>
    </xf>
    <xf numFmtId="14" fontId="61" fillId="5" borderId="8" xfId="0" applyNumberFormat="1" applyFont="1" applyFill="1" applyBorder="1" applyAlignment="1">
      <alignment horizontal="center"/>
    </xf>
    <xf numFmtId="1" fontId="28" fillId="14" borderId="0" xfId="0" applyNumberFormat="1" applyFont="1" applyFill="1" applyAlignment="1">
      <alignment horizontal="center"/>
    </xf>
    <xf numFmtId="1" fontId="28" fillId="0" borderId="0" xfId="0" applyNumberFormat="1" applyFont="1" applyAlignment="1">
      <alignment horizontal="center"/>
    </xf>
    <xf numFmtId="14" fontId="0" fillId="14" borderId="3" xfId="0" applyNumberFormat="1" applyFill="1" applyBorder="1" applyAlignment="1">
      <alignment horizontal="center"/>
    </xf>
    <xf numFmtId="165" fontId="62" fillId="3" borderId="3" xfId="0" applyNumberFormat="1" applyFont="1" applyFill="1" applyBorder="1" applyAlignment="1">
      <alignment horizontal="center"/>
    </xf>
    <xf numFmtId="165" fontId="30" fillId="3" borderId="3" xfId="0" applyNumberFormat="1" applyFont="1" applyFill="1" applyBorder="1" applyAlignment="1">
      <alignment horizontal="center"/>
    </xf>
    <xf numFmtId="1" fontId="28" fillId="3" borderId="3" xfId="0" applyNumberFormat="1" applyFont="1" applyFill="1" applyBorder="1" applyAlignment="1">
      <alignment horizontal="center"/>
    </xf>
    <xf numFmtId="169" fontId="0" fillId="3" borderId="3" xfId="0" applyNumberFormat="1" applyFill="1" applyBorder="1" applyAlignment="1">
      <alignment horizontal="center"/>
    </xf>
    <xf numFmtId="3" fontId="0" fillId="22" borderId="3" xfId="0" applyNumberFormat="1" applyFill="1" applyBorder="1" applyAlignment="1">
      <alignment horizontal="center"/>
    </xf>
    <xf numFmtId="165" fontId="30" fillId="22" borderId="3" xfId="0" applyNumberFormat="1" applyFont="1" applyFill="1" applyBorder="1" applyAlignment="1">
      <alignment horizontal="center"/>
    </xf>
    <xf numFmtId="169" fontId="54" fillId="0" borderId="0" xfId="0" applyNumberFormat="1" applyFont="1" applyAlignment="1">
      <alignment horizontal="center"/>
    </xf>
    <xf numFmtId="14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69" fontId="1" fillId="0" borderId="3" xfId="0" applyNumberFormat="1" applyFont="1" applyBorder="1" applyAlignment="1">
      <alignment horizontal="center"/>
    </xf>
    <xf numFmtId="14" fontId="54" fillId="0" borderId="3" xfId="0" applyNumberFormat="1" applyFont="1" applyBorder="1" applyAlignment="1">
      <alignment horizontal="center"/>
    </xf>
    <xf numFmtId="3" fontId="54" fillId="0" borderId="3" xfId="0" applyNumberFormat="1" applyFont="1" applyBorder="1" applyAlignment="1">
      <alignment horizontal="center"/>
    </xf>
    <xf numFmtId="165" fontId="54" fillId="0" borderId="3" xfId="0" applyNumberFormat="1" applyFont="1" applyBorder="1" applyAlignment="1">
      <alignment horizontal="center"/>
    </xf>
    <xf numFmtId="1" fontId="54" fillId="0" borderId="3" xfId="0" applyNumberFormat="1" applyFont="1" applyBorder="1" applyAlignment="1">
      <alignment horizontal="center"/>
    </xf>
    <xf numFmtId="169" fontId="54" fillId="0" borderId="3" xfId="0" applyNumberFormat="1" applyFont="1" applyBorder="1" applyAlignment="1">
      <alignment horizontal="center"/>
    </xf>
    <xf numFmtId="14" fontId="29" fillId="20" borderId="3" xfId="0" applyNumberFormat="1" applyFont="1" applyFill="1" applyBorder="1" applyAlignment="1">
      <alignment horizontal="center"/>
    </xf>
    <xf numFmtId="3" fontId="29" fillId="20" borderId="3" xfId="0" applyNumberFormat="1" applyFont="1" applyFill="1" applyBorder="1" applyAlignment="1">
      <alignment horizontal="center"/>
    </xf>
    <xf numFmtId="165" fontId="29" fillId="20" borderId="3" xfId="0" applyNumberFormat="1" applyFont="1" applyFill="1" applyBorder="1" applyAlignment="1">
      <alignment horizontal="center"/>
    </xf>
    <xf numFmtId="1" fontId="29" fillId="20" borderId="3" xfId="0" applyNumberFormat="1" applyFont="1" applyFill="1" applyBorder="1" applyAlignment="1">
      <alignment horizontal="center"/>
    </xf>
    <xf numFmtId="169" fontId="29" fillId="20" borderId="3" xfId="0" applyNumberFormat="1" applyFont="1" applyFill="1" applyBorder="1" applyAlignment="1">
      <alignment horizontal="center"/>
    </xf>
    <xf numFmtId="14" fontId="54" fillId="3" borderId="3" xfId="0" applyNumberFormat="1" applyFont="1" applyFill="1" applyBorder="1" applyAlignment="1">
      <alignment horizontal="center"/>
    </xf>
    <xf numFmtId="3" fontId="54" fillId="3" borderId="3" xfId="0" applyNumberFormat="1" applyFont="1" applyFill="1" applyBorder="1" applyAlignment="1">
      <alignment horizontal="center"/>
    </xf>
    <xf numFmtId="165" fontId="54" fillId="3" borderId="3" xfId="0" applyNumberFormat="1" applyFont="1" applyFill="1" applyBorder="1" applyAlignment="1">
      <alignment horizontal="center"/>
    </xf>
    <xf numFmtId="165" fontId="37" fillId="3" borderId="3" xfId="0" applyNumberFormat="1" applyFont="1" applyFill="1" applyBorder="1" applyAlignment="1">
      <alignment horizontal="center"/>
    </xf>
    <xf numFmtId="1" fontId="0" fillId="14" borderId="3" xfId="0" applyNumberFormat="1" applyFill="1" applyBorder="1" applyAlignment="1">
      <alignment horizontal="center"/>
    </xf>
    <xf numFmtId="3" fontId="0" fillId="20" borderId="3" xfId="0" applyNumberFormat="1" applyFill="1" applyBorder="1" applyAlignment="1">
      <alignment horizontal="center"/>
    </xf>
    <xf numFmtId="165" fontId="30" fillId="20" borderId="3" xfId="0" applyNumberFormat="1" applyFont="1" applyFill="1" applyBorder="1" applyAlignment="1">
      <alignment horizontal="center"/>
    </xf>
    <xf numFmtId="1" fontId="0" fillId="20" borderId="3" xfId="0" applyNumberFormat="1" applyFill="1" applyBorder="1" applyAlignment="1">
      <alignment horizontal="center"/>
    </xf>
    <xf numFmtId="169" fontId="0" fillId="20" borderId="3" xfId="0" applyNumberFormat="1" applyFill="1" applyBorder="1" applyAlignment="1">
      <alignment horizontal="center"/>
    </xf>
    <xf numFmtId="0" fontId="10" fillId="0" borderId="20" xfId="0" applyFont="1" applyBorder="1">
      <alignment vertical="top"/>
    </xf>
    <xf numFmtId="172" fontId="10" fillId="0" borderId="14" xfId="0" applyNumberFormat="1" applyFont="1" applyBorder="1">
      <alignment vertical="top"/>
    </xf>
    <xf numFmtId="172" fontId="0" fillId="0" borderId="0" xfId="2" applyNumberFormat="1" applyFont="1" applyAlignment="1"/>
    <xf numFmtId="1" fontId="54" fillId="3" borderId="3" xfId="0" applyNumberFormat="1" applyFont="1" applyFill="1" applyBorder="1" applyAlignment="1">
      <alignment horizontal="center"/>
    </xf>
    <xf numFmtId="169" fontId="54" fillId="3" borderId="3" xfId="0" applyNumberFormat="1" applyFont="1" applyFill="1" applyBorder="1" applyAlignment="1">
      <alignment horizontal="center"/>
    </xf>
    <xf numFmtId="0" fontId="10" fillId="0" borderId="15" xfId="0" pivotButton="1" applyFont="1" applyBorder="1">
      <alignment vertical="top"/>
    </xf>
    <xf numFmtId="14" fontId="6" fillId="3" borderId="0" xfId="0" applyNumberFormat="1" applyFont="1" applyFill="1">
      <alignment vertical="top"/>
    </xf>
    <xf numFmtId="9" fontId="6" fillId="3" borderId="0" xfId="0" applyNumberFormat="1" applyFont="1" applyFill="1">
      <alignment vertical="top"/>
    </xf>
    <xf numFmtId="3" fontId="18" fillId="3" borderId="0" xfId="0" quotePrefix="1" applyNumberFormat="1" applyFont="1" applyFill="1" applyAlignment="1">
      <alignment horizontal="left" vertical="top"/>
    </xf>
    <xf numFmtId="3" fontId="18" fillId="7" borderId="0" xfId="0" quotePrefix="1" applyNumberFormat="1" applyFont="1" applyFill="1" applyAlignment="1">
      <alignment horizontal="left" vertical="top"/>
    </xf>
    <xf numFmtId="14" fontId="6" fillId="7" borderId="0" xfId="0" applyNumberFormat="1" applyFont="1" applyFill="1">
      <alignment vertical="top"/>
    </xf>
    <xf numFmtId="9" fontId="6" fillId="7" borderId="0" xfId="0" applyNumberFormat="1" applyFont="1" applyFill="1">
      <alignment vertical="top"/>
    </xf>
    <xf numFmtId="3" fontId="39" fillId="0" borderId="25" xfId="0" applyNumberFormat="1" applyFont="1" applyBorder="1" applyAlignment="1">
      <alignment horizontal="center" vertical="center"/>
    </xf>
    <xf numFmtId="166" fontId="39" fillId="0" borderId="25" xfId="0" applyNumberFormat="1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14" fontId="39" fillId="0" borderId="25" xfId="0" applyNumberFormat="1" applyFont="1" applyBorder="1" applyAlignment="1">
      <alignment horizontal="center" vertical="center"/>
    </xf>
    <xf numFmtId="3" fontId="39" fillId="0" borderId="26" xfId="0" applyNumberFormat="1" applyFont="1" applyBorder="1" applyAlignment="1">
      <alignment horizontal="center" vertical="center"/>
    </xf>
    <xf numFmtId="0" fontId="39" fillId="0" borderId="25" xfId="0" applyFont="1" applyBorder="1" applyAlignment="1">
      <alignment horizontal="left" vertical="center"/>
    </xf>
    <xf numFmtId="0" fontId="39" fillId="0" borderId="3" xfId="0" applyFont="1" applyBorder="1" applyAlignment="1">
      <alignment horizontal="center" vertical="center"/>
    </xf>
    <xf numFmtId="165" fontId="39" fillId="2" borderId="25" xfId="0" applyNumberFormat="1" applyFont="1" applyFill="1" applyBorder="1" applyAlignment="1">
      <alignment vertical="center"/>
    </xf>
    <xf numFmtId="165" fontId="39" fillId="4" borderId="25" xfId="0" applyNumberFormat="1" applyFont="1" applyFill="1" applyBorder="1" applyAlignment="1">
      <alignment vertical="center"/>
    </xf>
    <xf numFmtId="165" fontId="39" fillId="5" borderId="25" xfId="0" applyNumberFormat="1" applyFont="1" applyFill="1" applyBorder="1" applyAlignment="1">
      <alignment vertical="center"/>
    </xf>
    <xf numFmtId="165" fontId="39" fillId="15" borderId="25" xfId="0" applyNumberFormat="1" applyFont="1" applyFill="1" applyBorder="1" applyAlignment="1">
      <alignment vertical="center"/>
    </xf>
    <xf numFmtId="165" fontId="40" fillId="0" borderId="25" xfId="0" applyNumberFormat="1" applyFont="1" applyBorder="1">
      <alignment vertical="top"/>
    </xf>
    <xf numFmtId="165" fontId="47" fillId="14" borderId="2" xfId="0" applyNumberFormat="1" applyFont="1" applyFill="1" applyBorder="1" applyAlignment="1">
      <alignment horizontal="center"/>
    </xf>
    <xf numFmtId="4" fontId="18" fillId="16" borderId="2" xfId="0" applyNumberFormat="1" applyFont="1" applyFill="1" applyBorder="1" applyAlignment="1">
      <alignment horizontal="center"/>
    </xf>
    <xf numFmtId="1" fontId="6" fillId="2" borderId="0" xfId="0" applyNumberFormat="1" applyFont="1" applyFill="1">
      <alignment vertical="top"/>
    </xf>
    <xf numFmtId="14" fontId="6" fillId="2" borderId="0" xfId="0" applyNumberFormat="1" applyFont="1" applyFill="1">
      <alignment vertical="top"/>
    </xf>
    <xf numFmtId="0" fontId="6" fillId="2" borderId="0" xfId="0" applyFont="1" applyFill="1">
      <alignment vertical="top"/>
    </xf>
    <xf numFmtId="3" fontId="6" fillId="2" borderId="0" xfId="0" applyNumberFormat="1" applyFont="1" applyFill="1">
      <alignment vertical="top"/>
    </xf>
    <xf numFmtId="3" fontId="18" fillId="2" borderId="0" xfId="0" quotePrefix="1" applyNumberFormat="1" applyFont="1" applyFill="1" applyAlignment="1">
      <alignment horizontal="left" vertical="top"/>
    </xf>
    <xf numFmtId="9" fontId="6" fillId="2" borderId="0" xfId="0" applyNumberFormat="1" applyFont="1" applyFill="1">
      <alignment vertical="top"/>
    </xf>
    <xf numFmtId="14" fontId="6" fillId="0" borderId="3" xfId="0" applyNumberFormat="1" applyFont="1" applyBorder="1" applyAlignment="1">
      <alignment horizontal="center"/>
    </xf>
    <xf numFmtId="4" fontId="6" fillId="0" borderId="3" xfId="0" applyNumberFormat="1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165" fontId="5" fillId="0" borderId="3" xfId="0" applyNumberFormat="1" applyFont="1" applyBorder="1" applyAlignment="1">
      <alignment horizontal="center"/>
    </xf>
    <xf numFmtId="1" fontId="65" fillId="0" borderId="3" xfId="0" applyNumberFormat="1" applyFont="1" applyBorder="1" applyAlignment="1">
      <alignment horizontal="center"/>
    </xf>
    <xf numFmtId="169" fontId="6" fillId="0" borderId="3" xfId="0" applyNumberFormat="1" applyFont="1" applyBorder="1" applyAlignment="1">
      <alignment horizontal="center"/>
    </xf>
    <xf numFmtId="14" fontId="6" fillId="3" borderId="3" xfId="0" applyNumberFormat="1" applyFont="1" applyFill="1" applyBorder="1" applyAlignment="1">
      <alignment horizontal="center"/>
    </xf>
    <xf numFmtId="4" fontId="6" fillId="3" borderId="3" xfId="0" applyNumberFormat="1" applyFont="1" applyFill="1" applyBorder="1" applyAlignment="1">
      <alignment horizontal="center"/>
    </xf>
    <xf numFmtId="165" fontId="6" fillId="3" borderId="3" xfId="0" applyNumberFormat="1" applyFont="1" applyFill="1" applyBorder="1" applyAlignment="1">
      <alignment horizontal="center"/>
    </xf>
    <xf numFmtId="14" fontId="5" fillId="0" borderId="3" xfId="0" applyNumberFormat="1" applyFont="1" applyBorder="1" applyAlignment="1">
      <alignment horizontal="center"/>
    </xf>
    <xf numFmtId="4" fontId="5" fillId="0" borderId="3" xfId="0" applyNumberFormat="1" applyFont="1" applyBorder="1" applyAlignment="1">
      <alignment horizontal="center"/>
    </xf>
    <xf numFmtId="14" fontId="51" fillId="2" borderId="3" xfId="0" applyNumberFormat="1" applyFont="1" applyFill="1" applyBorder="1" applyAlignment="1">
      <alignment horizontal="center"/>
    </xf>
    <xf numFmtId="4" fontId="51" fillId="2" borderId="3" xfId="0" applyNumberFormat="1" applyFont="1" applyFill="1" applyBorder="1" applyAlignment="1">
      <alignment horizontal="center"/>
    </xf>
    <xf numFmtId="165" fontId="51" fillId="2" borderId="3" xfId="0" applyNumberFormat="1" applyFont="1" applyFill="1" applyBorder="1" applyAlignment="1">
      <alignment horizontal="center"/>
    </xf>
    <xf numFmtId="165" fontId="5" fillId="3" borderId="3" xfId="0" applyNumberFormat="1" applyFont="1" applyFill="1" applyBorder="1" applyAlignment="1">
      <alignment horizontal="center"/>
    </xf>
    <xf numFmtId="1" fontId="65" fillId="3" borderId="3" xfId="0" applyNumberFormat="1" applyFont="1" applyFill="1" applyBorder="1" applyAlignment="1">
      <alignment horizontal="center"/>
    </xf>
    <xf numFmtId="169" fontId="6" fillId="3" borderId="3" xfId="0" applyNumberFormat="1" applyFont="1" applyFill="1" applyBorder="1" applyAlignment="1">
      <alignment horizontal="center"/>
    </xf>
    <xf numFmtId="1" fontId="66" fillId="0" borderId="3" xfId="0" applyNumberFormat="1" applyFont="1" applyBorder="1" applyAlignment="1">
      <alignment horizontal="center"/>
    </xf>
    <xf numFmtId="169" fontId="5" fillId="0" borderId="3" xfId="0" applyNumberFormat="1" applyFont="1" applyBorder="1" applyAlignment="1">
      <alignment horizontal="center"/>
    </xf>
    <xf numFmtId="1" fontId="67" fillId="2" borderId="3" xfId="0" applyNumberFormat="1" applyFont="1" applyFill="1" applyBorder="1" applyAlignment="1">
      <alignment horizontal="center"/>
    </xf>
    <xf numFmtId="169" fontId="51" fillId="2" borderId="3" xfId="0" applyNumberFormat="1" applyFont="1" applyFill="1" applyBorder="1" applyAlignment="1">
      <alignment horizontal="center"/>
    </xf>
    <xf numFmtId="14" fontId="6" fillId="2" borderId="3" xfId="0" applyNumberFormat="1" applyFont="1" applyFill="1" applyBorder="1" applyAlignment="1">
      <alignment horizontal="center"/>
    </xf>
    <xf numFmtId="4" fontId="6" fillId="2" borderId="3" xfId="0" applyNumberFormat="1" applyFont="1" applyFill="1" applyBorder="1" applyAlignment="1">
      <alignment horizontal="center"/>
    </xf>
    <xf numFmtId="165" fontId="6" fillId="2" borderId="3" xfId="0" applyNumberFormat="1" applyFont="1" applyFill="1" applyBorder="1" applyAlignment="1">
      <alignment horizontal="center"/>
    </xf>
    <xf numFmtId="165" fontId="5" fillId="2" borderId="3" xfId="0" applyNumberFormat="1" applyFont="1" applyFill="1" applyBorder="1" applyAlignment="1">
      <alignment horizontal="center"/>
    </xf>
    <xf numFmtId="1" fontId="65" fillId="2" borderId="3" xfId="0" applyNumberFormat="1" applyFont="1" applyFill="1" applyBorder="1" applyAlignment="1">
      <alignment horizontal="center"/>
    </xf>
    <xf numFmtId="169" fontId="6" fillId="2" borderId="3" xfId="0" applyNumberFormat="1" applyFont="1" applyFill="1" applyBorder="1" applyAlignment="1">
      <alignment horizontal="center"/>
    </xf>
    <xf numFmtId="9" fontId="18" fillId="2" borderId="0" xfId="3" quotePrefix="1" applyFont="1" applyFill="1" applyAlignment="1">
      <alignment horizontal="left" vertical="top"/>
    </xf>
    <xf numFmtId="0" fontId="3" fillId="0" borderId="4" xfId="0" applyFont="1" applyBorder="1" applyAlignment="1">
      <alignment horizontal="center" vertical="top"/>
    </xf>
    <xf numFmtId="14" fontId="5" fillId="0" borderId="0" xfId="0" applyNumberFormat="1" applyFont="1" applyAlignment="1">
      <alignment horizontal="center" vertical="top"/>
    </xf>
    <xf numFmtId="14" fontId="50" fillId="27" borderId="0" xfId="0" applyNumberFormat="1" applyFont="1" applyFill="1" applyAlignment="1">
      <alignment horizontal="center" vertical="top"/>
    </xf>
    <xf numFmtId="14" fontId="5" fillId="6" borderId="0" xfId="0" applyNumberFormat="1" applyFont="1" applyFill="1" applyAlignment="1">
      <alignment horizontal="center" vertical="top"/>
    </xf>
    <xf numFmtId="14" fontId="2" fillId="6" borderId="0" xfId="0" applyNumberFormat="1" applyFont="1" applyFill="1" applyAlignment="1">
      <alignment horizontal="center" vertical="top"/>
    </xf>
    <xf numFmtId="14" fontId="2" fillId="0" borderId="0" xfId="0" applyNumberFormat="1" applyFont="1" applyAlignment="1">
      <alignment horizontal="center" vertical="top"/>
    </xf>
    <xf numFmtId="14" fontId="24" fillId="12" borderId="0" xfId="0" applyNumberFormat="1" applyFont="1" applyFill="1" applyAlignment="1">
      <alignment horizontal="center" vertical="top"/>
    </xf>
    <xf numFmtId="14" fontId="17" fillId="0" borderId="0" xfId="0" applyNumberFormat="1" applyFont="1" applyAlignment="1">
      <alignment horizontal="center" vertical="top"/>
    </xf>
    <xf numFmtId="14" fontId="17" fillId="6" borderId="0" xfId="0" applyNumberFormat="1" applyFont="1" applyFill="1" applyAlignment="1">
      <alignment horizontal="center" vertical="top"/>
    </xf>
    <xf numFmtId="14" fontId="2" fillId="20" borderId="0" xfId="0" applyNumberFormat="1" applyFont="1" applyFill="1" applyAlignment="1">
      <alignment horizontal="center" vertical="top"/>
    </xf>
    <xf numFmtId="14" fontId="2" fillId="21" borderId="0" xfId="0" applyNumberFormat="1" applyFont="1" applyFill="1" applyAlignment="1">
      <alignment horizontal="center" vertical="top"/>
    </xf>
    <xf numFmtId="14" fontId="2" fillId="7" borderId="0" xfId="0" applyNumberFormat="1" applyFont="1" applyFill="1" applyAlignment="1">
      <alignment horizontal="center" vertical="top"/>
    </xf>
    <xf numFmtId="14" fontId="2" fillId="29" borderId="0" xfId="0" applyNumberFormat="1" applyFont="1" applyFill="1" applyAlignment="1">
      <alignment horizontal="center" vertical="top"/>
    </xf>
    <xf numFmtId="14" fontId="2" fillId="30" borderId="0" xfId="0" applyNumberFormat="1" applyFont="1" applyFill="1" applyAlignment="1">
      <alignment horizontal="center" vertical="top"/>
    </xf>
    <xf numFmtId="14" fontId="3" fillId="5" borderId="0" xfId="0" applyNumberFormat="1" applyFont="1" applyFill="1" applyAlignment="1">
      <alignment horizontal="center" vertical="top"/>
    </xf>
    <xf numFmtId="14" fontId="2" fillId="5" borderId="0" xfId="0" applyNumberFormat="1" applyFont="1" applyFill="1" applyAlignment="1">
      <alignment horizontal="center" vertical="top"/>
    </xf>
    <xf numFmtId="14" fontId="2" fillId="8" borderId="0" xfId="0" applyNumberFormat="1" applyFont="1" applyFill="1" applyAlignment="1">
      <alignment horizontal="center" vertical="top"/>
    </xf>
    <xf numFmtId="14" fontId="2" fillId="3" borderId="0" xfId="0" applyNumberFormat="1" applyFont="1" applyFill="1" applyAlignment="1">
      <alignment horizontal="center" vertical="top"/>
    </xf>
    <xf numFmtId="14" fontId="25" fillId="21" borderId="0" xfId="0" applyNumberFormat="1" applyFont="1" applyFill="1" applyAlignment="1">
      <alignment horizontal="center" vertical="top"/>
    </xf>
    <xf numFmtId="14" fontId="2" fillId="10" borderId="0" xfId="0" applyNumberFormat="1" applyFont="1" applyFill="1" applyAlignment="1">
      <alignment horizontal="center" vertical="top"/>
    </xf>
    <xf numFmtId="173" fontId="9" fillId="16" borderId="2" xfId="0" applyNumberFormat="1" applyFont="1" applyFill="1" applyBorder="1" applyAlignment="1">
      <alignment horizontal="left"/>
    </xf>
    <xf numFmtId="1" fontId="6" fillId="11" borderId="0" xfId="0" applyNumberFormat="1" applyFont="1" applyFill="1">
      <alignment vertical="top"/>
    </xf>
    <xf numFmtId="14" fontId="6" fillId="11" borderId="0" xfId="0" applyNumberFormat="1" applyFont="1" applyFill="1">
      <alignment vertical="top"/>
    </xf>
    <xf numFmtId="9" fontId="18" fillId="11" borderId="0" xfId="3" quotePrefix="1" applyFont="1" applyFill="1" applyAlignment="1">
      <alignment horizontal="left" vertical="top"/>
    </xf>
    <xf numFmtId="14" fontId="6" fillId="2" borderId="0" xfId="0" applyNumberFormat="1" applyFont="1" applyFill="1" applyAlignment="1">
      <alignment horizontal="center" vertical="top"/>
    </xf>
    <xf numFmtId="14" fontId="6" fillId="11" borderId="0" xfId="0" applyNumberFormat="1" applyFont="1" applyFill="1" applyAlignment="1">
      <alignment horizontal="center" vertical="top"/>
    </xf>
    <xf numFmtId="14" fontId="4" fillId="0" borderId="0" xfId="0" applyNumberFormat="1" applyFont="1" applyAlignment="1">
      <alignment horizontal="center" vertical="top"/>
    </xf>
    <xf numFmtId="165" fontId="48" fillId="14" borderId="2" xfId="0" applyNumberFormat="1" applyFont="1" applyFill="1" applyBorder="1" applyAlignment="1">
      <alignment horizontal="center"/>
    </xf>
    <xf numFmtId="165" fontId="5" fillId="14" borderId="2" xfId="0" applyNumberFormat="1" applyFont="1" applyFill="1" applyBorder="1" applyAlignment="1">
      <alignment horizontal="center"/>
    </xf>
    <xf numFmtId="14" fontId="47" fillId="14" borderId="2" xfId="0" applyNumberFormat="1" applyFont="1" applyFill="1" applyBorder="1" applyAlignment="1">
      <alignment horizontal="center"/>
    </xf>
    <xf numFmtId="3" fontId="6" fillId="14" borderId="2" xfId="0" applyNumberFormat="1" applyFont="1" applyFill="1" applyBorder="1" applyAlignment="1">
      <alignment horizontal="center"/>
    </xf>
    <xf numFmtId="4" fontId="6" fillId="14" borderId="2" xfId="0" applyNumberFormat="1" applyFont="1" applyFill="1" applyBorder="1" applyAlignment="1">
      <alignment horizontal="center"/>
    </xf>
    <xf numFmtId="0" fontId="6" fillId="14" borderId="6" xfId="0" applyFont="1" applyFill="1" applyBorder="1" applyAlignment="1">
      <alignment horizontal="left"/>
    </xf>
    <xf numFmtId="0" fontId="9" fillId="14" borderId="2" xfId="0" applyFont="1" applyFill="1" applyBorder="1" applyAlignment="1">
      <alignment horizontal="left"/>
    </xf>
    <xf numFmtId="165" fontId="68" fillId="14" borderId="2" xfId="0" applyNumberFormat="1" applyFont="1" applyFill="1" applyBorder="1" applyAlignment="1">
      <alignment horizontal="center"/>
    </xf>
    <xf numFmtId="0" fontId="35" fillId="14" borderId="24" xfId="0" quotePrefix="1" applyFont="1" applyFill="1" applyBorder="1" applyAlignment="1">
      <alignment horizontal="center" vertical="center"/>
    </xf>
    <xf numFmtId="1" fontId="35" fillId="14" borderId="2" xfId="0" applyNumberFormat="1" applyFont="1" applyFill="1" applyBorder="1" applyAlignment="1">
      <alignment horizontal="center" vertical="center"/>
    </xf>
    <xf numFmtId="3" fontId="47" fillId="14" borderId="2" xfId="0" applyNumberFormat="1" applyFont="1" applyFill="1" applyBorder="1" applyAlignment="1">
      <alignment horizontal="center"/>
    </xf>
    <xf numFmtId="4" fontId="47" fillId="14" borderId="2" xfId="0" applyNumberFormat="1" applyFont="1" applyFill="1" applyBorder="1" applyAlignment="1">
      <alignment horizontal="center"/>
    </xf>
    <xf numFmtId="165" fontId="18" fillId="16" borderId="2" xfId="0" applyNumberFormat="1" applyFont="1" applyFill="1" applyBorder="1" applyAlignment="1">
      <alignment horizontal="center"/>
    </xf>
    <xf numFmtId="14" fontId="6" fillId="14" borderId="2" xfId="0" applyNumberFormat="1" applyFont="1" applyFill="1" applyBorder="1" applyAlignment="1">
      <alignment horizontal="center"/>
    </xf>
    <xf numFmtId="14" fontId="0" fillId="0" borderId="0" xfId="0" applyNumberFormat="1">
      <alignment vertical="top"/>
    </xf>
    <xf numFmtId="14" fontId="6" fillId="7" borderId="3" xfId="0" applyNumberFormat="1" applyFont="1" applyFill="1" applyBorder="1" applyAlignment="1">
      <alignment horizontal="center"/>
    </xf>
    <xf numFmtId="4" fontId="6" fillId="7" borderId="3" xfId="0" applyNumberFormat="1" applyFont="1" applyFill="1" applyBorder="1" applyAlignment="1">
      <alignment horizontal="center"/>
    </xf>
    <xf numFmtId="165" fontId="6" fillId="7" borderId="3" xfId="0" applyNumberFormat="1" applyFont="1" applyFill="1" applyBorder="1" applyAlignment="1">
      <alignment horizontal="center"/>
    </xf>
    <xf numFmtId="14" fontId="69" fillId="7" borderId="3" xfId="0" applyNumberFormat="1" applyFont="1" applyFill="1" applyBorder="1" applyAlignment="1">
      <alignment horizontal="center"/>
    </xf>
    <xf numFmtId="4" fontId="69" fillId="7" borderId="3" xfId="0" applyNumberFormat="1" applyFont="1" applyFill="1" applyBorder="1" applyAlignment="1">
      <alignment horizontal="center"/>
    </xf>
    <xf numFmtId="165" fontId="69" fillId="7" borderId="3" xfId="0" applyNumberFormat="1" applyFont="1" applyFill="1" applyBorder="1" applyAlignment="1">
      <alignment horizontal="center"/>
    </xf>
    <xf numFmtId="165" fontId="2" fillId="7" borderId="3" xfId="0" applyNumberFormat="1" applyFont="1" applyFill="1" applyBorder="1" applyAlignment="1">
      <alignment horizontal="center"/>
    </xf>
    <xf numFmtId="165" fontId="3" fillId="7" borderId="3" xfId="0" applyNumberFormat="1" applyFont="1" applyFill="1" applyBorder="1" applyAlignment="1">
      <alignment horizontal="center"/>
    </xf>
    <xf numFmtId="165" fontId="70" fillId="7" borderId="3" xfId="0" applyNumberFormat="1" applyFont="1" applyFill="1" applyBorder="1" applyAlignment="1">
      <alignment horizontal="center"/>
    </xf>
    <xf numFmtId="165" fontId="71" fillId="7" borderId="3" xfId="0" applyNumberFormat="1" applyFont="1" applyFill="1" applyBorder="1" applyAlignment="1">
      <alignment horizontal="center"/>
    </xf>
    <xf numFmtId="165" fontId="71" fillId="20" borderId="3" xfId="0" applyNumberFormat="1" applyFont="1" applyFill="1" applyBorder="1" applyAlignment="1">
      <alignment horizontal="center"/>
    </xf>
    <xf numFmtId="1" fontId="5" fillId="0" borderId="3" xfId="0" applyNumberFormat="1" applyFont="1" applyBorder="1" applyAlignment="1">
      <alignment horizontal="center"/>
    </xf>
    <xf numFmtId="165" fontId="5" fillId="7" borderId="3" xfId="0" applyNumberFormat="1" applyFont="1" applyFill="1" applyBorder="1" applyAlignment="1">
      <alignment horizontal="center"/>
    </xf>
    <xf numFmtId="1" fontId="65" fillId="7" borderId="3" xfId="0" applyNumberFormat="1" applyFont="1" applyFill="1" applyBorder="1" applyAlignment="1">
      <alignment horizontal="center"/>
    </xf>
    <xf numFmtId="169" fontId="6" fillId="7" borderId="3" xfId="0" applyNumberFormat="1" applyFont="1" applyFill="1" applyBorder="1" applyAlignment="1">
      <alignment horizontal="center"/>
    </xf>
    <xf numFmtId="165" fontId="72" fillId="7" borderId="3" xfId="0" applyNumberFormat="1" applyFont="1" applyFill="1" applyBorder="1" applyAlignment="1">
      <alignment horizontal="center"/>
    </xf>
    <xf numFmtId="1" fontId="73" fillId="7" borderId="3" xfId="0" applyNumberFormat="1" applyFont="1" applyFill="1" applyBorder="1" applyAlignment="1">
      <alignment horizontal="center"/>
    </xf>
    <xf numFmtId="169" fontId="69" fillId="7" borderId="3" xfId="0" applyNumberFormat="1" applyFont="1" applyFill="1" applyBorder="1" applyAlignment="1">
      <alignment horizontal="center"/>
    </xf>
    <xf numFmtId="3" fontId="6" fillId="0" borderId="3" xfId="0" applyNumberFormat="1" applyFont="1" applyBorder="1" applyAlignment="1">
      <alignment horizontal="center"/>
    </xf>
    <xf numFmtId="14" fontId="18" fillId="37" borderId="3" xfId="0" applyNumberFormat="1" applyFont="1" applyFill="1" applyBorder="1" applyAlignment="1">
      <alignment horizontal="center"/>
    </xf>
    <xf numFmtId="3" fontId="18" fillId="37" borderId="3" xfId="0" applyNumberFormat="1" applyFont="1" applyFill="1" applyBorder="1" applyAlignment="1">
      <alignment horizontal="center"/>
    </xf>
    <xf numFmtId="165" fontId="18" fillId="37" borderId="3" xfId="0" applyNumberFormat="1" applyFont="1" applyFill="1" applyBorder="1" applyAlignment="1">
      <alignment horizontal="center"/>
    </xf>
    <xf numFmtId="165" fontId="17" fillId="37" borderId="3" xfId="0" applyNumberFormat="1" applyFont="1" applyFill="1" applyBorder="1" applyAlignment="1">
      <alignment horizontal="center"/>
    </xf>
    <xf numFmtId="165" fontId="23" fillId="37" borderId="3" xfId="0" applyNumberFormat="1" applyFont="1" applyFill="1" applyBorder="1" applyAlignment="1">
      <alignment horizontal="center"/>
    </xf>
    <xf numFmtId="14" fontId="74" fillId="6" borderId="3" xfId="0" applyNumberFormat="1" applyFont="1" applyFill="1" applyBorder="1" applyAlignment="1">
      <alignment horizontal="center"/>
    </xf>
    <xf numFmtId="3" fontId="74" fillId="6" borderId="3" xfId="0" applyNumberFormat="1" applyFont="1" applyFill="1" applyBorder="1" applyAlignment="1">
      <alignment horizontal="center" vertical="center"/>
    </xf>
    <xf numFmtId="165" fontId="74" fillId="6" borderId="3" xfId="0" applyNumberFormat="1" applyFont="1" applyFill="1" applyBorder="1" applyAlignment="1">
      <alignment horizontal="center"/>
    </xf>
    <xf numFmtId="165" fontId="75" fillId="6" borderId="3" xfId="0" applyNumberFormat="1" applyFont="1" applyFill="1" applyBorder="1" applyAlignment="1">
      <alignment horizontal="center"/>
    </xf>
    <xf numFmtId="165" fontId="76" fillId="6" borderId="3" xfId="0" applyNumberFormat="1" applyFont="1" applyFill="1" applyBorder="1" applyAlignment="1">
      <alignment horizontal="center"/>
    </xf>
    <xf numFmtId="3" fontId="74" fillId="6" borderId="3" xfId="0" applyNumberFormat="1" applyFont="1" applyFill="1" applyBorder="1" applyAlignment="1">
      <alignment horizontal="center"/>
    </xf>
    <xf numFmtId="14" fontId="69" fillId="6" borderId="3" xfId="0" applyNumberFormat="1" applyFont="1" applyFill="1" applyBorder="1" applyAlignment="1">
      <alignment horizontal="center"/>
    </xf>
    <xf numFmtId="3" fontId="69" fillId="6" borderId="3" xfId="0" applyNumberFormat="1" applyFont="1" applyFill="1" applyBorder="1" applyAlignment="1">
      <alignment horizontal="center"/>
    </xf>
    <xf numFmtId="165" fontId="69" fillId="6" borderId="3" xfId="0" applyNumberFormat="1" applyFont="1" applyFill="1" applyBorder="1" applyAlignment="1">
      <alignment horizontal="center"/>
    </xf>
    <xf numFmtId="165" fontId="70" fillId="6" borderId="3" xfId="0" applyNumberFormat="1" applyFont="1" applyFill="1" applyBorder="1" applyAlignment="1">
      <alignment horizontal="center"/>
    </xf>
    <xf numFmtId="165" fontId="71" fillId="6" borderId="3" xfId="0" applyNumberFormat="1" applyFont="1" applyFill="1" applyBorder="1" applyAlignment="1">
      <alignment horizontal="center"/>
    </xf>
    <xf numFmtId="165" fontId="68" fillId="0" borderId="3" xfId="0" applyNumberFormat="1" applyFont="1" applyBorder="1" applyAlignment="1">
      <alignment horizontal="center"/>
    </xf>
    <xf numFmtId="165" fontId="51" fillId="37" borderId="3" xfId="0" applyNumberFormat="1" applyFont="1" applyFill="1" applyBorder="1" applyAlignment="1">
      <alignment horizontal="center"/>
    </xf>
    <xf numFmtId="1" fontId="77" fillId="37" borderId="3" xfId="0" applyNumberFormat="1" applyFont="1" applyFill="1" applyBorder="1" applyAlignment="1">
      <alignment horizontal="center"/>
    </xf>
    <xf numFmtId="169" fontId="18" fillId="37" borderId="3" xfId="0" applyNumberFormat="1" applyFont="1" applyFill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165" fontId="78" fillId="6" borderId="3" xfId="0" applyNumberFormat="1" applyFont="1" applyFill="1" applyBorder="1" applyAlignment="1">
      <alignment horizontal="center"/>
    </xf>
    <xf numFmtId="1" fontId="74" fillId="6" borderId="0" xfId="0" applyNumberFormat="1" applyFont="1" applyFill="1" applyAlignment="1">
      <alignment horizontal="center"/>
    </xf>
    <xf numFmtId="169" fontId="74" fillId="6" borderId="3" xfId="0" applyNumberFormat="1" applyFont="1" applyFill="1" applyBorder="1" applyAlignment="1">
      <alignment horizontal="center"/>
    </xf>
    <xf numFmtId="1" fontId="79" fillId="6" borderId="3" xfId="0" applyNumberFormat="1" applyFont="1" applyFill="1" applyBorder="1" applyAlignment="1">
      <alignment horizontal="center"/>
    </xf>
    <xf numFmtId="165" fontId="72" fillId="6" borderId="3" xfId="0" applyNumberFormat="1" applyFont="1" applyFill="1" applyBorder="1" applyAlignment="1">
      <alignment horizontal="center"/>
    </xf>
    <xf numFmtId="1" fontId="73" fillId="6" borderId="3" xfId="0" applyNumberFormat="1" applyFont="1" applyFill="1" applyBorder="1" applyAlignment="1">
      <alignment horizontal="center"/>
    </xf>
    <xf numFmtId="169" fontId="69" fillId="6" borderId="3" xfId="0" applyNumberFormat="1" applyFont="1" applyFill="1" applyBorder="1" applyAlignment="1">
      <alignment horizontal="center"/>
    </xf>
    <xf numFmtId="169" fontId="69" fillId="20" borderId="3" xfId="0" applyNumberFormat="1" applyFont="1" applyFill="1" applyBorder="1" applyAlignment="1">
      <alignment horizontal="center"/>
    </xf>
    <xf numFmtId="14" fontId="72" fillId="0" borderId="3" xfId="0" applyNumberFormat="1" applyFont="1" applyBorder="1" applyAlignment="1">
      <alignment horizontal="center"/>
    </xf>
    <xf numFmtId="3" fontId="72" fillId="0" borderId="3" xfId="0" applyNumberFormat="1" applyFont="1" applyBorder="1" applyAlignment="1">
      <alignment horizontal="center"/>
    </xf>
    <xf numFmtId="165" fontId="72" fillId="0" borderId="3" xfId="0" applyNumberFormat="1" applyFont="1" applyBorder="1" applyAlignment="1">
      <alignment horizontal="center"/>
    </xf>
    <xf numFmtId="165" fontId="71" fillId="0" borderId="3" xfId="0" applyNumberFormat="1" applyFont="1" applyBorder="1" applyAlignment="1">
      <alignment horizontal="center"/>
    </xf>
    <xf numFmtId="1" fontId="80" fillId="0" borderId="3" xfId="0" applyNumberFormat="1" applyFont="1" applyBorder="1" applyAlignment="1">
      <alignment horizontal="center"/>
    </xf>
    <xf numFmtId="169" fontId="72" fillId="0" borderId="3" xfId="0" applyNumberFormat="1" applyFont="1" applyBorder="1" applyAlignment="1">
      <alignment horizontal="center"/>
    </xf>
    <xf numFmtId="14" fontId="51" fillId="20" borderId="3" xfId="0" applyNumberFormat="1" applyFont="1" applyFill="1" applyBorder="1" applyAlignment="1">
      <alignment horizontal="center"/>
    </xf>
    <xf numFmtId="3" fontId="51" fillId="20" borderId="3" xfId="0" applyNumberFormat="1" applyFont="1" applyFill="1" applyBorder="1" applyAlignment="1">
      <alignment horizontal="center"/>
    </xf>
    <xf numFmtId="165" fontId="51" fillId="20" borderId="3" xfId="0" applyNumberFormat="1" applyFont="1" applyFill="1" applyBorder="1" applyAlignment="1">
      <alignment horizontal="center"/>
    </xf>
    <xf numFmtId="1" fontId="67" fillId="20" borderId="3" xfId="0" applyNumberFormat="1" applyFont="1" applyFill="1" applyBorder="1" applyAlignment="1">
      <alignment horizontal="center"/>
    </xf>
    <xf numFmtId="169" fontId="51" fillId="20" borderId="3" xfId="0" applyNumberFormat="1" applyFont="1" applyFill="1" applyBorder="1" applyAlignment="1">
      <alignment horizontal="center"/>
    </xf>
    <xf numFmtId="14" fontId="2" fillId="38" borderId="0" xfId="0" applyNumberFormat="1" applyFont="1" applyFill="1" applyAlignment="1">
      <alignment horizontal="right" vertical="top"/>
    </xf>
    <xf numFmtId="3" fontId="18" fillId="16" borderId="2" xfId="0" applyNumberFormat="1" applyFont="1" applyFill="1" applyBorder="1" applyAlignment="1">
      <alignment horizontal="center"/>
    </xf>
    <xf numFmtId="165" fontId="3" fillId="3" borderId="10" xfId="0" applyNumberFormat="1" applyFont="1" applyFill="1" applyBorder="1" applyAlignment="1">
      <alignment horizontal="center" vertical="top"/>
    </xf>
    <xf numFmtId="165" fontId="3" fillId="3" borderId="4" xfId="0" applyNumberFormat="1" applyFont="1" applyFill="1" applyBorder="1" applyAlignment="1">
      <alignment horizontal="center" vertical="top"/>
    </xf>
    <xf numFmtId="165" fontId="3" fillId="17" borderId="10" xfId="0" applyNumberFormat="1" applyFont="1" applyFill="1" applyBorder="1" applyAlignment="1">
      <alignment horizontal="center" vertical="top"/>
    </xf>
    <xf numFmtId="165" fontId="3" fillId="17" borderId="9" xfId="0" applyNumberFormat="1" applyFont="1" applyFill="1" applyBorder="1" applyAlignment="1">
      <alignment horizontal="center" vertical="top"/>
    </xf>
    <xf numFmtId="165" fontId="3" fillId="17" borderId="4" xfId="0" applyNumberFormat="1" applyFont="1" applyFill="1" applyBorder="1" applyAlignment="1">
      <alignment horizontal="center" vertical="top"/>
    </xf>
    <xf numFmtId="0" fontId="8" fillId="6" borderId="10" xfId="0" applyFont="1" applyFill="1" applyBorder="1" applyAlignment="1">
      <alignment horizontal="center" vertical="top"/>
    </xf>
    <xf numFmtId="0" fontId="8" fillId="6" borderId="9" xfId="0" applyFont="1" applyFill="1" applyBorder="1" applyAlignment="1">
      <alignment horizontal="center" vertical="top"/>
    </xf>
    <xf numFmtId="0" fontId="8" fillId="6" borderId="4" xfId="0" applyFont="1" applyFill="1" applyBorder="1" applyAlignment="1">
      <alignment horizontal="center" vertical="top"/>
    </xf>
    <xf numFmtId="165" fontId="3" fillId="8" borderId="10" xfId="0" applyNumberFormat="1" applyFont="1" applyFill="1" applyBorder="1" applyAlignment="1">
      <alignment horizontal="center" vertical="top"/>
    </xf>
    <xf numFmtId="165" fontId="3" fillId="8" borderId="9" xfId="0" applyNumberFormat="1" applyFont="1" applyFill="1" applyBorder="1" applyAlignment="1">
      <alignment horizontal="center" vertical="top"/>
    </xf>
    <xf numFmtId="165" fontId="3" fillId="8" borderId="4" xfId="0" applyNumberFormat="1" applyFont="1" applyFill="1" applyBorder="1" applyAlignment="1">
      <alignment horizontal="center" vertical="top"/>
    </xf>
    <xf numFmtId="165" fontId="3" fillId="5" borderId="10" xfId="0" applyNumberFormat="1" applyFont="1" applyFill="1" applyBorder="1" applyAlignment="1">
      <alignment horizontal="center" vertical="top"/>
    </xf>
    <xf numFmtId="165" fontId="3" fillId="5" borderId="9" xfId="0" applyNumberFormat="1" applyFont="1" applyFill="1" applyBorder="1" applyAlignment="1">
      <alignment horizontal="center" vertical="top"/>
    </xf>
    <xf numFmtId="165" fontId="3" fillId="5" borderId="4" xfId="0" applyNumberFormat="1" applyFont="1" applyFill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11" borderId="9" xfId="0" applyFont="1" applyFill="1" applyBorder="1" applyAlignment="1">
      <alignment horizontal="center" vertical="top"/>
    </xf>
  </cellXfs>
  <cellStyles count="6">
    <cellStyle name="ColLevel_1" xfId="1" xr:uid="{00000000-0005-0000-0000-000000000000}"/>
    <cellStyle name="Milliers" xfId="2" builtinId="3"/>
    <cellStyle name="Normal" xfId="0" builtinId="0"/>
    <cellStyle name="Normal 2" xfId="5" xr:uid="{92BA63B5-849B-4A2C-9510-D7D63F83C0E0}"/>
    <cellStyle name="Pourcentage" xfId="3" builtinId="5"/>
    <cellStyle name="RowLevel_1" xfId="4" xr:uid="{00000000-0005-0000-0000-000004000000}"/>
  </cellStyles>
  <dxfs count="91"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3" formatCode="0%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3" formatCode="0%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3" formatCode="0%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3" formatCode="0%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7030A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7030A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7030A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7030A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numFmt numFmtId="4" formatCode="#,##0.00"/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5" formatCode="#,##0.00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CCFF3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9" formatCode="dd/mm/yyyy"/>
      <fill>
        <patternFill patternType="solid">
          <fgColor indexed="64"/>
          <bgColor rgb="FFCCFF33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theme="9" tint="0.59999389629810485"/>
        </patternFill>
      </fill>
      <alignment horizontal="righ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3" formatCode="0%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0006"/>
        <family val="2"/>
      </font>
      <fill>
        <patternFill patternType="solid">
          <fgColor indexed="64"/>
          <bgColor rgb="FFFFC7CE"/>
        </patternFill>
      </fill>
    </dxf>
    <dxf>
      <alignment horizontal="left" vertical="top" textRotation="0" wrapText="0" indent="0" justifyLastLine="0" shrinkToFit="0" readingOrder="0"/>
    </dxf>
    <dxf>
      <fill>
        <patternFill patternType="solid">
          <fgColor indexed="64"/>
          <bgColor rgb="FFFF0000"/>
        </patternFill>
      </fill>
    </dxf>
    <dxf>
      <fill>
        <patternFill patternType="solid">
          <fgColor indexed="64"/>
          <bgColor rgb="FFFF0000"/>
        </patternFill>
      </fill>
    </dxf>
    <dxf>
      <numFmt numFmtId="172" formatCode="_-* #,##0.000\ _€_-;\-* #,##0.000\ _€_-;_-* &quot;-&quot;??\ _€_-;_-@_-"/>
    </dxf>
    <dxf>
      <numFmt numFmtId="172" formatCode="_-* #,##0.000\ _€_-;\-* #,##0.000\ _€_-;_-* &quot;-&quot;??\ _€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color theme="0"/>
      </font>
      <fill>
        <patternFill patternType="solid">
          <fgColor theme="4"/>
          <bgColor theme="4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4"/>
          <bgColor theme="4" tint="-0.499984740745262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4" tint="0.79998168889431442"/>
          <bgColor theme="4" tint="0.79998168889431442"/>
        </patternFill>
      </fill>
      <border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Actifs" pivot="0" count="4" xr9:uid="{00000000-0011-0000-FFFF-FFFF00000000}">
      <tableStyleElement type="wholeTable" dxfId="90"/>
      <tableStyleElement type="headerRow" dxfId="89"/>
      <tableStyleElement type="totalRow" dxfId="88"/>
      <tableStyleElement type="firstRowStripe" dxfId="87"/>
    </tableStyle>
    <tableStyle name="Invisible" pivot="0" table="0" count="0" xr9:uid="{00000000-0011-0000-FFFF-FFFF01000000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D0FF00"/>
      <color rgb="FFB7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xlFile://Root/Users/mohamed.rjiba/AppData/Local/Microsoft/Windows/INetCache/Content.Outlook/86PYSDYR/export%202021%20(6)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Rjiba" refreshedDate="44159.616888773147" createdVersion="1" refreshedVersion="4" recordCount="523" xr:uid="{00000000-000A-0000-FFFF-FFFF00000000}">
  <cacheSource type="worksheet">
    <worksheetSource ref="A1:F524" sheet="JOURNAL FACTURES" r:id="rId2"/>
  </cacheSource>
  <cacheFields count="8">
    <cacheField name="Num Piéce" numFmtId="0">
      <sharedItems containsNonDate="0"/>
    </cacheField>
    <cacheField name="Date Facture" numFmtId="0">
      <sharedItems containsSemiMixedTypes="0" containsNonDate="0" containsDate="1" containsString="0" minDate="2019-01-02T00:00:00" maxDate="2020-11-01T00:00:00"/>
    </cacheField>
    <cacheField name="mois" numFmtId="0">
      <sharedItems containsSemiMixedTypes="0" containsString="0" containsNumber="1" containsInteger="1" minValue="1" maxValue="12" count="12">
        <n v="1"/>
        <n v="2"/>
        <n v="3"/>
        <n v="8"/>
        <n v="5"/>
        <n v="4"/>
        <n v="6"/>
        <n v="12"/>
        <n v="7"/>
        <n v="9"/>
        <n v="10"/>
        <n v="11"/>
      </sharedItems>
    </cacheField>
    <cacheField name="annee" numFmtId="0">
      <sharedItems containsSemiMixedTypes="0" containsString="0" containsNumber="1" containsInteger="1" minValue="2019" maxValue="2020" count="2">
        <n v="2019"/>
        <n v="2020"/>
      </sharedItems>
    </cacheField>
    <cacheField name="Code" numFmtId="0">
      <sharedItems containsNonDate="0"/>
    </cacheField>
    <cacheField name="Désignation Client" numFmtId="0">
      <sharedItems containsNonDate="0"/>
    </cacheField>
    <cacheField name="Timbre" numFmtId="0">
      <sharedItems containsSemiMixedTypes="0" containsNonDate="0" containsString="0" containsNumber="1" containsInteger="1" minValue="0" maxValue="0"/>
    </cacheField>
    <cacheField name="T.T.C" numFmtId="0">
      <sharedItems containsSemiMixedTypes="0" containsNonDate="0" containsString="0" containsNumber="1" minValue="1584" maxValue="1677784.767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hab Khouaja" refreshedDate="45877.620721874999" createdVersion="7" refreshedVersion="7" minRefreshableVersion="3" recordCount="2119" xr:uid="{493BCC90-A0DB-4DBF-AC1F-FA0A6111DC35}">
  <cacheSource type="worksheet">
    <worksheetSource ref="A6:J2125" sheet="TRANSPORT"/>
  </cacheSource>
  <cacheFields count="10">
    <cacheField name="Date de livraison" numFmtId="0">
      <sharedItems containsDate="1" containsBlank="1" containsMixedTypes="1" minDate="2018-05-13T00:00:00" maxDate="2025-08-01T00:00:00"/>
    </cacheField>
    <cacheField name="Quantité (kg)" numFmtId="0">
      <sharedItems containsString="0" containsBlank="1" containsNumber="1" minValue="480" maxValue="1000800"/>
    </cacheField>
    <cacheField name="Valeur (DT)" numFmtId="0">
      <sharedItems containsString="0" containsBlank="1" containsNumber="1" minValue="1226.7080000000001" maxValue="1734259.851"/>
    </cacheField>
    <cacheField name="Coût Transport" numFmtId="0">
      <sharedItems containsString="0" containsBlank="1" containsNumber="1" minValue="0" maxValue="189325.75200000001"/>
    </cacheField>
    <cacheField name="Valeur EXW" numFmtId="0">
      <sharedItems containsString="0" containsBlank="1" containsNumber="1" minValue="1226.7080000000001" maxValue="1594894.811"/>
    </cacheField>
    <cacheField name="Prix Net (DT)" numFmtId="0">
      <sharedItems containsString="0" containsBlank="1" containsNumber="1" minValue="0.21538696325258694" maxValue="6.9"/>
    </cacheField>
    <cacheField name="Client" numFmtId="0">
      <sharedItems containsBlank="1"/>
    </cacheField>
    <cacheField name="N° Facture" numFmtId="0">
      <sharedItems containsBlank="1" containsMixedTypes="1" containsNumber="1" containsInteger="1" minValue="2500076" maxValue="2500214" count="2202">
        <s v="FAE-19-00001"/>
        <s v="FAE-18-00250"/>
        <s v="FAE-19-00006"/>
        <s v="FAE-19-00002"/>
        <s v="FAE-19-00003"/>
        <s v="FAE-19-00005"/>
        <s v="FAE-19-00007"/>
        <s v="FAE-19-00008"/>
        <s v="FAE-19-00013"/>
        <s v="FAE-19-00012"/>
        <s v="FAE-19-00015"/>
        <s v="FAE-19-00016"/>
        <s v="FAE-19-00017"/>
        <s v="FAE-19-00014"/>
        <s v="FAE-19-00019"/>
        <s v="FAE-19-00023"/>
        <s v="FAE-19-00009"/>
        <s v="FAE-19-00010"/>
        <s v="FAE-19-00011"/>
        <s v="FAE-19-00026"/>
        <s v="FAE-19-00027"/>
        <s v="FAE-19-00025"/>
        <s v="FAE-19-00020"/>
        <s v="FAE-19-00021"/>
        <s v="FAE-19-00018"/>
        <s v="FAE-19-00035"/>
        <s v="FAE-19-00022"/>
        <s v="FAE-19-00029"/>
        <s v="FAE-19-00037"/>
        <s v="FAE-19-00040"/>
        <s v="FAE-19-00030"/>
        <s v="FAE-19-00034"/>
        <s v="FAE-19-00028"/>
        <s v="FAE-19-00031"/>
        <s v="FAE-19-00041"/>
        <s v="FAE-19-00032"/>
        <s v="FAE-19-00042"/>
        <s v="FAE-19-00038"/>
        <s v="FAE-19-00004"/>
        <s v="FAE-19-00044"/>
        <s v="FAE-19-00043"/>
        <s v="FAE-19-00033"/>
        <s v="FAE-19-00049"/>
        <s v="FAE-19-00045"/>
        <s v="FAE-19-00052"/>
        <s v="FAE-19-00046"/>
        <s v="FAE-19-00050"/>
        <s v="FAE-19-00047"/>
        <s v="FAE-19-00048"/>
        <s v="FAE-19-00055"/>
        <s v="FAE-19-00051"/>
        <s v="FAE-19-00058"/>
        <s v="FAE-19-00061"/>
        <s v="FAE-19-00060"/>
        <s v="FAE-19-00054"/>
        <s v="FAE-19-00057"/>
        <s v="FAE-19-00056"/>
        <s v="FAE-19-00039"/>
        <s v="FAE-19-00053"/>
        <s v="FAE-19-00059"/>
        <s v="FAE-19-00036"/>
        <s v="FAE-19-00066"/>
        <s v="FAE-19-00062"/>
        <s v="FAE-19-00063"/>
        <s v="FAE-19-00065"/>
        <s v="FAE-19-00069"/>
        <s v="FAE-19-00070"/>
        <s v="FAE-19-00067"/>
        <s v="FAE-19-00072"/>
        <s v="FAE-19-00071"/>
        <s v="FAE-19-00076"/>
        <s v="FAE-19-00073"/>
        <s v="FAE-19-00074"/>
        <s v="FAE-19-00078"/>
        <s v="FAE-19-00079"/>
        <s v="FAE-19-00064"/>
        <s v="FAE-19-00075"/>
        <s v="FAE-19-00087"/>
        <s v="FAE-19-00086"/>
        <s v="FAE-19-00084"/>
        <s v="FAE-19-00089"/>
        <s v="FAE-19-00068"/>
        <s v="FAE-19-00080"/>
        <s v="FAE-19-00088"/>
        <s v="FAE-19-00081"/>
        <s v="FAE-19-00090"/>
        <s v="FAE-19-00091"/>
        <s v="FAE-19-00077"/>
        <s v="FAE-19-00092"/>
        <s v="FAE-19-00094"/>
        <s v="FAE-19-00083"/>
        <s v="FAE-19-00098"/>
        <s v="FAE-19-00085"/>
        <s v="FAE-19-00099"/>
        <s v="FAE-19-00097"/>
        <s v="FAE-19-00093"/>
        <s v="FAE-19-00096"/>
        <s v="FAE-19-00103"/>
        <s v="FAE-19-00082"/>
        <s v="FAE-19-00102"/>
        <s v="FAE-19-00109"/>
        <s v="FAE-19-00105"/>
        <s v="FAE-19-00095"/>
        <s v="FAE-19-00111"/>
        <s v="FAE-19-00107"/>
        <s v="FAE-19-00104"/>
        <s v="FAE-19-00110"/>
        <s v="FAE-19-00108"/>
        <s v="FAE-19-00112"/>
        <s v="FAE-19-00114"/>
        <s v="FAE-1900120"/>
        <s v="FAE-19-00101"/>
        <s v="FAE-19-00115"/>
        <s v="FAE-19-00116"/>
        <s v="FAE-19-00113"/>
        <s v="FAE-19-00121"/>
        <s v="FAE-19-00118"/>
        <s v="FAE-19-00106"/>
        <s v="FAE-19-00122"/>
        <s v="FAE-19-00125"/>
        <s v="FAE-19-00126"/>
        <s v="FAE-19-00123"/>
        <s v="FAE-19-00117"/>
        <s v="FAE-19-00129"/>
        <s v="FAE-19-00128"/>
        <s v="FAE-19-00131"/>
        <s v="FAE-19-00132"/>
        <s v="FAE-19-00124"/>
        <s v="FAE-19-00133"/>
        <s v="FAE-19-00100"/>
        <s v="FAE-19-00130"/>
        <s v="FAE-19-00134"/>
        <s v="FAE-19-00127"/>
        <s v="FAE-19-00139"/>
        <s v="FAE-19-00137"/>
        <s v="FAE-19-00145"/>
        <s v="FAE-19-00146"/>
        <s v="FAE-19-00140"/>
        <s v="FAE-19-00144"/>
        <s v="FAE-19-00147"/>
        <s v="FAE-19-00141"/>
        <s v="FAE-19-00142"/>
        <s v="FAE-19-00143"/>
        <s v="FAE-19-00119"/>
        <s v="FAE-19-00153"/>
        <s v="FAE-19-00151"/>
        <s v="FAE-19-00148"/>
        <s v="FAE-19-00152"/>
        <s v="FAE-19-00149"/>
        <s v="FAE-19-00155"/>
        <s v="FAE-19-00156"/>
        <s v="FAE-19-00150"/>
        <s v="FAE-19-00135"/>
        <s v="FAE-19-00161"/>
        <s v="FAE-19-00160"/>
        <s v="FAE-19-00158"/>
        <s v="FAE-19-00162"/>
        <s v="FAE-19-00136"/>
        <s v="FAE-19-00163"/>
        <s v="FAE-19-00164"/>
        <s v="FAE-19-00154"/>
        <s v="FAE-19-00168"/>
        <s v="FAE-19-00138"/>
        <s v="FAE-19-00169"/>
        <s v="FAE-19-00170"/>
        <s v="FAE-19-00173"/>
        <s v="FAE-19-00172"/>
        <s v="FAE-19-00166"/>
        <s v="FAE-19-00159"/>
        <s v="FAE-19-00167"/>
        <s v="FAE-19-00179"/>
        <s v="FAE-19-00178"/>
        <s v="FAE-19-00174"/>
        <s v="FAE-19-00171"/>
        <s v="FAE-19-00175"/>
        <s v="FAE-19-00165"/>
        <s v="FAE-19-00176"/>
        <s v="FAE-19-00182"/>
        <s v="FAE-19-00183"/>
        <s v="FAE-19-00180"/>
        <s v="FAE-19-00184"/>
        <s v="FAE-19-00188"/>
        <s v="FAE-19-00181"/>
        <s v="FAE-19-00177"/>
        <s v="FAE-19-00187"/>
        <s v="FAE-19-00190"/>
        <s v="FAE-19-00195"/>
        <s v="FAE-19-00185"/>
        <s v="FAE-19-00194"/>
        <s v="FAE-19-00192"/>
        <s v="FAE-19-00191"/>
        <s v="FAE-19-00198"/>
        <s v="FAE-19-00196"/>
        <s v="FAE-19-00186"/>
        <s v="FAE-19-00199"/>
        <s v="FAE-19-00189"/>
        <s v="FAE-19-00201"/>
        <s v="FAE-19-00205"/>
        <s v="FAE-19-00207"/>
        <s v="FAE-19-00208"/>
        <s v="FAE-19-00200"/>
        <s v="FAE-19-00204"/>
        <s v="FAE-19-00193"/>
        <s v="FAE-19-00209"/>
        <s v="FAE-19-00206"/>
        <s v="FAE-19-00197"/>
        <s v="FAE-19-00210"/>
        <s v="FAE-19-00202"/>
        <s v="FAE-19-00211"/>
        <s v="FAE-19-00217"/>
        <s v="FAE-19-00216"/>
        <s v="FAE-19-00213"/>
        <s v="FAE-19-00203"/>
        <s v="FAE-19-00214"/>
        <s v="FAE-19-00221"/>
        <s v="FAE-19-00218"/>
        <s v="FAE-19-00219"/>
        <s v="FAE-19-00220"/>
        <s v="FAE-19-00215"/>
        <s v="FAE-19-00223"/>
        <s v="FAE-19-00230"/>
        <s v="FAE-19-00234"/>
        <s v="FAE-19-00222"/>
        <s v="FAE-19-00227"/>
        <s v="FAE-19-00225"/>
        <s v="FAE-19-00224"/>
        <s v="FAE-19-00232"/>
        <s v="FAE-19-00212"/>
        <s v="FAE-19-00235"/>
        <s v="FAE-19-00226"/>
        <s v="FAE-19-00231"/>
        <s v="FAE-19-00233"/>
        <s v="FAE-19-00236"/>
        <s v="FAE-19-00228"/>
        <s v="FAE-19-00229"/>
        <s v="FAE-19-00237"/>
        <s v="FAE-19-00241"/>
        <s v="FAE-19-00240"/>
        <s v="FAE-19-00238"/>
        <s v="FAE-19-00239"/>
        <s v="FAE-19-00242"/>
        <s v="FAE-19-00244"/>
        <s v="FAE-19-00246"/>
        <s v="FAE-19-00247"/>
        <s v="FAE-19-00245"/>
        <s v="FAE-19-00243"/>
        <s v="FAE-19-00250"/>
        <s v="FAE-19-00248"/>
        <s v="FAE-19-00253"/>
        <s v="FAE-19-00255"/>
        <s v="FAE-19-00256"/>
        <s v="FAE-19-00257"/>
        <s v="FAE-19-00252"/>
        <s v="FAE-19-00251"/>
        <s v="FAE-19-00258"/>
        <s v="FAE-19-00259"/>
        <s v="FAE-19-00262"/>
        <s v="FAE-19-00263"/>
        <s v="FAE-19-00264"/>
        <s v="FAE-19-00249"/>
        <s v="FAE-19-00267"/>
        <s v="FAE-19-00266"/>
        <s v="FAE-19-00268"/>
        <s v="FAE-19-00261"/>
        <s v="FAE-19-00254"/>
        <s v="FAE-19-00269"/>
        <s v="FAE-19-00260"/>
        <s v="FAE-19-00265"/>
        <s v="FAE-20-00005"/>
        <s v="FAE-20-00008"/>
        <s v="FAE-20-00009"/>
        <s v="FAE-20-00001"/>
        <s v="FAE-20-00002"/>
        <s v="FAE-20-00003"/>
        <s v="FAE-20-00011"/>
        <s v="FAE-20-00004"/>
        <s v="FAE-20-00013"/>
        <s v="FAE-20-00012"/>
        <s v="FAE-20-00006"/>
        <s v="FAE-20-00015"/>
        <s v="FAE-20-00010"/>
        <s v="FAE-20-00018"/>
        <s v="FAE-20-00014"/>
        <s v="FAE-20-00020"/>
        <s v="FAE-20-00016"/>
        <s v="FAE-20-00007"/>
        <s v="FAE-20-00021"/>
        <s v="FAE-20-00022"/>
        <s v="FAE-20-00038"/>
        <s v="FAE-20-00030"/>
        <s v="FAE-20-00017"/>
        <s v="FAE-20-00034"/>
        <s v="FAE-20-00035"/>
        <s v="FAE-20-00032"/>
        <s v="FAE-20-00033"/>
        <s v="FAE-20-00039"/>
        <s v="FAE-20-00036"/>
        <s v="FAE-20-00024"/>
        <s v="FAE-20-00026"/>
        <s v="FAE-20-00037"/>
        <s v="FAE-20-00025"/>
        <s v="FAE-20-00027"/>
        <s v="FAE-20-00031"/>
        <s v="FAE-20-00028"/>
        <s v="FAE-20-00029"/>
        <s v="FAE-20-00048"/>
        <s v="FAE-20-00041"/>
        <s v="FAE-20-00040"/>
        <s v="FAE-20-00047"/>
        <s v="FAE-20-00046"/>
        <s v="FAE-20-00053"/>
        <s v="FAE-20-00043"/>
        <s v="FAE-20-00052"/>
        <s v="FAE-20-00042"/>
        <s v="FAE-20-00050"/>
        <s v="FAE-20-00057"/>
        <s v="FAE-20-00051"/>
        <s v="FAE-20-00044"/>
        <s v="FAE-20-00023"/>
        <s v="FAE-20-00054"/>
        <s v="FAE-20-00056"/>
        <s v="FAE-20-00045"/>
        <s v="FAE-20-00061"/>
        <s v="FAE-20-00019"/>
        <s v="FAE-20-00059"/>
        <s v="FAE-20-00068"/>
        <s v="FAE-20-00062"/>
        <s v="FAE-20-00064"/>
        <s v="FAE-20-00065"/>
        <s v="FAE-20-00055"/>
        <s v="FAE-20-00066"/>
        <s v="FAE-20-00058"/>
        <s v="FAE-20-00069"/>
        <s v="FAE-20-00060"/>
        <s v="FAE-20-00070"/>
        <s v="FAE-20-00080"/>
        <s v="FAE-20-00086"/>
        <s v="FAE-20-00077"/>
        <s v="FAE-20-00083"/>
        <s v="FAE-20-00087"/>
        <s v="FAE-20-00089"/>
        <s v="FAE-20-00063"/>
        <s v="FAE-20-00090"/>
        <s v="FAE-20-00067"/>
        <s v="FAE-20-00049"/>
        <s v="FAE-20-00092"/>
        <s v="FAE-20-00091"/>
        <s v="FAE-20-00078"/>
        <s v="FAE-20-00093"/>
        <s v="FAE-20-00094"/>
        <s v="FAE-20-00095"/>
        <s v="FAE-20-00097"/>
        <s v="FAE-20-00102"/>
        <s v="FAE-20-00098"/>
        <s v="FAE-20-00107"/>
        <s v="FAE-20-00073"/>
        <s v="FAE-20-00108"/>
        <s v="FAE-20-00109"/>
        <s v="FAE-20-00099"/>
        <s v="FAE-20-00096"/>
        <s v="FAE-20-00100"/>
        <s v="FAE-20-00088"/>
        <s v="FAE-20-00103"/>
        <s v="FAE-20-00104"/>
        <s v="FAE-20-00105"/>
        <s v="FAE-20-00084"/>
        <s v="FAE-20-00085"/>
        <s v="FAE-20-00106"/>
        <s v="FAE-20-00111"/>
        <s v="FAE-20-00112"/>
        <s v="FAE-20-00116"/>
        <s v="FAE-20-00115"/>
        <s v="FAE-20-00113"/>
        <s v="FAE-20-00114"/>
        <s v="FAE-20-00117"/>
        <s v="FAE-20-00118"/>
        <s v="FAE-20-00079"/>
        <s v="FAE-20-00075"/>
        <s v="FAE-20-00076"/>
        <s v="FAE-20-00101"/>
        <s v="FAE-20-00082"/>
        <s v="FAE-20-00119"/>
        <s v="FAE-20-00071"/>
        <s v="FAE-20-00127"/>
        <s v="FAE-20-00128"/>
        <s v="FAE-20-00129"/>
        <s v="FAE-20-00121"/>
        <s v="FAE-20-00124"/>
        <s v="FAE-20-00126"/>
        <s v="FAE-20-00125"/>
        <s v="FAE-20-00132"/>
        <s v="FAE-20-00130"/>
        <s v="FAE-20-00131"/>
        <s v="FAE-20-00122"/>
        <s v="FAE-20-00135"/>
        <s v="FAE-20-00120"/>
        <s v="FAE-20-00110"/>
        <s v="FAE-20-00137"/>
        <s v="FAE-20-00136"/>
        <s v="FAE-20-00123"/>
        <s v="FAE-20-00142"/>
        <s v="FAE-20-00141"/>
        <s v="FAE-20-00151"/>
        <s v="FAE-20-00143"/>
        <s v="FAE-20-00144"/>
        <s v="FAE-20-00146"/>
        <s v="FAE-20-00139"/>
        <s v="FAE-20-00140"/>
        <s v="FAE-20-00145"/>
        <s v="FAE-20-00149"/>
        <s v="FAE-20-00150"/>
        <s v="FAE-20-00154"/>
        <s v="FAE-20-00147"/>
        <s v="FAE-20-00138"/>
        <s v="FAE-20-00161"/>
        <s v="FAE-20-00158"/>
        <s v="FAE-20-00157"/>
        <s v="FAE-20-00152"/>
        <s v="FAE-20-00159"/>
        <s v="FAE-20-00133"/>
        <s v="FAE-20-00134"/>
        <s v="FAE-20-00160"/>
        <s v="FAE-20-00148"/>
        <s v="FAE-20-00155"/>
        <s v="FAE-20-00165"/>
        <s v="FAE-20-00166"/>
        <s v="FAE-20-00164"/>
        <s v="FAE-20-00163"/>
        <s v="FAE-20-00169"/>
        <s v="FAE-20-00168"/>
        <s v="FAE-20-00153"/>
        <s v="FAE-20-00162"/>
        <s v="FAE-20-00174"/>
        <s v="FAE-20-00171"/>
        <s v="FAE-20-00172"/>
        <s v="FAE-20-00173"/>
        <s v="FAE-20-00177"/>
        <s v="FAE-20-00167"/>
        <s v="FAE-20-00179"/>
        <s v="FAE-20-00180"/>
        <s v="FAE-20-00175"/>
        <s v="FAE-20-00182"/>
        <s v="FAE-20-00178"/>
        <s v="FAE-20-00185"/>
        <s v="FAE-20-00184"/>
        <s v="FAE-20-00188"/>
        <s v="FAE-20-00176"/>
        <s v="FAE-20-00181"/>
        <s v="FAE-20-00190"/>
        <s v="FAE-20-00183"/>
        <s v="FAE-20-00191"/>
        <s v="FAE-20-00192"/>
        <s v="FAE-20-00195"/>
        <s v="FAE-20-00193"/>
        <s v="FAE-20-00196"/>
        <s v="FAE-20-00194"/>
        <s v="FAE-20-00189"/>
        <s v="FAE-20-00187"/>
        <s v="FAE-20-00186"/>
        <s v="FAE-20-00203"/>
        <s v="FAE-20-00156"/>
        <s v="FAE-20-00200"/>
        <s v="FAE-20-00201"/>
        <s v="FAE-20-00198"/>
        <s v="FAE-20-00206"/>
        <s v="FAE-20-00204"/>
        <s v="FAE-20-00170"/>
        <s v="FAE-20-00209"/>
        <s v="FAE-20-00199"/>
        <s v="FAE-20-00211"/>
        <s v="FAE-20-00213"/>
        <s v="FAE-20-00214"/>
        <s v="FAE-20-00207"/>
        <s v="FAE-20-00212"/>
        <s v="FAE-20-00215"/>
        <s v="FAE-20-00216"/>
        <s v="FAE-20-00210"/>
        <s v="FAE-20-00205"/>
        <s v="FAE-20-00217"/>
        <s v="FAE-20-00218"/>
        <s v="FAE-20-00208"/>
        <s v="FAE-20-00224"/>
        <s v="FAE-20-00220"/>
        <s v="FAE-20-00219"/>
        <s v="FAE-20-00228"/>
        <s v="FAE-20-00229"/>
        <s v="FAE-20-00222"/>
        <s v="FAE-20-00202"/>
        <s v="FAE-20-00230"/>
        <s v="FAE-20-00225"/>
        <s v="FAE-20-00231"/>
        <s v="FAE-20-00233"/>
        <s v="FAE-20-00227"/>
        <s v="FAE-20-00234"/>
        <s v="FAE-20-00223"/>
        <s v="FAE-20-00226"/>
        <s v="FAE-20-00235"/>
        <s v="FAE-20-00236"/>
        <s v="FAE-20-00232"/>
        <s v="FAE-20-00237"/>
        <s v="FAE-20-00242"/>
        <s v="FAE-20-00238"/>
        <s v="FAE-20-00241"/>
        <s v="FAE-20-00244"/>
        <s v="FAE-20-00245"/>
        <s v="FAE-20-00197"/>
        <s v="FAE-20-00246"/>
        <s v="FAE-20-00248"/>
        <s v="FAE-20-00247"/>
        <s v="FAE-20-00252"/>
        <s v="FAE-20-00240"/>
        <s v="FAE-20-00251"/>
        <s v="FAE-20-00253"/>
        <s v="FAE-20-00221"/>
        <s v="FAE-20-00249"/>
        <s v="FAE-20-00259"/>
        <s v="FAE-20-00239"/>
        <s v="FAE-20-00250"/>
        <s v="FAE-20-00254"/>
        <s v="FAE-20-00262"/>
        <s v="FAE-20-00243"/>
        <s v="FAE-20-00260"/>
        <s v="FAE-20-00263"/>
        <s v="FAE-20-00255"/>
        <s v="FAE-20-00256"/>
        <s v="FAE-20-00271"/>
        <s v="FAE-20-00265"/>
        <s v="FAE-20-00264"/>
        <s v="FAE-20-00267"/>
        <s v="FAE-20-00266"/>
        <s v="FAE-20-00257"/>
        <s v="FAE-20-00261"/>
        <s v="FAE-20-00282"/>
        <s v="FAE-20-00283"/>
        <s v="FAE-20-00284"/>
        <s v="FAE-20-00285"/>
        <s v="FAE-20-00286"/>
        <s v="FAE-20-00276"/>
        <s v="FAE-20-00278"/>
        <s v="FAE-20-00280"/>
        <s v="FAE-20-00279"/>
        <s v="FAE-20-00268"/>
        <s v="FAE-20-00270"/>
        <s v="FAE-20-00288"/>
        <s v="FAE-20-00274"/>
        <s v="FAE-20-00275"/>
        <s v="FAE-20-00287"/>
        <s v="FAE-20-00277"/>
        <s v="FAE-20-00272"/>
        <s v="FAE-20-00269"/>
        <s v="FAE-20-00258"/>
        <s v="FAE-20-00290"/>
        <s v="FAE-20-00295"/>
        <s v="FAE-20-00294"/>
        <s v="FAE-20-00293"/>
        <s v="FAE-20-00291"/>
        <s v="FAE-20-00292"/>
        <s v="FAE-20-00296"/>
        <s v="FAE-20-00300"/>
        <s v="FAE-20-00303"/>
        <s v="FAE-20-00289"/>
        <s v="FAE-20-00281"/>
        <s v="FAE-20-00299"/>
        <s v="FAE-20-00298"/>
        <s v="FAE-20-00302"/>
        <s v="FAE-20-00304"/>
        <s v="FAE-20-00301"/>
        <s v="FAE-20-00273"/>
        <s v="FAE-20-00307"/>
        <s v="FAE-20-00297"/>
        <s v="FAE-20-00305"/>
        <s v="FAE-20-00311"/>
        <s v="FAE-20-00308"/>
        <s v="FAE-20-00312"/>
        <s v="FAE-20-00309"/>
        <s v="FAE-20-00320"/>
        <s v="FAE-20-00313"/>
        <s v="FAE-20-00314"/>
        <s v="FAE-20-00327"/>
        <s v="FAE-20-00321"/>
        <s v="FAE-20-00325"/>
        <s v="FAE-20-00310"/>
        <s v="FAE-20-00318"/>
        <s v="FAE-20-00324"/>
        <s v="FAE-20-00317"/>
        <s v="FAE-20-00315"/>
        <s v="FAE-20-00328"/>
        <s v="FAE-20-00323"/>
        <s v="FAE-20-00322"/>
        <s v="FAE-20-00319"/>
        <s v="FAE-20-00326"/>
        <s v="FAE-20-00306"/>
        <s v="FAE-20-00333"/>
        <s v="FAE-20-00332"/>
        <s v="FAE-20-00331"/>
        <s v="FAE-20-00316"/>
        <s v="FAE-20-00330"/>
        <s v="FAE-20-00329"/>
        <s v="FAE-20-00334"/>
        <s v="FAE-21-00016"/>
        <s v="FAE-21-00014"/>
        <s v="FAE-21-00011"/>
        <s v="FAE-21-00004"/>
        <s v="FAE-21-00005"/>
        <s v="FAE-21-00017"/>
        <s v="FAE-21-00001"/>
        <s v="FAE-21-00008"/>
        <s v="FAE-21-00018"/>
        <s v="FAE-21-00015"/>
        <s v="FAE-21-00012"/>
        <s v="FAE-21-00013"/>
        <s v="FAE-21-00020"/>
        <s v="FAE-21-00002"/>
        <s v="FAE-21-00006"/>
        <s v="FAE-21-00019"/>
        <s v="FAE-21-00022"/>
        <s v="FAE-21-00010"/>
        <s v="FAE-21-00021"/>
        <s v="FAE-21-00024"/>
        <s v="FAE-21-00003"/>
        <s v="FAE-21-00009"/>
        <s v="FAE-21-00028"/>
        <s v="FAE-21-00023"/>
        <s v="FAE-21-00026"/>
        <s v="FAE-21-00025"/>
        <s v="FAE-21-00027"/>
        <s v="FAE-21-00031"/>
        <s v="FAE-21-00032"/>
        <s v="FAE-21-00037"/>
        <s v="FAE-21-00040"/>
        <s v="FAE-21-00007"/>
        <s v="FAE-21-00029"/>
        <s v="FAE-21-00041"/>
        <s v="FAE-21-00039"/>
        <s v="FAE-21-00035"/>
        <s v="FAE-21-00042"/>
        <s v="FAE-21-00043"/>
        <s v="FAE-21-00030"/>
        <s v="FAE-21-00044"/>
        <s v="FAE-21-00038"/>
        <s v="FAE-21-00046"/>
        <s v="FAE-21-00033"/>
        <s v="FAE-21-00047"/>
        <s v="FAE-21-00048"/>
        <s v="FAE-21-00034"/>
        <s v="FAE-21-00036"/>
        <s v="FAE-21-00053"/>
        <s v="FAE-21-00052"/>
        <s v="FAE-21-00045"/>
        <s v="FAE-21-00050"/>
        <s v="FAE-21-00065"/>
        <s v="FAE-21-00054"/>
        <s v="FAE-21-00064"/>
        <s v="FAE-21-00055"/>
        <s v="FAE-21-00063"/>
        <s v="FAE-21-00066"/>
        <s v="FAE-21-00060"/>
        <s v="FAE-21-00051"/>
        <s v="FAE-21-00067"/>
        <s v="FAE-21-00049"/>
        <s v="FAE-21-00070"/>
        <s v="FAE-21-00071"/>
        <s v="FAE-21-00069"/>
        <s v="FAE-21-00068"/>
        <s v="FAE-21-00072"/>
        <s v="FAE-21-00057"/>
        <s v="FAE-21-00059"/>
        <s v="FAE-21-00056"/>
        <s v="FAE-21-00074"/>
        <s v="FAE-21-00058"/>
        <s v="FAE-21-00076"/>
        <s v="FAE-21-00073"/>
        <s v="FAE-21-00082"/>
        <s v="FAE-21-00078"/>
        <s v="FAE-21-00061"/>
        <s v="FAE-21-00077"/>
        <s v="FAE-21-00084"/>
        <s v="FAE-21-00079"/>
        <s v="FAE-21-00075"/>
        <s v="FAE-21-00091"/>
        <s v="FAE-21-00081"/>
        <s v="FAE-21-00089"/>
        <s v="FAE-21-00088"/>
        <s v="FAE-21-00086"/>
        <s v="FAE-21-00087"/>
        <s v="FAE-21-00083"/>
        <s v="FAE-21-00092"/>
        <s v="FAE-21-00094"/>
        <s v="FAE-21-00090"/>
        <s v="FAE-21-00062"/>
        <s v="FAE-21-00101"/>
        <s v="FAE-21-00102"/>
        <s v="FAE-21-00095"/>
        <s v="FAE-21-00103"/>
        <s v="FAE-21-00104"/>
        <s v="FAE-21-00100"/>
        <s v="FAE-21-00099"/>
        <s v="FAE-21-00106"/>
        <s v="FAE-21-00080"/>
        <s v="FAE-21-00107"/>
        <s v="FAE-21-00108"/>
        <s v="FAE-21-00109"/>
        <s v="FAE-21-00110"/>
        <s v="FAE-21-00093"/>
        <s v="FAE-21-00096"/>
        <s v="FAE-21-00097"/>
        <s v="FAE-21-00098"/>
        <s v="FAE-21-00120"/>
        <s v="FAE-21-00105"/>
        <s v="FAE-21-00118"/>
        <s v="FAE-21-00123"/>
        <s v="FAE-21-00116"/>
        <s v="FAE-21-00119"/>
        <s v="FAE-21-00112"/>
        <s v="FAE-21-00115"/>
        <s v="FAE-21-00122"/>
        <s v="FAE-21-00113"/>
        <s v="FAE-21-00111"/>
        <s v="FAE-21-00114"/>
        <s v="FAE-21-00125"/>
        <s v="FAE-21-00124"/>
        <s v="FAE-21-00127"/>
        <s v="FAE-21-00117"/>
        <s v="FAE-21-00129"/>
        <s v="FAE-21-00121"/>
        <s v="FAE-21-00132"/>
        <s v="FAE-21-00137"/>
        <s v="FAE-21-00126"/>
        <s v="FAE-21-00134"/>
        <s v="FAE-21-00128"/>
        <s v="FAE-21-00085"/>
        <s v="FAE-21-00146"/>
        <s v="FAE-21-00138"/>
        <s v="FAE-21-00144"/>
        <s v="FAE-21-00130"/>
        <s v="FAE-21-00141"/>
        <s v="FAE-21-00147"/>
        <s v="FAE-21-00135"/>
        <s v="FAE-21-00143"/>
        <s v="FAE-21-00139"/>
        <s v="FAE-21-00133"/>
        <s v="FAE-21-00136"/>
        <s v="FAE-21-00140"/>
        <s v="FAE-21-00149"/>
        <s v="FAE-21-00142"/>
        <s v="FAE-21-00145"/>
        <s v="FAE-21-00152"/>
        <s v="FAE-21-00151"/>
        <s v="FAE-21-00157"/>
        <s v="FAE-21-00159"/>
        <s v="FAE-21-00153"/>
        <s v="FAE-21-00155"/>
        <s v="FAE-21-00163"/>
        <s v="FAE-21-00131"/>
        <s v="FAE-21-00148"/>
        <s v="FAE-21-00166"/>
        <s v="FAE-21-00167"/>
        <s v="FAE-21-00168"/>
        <s v="FAE-21-00169"/>
        <s v="FAE-21-00162"/>
        <s v="FAE-21-00170"/>
        <s v="FAE-21-00158"/>
        <s v="FAE-21-00165"/>
        <s v="FAE-21-00161"/>
        <s v="FAE-21-00156"/>
        <s v="FAE-21-00154"/>
        <s v="FAE-21-00173"/>
        <s v="FAE-21-00164"/>
        <s v="FAE-21-00171"/>
        <s v="FAE-21-00174"/>
        <s v="FAE-21-00172"/>
        <s v="FAE-21-00160"/>
        <s v="FAE-21-00150"/>
        <s v="FAE-21-00176"/>
        <s v="FAE-21-00175"/>
        <s v="FAE-21-00178"/>
        <s v="FAE-21-00177"/>
        <s v="FAE-21-00184"/>
        <s v="FAE-21-00182"/>
        <s v="FAE-21-00180"/>
        <s v="FAE-21-00183"/>
        <s v="FAE-21-00181"/>
        <s v="FAE-21-00191"/>
        <s v="FAE-21-00190"/>
        <s v="FAE-21-00187"/>
        <s v="FAE-21-00192"/>
        <s v="FAE-21-00179"/>
        <s v="FAE-21-00185"/>
        <s v="FAE-21-00189"/>
        <s v="FAE-21-00199"/>
        <s v="FAE-21-00203"/>
        <s v="FAE-21-00202"/>
        <s v="FAE-21-00186"/>
        <s v="FAE-21-00194"/>
        <s v="FAE-21-00195"/>
        <s v="FAE-21-00198"/>
        <s v="FAE-21-00196"/>
        <s v="FAE-21-00197"/>
        <s v="FAE-21-00193"/>
        <s v="FAE-21-00188"/>
        <s v="FAE-21-00205"/>
        <s v="FAE-21-00204"/>
        <s v="FAE-21-00201"/>
        <s v="FAE-21-00206"/>
        <s v="FAE-21-00210"/>
        <s v="FAE-21-00209"/>
        <s v="FAE-21-00207"/>
        <s v="FAE-21-00211"/>
        <s v="FAE-21-00212"/>
        <s v="FAE-21-00215"/>
        <s v="FAE-21-00214"/>
        <s v="FAE-21-00208"/>
        <s v="FAE-21-00217"/>
        <s v="FAE-21-00200"/>
        <s v="FAE-21-00216"/>
        <s v="FAE-21-00218"/>
        <s v="FAE-21-00222"/>
        <s v="FAE-21-00221"/>
        <s v="FAE-21-00227"/>
        <s v="FAE-21-00228"/>
        <s v="FAE-21-00224"/>
        <s v="FAE-21-00220"/>
        <s v="FAE-21-00229"/>
        <s v="FAE-21-00213"/>
        <s v="FAE-21-00231"/>
        <s v="FAE-21-00232"/>
        <s v="FAE-21-00219"/>
        <s v="FAE-21-00230"/>
        <s v="FAE-21-00223"/>
        <s v="FAE-21-00225"/>
        <s v="FAE-21-00226"/>
        <s v="FAE-21-00233"/>
        <s v="FAE-21-00234"/>
        <s v="FAE-21-00237"/>
        <s v="FAE-21-00239"/>
        <s v="FAE-21-00235"/>
        <s v="FAE-21-00241"/>
        <s v="FAE-21-00238"/>
        <s v="FAE-21-00240"/>
        <s v="FAE-21-00242"/>
        <s v="FAE-21-00243"/>
        <s v="FAE-21-00236"/>
        <s v="FAE-21-00253"/>
        <s v="FAE-21-00244"/>
        <s v="FAE-21-00252"/>
        <s v="FAE-21-00245"/>
        <s v="FAE-21-00251"/>
        <s v="FAE-21-00246"/>
        <s v="FAE-21-00249"/>
        <s v="FAE-21-00247"/>
        <s v="FAE-21-00248"/>
        <s v="FAE-21-00258"/>
        <s v="FAE-21-00256"/>
        <s v="FAE-21-00259"/>
        <s v="FAE-21-00257"/>
        <s v="FAE-21-00261"/>
        <s v="FAE-21-00263"/>
        <s v="FAE-21-00264"/>
        <s v="FAE-21-00250"/>
        <s v="FAE-21-00262"/>
        <s v="FAE-21-00266"/>
        <s v="FAE-21-00267"/>
        <s v="FAE-21-00273"/>
        <s v="FAE-21-00270"/>
        <s v="FAE-21-00271"/>
        <s v="FAE-21-00272"/>
        <s v="FAE-21-00265"/>
        <s v="FAE-21-00268"/>
        <s v="FAE-21-00274"/>
        <s v="FAE-21-00276"/>
        <s v="FAE-21-00275"/>
        <s v="FAE-21-00279"/>
        <s v="FAE-21-00284"/>
        <s v="FAE-21-00281"/>
        <s v="FAE-21-00280"/>
        <s v="FAE-21-00277"/>
        <s v="FAE-21-00269"/>
        <s v="FAE-21-00286"/>
        <s v="FAE-21-00282"/>
        <s v="FAE-21-00285"/>
        <s v="FAE-21-00287"/>
        <s v="FAE-21-00278"/>
        <s v="FAE-21-00289"/>
        <s v="FAE-21-00292"/>
        <s v="FAE-21-00290"/>
        <s v="FAE-21-00254"/>
        <s v="FAE-21-00260"/>
        <s v="FAE-21-00288"/>
        <s v="FAE-21-00283"/>
        <s v="FAE-21-00291"/>
        <s v="FAE-22-00001"/>
        <s v="FAE-22-00003"/>
        <s v="FAE-22-00004"/>
        <s v="FAE-22-00002"/>
        <s v="FAE-22-00010"/>
        <s v="FAE-22-00007"/>
        <s v="FAE-22-00006"/>
        <s v="FAE-22-00016"/>
        <s v="FAE-22-00017"/>
        <s v="FAE-22-00008"/>
        <s v="FAE-22-00018"/>
        <s v="FAE-22-00005"/>
        <s v="FAE-22-00019"/>
        <s v="FAE-22-00009"/>
        <s v="FAE-22-00020"/>
        <s v="FAE-22-00014"/>
        <s v="FAE-22-00011"/>
        <s v="FAE-22-00023"/>
        <s v="FAE-22-00021"/>
        <s v="FAE-22-00015"/>
        <s v="FAE-22-00012"/>
        <s v="FAE-22-00025"/>
        <s v="FAE-22-00026"/>
        <s v="FAE-22-00024"/>
        <s v="FAE-22-00028"/>
        <s v="FAE-22-00040"/>
        <s v="FAE-22-00032"/>
        <s v="FAE-22-00029"/>
        <s v="FAE-22-00033"/>
        <s v="FAE-22-00041"/>
        <s v="FAE-22-00013"/>
        <s v="FAE-22-00034"/>
        <s v="FAE-22-00037"/>
        <s v="FAE-22-00030"/>
        <s v="FAE-22-00031"/>
        <s v="FAE-22-00042"/>
        <s v="FAE-22-00045"/>
        <s v="FAE-22-00043"/>
        <s v="FAE-22-00039"/>
        <s v="FAE-22-00022"/>
        <s v="FAE-22-00046"/>
        <s v="FAE-22-00047"/>
        <s v="FAE-22-00048"/>
        <s v="FAE-22-00035"/>
        <s v="FAE-22-00049"/>
        <s v="FAE-22-00050"/>
        <s v="FAE-22-00044"/>
        <s v="FAE-22-00054"/>
        <s v="FAE-22-00052"/>
        <s v="FAE-22-00053"/>
        <s v="FAE-22-00058"/>
        <s v="FAE-22-00055"/>
        <s v="FAE-22-00059"/>
        <s v="FAE-22-00062"/>
        <s v="FAE-22-00060"/>
        <s v="FAE-22-00061"/>
        <s v="FAE-22-00063"/>
        <s v="FAE-22-00064"/>
        <s v="FAE-22-00057"/>
        <s v="FAE-22-00066"/>
        <s v="FAE-22-00038"/>
        <s v="FAE-22-00056"/>
        <s v="FAE-22-00067"/>
        <s v="FAE-22-00080"/>
        <s v="FAE-22-00081"/>
        <s v="FAE-22-00068"/>
        <s v="FAE-22-00074"/>
        <s v="FAE-22-00077"/>
        <s v="FAE-22-00078"/>
        <s v="FAE-22-00075"/>
        <s v="FAE-22-00082"/>
        <s v="FAE-22-00069"/>
        <s v="FAE-22-00036"/>
        <s v="FAE-22-00051"/>
        <s v="FAE-22-00071"/>
        <s v="FAE-22-00072"/>
        <s v="FAE-22-00073"/>
        <s v="FAE-22-00076"/>
        <s v="FAE-22-00085"/>
        <s v="FAE-22-00086"/>
        <s v="FAE-22-00087"/>
        <s v="FAE-22-00084"/>
        <s v="FAE-22-00089"/>
        <s v="FAE-22-00088"/>
        <s v="FAE-22-00027"/>
        <s v="FAE-22-00070"/>
        <s v="FAE-22-00092"/>
        <s v="FAE-22-00093"/>
        <s v="FAE-22-00098"/>
        <s v="FAE-22-00090"/>
        <s v="FAE-22-00095"/>
        <s v="FAE-22-00091"/>
        <s v="FAE-22-00094"/>
        <s v="FAE-22-00096"/>
        <s v="FAE-22-00083"/>
        <s v="FAE-22-00079"/>
        <s v="FAE-22-00100"/>
        <s v="FAE-22-00097"/>
        <s v="FAE-22-00105"/>
        <s v="FAE-22-00065"/>
        <s v="FAE-22-00099"/>
        <s v="FAE-22-00101"/>
        <s v="FAE-22-00106"/>
        <s v="FAE-22-00102"/>
        <s v="FAE-22-00103"/>
        <s v="FAE-22-00110"/>
        <s v="FAE-22-00104"/>
        <s v="FAE-22-00108"/>
        <s v="FAE-22-00111"/>
        <s v="FAE-22-00107"/>
        <s v="FAE-22-00117"/>
        <s v="FAE-22-00113"/>
        <s v="FAE-22-00112"/>
        <s v="FAE-22-00116"/>
        <s v="FAE-22-00109"/>
        <s v="FAE-22-00119"/>
        <s v="FAE-22-00114"/>
        <s v="FAE-22-00115"/>
        <s v="FAE-22-00126"/>
        <s v="FAE-22-00127"/>
        <s v="FAE-22-00132"/>
        <s v="FAE-22-00120"/>
        <s v="FAE-22-00125"/>
        <s v="FAE-22-00130"/>
        <s v="FAE-22-00122"/>
        <s v="FAE-22-00129"/>
        <s v="FAE-22-00121"/>
        <s v="FAE-22-00133"/>
        <s v="FAE-22-00136"/>
        <s v="FAE-22-00137"/>
        <s v="FAE-22-00131"/>
        <s v="FAE-22-00140"/>
        <s v="FAE-22-00134"/>
        <s v="FAE-22-00139"/>
        <s v="FAE-22-00128"/>
        <s v="FAE-22-00123"/>
        <s v="FAE-22-00135"/>
        <s v="FAE-22-00124"/>
        <s v="FAE-22-00141"/>
        <s v="FAE-22-00144"/>
        <s v="FAE-22-00143"/>
        <s v="FAE-22-00146"/>
        <s v="FAE-22-00147"/>
        <s v="FAE-22-00145"/>
        <s v="FAE-22-00148"/>
        <s v="FAE-22-00149"/>
        <s v="FAE-22-00142"/>
        <s v="FAE-22-00150"/>
        <s v="FAE-22-00156"/>
        <s v="FAE-22-00152"/>
        <s v="FAE-22-00154"/>
        <s v="FAE-22-00155"/>
        <s v="FAE-22-00159"/>
        <s v="FAE-22-00153"/>
        <s v="FAE-22-00157"/>
        <s v="FAE-22-00161"/>
        <s v="FAE-22-00158"/>
        <s v="FAE-22-00151"/>
        <s v="FAE-22-00160"/>
        <s v="FAE-22-00163"/>
        <s v="FAE-22-00162"/>
        <s v="FAE-22-00164"/>
        <s v="FAE-22-00167"/>
        <s v="FAE-22-00165"/>
        <s v="FAE-22-00166"/>
        <s v="FAE-22-00172"/>
        <s v="FAE-22-00173"/>
        <s v="FAE-22-00176"/>
        <s v="FAE-22-00168"/>
        <s v="FAE-22-00170"/>
        <s v="FAE-22-00169"/>
        <s v="FAE-22-00178"/>
        <s v="FAE-22-00171"/>
        <s v="FAE-22-00179"/>
        <s v="FAE-22-00180"/>
        <s v="FAE-22-00177"/>
        <s v="FAE-22-00182"/>
        <s v="FAE-22-00181"/>
        <s v="FAE-22-00184"/>
        <s v="FAE-22-00185"/>
        <s v="FAE-22-00188"/>
        <s v="FAE-22-00189"/>
        <s v="FAE-22-00186"/>
        <s v="FAE-22-00190"/>
        <s v="FAE-22-00174"/>
        <s v="FAE-22-00187"/>
        <s v="FAE-22-00183"/>
        <s v="FAE-22-00191"/>
        <s v="FAE-22-00193"/>
        <s v="FAE-22-00195"/>
        <s v="FAE-22-00194"/>
        <s v="FAE-22-00175"/>
        <s v="FAE-22-00198"/>
        <s v="FAE-22-00197"/>
        <s v="FAE-22-00205"/>
        <s v="FAE-22-00199"/>
        <s v="FAE-22-00204"/>
        <s v="FAE-22-00207"/>
        <s v="FAE-22-00202"/>
        <s v="FAE-22-00201"/>
        <s v="FAE-22-00200"/>
        <s v="FAE-22-00209"/>
        <s v="FAE-22-00208"/>
        <s v="FAE-22-00203"/>
        <s v="FAE-22-00210"/>
        <s v="FAE-22-00211"/>
        <s v="FAE-22-00212"/>
        <s v="FAE-22-00196"/>
        <s v="FAE-22-00206"/>
        <s v="FAE-22-00215"/>
        <s v="FAE-22-00216"/>
        <s v="FAE-22-00192"/>
        <s v="FAE-22-00219"/>
        <s v="FAE-22-00213"/>
        <s v="FAE-22-00218"/>
        <s v="FAE-22-00214"/>
        <s v="FAE-22-00217"/>
        <s v="FAE-22-00220"/>
        <s v="FAE-22-00222"/>
        <s v="FAE-22-00225"/>
        <s v="FAE-22-00223"/>
        <s v="FAE-22-00221"/>
        <s v="FAE-22-00227"/>
        <s v="FAE-22-00224"/>
        <s v="FAE-22-00231"/>
        <s v="FAE-22-00229"/>
        <s v="FAE-22-00234"/>
        <s v="FAE-22-00230"/>
        <s v="FAE-22-00232"/>
        <s v="FAE-22-00228"/>
        <s v="FAE-22-00236"/>
        <s v="FAE-22-00226"/>
        <s v="FAE-22-00237"/>
        <s v="FAE-22-00235"/>
        <s v="FAE-22-00239"/>
        <s v="FAE-22-00241"/>
        <s v="FAE-22-00240"/>
        <s v="FAE-22-00243"/>
        <s v="FAE-22-00238"/>
        <s v="FAE-22-00251"/>
        <s v="FAE-22-00245"/>
        <s v="FAE-22-00246"/>
        <s v="FAE-22-00242"/>
        <s v="FAE-22-00252"/>
        <s v="FAE-22-00255"/>
        <s v="FAE-22-00257"/>
        <s v="FAE-22-00250"/>
        <s v="FAE-22-00256"/>
        <s v="FAE-22-00253"/>
        <s v="FAE-22-00247"/>
        <s v="FAE-22-00244"/>
        <s v="FAE-22-00249"/>
        <s v="FAE-22-00233"/>
        <s v="FAE-22-00260"/>
        <s v="FAE-22-00259"/>
        <s v="FAE-22-00254"/>
        <s v="FAE-23-00002"/>
        <s v="FAE-23-00003"/>
        <s v="FAE-23-00006"/>
        <s v="FAE-23-00005"/>
        <s v="FAE-23-00004"/>
        <s v="FAE-23-00009"/>
        <s v="FAE-23-00001"/>
        <s v="FAE-23-00010"/>
        <s v="FAE-23-00013"/>
        <s v="FAE-23-00007"/>
        <s v="FAE-23-00011"/>
        <s v="FAE-23-00012"/>
        <s v="FAE-23-00017"/>
        <s v="FAE-23-00016"/>
        <s v="FAE-23-00014"/>
        <s v="FAE-23-00018"/>
        <s v="FAE-23-00019"/>
        <s v="FAE-23-00023"/>
        <s v="FAE-23-00024"/>
        <s v="FAE-23-00008"/>
        <s v="FAE-23-00025"/>
        <s v="FAE-23-00022"/>
        <s v="FAE-23-00029"/>
        <s v="FAE-23-00030"/>
        <s v="FAE-23-00033"/>
        <s v="FAE-23-00021"/>
        <s v="FAE-23-00026"/>
        <s v="FAE-23-00028"/>
        <s v="FAE-23-00015"/>
        <s v="FAE-23-00035"/>
        <s v="FAE-23-00034"/>
        <s v="FAE-23-00027"/>
        <s v="FAE-23-00036"/>
        <s v="FAE-23-00040"/>
        <s v="FAE-23-00039"/>
        <s v="FAE-23-00032"/>
        <s v="FAE-23-00038"/>
        <s v="FAE-23-00041"/>
        <s v="FAE-23-00048"/>
        <s v="FAE-23-00044"/>
        <s v="FAE-23-00046"/>
        <s v="FAE-23-00031"/>
        <s v="FAE-23-00049"/>
        <s v="FAE-23-00037"/>
        <s v="FAE-23-00050"/>
        <s v="FAE-23-00045"/>
        <s v="FAE-23-00043"/>
        <s v="FAE-23-00042"/>
        <s v="FAE-23-00051"/>
        <s v="FAE-23-00053"/>
        <s v="FAE-23-00056"/>
        <s v="FAE-23-00055"/>
        <s v="FAE-23-00058"/>
        <s v="FAE-23-00059"/>
        <s v="FAE-23-00054"/>
        <s v="FAE-23-00057"/>
        <s v="FAE-23-00061"/>
        <s v="FAE-23-00052"/>
        <s v="FAE-23-00047"/>
        <s v="FAE-23-00060"/>
        <s v="FAE-23-00020"/>
        <s v="FAE-23-00063"/>
        <s v="FAE-23-00064"/>
        <s v="FAE-23-00066"/>
        <s v="FAE-23-00062"/>
        <s v="FAE-23-00065"/>
        <s v="FAE-23-00069"/>
        <s v="FAE-23-00071"/>
        <s v="FAE-23-00072"/>
        <s v="FAE-23-00068"/>
        <s v="FAE-23-00067"/>
        <s v="FAE-23-00073"/>
        <s v="FAE-23-00078"/>
        <s v="FAE-23-00079"/>
        <s v="FAE-23-00080"/>
        <s v="FAE-23-00075"/>
        <s v="FAE-23-00070"/>
        <s v="FAE-23-00074"/>
        <s v="FAE-23-00082"/>
        <s v="FAE-23-00081"/>
        <s v="FAE-23-00077"/>
        <s v="FAE-23-00089"/>
        <s v="FAE-23-00076"/>
        <s v="FAE-23-00083"/>
        <s v="FAE-23-00084"/>
        <s v="FAE-23-00085"/>
        <s v="FAE-23-00091"/>
        <s v="FAE-23-00092"/>
        <s v="FAE-23-00087"/>
        <s v="FAE-23-00086"/>
        <s v="FAE-23-00088"/>
        <s v="FAE-23-00093"/>
        <s v="FAE-23-00094"/>
        <s v="FAE-23-00095"/>
        <s v="FAE-23-00090"/>
        <s v="FAE-23-00099"/>
        <s v="FAE-23-00100"/>
        <s v="FAE-23-00101"/>
        <s v="FAE-23-00096"/>
        <s v="FAE-23-00098"/>
        <s v="FAE-23-00103"/>
        <s v="FAE-23-00106"/>
        <s v="FAE-23-00097"/>
        <s v="FAE-23-00108"/>
        <s v="FAE-23-00111"/>
        <s v="FAE-23-00112"/>
        <s v="FAE-23-00113"/>
        <s v="FAE-23-00104"/>
        <s v="FAE-23-00110"/>
        <s v="FAE-23-00107"/>
        <s v="FAE-23-00102"/>
        <s v="FAE-23-00116"/>
        <s v="FAE-23-00117"/>
        <s v="FAE-23-00109"/>
        <s v="FAE-23-00122"/>
        <s v="FAE-23-00123"/>
        <s v="FAE-23-00119"/>
        <s v="FAE-23-00120"/>
        <s v="FAE-23-00115"/>
        <s v="FAE-23-00121"/>
        <s v="FAE-23-00132"/>
        <s v="FAE-23-00125"/>
        <s v="FAE-23-00136"/>
        <s v="FAE-23-00129"/>
        <s v="FAE-23-00130"/>
        <s v="FAE-23-00131"/>
        <s v="FAE-23-00114"/>
        <s v="FAE-23-00141"/>
        <s v="FAE-23-00127"/>
        <s v="FAE-23-00137"/>
        <s v="FAE-23-00124"/>
        <s v="FAE-23-00126"/>
        <s v="FAE-23-00134"/>
        <s v="FAE-23-00138"/>
        <s v="FAE-23-00135"/>
        <s v="FAE-23-00139"/>
        <s v="FAE-23-00133"/>
        <s v="FAE-23-00128"/>
        <s v="FAE-23-00118"/>
        <s v="FAE-23-00142"/>
        <s v="FAE-23-00140"/>
        <s v="FAE-23-00145"/>
        <s v="FAE-23-00146"/>
        <s v="FAE-23-00143"/>
        <s v="FAE-23-00144"/>
        <s v="FAE-23-00148"/>
        <s v="FAE-23-00149"/>
        <s v="FAE-23-00150"/>
        <s v="FAE-23-00147"/>
        <s v="FAE-23-00151"/>
        <s v="FAE-23-00155"/>
        <s v="FAE-23-00157"/>
        <s v="FAE-23-00154"/>
        <s v="FAE-23-00161"/>
        <s v="FAE-23-00158"/>
        <s v="FAE-23-00159"/>
        <s v="FAE-23-00160"/>
        <s v="FAE-23-00156"/>
        <s v="FAE-23-00163"/>
        <s v="FAE-23-00164"/>
        <s v="FAE-23-00162"/>
        <s v="FAE-23-00169"/>
        <s v="FAE-23-00152"/>
        <s v="FAE-23-00153"/>
        <s v="FAE-23-00165"/>
        <s v="FAE-23-00170"/>
        <s v="FAE-23-00166"/>
        <s v="FAE-23-00175"/>
        <s v="FAE-23-00171"/>
        <s v="FAE-23-00176"/>
        <s v="FAE-23-00177"/>
        <s v="FAE-23-00173"/>
        <s v="FAE-23-00178"/>
        <s v="FAE-23-00179"/>
        <s v="FAE-23-00181"/>
        <s v="FAE-23-00174"/>
        <s v="FAE-23-00182"/>
        <s v="FAE-23-00183"/>
        <s v="FAE-23-00168"/>
        <s v="FAE-23-00172"/>
        <s v="FAE-23-00180"/>
        <s v="FAE-23-00184"/>
        <s v="FAE-23-00167"/>
        <s v="FAE-23-00187"/>
        <s v="FAE-23-00188"/>
        <s v="FAE-23-00185"/>
        <s v="FAE-23-00190"/>
        <s v="FAE-23-00191"/>
        <s v="FAE-23-00201"/>
        <s v="FAE-23-00192"/>
        <s v="FAE-23-00195"/>
        <s v="FAE-23-00197"/>
        <s v="FAE-23-00186"/>
        <s v="FAE-23-00189"/>
        <s v="FAE-23-00196"/>
        <s v="FAE-23-00200"/>
        <s v="FAE-23-00208"/>
        <s v="FAE-23-00207"/>
        <s v="FAE-23-00204"/>
        <s v="FAE-23-00218"/>
        <s v="FAE-23-00193"/>
        <s v="FAE-23-00211"/>
        <s v="FAE-23-00210"/>
        <s v="FAE-23-00206"/>
        <s v="FAE-23-00217"/>
        <s v="FAE-23-00212"/>
        <s v="FAE-23-00213"/>
        <s v="FAE-23-00214"/>
        <s v="FAE-23-00194"/>
        <s v="FAE-23-00219"/>
        <s v="FAE-23-00202"/>
        <s v="FAE-23-00203"/>
        <s v="FAE-23-00209"/>
        <s v="FAE-23-00215"/>
        <s v="FAE-23-00216"/>
        <s v="FAE-23-00222"/>
        <s v="FAE-23-00225"/>
        <s v="FAE-23-00226"/>
        <s v="FAE-23-00227"/>
        <s v="FAE-23-00221"/>
        <s v="FAE-23-00229"/>
        <s v="FAE-23-00220"/>
        <s v="FAE-23-00223"/>
        <s v="FAE-23-00228"/>
        <s v="FAE-23-00239"/>
        <s v="FAE-23-00237"/>
        <s v="FAE-23-00238"/>
        <s v="FAE-23-00232"/>
        <s v="FAE-23-00233"/>
        <s v="FAE-23-00240"/>
        <s v="FAE-23-00198"/>
        <s v="FAE-23-00243"/>
        <s v="FAE-23-00244"/>
        <s v="FAE-23-00247"/>
        <s v="FAE-23-00224"/>
        <s v="FAE-23-00242"/>
        <s v="FAE-23-00199"/>
        <s v="FAE-23-00236"/>
        <s v="FAE-23-00234"/>
        <s v="FAE-23-00241"/>
        <s v="FAE-23-00248"/>
        <s v="FAE-23-00235"/>
        <s v="FAE-23-00249"/>
        <s v="FAE-23-00245"/>
        <s v="FAE-23-00205"/>
        <s v="FAE-23-00250"/>
        <s v="FAE-23-00251"/>
        <s v="FAE-23-00254"/>
        <s v="FAE-23-00255"/>
        <s v="FAE-23-00252"/>
        <s v="FAE-23-00230"/>
        <s v="FAE-23-00258"/>
        <s v="FAE-23-00257"/>
        <s v="FAE-23-00256"/>
        <s v="FAE-23-00265"/>
        <s v="FAE-23-00264"/>
        <s v="FAE-23-00259"/>
        <s v="FAE-23-00261"/>
        <s v="FAE-23-00263"/>
        <s v="FAE-23-00266"/>
        <s v="FAE-23-00246"/>
        <s v="FAE-23-00268"/>
        <s v="FAE-23-00267"/>
        <s v="FAE-23-00269"/>
        <s v="FAE-23-00280"/>
        <s v="FAE-23-00274"/>
        <s v="FAE-23-00260"/>
        <s v="FAE-23-00270"/>
        <s v="FAE-23-00277"/>
        <s v="FAE-23-00271"/>
        <s v="FAE-23-00281"/>
        <s v="FAE-23-00272"/>
        <s v="FAE-23-00279"/>
        <s v="FAE-23-00278"/>
        <s v="FAE-23-00273"/>
        <s v="FAE-23-00282"/>
        <s v="FAE-23-00275"/>
        <s v="FAE-23-00285"/>
        <s v="FAE-23-00283"/>
        <s v="FAE-23-00262"/>
        <s v="FAE-23-00286"/>
        <s v="FAE-23-00253"/>
        <s v="FAE-23-00289"/>
        <s v="FAE-23-00293"/>
        <s v="FAE-23-00288"/>
        <s v="FAE-23-00287"/>
        <s v="FAE-23-00284"/>
        <s v="FAE-23-00299"/>
        <s v="FAE-23-00312"/>
        <s v="FAE-23-00276"/>
        <s v="FAE-23-00231"/>
        <s v="FAE-23-00294"/>
        <s v="FAE-23-00298"/>
        <s v="FAE-23-00290"/>
        <s v="FAE-23-00292"/>
        <s v="FAE-23-00314"/>
        <s v="FAE-23-00301"/>
        <s v="FAE-23-00307"/>
        <s v="FAE-23-00313"/>
        <s v="FAE-23-00304"/>
        <s v="FAE-23-00300"/>
        <s v="FAE-23-00315"/>
        <s v="FAE-23-00303"/>
        <s v="FAE-23-00302"/>
        <s v="FAE-23-00296"/>
        <s v="FAE-23-00297"/>
        <s v="FAE-23-00308"/>
        <s v="FAE-23-00309"/>
        <s v="FAE-23-00295"/>
        <s v="FAE-23-00305"/>
        <s v="FAE-23-00306"/>
        <s v="FAE-23-00316"/>
        <s v="FAE-23-00318"/>
        <s v="FAE-23-00311"/>
        <s v="FAE-23-00317"/>
        <s v="FAE-23-00319"/>
        <s v="FAE-23-00323"/>
        <s v="FAE-23-00325"/>
        <s v="FAE-23-00324"/>
        <s v="FAE-23-00310"/>
        <s v="FAE-23-00321"/>
        <s v="FAE-23-00291"/>
        <s v="FAE-23-00322"/>
        <s v="FAE-24-00002"/>
        <s v="FAE-24-00001"/>
        <s v="FAE-24-00007"/>
        <s v="FAE-24-00003"/>
        <s v="FAE-24-00004"/>
        <s v="FAE-24-00012"/>
        <s v="FAE-24-00005"/>
        <s v="FAE-24-00009"/>
        <s v="FAE-24-00014"/>
        <s v="FAE-24-00015"/>
        <s v="FAE-24-00008"/>
        <s v="FAE-24-00010"/>
        <s v="FAE-24-00024"/>
        <s v="FAE-24-00026"/>
        <s v="FAE-24-00018"/>
        <s v="FAE-24-00011"/>
        <s v="FAE-24-00017"/>
        <s v="FAE-24-00030"/>
        <s v="FAE-24-00021"/>
        <s v="FAE-24-00029"/>
        <s v="FAE-24-00013"/>
        <s v="FAE-24-00031"/>
        <s v="FAE-24-00032"/>
        <s v="FAE-24-00025"/>
        <s v="FAE-24-00033"/>
        <s v="FAE-24-00006"/>
        <s v="FAE-24-00034"/>
        <s v="FAE-24-00038"/>
        <s v="FAE-24-00036"/>
        <s v="FAE-24-00022"/>
        <s v="FAE-24-00016"/>
        <s v="FAE-24-00023"/>
        <s v="FAE-24-00035"/>
        <s v="FAE-24-00037"/>
        <s v="FAE-24-00039"/>
        <s v="FAE-24-00041"/>
        <s v="FAE-24-00020"/>
        <s v="FAE-24-00044"/>
        <s v="FAE-24-00040"/>
        <s v="FAE-24-00042"/>
        <s v="FAE-24-00043"/>
        <s v="FAE-24-00047"/>
        <s v="FAE-24-00048"/>
        <s v="FAE-24-00046"/>
        <s v="FAE-24-00052"/>
        <s v="FAE-24-00051"/>
        <s v="FAE-24-00056"/>
        <s v="FAE-24-00045"/>
        <s v="FAE-24-00027"/>
        <s v="FAE-24-00028"/>
        <s v="FAE-24-00057"/>
        <s v="FAE-24-00058"/>
        <s v="FAE-24-00049"/>
        <s v="FAE-24-00050"/>
        <s v="FAE-24-00063"/>
        <s v="FAE-24-00053"/>
        <s v="FAE-24-00062"/>
        <s v="FAE-24-00061"/>
        <s v="FAE-24-00064"/>
        <s v="FAE-24-00065"/>
        <s v="FAE-24-00066"/>
        <s v="FAE-24-00059"/>
        <s v="FAE-24-00067"/>
        <s v="FAE-24-00071"/>
        <s v="FAE-24-00069"/>
        <s v="FAE-24-00055"/>
        <s v="FAE-24-00070"/>
        <s v="FAE-24-00072"/>
        <s v="FAE-24-00073"/>
        <s v="FAE-24-00054"/>
        <s v="FAE-24-00060"/>
        <s v="FAE-24-00074"/>
        <s v="FAE-24-00077"/>
        <s v="FAE-24-00078"/>
        <s v="FAE-24-00080"/>
        <s v="FAE-24-00076"/>
        <s v="FAE-24-00082"/>
        <s v="FAE-24-00075"/>
        <s v="FAE-24-00079"/>
        <s v="FAE-24-00081"/>
        <s v="FAE-24-00087"/>
        <s v="FAE-24-00086"/>
        <s v="FAE-24-00089"/>
        <s v="FAE-24-00097"/>
        <s v="FAE-24-00096"/>
        <s v="FAE-24-00090"/>
        <s v="FAE-24-00091"/>
        <s v="FAE-24-00085"/>
        <s v="FAE-24-00084"/>
        <s v="FAE-24-00098"/>
        <s v="FAE-24-00088"/>
        <s v="FAE-24-00093"/>
        <s v="FAE-24-00094"/>
        <s v="FAE-24-00083"/>
        <s v="FAE-24-00095"/>
        <s v="FAE-24-00068"/>
        <s v="FAE-24-00099"/>
        <s v="FAE-24-00100"/>
        <s v="FAE-24-00092"/>
        <s v="FAE-24-00102"/>
        <s v="FAE-24-00103"/>
        <s v="FAE-24-00105"/>
        <s v="FAE-24-00109"/>
        <s v="FAE-24-00107"/>
        <s v="FAE-24-00108"/>
        <s v="FAE-24-00101"/>
        <s v="FAE-24-00104"/>
        <s v="FAE-24-00116"/>
        <s v="FAE-24-00106"/>
        <s v="FAE-24-00113"/>
        <s v="FAE-24-00112"/>
        <s v="FAE-24-00114"/>
        <s v="FAE-24-00115"/>
        <s v="FAE-24-00124"/>
        <s v="FAE-24-00123"/>
        <s v="FAE-24-00019"/>
        <s v="FAE-24-00125"/>
        <s v="FAE-24-00118"/>
        <s v="FAE-24-00122"/>
        <s v="FAE-24-00120"/>
        <s v="FAE-24-00110"/>
        <s v="FAE-24-00121"/>
        <s v="FAE-24-00127"/>
        <s v="FAE-24-00126"/>
        <s v="FAE-24-00136"/>
        <s v="FAE-24-00131"/>
        <s v="FAE-24-00130"/>
        <s v="FAE-24-00132"/>
        <s v="FAE-24-00133"/>
        <s v="FAE-24-00128"/>
        <s v="FAE-24-00141"/>
        <s v="FAE-24-00142"/>
        <s v="FAE-24-00145"/>
        <s v="FAE-24-00137"/>
        <s v="FAE-24-00146"/>
        <s v="FAE-24-00129"/>
        <s v="FAE-24-00134"/>
        <s v="FAE-24-00144"/>
        <s v="FAE-24-00139"/>
        <s v="FAE-24-00140"/>
        <s v="FAE-24-00143"/>
        <s v="FAE-24-00147"/>
        <s v="FAE-24-00135"/>
        <s v="FAE-24-00111"/>
        <s v="FAE-24-00152"/>
        <s v="FAE-24-00138"/>
        <s v="FAE-24-00156"/>
        <s v="FAE-24-00153"/>
        <s v="FAE-24-00151"/>
        <s v="FAE-24-00155"/>
        <s v="FAE-24-00157"/>
        <s v="FAE-24-00154"/>
        <s v="FAE-24-00148"/>
        <s v="FAE-24-00149"/>
        <s v="FAE-24-00117"/>
        <s v="FAE-24-00160"/>
        <s v="FAE-24-00119"/>
        <s v="FAE-24-00158"/>
        <s v="FAE-24-00162"/>
        <s v="FAE-24-00164"/>
        <s v="FAE-24-00150"/>
        <s v="FAE-24-00163"/>
        <s v="FAE-24-00166"/>
        <s v="FAE-24-00169"/>
        <s v="FAE-24-00161"/>
        <s v="FAE-24-00167"/>
        <s v="FAE-24-00165"/>
        <s v="FAE-24-00168"/>
        <s v="FAE-24-00170"/>
        <s v="FAE-24-00184"/>
        <s v="FAE-24-00178"/>
        <s v="FAE-24-00177"/>
        <s v="FAE-24-00171"/>
        <s v="FAE-24-00174"/>
        <s v="FAE-24-00172"/>
        <s v="FAE-24-00176"/>
        <s v="FAE-24-00185"/>
        <s v="FAE-24-00182"/>
        <s v="FAE-24-00175"/>
        <s v="FAE-24-00159"/>
        <s v="FAE-24-00179"/>
        <s v="FAE-24-00181"/>
        <s v="FAE-24-00173"/>
        <s v="FAE-24-00190"/>
        <s v="FAE-24-00187"/>
        <s v="FAE-24-00188"/>
        <s v="FAE-24-00192"/>
        <s v="FAE-24-00195"/>
        <s v="FAE-24-00196"/>
        <s v="FAE-24-00189"/>
        <s v="FAE-24-00197"/>
        <s v="FAE-24-00183"/>
        <s v="FAE-24-00186"/>
        <s v="FAE-24-00198"/>
        <s v="FAE-24-00201"/>
        <s v="FAE-24-00200"/>
        <s v="FAE-24-00193"/>
        <s v="FAE-24-00194"/>
        <s v="FAE-24-00207"/>
        <s v="FAE-24-00209"/>
        <s v="FAE-24-00206"/>
        <s v="FAE-24-00204"/>
        <s v="FAE-24-00191"/>
        <s v="FAE-24-00202"/>
        <s v="FAE-24-00203"/>
        <s v="FAE-24-00180"/>
        <s v="FAE-24-00199"/>
        <s v="FAE-24-00213"/>
        <s v="FAE-24-00205"/>
        <s v="FAE-24-00214"/>
        <s v="FAE-24-00212"/>
        <s v="FAE-24-00211"/>
        <s v="FAE-24-00210"/>
        <s v="FAE-24-00215"/>
        <s v="FAE-24-00216"/>
        <s v="FAE-24-00208"/>
        <s v="FAE-24-00219"/>
        <s v="FAE-24-00217"/>
        <s v="FAE-24-00220"/>
        <s v="FAE-24-00221"/>
        <s v="FAE-24-00218"/>
        <s v="FAE-24-00226"/>
        <s v="FAE-24-00223"/>
        <s v="FAE-24-00227"/>
        <s v="FAE-24-00229"/>
        <s v="FAE-24-00222"/>
        <s v="FAE-24-00230"/>
        <s v="FAE-24-00232"/>
        <s v="FAE-24-00235"/>
        <s v="FAE-24-00236"/>
        <s v="FAE-24-00234"/>
        <s v="FAE-24-00233"/>
        <s v="FAE-24-00231"/>
        <s v="FAE-24-00240"/>
        <s v="FAE-24-00241"/>
        <s v="FAE-24-00250"/>
        <s v="FAE-24-00239"/>
        <s v="FAE-24-00242"/>
        <s v="FAE-24-00249"/>
        <s v="FAE-24-00246"/>
        <s v="FAE-24-00245"/>
        <s v="FAE-24-00224"/>
        <s v="FAE-24-00247"/>
        <s v="FAE-24-00248"/>
        <s v="FAE-24-00243"/>
        <s v="FAE-24-00253"/>
        <s v="FAE-24-00228"/>
        <s v="FAE-24-00225"/>
        <s v="FAE-24-00238"/>
        <s v="FAE-24-00254"/>
        <s v="FAE-24-00256"/>
        <s v="FAE-24-00237"/>
        <s v="FAE-24-00255"/>
        <s v="FAE-24-00252"/>
        <s v="FAE-24-00258"/>
        <s v="FAE-24-00259"/>
        <s v="FAE-24-00257"/>
        <s v="FAE-24-00251"/>
        <s v="FAE-24-00260"/>
        <s v="FAE-24-00265"/>
        <s v="FAE-24-00261"/>
        <s v="FAE-24-00262"/>
        <s v="FAE-24-00267"/>
        <s v="FAE-24-00263"/>
        <s v="FAE-24-00266"/>
        <s v="FAE-24-00270"/>
        <s v="FAE-24-00264"/>
        <s v="FAE-24-00269"/>
        <s v="FAE-24-00273"/>
        <s v="FAE-24-00244"/>
        <s v="FAE-24-00272"/>
        <s v="FAE-24-00268"/>
        <s v="FAE-24-00271"/>
        <s v="FAE-24-00275"/>
        <s v="FAE-24-00276"/>
        <s v="FAE-24-00281"/>
        <s v="FAE-24-00280"/>
        <s v="FAE-24-00285"/>
        <s v="FAE-24-00282"/>
        <s v="FAE-24-00279"/>
        <s v="FAE-24-00283"/>
        <s v="FAE-24-00287"/>
        <s v="FAE-24-00286"/>
        <s v="FAE-24-00295"/>
        <s v="FAE-24-00284"/>
        <s v="FAE-24-00293"/>
        <s v="FAE-24-00288"/>
        <s v="FAE-24-00289"/>
        <s v="FAE-24-00291"/>
        <s v="FAE-24-00298"/>
        <s v="FAE-24-00296"/>
        <s v="FAE-24-00304"/>
        <s v="FAE-24-00312"/>
        <s v="FAE-24-00313"/>
        <s v="FAE-24-00301"/>
        <s v="FAE-24-00292"/>
        <s v="FAE-24-00305"/>
        <s v="FAE-24-00316"/>
        <s v="FAE-24-00317"/>
        <s v="FAE-24-00314"/>
        <s v="FAE-24-00308"/>
        <s v="FAE-24-00297"/>
        <s v="FAE-24-00306"/>
        <s v="FAE-24-00311"/>
        <s v="FAE-24-00299"/>
        <s v="FAE-24-00290"/>
        <s v="FAE-24-00310"/>
        <s v="FAE-24-00318"/>
        <s v="FAE-24-00303"/>
        <s v="FAE-24-00277"/>
        <s v="FAE-24-00307"/>
        <s v="FAE-24-00309"/>
        <s v="FAE-24-00302"/>
        <s v="FAE-24-00300"/>
        <s v="FAE-24-00321"/>
        <s v="FAE-24-00322"/>
        <s v="FAE-24-00319"/>
        <s v="FAE-24-00331"/>
        <s v="FAE-24-00328"/>
        <s v="FAE-24-00315"/>
        <s v="FAE-24-00326"/>
        <s v="FAE-24-00335"/>
        <s v="FAE-24-00278"/>
        <s v="FAE-24-00337"/>
        <s v="FAE-24-00325"/>
        <s v="FAE-24-00332"/>
        <s v="FAE-24-00338"/>
        <s v="FAE-24-00274"/>
        <s v="FAE-24-00334"/>
        <s v="FAE-24-00329"/>
        <s v="FAE-24-00327"/>
        <s v="FAE-24-00336"/>
        <s v="FAE-24-00340"/>
        <s v="FAE-24-00341"/>
        <s v="FAE-24-00339"/>
        <s v="FAE-24-00330"/>
        <s v="FAE-24-00333"/>
        <s v="FAE-24-00320"/>
        <s v="FAE-24-00324"/>
        <s v="FAE-24-00323"/>
        <s v="FAE-24-00342"/>
        <s v="FAE-24-00353"/>
        <s v="FAE-24-00347"/>
        <s v="FAE-24-00350"/>
        <s v="FAE-24-00359"/>
        <s v="FAE-24-00348"/>
        <s v="FAE-24-00357"/>
        <s v="FAE-24-00358"/>
        <s v="FAE-24-00349"/>
        <s v="FAE-24-00351"/>
        <s v="FAE-24-00352"/>
        <s v="FAE-24-00345"/>
        <s v="FAE-24-00362"/>
        <s v="FAE-24-00364"/>
        <s v="FAE-24-00343"/>
        <s v="FAE-24-00366"/>
        <s v="FAE-24-00365"/>
        <s v="FAE-24-00355"/>
        <s v="FAE-24-00360"/>
        <s v="FAE-24-00354"/>
        <s v="FAE-24-00375"/>
        <s v="FAE-24-00372"/>
        <s v="FAE-24-00356"/>
        <s v="FAE-24-00373"/>
        <s v="FAE-24-00363"/>
        <s v="FAE-24-00368"/>
        <s v="FAE-24-00369"/>
        <s v="FAE-24-00376"/>
        <s v="FAE-24-00371"/>
        <s v="FAE-24-00361"/>
        <s v="FAE-24-00370"/>
        <s v="FAE-24-00378"/>
        <s v="FAE-24-00344"/>
        <s v="FAE-24-00346"/>
        <s v="FAE-24-00380"/>
        <s v="FAE-24-00381"/>
        <s v="FAE-24-00382"/>
        <s v="FAE-24-00367"/>
        <s v="FAE-24-00377"/>
        <s v="FAE-24-00388"/>
        <s v="FAE-24-00294"/>
        <s v="FAE-24-00387"/>
        <s v="FAE-24-00386"/>
        <s v="FAE-24-00390"/>
        <s v="FAE-24-00383"/>
        <s v="FAE-24-00385"/>
        <s v="FAE-24-00391"/>
        <s v="FAE-24-00392"/>
        <s v="FAE-24-00393"/>
        <s v="FAE-24-00384"/>
        <s v="FAE-24-00379"/>
        <s v="FAE-24-00394"/>
        <s v="FAE-24-00397"/>
        <s v="FAE-24-00398"/>
        <s v="FAE-24-00389"/>
        <s v="FAE-24-00395"/>
        <s v="FAE-24-00396"/>
        <s v="FAE-24-00374"/>
        <s v="FAE-25-00001"/>
        <s v="FAE-25-00003"/>
        <s v="FAE-25-00002"/>
        <s v="FAE-25-00010"/>
        <s v="FAE-25-00004"/>
        <s v="FAE-25-00008"/>
        <s v="FAE-25-00009"/>
        <s v="FAE-25-00024"/>
        <s v="FAE-25-00011"/>
        <s v="FAE-25-00007"/>
        <s v="FAE-25-00006"/>
        <s v="FAE-25-00016"/>
        <s v="FAE-25-00027"/>
        <s v="FAE-25-00015"/>
        <s v="FAE-25-00013"/>
        <s v="FAE-25-00014"/>
        <s v="FAE-25-00012"/>
        <s v="FAE-25-00026"/>
        <s v="FAE-25-00021"/>
        <s v="FAE-25-00022"/>
        <s v="FAE-25-00019"/>
        <s v="FAE-25-00025"/>
        <s v="FAE-25-00023"/>
        <s v="FAE-25-00029"/>
        <s v="FAE-25-00020"/>
        <s v="FAE-25-00030"/>
        <s v="FAE-25-00031"/>
        <s v="FAE-25-00005"/>
        <s v="FAE-25-00034"/>
        <s v="FAE-25-00038"/>
        <s v="FAE-25-00033"/>
        <s v="FAE-25-00018"/>
        <s v="FAE-25-00039"/>
        <s v="FAE-25-00048"/>
        <s v="FAE-25-00037"/>
        <s v="FAE-25-00040"/>
        <s v="FAE-25-00032"/>
        <s v="FAE-25-00036"/>
        <s v="FAE-25-00017"/>
        <s v="FAE-25-00043"/>
        <s v="FAE-25-00035"/>
        <s v="FAE-25-00049"/>
        <s v="FAE-25-00052"/>
        <s v="FAE-25-00028"/>
        <s v="FAE-25-00042"/>
        <s v="FAE-25-00050"/>
        <s v="FAE-25-00062"/>
        <s v="FAE-25-00063"/>
        <s v="FAE-25-00053"/>
        <s v="FAE-25-00046"/>
        <s v="FAE-25-00061"/>
        <s v="FAE-25-00044"/>
        <s v="FAE-25-00058"/>
        <s v="FAE-25-00041"/>
        <s v="FAE-25-00047"/>
        <s v="FAE-25-00045"/>
        <s v="FAE-25-00054"/>
        <s v="FAE-25-00055"/>
        <s v="FAE-25-00056"/>
        <s v="FAE-25-00057"/>
        <s v="FAE-25-00060"/>
        <s v="FAE-25-00059"/>
        <s v="FAE-25-00066"/>
        <s v="FAE-25-00069"/>
        <s v="FAE-25-00070"/>
        <s v="FAE-25-00064"/>
        <s v="FAE-25-00072"/>
        <s v="FAE-25-00067"/>
        <s v="FAE-25-00065"/>
        <s v="FAE-25-00068"/>
        <s v="FAE-25-00073"/>
        <s v="FAE-25-00074"/>
        <s v="FAE-25-00075"/>
        <s v="FAE-25-00071"/>
        <s v="FAE-25-00083"/>
        <s v="FAE-25-00051"/>
        <s v="FAE-25-00078"/>
        <s v="FAE-25-00082"/>
        <s v="FAE-25-00081"/>
        <s v="FAE-25-00079"/>
        <s v="FAE-25-00080"/>
        <s v="FAE-25-00084"/>
        <s v="FAE-25-00077"/>
        <s v="FAE-25-00089"/>
        <s v="FAE-25-00091"/>
        <s v="FAE-25-00088"/>
        <s v="FAE-25-00092"/>
        <s v="FAE-25-00093"/>
        <s v="FAE-25-00094"/>
        <s v="FAE-25-00095"/>
        <s v="FAE-25-00085"/>
        <s v="FAE-25-00076"/>
        <s v="FAE-25-00101"/>
        <s v="FAE-25-00099"/>
        <s v="FAE-25-00097"/>
        <s v="FAE-25-00103"/>
        <s v="FAE-25-00104"/>
        <s v="FAE-25-00117"/>
        <s v="FAE-25-00116"/>
        <s v="FAE-25-00106"/>
        <s v="FAE-25-00111"/>
        <s v="FAE-25-00102"/>
        <s v="FAE-25-00107"/>
        <s v="FAE-25-00110"/>
        <s v="FAE-25-00087"/>
        <s v="FAE-25-00105"/>
        <s v="FAE-25-00100"/>
        <s v="FAE-25-00098"/>
        <s v="FAE-25-00119"/>
        <s v="FAE-25-00115"/>
        <s v="FAE-25-00090"/>
        <s v="FAE-25-00113"/>
        <s v="FAE-25-00108"/>
        <s v="FAE-25-00109"/>
        <s v="FAE-25-00118"/>
        <s v="FAE-25-00120"/>
        <s v="FAE-25-00112"/>
        <s v="FAE-25-00086"/>
        <s v="FAE-25-00121"/>
        <s v="FAE-25-00122"/>
        <s v="FAE-25-00123"/>
        <s v="FAE-25-00124"/>
        <s v="FAE-25-00128"/>
        <s v="FAE-25-00127"/>
        <s v="FAE-25-00133"/>
        <s v="FAE-25-00140"/>
        <s v="FAE-25-00148"/>
        <s v="FAE-25-00132"/>
        <s v="FAE-25-00134"/>
        <s v="FAE-25-00147"/>
        <s v="FAE-25-00141"/>
        <s v="FAE-25-00145"/>
        <s v="FAE-25-00153"/>
        <s v="FAE-25-00114"/>
        <s v="FAE-25-00125"/>
        <s v="FAE-25-00126"/>
        <s v="FAE-25-00131"/>
        <s v="FAE-25-00130"/>
        <s v="FAE-25-00154"/>
        <s v="FAE-25-00136"/>
        <s v="FAE-25-00138"/>
        <s v="FAE-25-00155"/>
        <s v="FAE-25-00137"/>
        <s v="FAE-25-00142"/>
        <s v="FAE-25-00143"/>
        <s v="FAE-25-00144"/>
        <s v="FAE-25-00156"/>
        <s v="FAE-25-00096"/>
        <s v="FAE-25-00151"/>
        <s v="FAE-25-00135"/>
        <s v="FAE-25-00129"/>
        <s v="FAE-25-00149"/>
        <s v="FAE-25-00150"/>
        <s v="FAE-25-00139"/>
        <s v="FAE-25-00162"/>
        <s v="FAE-25-00158"/>
        <s v="FAE-25-00164"/>
        <s v="FAE-25-00165"/>
        <s v="FAE-25-00157"/>
        <s v="FAE-25-00159"/>
        <s v="FAE-25-00169"/>
        <s v="FAE-25-00160"/>
        <s v="FAE-25-00161"/>
        <s v="FAE-25-00163"/>
        <s v="FAE-25-00166"/>
        <s v="FAE-25-00167"/>
        <s v="FAE-25-00179"/>
        <s v="FAE-25-00168"/>
        <s v="FAE-25-00181"/>
        <s v="FAE-25-00174"/>
        <s v="FAE-25-00184"/>
        <s v="FAE-25-00182"/>
        <s v="FAE-25-00183"/>
        <s v="FAE-25-00173"/>
        <s v="FAE-25-00187"/>
        <s v="FAE-25-00176"/>
        <s v="FAE-25-00172"/>
        <s v="FAE-25-00171"/>
        <s v="FAE-25-00170"/>
        <s v="FAE-25-00186"/>
        <s v="FAE-25-00180"/>
        <s v="FAE-25-00185"/>
        <s v="FAE-25-00175"/>
        <s v="FAE-25-00192"/>
        <s v="FAE-25-00178"/>
        <s v="FAE-25-00195"/>
        <s v="FAE-25-00188"/>
        <s v="FAE-25-00194"/>
        <s v="FAE-25-00196"/>
        <s v="FAE-25-00197"/>
        <s v="FAE-25-00193"/>
        <s v="FAE-25-00198"/>
        <s v="FAE-25-00199"/>
        <s v="FAE-25-00200"/>
        <s v="FAE-25-00177"/>
        <s v="FAE-25-00202"/>
        <s v="FAE-25-00203"/>
        <s v="FAE-25-00189"/>
        <s v="FAE-25-00190"/>
        <s v="FAE-25-00191"/>
        <s v="FAE-25-00201"/>
        <s v="FAE-25-00209"/>
        <s v="FAE-25-00204"/>
        <s v="FAE-25-00205"/>
        <s v="FAE-25-00210"/>
        <s v="FAE-25-00206"/>
        <s v="FAE-25-00211"/>
        <s v="FAE-25-00212"/>
        <s v="FAE-25-00214"/>
        <m/>
        <n v="2500085" u="1"/>
        <n v="2500087" u="1"/>
        <n v="2500091" u="1"/>
        <n v="2500093" u="1"/>
        <n v="2500095" u="1"/>
        <n v="2500097" u="1"/>
        <n v="2500099" u="1"/>
        <n v="2500101" u="1"/>
        <n v="2500103" u="1"/>
        <n v="2500105" u="1"/>
        <n v="2500107" u="1"/>
        <n v="2500109" u="1"/>
        <n v="2500111" u="1"/>
        <n v="2500113" u="1"/>
        <n v="2500115" u="1"/>
        <n v="2500117" u="1"/>
        <n v="2500119" u="1"/>
        <n v="2500121" u="1"/>
        <n v="2500123" u="1"/>
        <n v="2500125" u="1"/>
        <n v="2500127" u="1"/>
        <n v="2500129" u="1"/>
        <n v="2500131" u="1"/>
        <n v="2500133" u="1"/>
        <n v="2500135" u="1"/>
        <n v="2500137" u="1"/>
        <n v="2500139" u="1"/>
        <n v="2500141" u="1"/>
        <n v="2500143" u="1"/>
        <n v="2500145" u="1"/>
        <n v="2500147" u="1"/>
        <n v="2500149" u="1"/>
        <n v="2500151" u="1"/>
        <n v="2500153" u="1"/>
        <n v="2500155" u="1"/>
        <n v="2500157" u="1"/>
        <n v="2500159" u="1"/>
        <n v="2500161" u="1"/>
        <n v="2500163" u="1"/>
        <n v="2500165" u="1"/>
        <n v="2500167" u="1"/>
        <n v="2500169" u="1"/>
        <n v="2500171" u="1"/>
        <n v="2500173" u="1"/>
        <n v="2500175" u="1"/>
        <n v="2500177" u="1"/>
        <n v="2500179" u="1"/>
        <n v="2500181" u="1"/>
        <n v="2500183" u="1"/>
        <n v="2500185" u="1"/>
        <n v="2500187" u="1"/>
        <n v="2500189" u="1"/>
        <n v="2500191" u="1"/>
        <n v="2500193" u="1"/>
        <n v="2500195" u="1"/>
        <n v="2500197" u="1"/>
        <n v="2500199" u="1"/>
        <n v="2500201" u="1"/>
        <n v="2500203" u="1"/>
        <n v="2500205" u="1"/>
        <n v="2500209" u="1"/>
        <n v="2500211" u="1"/>
        <n v="2500076" u="1"/>
        <n v="2500086" u="1"/>
        <n v="2500088" u="1"/>
        <n v="2500090" u="1"/>
        <n v="2500092" u="1"/>
        <n v="2500094" u="1"/>
        <n v="2500096" u="1"/>
        <n v="2500098" u="1"/>
        <n v="2500100" u="1"/>
        <n v="2500102" u="1"/>
        <n v="2500104" u="1"/>
        <n v="2500106" u="1"/>
        <n v="2500108" u="1"/>
        <n v="2500110" u="1"/>
        <n v="2500112" u="1"/>
        <n v="2500114" u="1"/>
        <n v="2500116" u="1"/>
        <n v="2500118" u="1"/>
        <n v="2500120" u="1"/>
        <n v="2500122" u="1"/>
        <n v="2500124" u="1"/>
        <n v="2500126" u="1"/>
        <n v="2500128" u="1"/>
        <n v="2500130" u="1"/>
        <n v="2500132" u="1"/>
        <n v="2500134" u="1"/>
        <n v="2500136" u="1"/>
        <n v="2500138" u="1"/>
        <n v="2500140" u="1"/>
        <n v="2500142" u="1"/>
        <n v="2500144" u="1"/>
        <n v="2500148" u="1"/>
        <n v="2500150" u="1"/>
        <n v="2500154" u="1"/>
        <n v="2500156" u="1"/>
        <n v="2500158" u="1"/>
        <n v="2500160" u="1"/>
        <n v="2500162" u="1"/>
        <n v="2500164" u="1"/>
        <n v="2500166" u="1"/>
        <n v="2500168" u="1"/>
        <n v="2500170" u="1"/>
        <n v="2500172" u="1"/>
        <n v="2500174" u="1"/>
        <n v="2500176" u="1"/>
        <n v="2500178" u="1"/>
        <n v="2500180" u="1"/>
        <n v="2500182" u="1"/>
        <n v="2500184" u="1"/>
        <n v="2500186" u="1"/>
        <n v="2500188" u="1"/>
        <n v="2500190" u="1"/>
        <n v="2500192" u="1"/>
        <n v="2500194" u="1"/>
        <n v="2500196" u="1"/>
        <n v="2500198" u="1"/>
        <n v="2500200" u="1"/>
        <n v="2500202" u="1"/>
        <n v="2500204" u="1"/>
        <n v="2500206" u="1"/>
        <n v="2500210" u="1"/>
        <n v="2500212" u="1"/>
        <n v="2500214" u="1"/>
      </sharedItems>
    </cacheField>
    <cacheField name="Date Fact." numFmtId="0">
      <sharedItems containsNonDate="0" containsDate="1" containsString="0" containsBlank="1" minDate="2018-12-17T00:00:00" maxDate="2025-07-29T00:00:00"/>
    </cacheField>
    <cacheField name="subv /foprodex" numFmtId="0">
      <sharedItems containsString="0" containsBlank="1" containsNumber="1" minValue="0" maxValue="58448.17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3">
  <r>
    <s v="FAE-19-00001"/>
    <d v="2019-01-02T00:00:00"/>
    <x v="0"/>
    <x v="0"/>
    <s v="CE2137"/>
    <s v="TUNISIAN AFRICAN BUSINESS"/>
    <n v="0"/>
    <n v="142831.92000000001"/>
  </r>
  <r>
    <s v="FAE-19-00002"/>
    <d v="2019-01-02T00:00:00"/>
    <x v="0"/>
    <x v="0"/>
    <s v="CE2168"/>
    <s v="SOCIETE OMEGA TRADING"/>
    <n v="0"/>
    <n v="165200"/>
  </r>
  <r>
    <s v="FAE-19-00003"/>
    <d v="2019-01-02T00:00:00"/>
    <x v="0"/>
    <x v="0"/>
    <s v="CE2149"/>
    <s v="DAVIS TRADING CO LTD"/>
    <n v="0"/>
    <n v="68149.133000000002"/>
  </r>
  <r>
    <s v="FAE-19-00004"/>
    <d v="2019-02-01T00:00:00"/>
    <x v="1"/>
    <x v="0"/>
    <s v="CE2169"/>
    <s v="RAMMAL ORIGINAL"/>
    <n v="0"/>
    <n v="33787.563999999998"/>
  </r>
  <r>
    <s v="FAE-19-00005"/>
    <d v="2019-01-02T00:00:00"/>
    <x v="0"/>
    <x v="0"/>
    <s v="CE2178"/>
    <s v="ARCADIA INTERNATIONAL TRADING"/>
    <n v="0"/>
    <n v="50400"/>
  </r>
  <r>
    <s v="FAE-19-00006"/>
    <d v="2019-01-02T00:00:00"/>
    <x v="0"/>
    <x v="0"/>
    <s v="CE2079"/>
    <s v="BAH MAMADOU SALIOU"/>
    <n v="0"/>
    <n v="71516.544999999998"/>
  </r>
  <r>
    <s v="FAE-19-00007"/>
    <d v="2019-01-08T00:00:00"/>
    <x v="0"/>
    <x v="0"/>
    <s v="CE2137"/>
    <s v="TUNISIAN AFRICAN BUSINESS"/>
    <n v="0"/>
    <n v="144152.4"/>
  </r>
  <r>
    <s v="FAE-19-00008"/>
    <d v="2019-01-08T00:00:00"/>
    <x v="0"/>
    <x v="0"/>
    <s v="CE2017"/>
    <s v="SAHEL INTERNATIONAL TRADE"/>
    <n v="0"/>
    <n v="107367.6"/>
  </r>
  <r>
    <s v="FAE-19-00009"/>
    <d v="2019-01-08T00:00:00"/>
    <x v="0"/>
    <x v="0"/>
    <s v="CE2154"/>
    <s v="SODIFRAM SAS"/>
    <n v="0"/>
    <n v="51091.336000000003"/>
  </r>
  <r>
    <s v="FAE-19-00010"/>
    <d v="2019-01-08T00:00:00"/>
    <x v="0"/>
    <x v="0"/>
    <s v="CE2154"/>
    <s v="SODIFRAM SAS"/>
    <n v="0"/>
    <n v="40186.053"/>
  </r>
  <r>
    <s v="FAE-19-00011"/>
    <d v="2019-01-08T00:00:00"/>
    <x v="0"/>
    <x v="0"/>
    <s v="CE2154"/>
    <s v="SODIFRAM SAS"/>
    <n v="0"/>
    <n v="40186.053"/>
  </r>
  <r>
    <s v="FAE-19-00012"/>
    <d v="2019-01-08T00:00:00"/>
    <x v="0"/>
    <x v="0"/>
    <s v="CE2200"/>
    <s v="MAMUDOU BAH T/A TEDOUGNAL FARM"/>
    <n v="0"/>
    <n v="78333.710000000006"/>
  </r>
  <r>
    <s v="FAE-19-00013"/>
    <d v="2019-01-08T00:00:00"/>
    <x v="0"/>
    <x v="0"/>
    <s v="CE2001"/>
    <s v="STE DE COMMERCE INTERNATIONAL"/>
    <n v="0"/>
    <n v="341600"/>
  </r>
  <r>
    <s v="FAE-19-00014"/>
    <d v="2019-01-08T00:00:00"/>
    <x v="0"/>
    <x v="0"/>
    <s v="CE2165"/>
    <s v="ANGSTREM TRADING COMPANY &quot;AFG&quot;"/>
    <n v="0"/>
    <n v="41765.699999999997"/>
  </r>
  <r>
    <s v="FAE-19-00015"/>
    <d v="2019-01-10T00:00:00"/>
    <x v="0"/>
    <x v="0"/>
    <s v="CE2213"/>
    <s v="AWG LIBYA COMPANY"/>
    <n v="0"/>
    <n v="498003"/>
  </r>
  <r>
    <s v="FAE-19-00016"/>
    <d v="2019-01-11T00:00:00"/>
    <x v="0"/>
    <x v="0"/>
    <s v="CE2017"/>
    <s v="SAHEL INTERNATIONAL TRADE"/>
    <n v="0"/>
    <n v="35850.239999999998"/>
  </r>
  <r>
    <s v="FAE-19-00017"/>
    <d v="2019-01-11T00:00:00"/>
    <x v="0"/>
    <x v="0"/>
    <s v="CE2017"/>
    <s v="SAHEL INTERNATIONAL TRADE"/>
    <n v="0"/>
    <n v="35850.239999999998"/>
  </r>
  <r>
    <s v="FAE-19-00018"/>
    <d v="2019-02-01T00:00:00"/>
    <x v="1"/>
    <x v="0"/>
    <s v="CE2153"/>
    <s v="SOCIETE AL BADR"/>
    <n v="0"/>
    <n v="81024"/>
  </r>
  <r>
    <s v="FAE-19-00019"/>
    <d v="2019-01-17T00:00:00"/>
    <x v="0"/>
    <x v="0"/>
    <s v="CE2178"/>
    <s v="ARCADIA INTERNATIONAL TRADING"/>
    <n v="0"/>
    <n v="27600"/>
  </r>
  <r>
    <s v="FAE-19-00020"/>
    <d v="2019-01-17T00:00:00"/>
    <x v="0"/>
    <x v="0"/>
    <s v="CE2178"/>
    <s v="ARCADIA INTERNATIONAL TRADING"/>
    <n v="0"/>
    <n v="55200"/>
  </r>
  <r>
    <s v="FAE-19-00021"/>
    <d v="2019-02-01T00:00:00"/>
    <x v="1"/>
    <x v="0"/>
    <s v="CE2178"/>
    <s v="ARCADIA INTERNATIONAL TRADING"/>
    <n v="0"/>
    <n v="31887.360000000001"/>
  </r>
  <r>
    <s v="FAE-19-00022"/>
    <d v="2019-02-01T00:00:00"/>
    <x v="1"/>
    <x v="0"/>
    <s v="CE2178"/>
    <s v="ARCADIA INTERNATIONAL TRADING"/>
    <n v="0"/>
    <n v="18295.36"/>
  </r>
  <r>
    <s v="FAE-19-00023"/>
    <d v="2019-01-21T00:00:00"/>
    <x v="0"/>
    <x v="0"/>
    <s v="CE2137"/>
    <s v="TUNISIAN AFRICAN BUSINESS"/>
    <n v="0"/>
    <n v="34348.5"/>
  </r>
  <r>
    <s v="FAE-19-00025"/>
    <d v="2019-01-22T00:00:00"/>
    <x v="0"/>
    <x v="0"/>
    <s v="CE2212"/>
    <s v="TIMBI MADINA"/>
    <n v="0"/>
    <n v="43667.192000000003"/>
  </r>
  <r>
    <s v="FAE-19-00026"/>
    <d v="2019-01-22T00:00:00"/>
    <x v="0"/>
    <x v="0"/>
    <s v="CE2212"/>
    <s v="TIMBI MADINA"/>
    <n v="0"/>
    <n v="42850.387999999999"/>
  </r>
  <r>
    <s v="FAE-19-00027"/>
    <d v="2019-01-22T00:00:00"/>
    <x v="0"/>
    <x v="0"/>
    <s v="CE2025"/>
    <s v="SAWABA - GUINEE"/>
    <n v="0"/>
    <n v="184116.53099999999"/>
  </r>
  <r>
    <s v="FAE-19-00028"/>
    <d v="2019-02-01T00:00:00"/>
    <x v="1"/>
    <x v="0"/>
    <s v="CE2149"/>
    <s v="DAVIS TRADING CO LTD"/>
    <n v="0"/>
    <n v="62126.267999999996"/>
  </r>
  <r>
    <s v="FAE-19-00029"/>
    <d v="2019-02-01T00:00:00"/>
    <x v="1"/>
    <x v="0"/>
    <s v="CE2053"/>
    <s v="ETS KASSO IMPORT EXPORT"/>
    <n v="0"/>
    <n v="153213.228"/>
  </r>
  <r>
    <s v="FAE-19-00030"/>
    <d v="2019-02-01T00:00:00"/>
    <x v="1"/>
    <x v="0"/>
    <s v="CE2053"/>
    <s v="ETS KASSO IMPORT EXPORT"/>
    <n v="0"/>
    <n v="153213.228"/>
  </r>
  <r>
    <s v="FAE-19-00031"/>
    <d v="2019-02-01T00:00:00"/>
    <x v="1"/>
    <x v="0"/>
    <s v="CE2053"/>
    <s v="ETS KASSO IMPORT EXPORT"/>
    <n v="0"/>
    <n v="153213.228"/>
  </r>
  <r>
    <s v="FAE-19-00032"/>
    <d v="2019-02-01T00:00:00"/>
    <x v="1"/>
    <x v="0"/>
    <s v="CE2053"/>
    <s v="ETS KASSO IMPORT EXPORT"/>
    <n v="0"/>
    <n v="153213.228"/>
  </r>
  <r>
    <s v="FAE-19-00033"/>
    <d v="2019-02-01T00:00:00"/>
    <x v="1"/>
    <x v="0"/>
    <s v="CE2025"/>
    <s v="SAWABA - GUINEE"/>
    <n v="0"/>
    <n v="185449.633"/>
  </r>
  <r>
    <s v="FAE-19-00034"/>
    <d v="2019-02-01T00:00:00"/>
    <x v="1"/>
    <x v="0"/>
    <s v="CE2200"/>
    <s v="MAMUDOU BAH T/A TEDOUGNAL FARM"/>
    <n v="0"/>
    <n v="44057.129000000001"/>
  </r>
  <r>
    <s v="FAE-19-00035"/>
    <d v="2019-02-01T00:00:00"/>
    <x v="1"/>
    <x v="0"/>
    <s v="CE2178"/>
    <s v="ARCADIA INTERNATIONAL TRADING"/>
    <n v="0"/>
    <n v="14419.4"/>
  </r>
  <r>
    <s v="FAE-19-00036"/>
    <d v="2019-03-01T00:00:00"/>
    <x v="2"/>
    <x v="0"/>
    <s v="CE2063"/>
    <s v="M &amp; P CORPORATION"/>
    <n v="0"/>
    <n v="9157.3230000000003"/>
  </r>
  <r>
    <s v="FAE-19-00037"/>
    <d v="2019-02-04T00:00:00"/>
    <x v="1"/>
    <x v="0"/>
    <s v="CE2137"/>
    <s v="TUNISIAN AFRICAN BUSINESS"/>
    <n v="0"/>
    <n v="230643.84"/>
  </r>
  <r>
    <s v="FAE-19-00038"/>
    <d v="2019-02-04T00:00:00"/>
    <x v="1"/>
    <x v="0"/>
    <s v="CE2017"/>
    <s v="SAHEL INTERNATIONAL TRADE"/>
    <n v="0"/>
    <n v="31251.360000000001"/>
  </r>
  <r>
    <s v="FAE-19-00039"/>
    <d v="2019-03-01T00:00:00"/>
    <x v="2"/>
    <x v="0"/>
    <s v="CE2154"/>
    <s v="SODIFRAM SAS"/>
    <n v="0"/>
    <n v="51287.750999999997"/>
  </r>
  <r>
    <s v="FAE-19-00040"/>
    <d v="2019-08-01T00:00:00"/>
    <x v="3"/>
    <x v="0"/>
    <s v="CE2207"/>
    <s v="SARL SOKOM"/>
    <n v="0"/>
    <n v="30724.753000000001"/>
  </r>
  <r>
    <s v="FAE-19-00041"/>
    <d v="2019-05-31T00:00:00"/>
    <x v="4"/>
    <x v="0"/>
    <s v="CE2178"/>
    <s v="ARCADIA INTERNATIONAL TRADING"/>
    <n v="0"/>
    <n v="32127.759999999998"/>
  </r>
  <r>
    <s v="FAE-19-00042"/>
    <d v="2019-02-06T00:00:00"/>
    <x v="1"/>
    <x v="0"/>
    <s v="CE2001"/>
    <s v="STE DE COMMERCE INTERNATIONAL"/>
    <n v="0"/>
    <n v="655200"/>
  </r>
  <r>
    <s v="FAE-19-00043"/>
    <d v="2019-02-08T00:00:00"/>
    <x v="1"/>
    <x v="0"/>
    <s v="CE2137"/>
    <s v="TUNISIAN AFRICAN BUSINESS"/>
    <n v="0"/>
    <n v="101675.76"/>
  </r>
  <r>
    <s v="FAE-19-00044"/>
    <d v="2019-02-09T00:00:00"/>
    <x v="1"/>
    <x v="0"/>
    <s v="CE2214"/>
    <s v="AREEJ ALMOUTAWASET FOR IMPORT"/>
    <n v="0"/>
    <n v="625213.70799999998"/>
  </r>
  <r>
    <s v="FAE-19-00045"/>
    <d v="2019-02-15T00:00:00"/>
    <x v="1"/>
    <x v="0"/>
    <s v="CE2053"/>
    <s v="ETS KASSO IMPORT EXPORT"/>
    <n v="0"/>
    <n v="152630.946"/>
  </r>
  <r>
    <s v="FAE-19-00046"/>
    <d v="2019-02-15T00:00:00"/>
    <x v="1"/>
    <x v="0"/>
    <s v="CE2053"/>
    <s v="ETS KASSO IMPORT EXPORT"/>
    <n v="0"/>
    <n v="152637.58799999999"/>
  </r>
  <r>
    <s v="FAE-19-00047"/>
    <d v="2019-02-15T00:00:00"/>
    <x v="1"/>
    <x v="0"/>
    <s v="CE2053"/>
    <s v="ETS KASSO IMPORT EXPORT"/>
    <n v="0"/>
    <n v="152637.58799999999"/>
  </r>
  <r>
    <s v="FAE-19-00048"/>
    <d v="2019-02-15T00:00:00"/>
    <x v="1"/>
    <x v="0"/>
    <s v="CE2053"/>
    <s v="ETS KASSO IMPORT EXPORT"/>
    <n v="0"/>
    <n v="152320.986"/>
  </r>
  <r>
    <s v="FAE-19-00049"/>
    <d v="2019-02-19T00:00:00"/>
    <x v="1"/>
    <x v="0"/>
    <s v="CE2123"/>
    <s v="ALMAGEMUA ALMOTAHIDA co"/>
    <n v="0"/>
    <n v="451173.69400000002"/>
  </r>
  <r>
    <s v="FAE-19-00050"/>
    <d v="2019-02-20T00:00:00"/>
    <x v="1"/>
    <x v="0"/>
    <s v="CE2207"/>
    <s v="SARL SOKOM"/>
    <n v="0"/>
    <n v="28117.305"/>
  </r>
  <r>
    <s v="FAE-19-00051"/>
    <d v="2019-03-01T00:00:00"/>
    <x v="2"/>
    <x v="0"/>
    <s v="CE2025"/>
    <s v="SAWABA - GUINEE"/>
    <n v="0"/>
    <n v="225767.27"/>
  </r>
  <r>
    <s v="FAE-19-00052"/>
    <d v="2019-02-20T00:00:00"/>
    <x v="1"/>
    <x v="0"/>
    <s v="CE2017"/>
    <s v="SAHEL INTERNATIONAL TRADE"/>
    <n v="0"/>
    <n v="39411.360000000001"/>
  </r>
  <r>
    <s v="FAE-19-00053"/>
    <d v="2019-03-01T00:00:00"/>
    <x v="2"/>
    <x v="0"/>
    <s v="CE2001"/>
    <s v="STE DE COMMERCE INTERNATIONAL"/>
    <n v="0"/>
    <n v="1584"/>
  </r>
  <r>
    <s v="FAE-19-00054"/>
    <d v="2019-03-01T00:00:00"/>
    <x v="2"/>
    <x v="0"/>
    <s v="CE2178"/>
    <s v="ARCADIA INTERNATIONAL TRADING"/>
    <n v="0"/>
    <n v="14580"/>
  </r>
  <r>
    <s v="FAE-19-00055"/>
    <d v="2019-03-01T00:00:00"/>
    <x v="2"/>
    <x v="0"/>
    <s v="CE2178"/>
    <s v="ARCADIA INTERNATIONAL TRADING"/>
    <n v="0"/>
    <n v="18642.64"/>
  </r>
  <r>
    <s v="FAE-19-00056"/>
    <d v="2019-03-01T00:00:00"/>
    <x v="2"/>
    <x v="0"/>
    <s v="CE2088"/>
    <s v="STE BASSIRA INTERNATIONAL TRA"/>
    <n v="0"/>
    <n v="62957.4"/>
  </r>
  <r>
    <s v="FAE-19-00057"/>
    <d v="2019-03-06T00:00:00"/>
    <x v="2"/>
    <x v="0"/>
    <s v="CE2137"/>
    <s v="TUNISIAN AFRICAN BUSINESS"/>
    <n v="0"/>
    <n v="200492.88"/>
  </r>
  <r>
    <s v="FAE-19-00058"/>
    <d v="2019-03-01T00:00:00"/>
    <x v="2"/>
    <x v="0"/>
    <s v="CE2168"/>
    <s v="SOCIETE OMEGA TRADING"/>
    <n v="0"/>
    <n v="341600"/>
  </r>
  <r>
    <s v="FAE-19-00059"/>
    <d v="2019-03-01T00:00:00"/>
    <x v="2"/>
    <x v="0"/>
    <s v="CE2168"/>
    <s v="SOCIETE OMEGA TRADING"/>
    <n v="0"/>
    <n v="327600"/>
  </r>
  <r>
    <s v="FAE-19-00060"/>
    <d v="2019-03-01T00:00:00"/>
    <x v="2"/>
    <x v="0"/>
    <s v="CE2147"/>
    <s v="DAVIS FOOD INGREDIENT PTY Ltd"/>
    <n v="0"/>
    <n v="35803.81"/>
  </r>
  <r>
    <s v="FAE-19-00061"/>
    <d v="2019-03-01T00:00:00"/>
    <x v="2"/>
    <x v="0"/>
    <s v="CE2149"/>
    <s v="DAVIS TRADING CO LTD"/>
    <n v="0"/>
    <n v="64330.497000000003"/>
  </r>
  <r>
    <s v="FAE-19-00062"/>
    <d v="2019-03-09T00:00:00"/>
    <x v="2"/>
    <x v="0"/>
    <s v="CE2216"/>
    <s v="SOCIETE ARICOM"/>
    <n v="0"/>
    <n v="76176"/>
  </r>
  <r>
    <s v="FAE-19-00063"/>
    <d v="2019-03-09T00:00:00"/>
    <x v="2"/>
    <x v="0"/>
    <s v="CE2001"/>
    <s v="STE DE COMMERCE INTERNATIONAL"/>
    <n v="0"/>
    <n v="30600"/>
  </r>
  <r>
    <s v="FAE-19-00064"/>
    <d v="2019-04-01T00:00:00"/>
    <x v="5"/>
    <x v="0"/>
    <s v="CE2154"/>
    <s v="SODIFRAM SAS"/>
    <n v="0"/>
    <n v="46337.209000000003"/>
  </r>
  <r>
    <s v="FAE-19-00065"/>
    <d v="2019-03-12T00:00:00"/>
    <x v="2"/>
    <x v="0"/>
    <s v="CE2200"/>
    <s v="MAMUDOU BAH T/A TEDOUGNAL FARM"/>
    <n v="0"/>
    <n v="121570.74800000001"/>
  </r>
  <r>
    <s v="FAE-19-00066"/>
    <d v="2019-03-13T00:00:00"/>
    <x v="2"/>
    <x v="0"/>
    <s v="CE2123"/>
    <s v="ALMAGEMUA ALMOTAHIDA co"/>
    <n v="0"/>
    <n v="313888.73300000001"/>
  </r>
  <r>
    <s v="FAE-19-00067"/>
    <d v="2019-03-15T00:00:00"/>
    <x v="2"/>
    <x v="0"/>
    <s v="CE2168"/>
    <s v="SOCIETE OMEGA TRADING"/>
    <n v="0"/>
    <n v="352800"/>
  </r>
  <r>
    <s v="FAE-19-00068"/>
    <d v="2019-04-01T00:00:00"/>
    <x v="5"/>
    <x v="0"/>
    <s v="CE2079"/>
    <s v="BAH MAMADOU SALIOU"/>
    <n v="0"/>
    <n v="106269.402"/>
  </r>
  <r>
    <s v="FAE-19-00069"/>
    <d v="2019-03-15T00:00:00"/>
    <x v="2"/>
    <x v="0"/>
    <s v="CE2088"/>
    <s v="STE BASSIRA INTERNATIONAL TRA"/>
    <n v="0"/>
    <n v="34338"/>
  </r>
  <r>
    <s v="FAE-19-00070"/>
    <d v="2019-03-21T00:00:00"/>
    <x v="2"/>
    <x v="0"/>
    <s v="CE2178"/>
    <s v="ARCADIA INTERNATIONAL TRADING"/>
    <n v="0"/>
    <n v="28400"/>
  </r>
  <r>
    <s v="FAE-19-00071"/>
    <d v="2019-03-21T00:00:00"/>
    <x v="2"/>
    <x v="0"/>
    <s v="CE2137"/>
    <s v="TUNISIAN AFRICAN BUSINESS"/>
    <n v="0"/>
    <n v="214193"/>
  </r>
  <r>
    <s v="FAE-19-00072"/>
    <d v="2019-03-22T00:00:00"/>
    <x v="2"/>
    <x v="0"/>
    <s v="CE2178"/>
    <s v="ARCADIA INTERNATIONAL TRADING"/>
    <n v="0"/>
    <n v="28146.799999999999"/>
  </r>
  <r>
    <s v="FAE-19-00073"/>
    <d v="2019-03-22T00:00:00"/>
    <x v="2"/>
    <x v="0"/>
    <s v="CE2178"/>
    <s v="ARCADIA INTERNATIONAL TRADING"/>
    <n v="0"/>
    <n v="20607.416000000001"/>
  </r>
  <r>
    <s v="FAE-19-00074"/>
    <d v="2019-04-01T00:00:00"/>
    <x v="5"/>
    <x v="0"/>
    <s v="CE2017"/>
    <s v="SAHEL INTERNATIONAL TRADE"/>
    <n v="0"/>
    <n v="62502.720000000001"/>
  </r>
  <r>
    <s v="FAE-19-00075"/>
    <d v="2019-04-01T00:00:00"/>
    <x v="5"/>
    <x v="0"/>
    <s v="CE2215"/>
    <s v="WORLD DISTRIBUTION AND TRADE"/>
    <n v="0"/>
    <n v="222179.94399999999"/>
  </r>
  <r>
    <s v="FAE-19-00076"/>
    <d v="2019-03-26T00:00:00"/>
    <x v="2"/>
    <x v="0"/>
    <s v="CE2210"/>
    <s v="GREENLAND"/>
    <n v="0"/>
    <n v="137250"/>
  </r>
  <r>
    <s v="FAE-19-00077"/>
    <d v="2019-04-01T00:00:00"/>
    <x v="5"/>
    <x v="0"/>
    <s v="CE2178"/>
    <s v="ARCADIA INTERNATIONAL TRADING"/>
    <n v="0"/>
    <n v="79632"/>
  </r>
  <r>
    <s v="FAE-19-00078"/>
    <d v="2019-04-01T00:00:00"/>
    <x v="5"/>
    <x v="0"/>
    <s v="CE2137"/>
    <s v="TUNISIAN AFRICAN BUSINESS"/>
    <n v="0"/>
    <n v="237026.16"/>
  </r>
  <r>
    <s v="FAE-19-00079"/>
    <d v="2019-04-01T00:00:00"/>
    <x v="5"/>
    <x v="0"/>
    <s v="CE2001"/>
    <s v="STE DE COMMERCE INTERNATIONAL"/>
    <n v="0"/>
    <n v="705600"/>
  </r>
  <r>
    <s v="FAE-19-00080"/>
    <d v="2019-04-02T00:00:00"/>
    <x v="5"/>
    <x v="0"/>
    <s v="CE2088"/>
    <s v="STE BASSIRA INTERNATIONAL TRA"/>
    <n v="0"/>
    <n v="35646"/>
  </r>
  <r>
    <s v="FAE-19-00081"/>
    <d v="2019-04-02T00:00:00"/>
    <x v="5"/>
    <x v="0"/>
    <s v="CE2154"/>
    <s v="SODIFRAM SAS"/>
    <n v="0"/>
    <n v="47021.428"/>
  </r>
  <r>
    <s v="FAE-19-00082"/>
    <d v="2019-05-02T00:00:00"/>
    <x v="4"/>
    <x v="0"/>
    <s v="CE2001"/>
    <s v="STE DE COMMERCE INTERNATIONAL"/>
    <n v="0"/>
    <n v="175738"/>
  </r>
  <r>
    <s v="FAE-19-00083"/>
    <d v="2019-04-10T00:00:00"/>
    <x v="5"/>
    <x v="0"/>
    <s v="CE2178"/>
    <s v="ARCADIA INTERNATIONAL TRADING"/>
    <n v="0"/>
    <n v="30646.400000000001"/>
  </r>
  <r>
    <s v="FAE-19-00084"/>
    <d v="2019-04-10T00:00:00"/>
    <x v="5"/>
    <x v="0"/>
    <s v="CE2017"/>
    <s v="SAHEL INTERNATIONAL TRADE"/>
    <n v="0"/>
    <n v="31911.599999999999"/>
  </r>
  <r>
    <s v="FAE-19-00085"/>
    <d v="2019-05-02T00:00:00"/>
    <x v="4"/>
    <x v="0"/>
    <s v="CE2168"/>
    <s v="SOCIETE OMEGA TRADING"/>
    <n v="0"/>
    <n v="352800"/>
  </r>
  <r>
    <s v="FAE-19-00086"/>
    <d v="2019-04-10T00:00:00"/>
    <x v="5"/>
    <x v="0"/>
    <s v="CE2168"/>
    <s v="SOCIETE OMEGA TRADING"/>
    <n v="0"/>
    <n v="338000"/>
  </r>
  <r>
    <s v="FAE-19-00087"/>
    <d v="2019-04-10T00:00:00"/>
    <x v="5"/>
    <x v="0"/>
    <s v="CE2123"/>
    <s v="ALMAGEMUA ALMOTAHIDA co"/>
    <n v="0"/>
    <n v="317165.43599999999"/>
  </r>
  <r>
    <s v="FAE-19-00088"/>
    <d v="2019-04-11T00:00:00"/>
    <x v="5"/>
    <x v="0"/>
    <s v="CE2149"/>
    <s v="DAVIS TRADING CO LTD"/>
    <n v="0"/>
    <n v="66254.707999999999"/>
  </r>
  <r>
    <s v="FAE-19-00089"/>
    <d v="2019-04-13T00:00:00"/>
    <x v="5"/>
    <x v="0"/>
    <s v="CE2208"/>
    <s v="SOCIETE MIDCOM INTERNATIONAL"/>
    <n v="0"/>
    <n v="164000"/>
  </r>
  <r>
    <s v="FAE-19-00090"/>
    <d v="2019-04-17T00:00:00"/>
    <x v="5"/>
    <x v="0"/>
    <s v="CE2017"/>
    <s v="SAHEL INTERNATIONAL TRADE"/>
    <n v="0"/>
    <n v="26496"/>
  </r>
  <r>
    <s v="FAE-19-00091"/>
    <d v="2019-04-19T00:00:00"/>
    <x v="5"/>
    <x v="0"/>
    <s v="CE2137"/>
    <s v="TUNISIAN AFRICAN BUSINESS"/>
    <n v="0"/>
    <n v="148554"/>
  </r>
  <r>
    <s v="FAE-19-00092"/>
    <d v="2019-04-22T00:00:00"/>
    <x v="5"/>
    <x v="0"/>
    <s v="CE2178"/>
    <s v="ARCADIA INTERNATIONAL TRADING"/>
    <n v="0"/>
    <n v="30135"/>
  </r>
  <r>
    <s v="FAE-19-00093"/>
    <d v="2019-05-02T00:00:00"/>
    <x v="4"/>
    <x v="0"/>
    <s v="CE2178"/>
    <s v="ARCADIA INTERNATIONAL TRADING"/>
    <n v="0"/>
    <n v="28400"/>
  </r>
  <r>
    <s v="FAE-19-00094"/>
    <d v="2019-04-22T00:00:00"/>
    <x v="5"/>
    <x v="0"/>
    <s v="CE2178"/>
    <s v="ARCADIA INTERNATIONAL TRADING"/>
    <n v="0"/>
    <n v="31751.8"/>
  </r>
  <r>
    <s v="FAE-19-00095"/>
    <d v="2019-05-02T00:00:00"/>
    <x v="4"/>
    <x v="0"/>
    <s v="CE2217"/>
    <s v="AGRIGOLD INTERNATIONAL"/>
    <n v="0"/>
    <n v="3912"/>
  </r>
  <r>
    <s v="FAE-19-00096"/>
    <d v="2019-05-02T00:00:00"/>
    <x v="4"/>
    <x v="0"/>
    <s v="CE2001"/>
    <s v="STE DE COMMERCE INTERNATIONAL"/>
    <n v="0"/>
    <n v="30300"/>
  </r>
  <r>
    <s v="FAE-19-00097"/>
    <d v="2019-05-02T00:00:00"/>
    <x v="4"/>
    <x v="0"/>
    <s v="CE2017"/>
    <s v="SAHEL INTERNATIONAL TRADE"/>
    <n v="0"/>
    <n v="25439"/>
  </r>
  <r>
    <s v="FAE-19-00098"/>
    <d v="2019-04-26T00:00:00"/>
    <x v="5"/>
    <x v="0"/>
    <s v="CE2178"/>
    <s v="ARCADIA INTERNATIONAL TRADING"/>
    <n v="0"/>
    <n v="26196.400000000001"/>
  </r>
  <r>
    <s v="FAE-19-00099"/>
    <d v="2019-05-02T00:00:00"/>
    <x v="4"/>
    <x v="0"/>
    <s v="CE2017"/>
    <s v="SAHEL INTERNATIONAL TRADE"/>
    <n v="0"/>
    <n v="117789.6"/>
  </r>
  <r>
    <s v="FAE-19-00100"/>
    <d v="2019-06-26T00:00:00"/>
    <x v="6"/>
    <x v="0"/>
    <s v="CE2001"/>
    <s v="STE DE COMMERCE INTERNATIONAL"/>
    <n v="0"/>
    <n v="94711.2"/>
  </r>
  <r>
    <s v="FAE-19-00101"/>
    <d v="2019-05-03T00:00:00"/>
    <x v="4"/>
    <x v="0"/>
    <s v="CE2001"/>
    <s v="STE DE COMMERCE INTERNATIONAL"/>
    <n v="0"/>
    <n v="38360"/>
  </r>
  <r>
    <s v="FAE-19-00102"/>
    <d v="2019-05-03T00:00:00"/>
    <x v="4"/>
    <x v="0"/>
    <s v="CE2031"/>
    <s v="GROUPE AL-GAMIL"/>
    <n v="0"/>
    <n v="52574.114000000001"/>
  </r>
  <r>
    <s v="FAE-19-00103"/>
    <d v="2019-05-04T00:00:00"/>
    <x v="4"/>
    <x v="0"/>
    <s v="CE2178"/>
    <s v="ARCADIA INTERNATIONAL TRADING"/>
    <n v="0"/>
    <n v="59254.656000000003"/>
  </r>
  <r>
    <s v="FAE-19-00104"/>
    <d v="2019-05-04T00:00:00"/>
    <x v="4"/>
    <x v="0"/>
    <s v="CE2017"/>
    <s v="SAHEL INTERNATIONAL TRADE"/>
    <n v="0"/>
    <n v="31752"/>
  </r>
  <r>
    <s v="FAE-19-00105"/>
    <d v="2019-05-04T00:00:00"/>
    <x v="4"/>
    <x v="0"/>
    <s v="CE2216"/>
    <s v="SOCIETE ARICOM"/>
    <n v="0"/>
    <n v="149040"/>
  </r>
  <r>
    <s v="FAE-19-00106"/>
    <d v="2019-06-01T00:00:00"/>
    <x v="6"/>
    <x v="0"/>
    <s v="CE2165"/>
    <s v="ANGSTREM TRADING COMPANY &quot;AFG&quot;"/>
    <n v="0"/>
    <n v="41174.370000000003"/>
  </r>
  <r>
    <s v="FAE-19-00107"/>
    <d v="2019-05-08T00:00:00"/>
    <x v="4"/>
    <x v="0"/>
    <s v="CE2079"/>
    <s v="BAH MAMADOU SALIOU"/>
    <n v="0"/>
    <n v="113418.731"/>
  </r>
  <r>
    <s v="FAE-19-00108"/>
    <d v="2019-05-08T00:00:00"/>
    <x v="4"/>
    <x v="0"/>
    <s v="CE2154"/>
    <s v="SODIFRAM SAS"/>
    <n v="0"/>
    <n v="47506.108"/>
  </r>
  <r>
    <s v="FAE-19-00109"/>
    <d v="2019-05-09T00:00:00"/>
    <x v="4"/>
    <x v="0"/>
    <s v="CE2122"/>
    <s v="STE OMRANE LES CINQ ETOILES"/>
    <n v="0"/>
    <n v="35151.201999999997"/>
  </r>
  <r>
    <s v="FAE-19-00110"/>
    <d v="2019-05-09T00:00:00"/>
    <x v="4"/>
    <x v="0"/>
    <s v="CE2025"/>
    <s v="SAWABA - GUINEE"/>
    <n v="0"/>
    <n v="430252.929"/>
  </r>
  <r>
    <s v="FAE-19-00111"/>
    <d v="2019-05-11T00:00:00"/>
    <x v="4"/>
    <x v="0"/>
    <s v="CE2137"/>
    <s v="TUNISIAN AFRICAN BUSINESS"/>
    <n v="0"/>
    <n v="236365.92"/>
  </r>
  <r>
    <s v="FAE-19-00112"/>
    <d v="2019-05-15T00:00:00"/>
    <x v="4"/>
    <x v="0"/>
    <s v="CE2001"/>
    <s v="STE DE COMMERCE INTERNATIONAL"/>
    <n v="0"/>
    <n v="722400"/>
  </r>
  <r>
    <s v="FAE-19-00113"/>
    <d v="2019-05-20T00:00:00"/>
    <x v="4"/>
    <x v="0"/>
    <s v="CE2178"/>
    <s v="ARCADIA INTERNATIONAL TRADING"/>
    <n v="0"/>
    <n v="29600"/>
  </r>
  <r>
    <s v="FAE-19-00114"/>
    <d v="2019-05-21T00:00:00"/>
    <x v="4"/>
    <x v="0"/>
    <s v="CE2147"/>
    <s v="DAVIS FOOD INGREDIENT PTY Ltd"/>
    <n v="0"/>
    <n v="28940.233"/>
  </r>
  <r>
    <s v="FAE-19-00115"/>
    <d v="2019-05-21T00:00:00"/>
    <x v="4"/>
    <x v="0"/>
    <s v="CE2218"/>
    <s v="SHARIKAT AL HAD AL AKSA"/>
    <n v="0"/>
    <n v="802972.56"/>
  </r>
  <r>
    <s v="FAE-19-00116"/>
    <d v="2019-12-02T00:00:00"/>
    <x v="7"/>
    <x v="0"/>
    <s v="CE2178"/>
    <s v="ARCADIA INTERNATIONAL TRADING"/>
    <n v="0"/>
    <n v="47253.4"/>
  </r>
  <r>
    <s v="FAE-19-00117"/>
    <d v="2019-06-01T00:00:00"/>
    <x v="6"/>
    <x v="0"/>
    <s v="CE2178"/>
    <s v="ARCADIA INTERNATIONAL TRADING"/>
    <n v="0"/>
    <n v="53088"/>
  </r>
  <r>
    <s v="FAE-19-00118"/>
    <d v="2019-05-23T00:00:00"/>
    <x v="4"/>
    <x v="0"/>
    <s v="CE2178"/>
    <s v="ARCADIA INTERNATIONAL TRADING"/>
    <n v="0"/>
    <n v="31450"/>
  </r>
  <r>
    <s v="FAE-19-00119"/>
    <d v="2019-07-01T00:00:00"/>
    <x v="8"/>
    <x v="0"/>
    <s v="CE2178"/>
    <s v="ARCADIA INTERNATIONAL TRADING"/>
    <n v="0"/>
    <n v="33462.06"/>
  </r>
  <r>
    <s v="FAE-19-00120"/>
    <d v="2019-05-24T00:00:00"/>
    <x v="4"/>
    <x v="0"/>
    <s v="CE2123"/>
    <s v="ALMAGEMUA ALMOTAHIDA co"/>
    <n v="0"/>
    <n v="234474.15400000001"/>
  </r>
  <r>
    <s v="FAE-19-00121"/>
    <d v="2019-05-25T00:00:00"/>
    <x v="4"/>
    <x v="0"/>
    <s v="CE2178"/>
    <s v="ARCADIA INTERNATIONAL TRADING"/>
    <n v="0"/>
    <n v="31272.428"/>
  </r>
  <r>
    <s v="FAE-19-00122"/>
    <d v="2019-06-01T00:00:00"/>
    <x v="6"/>
    <x v="0"/>
    <s v="CE2178"/>
    <s v="ARCADIA INTERNATIONAL TRADING"/>
    <n v="0"/>
    <n v="14485.28"/>
  </r>
  <r>
    <s v="FAE-19-00123"/>
    <d v="2019-06-01T00:00:00"/>
    <x v="6"/>
    <x v="0"/>
    <s v="CE2001"/>
    <s v="STE DE COMMERCE INTERNATIONAL"/>
    <n v="0"/>
    <n v="722400"/>
  </r>
  <r>
    <s v="FAE-19-00124"/>
    <d v="2019-06-01T00:00:00"/>
    <x v="6"/>
    <x v="0"/>
    <s v="CE2137"/>
    <s v="TUNISIAN AFRICAN BUSINESS"/>
    <n v="0"/>
    <n v="393503.04"/>
  </r>
  <r>
    <s v="FAE-19-00125"/>
    <d v="2019-06-01T00:00:00"/>
    <x v="6"/>
    <x v="0"/>
    <s v="CE2017"/>
    <s v="SAHEL INTERNATIONAL TRADE"/>
    <n v="0"/>
    <n v="31752"/>
  </r>
  <r>
    <s v="FAE-19-00126"/>
    <d v="2019-06-03T00:00:00"/>
    <x v="6"/>
    <x v="0"/>
    <s v="CE2017"/>
    <s v="SAHEL INTERNATIONAL TRADE"/>
    <n v="0"/>
    <n v="79331.28"/>
  </r>
  <r>
    <s v="FAE-19-00127"/>
    <d v="2019-06-10T00:00:00"/>
    <x v="6"/>
    <x v="0"/>
    <s v="CE2178"/>
    <s v="ARCADIA INTERNATIONAL TRADING"/>
    <n v="0"/>
    <n v="8652"/>
  </r>
  <r>
    <s v="FAE-19-00128"/>
    <d v="2019-06-10T00:00:00"/>
    <x v="6"/>
    <x v="0"/>
    <s v="CE2219"/>
    <s v="ADVENS - FRANCE"/>
    <n v="0"/>
    <n v="34954.5"/>
  </r>
  <r>
    <s v="FAE-19-00129"/>
    <d v="2019-06-13T00:00:00"/>
    <x v="6"/>
    <x v="0"/>
    <s v="CE2178"/>
    <s v="ARCADIA INTERNATIONAL TRADING"/>
    <n v="0"/>
    <n v="16875.056"/>
  </r>
  <r>
    <s v="FAE-19-00130"/>
    <d v="2019-06-13T00:00:00"/>
    <x v="6"/>
    <x v="0"/>
    <s v="CE2149"/>
    <s v="DAVIS TRADING CO LTD"/>
    <n v="0"/>
    <n v="68288.070000000007"/>
  </r>
  <r>
    <s v="FAE-19-00131"/>
    <d v="2019-06-18T00:00:00"/>
    <x v="6"/>
    <x v="0"/>
    <s v="CE2154"/>
    <s v="SODIFRAM SAS"/>
    <n v="0"/>
    <n v="47545.749000000003"/>
  </r>
  <r>
    <s v="FAE-19-00132"/>
    <d v="2019-06-18T00:00:00"/>
    <x v="6"/>
    <x v="0"/>
    <s v="CE2200"/>
    <s v="MAMUDOU BAH T/A TEDOUGNAL FARM"/>
    <n v="0"/>
    <n v="117093.796"/>
  </r>
  <r>
    <s v="FAE-19-00133"/>
    <d v="2019-06-19T00:00:00"/>
    <x v="6"/>
    <x v="0"/>
    <s v="CE2220"/>
    <s v="MAHARA ALAMIA FOR IMP EXP FOOD"/>
    <n v="0"/>
    <n v="223907.85"/>
  </r>
  <r>
    <s v="FAE-19-00134"/>
    <d v="2019-06-21T00:00:00"/>
    <x v="6"/>
    <x v="0"/>
    <s v="CE2017"/>
    <s v="SAHEL INTERNATIONAL TRADE"/>
    <n v="0"/>
    <n v="426510"/>
  </r>
  <r>
    <s v="FAE-19-00135"/>
    <d v="2019-07-01T00:00:00"/>
    <x v="8"/>
    <x v="0"/>
    <s v="CE2001"/>
    <s v="STE DE COMMERCE INTERNATIONAL"/>
    <n v="0"/>
    <n v="361200"/>
  </r>
  <r>
    <s v="FAE-19-00136"/>
    <d v="2019-08-01T00:00:00"/>
    <x v="3"/>
    <x v="0"/>
    <s v="CE2169"/>
    <s v="RAMMAL ORIGINAL"/>
    <n v="0"/>
    <n v="45676.858"/>
  </r>
  <r>
    <s v="FAE-19-00137"/>
    <d v="2019-07-01T00:00:00"/>
    <x v="8"/>
    <x v="0"/>
    <s v="CE2017"/>
    <s v="SAHEL INTERNATIONAL TRADE"/>
    <n v="0"/>
    <n v="565215"/>
  </r>
  <r>
    <s v="FAE-19-00138"/>
    <d v="2019-08-20T00:00:00"/>
    <x v="3"/>
    <x v="0"/>
    <s v="CE2221"/>
    <s v="SOCIETE AL BADR EXPORT"/>
    <n v="0"/>
    <n v="85248"/>
  </r>
  <r>
    <s v="FAE-19-00139"/>
    <d v="2019-12-02T00:00:00"/>
    <x v="7"/>
    <x v="0"/>
    <s v="CE2079"/>
    <s v="BAH MAMADOU SALIOU"/>
    <n v="0"/>
    <n v="106290.005"/>
  </r>
  <r>
    <s v="FAE-19-00140"/>
    <d v="2019-07-01T00:00:00"/>
    <x v="8"/>
    <x v="0"/>
    <s v="CE2025"/>
    <s v="SAWABA - GUINEE"/>
    <n v="0"/>
    <n v="348446.20799999998"/>
  </r>
  <r>
    <s v="FAE-19-00141"/>
    <d v="2019-07-01T00:00:00"/>
    <x v="8"/>
    <x v="0"/>
    <s v="CE2053"/>
    <s v="ETS KASSO IMPORT EXPORT"/>
    <n v="0"/>
    <n v="151004.304"/>
  </r>
  <r>
    <s v="FAE-19-00142"/>
    <d v="2019-07-01T00:00:00"/>
    <x v="8"/>
    <x v="0"/>
    <s v="CE2053"/>
    <s v="ETS KASSO IMPORT EXPORT"/>
    <n v="0"/>
    <n v="151004.304"/>
  </r>
  <r>
    <s v="FAE-19-00143"/>
    <d v="2019-07-01T00:00:00"/>
    <x v="8"/>
    <x v="0"/>
    <s v="CE2053"/>
    <s v="ETS KASSO IMPORT EXPORT"/>
    <n v="0"/>
    <n v="150570.09"/>
  </r>
  <r>
    <s v="FAE-19-00144"/>
    <d v="2019-07-01T00:00:00"/>
    <x v="8"/>
    <x v="0"/>
    <s v="CE2137"/>
    <s v="TUNISIAN AFRICAN BUSINESS"/>
    <n v="0"/>
    <n v="422553.59999999998"/>
  </r>
  <r>
    <s v="FAE-19-00145"/>
    <d v="2019-07-01T00:00:00"/>
    <x v="8"/>
    <x v="0"/>
    <s v="CE2178"/>
    <s v="ARCADIA INTERNATIONAL TRADING"/>
    <n v="0"/>
    <n v="31450"/>
  </r>
  <r>
    <s v="FAE-19-00146"/>
    <d v="2019-07-01T00:00:00"/>
    <x v="8"/>
    <x v="0"/>
    <s v="CE2178"/>
    <s v="ARCADIA INTERNATIONAL TRADING"/>
    <n v="0"/>
    <n v="32800"/>
  </r>
  <r>
    <s v="FAE-19-00147"/>
    <d v="2019-07-04T00:00:00"/>
    <x v="8"/>
    <x v="0"/>
    <s v="CE2017"/>
    <s v="SAHEL INTERNATIONAL TRADE"/>
    <n v="0"/>
    <n v="31911.599999999999"/>
  </r>
  <r>
    <s v="FAE-19-00148"/>
    <d v="2019-07-04T00:00:00"/>
    <x v="8"/>
    <x v="0"/>
    <s v="CE2017"/>
    <s v="SAHEL INTERNATIONAL TRADE"/>
    <n v="0"/>
    <n v="29340"/>
  </r>
  <r>
    <s v="FAE-19-00149"/>
    <d v="2019-07-08T00:00:00"/>
    <x v="8"/>
    <x v="0"/>
    <s v="CE2154"/>
    <s v="SODIFRAM SAS"/>
    <n v="0"/>
    <n v="48460.243000000002"/>
  </r>
  <r>
    <s v="FAE-19-00150"/>
    <d v="2019-07-08T00:00:00"/>
    <x v="8"/>
    <x v="0"/>
    <s v="CE2001"/>
    <s v="STE DE COMMERCE INTERNATIONAL"/>
    <n v="0"/>
    <n v="33714"/>
  </r>
  <r>
    <s v="FAE-19-00151"/>
    <d v="2019-07-08T00:00:00"/>
    <x v="8"/>
    <x v="0"/>
    <s v="CE2178"/>
    <s v="ARCADIA INTERNATIONAL TRADING"/>
    <n v="0"/>
    <n v="17192.759999999998"/>
  </r>
  <r>
    <s v="FAE-19-00152"/>
    <d v="2019-07-08T00:00:00"/>
    <x v="8"/>
    <x v="0"/>
    <s v="CE2178"/>
    <s v="ARCADIA INTERNATIONAL TRADING"/>
    <n v="0"/>
    <n v="79632"/>
  </r>
  <r>
    <s v="FAE-19-00153"/>
    <d v="2019-07-08T00:00:00"/>
    <x v="8"/>
    <x v="0"/>
    <s v="CE2178"/>
    <s v="ARCADIA INTERNATIONAL TRADING"/>
    <n v="0"/>
    <n v="33462.06"/>
  </r>
  <r>
    <s v="FAE-19-00154"/>
    <d v="2019-12-02T00:00:00"/>
    <x v="7"/>
    <x v="0"/>
    <s v="CE2178"/>
    <s v="ARCADIA INTERNATIONAL TRADING"/>
    <n v="0"/>
    <n v="33460.284"/>
  </r>
  <r>
    <s v="FAE-19-00155"/>
    <d v="2019-07-08T00:00:00"/>
    <x v="8"/>
    <x v="0"/>
    <s v="CE2178"/>
    <s v="ARCADIA INTERNATIONAL TRADING"/>
    <n v="0"/>
    <n v="26577.407999999999"/>
  </r>
  <r>
    <s v="FAE-19-00156"/>
    <d v="2019-07-15T00:00:00"/>
    <x v="8"/>
    <x v="0"/>
    <s v="CE2137"/>
    <s v="TUNISIAN AFRICAN BUSINESS"/>
    <n v="0"/>
    <n v="364452.48"/>
  </r>
  <r>
    <s v="FAE-19-00158"/>
    <d v="2019-08-02T00:00:00"/>
    <x v="3"/>
    <x v="0"/>
    <s v="CE2200"/>
    <s v="MAMUDOU BAH T/A TEDOUGNAL FARM"/>
    <n v="0"/>
    <n v="71216.180999999997"/>
  </r>
  <r>
    <s v="FAE-19-00159"/>
    <d v="2019-08-01T00:00:00"/>
    <x v="3"/>
    <x v="0"/>
    <s v="CE2001"/>
    <s v="STE DE COMMERCE INTERNATIONAL"/>
    <n v="0"/>
    <n v="5712"/>
  </r>
  <r>
    <s v="FAE-19-00160"/>
    <d v="2019-08-01T00:00:00"/>
    <x v="3"/>
    <x v="0"/>
    <s v="CE2001"/>
    <s v="STE DE COMMERCE INTERNATIONAL"/>
    <n v="0"/>
    <n v="37570"/>
  </r>
  <r>
    <s v="FAE-19-00161"/>
    <d v="2019-07-23T00:00:00"/>
    <x v="8"/>
    <x v="0"/>
    <s v="CE2017"/>
    <s v="SAHEL INTERNATIONAL TRADE"/>
    <n v="0"/>
    <n v="63663.6"/>
  </r>
  <r>
    <s v="FAE-19-00162"/>
    <d v="2019-08-02T00:00:00"/>
    <x v="3"/>
    <x v="0"/>
    <s v="CE2178"/>
    <s v="ARCADIA INTERNATIONAL TRADING"/>
    <n v="0"/>
    <n v="31600"/>
  </r>
  <r>
    <s v="FAE-19-00163"/>
    <d v="2019-08-07T00:00:00"/>
    <x v="3"/>
    <x v="0"/>
    <s v="CE2137"/>
    <s v="TUNISIAN AFRICAN BUSINESS"/>
    <n v="0"/>
    <n v="334081.44"/>
  </r>
  <r>
    <s v="FAE-19-00164"/>
    <d v="2019-08-05T00:00:00"/>
    <x v="3"/>
    <x v="0"/>
    <s v="CE2025"/>
    <s v="SAWABA - GUINEE"/>
    <n v="0"/>
    <n v="433784.58199999999"/>
  </r>
  <r>
    <s v="FAE-19-00165"/>
    <d v="2019-08-07T00:00:00"/>
    <x v="3"/>
    <x v="0"/>
    <s v="CE2123"/>
    <s v="ALMAGEMUA ALMOTAHIDA co"/>
    <n v="0"/>
    <n v="311604.005"/>
  </r>
  <r>
    <s v="FAE-19-00166"/>
    <d v="2019-08-08T00:00:00"/>
    <x v="3"/>
    <x v="0"/>
    <s v="CE2178"/>
    <s v="ARCADIA INTERNATIONAL TRADING"/>
    <n v="0"/>
    <n v="36482.080000000002"/>
  </r>
  <r>
    <s v="FAE-19-00167"/>
    <d v="2019-08-08T00:00:00"/>
    <x v="3"/>
    <x v="0"/>
    <s v="CE2178"/>
    <s v="ARCADIA INTERNATIONAL TRADING"/>
    <n v="0"/>
    <n v="32297.759999999998"/>
  </r>
  <r>
    <s v="FAE-19-00168"/>
    <d v="2019-08-08T00:00:00"/>
    <x v="3"/>
    <x v="0"/>
    <s v="CE2164"/>
    <s v="STE MEDILIFE IMPORT &amp; EXPORT"/>
    <n v="0"/>
    <n v="33012"/>
  </r>
  <r>
    <s v="FAE-19-00169"/>
    <d v="2019-08-08T00:00:00"/>
    <x v="3"/>
    <x v="0"/>
    <s v="CE2222"/>
    <s v="ABOURA FOODS"/>
    <n v="0"/>
    <n v="37055.718000000001"/>
  </r>
  <r>
    <s v="FAE-19-00170"/>
    <d v="2019-08-15T00:00:00"/>
    <x v="3"/>
    <x v="0"/>
    <s v="CE2017"/>
    <s v="SAHEL INTERNATIONAL TRADE"/>
    <n v="0"/>
    <n v="33452.160000000003"/>
  </r>
  <r>
    <s v="FAE-19-00171"/>
    <d v="2019-08-15T00:00:00"/>
    <x v="3"/>
    <x v="0"/>
    <s v="CE2178"/>
    <s v="ARCADIA INTERNATIONAL TRADING"/>
    <n v="0"/>
    <n v="31600"/>
  </r>
  <r>
    <s v="FAE-19-00172"/>
    <d v="2019-08-15T00:00:00"/>
    <x v="3"/>
    <x v="0"/>
    <s v="CE2137"/>
    <s v="TUNISIAN AFRICAN BUSINESS"/>
    <n v="0"/>
    <n v="158650"/>
  </r>
  <r>
    <s v="FAE-19-00173"/>
    <d v="2019-08-19T00:00:00"/>
    <x v="3"/>
    <x v="0"/>
    <s v="CE2137"/>
    <s v="TUNISIAN AFRICAN BUSINESS"/>
    <n v="0"/>
    <n v="77527.600000000006"/>
  </r>
  <r>
    <s v="FAE-19-00174"/>
    <d v="2019-08-20T00:00:00"/>
    <x v="3"/>
    <x v="0"/>
    <s v="CE2053"/>
    <s v="ETS KASSO IMPORT EXPORT"/>
    <n v="0"/>
    <n v="147477.18599999999"/>
  </r>
  <r>
    <s v="FAE-19-00175"/>
    <d v="2019-08-20T00:00:00"/>
    <x v="3"/>
    <x v="0"/>
    <s v="CE2053"/>
    <s v="ETS KASSO IMPORT EXPORT"/>
    <n v="0"/>
    <n v="147398.23800000001"/>
  </r>
  <r>
    <s v="FAE-19-00176"/>
    <d v="2019-09-02T00:00:00"/>
    <x v="9"/>
    <x v="0"/>
    <s v="CE2053"/>
    <s v="ETS KASSO IMPORT EXPORT"/>
    <n v="0"/>
    <n v="147159.07199999999"/>
  </r>
  <r>
    <s v="FAE-19-00177"/>
    <d v="2019-09-06T00:00:00"/>
    <x v="9"/>
    <x v="0"/>
    <s v="CE2001"/>
    <s v="STE DE COMMERCE INTERNATIONAL"/>
    <n v="0"/>
    <n v="700000"/>
  </r>
  <r>
    <s v="FAE-19-00178"/>
    <d v="2019-12-02T00:00:00"/>
    <x v="7"/>
    <x v="0"/>
    <s v="CE2154"/>
    <s v="SODIFRAM SAS"/>
    <n v="0"/>
    <n v="45583.534"/>
  </r>
  <r>
    <s v="FAE-19-00179"/>
    <d v="2019-08-26T00:00:00"/>
    <x v="3"/>
    <x v="0"/>
    <s v="CE2149"/>
    <s v="DAVIS TRADING CO LTD"/>
    <n v="0"/>
    <n v="58144.65"/>
  </r>
  <r>
    <s v="FAE-19-00180"/>
    <d v="2019-09-09T00:00:00"/>
    <x v="9"/>
    <x v="0"/>
    <s v="CE2165"/>
    <s v="ANGSTREM TRADING COMPANY &quot;AFG&quot;"/>
    <n v="0"/>
    <n v="39699.839999999997"/>
  </r>
  <r>
    <s v="FAE-19-00181"/>
    <d v="2019-09-06T00:00:00"/>
    <x v="9"/>
    <x v="0"/>
    <s v="CE2178"/>
    <s v="ARCADIA INTERNATIONAL TRADING"/>
    <n v="0"/>
    <n v="40271.616000000002"/>
  </r>
  <r>
    <s v="FAE-19-00182"/>
    <d v="2019-09-02T00:00:00"/>
    <x v="9"/>
    <x v="0"/>
    <s v="CE2017"/>
    <s v="SAHEL INTERNATIONAL TRADE"/>
    <n v="0"/>
    <n v="33452.160000000003"/>
  </r>
  <r>
    <s v="FAE-19-00183"/>
    <d v="2019-09-02T00:00:00"/>
    <x v="9"/>
    <x v="0"/>
    <s v="CE2017"/>
    <s v="SAHEL INTERNATIONAL TRADE"/>
    <n v="0"/>
    <n v="30144"/>
  </r>
  <r>
    <s v="FAE-19-00184"/>
    <d v="2019-09-06T00:00:00"/>
    <x v="9"/>
    <x v="0"/>
    <s v="CE2137"/>
    <s v="TUNISIAN AFRICAN BUSINESS"/>
    <n v="0"/>
    <n v="147453.6"/>
  </r>
  <r>
    <s v="FAE-19-00185"/>
    <d v="2019-09-04T00:00:00"/>
    <x v="9"/>
    <x v="0"/>
    <s v="CE2001"/>
    <s v="STE DE COMMERCE INTERNATIONAL"/>
    <n v="0"/>
    <n v="88704"/>
  </r>
  <r>
    <s v="FAE-19-00186"/>
    <d v="2019-09-04T00:00:00"/>
    <x v="9"/>
    <x v="0"/>
    <s v="CE2137"/>
    <s v="TUNISIAN AFRICAN BUSINESS"/>
    <n v="0"/>
    <n v="115500"/>
  </r>
  <r>
    <s v="FAE-19-00187"/>
    <d v="2019-09-04T00:00:00"/>
    <x v="9"/>
    <x v="0"/>
    <s v="CE2178"/>
    <s v="ARCADIA INTERNATIONAL TRADING"/>
    <n v="0"/>
    <n v="63200"/>
  </r>
  <r>
    <s v="FAE-19-00188"/>
    <d v="2019-09-06T00:00:00"/>
    <x v="9"/>
    <x v="0"/>
    <s v="CE2017"/>
    <s v="SAHEL INTERNATIONAL TRADE"/>
    <n v="0"/>
    <n v="26496"/>
  </r>
  <r>
    <s v="FAE-19-00189"/>
    <d v="2019-10-01T00:00:00"/>
    <x v="10"/>
    <x v="0"/>
    <s v="CE2001"/>
    <s v="STE DE COMMERCE INTERNATIONAL"/>
    <n v="0"/>
    <n v="76720"/>
  </r>
  <r>
    <s v="FAE-19-00190"/>
    <d v="2019-09-11T00:00:00"/>
    <x v="9"/>
    <x v="0"/>
    <s v="CE2168"/>
    <s v="SOCIETE OMEGA TRADING"/>
    <n v="0"/>
    <n v="350000"/>
  </r>
  <r>
    <s v="FAE-19-00191"/>
    <d v="2019-09-11T00:00:00"/>
    <x v="9"/>
    <x v="0"/>
    <s v="CE2025"/>
    <s v="SAWABA - GUINEE"/>
    <n v="0"/>
    <n v="344818.14"/>
  </r>
  <r>
    <s v="FAE-19-00192"/>
    <d v="2019-09-11T00:00:00"/>
    <x v="9"/>
    <x v="0"/>
    <s v="CE2165"/>
    <s v="ANGSTREM TRADING COMPANY &quot;AFG&quot;"/>
    <n v="0"/>
    <n v="39346.559999999998"/>
  </r>
  <r>
    <s v="FAE-19-00193"/>
    <d v="2019-10-01T00:00:00"/>
    <x v="10"/>
    <x v="0"/>
    <s v="CE2165"/>
    <s v="ANGSTREM TRADING COMPANY &quot;AFG&quot;"/>
    <n v="0"/>
    <n v="37905.665000000001"/>
  </r>
  <r>
    <s v="FAE-19-00194"/>
    <d v="2019-09-11T00:00:00"/>
    <x v="9"/>
    <x v="0"/>
    <s v="CE2149"/>
    <s v="DAVIS TRADING CO LTD"/>
    <n v="0"/>
    <n v="64906.142"/>
  </r>
  <r>
    <s v="FAE-19-00195"/>
    <d v="2019-09-11T00:00:00"/>
    <x v="9"/>
    <x v="0"/>
    <s v="CE2208"/>
    <s v="SOCIETE MIDCOM INTERNATIONAL"/>
    <n v="0"/>
    <n v="62400"/>
  </r>
  <r>
    <s v="FAE-19-00196"/>
    <d v="2019-10-01T00:00:00"/>
    <x v="10"/>
    <x v="0"/>
    <s v="CE2137"/>
    <s v="TUNISIAN AFRICAN BUSINESS"/>
    <n v="0"/>
    <n v="176944.32"/>
  </r>
  <r>
    <s v="FAE-19-00197"/>
    <d v="2019-10-01T00:00:00"/>
    <x v="10"/>
    <x v="0"/>
    <s v="CE2178"/>
    <s v="ARCADIA INTERNATIONAL TRADING"/>
    <n v="0"/>
    <n v="33290.004000000001"/>
  </r>
  <r>
    <s v="FAE-19-00198"/>
    <d v="2019-09-23T00:00:00"/>
    <x v="9"/>
    <x v="0"/>
    <s v="CE2220"/>
    <s v="MAHARA ALAMIA FOR IMP EXP FOOD"/>
    <n v="0"/>
    <n v="257926.5"/>
  </r>
  <r>
    <s v="FAE-19-00199"/>
    <d v="2019-09-23T00:00:00"/>
    <x v="9"/>
    <x v="0"/>
    <s v="CE2017"/>
    <s v="SAHEL INTERNATIONAL TRADE"/>
    <n v="0"/>
    <n v="31632"/>
  </r>
  <r>
    <s v="FAE-19-00200"/>
    <d v="2019-10-01T00:00:00"/>
    <x v="10"/>
    <x v="0"/>
    <s v="CE2208"/>
    <s v="SOCIETE MIDCOM INTERNATIONAL"/>
    <n v="0"/>
    <n v="160000"/>
  </r>
  <r>
    <s v="FAE-19-00201"/>
    <d v="2019-10-01T00:00:00"/>
    <x v="10"/>
    <x v="0"/>
    <s v="CE2168"/>
    <s v="SOCIETE OMEGA TRADING"/>
    <n v="0"/>
    <n v="350000"/>
  </r>
  <r>
    <s v="FAE-19-00202"/>
    <d v="2019-10-01T00:00:00"/>
    <x v="10"/>
    <x v="0"/>
    <s v="CE2178"/>
    <s v="ARCADIA INTERNATIONAL TRADING"/>
    <n v="0"/>
    <n v="31600"/>
  </r>
  <r>
    <s v="FAE-19-00203"/>
    <d v="2019-11-01T00:00:00"/>
    <x v="11"/>
    <x v="0"/>
    <s v="CE2212"/>
    <s v="TIMBI MADINA"/>
    <n v="0"/>
    <n v="87125.15"/>
  </r>
  <r>
    <s v="FAE-19-00204"/>
    <d v="2019-10-03T00:00:00"/>
    <x v="10"/>
    <x v="0"/>
    <s v="CE2001"/>
    <s v="STE DE COMMERCE INTERNATIONAL"/>
    <n v="0"/>
    <n v="37570"/>
  </r>
  <r>
    <s v="FAE-19-00205"/>
    <d v="2019-10-03T00:00:00"/>
    <x v="10"/>
    <x v="0"/>
    <s v="CE2137"/>
    <s v="TUNISIAN AFRICAN BUSINESS"/>
    <n v="0"/>
    <n v="86491.44"/>
  </r>
  <r>
    <s v="FAE-19-00206"/>
    <d v="2019-10-03T00:00:00"/>
    <x v="10"/>
    <x v="0"/>
    <s v="CE2137"/>
    <s v="TUNISIAN AFRICAN BUSINESS"/>
    <n v="0"/>
    <n v="116480"/>
  </r>
  <r>
    <s v="FAE-19-00207"/>
    <d v="2019-10-11T00:00:00"/>
    <x v="10"/>
    <x v="0"/>
    <s v="CE2017"/>
    <s v="SAHEL INTERNATIONAL TRADE"/>
    <n v="0"/>
    <n v="29160"/>
  </r>
  <r>
    <s v="FAE-19-00208"/>
    <d v="2019-10-11T00:00:00"/>
    <x v="10"/>
    <x v="0"/>
    <s v="CE2017"/>
    <s v="SAHEL INTERNATIONAL TRADE"/>
    <n v="0"/>
    <n v="30340"/>
  </r>
  <r>
    <s v="FAE-19-00209"/>
    <d v="2019-10-11T00:00:00"/>
    <x v="10"/>
    <x v="0"/>
    <s v="CE2001"/>
    <s v="STE DE COMMERCE INTERNATIONAL"/>
    <n v="0"/>
    <n v="36213"/>
  </r>
  <r>
    <s v="FAE-19-00210"/>
    <d v="2019-10-14T00:00:00"/>
    <x v="10"/>
    <x v="0"/>
    <s v="CE2017"/>
    <s v="SAHEL INTERNATIONAL TRADE"/>
    <n v="0"/>
    <n v="118548"/>
  </r>
  <r>
    <s v="FAE-19-00211"/>
    <d v="2019-10-17T00:00:00"/>
    <x v="10"/>
    <x v="0"/>
    <s v="CE2222"/>
    <s v="ABOURA FOODS"/>
    <n v="0"/>
    <n v="49556.038"/>
  </r>
  <r>
    <s v="FAE-19-00212"/>
    <d v="2019-12-03T00:00:00"/>
    <x v="7"/>
    <x v="0"/>
    <s v="CE2123"/>
    <s v="ALMAGEMUA ALMOTAHIDA co"/>
    <n v="0"/>
    <n v="334542.527"/>
  </r>
  <r>
    <s v="FAE-19-00213"/>
    <d v="2019-11-01T00:00:00"/>
    <x v="11"/>
    <x v="0"/>
    <s v="CE2053"/>
    <s v="ETS KASSO IMPORT EXPORT"/>
    <n v="0"/>
    <n v="146464.79399999999"/>
  </r>
  <r>
    <s v="FAE-19-00214"/>
    <d v="2019-11-02T00:00:00"/>
    <x v="11"/>
    <x v="0"/>
    <s v="CE2053"/>
    <s v="ETS KASSO IMPORT EXPORT"/>
    <n v="0"/>
    <n v="146464.79399999999"/>
  </r>
  <r>
    <s v="FAE-19-00215"/>
    <d v="2019-11-06T00:00:00"/>
    <x v="11"/>
    <x v="0"/>
    <s v="CE2017"/>
    <s v="SAHEL INTERNATIONAL TRADE"/>
    <n v="0"/>
    <n v="30144"/>
  </r>
  <r>
    <s v="FAE-19-00216"/>
    <d v="2019-10-22T00:00:00"/>
    <x v="10"/>
    <x v="0"/>
    <s v="CE2001"/>
    <s v="STE DE COMMERCE INTERNATIONAL"/>
    <n v="0"/>
    <n v="30000"/>
  </r>
  <r>
    <s v="FAE-19-00217"/>
    <d v="2019-10-22T00:00:00"/>
    <x v="10"/>
    <x v="0"/>
    <s v="CE2178"/>
    <s v="ARCADIA INTERNATIONAL TRADING"/>
    <n v="0"/>
    <n v="33290.004000000001"/>
  </r>
  <r>
    <s v="FAE-19-00218"/>
    <d v="2019-11-04T00:00:00"/>
    <x v="11"/>
    <x v="0"/>
    <s v="CE2223"/>
    <s v="MIKSAB IMPORT EXPORT S.R.L"/>
    <n v="0"/>
    <n v="49439.207000000002"/>
  </r>
  <r>
    <s v="FAE-19-00219"/>
    <d v="2019-11-04T00:00:00"/>
    <x v="11"/>
    <x v="0"/>
    <s v="CE2001"/>
    <s v="STE DE COMMERCE INTERNATIONAL"/>
    <n v="0"/>
    <n v="151363.68"/>
  </r>
  <r>
    <s v="FAE-19-00220"/>
    <d v="2019-11-06T00:00:00"/>
    <x v="11"/>
    <x v="0"/>
    <s v="CE2178"/>
    <s v="ARCADIA INTERNATIONAL TRADING"/>
    <n v="0"/>
    <n v="17999.272000000001"/>
  </r>
  <r>
    <s v="FAE-19-00221"/>
    <d v="2019-11-02T00:00:00"/>
    <x v="11"/>
    <x v="0"/>
    <s v="CE2165"/>
    <s v="ANGSTREM TRADING COMPANY &quot;AFG&quot;"/>
    <n v="0"/>
    <n v="36167.040000000001"/>
  </r>
  <r>
    <s v="FAE-19-00222"/>
    <d v="2019-11-11T00:00:00"/>
    <x v="11"/>
    <x v="0"/>
    <s v="CE2001"/>
    <s v="STE DE COMMERCE INTERNATIONAL"/>
    <n v="0"/>
    <n v="38032.800000000003"/>
  </r>
  <r>
    <s v="FAE-19-00223"/>
    <d v="2019-11-01T00:00:00"/>
    <x v="11"/>
    <x v="0"/>
    <s v="CE2178"/>
    <s v="ARCADIA INTERNATIONAL TRADING"/>
    <n v="0"/>
    <n v="31600"/>
  </r>
  <r>
    <s v="FAE-19-00224"/>
    <d v="2019-11-02T00:00:00"/>
    <x v="11"/>
    <x v="0"/>
    <s v="CE2178"/>
    <s v="ARCADIA INTERNATIONAL TRADING"/>
    <n v="0"/>
    <n v="3432.24"/>
  </r>
  <r>
    <s v="FAE-19-00225"/>
    <d v="2019-11-02T00:00:00"/>
    <x v="11"/>
    <x v="0"/>
    <s v="CE2208"/>
    <s v="SOCIETE MIDCOM INTERNATIONAL"/>
    <n v="0"/>
    <n v="62400"/>
  </r>
  <r>
    <s v="FAE-19-00226"/>
    <d v="2019-12-02T00:00:00"/>
    <x v="7"/>
    <x v="0"/>
    <s v="CE2154"/>
    <s v="SODIFRAM SAS"/>
    <n v="0"/>
    <n v="47249.358999999997"/>
  </r>
  <r>
    <s v="FAE-19-00227"/>
    <d v="2019-11-02T00:00:00"/>
    <x v="11"/>
    <x v="0"/>
    <s v="CE2079"/>
    <s v="BAH MAMADOU SALIOU"/>
    <n v="0"/>
    <n v="70607.14"/>
  </r>
  <r>
    <s v="FAE-19-00228"/>
    <d v="2019-11-02T00:00:00"/>
    <x v="11"/>
    <x v="0"/>
    <s v="CE2147"/>
    <s v="DAVIS FOOD INGREDIENT PTY Ltd"/>
    <n v="0"/>
    <n v="36958.044000000002"/>
  </r>
  <r>
    <s v="FAE-19-00229"/>
    <d v="2019-11-02T00:00:00"/>
    <x v="11"/>
    <x v="0"/>
    <s v="CE2149"/>
    <s v="DAVIS TRADING CO LTD"/>
    <n v="0"/>
    <n v="63284.008999999998"/>
  </r>
  <r>
    <s v="FAE-19-00230"/>
    <d v="2019-11-04T00:00:00"/>
    <x v="11"/>
    <x v="0"/>
    <s v="CE2137"/>
    <s v="TUNISIAN AFRICAN BUSINESS"/>
    <n v="0"/>
    <n v="205114.56"/>
  </r>
  <r>
    <s v="FAE-19-00231"/>
    <d v="2019-11-04T00:00:00"/>
    <x v="11"/>
    <x v="0"/>
    <s v="CE2137"/>
    <s v="TUNISIAN AFRICAN BUSINESS"/>
    <n v="0"/>
    <n v="205114.56"/>
  </r>
  <r>
    <s v="FAE-19-00232"/>
    <d v="2019-11-06T00:00:00"/>
    <x v="11"/>
    <x v="0"/>
    <s v="CE2001"/>
    <s v="STE DE COMMERCE INTERNATIONAL"/>
    <n v="0"/>
    <n v="140610"/>
  </r>
  <r>
    <s v="FAE-19-00233"/>
    <d v="2019-11-06T00:00:00"/>
    <x v="11"/>
    <x v="0"/>
    <s v="CE2017"/>
    <s v="SAHEL INTERNATIONAL TRADE"/>
    <n v="0"/>
    <n v="66960"/>
  </r>
  <r>
    <s v="FAE-19-00234"/>
    <d v="2019-11-06T00:00:00"/>
    <x v="11"/>
    <x v="0"/>
    <s v="CE2133"/>
    <s v="E.A.S.B NAFA"/>
    <n v="0"/>
    <n v="131248.492"/>
  </r>
  <r>
    <s v="FAE-19-00235"/>
    <d v="2019-11-11T00:00:00"/>
    <x v="11"/>
    <x v="0"/>
    <s v="CE2165"/>
    <s v="ANGSTREM TRADING COMPANY &quot;AFG&quot;"/>
    <n v="0"/>
    <n v="38016.720000000001"/>
  </r>
  <r>
    <s v="FAE-19-00236"/>
    <d v="2019-11-13T00:00:00"/>
    <x v="11"/>
    <x v="0"/>
    <s v="CE2178"/>
    <s v="ARCADIA INTERNATIONAL TRADING"/>
    <n v="0"/>
    <n v="41354.800000000003"/>
  </r>
  <r>
    <s v="FAE-19-00237"/>
    <d v="2019-11-13T00:00:00"/>
    <x v="11"/>
    <x v="0"/>
    <s v="CE2137"/>
    <s v="TUNISIAN AFRICAN BUSINESS"/>
    <n v="0"/>
    <n v="147453.6"/>
  </r>
  <r>
    <s v="FAE-19-00238"/>
    <d v="2019-11-13T00:00:00"/>
    <x v="11"/>
    <x v="0"/>
    <s v="CE2165"/>
    <s v="ANGSTREM TRADING COMPANY &quot;AFG&quot;"/>
    <n v="0"/>
    <n v="36465.919999999998"/>
  </r>
  <r>
    <s v="FAE-19-00239"/>
    <d v="2019-11-16T00:00:00"/>
    <x v="11"/>
    <x v="0"/>
    <s v="CE2218"/>
    <s v="SHARIKAT AL HAD AL AKSA"/>
    <n v="0"/>
    <n v="436210.65"/>
  </r>
  <r>
    <s v="FAE-19-00240"/>
    <d v="2019-11-19T00:00:00"/>
    <x v="11"/>
    <x v="0"/>
    <s v="CE2178"/>
    <s v="ARCADIA INTERNATIONAL TRADING"/>
    <n v="0"/>
    <n v="8825.49"/>
  </r>
  <r>
    <s v="FAE-19-00241"/>
    <d v="2019-11-19T00:00:00"/>
    <x v="11"/>
    <x v="0"/>
    <s v="CE2137"/>
    <s v="TUNISIAN AFRICAN BUSINESS"/>
    <n v="0"/>
    <n v="110777.60000000001"/>
  </r>
  <r>
    <s v="FAE-19-00242"/>
    <d v="2019-11-25T00:00:00"/>
    <x v="11"/>
    <x v="0"/>
    <s v="CE2178"/>
    <s v="ARCADIA INTERNATIONAL TRADING"/>
    <n v="0"/>
    <n v="4761.76"/>
  </r>
  <r>
    <s v="FAE-19-00243"/>
    <d v="2019-12-05T00:00:00"/>
    <x v="7"/>
    <x v="0"/>
    <s v="CE2001"/>
    <s v="STE DE COMMERCE INTERNATIONAL"/>
    <n v="0"/>
    <n v="35319"/>
  </r>
  <r>
    <s v="FAE-19-00244"/>
    <d v="2019-11-25T00:00:00"/>
    <x v="11"/>
    <x v="0"/>
    <s v="CE2165"/>
    <s v="ANGSTREM TRADING COMPANY &quot;AFG&quot;"/>
    <n v="0"/>
    <n v="39489.866999999998"/>
  </r>
  <r>
    <s v="FAE-19-00245"/>
    <d v="2019-12-05T00:00:00"/>
    <x v="7"/>
    <x v="0"/>
    <s v="CE2137"/>
    <s v="TUNISIAN AFRICAN BUSINESS"/>
    <n v="0"/>
    <n v="219842.95"/>
  </r>
  <r>
    <s v="FAE-19-00246"/>
    <d v="2019-11-27T00:00:00"/>
    <x v="11"/>
    <x v="0"/>
    <s v="CE2224"/>
    <s v="AHODIKPE - BENISSAN"/>
    <n v="0"/>
    <n v="33477.957000000002"/>
  </r>
  <r>
    <s v="FAE-19-00247"/>
    <d v="2019-12-02T00:00:00"/>
    <x v="7"/>
    <x v="0"/>
    <s v="CE2200"/>
    <s v="MAMUDOU BAH T/A TEDOUGNAL FARM"/>
    <n v="0"/>
    <n v="121434.13400000001"/>
  </r>
  <r>
    <s v="FAE-19-00248"/>
    <d v="2019-12-02T00:00:00"/>
    <x v="7"/>
    <x v="0"/>
    <s v="CE2208"/>
    <s v="SOCIETE MIDCOM INTERNATIONAL"/>
    <n v="0"/>
    <n v="62400"/>
  </r>
  <r>
    <s v="FAE-19-00249"/>
    <d v="2019-12-02T00:00:00"/>
    <x v="7"/>
    <x v="0"/>
    <s v="CE2165"/>
    <s v="ANGSTREM TRADING COMPANY &quot;AFG&quot;"/>
    <n v="0"/>
    <n v="37793.279999999999"/>
  </r>
  <r>
    <s v="FAE-19-00250"/>
    <d v="2019-12-02T00:00:00"/>
    <x v="7"/>
    <x v="0"/>
    <s v="CE2225"/>
    <s v="TOYOTA TSUSHO UK LTD"/>
    <n v="0"/>
    <n v="436712.98"/>
  </r>
  <r>
    <s v="FAE-19-00251"/>
    <d v="2019-12-04T00:00:00"/>
    <x v="7"/>
    <x v="0"/>
    <s v="CE2079"/>
    <s v="BAH MAMADOU SALIOU"/>
    <n v="0"/>
    <n v="107488.425"/>
  </r>
  <r>
    <s v="FAE-19-00252"/>
    <d v="2019-12-04T00:00:00"/>
    <x v="7"/>
    <x v="0"/>
    <s v="CE2025"/>
    <s v="SAWABA - GUINEE"/>
    <n v="0"/>
    <n v="40232.51"/>
  </r>
  <r>
    <s v="FAE-19-00253"/>
    <d v="2019-12-02T00:00:00"/>
    <x v="7"/>
    <x v="0"/>
    <s v="CE2154"/>
    <s v="SODIFRAM SAS"/>
    <n v="0"/>
    <n v="49910.142"/>
  </r>
  <r>
    <s v="FAE-19-00254"/>
    <d v="2019-12-05T00:00:00"/>
    <x v="7"/>
    <x v="0"/>
    <s v="CE2178"/>
    <s v="ARCADIA INTERNATIONAL TRADING"/>
    <n v="0"/>
    <n v="22221.752"/>
  </r>
  <r>
    <s v="FAE-19-00255"/>
    <d v="2019-12-05T00:00:00"/>
    <x v="7"/>
    <x v="0"/>
    <s v="CE2226"/>
    <s v="INTERNATIONAL SMART BUSINESS"/>
    <n v="0"/>
    <n v="4063.92"/>
  </r>
  <r>
    <s v="FAE-19-00256"/>
    <d v="2019-12-05T00:00:00"/>
    <x v="7"/>
    <x v="0"/>
    <s v="CE2218"/>
    <s v="SHARIKAT AL HAD AL AKSA"/>
    <n v="0"/>
    <n v="436937.4"/>
  </r>
  <r>
    <s v="FAE-19-00257"/>
    <d v="2019-12-06T00:00:00"/>
    <x v="7"/>
    <x v="0"/>
    <s v="CE2137"/>
    <s v="TUNISIAN AFRICAN BUSINESS"/>
    <n v="0"/>
    <n v="294907.2"/>
  </r>
  <r>
    <s v="FAE-19-00258"/>
    <d v="2019-12-06T00:00:00"/>
    <x v="7"/>
    <x v="0"/>
    <s v="CE2137"/>
    <s v="TUNISIAN AFRICAN BUSINESS"/>
    <n v="0"/>
    <n v="36650"/>
  </r>
  <r>
    <s v="FAE-19-00259"/>
    <d v="2019-12-07T00:00:00"/>
    <x v="7"/>
    <x v="0"/>
    <s v="CE2149"/>
    <s v="DAVIS TRADING CO LTD"/>
    <n v="0"/>
    <n v="60810.239999999998"/>
  </r>
  <r>
    <s v="FAE-19-00260"/>
    <d v="2019-12-16T00:00:00"/>
    <x v="7"/>
    <x v="0"/>
    <s v="CE2178"/>
    <s v="ARCADIA INTERNATIONAL TRADING"/>
    <n v="0"/>
    <n v="33460.284"/>
  </r>
  <r>
    <s v="FAE-19-00261"/>
    <d v="2019-12-16T00:00:00"/>
    <x v="7"/>
    <x v="0"/>
    <s v="CE2123"/>
    <s v="ALMAGEMUA ALMOTAHIDA co"/>
    <n v="0"/>
    <n v="407592.951"/>
  </r>
  <r>
    <s v="FAE-19-00262"/>
    <d v="2019-12-16T00:00:00"/>
    <x v="7"/>
    <x v="0"/>
    <s v="CE2178"/>
    <s v="ARCADIA INTERNATIONAL TRADING"/>
    <n v="0"/>
    <n v="16771.400000000001"/>
  </r>
  <r>
    <s v="FAE-19-00263"/>
    <d v="2019-12-16T00:00:00"/>
    <x v="7"/>
    <x v="0"/>
    <s v="CE2178"/>
    <s v="ARCADIA INTERNATIONAL TRADING"/>
    <n v="0"/>
    <n v="43107.96"/>
  </r>
  <r>
    <s v="FAE-19-00264"/>
    <d v="2019-12-16T00:00:00"/>
    <x v="7"/>
    <x v="0"/>
    <s v="CE2017"/>
    <s v="SAHEL INTERNATIONAL TRADE"/>
    <n v="0"/>
    <n v="29160"/>
  </r>
  <r>
    <s v="FAE-19-00265"/>
    <d v="2019-12-18T00:00:00"/>
    <x v="7"/>
    <x v="0"/>
    <s v="CE2122"/>
    <s v="STE OMRANE LES CINQ ETOILES"/>
    <n v="0"/>
    <n v="35565.281999999999"/>
  </r>
  <r>
    <s v="FAE-19-00266"/>
    <d v="2019-12-19T00:00:00"/>
    <x v="7"/>
    <x v="0"/>
    <s v="CE2001"/>
    <s v="STE DE COMMERCE INTERNATIONAL"/>
    <n v="0"/>
    <n v="36800"/>
  </r>
  <r>
    <s v="FAE-19-00267"/>
    <d v="2019-12-19T00:00:00"/>
    <x v="7"/>
    <x v="0"/>
    <s v="CE2154"/>
    <s v="SODIFRAM SAS"/>
    <n v="0"/>
    <n v="50168.877999999997"/>
  </r>
  <r>
    <s v="FAE-19-00268"/>
    <d v="2019-12-20T00:00:00"/>
    <x v="7"/>
    <x v="0"/>
    <s v="CE2025"/>
    <s v="SAWABA - GUINEE"/>
    <n v="0"/>
    <n v="229137.098"/>
  </r>
  <r>
    <s v="FAE-19-00269"/>
    <d v="2019-12-20T00:00:00"/>
    <x v="7"/>
    <x v="0"/>
    <s v="CE2053"/>
    <s v="ETS KASSO IMPORT EXPORT"/>
    <n v="0"/>
    <n v="145724.076"/>
  </r>
  <r>
    <s v="FAE-20-00001"/>
    <d v="2020-01-02T00:00:00"/>
    <x v="0"/>
    <x v="1"/>
    <s v="CE2053"/>
    <s v="ETS KASSO IMPORT EXPORT"/>
    <n v="0"/>
    <n v="145663.704"/>
  </r>
  <r>
    <s v="FAE-20-00002"/>
    <d v="2020-01-02T00:00:00"/>
    <x v="0"/>
    <x v="1"/>
    <s v="CE2053"/>
    <s v="ETS KASSO IMPORT EXPORT"/>
    <n v="0"/>
    <n v="145561.53599999999"/>
  </r>
  <r>
    <s v="FAE-20-00003"/>
    <d v="2020-01-02T00:00:00"/>
    <x v="0"/>
    <x v="1"/>
    <s v="CE2053"/>
    <s v="ETS KASSO IMPORT EXPORT"/>
    <n v="0"/>
    <n v="145568.50200000001"/>
  </r>
  <r>
    <s v="FAE-20-00004"/>
    <d v="2020-01-02T00:00:00"/>
    <x v="0"/>
    <x v="1"/>
    <s v="CE2053"/>
    <s v="ETS KASSO IMPORT EXPORT"/>
    <n v="0"/>
    <n v="145568.50200000001"/>
  </r>
  <r>
    <s v="FAE-20-00005"/>
    <d v="2020-01-02T00:00:00"/>
    <x v="0"/>
    <x v="1"/>
    <s v="CE2178"/>
    <s v="ARCADIA INTERNATIONAL TRADING"/>
    <n v="0"/>
    <n v="25447.5"/>
  </r>
  <r>
    <s v="FAE-20-00006"/>
    <d v="2020-01-02T00:00:00"/>
    <x v="0"/>
    <x v="1"/>
    <s v="CE2017"/>
    <s v="SAHEL INTERNATIONAL TRADE"/>
    <n v="0"/>
    <n v="33480"/>
  </r>
  <r>
    <s v="FAE-20-00007"/>
    <d v="2020-01-02T00:00:00"/>
    <x v="0"/>
    <x v="1"/>
    <s v="CE2208"/>
    <s v="SOCIETE MIDCOM INTERNATIONAL"/>
    <n v="0"/>
    <n v="31590"/>
  </r>
  <r>
    <s v="FAE-20-00008"/>
    <d v="2020-01-02T00:00:00"/>
    <x v="0"/>
    <x v="1"/>
    <s v="CE2154"/>
    <s v="SODIFRAM SAS"/>
    <n v="0"/>
    <n v="41207.845999999998"/>
  </r>
  <r>
    <s v="FAE-20-00009"/>
    <d v="2020-01-02T00:00:00"/>
    <x v="0"/>
    <x v="1"/>
    <s v="CE2154"/>
    <s v="SODIFRAM SAS"/>
    <n v="0"/>
    <n v="41207.845999999998"/>
  </r>
  <r>
    <s v="FAE-20-00010"/>
    <d v="2020-01-02T00:00:00"/>
    <x v="0"/>
    <x v="1"/>
    <s v="CE2149"/>
    <s v="DAVIS TRADING CO LTD"/>
    <n v="0"/>
    <n v="69961.104999999996"/>
  </r>
  <r>
    <s v="FAE-20-00011"/>
    <d v="2020-01-02T00:00:00"/>
    <x v="0"/>
    <x v="1"/>
    <s v="CE2222"/>
    <s v="ABOURA FOODS"/>
    <n v="0"/>
    <n v="6307.7809999999999"/>
  </r>
  <r>
    <s v="FAE-20-00012"/>
    <d v="2020-01-02T00:00:00"/>
    <x v="0"/>
    <x v="1"/>
    <s v="CE2017"/>
    <s v="SAHEL INTERNATIONAL TRADE"/>
    <n v="0"/>
    <n v="30144"/>
  </r>
  <r>
    <s v="FAE-20-00013"/>
    <d v="2020-01-02T00:00:00"/>
    <x v="0"/>
    <x v="1"/>
    <s v="CE2165"/>
    <s v="ANGSTREM TRADING COMPANY &quot;AFG&quot;"/>
    <n v="0"/>
    <n v="38912.550000000003"/>
  </r>
  <r>
    <s v="FAE-20-00014"/>
    <d v="2020-01-06T00:00:00"/>
    <x v="0"/>
    <x v="1"/>
    <s v="CE2227"/>
    <s v="BIOFIELD"/>
    <n v="0"/>
    <n v="36400"/>
  </r>
  <r>
    <s v="FAE-20-00015"/>
    <d v="2020-01-09T00:00:00"/>
    <x v="0"/>
    <x v="1"/>
    <s v="CE2123"/>
    <s v="ALMAGEMUA ALMOTAHIDA co"/>
    <n v="0"/>
    <n v="117599.867"/>
  </r>
  <r>
    <s v="FAE-20-00016"/>
    <d v="2020-01-09T00:00:00"/>
    <x v="0"/>
    <x v="1"/>
    <s v="CE2168"/>
    <s v="SOCIETE OMEGA TRADING"/>
    <n v="0"/>
    <n v="347200"/>
  </r>
  <r>
    <s v="FAE-20-00017"/>
    <d v="2020-01-09T00:00:00"/>
    <x v="0"/>
    <x v="1"/>
    <s v="CE2168"/>
    <s v="SOCIETE OMEGA TRADING"/>
    <n v="0"/>
    <n v="347200"/>
  </r>
  <r>
    <s v="FAE-20-00018"/>
    <d v="2020-01-10T00:00:00"/>
    <x v="0"/>
    <x v="1"/>
    <s v="CE2178"/>
    <s v="ARCADIA INTERNATIONAL TRADING"/>
    <n v="0"/>
    <n v="57120"/>
  </r>
  <r>
    <s v="FAE-20-00019"/>
    <d v="2020-03-03T00:00:00"/>
    <x v="2"/>
    <x v="1"/>
    <s v="CE2178"/>
    <s v="ARCADIA INTERNATIONAL TRADING"/>
    <n v="0"/>
    <n v="11018.4"/>
  </r>
  <r>
    <s v="FAE-20-00020"/>
    <d v="2020-01-15T00:00:00"/>
    <x v="0"/>
    <x v="1"/>
    <s v="CE2228"/>
    <s v="GOLDEN PEARL INTERNATIONAL"/>
    <n v="0"/>
    <n v="5596.2"/>
  </r>
  <r>
    <s v="FAE-20-00021"/>
    <d v="2020-01-16T00:00:00"/>
    <x v="0"/>
    <x v="1"/>
    <s v="CE2031"/>
    <s v="GROUPE AL-GAMIL"/>
    <n v="0"/>
    <n v="43192.480000000003"/>
  </r>
  <r>
    <s v="FAE-20-00022"/>
    <d v="2020-01-20T00:00:00"/>
    <x v="0"/>
    <x v="1"/>
    <s v="CE2178"/>
    <s v="ARCADIA INTERNATIONAL TRADING"/>
    <n v="0"/>
    <n v="31600"/>
  </r>
  <r>
    <s v="FAE-20-00023"/>
    <d v="2020-02-27T00:00:00"/>
    <x v="1"/>
    <x v="1"/>
    <s v="CE2225"/>
    <s v="TOYOTA TSUSHO UK LTD"/>
    <n v="0"/>
    <n v="442049.19"/>
  </r>
  <r>
    <s v="FAE-20-00024"/>
    <d v="2020-01-22T00:00:00"/>
    <x v="0"/>
    <x v="1"/>
    <s v="CE2025"/>
    <s v="SAWABA - GUINEE"/>
    <n v="0"/>
    <n v="82741.262000000002"/>
  </r>
  <r>
    <s v="FAE-20-00025"/>
    <d v="2020-02-06T00:00:00"/>
    <x v="1"/>
    <x v="1"/>
    <s v="CE2025"/>
    <s v="SAWABA - GUINEE"/>
    <n v="0"/>
    <n v="278584.11800000002"/>
  </r>
  <r>
    <s v="FAE-20-00026"/>
    <d v="2020-01-22T00:00:00"/>
    <x v="0"/>
    <x v="1"/>
    <s v="CE2053"/>
    <s v="ETS KASSO IMPORT EXPORT"/>
    <n v="0"/>
    <n v="144725.61600000001"/>
  </r>
  <r>
    <s v="FAE-20-00027"/>
    <d v="2020-02-01T00:00:00"/>
    <x v="1"/>
    <x v="1"/>
    <s v="CE2053"/>
    <s v="ETS KASSO IMPORT EXPORT"/>
    <n v="0"/>
    <n v="144883.51199999999"/>
  </r>
  <r>
    <s v="FAE-20-00028"/>
    <d v="2020-02-01T00:00:00"/>
    <x v="1"/>
    <x v="1"/>
    <s v="CE2053"/>
    <s v="ETS KASSO IMPORT EXPORT"/>
    <n v="0"/>
    <n v="144883.51199999999"/>
  </r>
  <r>
    <s v="FAE-20-00029"/>
    <d v="2020-02-01T00:00:00"/>
    <x v="1"/>
    <x v="1"/>
    <s v="CE2178"/>
    <s v="ARCADIA INTERNATIONAL TRADING"/>
    <n v="0"/>
    <n v="32595"/>
  </r>
  <r>
    <s v="FAE-20-00030"/>
    <d v="2020-01-22T00:00:00"/>
    <x v="0"/>
    <x v="1"/>
    <s v="CE2165"/>
    <s v="ANGSTREM TRADING COMPANY &quot;AFG&quot;"/>
    <n v="0"/>
    <n v="37594.445"/>
  </r>
  <r>
    <s v="FAE-20-00031"/>
    <d v="2020-02-01T00:00:00"/>
    <x v="1"/>
    <x v="1"/>
    <s v="CE2154"/>
    <s v="SODIFRAM SAS"/>
    <n v="0"/>
    <n v="49792.264000000003"/>
  </r>
  <r>
    <s v="FAE-20-00032"/>
    <d v="2020-01-22T00:00:00"/>
    <x v="0"/>
    <x v="1"/>
    <s v="CE2147"/>
    <s v="DAVIS FOOD INGREDIENT PTY Ltd"/>
    <n v="0"/>
    <n v="30050.172999999999"/>
  </r>
  <r>
    <s v="FAE-20-00033"/>
    <d v="2020-01-22T00:00:00"/>
    <x v="0"/>
    <x v="1"/>
    <s v="CE2221"/>
    <s v="SOCIETE AL BADR EXPORT"/>
    <n v="0"/>
    <n v="115584"/>
  </r>
  <r>
    <s v="FAE-20-00034"/>
    <d v="2020-01-22T00:00:00"/>
    <x v="0"/>
    <x v="1"/>
    <s v="CE2017"/>
    <s v="SAHEL INTERNATIONAL TRADE"/>
    <n v="0"/>
    <n v="33452.160000000003"/>
  </r>
  <r>
    <s v="FAE-20-00035"/>
    <d v="2020-01-22T00:00:00"/>
    <x v="0"/>
    <x v="1"/>
    <s v="CE2017"/>
    <s v="SAHEL INTERNATIONAL TRADE"/>
    <n v="0"/>
    <n v="66904.320000000007"/>
  </r>
  <r>
    <s v="FAE-20-00036"/>
    <d v="2020-01-23T00:00:00"/>
    <x v="0"/>
    <x v="1"/>
    <s v="CE2001"/>
    <s v="STE DE COMMERCE INTERNATIONAL"/>
    <n v="0"/>
    <n v="67266"/>
  </r>
  <r>
    <s v="FAE-20-00037"/>
    <d v="2020-02-05T00:00:00"/>
    <x v="1"/>
    <x v="1"/>
    <s v="CE2017"/>
    <s v="SAHEL INTERNATIONAL TRADE"/>
    <n v="0"/>
    <n v="118440"/>
  </r>
  <r>
    <s v="FAE-20-00038"/>
    <d v="2020-01-23T00:00:00"/>
    <x v="0"/>
    <x v="1"/>
    <s v="CE2218"/>
    <s v="SHARIKAT AL HAD AL AKSA"/>
    <n v="0"/>
    <n v="353237.44300000003"/>
  </r>
  <r>
    <s v="FAE-20-00039"/>
    <d v="2020-01-23T00:00:00"/>
    <x v="0"/>
    <x v="1"/>
    <s v="CE2123"/>
    <s v="ALMAGEMUA ALMOTAHIDA co"/>
    <n v="0"/>
    <n v="224734.50099999999"/>
  </r>
  <r>
    <s v="FAE-20-00040"/>
    <d v="2020-02-05T00:00:00"/>
    <x v="1"/>
    <x v="1"/>
    <s v="CE2137"/>
    <s v="TUNISIAN AFRICAN BUSINESS"/>
    <n v="0"/>
    <n v="176944.32"/>
  </r>
  <r>
    <s v="FAE-20-00041"/>
    <d v="2020-02-05T00:00:00"/>
    <x v="1"/>
    <x v="1"/>
    <s v="CE2001"/>
    <s v="STE DE COMMERCE INTERNATIONAL"/>
    <n v="0"/>
    <n v="30800"/>
  </r>
  <r>
    <s v="FAE-20-00042"/>
    <d v="2020-02-05T00:00:00"/>
    <x v="1"/>
    <x v="1"/>
    <s v="CE2208"/>
    <s v="SOCIETE MIDCOM INTERNATIONAL"/>
    <n v="0"/>
    <n v="63180"/>
  </r>
  <r>
    <s v="FAE-20-00043"/>
    <d v="2020-02-05T00:00:00"/>
    <x v="1"/>
    <x v="1"/>
    <s v="CE2165"/>
    <s v="ANGSTREM TRADING COMPANY &quot;AFG&quot;"/>
    <n v="0"/>
    <n v="38121.79"/>
  </r>
  <r>
    <s v="FAE-20-00044"/>
    <d v="2020-02-05T00:00:00"/>
    <x v="1"/>
    <x v="1"/>
    <s v="CE2149"/>
    <s v="DAVIS TRADING CO LTD"/>
    <n v="0"/>
    <n v="67517.332999999999"/>
  </r>
  <r>
    <s v="FAE-20-00045"/>
    <d v="2020-02-05T00:00:00"/>
    <x v="1"/>
    <x v="1"/>
    <s v="CE2228"/>
    <s v="GOLDEN PEARL INTERNATIONAL"/>
    <n v="0"/>
    <n v="89568"/>
  </r>
  <r>
    <s v="FAE-20-00046"/>
    <d v="2020-02-05T00:00:00"/>
    <x v="1"/>
    <x v="1"/>
    <s v="CE2222"/>
    <s v="ABOURA FOODS"/>
    <n v="0"/>
    <n v="97273.623000000007"/>
  </r>
  <r>
    <s v="FAE-20-00047"/>
    <d v="2020-02-05T00:00:00"/>
    <x v="1"/>
    <x v="1"/>
    <s v="CE2137"/>
    <s v="TUNISIAN AFRICAN BUSINESS"/>
    <n v="0"/>
    <n v="161641.48000000001"/>
  </r>
  <r>
    <s v="FAE-20-00048"/>
    <d v="2020-02-07T00:00:00"/>
    <x v="1"/>
    <x v="1"/>
    <s v="CE2017"/>
    <s v="SAHEL INTERNATIONAL TRADE"/>
    <n v="0"/>
    <n v="33480"/>
  </r>
  <r>
    <s v="FAE-20-00049"/>
    <d v="2020-04-07T00:00:00"/>
    <x v="5"/>
    <x v="1"/>
    <s v="CE2178"/>
    <s v="ARCADIA INTERNATIONAL TRADING"/>
    <n v="0"/>
    <n v="85680"/>
  </r>
  <r>
    <s v="FAE-20-00050"/>
    <d v="2020-02-13T00:00:00"/>
    <x v="1"/>
    <x v="1"/>
    <s v="CE2017"/>
    <s v="SAHEL INTERNATIONAL TRADE"/>
    <n v="0"/>
    <n v="385000"/>
  </r>
  <r>
    <s v="FAE-20-00051"/>
    <d v="2020-02-13T00:00:00"/>
    <x v="1"/>
    <x v="1"/>
    <s v="CE2017"/>
    <s v="SAHEL INTERNATIONAL TRADE"/>
    <n v="0"/>
    <n v="347200"/>
  </r>
  <r>
    <s v="FAE-20-00052"/>
    <d v="2020-02-13T00:00:00"/>
    <x v="1"/>
    <x v="1"/>
    <s v="CE2178"/>
    <s v="ARCADIA INTERNATIONAL TRADING"/>
    <n v="0"/>
    <n v="31600"/>
  </r>
  <r>
    <s v="FAE-20-00053"/>
    <d v="2020-02-14T00:00:00"/>
    <x v="1"/>
    <x v="1"/>
    <s v="CE2123"/>
    <s v="ALMAGEMUA ALMOTAHIDA co"/>
    <n v="0"/>
    <n v="398507.42200000002"/>
  </r>
  <r>
    <s v="FAE-20-00054"/>
    <d v="2020-04-17T00:00:00"/>
    <x v="5"/>
    <x v="1"/>
    <s v="CE2154"/>
    <s v="SODIFRAM SAS"/>
    <n v="0"/>
    <n v="51420.807999999997"/>
  </r>
  <r>
    <s v="FAE-20-00055"/>
    <d v="2020-03-11T00:00:00"/>
    <x v="2"/>
    <x v="1"/>
    <s v="CE2017"/>
    <s v="SAHEL INTERNATIONAL TRADE"/>
    <n v="0"/>
    <n v="30144"/>
  </r>
  <r>
    <s v="FAE-20-00056"/>
    <d v="2020-02-21T00:00:00"/>
    <x v="1"/>
    <x v="1"/>
    <s v="CE2165"/>
    <s v="ANGSTREM TRADING COMPANY &quot;AFG&quot;"/>
    <n v="0"/>
    <n v="38326.61"/>
  </r>
  <r>
    <s v="FAE-20-00057"/>
    <d v="2020-02-25T00:00:00"/>
    <x v="1"/>
    <x v="1"/>
    <s v="CE2165"/>
    <s v="ANGSTREM TRADING COMPANY &quot;AFG&quot;"/>
    <n v="0"/>
    <n v="39860.61"/>
  </r>
  <r>
    <s v="FAE-20-00058"/>
    <d v="2020-02-26T00:00:00"/>
    <x v="1"/>
    <x v="1"/>
    <s v="CE2001"/>
    <s v="STE DE COMMERCE INTERNATIONAL"/>
    <n v="0"/>
    <n v="50050"/>
  </r>
  <r>
    <s v="FAE-20-00059"/>
    <d v="2020-03-05T00:00:00"/>
    <x v="2"/>
    <x v="1"/>
    <s v="CE2137"/>
    <s v="TUNISIAN AFRICAN BUSINESS"/>
    <n v="0"/>
    <n v="172332.24"/>
  </r>
  <r>
    <s v="FAE-20-00060"/>
    <d v="2020-06-02T00:00:00"/>
    <x v="6"/>
    <x v="1"/>
    <s v="CE2137"/>
    <s v="TUNISIAN AFRICAN BUSINESS"/>
    <n v="0"/>
    <n v="74592"/>
  </r>
  <r>
    <s v="FAE-20-00061"/>
    <d v="2020-03-04T00:00:00"/>
    <x v="2"/>
    <x v="1"/>
    <s v="CE2017"/>
    <s v="SAHEL INTERNATIONAL TRADE"/>
    <n v="0"/>
    <n v="385000"/>
  </r>
  <r>
    <s v="FAE-20-00062"/>
    <d v="2020-03-06T00:00:00"/>
    <x v="2"/>
    <x v="1"/>
    <s v="CE2200"/>
    <s v="MAMUDOU BAH T/A TEDOUGNAL FARM"/>
    <n v="0"/>
    <n v="120574.224"/>
  </r>
  <r>
    <s v="FAE-20-00063"/>
    <d v="2020-03-31T00:00:00"/>
    <x v="2"/>
    <x v="1"/>
    <s v="CE2178"/>
    <s v="ARCADIA INTERNATIONAL TRADING"/>
    <n v="0"/>
    <n v="42955.012000000002"/>
  </r>
  <r>
    <s v="FAE-20-00064"/>
    <d v="2020-03-05T00:00:00"/>
    <x v="2"/>
    <x v="1"/>
    <s v="CE2178"/>
    <s v="ARCADIA INTERNATIONAL TRADING"/>
    <n v="0"/>
    <n v="33709.5"/>
  </r>
  <r>
    <s v="FAE-20-00065"/>
    <d v="2020-03-07T00:00:00"/>
    <x v="2"/>
    <x v="1"/>
    <s v="CE2178"/>
    <s v="ARCADIA INTERNATIONAL TRADING"/>
    <n v="0"/>
    <n v="33709.5"/>
  </r>
  <r>
    <s v="FAE-20-00066"/>
    <d v="2020-03-11T00:00:00"/>
    <x v="2"/>
    <x v="1"/>
    <s v="CE2017"/>
    <s v="SAHEL INTERNATIONAL TRADE"/>
    <n v="0"/>
    <n v="29160"/>
  </r>
  <r>
    <s v="FAE-20-00067"/>
    <d v="2020-04-03T00:00:00"/>
    <x v="5"/>
    <x v="1"/>
    <s v="CE2017"/>
    <s v="SAHEL INTERNATIONAL TRADE"/>
    <n v="0"/>
    <n v="347200"/>
  </r>
  <r>
    <s v="FAE-20-00068"/>
    <d v="2020-03-06T00:00:00"/>
    <x v="2"/>
    <x v="1"/>
    <s v="CE2165"/>
    <s v="ANGSTREM TRADING COMPANY &quot;AFG&quot;"/>
    <n v="0"/>
    <n v="39247.199999999997"/>
  </r>
  <r>
    <s v="FAE-20-00069"/>
    <d v="2020-03-13T00:00:00"/>
    <x v="2"/>
    <x v="1"/>
    <s v="CE2165"/>
    <s v="ANGSTREM TRADING COMPANY &quot;AFG&quot;"/>
    <n v="0"/>
    <n v="75220.81"/>
  </r>
  <r>
    <s v="FAE-20-00070"/>
    <d v="2020-03-11T00:00:00"/>
    <x v="2"/>
    <x v="1"/>
    <s v="CE2137"/>
    <s v="TUNISIAN AFRICAN BUSINESS"/>
    <n v="0"/>
    <n v="90432"/>
  </r>
  <r>
    <s v="FAE-20-00071"/>
    <d v="2020-05-02T00:00:00"/>
    <x v="4"/>
    <x v="1"/>
    <s v="CE2137"/>
    <s v="TUNISIAN AFRICAN BUSINESS"/>
    <n v="0"/>
    <n v="144152.4"/>
  </r>
  <r>
    <s v="FAE-20-00073"/>
    <d v="2020-04-27T00:00:00"/>
    <x v="5"/>
    <x v="1"/>
    <s v="CE2168"/>
    <s v="SOCIETE OMEGA TRADING"/>
    <n v="0"/>
    <n v="29472"/>
  </r>
  <r>
    <s v="FAE-20-00075"/>
    <d v="2020-05-02T00:00:00"/>
    <x v="4"/>
    <x v="1"/>
    <s v="CE2001"/>
    <s v="STE DE COMMERCE INTERNATIONAL"/>
    <n v="0"/>
    <n v="37310"/>
  </r>
  <r>
    <s v="FAE-20-00076"/>
    <d v="2020-05-02T00:00:00"/>
    <x v="4"/>
    <x v="1"/>
    <s v="CE2001"/>
    <s v="STE DE COMMERCE INTERNATIONAL"/>
    <n v="0"/>
    <n v="62539.8"/>
  </r>
  <r>
    <s v="FAE-20-00077"/>
    <d v="2020-03-11T00:00:00"/>
    <x v="2"/>
    <x v="1"/>
    <s v="CE2165"/>
    <s v="ANGSTREM TRADING COMPANY &quot;AFG&quot;"/>
    <n v="0"/>
    <n v="39487.32"/>
  </r>
  <r>
    <s v="FAE-20-00078"/>
    <d v="2020-04-17T00:00:00"/>
    <x v="5"/>
    <x v="1"/>
    <s v="CE2154"/>
    <s v="SODIFRAM SAS"/>
    <n v="0"/>
    <n v="51561.925000000003"/>
  </r>
  <r>
    <s v="FAE-20-00079"/>
    <d v="2020-05-02T00:00:00"/>
    <x v="4"/>
    <x v="1"/>
    <s v="CE2079"/>
    <s v="BAH MAMADOU SALIOU"/>
    <n v="0"/>
    <n v="118917.931"/>
  </r>
  <r>
    <s v="FAE-20-00080"/>
    <d v="2020-03-11T00:00:00"/>
    <x v="2"/>
    <x v="1"/>
    <s v="CE2200"/>
    <s v="MAMUDOU BAH T/A TEDOUGNAL FARM"/>
    <n v="0"/>
    <n v="150532.302"/>
  </r>
  <r>
    <s v="FAE-20-00082"/>
    <d v="2020-05-02T00:00:00"/>
    <x v="4"/>
    <x v="1"/>
    <s v="CE2231"/>
    <s v="ADJA KHADY FOOD DISTIBUTORS"/>
    <n v="0"/>
    <n v="44658.37"/>
  </r>
  <r>
    <s v="FAE-20-00083"/>
    <d v="2020-03-11T00:00:00"/>
    <x v="2"/>
    <x v="1"/>
    <s v="CE2165"/>
    <s v="ANGSTREM TRADING COMPANY &quot;AFG&quot;"/>
    <n v="0"/>
    <n v="77376.740000000005"/>
  </r>
  <r>
    <s v="FAE-20-00084"/>
    <d v="2020-05-02T00:00:00"/>
    <x v="4"/>
    <x v="1"/>
    <s v="CE2123"/>
    <s v="ALMAGEMUA ALMOTAHIDA co"/>
    <n v="0"/>
    <n v="447818.25"/>
  </r>
  <r>
    <s v="FAE-20-00085"/>
    <d v="2020-05-02T00:00:00"/>
    <x v="4"/>
    <x v="1"/>
    <s v="CE2001"/>
    <s v="STE DE COMMERCE INTERNATIONAL"/>
    <n v="0"/>
    <n v="105588"/>
  </r>
  <r>
    <s v="FAE-20-00086"/>
    <d v="2020-03-12T00:00:00"/>
    <x v="2"/>
    <x v="1"/>
    <s v="CE2017"/>
    <s v="SAHEL INTERNATIONAL TRADE"/>
    <n v="0"/>
    <n v="30340"/>
  </r>
  <r>
    <s v="FAE-20-00087"/>
    <d v="2020-03-19T00:00:00"/>
    <x v="2"/>
    <x v="1"/>
    <s v="CE2122"/>
    <s v="STE OMRANE LES CINQ ETOILES"/>
    <n v="0"/>
    <n v="34493.468999999997"/>
  </r>
  <r>
    <s v="FAE-20-00088"/>
    <d v="2020-05-02T00:00:00"/>
    <x v="4"/>
    <x v="1"/>
    <s v="CE2137"/>
    <s v="TUNISIAN AFRICAN BUSINESS"/>
    <n v="0"/>
    <n v="153440"/>
  </r>
  <r>
    <s v="FAE-20-00089"/>
    <d v="2020-03-19T00:00:00"/>
    <x v="2"/>
    <x v="1"/>
    <s v="CE2122"/>
    <s v="STE OMRANE LES CINQ ETOILES"/>
    <n v="0"/>
    <n v="34219.247000000003"/>
  </r>
  <r>
    <s v="FAE-20-00090"/>
    <d v="2020-04-02T00:00:00"/>
    <x v="5"/>
    <x v="1"/>
    <s v="CE2232"/>
    <s v="SARL ANOOR"/>
    <n v="0"/>
    <n v="35471.449999999997"/>
  </r>
  <r>
    <s v="FAE-20-00091"/>
    <d v="2020-04-02T00:00:00"/>
    <x v="5"/>
    <x v="1"/>
    <s v="CE2149"/>
    <s v="DAVIS TRADING CO LTD"/>
    <n v="0"/>
    <n v="59869.692000000003"/>
  </r>
  <r>
    <s v="FAE-20-00092"/>
    <d v="2020-04-02T00:00:00"/>
    <x v="5"/>
    <x v="1"/>
    <s v="CE2147"/>
    <s v="DAVIS FOOD INGREDIENT PTY Ltd"/>
    <n v="0"/>
    <n v="29461.248"/>
  </r>
  <r>
    <s v="FAE-20-00093"/>
    <d v="2020-04-02T00:00:00"/>
    <x v="5"/>
    <x v="1"/>
    <s v="CE2154"/>
    <s v="SODIFRAM SAS"/>
    <n v="0"/>
    <n v="51506.241999999998"/>
  </r>
  <r>
    <s v="FAE-20-00094"/>
    <d v="2020-04-11T00:00:00"/>
    <x v="5"/>
    <x v="1"/>
    <s v="CE2232"/>
    <s v="SARL ANOOR"/>
    <n v="0"/>
    <n v="34606.154000000002"/>
  </r>
  <r>
    <s v="FAE-20-00095"/>
    <d v="2020-04-11T00:00:00"/>
    <x v="5"/>
    <x v="1"/>
    <s v="CE2165"/>
    <s v="ANGSTREM TRADING COMPANY &quot;AFG&quot;"/>
    <n v="0"/>
    <n v="40163.519999999997"/>
  </r>
  <r>
    <s v="FAE-20-00096"/>
    <d v="2020-04-15T00:00:00"/>
    <x v="5"/>
    <x v="1"/>
    <s v="CE2165"/>
    <s v="ANGSTREM TRADING COMPANY &quot;AFG&quot;"/>
    <n v="0"/>
    <n v="77283.64"/>
  </r>
  <r>
    <s v="FAE-20-00097"/>
    <d v="2020-04-17T00:00:00"/>
    <x v="5"/>
    <x v="1"/>
    <s v="CE2228"/>
    <s v="GOLDEN PEARL INTERNATIONAL"/>
    <n v="0"/>
    <n v="220510"/>
  </r>
  <r>
    <s v="FAE-20-00098"/>
    <d v="2020-04-17T00:00:00"/>
    <x v="5"/>
    <x v="1"/>
    <s v="CE2222"/>
    <s v="ABOURA FOODS"/>
    <n v="0"/>
    <n v="40278.773000000001"/>
  </r>
  <r>
    <s v="FAE-20-00099"/>
    <d v="2020-04-17T00:00:00"/>
    <x v="5"/>
    <x v="1"/>
    <s v="CE2025"/>
    <s v="SAWABA - GUINEE"/>
    <n v="0"/>
    <n v="287086.84499999997"/>
  </r>
  <r>
    <s v="FAE-20-00100"/>
    <d v="2020-05-02T00:00:00"/>
    <x v="4"/>
    <x v="1"/>
    <s v="CE2025"/>
    <s v="SAWABA - GUINEE"/>
    <n v="0"/>
    <n v="84881.260999999999"/>
  </r>
  <r>
    <s v="FAE-20-00101"/>
    <d v="2020-05-02T00:00:00"/>
    <x v="4"/>
    <x v="1"/>
    <s v="CE2137"/>
    <s v="TUNISIAN AFRICAN BUSINESS"/>
    <n v="0"/>
    <n v="173825.04"/>
  </r>
  <r>
    <s v="FAE-20-00102"/>
    <d v="2020-04-17T00:00:00"/>
    <x v="5"/>
    <x v="1"/>
    <s v="CE2137"/>
    <s v="TUNISIAN AFRICAN BUSINESS"/>
    <n v="0"/>
    <n v="60288"/>
  </r>
  <r>
    <s v="FAE-20-00103"/>
    <d v="2020-05-02T00:00:00"/>
    <x v="4"/>
    <x v="1"/>
    <s v="CE2053"/>
    <s v="ETS KASSO IMPORT EXPORT"/>
    <n v="0"/>
    <n v="146392.81200000001"/>
  </r>
  <r>
    <s v="FAE-20-00104"/>
    <d v="2020-05-02T00:00:00"/>
    <x v="4"/>
    <x v="1"/>
    <s v="CE2053"/>
    <s v="ETS KASSO IMPORT EXPORT"/>
    <n v="0"/>
    <n v="142988.32800000001"/>
  </r>
  <r>
    <s v="FAE-20-00105"/>
    <d v="2020-05-02T00:00:00"/>
    <x v="4"/>
    <x v="1"/>
    <s v="CE2053"/>
    <s v="ETS KASSO IMPORT EXPORT"/>
    <n v="0"/>
    <n v="178735.41"/>
  </r>
  <r>
    <s v="FAE-20-00106"/>
    <d v="2020-05-02T00:00:00"/>
    <x v="4"/>
    <x v="1"/>
    <s v="CE2178"/>
    <s v="ARCADIA INTERNATIONAL TRADING"/>
    <n v="0"/>
    <n v="25846.080000000002"/>
  </r>
  <r>
    <s v="FAE-20-00107"/>
    <d v="2020-04-20T00:00:00"/>
    <x v="5"/>
    <x v="1"/>
    <s v="CE2222"/>
    <s v="ABOURA FOODS"/>
    <n v="0"/>
    <n v="20853.524000000001"/>
  </r>
  <r>
    <s v="FAE-20-00108"/>
    <d v="2020-04-27T00:00:00"/>
    <x v="5"/>
    <x v="1"/>
    <s v="CE2017"/>
    <s v="SAHEL INTERNATIONAL TRADE"/>
    <n v="0"/>
    <n v="66904.320000000007"/>
  </r>
  <r>
    <s v="FAE-20-00109"/>
    <d v="2020-04-23T00:00:00"/>
    <x v="5"/>
    <x v="1"/>
    <s v="CE2017"/>
    <s v="SAHEL INTERNATIONAL TRADE"/>
    <n v="0"/>
    <n v="30340"/>
  </r>
  <r>
    <s v="FAE-20-00110"/>
    <d v="2020-06-05T00:00:00"/>
    <x v="6"/>
    <x v="1"/>
    <s v="CE2178"/>
    <s v="ARCADIA INTERNATIONAL TRADING"/>
    <n v="0"/>
    <n v="65190"/>
  </r>
  <r>
    <s v="FAE-20-00111"/>
    <d v="2020-05-04T00:00:00"/>
    <x v="4"/>
    <x v="1"/>
    <s v="CE2017"/>
    <s v="SAHEL INTERNATIONAL TRADE"/>
    <n v="0"/>
    <n v="29160"/>
  </r>
  <r>
    <s v="FAE-20-00112"/>
    <d v="2020-05-02T00:00:00"/>
    <x v="4"/>
    <x v="1"/>
    <s v="CE2178"/>
    <s v="ARCADIA INTERNATIONAL TRADING"/>
    <n v="0"/>
    <n v="42919.199999999997"/>
  </r>
  <r>
    <s v="FAE-20-00113"/>
    <d v="2020-05-06T00:00:00"/>
    <x v="4"/>
    <x v="1"/>
    <s v="CE2178"/>
    <s v="ARCADIA INTERNATIONAL TRADING"/>
    <n v="0"/>
    <n v="42490.6"/>
  </r>
  <r>
    <s v="FAE-20-00114"/>
    <d v="2020-05-06T00:00:00"/>
    <x v="4"/>
    <x v="1"/>
    <s v="CE2178"/>
    <s v="ARCADIA INTERNATIONAL TRADING"/>
    <n v="0"/>
    <n v="42417.599999999999"/>
  </r>
  <r>
    <s v="FAE-20-00115"/>
    <d v="2020-05-06T00:00:00"/>
    <x v="4"/>
    <x v="1"/>
    <s v="CE2017"/>
    <s v="SAHEL INTERNATIONAL TRADE"/>
    <n v="0"/>
    <n v="33452.160000000003"/>
  </r>
  <r>
    <s v="FAE-20-00116"/>
    <d v="2020-05-06T00:00:00"/>
    <x v="4"/>
    <x v="1"/>
    <s v="CE2017"/>
    <s v="SAHEL INTERNATIONAL TRADE"/>
    <n v="0"/>
    <n v="133808.64000000001"/>
  </r>
  <r>
    <s v="FAE-20-00117"/>
    <d v="2020-05-07T00:00:00"/>
    <x v="4"/>
    <x v="1"/>
    <s v="CE2178"/>
    <s v="ARCADIA INTERNATIONAL TRADING"/>
    <n v="0"/>
    <n v="63200"/>
  </r>
  <r>
    <s v="FAE-20-00118"/>
    <d v="2020-05-08T00:00:00"/>
    <x v="4"/>
    <x v="1"/>
    <s v="CE2165"/>
    <s v="ANGSTREM TRADING COMPANY &quot;AFG&quot;"/>
    <n v="0"/>
    <n v="40153.86"/>
  </r>
  <r>
    <s v="FAE-20-00119"/>
    <d v="2020-05-08T00:00:00"/>
    <x v="4"/>
    <x v="1"/>
    <s v="CE2133"/>
    <s v="E.A.S.B NAFA"/>
    <n v="0"/>
    <n v="157622.87299999999"/>
  </r>
  <r>
    <s v="FAE-20-00120"/>
    <d v="2020-06-04T00:00:00"/>
    <x v="6"/>
    <x v="1"/>
    <s v="CE2165"/>
    <s v="ANGSTREM TRADING COMPANY &quot;AFG&quot;"/>
    <n v="0"/>
    <n v="77898.080000000002"/>
  </r>
  <r>
    <s v="FAE-20-00121"/>
    <d v="2020-05-14T00:00:00"/>
    <x v="4"/>
    <x v="1"/>
    <s v="CE2208"/>
    <s v="SOCIETE MIDCOM INTERNATIONAL"/>
    <n v="0"/>
    <n v="64800"/>
  </r>
  <r>
    <s v="FAE-20-00122"/>
    <d v="2020-06-01T00:00:00"/>
    <x v="6"/>
    <x v="1"/>
    <s v="CE2149"/>
    <s v="DAVIS TRADING CO LTD"/>
    <n v="0"/>
    <n v="57082.858"/>
  </r>
  <r>
    <s v="FAE-20-00123"/>
    <d v="2020-06-02T00:00:00"/>
    <x v="6"/>
    <x v="1"/>
    <s v="CE2168"/>
    <s v="SOCIETE OMEGA TRADING"/>
    <n v="0"/>
    <n v="97500"/>
  </r>
  <r>
    <s v="FAE-20-00124"/>
    <d v="2020-05-18T00:00:00"/>
    <x v="4"/>
    <x v="1"/>
    <s v="CE2017"/>
    <s v="SAHEL INTERNATIONAL TRADE"/>
    <n v="0"/>
    <n v="33452.160000000003"/>
  </r>
  <r>
    <s v="FAE-20-00126"/>
    <d v="2020-05-18T00:00:00"/>
    <x v="4"/>
    <x v="1"/>
    <s v="CE2017"/>
    <s v="SAHEL INTERNATIONAL TRADE"/>
    <n v="0"/>
    <n v="33264"/>
  </r>
  <r>
    <s v="FAE-20-00128"/>
    <d v="2020-05-18T00:00:00"/>
    <x v="4"/>
    <x v="1"/>
    <s v="CE2154"/>
    <s v="SODIFRAM SAS"/>
    <n v="0"/>
    <n v="51751.828000000001"/>
  </r>
  <r>
    <s v="FAE-20-00129"/>
    <d v="2020-05-18T00:00:00"/>
    <x v="4"/>
    <x v="1"/>
    <s v="CE2178"/>
    <s v="ARCADIA INTERNATIONAL TRADING"/>
    <n v="0"/>
    <n v="69275"/>
  </r>
  <r>
    <s v="FAE-20-00130"/>
    <d v="2020-06-01T00:00:00"/>
    <x v="6"/>
    <x v="1"/>
    <s v="CE2137"/>
    <s v="TUNISIAN AFRICAN BUSINESS"/>
    <n v="0"/>
    <n v="145784"/>
  </r>
  <r>
    <s v="FAE-20-00131"/>
    <d v="2020-06-02T00:00:00"/>
    <x v="6"/>
    <x v="1"/>
    <s v="CE2137"/>
    <s v="TUNISIAN AFRICAN BUSINESS"/>
    <n v="0"/>
    <n v="107424"/>
  </r>
  <r>
    <s v="FAE-20-00132"/>
    <d v="2020-05-22T00:00:00"/>
    <x v="4"/>
    <x v="1"/>
    <s v="CE2137"/>
    <s v="TUNISIAN AFRICAN BUSINESS"/>
    <n v="0"/>
    <n v="90432"/>
  </r>
  <r>
    <s v="FAE-20-00133"/>
    <d v="2020-06-25T00:00:00"/>
    <x v="6"/>
    <x v="1"/>
    <s v="CE2137"/>
    <s v="TUNISIAN AFRICAN BUSINESS"/>
    <n v="0"/>
    <n v="115080"/>
  </r>
  <r>
    <s v="FAE-20-00134"/>
    <d v="2020-06-25T00:00:00"/>
    <x v="6"/>
    <x v="1"/>
    <s v="CE2137"/>
    <s v="TUNISIAN AFRICAN BUSINESS"/>
    <n v="0"/>
    <n v="38360"/>
  </r>
  <r>
    <s v="FAE-20-00135"/>
    <d v="2020-06-02T00:00:00"/>
    <x v="6"/>
    <x v="1"/>
    <s v="CE2017"/>
    <s v="SAHEL INTERNATIONAL TRADE"/>
    <n v="0"/>
    <n v="347200"/>
  </r>
  <r>
    <s v="FAE-20-00136"/>
    <d v="2020-06-01T00:00:00"/>
    <x v="6"/>
    <x v="1"/>
    <s v="CE2001"/>
    <s v="STE DE COMMERCE INTERNATIONAL"/>
    <n v="0"/>
    <n v="90432"/>
  </r>
  <r>
    <s v="FAE-20-00137"/>
    <d v="2020-06-01T00:00:00"/>
    <x v="6"/>
    <x v="1"/>
    <s v="CE2208"/>
    <s v="SOCIETE MIDCOM INTERNATIONAL"/>
    <n v="0"/>
    <n v="34800"/>
  </r>
  <r>
    <s v="FAE-20-00138"/>
    <d v="2020-06-01T00:00:00"/>
    <x v="6"/>
    <x v="1"/>
    <s v="CE2165"/>
    <s v="ANGSTREM TRADING COMPANY &quot;AFG&quot;"/>
    <n v="0"/>
    <n v="80761.98"/>
  </r>
  <r>
    <s v="FAE-20-00139"/>
    <d v="2020-06-01T00:00:00"/>
    <x v="6"/>
    <x v="1"/>
    <s v="CE2178"/>
    <s v="ARCADIA INTERNATIONAL TRADING"/>
    <n v="0"/>
    <n v="33000"/>
  </r>
  <r>
    <s v="FAE-20-00140"/>
    <d v="2020-06-04T00:00:00"/>
    <x v="6"/>
    <x v="1"/>
    <s v="CE2123"/>
    <s v="ALMAGEMUA ALMOTAHIDA co"/>
    <n v="0"/>
    <n v="1009998.679"/>
  </r>
  <r>
    <s v="FAE-20-00141"/>
    <d v="2020-06-04T00:00:00"/>
    <x v="6"/>
    <x v="1"/>
    <s v="CE2230"/>
    <s v="AL JAWDA AL RAEDA"/>
    <n v="0"/>
    <n v="1476862.5460000001"/>
  </r>
  <r>
    <s v="FAE-20-00142"/>
    <d v="2020-06-09T00:00:00"/>
    <x v="6"/>
    <x v="1"/>
    <s v="CE2225"/>
    <s v="TOYOTA TSUSHO UK LTD"/>
    <n v="0"/>
    <n v="432393.55499999999"/>
  </r>
  <r>
    <s v="FAE-20-00143"/>
    <d v="2020-06-11T00:00:00"/>
    <x v="6"/>
    <x v="1"/>
    <s v="CE2017"/>
    <s v="SAHEL INTERNATIONAL TRADE"/>
    <n v="0"/>
    <n v="79097.52"/>
  </r>
  <r>
    <s v="FAE-20-00144"/>
    <d v="2020-06-12T00:00:00"/>
    <x v="6"/>
    <x v="1"/>
    <s v="CE2017"/>
    <s v="SAHEL INTERNATIONAL TRADE"/>
    <n v="0"/>
    <n v="84637.92"/>
  </r>
  <r>
    <s v="FAE-20-00145"/>
    <d v="2020-06-12T00:00:00"/>
    <x v="6"/>
    <x v="1"/>
    <s v="CE2017"/>
    <s v="SAHEL INTERNATIONAL TRADE"/>
    <n v="0"/>
    <n v="165000"/>
  </r>
  <r>
    <s v="FAE-20-00146"/>
    <d v="2020-06-12T00:00:00"/>
    <x v="6"/>
    <x v="1"/>
    <s v="CE2017"/>
    <s v="SAHEL INTERNATIONAL TRADE"/>
    <n v="0"/>
    <n v="32064"/>
  </r>
  <r>
    <s v="FAE-20-00147"/>
    <d v="2020-06-13T00:00:00"/>
    <x v="6"/>
    <x v="1"/>
    <s v="CE2137"/>
    <s v="TUNISIAN AFRICAN BUSINESS"/>
    <n v="0"/>
    <n v="147453.6"/>
  </r>
  <r>
    <s v="FAE-20-00148"/>
    <d v="2020-06-13T00:00:00"/>
    <x v="6"/>
    <x v="1"/>
    <s v="CE2001"/>
    <s v="STE DE COMMERCE INTERNATIONAL"/>
    <n v="0"/>
    <n v="117600"/>
  </r>
  <r>
    <s v="FAE-20-00149"/>
    <d v="2020-06-13T00:00:00"/>
    <x v="6"/>
    <x v="1"/>
    <s v="CE2154"/>
    <s v="SODIFRAM SAS"/>
    <n v="0"/>
    <n v="52315.044000000002"/>
  </r>
  <r>
    <s v="FAE-20-00150"/>
    <d v="2020-06-13T00:00:00"/>
    <x v="6"/>
    <x v="1"/>
    <s v="CE2154"/>
    <s v="SODIFRAM SAS"/>
    <n v="0"/>
    <n v="52368.095999999998"/>
  </r>
  <r>
    <s v="FAE-20-00151"/>
    <d v="2020-06-13T00:00:00"/>
    <x v="6"/>
    <x v="1"/>
    <s v="CE2025"/>
    <s v="SAWABA - GUINEE"/>
    <n v="0"/>
    <n v="301411.65700000001"/>
  </r>
  <r>
    <s v="FAE-20-00152"/>
    <d v="2020-06-15T00:00:00"/>
    <x v="6"/>
    <x v="1"/>
    <s v="CE2200"/>
    <s v="MAMUDOU BAH T/A TEDOUGNAL FARM"/>
    <n v="0"/>
    <n v="158420.39600000001"/>
  </r>
  <r>
    <s v="FAE-20-00153"/>
    <d v="2020-07-07T00:00:00"/>
    <x v="8"/>
    <x v="1"/>
    <s v="CE2234"/>
    <s v="STE BO ET CO"/>
    <n v="0"/>
    <n v="9238.08"/>
  </r>
  <r>
    <s v="FAE-20-00154"/>
    <d v="2020-06-15T00:00:00"/>
    <x v="6"/>
    <x v="1"/>
    <s v="CE2233"/>
    <s v="ALAM ELAMAN FOOD IMPORT CO"/>
    <n v="0"/>
    <n v="485563.32"/>
  </r>
  <r>
    <s v="FAE-20-00155"/>
    <d v="2020-06-15T00:00:00"/>
    <x v="6"/>
    <x v="1"/>
    <s v="CE2178"/>
    <s v="ARCADIA INTERNATIONAL TRADING"/>
    <n v="0"/>
    <n v="38154"/>
  </r>
  <r>
    <s v="FAE-20-00156"/>
    <d v="2020-08-10T00:00:00"/>
    <x v="3"/>
    <x v="1"/>
    <s v="CE2153"/>
    <s v="SOCIETE AL BADR"/>
    <n v="0"/>
    <n v="75040"/>
  </r>
  <r>
    <s v="FAE-20-00157"/>
    <d v="2020-06-17T00:00:00"/>
    <x v="6"/>
    <x v="1"/>
    <s v="CE2017"/>
    <s v="SAHEL INTERNATIONAL TRADE"/>
    <n v="0"/>
    <n v="66904.320000000007"/>
  </r>
  <r>
    <s v="FAE-20-00158"/>
    <d v="2020-06-20T00:00:00"/>
    <x v="6"/>
    <x v="1"/>
    <s v="CE2178"/>
    <s v="ARCADIA INTERNATIONAL TRADING"/>
    <n v="0"/>
    <n v="8444"/>
  </r>
  <r>
    <s v="FAE-20-00159"/>
    <d v="2020-06-22T00:00:00"/>
    <x v="6"/>
    <x v="1"/>
    <s v="CE2001"/>
    <s v="STE DE COMMERCE INTERNATIONAL"/>
    <n v="0"/>
    <n v="68388"/>
  </r>
  <r>
    <s v="FAE-20-00160"/>
    <d v="2020-06-22T00:00:00"/>
    <x v="6"/>
    <x v="1"/>
    <s v="CE2137"/>
    <s v="TUNISIAN AFRICAN BUSINESS"/>
    <n v="0"/>
    <n v="37200"/>
  </r>
  <r>
    <s v="FAE-20-00161"/>
    <d v="2020-06-22T00:00:00"/>
    <x v="6"/>
    <x v="1"/>
    <s v="CE2079"/>
    <s v="BAH MAMADOU SALIOU"/>
    <n v="0"/>
    <n v="153884.91200000001"/>
  </r>
  <r>
    <s v="FAE-20-00162"/>
    <d v="2020-07-04T00:00:00"/>
    <x v="8"/>
    <x v="1"/>
    <s v="CE2168"/>
    <s v="SOCIETE OMEGA TRADING"/>
    <n v="0"/>
    <n v="218400"/>
  </r>
  <r>
    <s v="FAE-20-00163"/>
    <d v="2020-07-02T00:00:00"/>
    <x v="8"/>
    <x v="1"/>
    <s v="CE2208"/>
    <s v="SOCIETE MIDCOM INTERNATIONAL"/>
    <n v="0"/>
    <n v="178350"/>
  </r>
  <r>
    <s v="FAE-20-00164"/>
    <d v="2020-07-02T00:00:00"/>
    <x v="8"/>
    <x v="1"/>
    <s v="CE2208"/>
    <s v="SOCIETE MIDCOM INTERNATIONAL"/>
    <n v="0"/>
    <n v="41340"/>
  </r>
  <r>
    <s v="FAE-20-00165"/>
    <d v="2020-07-01T00:00:00"/>
    <x v="8"/>
    <x v="1"/>
    <s v="CE2212"/>
    <s v="TIMBI MADINA"/>
    <n v="0"/>
    <n v="87585.891000000003"/>
  </r>
  <r>
    <s v="FAE-20-00166"/>
    <d v="2020-07-01T00:00:00"/>
    <x v="8"/>
    <x v="1"/>
    <s v="CE2017"/>
    <s v="SAHEL INTERNATIONAL TRADE"/>
    <n v="0"/>
    <n v="264300"/>
  </r>
  <r>
    <s v="FAE-20-00167"/>
    <d v="2020-07-01T00:00:00"/>
    <x v="8"/>
    <x v="1"/>
    <s v="CE2178"/>
    <s v="ARCADIA INTERNATIONAL TRADING"/>
    <n v="0"/>
    <n v="33000"/>
  </r>
  <r>
    <s v="FAE-20-00168"/>
    <d v="2020-07-02T00:00:00"/>
    <x v="8"/>
    <x v="1"/>
    <s v="CE2017"/>
    <s v="SAHEL INTERNATIONAL TRADE"/>
    <n v="0"/>
    <n v="247875"/>
  </r>
  <r>
    <s v="FAE-20-00169"/>
    <d v="2020-07-03T00:00:00"/>
    <x v="8"/>
    <x v="1"/>
    <s v="CE2168"/>
    <s v="SOCIETE OMEGA TRADING"/>
    <n v="0"/>
    <n v="105638.39999999999"/>
  </r>
  <r>
    <s v="FAE-20-00170"/>
    <d v="2020-08-01T00:00:00"/>
    <x v="3"/>
    <x v="1"/>
    <s v="CE2165"/>
    <s v="ANGSTREM TRADING COMPANY &quot;AFG&quot;"/>
    <n v="0"/>
    <n v="38619.195"/>
  </r>
  <r>
    <s v="FAE-20-00172"/>
    <d v="2020-07-04T00:00:00"/>
    <x v="8"/>
    <x v="1"/>
    <s v="CE2137"/>
    <s v="TUNISIAN AFRICAN BUSINESS"/>
    <n v="0"/>
    <n v="32791.919999999998"/>
  </r>
  <r>
    <s v="FAE-20-00173"/>
    <d v="2020-07-04T00:00:00"/>
    <x v="8"/>
    <x v="1"/>
    <s v="CE2229"/>
    <s v="SOPALIM"/>
    <n v="0"/>
    <n v="43867.1"/>
  </r>
  <r>
    <s v="FAE-20-00174"/>
    <d v="2020-07-07T00:00:00"/>
    <x v="8"/>
    <x v="1"/>
    <s v="CE2168"/>
    <s v="SOCIETE OMEGA TRADING"/>
    <n v="0"/>
    <n v="145600"/>
  </r>
  <r>
    <s v="FAE-20-00175"/>
    <d v="2020-07-07T00:00:00"/>
    <x v="8"/>
    <x v="1"/>
    <s v="CE2017"/>
    <s v="SAHEL INTERNATIONAL TRADE"/>
    <n v="0"/>
    <n v="76181.759999999995"/>
  </r>
  <r>
    <s v="FAE-20-00176"/>
    <d v="2020-07-07T00:00:00"/>
    <x v="8"/>
    <x v="1"/>
    <s v="CE2017"/>
    <s v="SAHEL INTERNATIONAL TRADE"/>
    <n v="0"/>
    <n v="68916.960000000006"/>
  </r>
  <r>
    <s v="FAE-20-00177"/>
    <d v="2020-07-07T00:00:00"/>
    <x v="8"/>
    <x v="1"/>
    <s v="CE2017"/>
    <s v="SAHEL INTERNATIONAL TRADE"/>
    <n v="0"/>
    <n v="31161"/>
  </r>
  <r>
    <s v="FAE-20-00178"/>
    <d v="2020-07-07T00:00:00"/>
    <x v="8"/>
    <x v="1"/>
    <s v="CE2178"/>
    <s v="ARCADIA INTERNATIONAL TRADING"/>
    <n v="0"/>
    <n v="78624"/>
  </r>
  <r>
    <s v="FAE-20-00179"/>
    <d v="2020-07-07T00:00:00"/>
    <x v="8"/>
    <x v="1"/>
    <s v="CE2178"/>
    <s v="ARCADIA INTERNATIONAL TRADING"/>
    <n v="0"/>
    <n v="33000"/>
  </r>
  <r>
    <s v="FAE-20-00180"/>
    <d v="2020-07-07T00:00:00"/>
    <x v="8"/>
    <x v="1"/>
    <s v="CE2178"/>
    <s v="ARCADIA INTERNATIONAL TRADING"/>
    <n v="0"/>
    <n v="33000"/>
  </r>
  <r>
    <s v="FAE-20-00181"/>
    <d v="2020-07-09T00:00:00"/>
    <x v="8"/>
    <x v="1"/>
    <s v="CE2178"/>
    <s v="ARCADIA INTERNATIONAL TRADING"/>
    <n v="0"/>
    <n v="34771.86"/>
  </r>
  <r>
    <s v="FAE-20-00182"/>
    <d v="2020-07-09T00:00:00"/>
    <x v="8"/>
    <x v="1"/>
    <s v="CE2137"/>
    <s v="TUNISIAN AFRICAN BUSINESS"/>
    <n v="0"/>
    <n v="148333.92000000001"/>
  </r>
  <r>
    <s v="FAE-20-00183"/>
    <d v="2020-07-11T00:00:00"/>
    <x v="8"/>
    <x v="1"/>
    <s v="CE2025"/>
    <s v="SAWABA - GUINEE"/>
    <n v="0"/>
    <n v="532095.75300000003"/>
  </r>
  <r>
    <s v="FAE-20-00184"/>
    <d v="2020-07-11T00:00:00"/>
    <x v="8"/>
    <x v="1"/>
    <s v="CE2165"/>
    <s v="ANGSTREM TRADING COMPANY &quot;AFG&quot;"/>
    <n v="0"/>
    <n v="76630.559999999998"/>
  </r>
  <r>
    <s v="FAE-20-00185"/>
    <d v="2020-07-13T00:00:00"/>
    <x v="8"/>
    <x v="1"/>
    <s v="CE2017"/>
    <s v="SAHEL INTERNATIONAL TRADE"/>
    <n v="0"/>
    <n v="347200"/>
  </r>
  <r>
    <s v="FAE-20-00186"/>
    <d v="2020-08-03T00:00:00"/>
    <x v="3"/>
    <x v="1"/>
    <s v="CE2017"/>
    <s v="SAHEL INTERNATIONAL TRADE"/>
    <n v="0"/>
    <n v="65570"/>
  </r>
  <r>
    <s v="FAE-20-00187"/>
    <d v="2020-07-13T00:00:00"/>
    <x v="8"/>
    <x v="1"/>
    <s v="CE2001"/>
    <s v="STE DE COMMERCE INTERNATIONAL"/>
    <n v="0"/>
    <n v="64000"/>
  </r>
  <r>
    <s v="FAE-20-00188"/>
    <d v="2020-07-16T00:00:00"/>
    <x v="8"/>
    <x v="1"/>
    <s v="CE2200"/>
    <s v="MAMUDOU BAH T/A TEDOUGNAL FARM"/>
    <n v="0"/>
    <n v="103000.488"/>
  </r>
  <r>
    <s v="FAE-20-00189"/>
    <d v="2020-08-03T00:00:00"/>
    <x v="3"/>
    <x v="1"/>
    <s v="CE2230"/>
    <s v="AL JAWDA AL RAEDA"/>
    <n v="0"/>
    <n v="1490778"/>
  </r>
  <r>
    <s v="FAE-20-00190"/>
    <d v="2020-08-01T00:00:00"/>
    <x v="3"/>
    <x v="1"/>
    <s v="CE2236"/>
    <s v="ALATHEER ALZAHER COMPANY FOR"/>
    <n v="0"/>
    <n v="282084.32299999997"/>
  </r>
  <r>
    <s v="FAE-20-00191"/>
    <d v="2020-07-22T00:00:00"/>
    <x v="8"/>
    <x v="1"/>
    <s v="CE2053"/>
    <s v="ETS KASSO IMPORT EXPORT"/>
    <n v="0"/>
    <n v="150017.454"/>
  </r>
  <r>
    <s v="FAE-20-00192"/>
    <d v="2020-07-22T00:00:00"/>
    <x v="8"/>
    <x v="1"/>
    <s v="CE2053"/>
    <s v="ETS KASSO IMPORT EXPORT"/>
    <n v="0"/>
    <n v="150017.454"/>
  </r>
  <r>
    <s v="FAE-20-00193"/>
    <d v="2020-07-22T00:00:00"/>
    <x v="8"/>
    <x v="1"/>
    <s v="CE2137"/>
    <s v="TUNISIAN AFRICAN BUSINESS"/>
    <n v="0"/>
    <n v="209956.32"/>
  </r>
  <r>
    <s v="FAE-20-00194"/>
    <d v="2020-07-22T00:00:00"/>
    <x v="8"/>
    <x v="1"/>
    <s v="CE2137"/>
    <s v="TUNISIAN AFRICAN BUSINESS"/>
    <n v="0"/>
    <n v="216002.4"/>
  </r>
  <r>
    <s v="FAE-20-00195"/>
    <d v="2020-09-20T00:00:00"/>
    <x v="9"/>
    <x v="1"/>
    <s v="CE2123"/>
    <s v="ALMAGEMUA ALMOTAHIDA co"/>
    <n v="0"/>
    <n v="441409.21299999999"/>
  </r>
  <r>
    <s v="FAE-20-00197"/>
    <d v="2020-10-01T00:00:00"/>
    <x v="10"/>
    <x v="1"/>
    <s v="CE2154"/>
    <s v="SODIFRAM SAS"/>
    <n v="0"/>
    <n v="52831.446000000004"/>
  </r>
  <r>
    <s v="FAE-20-00198"/>
    <d v="2020-08-18T00:00:00"/>
    <x v="3"/>
    <x v="1"/>
    <s v="CE2017"/>
    <s v="SAHEL INTERNATIONAL TRADE"/>
    <n v="0"/>
    <n v="343480"/>
  </r>
  <r>
    <s v="FAE-20-00199"/>
    <d v="2020-08-25T00:00:00"/>
    <x v="3"/>
    <x v="1"/>
    <s v="CE2017"/>
    <s v="SAHEL INTERNATIONAL TRADE"/>
    <n v="0"/>
    <n v="380250"/>
  </r>
  <r>
    <s v="FAE-20-00200"/>
    <d v="2020-08-10T00:00:00"/>
    <x v="3"/>
    <x v="1"/>
    <s v="CE2017"/>
    <s v="SAHEL INTERNATIONAL TRADE"/>
    <n v="0"/>
    <n v="70962.48"/>
  </r>
  <r>
    <s v="FAE-20-00201"/>
    <d v="2020-08-04T00:00:00"/>
    <x v="3"/>
    <x v="1"/>
    <s v="CE2208"/>
    <s v="SOCIETE MIDCOM INTERNATIONAL"/>
    <n v="0"/>
    <n v="415740"/>
  </r>
  <r>
    <s v="FAE-20-00202"/>
    <d v="2020-09-14T00:00:00"/>
    <x v="9"/>
    <x v="1"/>
    <s v="CE2168"/>
    <s v="SOCIETE OMEGA TRADING"/>
    <n v="0"/>
    <n v="355600"/>
  </r>
  <r>
    <s v="FAE-20-00204"/>
    <d v="2020-08-10T00:00:00"/>
    <x v="3"/>
    <x v="1"/>
    <s v="CE2137"/>
    <s v="TUNISIAN AFRICAN BUSINESS"/>
    <n v="0"/>
    <n v="72540"/>
  </r>
  <r>
    <s v="FAE-20-00205"/>
    <d v="2020-09-01T00:00:00"/>
    <x v="9"/>
    <x v="1"/>
    <s v="CE2137"/>
    <s v="TUNISIAN AFRICAN BUSINESS"/>
    <n v="0"/>
    <n v="75408"/>
  </r>
  <r>
    <s v="FAE-20-00206"/>
    <d v="2020-08-11T00:00:00"/>
    <x v="3"/>
    <x v="1"/>
    <s v="CE2235"/>
    <s v="GREEN WORLD FOOD EXPRESS INC"/>
    <n v="0"/>
    <n v="51156.406999999999"/>
  </r>
  <r>
    <s v="FAE-20-00207"/>
    <d v="2020-08-28T00:00:00"/>
    <x v="3"/>
    <x v="1"/>
    <s v="CE2178"/>
    <s v="ARCADIA INTERNATIONAL TRADING"/>
    <n v="0"/>
    <n v="3565.59"/>
  </r>
  <r>
    <s v="FAE-20-00208"/>
    <d v="2020-09-03T00:00:00"/>
    <x v="9"/>
    <x v="1"/>
    <s v="CE2178"/>
    <s v="ARCADIA INTERNATIONAL TRADING"/>
    <n v="0"/>
    <n v="52416"/>
  </r>
  <r>
    <s v="FAE-20-00209"/>
    <d v="2020-08-19T00:00:00"/>
    <x v="3"/>
    <x v="1"/>
    <s v="CE2017"/>
    <s v="SAHEL INTERNATIONAL TRADE"/>
    <n v="0"/>
    <n v="68916.960000000006"/>
  </r>
  <r>
    <s v="FAE-20-00210"/>
    <d v="2020-08-31T00:00:00"/>
    <x v="3"/>
    <x v="1"/>
    <s v="CE2178"/>
    <s v="ARCADIA INTERNATIONAL TRADING"/>
    <n v="0"/>
    <n v="11717.7"/>
  </r>
  <r>
    <s v="FAE-20-00211"/>
    <d v="2020-08-21T00:00:00"/>
    <x v="3"/>
    <x v="1"/>
    <s v="CE2123"/>
    <s v="ALMAGEMUA ALMOTAHIDA co"/>
    <n v="0"/>
    <n v="354604.005"/>
  </r>
  <r>
    <s v="FAE-20-00212"/>
    <d v="2020-08-26T00:00:00"/>
    <x v="3"/>
    <x v="1"/>
    <s v="CE2137"/>
    <s v="TUNISIAN AFRICAN BUSINESS"/>
    <n v="0"/>
    <n v="358290.24"/>
  </r>
  <r>
    <s v="FAE-20-00213"/>
    <d v="2020-08-21T00:00:00"/>
    <x v="3"/>
    <x v="1"/>
    <s v="CE2053"/>
    <s v="ETS KASSO IMPORT EXPORT"/>
    <n v="0"/>
    <n v="154052.712"/>
  </r>
  <r>
    <s v="FAE-20-00214"/>
    <d v="2020-08-21T00:00:00"/>
    <x v="3"/>
    <x v="1"/>
    <s v="CE2053"/>
    <s v="ETS KASSO IMPORT EXPORT"/>
    <n v="0"/>
    <n v="154119.24"/>
  </r>
  <r>
    <s v="FAE-20-00215"/>
    <d v="2020-08-21T00:00:00"/>
    <x v="3"/>
    <x v="1"/>
    <s v="CE2053"/>
    <s v="ETS KASSO IMPORT EXPORT"/>
    <n v="0"/>
    <n v="154468.51199999999"/>
  </r>
  <r>
    <s v="FAE-20-00216"/>
    <d v="2020-08-21T00:00:00"/>
    <x v="3"/>
    <x v="1"/>
    <s v="CE2233"/>
    <s v="ALAM ELAMAN FOOD IMPORT CO"/>
    <n v="0"/>
    <n v="397912.783"/>
  </r>
  <r>
    <s v="FAE-20-00217"/>
    <d v="2020-09-02T00:00:00"/>
    <x v="9"/>
    <x v="1"/>
    <s v="CE2017"/>
    <s v="SAHEL INTERNATIONAL TRADE"/>
    <n v="0"/>
    <n v="32785"/>
  </r>
  <r>
    <s v="FAE-20-00218"/>
    <d v="2020-09-02T00:00:00"/>
    <x v="9"/>
    <x v="1"/>
    <s v="CE2017"/>
    <s v="SAHEL INTERNATIONAL TRADE"/>
    <n v="0"/>
    <n v="32064"/>
  </r>
  <r>
    <s v="FAE-20-00219"/>
    <d v="2020-09-01T00:00:00"/>
    <x v="9"/>
    <x v="1"/>
    <s v="CE2228"/>
    <s v="GOLDEN PEARL INTERNATIONAL"/>
    <n v="0"/>
    <n v="42289.5"/>
  </r>
  <r>
    <s v="FAE-20-00220"/>
    <d v="2020-09-01T00:00:00"/>
    <x v="9"/>
    <x v="1"/>
    <s v="CE2001"/>
    <s v="STE DE COMMERCE INTERNATIONAL"/>
    <n v="0"/>
    <n v="186592"/>
  </r>
  <r>
    <s v="FAE-20-00221"/>
    <d v="2020-10-01T00:00:00"/>
    <x v="10"/>
    <x v="1"/>
    <s v="CE2122"/>
    <s v="STE OMRANE LES CINQ ETOILES"/>
    <n v="0"/>
    <n v="46089.658000000003"/>
  </r>
  <r>
    <s v="FAE-20-00222"/>
    <d v="2020-09-01T00:00:00"/>
    <x v="9"/>
    <x v="1"/>
    <s v="CE2153"/>
    <s v="SOCIETE AL BADR"/>
    <n v="0"/>
    <n v="156480"/>
  </r>
  <r>
    <s v="FAE-20-00223"/>
    <d v="2020-09-01T00:00:00"/>
    <x v="9"/>
    <x v="1"/>
    <s v="CE2178"/>
    <s v="ARCADIA INTERNATIONAL TRADING"/>
    <n v="0"/>
    <n v="5952.6"/>
  </r>
  <r>
    <s v="FAE-20-00224"/>
    <d v="2020-09-01T00:00:00"/>
    <x v="9"/>
    <x v="1"/>
    <s v="CE2208"/>
    <s v="SOCIETE MIDCOM INTERNATIONAL"/>
    <n v="0"/>
    <n v="34750"/>
  </r>
  <r>
    <s v="FAE-20-00225"/>
    <d v="2020-09-01T00:00:00"/>
    <x v="9"/>
    <x v="1"/>
    <s v="CE2230"/>
    <s v="AL JAWDA AL RAEDA"/>
    <n v="0"/>
    <n v="1677784.7679999999"/>
  </r>
  <r>
    <s v="FAE-20-00226"/>
    <d v="2020-09-01T00:00:00"/>
    <x v="9"/>
    <x v="1"/>
    <s v="CE2123"/>
    <s v="ALMAGEMUA ALMOTAHIDA co"/>
    <n v="0"/>
    <n v="981343.7"/>
  </r>
  <r>
    <s v="FAE-20-00227"/>
    <d v="2020-09-04T00:00:00"/>
    <x v="9"/>
    <x v="1"/>
    <s v="CE2237"/>
    <s v="AL HAMAT ALDAWLIA FOR FOOD STUFF"/>
    <n v="0"/>
    <n v="432936.864"/>
  </r>
  <r>
    <s v="FAE-20-00228"/>
    <d v="2020-09-04T00:00:00"/>
    <x v="9"/>
    <x v="1"/>
    <s v="CE2053"/>
    <s v="ETS KASSO IMPORT EXPORT"/>
    <n v="0"/>
    <n v="153938.66399999999"/>
  </r>
  <r>
    <s v="FAE-20-00229"/>
    <d v="2020-09-04T00:00:00"/>
    <x v="9"/>
    <x v="1"/>
    <s v="CE2053"/>
    <s v="ETS KASSO IMPORT EXPORT"/>
    <n v="0"/>
    <n v="153938.66399999999"/>
  </r>
  <r>
    <s v="FAE-20-00230"/>
    <d v="2020-09-07T00:00:00"/>
    <x v="9"/>
    <x v="1"/>
    <s v="CE2219"/>
    <s v="ADVENS - FRANCE"/>
    <n v="0"/>
    <n v="39767.730000000003"/>
  </r>
  <r>
    <s v="FAE-20-00231"/>
    <d v="2020-09-12T00:00:00"/>
    <x v="9"/>
    <x v="1"/>
    <s v="CE2079"/>
    <s v="BAH MAMADOU SALIOU"/>
    <n v="0"/>
    <n v="206454.891"/>
  </r>
  <r>
    <s v="FAE-20-00232"/>
    <d v="2020-09-15T00:00:00"/>
    <x v="9"/>
    <x v="1"/>
    <s v="CE2137"/>
    <s v="TUNISIAN AFRICAN BUSINESS"/>
    <n v="0"/>
    <n v="115080"/>
  </r>
  <r>
    <s v="FAE-20-00233"/>
    <d v="2020-09-15T00:00:00"/>
    <x v="9"/>
    <x v="1"/>
    <s v="CE2137"/>
    <s v="TUNISIAN AFRICAN BUSINESS"/>
    <n v="0"/>
    <n v="217620"/>
  </r>
  <r>
    <s v="FAE-20-00234"/>
    <d v="2020-09-15T00:00:00"/>
    <x v="9"/>
    <x v="1"/>
    <s v="CE2225"/>
    <s v="TOYOTA TSUSHO UK LTD"/>
    <n v="0"/>
    <n v="461614.27399999998"/>
  </r>
  <r>
    <s v="FAE-20-00235"/>
    <d v="2020-09-15T00:00:00"/>
    <x v="9"/>
    <x v="1"/>
    <s v="CE2025"/>
    <s v="SAWABA - GUINEE"/>
    <n v="0"/>
    <n v="414999.489"/>
  </r>
  <r>
    <s v="FAE-20-00236"/>
    <d v="2020-09-17T00:00:00"/>
    <x v="9"/>
    <x v="1"/>
    <s v="CE2017"/>
    <s v="SAHEL INTERNATIONAL TRADE"/>
    <n v="0"/>
    <n v="142611.84"/>
  </r>
  <r>
    <s v="FAE-20-00237"/>
    <d v="2020-09-22T00:00:00"/>
    <x v="9"/>
    <x v="1"/>
    <s v="CE2017"/>
    <s v="SAHEL INTERNATIONAL TRADE"/>
    <n v="0"/>
    <n v="35652.959999999999"/>
  </r>
  <r>
    <s v="FAE-20-00238"/>
    <d v="2020-09-24T00:00:00"/>
    <x v="9"/>
    <x v="1"/>
    <s v="CE2178"/>
    <s v="ARCADIA INTERNATIONAL TRADING"/>
    <n v="0"/>
    <n v="33000"/>
  </r>
  <r>
    <s v="FAE-20-00239"/>
    <d v="2020-10-01T00:00:00"/>
    <x v="10"/>
    <x v="1"/>
    <s v="CE2178"/>
    <s v="ARCADIA INTERNATIONAL TRADING"/>
    <n v="0"/>
    <n v="34771.86"/>
  </r>
  <r>
    <s v="FAE-20-00240"/>
    <d v="2020-10-14T00:00:00"/>
    <x v="10"/>
    <x v="1"/>
    <s v="CE2001"/>
    <s v="STE DE COMMERCE INTERNATIONAL"/>
    <n v="0"/>
    <n v="93888"/>
  </r>
  <r>
    <s v="FAE-20-00241"/>
    <d v="2020-10-01T00:00:00"/>
    <x v="10"/>
    <x v="1"/>
    <s v="CE2137"/>
    <s v="TUNISIAN AFRICAN BUSINESS"/>
    <n v="0"/>
    <n v="150226.4"/>
  </r>
  <r>
    <s v="FAE-20-00242"/>
    <d v="2020-09-25T00:00:00"/>
    <x v="9"/>
    <x v="1"/>
    <s v="CE2149"/>
    <s v="DAVIS TRADING CO LTD"/>
    <n v="0"/>
    <n v="60865.044999999998"/>
  </r>
  <r>
    <s v="FAE-20-00243"/>
    <d v="2020-10-01T00:00:00"/>
    <x v="10"/>
    <x v="1"/>
    <s v="CE2238"/>
    <s v="SYNERGIE INTERNATIONAL"/>
    <n v="0"/>
    <n v="33600"/>
  </r>
  <r>
    <s v="FAE-20-00244"/>
    <d v="2020-10-01T00:00:00"/>
    <x v="10"/>
    <x v="1"/>
    <s v="CE2240"/>
    <s v="RNK DISTRIBUTION"/>
    <n v="0"/>
    <n v="59365.02"/>
  </r>
  <r>
    <s v="FAE-20-00245"/>
    <d v="2020-10-01T00:00:00"/>
    <x v="10"/>
    <x v="1"/>
    <s v="CE2233"/>
    <s v="ALAM ELAMAN FOOD IMPORT CO"/>
    <n v="0"/>
    <n v="401703.88099999999"/>
  </r>
  <r>
    <s v="FAE-20-00246"/>
    <d v="2020-10-01T00:00:00"/>
    <x v="10"/>
    <x v="1"/>
    <s v="CE2229"/>
    <s v="SOPALIM"/>
    <n v="0"/>
    <n v="54727.428"/>
  </r>
  <r>
    <s v="FAE-20-00247"/>
    <d v="2020-10-01T00:00:00"/>
    <x v="10"/>
    <x v="1"/>
    <s v="CE2241"/>
    <s v="DISTREUROP"/>
    <n v="0"/>
    <n v="47264.214"/>
  </r>
  <r>
    <s v="FAE-20-00248"/>
    <d v="2020-10-01T00:00:00"/>
    <x v="10"/>
    <x v="1"/>
    <s v="CE2178"/>
    <s v="ARCADIA INTERNATIONAL TRADING"/>
    <n v="0"/>
    <n v="145317.84"/>
  </r>
  <r>
    <s v="FAE-20-00249"/>
    <d v="2020-10-02T00:00:00"/>
    <x v="10"/>
    <x v="1"/>
    <s v="CE2017"/>
    <s v="SAHEL INTERNATIONAL TRADE"/>
    <n v="0"/>
    <n v="30872"/>
  </r>
  <r>
    <s v="FAE-20-00250"/>
    <d v="2020-10-08T00:00:00"/>
    <x v="10"/>
    <x v="1"/>
    <s v="CE2017"/>
    <s v="SAHEL INTERNATIONAL TRADE"/>
    <n v="0"/>
    <n v="70848"/>
  </r>
  <r>
    <s v="FAE-20-00251"/>
    <d v="2020-10-08T00:00:00"/>
    <x v="10"/>
    <x v="1"/>
    <s v="CE2017"/>
    <s v="SAHEL INTERNATIONAL TRADE"/>
    <n v="0"/>
    <n v="163721.04"/>
  </r>
  <r>
    <s v="FAE-20-00252"/>
    <d v="2020-10-08T00:00:00"/>
    <x v="10"/>
    <x v="1"/>
    <s v="CE2001"/>
    <s v="STE DE COMMERCE INTERNATIONAL"/>
    <n v="0"/>
    <n v="364000"/>
  </r>
  <r>
    <s v="FAE-20-00253"/>
    <d v="2020-10-08T00:00:00"/>
    <x v="10"/>
    <x v="1"/>
    <s v="CE2001"/>
    <s v="STE DE COMMERCE INTERNATIONAL"/>
    <n v="0"/>
    <n v="93888"/>
  </r>
  <r>
    <s v="FAE-20-00254"/>
    <d v="2020-10-08T00:00:00"/>
    <x v="10"/>
    <x v="1"/>
    <s v="CE2228"/>
    <s v="GOLDEN PEARL INTERNATIONAL"/>
    <n v="0"/>
    <n v="47611.8"/>
  </r>
  <r>
    <s v="FAE-20-00255"/>
    <d v="2020-10-08T00:00:00"/>
    <x v="10"/>
    <x v="1"/>
    <s v="CE2168"/>
    <s v="SOCIETE OMEGA TRADING"/>
    <n v="0"/>
    <n v="64140"/>
  </r>
  <r>
    <s v="FAE-20-00256"/>
    <d v="2020-10-28T00:00:00"/>
    <x v="10"/>
    <x v="1"/>
    <s v="CE2168"/>
    <s v="SOCIETE OMEGA TRADING"/>
    <n v="0"/>
    <n v="102960"/>
  </r>
  <r>
    <s v="FAE-20-00259"/>
    <d v="2020-10-16T00:00:00"/>
    <x v="10"/>
    <x v="1"/>
    <s v="CE2165"/>
    <s v="ANGSTREM TRADING COMPANY &quot;AFG&quot;"/>
    <n v="0"/>
    <n v="37657.72"/>
  </r>
  <r>
    <s v="FAE-20-00260"/>
    <d v="2020-10-16T00:00:00"/>
    <x v="10"/>
    <x v="1"/>
    <s v="CE2243"/>
    <s v="MAJAN GULF FOODS LLC"/>
    <n v="0"/>
    <n v="51189.591"/>
  </r>
  <r>
    <s v="FAE-20-00262"/>
    <d v="2020-10-16T00:00:00"/>
    <x v="10"/>
    <x v="1"/>
    <s v="CE2178"/>
    <s v="ARCADIA INTERNATIONAL TRADING"/>
    <n v="0"/>
    <n v="33759"/>
  </r>
  <r>
    <s v="FAE-20-00263"/>
    <d v="2020-10-26T00:00:00"/>
    <x v="10"/>
    <x v="1"/>
    <s v="CE2137"/>
    <s v="TUNISIAN AFRICAN BUSINESS"/>
    <n v="0"/>
    <n v="362700"/>
  </r>
  <r>
    <s v="FAE-20-00264"/>
    <d v="2020-10-31T00:00:00"/>
    <x v="10"/>
    <x v="1"/>
    <s v="CE2137"/>
    <s v="TUNISIAN AFRICAN BUSINESS"/>
    <n v="0"/>
    <n v="116220"/>
  </r>
  <r>
    <s v="FAE-20-00265"/>
    <d v="2020-10-29T00:00:00"/>
    <x v="10"/>
    <x v="1"/>
    <s v="CE2137"/>
    <s v="TUNISIAN AFRICAN BUSINESS"/>
    <n v="0"/>
    <n v="221835.68"/>
  </r>
  <r>
    <s v="FAE-20-00267"/>
    <d v="2020-10-31T00:00:00"/>
    <x v="10"/>
    <x v="1"/>
    <s v="CE2001"/>
    <s v="STE DE COMMERCE INTERNATIONAL"/>
    <n v="0"/>
    <n v="314808"/>
  </r>
  <r>
    <s v="FAE-20-00271"/>
    <d v="2020-10-28T00:00:00"/>
    <x v="10"/>
    <x v="1"/>
    <s v="CE2017"/>
    <s v="SAHEL INTERNATIONAL TRADE"/>
    <n v="0"/>
    <n v="2355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9">
  <r>
    <d v="2019-01-04T00:00:00"/>
    <n v="44016"/>
    <n v="56340.480000000003"/>
    <n v="0"/>
    <n v="56340.480000000003"/>
    <n v="1.28"/>
    <s v="TAB"/>
    <x v="0"/>
    <d v="2019-01-02T00:00:00"/>
    <m/>
  </r>
  <r>
    <d v="2019-01-04T00:00:00"/>
    <n v="20176"/>
    <n v="30263.64"/>
    <n v="0"/>
    <n v="30263.64"/>
    <n v="1.4999821570182394"/>
    <s v="ARCADIA - IGF"/>
    <x v="1"/>
    <d v="2018-12-17T00:00:00"/>
    <m/>
  </r>
  <r>
    <d v="2019-01-05T00:00:00"/>
    <n v="40200"/>
    <n v="71516.544999999998"/>
    <n v="21067.9"/>
    <n v="50448.644999999997"/>
    <n v="1.2549414179104477"/>
    <s v="SALIOU BAH"/>
    <x v="2"/>
    <d v="2019-01-02T00:00:00"/>
    <m/>
  </r>
  <r>
    <d v="2019-01-07T00:00:00"/>
    <n v="140000"/>
    <n v="165200"/>
    <n v="0"/>
    <n v="165200"/>
    <n v="1.18"/>
    <s v="OMEGA"/>
    <x v="3"/>
    <d v="2019-01-02T00:00:00"/>
    <m/>
  </r>
  <r>
    <d v="2019-01-07T00:00:00"/>
    <n v="66024"/>
    <n v="86491.44"/>
    <n v="0"/>
    <n v="86491.44"/>
    <n v="1.31"/>
    <s v="TAB"/>
    <x v="0"/>
    <d v="2019-01-02T00:00:00"/>
    <m/>
  </r>
  <r>
    <d v="2019-01-07T00:00:00"/>
    <n v="18850"/>
    <n v="68149.133000000002"/>
    <n v="1483.3"/>
    <n v="66665.832999999999"/>
    <n v="3.5366489655172413"/>
    <s v="DAVIS TRADING"/>
    <x v="4"/>
    <d v="2019-01-02T00:00:00"/>
    <m/>
  </r>
  <r>
    <d v="2019-01-08T00:00:00"/>
    <n v="33600"/>
    <n v="50400"/>
    <n v="0"/>
    <n v="50400"/>
    <n v="1.5"/>
    <s v="ARCADIA - ASAHI"/>
    <x v="5"/>
    <d v="2019-01-02T00:00:00"/>
    <m/>
  </r>
  <r>
    <d v="2019-01-12T00:00:00"/>
    <n v="66024"/>
    <n v="86491.44"/>
    <n v="0"/>
    <n v="86491.44"/>
    <n v="1.31"/>
    <s v="TAB"/>
    <x v="6"/>
    <d v="2019-01-08T00:00:00"/>
    <m/>
  </r>
  <r>
    <d v="2019-01-15T00:00:00"/>
    <n v="44016"/>
    <n v="57660.959999999999"/>
    <n v="0"/>
    <n v="57660.959999999999"/>
    <n v="1.31"/>
    <s v="TAB"/>
    <x v="6"/>
    <d v="2019-01-08T00:00:00"/>
    <m/>
  </r>
  <r>
    <d v="2019-01-15T00:00:00"/>
    <n v="76008"/>
    <n v="107367.6"/>
    <n v="0"/>
    <n v="107367.6"/>
    <n v="1.4125828860119989"/>
    <s v="SAHEL"/>
    <x v="7"/>
    <d v="2019-01-08T00:00:00"/>
    <m/>
  </r>
  <r>
    <d v="2019-01-16T00:00:00"/>
    <n v="112000"/>
    <n v="136640"/>
    <n v="0"/>
    <n v="136640"/>
    <n v="1.22"/>
    <s v="SCIT"/>
    <x v="8"/>
    <d v="2019-01-08T00:00:00"/>
    <m/>
  </r>
  <r>
    <d v="2019-01-17T00:00:00"/>
    <n v="112000"/>
    <n v="136640"/>
    <n v="0"/>
    <n v="136640"/>
    <n v="1.22"/>
    <s v="SCIT"/>
    <x v="8"/>
    <d v="2019-01-08T00:00:00"/>
    <m/>
  </r>
  <r>
    <d v="2019-01-18T00:00:00"/>
    <n v="44016"/>
    <n v="78333.710000000006"/>
    <n v="13884.44"/>
    <n v="64449.270000000004"/>
    <n v="1.4642236913849511"/>
    <s v="MAMADOU TEDOUGNAL"/>
    <x v="9"/>
    <d v="2019-01-08T00:00:00"/>
    <m/>
  </r>
  <r>
    <d v="2019-01-18T00:00:00"/>
    <n v="56000"/>
    <n v="68320"/>
    <n v="0"/>
    <n v="68320"/>
    <n v="1.22"/>
    <s v="SCIT"/>
    <x v="8"/>
    <d v="2019-01-08T00:00:00"/>
    <m/>
  </r>
  <r>
    <d v="2019-01-19T00:00:00"/>
    <n v="300000"/>
    <n v="498003"/>
    <n v="0"/>
    <n v="498003"/>
    <n v="1.66001"/>
    <s v="AWG LIBYA"/>
    <x v="10"/>
    <d v="2019-01-10T00:00:00"/>
    <m/>
  </r>
  <r>
    <d v="2019-01-23T00:00:00"/>
    <n v="28008"/>
    <n v="35850.239999999998"/>
    <n v="0"/>
    <n v="35850.239999999998"/>
    <n v="1.28"/>
    <s v="SAHEL"/>
    <x v="11"/>
    <d v="2019-01-11T00:00:00"/>
    <m/>
  </r>
  <r>
    <d v="2019-01-23T00:00:00"/>
    <n v="28008"/>
    <n v="35850.239999999998"/>
    <n v="0"/>
    <n v="35850.239999999998"/>
    <n v="1.28"/>
    <s v="SAHEL"/>
    <x v="12"/>
    <d v="2019-01-11T00:00:00"/>
    <m/>
  </r>
  <r>
    <d v="2019-01-23T00:00:00"/>
    <n v="20000"/>
    <n v="41765.699999999997"/>
    <n v="4614.1779999999999"/>
    <n v="37151.521999999997"/>
    <n v="1.8575761"/>
    <s v="ANGSTREM"/>
    <x v="13"/>
    <d v="2019-01-08T00:00:00"/>
    <m/>
  </r>
  <r>
    <d v="2019-01-23T00:00:00"/>
    <n v="20000"/>
    <n v="27600"/>
    <n v="0"/>
    <n v="27600"/>
    <n v="1.38"/>
    <s v="ARCADIA - FQF"/>
    <x v="14"/>
    <d v="2019-01-17T00:00:00"/>
    <m/>
  </r>
  <r>
    <d v="2019-01-24T00:00:00"/>
    <n v="22840"/>
    <n v="34348.5"/>
    <n v="0"/>
    <n v="34348.5"/>
    <n v="1.5038747810858144"/>
    <s v="TAB"/>
    <x v="15"/>
    <d v="2019-01-21T00:00:00"/>
    <m/>
  </r>
  <r>
    <d v="2019-01-25T00:00:00"/>
    <n v="27222"/>
    <n v="51091.336000000003"/>
    <n v="10080"/>
    <n v="41011.336000000003"/>
    <n v="1.5065511718463009"/>
    <s v="SODIFRAM"/>
    <x v="16"/>
    <d v="2019-01-08T00:00:00"/>
    <m/>
  </r>
  <r>
    <d v="2019-01-25T00:00:00"/>
    <n v="21600"/>
    <n v="40186.053"/>
    <n v="10080"/>
    <n v="30106.053"/>
    <n v="1.39379875"/>
    <s v="SODIFRAM"/>
    <x v="17"/>
    <d v="2019-01-08T00:00:00"/>
    <m/>
  </r>
  <r>
    <d v="2019-01-25T00:00:00"/>
    <n v="21600"/>
    <n v="40186.053"/>
    <n v="10080"/>
    <n v="30106.053"/>
    <n v="1.39379875"/>
    <s v="SODIFRAM"/>
    <x v="18"/>
    <d v="2019-01-08T00:00:00"/>
    <m/>
  </r>
  <r>
    <d v="2019-01-26T00:00:00"/>
    <n v="26000"/>
    <n v="42850.387999999999"/>
    <n v="6030.5780000000004"/>
    <n v="36819.81"/>
    <n v="1.4161465384615384"/>
    <s v="TIMBI MADINA"/>
    <x v="19"/>
    <d v="2019-01-22T00:00:00"/>
    <m/>
  </r>
  <r>
    <d v="2019-01-28T00:00:00"/>
    <n v="111420"/>
    <n v="184116.519"/>
    <n v="41496.313999999998"/>
    <n v="142620.20500000002"/>
    <n v="1.2800233800035901"/>
    <s v="SAWABA"/>
    <x v="20"/>
    <d v="2019-01-22T00:00:00"/>
    <m/>
  </r>
  <r>
    <d v="2019-01-30T00:00:00"/>
    <n v="26000"/>
    <n v="43667.192000000003"/>
    <n v="7929.375"/>
    <n v="35737.817000000003"/>
    <n v="1.3745314230769232"/>
    <s v="TIMBI MADINA"/>
    <x v="21"/>
    <d v="2019-01-22T00:00:00"/>
    <m/>
  </r>
  <r>
    <d v="2019-01-31T00:00:00"/>
    <n v="40000"/>
    <n v="55200"/>
    <n v="0"/>
    <n v="55200"/>
    <n v="1.38"/>
    <s v="ARCADIA - FQF"/>
    <x v="22"/>
    <d v="2019-01-17T00:00:00"/>
    <m/>
  </r>
  <r>
    <d v="2019-02-01T00:00:00"/>
    <n v="22008"/>
    <n v="31887.360000000001"/>
    <n v="0"/>
    <n v="31887.360000000001"/>
    <n v="1.4488985823336968"/>
    <s v="ARCADIA - K&amp;K"/>
    <x v="23"/>
    <d v="2019-01-18T00:00:00"/>
    <m/>
  </r>
  <r>
    <d v="2019-02-01T00:00:00"/>
    <n v="57600"/>
    <n v="81024"/>
    <n v="0"/>
    <n v="81024"/>
    <n v="1.4066666666666667"/>
    <s v="AL BADR"/>
    <x v="24"/>
    <d v="2019-01-17T00:00:00"/>
    <m/>
  </r>
  <r>
    <d v="2019-02-05T00:00:00"/>
    <n v="8552"/>
    <n v="14419.4"/>
    <n v="0"/>
    <n v="14419.4"/>
    <n v="1.6860851262862488"/>
    <s v="ARCADIA - MARSEILLE"/>
    <x v="25"/>
    <d v="2019-01-31T00:00:00"/>
    <m/>
  </r>
  <r>
    <d v="2019-02-05T00:00:00"/>
    <n v="11808"/>
    <n v="18295.36"/>
    <n v="0"/>
    <n v="18295.36"/>
    <n v="1.5494037940379404"/>
    <s v="ARCADIA - INTERFRESH"/>
    <x v="26"/>
    <d v="2019-01-18T00:00:00"/>
    <m/>
  </r>
  <r>
    <d v="2019-02-06T00:00:00"/>
    <n v="108000"/>
    <n v="153213.228"/>
    <n v="18059.240000000002"/>
    <n v="135153.98800000001"/>
    <n v="1.251425814814815"/>
    <s v="ETS KASSO"/>
    <x v="27"/>
    <d v="2019-01-24T00:00:00"/>
    <m/>
  </r>
  <r>
    <d v="2019-02-06T00:00:00"/>
    <n v="88032"/>
    <n v="115321.92"/>
    <n v="0"/>
    <n v="115321.92"/>
    <n v="1.31"/>
    <s v="TAB"/>
    <x v="28"/>
    <d v="2019-02-04T00:00:00"/>
    <m/>
  </r>
  <r>
    <d v="2019-02-06T00:00:00"/>
    <n v="13034"/>
    <n v="30724.753000000001"/>
    <n v="6944.4849999999997"/>
    <n v="23780.268"/>
    <n v="1.8244796685591529"/>
    <s v="SARL SOKOM"/>
    <x v="29"/>
    <d v="2019-02-04T00:00:00"/>
    <m/>
  </r>
  <r>
    <d v="2019-02-07T00:00:00"/>
    <n v="108000"/>
    <n v="153213.228"/>
    <n v="18059.240000000002"/>
    <n v="135153.98800000001"/>
    <n v="1.251425814814815"/>
    <s v="ETS KASSO"/>
    <x v="30"/>
    <d v="2019-01-24T00:00:00"/>
    <m/>
  </r>
  <r>
    <d v="2019-02-07T00:00:00"/>
    <n v="44016"/>
    <n v="57660.959999999999"/>
    <n v="0"/>
    <n v="57660.959999999999"/>
    <n v="1.31"/>
    <s v="TAB"/>
    <x v="28"/>
    <d v="2019-02-04T00:00:00"/>
    <m/>
  </r>
  <r>
    <d v="2019-02-07T00:00:00"/>
    <n v="24600"/>
    <n v="44057.129000000001"/>
    <n v="10074.65"/>
    <n v="33982.478999999999"/>
    <n v="1.3814015853658537"/>
    <s v="MAMADOU TEDOUGNAL"/>
    <x v="31"/>
    <d v="2019-01-24T00:00:00"/>
    <m/>
  </r>
  <r>
    <d v="2019-02-07T00:00:00"/>
    <n v="18480"/>
    <n v="62126.267999999996"/>
    <n v="1428.54"/>
    <n v="60697.727999999996"/>
    <n v="3.2845090909090908"/>
    <s v="DAVIS TRADING"/>
    <x v="32"/>
    <d v="2019-01-24T00:00:00"/>
    <m/>
  </r>
  <r>
    <d v="2019-02-08T00:00:00"/>
    <n v="108000"/>
    <n v="153213.228"/>
    <n v="19000"/>
    <n v="134213.228"/>
    <n v="1.242715074074074"/>
    <s v="ETS KASSO"/>
    <x v="33"/>
    <d v="2019-01-24T00:00:00"/>
    <m/>
  </r>
  <r>
    <d v="2019-02-08T00:00:00"/>
    <n v="44016"/>
    <n v="57660.959999999999"/>
    <n v="0"/>
    <n v="57660.959999999999"/>
    <n v="1.31"/>
    <s v="TAB"/>
    <x v="28"/>
    <d v="2019-02-04T00:00:00"/>
    <m/>
  </r>
  <r>
    <d v="2019-02-09T00:00:00"/>
    <n v="24044"/>
    <n v="32127.96"/>
    <n v="0"/>
    <n v="32127.96"/>
    <n v="1.3362152720013309"/>
    <s v="ARCADIA - VANILLE"/>
    <x v="34"/>
    <d v="2019-02-06T00:00:00"/>
    <m/>
  </r>
  <r>
    <d v="2019-02-09T00:00:00"/>
    <n v="108000"/>
    <n v="153213.228"/>
    <n v="19000"/>
    <n v="134213.228"/>
    <n v="1.242715074074074"/>
    <s v="ETS KASSO"/>
    <x v="35"/>
    <d v="2019-01-24T00:00:00"/>
    <m/>
  </r>
  <r>
    <d v="2019-02-11T00:00:00"/>
    <n v="104000"/>
    <n v="131040"/>
    <n v="0"/>
    <n v="131040"/>
    <n v="1.26"/>
    <s v="SCIT"/>
    <x v="36"/>
    <d v="2019-02-06T00:00:00"/>
    <m/>
  </r>
  <r>
    <d v="2019-02-12T00:00:00"/>
    <n v="104000"/>
    <n v="131040"/>
    <n v="0"/>
    <n v="131040"/>
    <n v="1.26"/>
    <s v="SCIT"/>
    <x v="36"/>
    <d v="2019-02-06T00:00:00"/>
    <m/>
  </r>
  <r>
    <d v="2019-02-13T00:00:00"/>
    <n v="22008"/>
    <n v="31251.360000000001"/>
    <n v="0"/>
    <n v="31251.360000000001"/>
    <n v="1.42"/>
    <s v="SAHEL"/>
    <x v="37"/>
    <d v="2019-02-04T00:00:00"/>
    <m/>
  </r>
  <r>
    <d v="2019-02-13T00:00:00"/>
    <n v="104000"/>
    <n v="131040"/>
    <n v="0"/>
    <n v="131040"/>
    <n v="1.26"/>
    <s v="SCIT"/>
    <x v="36"/>
    <d v="2019-02-06T00:00:00"/>
    <m/>
  </r>
  <r>
    <d v="2019-02-14T00:00:00"/>
    <n v="8000"/>
    <n v="33787.563999999998"/>
    <n v="843.2"/>
    <n v="32944.364000000001"/>
    <n v="4.1180455"/>
    <s v="RAMMAL"/>
    <x v="38"/>
    <d v="2019-01-02T00:00:00"/>
    <m/>
  </r>
  <r>
    <d v="2019-02-14T00:00:00"/>
    <n v="104000"/>
    <n v="131040"/>
    <n v="0"/>
    <n v="131040"/>
    <n v="1.26"/>
    <s v="SCIT"/>
    <x v="36"/>
    <d v="2019-02-06T00:00:00"/>
    <m/>
  </r>
  <r>
    <d v="2019-02-15T00:00:00"/>
    <n v="104000"/>
    <n v="131040"/>
    <n v="0"/>
    <n v="131040"/>
    <n v="1.26"/>
    <s v="SCIT"/>
    <x v="36"/>
    <d v="2019-02-06T00:00:00"/>
    <m/>
  </r>
  <r>
    <d v="2019-02-16T00:00:00"/>
    <n v="407040"/>
    <n v="625213.43999999994"/>
    <n v="0"/>
    <n v="625213.43999999994"/>
    <n v="1.5359999999999998"/>
    <s v="AREEJ ALMOUTAWASSET"/>
    <x v="39"/>
    <d v="2019-02-09T00:00:00"/>
    <m/>
  </r>
  <r>
    <d v="2019-02-18T00:00:00"/>
    <n v="56000"/>
    <n v="73500"/>
    <n v="0"/>
    <n v="73500"/>
    <n v="1.3125"/>
    <s v="TAB"/>
    <x v="40"/>
    <d v="2019-02-08T00:00:00"/>
    <m/>
  </r>
  <r>
    <d v="2019-02-20T00:00:00"/>
    <n v="20004"/>
    <n v="28175.759999999998"/>
    <n v="0"/>
    <n v="28175.759999999998"/>
    <n v="1.4085062987402519"/>
    <s v="TAB"/>
    <x v="40"/>
    <d v="2019-02-08T00:00:00"/>
    <m/>
  </r>
  <r>
    <d v="2019-02-21T00:00:00"/>
    <n v="111420"/>
    <n v="185449.62"/>
    <n v="40844.14"/>
    <n v="144605.47999999998"/>
    <n v="1.2978413211272661"/>
    <s v="SAWABA"/>
    <x v="41"/>
    <d v="2019-01-24T00:00:00"/>
    <m/>
  </r>
  <r>
    <d v="2019-02-23T00:00:00"/>
    <n v="302400"/>
    <n v="451173.69400000002"/>
    <n v="0"/>
    <n v="451173.69400000002"/>
    <n v="1.4919765013227513"/>
    <s v="AL MAGEMOUAA"/>
    <x v="42"/>
    <d v="2019-02-19T00:00:00"/>
    <m/>
  </r>
  <r>
    <d v="2019-02-25T00:00:00"/>
    <n v="108000"/>
    <n v="152630.946"/>
    <n v="18500"/>
    <n v="134130.946"/>
    <n v="1.2419532037037038"/>
    <s v="ETS KASSO"/>
    <x v="43"/>
    <d v="2019-02-15T00:00:00"/>
    <m/>
  </r>
  <r>
    <d v="2019-02-25T00:00:00"/>
    <n v="28008"/>
    <n v="39411.360000000001"/>
    <n v="0"/>
    <n v="39411.360000000001"/>
    <n v="1.4071465295629819"/>
    <s v="SAHEL"/>
    <x v="44"/>
    <d v="2019-02-20T00:00:00"/>
    <m/>
  </r>
  <r>
    <d v="2019-02-26T00:00:00"/>
    <n v="108000"/>
    <n v="152637.58799999999"/>
    <n v="18500"/>
    <n v="134137.58799999999"/>
    <n v="1.2420147037037037"/>
    <s v="ETS KASSO"/>
    <x v="45"/>
    <d v="2019-02-15T00:00:00"/>
    <m/>
  </r>
  <r>
    <d v="2019-02-26T00:00:00"/>
    <n v="13560"/>
    <n v="28117.305"/>
    <n v="6535.3190000000004"/>
    <n v="21581.986000000001"/>
    <n v="1.5915918879056048"/>
    <s v="SARL SOKOM"/>
    <x v="46"/>
    <d v="2019-02-20T00:00:00"/>
    <m/>
  </r>
  <r>
    <d v="2019-02-27T00:00:00"/>
    <n v="108000"/>
    <n v="152637.58799999999"/>
    <n v="18500"/>
    <n v="134137.58799999999"/>
    <n v="1.2420147037037037"/>
    <s v="ETS KASSO"/>
    <x v="47"/>
    <d v="2019-02-15T00:00:00"/>
    <m/>
  </r>
  <r>
    <d v="2019-02-28T00:00:00"/>
    <n v="108000"/>
    <n v="152320.986"/>
    <n v="18500"/>
    <n v="133820.986"/>
    <n v="1.2390832037037038"/>
    <s v="ETS KASSO"/>
    <x v="48"/>
    <d v="2019-02-15T00:00:00"/>
    <m/>
  </r>
  <r>
    <d v="2019-03-01T00:00:00"/>
    <n v="11596"/>
    <n v="18642.64"/>
    <n v="0"/>
    <n v="18642.64"/>
    <n v="1.607678509830976"/>
    <s v="ARCADIA - INTERFRESH"/>
    <x v="49"/>
    <d v="2019-02-22T00:00:00"/>
    <m/>
  </r>
  <r>
    <d v="2019-03-02T00:00:00"/>
    <n v="137808"/>
    <n v="225767.27600000001"/>
    <n v="50526.625"/>
    <n v="175240.65100000001"/>
    <n v="1.2716290128294438"/>
    <s v="SAWABA"/>
    <x v="50"/>
    <d v="2019-02-20T00:00:00"/>
    <m/>
  </r>
  <r>
    <d v="2019-03-04T00:00:00"/>
    <n v="140000"/>
    <n v="170800"/>
    <n v="0"/>
    <n v="170800"/>
    <n v="1.22"/>
    <s v="OMEGA"/>
    <x v="51"/>
    <d v="2019-02-27T00:00:00"/>
    <m/>
  </r>
  <r>
    <d v="2019-03-04T00:00:00"/>
    <n v="18000"/>
    <n v="64330.497000000003"/>
    <n v="1101"/>
    <n v="63229.497000000003"/>
    <n v="3.5127498333333333"/>
    <s v="DAVIS TRADING"/>
    <x v="52"/>
    <d v="2019-03-01T00:00:00"/>
    <m/>
  </r>
  <r>
    <d v="2019-03-04T00:00:00"/>
    <n v="13050"/>
    <n v="35803.81"/>
    <n v="1101.7"/>
    <n v="34702.11"/>
    <n v="2.6591655172413793"/>
    <s v="DAVIS FOOD"/>
    <x v="53"/>
    <d v="2019-03-01T00:00:00"/>
    <m/>
  </r>
  <r>
    <d v="2019-03-05T00:00:00"/>
    <n v="3600"/>
    <n v="14580"/>
    <n v="0"/>
    <n v="14580"/>
    <n v="4.05"/>
    <s v="ARCADIA - COSTA RICA"/>
    <x v="54"/>
    <d v="2019-02-22T00:00:00"/>
    <m/>
  </r>
  <r>
    <d v="2019-03-05T00:00:00"/>
    <n v="140000"/>
    <n v="170800"/>
    <n v="0"/>
    <n v="170800"/>
    <n v="1.22"/>
    <s v="OMEGA"/>
    <x v="51"/>
    <d v="2019-02-27T00:00:00"/>
    <m/>
  </r>
  <r>
    <d v="2019-03-06T00:00:00"/>
    <n v="44016"/>
    <n v="56340.480000000003"/>
    <n v="0"/>
    <n v="56340.480000000003"/>
    <n v="1.28"/>
    <s v="TAB"/>
    <x v="55"/>
    <d v="2019-02-27T00:00:00"/>
    <m/>
  </r>
  <r>
    <d v="2019-03-07T00:00:00"/>
    <n v="66024"/>
    <n v="86491.44"/>
    <n v="0"/>
    <n v="86491.44"/>
    <n v="1.31"/>
    <s v="TAB"/>
    <x v="55"/>
    <d v="2019-02-27T00:00:00"/>
    <m/>
  </r>
  <r>
    <d v="2019-03-07T00:00:00"/>
    <n v="40180"/>
    <n v="62957.4"/>
    <n v="0"/>
    <n v="62957.4"/>
    <n v="1.5668840219014435"/>
    <s v="BAIT"/>
    <x v="56"/>
    <d v="2019-02-25T00:00:00"/>
    <m/>
  </r>
  <r>
    <d v="2019-03-08T00:00:00"/>
    <n v="24826"/>
    <n v="51287.750999999997"/>
    <n v="9932.259"/>
    <n v="41355.491999999998"/>
    <n v="1.6658137436558447"/>
    <s v="SODIFRAM"/>
    <x v="57"/>
    <d v="2019-02-04T00:00:00"/>
    <m/>
  </r>
  <r>
    <d v="2019-03-08T00:00:00"/>
    <n v="44016"/>
    <n v="57660.959999999999"/>
    <n v="0"/>
    <n v="57660.959999999999"/>
    <n v="1.31"/>
    <s v="TAB"/>
    <x v="55"/>
    <d v="2019-02-27T00:00:00"/>
    <m/>
  </r>
  <r>
    <d v="2019-03-11T00:00:00"/>
    <n v="480"/>
    <n v="1584"/>
    <n v="0"/>
    <n v="1584"/>
    <n v="3.3"/>
    <s v="SCIT"/>
    <x v="58"/>
    <d v="2019-02-22T00:00:00"/>
    <m/>
  </r>
  <r>
    <d v="2019-03-12T00:00:00"/>
    <n v="130000"/>
    <n v="163800"/>
    <n v="0"/>
    <n v="163800"/>
    <n v="1.26"/>
    <s v="OMEGA"/>
    <x v="59"/>
    <d v="2019-02-27T00:00:00"/>
    <m/>
  </r>
  <r>
    <d v="2019-03-12T00:00:00"/>
    <n v="4680"/>
    <n v="9157.3230000000003"/>
    <n v="1220.95"/>
    <n v="7936.3730000000005"/>
    <n v="1.6958061965811966"/>
    <s v="M&amp;P CORPORATION"/>
    <x v="60"/>
    <d v="2019-02-04T00:00:00"/>
    <m/>
  </r>
  <r>
    <d v="2019-03-13T00:00:00"/>
    <n v="130000"/>
    <n v="163800"/>
    <n v="0"/>
    <n v="163800"/>
    <n v="1.26"/>
    <s v="OMEGA"/>
    <x v="59"/>
    <d v="2019-02-27T00:00:00"/>
    <m/>
  </r>
  <r>
    <d v="2019-03-19T00:00:00"/>
    <n v="146900"/>
    <n v="313888.73300000001"/>
    <n v="0"/>
    <n v="313888.73300000001"/>
    <n v="2.1367510755616066"/>
    <s v="AL MAGEMOUAA"/>
    <x v="61"/>
    <d v="2019-03-13T00:00:00"/>
    <m/>
  </r>
  <r>
    <d v="2019-03-22T00:00:00"/>
    <n v="55200"/>
    <n v="76176"/>
    <n v="0"/>
    <n v="76176"/>
    <n v="1.38"/>
    <s v="ARICOM"/>
    <x v="62"/>
    <d v="2019-03-09T00:00:00"/>
    <m/>
  </r>
  <r>
    <d v="2019-03-22T00:00:00"/>
    <n v="21600"/>
    <n v="30600"/>
    <n v="0"/>
    <n v="30600"/>
    <n v="1.4166666666666667"/>
    <s v="SCIT"/>
    <x v="63"/>
    <d v="2019-03-09T00:00:00"/>
    <m/>
  </r>
  <r>
    <d v="2019-03-25T00:00:00"/>
    <n v="69216"/>
    <n v="121570.74800000001"/>
    <n v="23275.891"/>
    <n v="98294.857000000004"/>
    <n v="1.4201175595238096"/>
    <s v="MAMADOU TEDOUGNAL"/>
    <x v="64"/>
    <d v="2019-03-12T00:00:00"/>
    <m/>
  </r>
  <r>
    <d v="2019-03-25T00:00:00"/>
    <n v="22600"/>
    <n v="34338"/>
    <n v="0"/>
    <n v="34338"/>
    <n v="1.5193805309734514"/>
    <s v="BAIT"/>
    <x v="65"/>
    <d v="2019-03-15T00:00:00"/>
    <m/>
  </r>
  <r>
    <d v="2019-03-25T00:00:00"/>
    <n v="20000"/>
    <n v="28400"/>
    <n v="0"/>
    <n v="28400"/>
    <n v="1.42"/>
    <s v="ARCADIA - FQF"/>
    <x v="66"/>
    <d v="2019-03-21T00:00:00"/>
    <m/>
  </r>
  <r>
    <d v="2019-03-26T00:00:00"/>
    <n v="140000"/>
    <n v="176400"/>
    <n v="0"/>
    <n v="176400"/>
    <n v="1.26"/>
    <s v="OMEGA"/>
    <x v="67"/>
    <d v="2019-03-15T00:00:00"/>
    <m/>
  </r>
  <r>
    <d v="2019-03-26T00:00:00"/>
    <n v="15316"/>
    <n v="28146.799999999999"/>
    <n v="0"/>
    <n v="28146.799999999999"/>
    <n v="1.8377383128754243"/>
    <s v="ARCADIA - FOOD MED"/>
    <x v="68"/>
    <d v="2019-03-22T00:00:00"/>
    <m/>
  </r>
  <r>
    <d v="2019-03-27T00:00:00"/>
    <n v="140000"/>
    <n v="176400"/>
    <n v="0"/>
    <n v="176400"/>
    <n v="1.26"/>
    <s v="OMEGA"/>
    <x v="67"/>
    <d v="2019-03-15T00:00:00"/>
    <m/>
  </r>
  <r>
    <d v="2019-03-29T00:00:00"/>
    <n v="70844"/>
    <n v="102472.88"/>
    <n v="0"/>
    <n v="102472.88"/>
    <n v="1.4464581333634465"/>
    <s v="TAB"/>
    <x v="69"/>
    <d v="2019-03-21T00:00:00"/>
    <m/>
  </r>
  <r>
    <d v="2019-03-30T00:00:00"/>
    <n v="90000"/>
    <n v="137250"/>
    <n v="0"/>
    <n v="137250"/>
    <n v="1.5249999999999999"/>
    <s v="GREENLAND"/>
    <x v="70"/>
    <d v="2019-03-26T00:00:00"/>
    <m/>
  </r>
  <r>
    <d v="2019-03-30T00:00:00"/>
    <n v="84000"/>
    <n v="111720"/>
    <n v="0"/>
    <n v="111720"/>
    <n v="1.33"/>
    <s v="TAB"/>
    <x v="69"/>
    <d v="2019-03-21T00:00:00"/>
    <m/>
  </r>
  <r>
    <d v="2019-03-30T00:00:00"/>
    <n v="13574"/>
    <n v="20607.416000000001"/>
    <n v="0"/>
    <n v="20607.416000000001"/>
    <n v="1.5181535288050685"/>
    <s v="ARCADIA - INTERFRESH"/>
    <x v="71"/>
    <d v="2019-03-22T00:00:00"/>
    <m/>
  </r>
  <r>
    <d v="2019-04-01T00:00:00"/>
    <n v="44016"/>
    <n v="62502.720000000001"/>
    <n v="0"/>
    <n v="62502.720000000001"/>
    <n v="1.42"/>
    <s v="SAHEL"/>
    <x v="72"/>
    <d v="2019-03-22T00:00:00"/>
    <m/>
  </r>
  <r>
    <d v="2019-04-02T00:00:00"/>
    <n v="88032"/>
    <n v="118843.2"/>
    <n v="0"/>
    <n v="118843.2"/>
    <n v="1.3499999999999999"/>
    <s v="TAB"/>
    <x v="73"/>
    <d v="2019-03-28T00:00:00"/>
    <m/>
  </r>
  <r>
    <d v="2019-04-03T00:00:00"/>
    <n v="88032"/>
    <n v="118182.96"/>
    <n v="0"/>
    <n v="118182.96"/>
    <n v="1.3425"/>
    <s v="TAB"/>
    <x v="73"/>
    <d v="2019-03-28T00:00:00"/>
    <m/>
  </r>
  <r>
    <d v="2019-04-04T00:00:00"/>
    <n v="112000"/>
    <n v="141120"/>
    <n v="0"/>
    <n v="141120"/>
    <n v="1.26"/>
    <s v="SCIT"/>
    <x v="74"/>
    <d v="2019-03-28T00:00:00"/>
    <m/>
  </r>
  <r>
    <d v="2019-04-05T00:00:00"/>
    <n v="112000"/>
    <n v="141120"/>
    <n v="0"/>
    <n v="141120"/>
    <n v="1.26"/>
    <s v="SCIT"/>
    <x v="74"/>
    <d v="2019-03-28T00:00:00"/>
    <m/>
  </r>
  <r>
    <d v="2019-04-06T00:00:00"/>
    <n v="20836"/>
    <n v="46337.209000000003"/>
    <n v="9871.4629999999997"/>
    <n v="36465.745999999999"/>
    <n v="1.7501317911307352"/>
    <s v="SODIFRAM"/>
    <x v="75"/>
    <d v="2019-03-09T00:00:00"/>
    <m/>
  </r>
  <r>
    <d v="2019-04-08T00:00:00"/>
    <n v="112000"/>
    <n v="141120"/>
    <n v="0"/>
    <n v="141120"/>
    <n v="1.26"/>
    <s v="SCIT"/>
    <x v="74"/>
    <d v="2019-03-28T00:00:00"/>
    <m/>
  </r>
  <r>
    <d v="2019-04-11T00:00:00"/>
    <n v="112000"/>
    <n v="141120"/>
    <n v="0"/>
    <n v="141120"/>
    <n v="1.26"/>
    <s v="SCIT"/>
    <x v="74"/>
    <d v="2019-03-28T00:00:00"/>
    <m/>
  </r>
  <r>
    <d v="2019-04-12T00:00:00"/>
    <n v="130000"/>
    <n v="222223.37899999999"/>
    <n v="27825.215"/>
    <n v="194398.16399999999"/>
    <n v="1.4953704923076923"/>
    <s v="WODIS"/>
    <x v="76"/>
    <d v="2019-03-22T00:00:00"/>
    <m/>
  </r>
  <r>
    <d v="2019-04-13T00:00:00"/>
    <n v="112000"/>
    <n v="141120"/>
    <n v="0"/>
    <n v="141120"/>
    <n v="1.26"/>
    <s v="SCIT"/>
    <x v="74"/>
    <d v="2019-03-28T00:00:00"/>
    <m/>
  </r>
  <r>
    <d v="2019-04-16T00:00:00"/>
    <n v="216000"/>
    <n v="317165.43599999999"/>
    <n v="0"/>
    <n v="317165.43599999999"/>
    <n v="1.4683584999999999"/>
    <s v="AL MAGEMOUAA"/>
    <x v="77"/>
    <d v="2019-04-10T00:00:00"/>
    <m/>
  </r>
  <r>
    <d v="2019-04-16T00:00:00"/>
    <n v="130000"/>
    <n v="169000"/>
    <n v="0"/>
    <n v="169000"/>
    <n v="1.3"/>
    <s v="OMEGA"/>
    <x v="78"/>
    <d v="2019-04-10T00:00:00"/>
    <m/>
  </r>
  <r>
    <d v="2019-04-17T00:00:00"/>
    <n v="22008"/>
    <n v="31911.599999999999"/>
    <n v="0"/>
    <n v="31911.599999999999"/>
    <n v="1.45"/>
    <s v="SAHEL"/>
    <x v="79"/>
    <d v="2019-04-10T00:00:00"/>
    <m/>
  </r>
  <r>
    <d v="2019-04-17T00:00:00"/>
    <n v="130000"/>
    <n v="169000"/>
    <n v="0"/>
    <n v="169000"/>
    <n v="1.3"/>
    <s v="OMEGA"/>
    <x v="78"/>
    <d v="2019-04-10T00:00:00"/>
    <m/>
  </r>
  <r>
    <d v="2019-04-19T00:00:00"/>
    <n v="102500"/>
    <n v="164000"/>
    <n v="0"/>
    <n v="164000"/>
    <n v="1.6"/>
    <s v="MIDCOM"/>
    <x v="80"/>
    <d v="2019-04-13T00:00:00"/>
    <m/>
  </r>
  <r>
    <d v="2019-04-20T00:00:00"/>
    <n v="64416"/>
    <n v="106269.402"/>
    <n v="24424.215"/>
    <n v="81845.187000000005"/>
    <n v="1.2705723267511178"/>
    <s v="SALIOU BAH"/>
    <x v="81"/>
    <d v="2019-03-15T00:00:00"/>
    <m/>
  </r>
  <r>
    <d v="2019-04-20T00:00:00"/>
    <n v="23200"/>
    <n v="35646"/>
    <n v="0"/>
    <n v="35646"/>
    <n v="1.5364655172413793"/>
    <s v="BAIT"/>
    <x v="82"/>
    <d v="2019-04-02T00:00:00"/>
    <m/>
  </r>
  <r>
    <d v="2019-04-20T00:00:00"/>
    <n v="18100"/>
    <n v="66254.707999999999"/>
    <n v="1424.98"/>
    <n v="64829.727999999996"/>
    <n v="3.5817529281767952"/>
    <s v="DAVIS TRADING"/>
    <x v="83"/>
    <d v="2019-04-11T00:00:00"/>
    <m/>
  </r>
  <r>
    <d v="2019-04-22T00:00:00"/>
    <n v="20424"/>
    <n v="47021.428"/>
    <n v="9900"/>
    <n v="37121.428"/>
    <n v="1.8175395613004308"/>
    <s v="SODIFRAM"/>
    <x v="84"/>
    <d v="2019-04-02T00:00:00"/>
    <m/>
  </r>
  <r>
    <d v="2019-04-22T00:00:00"/>
    <n v="20700"/>
    <n v="26496"/>
    <n v="0"/>
    <n v="26496"/>
    <n v="1.28"/>
    <s v="SAHEL"/>
    <x v="85"/>
    <d v="2019-04-17T00:00:00"/>
    <m/>
  </r>
  <r>
    <d v="2019-04-23T00:00:00"/>
    <n v="66024"/>
    <n v="89132.4"/>
    <n v="0"/>
    <n v="89132.4"/>
    <n v="1.3499999999999999"/>
    <s v="TAB"/>
    <x v="86"/>
    <d v="2019-04-19T00:00:00"/>
    <m/>
  </r>
  <r>
    <d v="2019-04-24T00:00:00"/>
    <n v="44016"/>
    <n v="59421.599999999999"/>
    <n v="0"/>
    <n v="59421.599999999999"/>
    <n v="1.3499999999999999"/>
    <s v="TAB"/>
    <x v="86"/>
    <d v="2019-04-19T00:00:00"/>
    <m/>
  </r>
  <r>
    <d v="2019-04-25T00:00:00"/>
    <n v="50400"/>
    <n v="79632"/>
    <n v="0"/>
    <n v="79632"/>
    <n v="1.58"/>
    <s v="ARCADIA - ASAHI"/>
    <x v="87"/>
    <d v="2019-03-27T00:00:00"/>
    <m/>
  </r>
  <r>
    <d v="2019-04-25T00:00:00"/>
    <n v="20500"/>
    <n v="30135"/>
    <n v="0"/>
    <n v="30135"/>
    <n v="1.47"/>
    <s v="ARCADIA - MELVIT"/>
    <x v="88"/>
    <d v="2019-04-22T00:00:00"/>
    <m/>
  </r>
  <r>
    <d v="2019-04-26T00:00:00"/>
    <n v="19016"/>
    <n v="31751.8"/>
    <n v="0"/>
    <n v="31751.8"/>
    <n v="1.6697412705090451"/>
    <s v="ARCADIA - TCI"/>
    <x v="89"/>
    <d v="2019-04-22T00:00:00"/>
    <m/>
  </r>
  <r>
    <d v="2019-04-27T00:00:00"/>
    <n v="18568"/>
    <n v="30646.400000000001"/>
    <n v="0"/>
    <n v="30646.400000000001"/>
    <n v="1.6504954760878932"/>
    <s v="ARCADIA - FOOD MED"/>
    <x v="90"/>
    <d v="2019-04-10T00:00:00"/>
    <m/>
  </r>
  <r>
    <d v="2019-04-30T00:00:00"/>
    <n v="15048"/>
    <n v="26196.400000000001"/>
    <n v="0"/>
    <n v="26196.400000000001"/>
    <n v="1.7408559276980331"/>
    <s v="ARCADIA - FOOD MED"/>
    <x v="91"/>
    <d v="2019-04-26T00:00:00"/>
    <m/>
  </r>
  <r>
    <d v="2019-05-03T00:00:00"/>
    <n v="280000"/>
    <n v="352800"/>
    <n v="0"/>
    <n v="352800"/>
    <n v="1.26"/>
    <s v="OMEGA"/>
    <x v="92"/>
    <d v="2019-04-10T00:00:00"/>
    <m/>
  </r>
  <r>
    <d v="2019-05-06T00:00:00"/>
    <n v="81840"/>
    <n v="117789.6"/>
    <n v="0"/>
    <n v="117789.6"/>
    <n v="1.4392668621700881"/>
    <s v="SAHEL"/>
    <x v="93"/>
    <d v="2019-04-26T00:00:00"/>
    <m/>
  </r>
  <r>
    <d v="2019-05-06T00:00:00"/>
    <n v="17500"/>
    <n v="25439"/>
    <n v="0"/>
    <n v="25439"/>
    <n v="1.4536571428571428"/>
    <s v="SAHEL"/>
    <x v="94"/>
    <d v="2019-04-26T00:00:00"/>
    <m/>
  </r>
  <r>
    <d v="2019-05-07T00:00:00"/>
    <n v="20000"/>
    <n v="28400"/>
    <n v="0"/>
    <n v="28400"/>
    <n v="1.42"/>
    <s v="ARCADIA-FQF"/>
    <x v="95"/>
    <d v="2019-04-22T00:00:00"/>
    <m/>
  </r>
  <r>
    <d v="2019-05-09T00:00:00"/>
    <n v="21000"/>
    <n v="30300"/>
    <n v="0"/>
    <n v="30300"/>
    <n v="1.4428571428571428"/>
    <s v="SCIT"/>
    <x v="96"/>
    <d v="2019-04-25T00:00:00"/>
    <m/>
  </r>
  <r>
    <d v="2019-05-10T00:00:00"/>
    <n v="36921.599999999999"/>
    <n v="59254.656000000003"/>
    <n v="0"/>
    <n v="59254.656000000003"/>
    <n v="1.6048777951118045"/>
    <s v="ARCADIA-DJEDDAH"/>
    <x v="97"/>
    <d v="2019-05-04T00:00:00"/>
    <m/>
  </r>
  <r>
    <d v="2019-05-10T00:00:00"/>
    <n v="127400"/>
    <n v="175738"/>
    <n v="0"/>
    <n v="175738"/>
    <n v="1.3794191522762951"/>
    <s v="SCIT"/>
    <x v="98"/>
    <d v="2019-04-02T00:00:00"/>
    <m/>
  </r>
  <r>
    <d v="2018-05-13T00:00:00"/>
    <n v="27930"/>
    <n v="17366.78"/>
    <n v="8951.66"/>
    <n v="8415.119999999999"/>
    <n v="0.30129323308270672"/>
    <s v="GAMIL"/>
    <x v="99"/>
    <d v="2019-05-03T00:00:00"/>
    <m/>
  </r>
  <r>
    <d v="2019-05-13T00:00:00"/>
    <n v="18140"/>
    <n v="35074.542399999998"/>
    <n v="3925.29"/>
    <n v="31149.252399999998"/>
    <n v="1.7171583461962512"/>
    <s v="OMRANE"/>
    <x v="100"/>
    <d v="2019-05-09T00:00:00"/>
    <m/>
  </r>
  <r>
    <d v="2019-05-13T00:00:00"/>
    <n v="110400"/>
    <n v="149040"/>
    <n v="0"/>
    <n v="149040"/>
    <n v="1.35"/>
    <s v="ARICOM"/>
    <x v="101"/>
    <d v="2019-05-04T00:00:00"/>
    <m/>
  </r>
  <r>
    <d v="2019-05-14T00:00:00"/>
    <n v="2400"/>
    <n v="3912"/>
    <n v="0"/>
    <n v="3912"/>
    <n v="1.63"/>
    <s v="AGRIGOLD"/>
    <x v="102"/>
    <d v="2019-04-23T00:00:00"/>
    <m/>
  </r>
  <r>
    <d v="2019-05-17T00:00:00"/>
    <n v="176064"/>
    <n v="236365.92"/>
    <n v="0"/>
    <n v="236365.92"/>
    <n v="1.3425"/>
    <s v="TAB"/>
    <x v="103"/>
    <d v="2019-05-11T00:00:00"/>
    <m/>
  </r>
  <r>
    <d v="2019-05-18T00:00:00"/>
    <n v="63000"/>
    <n v="113376.29999999999"/>
    <n v="30060.525000000001"/>
    <n v="83315.774999999994"/>
    <n v="1.322472619047619"/>
    <s v="SALIOU BAH"/>
    <x v="104"/>
    <d v="2019-05-08T00:00:00"/>
    <m/>
  </r>
  <r>
    <d v="2019-05-20T00:00:00"/>
    <n v="21600"/>
    <n v="31752"/>
    <n v="0"/>
    <n v="31752"/>
    <n v="1.47"/>
    <s v="SAHEL"/>
    <x v="105"/>
    <d v="2019-05-04T00:00:00"/>
    <m/>
  </r>
  <r>
    <d v="2019-05-21T00:00:00"/>
    <n v="250320"/>
    <n v="430260.14799999999"/>
    <n v="89467.774999999994"/>
    <n v="340792.37300000002"/>
    <n v="1.3614268656120168"/>
    <s v="SAWABA"/>
    <x v="106"/>
    <d v="2019-05-09T00:00:00"/>
    <m/>
  </r>
  <r>
    <d v="2019-05-23T00:00:00"/>
    <n v="26784"/>
    <n v="47471.286399999997"/>
    <n v="10447.904"/>
    <n v="37023.382399999995"/>
    <n v="1.3822947431302268"/>
    <s v="SODIFRAM"/>
    <x v="107"/>
    <d v="2019-05-08T00:00:00"/>
    <m/>
  </r>
  <r>
    <d v="2019-05-27T00:00:00"/>
    <n v="560000"/>
    <n v="722400"/>
    <n v="0"/>
    <n v="722400"/>
    <n v="1.29"/>
    <s v="SCIT"/>
    <x v="108"/>
    <d v="2019-05-15T00:00:00"/>
    <m/>
  </r>
  <r>
    <d v="2019-05-27T00:00:00"/>
    <n v="10250"/>
    <n v="28861.3"/>
    <n v="1333.4680000000001"/>
    <n v="27527.831999999999"/>
    <n v="2.6856421463414635"/>
    <s v="DAVIS FOOD"/>
    <x v="109"/>
    <d v="2019-05-21T00:00:00"/>
    <m/>
  </r>
  <r>
    <d v="2019-05-27T00:00:00"/>
    <n v="151200"/>
    <n v="233834.63999999998"/>
    <n v="0"/>
    <n v="233834.63999999998"/>
    <n v="1.5465253968253967"/>
    <s v="AL MAGEMOUA"/>
    <x v="110"/>
    <d v="2019-05-24T00:00:00"/>
    <m/>
  </r>
  <r>
    <d v="2019-05-28T00:00:00"/>
    <n v="28000"/>
    <n v="38360"/>
    <n v="0"/>
    <n v="38360"/>
    <n v="1.37"/>
    <s v="SCIT"/>
    <x v="111"/>
    <d v="2019-05-03T00:00:00"/>
    <m/>
  </r>
  <r>
    <d v="2019-05-29T00:00:00"/>
    <n v="510000"/>
    <n v="758472"/>
    <n v="0"/>
    <n v="758472"/>
    <n v="1.4872000000000001"/>
    <s v="SHARIKAT AL HAD AKSA"/>
    <x v="112"/>
    <d v="2019-05-21T00:00:00"/>
    <m/>
  </r>
  <r>
    <d v="2019-05-30T00:00:00"/>
    <n v="26048"/>
    <n v="47252.92"/>
    <n v="0"/>
    <n v="47252.92"/>
    <n v="1.8140709459459459"/>
    <s v="ARCADIA-CANADA"/>
    <x v="113"/>
    <d v="2019-05-23T00:00:00"/>
    <m/>
  </r>
  <r>
    <d v="2019-05-30T00:00:00"/>
    <n v="20000"/>
    <n v="29600"/>
    <n v="0"/>
    <n v="29600"/>
    <n v="1.48"/>
    <s v="ARCADIA-FQF"/>
    <x v="114"/>
    <d v="2019-05-20T00:00:00"/>
    <m/>
  </r>
  <r>
    <d v="2019-05-31T00:00:00"/>
    <n v="20176"/>
    <n v="31272.428"/>
    <n v="0"/>
    <n v="31272.428"/>
    <n v="1.5499815622521809"/>
    <s v="ARCADIA-IGF"/>
    <x v="115"/>
    <d v="2019-05-25T00:00:00"/>
    <m/>
  </r>
  <r>
    <d v="2019-05-31T00:00:00"/>
    <n v="21250"/>
    <n v="31450"/>
    <n v="0"/>
    <n v="31450"/>
    <n v="1.48"/>
    <s v="ARCADIA-IGF "/>
    <x v="116"/>
    <d v="2019-05-23T00:00:00"/>
    <m/>
  </r>
  <r>
    <d v="2019-06-03T00:00:00"/>
    <n v="20000"/>
    <n v="41174.370000000003"/>
    <n v="4538.0550000000003"/>
    <n v="36636.315000000002"/>
    <n v="1.8318157500000001"/>
    <s v="Angstrem "/>
    <x v="117"/>
    <d v="2019-05-04T00:00:00"/>
    <m/>
  </r>
  <r>
    <d v="2019-06-08T00:00:00"/>
    <n v="8716"/>
    <n v="14485.28"/>
    <n v="0"/>
    <n v="14485.28"/>
    <n v="1.6619183111519047"/>
    <s v="Arcadia"/>
    <x v="118"/>
    <d v="2019-05-31T00:00:00"/>
    <m/>
  </r>
  <r>
    <d v="2019-06-11T00:00:00"/>
    <n v="21600"/>
    <n v="31752"/>
    <n v="0"/>
    <n v="31752"/>
    <n v="1.47"/>
    <s v="Sahel "/>
    <x v="119"/>
    <d v="2019-06-01T00:00:00"/>
    <m/>
  </r>
  <r>
    <d v="2019-06-12T00:00:00"/>
    <n v="53328"/>
    <n v="79331.28"/>
    <n v="0"/>
    <n v="79331.28"/>
    <n v="1.4876102610261026"/>
    <s v="Sahel "/>
    <x v="120"/>
    <d v="2019-06-03T00:00:00"/>
    <m/>
  </r>
  <r>
    <d v="2019-06-18T00:00:00"/>
    <n v="560000"/>
    <n v="722400"/>
    <n v="0"/>
    <n v="722400"/>
    <n v="1.29"/>
    <s v="SCIT"/>
    <x v="121"/>
    <d v="2019-06-01T00:00:00"/>
    <m/>
  </r>
  <r>
    <d v="2019-06-20T00:00:00"/>
    <n v="33600"/>
    <n v="53088"/>
    <n v="0"/>
    <n v="53088"/>
    <n v="1.58"/>
    <s v="Arcadia"/>
    <x v="122"/>
    <d v="2019-05-23T00:00:00"/>
    <m/>
  </r>
  <r>
    <d v="2019-06-20T00:00:00"/>
    <n v="10204"/>
    <n v="16875.056"/>
    <n v="0"/>
    <n v="16875.056"/>
    <n v="1.6537687181497454"/>
    <s v="Arcadia"/>
    <x v="123"/>
    <d v="2019-06-13T00:00:00"/>
    <m/>
  </r>
  <r>
    <d v="2019-06-21T00:00:00"/>
    <n v="20000"/>
    <n v="34954.5"/>
    <n v="5644.44"/>
    <n v="29310.06"/>
    <n v="1.465503"/>
    <s v="Advens"/>
    <x v="124"/>
    <d v="2019-06-10T00:00:00"/>
    <m/>
  </r>
  <r>
    <d v="2019-06-21T00:00:00"/>
    <n v="26976"/>
    <n v="47545.749000000003"/>
    <n v="9857.3009999999995"/>
    <n v="37688.448000000004"/>
    <n v="1.3971103202846977"/>
    <s v="Sodifram "/>
    <x v="125"/>
    <d v="2019-06-18T00:00:00"/>
    <m/>
  </r>
  <r>
    <d v="2019-06-24T00:00:00"/>
    <n v="66216"/>
    <n v="117093.796"/>
    <n v="24243.367999999999"/>
    <n v="92850.428"/>
    <n v="1.4022355321976561"/>
    <s v="Mamudou Bah T/D"/>
    <x v="126"/>
    <d v="2019-06-18T00:00:00"/>
    <m/>
  </r>
  <r>
    <d v="2019-06-24T00:00:00"/>
    <n v="286104"/>
    <n v="393503.04"/>
    <n v="0"/>
    <n v="393503.04"/>
    <n v="1.3753846153846152"/>
    <s v="TAB"/>
    <x v="127"/>
    <d v="2019-06-01T00:00:00"/>
    <m/>
  </r>
  <r>
    <d v="2019-06-24T00:00:00"/>
    <n v="150000"/>
    <n v="223907.85"/>
    <n v="0"/>
    <n v="223907.85"/>
    <n v="1.4927190000000001"/>
    <s v="Mahara Alamia"/>
    <x v="128"/>
    <d v="2019-06-19T00:00:00"/>
    <m/>
  </r>
  <r>
    <d v="2019-06-25T00:00:00"/>
    <n v="65616"/>
    <n v="94711.2"/>
    <n v="0"/>
    <n v="94711.2"/>
    <n v="1.4434162399414776"/>
    <s v="SCIT"/>
    <x v="129"/>
    <d v="2019-05-03T00:00:00"/>
    <m/>
  </r>
  <r>
    <d v="2019-06-25T00:00:00"/>
    <n v="19000"/>
    <n v="68288.070000000007"/>
    <n v="1300"/>
    <n v="66988.070000000007"/>
    <n v="3.5256878947368424"/>
    <s v="Davis Trading "/>
    <x v="130"/>
    <d v="2019-06-13T00:00:00"/>
    <m/>
  </r>
  <r>
    <d v="2019-06-26T00:00:00"/>
    <n v="330000"/>
    <n v="426510"/>
    <n v="0"/>
    <n v="426510"/>
    <n v="1.2924545454545455"/>
    <s v="Sahel "/>
    <x v="131"/>
    <d v="2019-06-21T00:00:00"/>
    <m/>
  </r>
  <r>
    <d v="2019-06-27T00:00:00"/>
    <n v="5100"/>
    <n v="8652"/>
    <n v="0"/>
    <n v="8652"/>
    <n v="1.6964705882352942"/>
    <s v="Arcadia"/>
    <x v="132"/>
    <d v="2019-06-10T00:00:00"/>
    <m/>
  </r>
  <r>
    <d v="2019-07-01T00:00:00"/>
    <n v="59400"/>
    <n v="106290.005"/>
    <n v="29286.99"/>
    <n v="77003.014999999999"/>
    <n v="1.2963470538720538"/>
    <s v="Salio-Bah"/>
    <x v="133"/>
    <d v="2019-06-25T00:00:00"/>
    <m/>
  </r>
  <r>
    <d v="2019-07-03T00:00:00"/>
    <n v="437000"/>
    <n v="565215"/>
    <n v="0"/>
    <n v="565215"/>
    <n v="1.2933981693363845"/>
    <s v="Sahel"/>
    <x v="134"/>
    <d v="2019-06-25T00:00:00"/>
    <m/>
  </r>
  <r>
    <d v="2019-07-04T00:00:00"/>
    <n v="21250"/>
    <n v="31450"/>
    <n v="0"/>
    <n v="31450"/>
    <n v="1.48"/>
    <s v="Arcadia"/>
    <x v="135"/>
    <d v="2019-07-01T00:00:00"/>
    <m/>
  </r>
  <r>
    <d v="2019-07-05T00:00:00"/>
    <n v="20000"/>
    <n v="32800"/>
    <n v="0"/>
    <n v="32800"/>
    <n v="1.64"/>
    <s v="Arcadia "/>
    <x v="136"/>
    <d v="2019-07-01T00:00:00"/>
    <m/>
  </r>
  <r>
    <d v="2019-07-09T00:00:00"/>
    <n v="204000"/>
    <n v="348446.20799999998"/>
    <n v="77669.34"/>
    <n v="270776.86800000002"/>
    <n v="1.3273375882352942"/>
    <s v="Sawaba"/>
    <x v="137"/>
    <d v="2019-06-25T00:00:00"/>
    <m/>
  </r>
  <r>
    <d v="2019-07-09T00:00:00"/>
    <n v="308112"/>
    <n v="422553.59999999998"/>
    <n v="0"/>
    <n v="422553.59999999998"/>
    <n v="1.3714285714285714"/>
    <s v="TAB"/>
    <x v="138"/>
    <d v="2019-06-27T00:00:00"/>
    <m/>
  </r>
  <r>
    <d v="2019-07-10T00:00:00"/>
    <n v="22008"/>
    <n v="31911.599999999999"/>
    <n v="0"/>
    <n v="31911.599999999999"/>
    <n v="1.45"/>
    <s v="Sahel "/>
    <x v="139"/>
    <d v="2019-07-18T00:00:00"/>
    <m/>
  </r>
  <r>
    <d v="2019-07-10T00:00:00"/>
    <n v="108000"/>
    <n v="151004.304"/>
    <n v="17342.5"/>
    <n v="133661.804"/>
    <n v="1.2376092962962963"/>
    <s v="Kasso"/>
    <x v="140"/>
    <d v="2019-06-05T00:00:00"/>
    <m/>
  </r>
  <r>
    <d v="2019-07-11T00:00:00"/>
    <n v="108000"/>
    <n v="151004.304"/>
    <n v="17342.5"/>
    <n v="133661.804"/>
    <n v="1.2376092962962963"/>
    <s v="Kasso"/>
    <x v="141"/>
    <d v="2019-06-05T00:00:00"/>
    <m/>
  </r>
  <r>
    <d v="2019-07-12T00:00:00"/>
    <n v="108000"/>
    <n v="151004.304"/>
    <n v="17342.5"/>
    <n v="133661.804"/>
    <n v="1.2376092962962963"/>
    <s v="Kasso"/>
    <x v="142"/>
    <d v="2019-06-05T00:00:00"/>
    <m/>
  </r>
  <r>
    <d v="2019-07-16T00:00:00"/>
    <n v="20157.599999999999"/>
    <n v="33461.616000000002"/>
    <n v="0"/>
    <n v="33461.616000000002"/>
    <n v="1.6600000000000001"/>
    <s v="Arcadia"/>
    <x v="143"/>
    <d v="2019-05-23T00:00:00"/>
    <m/>
  </r>
  <r>
    <d v="2019-07-17T00:00:00"/>
    <n v="20157.599999999999"/>
    <n v="33461.616000000002"/>
    <n v="0"/>
    <n v="33461.616000000002"/>
    <n v="1.6600000000000001"/>
    <s v="Arcadia"/>
    <x v="144"/>
    <d v="2019-07-08T00:00:00"/>
    <m/>
  </r>
  <r>
    <d v="2019-07-17T00:00:00"/>
    <n v="10784"/>
    <n v="17192.759999999998"/>
    <n v="0"/>
    <n v="17192.759999999998"/>
    <n v="1.59428412462908"/>
    <s v="Arcadia"/>
    <x v="145"/>
    <d v="2019-07-08T00:00:00"/>
    <m/>
  </r>
  <r>
    <d v="2019-07-17T00:00:00"/>
    <n v="18000"/>
    <n v="29340"/>
    <n v="0"/>
    <n v="29340"/>
    <n v="1.63"/>
    <s v="Sahel "/>
    <x v="146"/>
    <d v="2019-07-04T00:00:00"/>
    <m/>
  </r>
  <r>
    <d v="2019-07-18T00:00:00"/>
    <n v="50400"/>
    <n v="79632"/>
    <n v="0"/>
    <n v="79632"/>
    <n v="1.58"/>
    <s v="Arcadia"/>
    <x v="147"/>
    <d v="2019-07-08T00:00:00"/>
    <m/>
  </r>
  <r>
    <d v="2019-07-19T00:00:00"/>
    <n v="27336"/>
    <n v="48460.243000000002"/>
    <n v="9772"/>
    <n v="38688.243000000002"/>
    <n v="1.415285447761194"/>
    <s v="Sodifram "/>
    <x v="148"/>
    <d v="2019-07-08T00:00:00"/>
    <m/>
  </r>
  <r>
    <d v="2019-07-20T00:00:00"/>
    <n v="16934.400000000001"/>
    <n v="26577.407999999999"/>
    <n v="0"/>
    <n v="26577.407999999999"/>
    <n v="1.5694331065759635"/>
    <s v="Arcadia"/>
    <x v="149"/>
    <d v="2019-07-08T00:00:00"/>
    <m/>
  </r>
  <r>
    <d v="2019-07-23T00:00:00"/>
    <n v="264096"/>
    <n v="364452.48"/>
    <n v="0"/>
    <n v="364452.48"/>
    <n v="1.38"/>
    <s v="TAB"/>
    <x v="150"/>
    <d v="2019-07-15T00:00:00"/>
    <m/>
  </r>
  <r>
    <d v="2019-07-24T00:00:00"/>
    <n v="22500"/>
    <n v="33714"/>
    <n v="0"/>
    <n v="33714"/>
    <n v="1.4984"/>
    <s v="SCIT"/>
    <x v="151"/>
    <d v="2019-07-08T00:00:00"/>
    <m/>
  </r>
  <r>
    <d v="2019-07-31T00:00:00"/>
    <n v="280000"/>
    <n v="361200"/>
    <n v="0"/>
    <n v="361200"/>
    <n v="1.29"/>
    <s v="SCIT"/>
    <x v="152"/>
    <d v="2019-06-21T00:00:00"/>
    <m/>
  </r>
  <r>
    <d v="2019-07-31T00:00:00"/>
    <n v="43608"/>
    <n v="63663.6"/>
    <n v="0"/>
    <n v="63663.6"/>
    <n v="1.4599064391854706"/>
    <s v="Sahel"/>
    <x v="153"/>
    <d v="2019-07-23T00:00:00"/>
    <m/>
  </r>
  <r>
    <d v="2019-08-01T00:00:00"/>
    <n v="26000"/>
    <n v="37570"/>
    <n v="0"/>
    <n v="37570"/>
    <n v="1.4450000000000001"/>
    <s v="SCIT"/>
    <x v="154"/>
    <d v="2019-07-23T00:00:00"/>
    <m/>
  </r>
  <r>
    <d v="2019-08-02T00:00:00"/>
    <n v="38400"/>
    <n v="71216.180999999997"/>
    <n v="14016.883"/>
    <n v="57199.297999999995"/>
    <n v="1.4895650520833332"/>
    <s v="Mamudou T/D"/>
    <x v="155"/>
    <d v="2019-07-23T00:00:00"/>
    <m/>
  </r>
  <r>
    <d v="2019-08-02T00:00:00"/>
    <n v="20000"/>
    <n v="31600"/>
    <n v="0"/>
    <n v="31600"/>
    <n v="1.58"/>
    <s v="Arcadia"/>
    <x v="156"/>
    <d v="2019-07-26T00:00:00"/>
    <m/>
  </r>
  <r>
    <d v="2019-08-02T00:00:00"/>
    <n v="11750"/>
    <n v="45827.277999999998"/>
    <n v="850"/>
    <n v="44977.277999999998"/>
    <n v="3.8278534468085104"/>
    <s v="Rammal"/>
    <x v="157"/>
    <d v="2019-06-21T00:00:00"/>
    <m/>
  </r>
  <r>
    <d v="2019-08-07T00:00:00"/>
    <n v="242088"/>
    <n v="334081.44"/>
    <n v="0"/>
    <n v="334081.44"/>
    <n v="1.3800000000000001"/>
    <s v="TAB"/>
    <x v="158"/>
    <d v="2019-07-30T00:00:00"/>
    <m/>
  </r>
  <r>
    <d v="2019-08-09T00:00:00"/>
    <n v="255900"/>
    <n v="433784.58199999999"/>
    <n v="96137.88"/>
    <n v="337646.70199999999"/>
    <n v="1.3194478389996092"/>
    <s v="Sawaba"/>
    <x v="159"/>
    <d v="2019-08-05T00:00:00"/>
    <m/>
  </r>
  <r>
    <d v="2019-08-16T00:00:00"/>
    <n v="20157.599999999999"/>
    <n v="33461.616000000002"/>
    <n v="0"/>
    <n v="33461.616000000002"/>
    <n v="1.6600000000000001"/>
    <s v="Arcadia"/>
    <x v="160"/>
    <d v="2019-07-08T00:00:00"/>
    <m/>
  </r>
  <r>
    <d v="2019-08-19T00:00:00"/>
    <n v="22008"/>
    <n v="33012"/>
    <n v="0"/>
    <n v="33012"/>
    <n v="1.5"/>
    <s v="STE Medilife"/>
    <x v="161"/>
    <d v="2019-08-08T00:00:00"/>
    <m/>
  </r>
  <r>
    <d v="2019-08-20T00:00:00"/>
    <n v="57600"/>
    <n v="85248"/>
    <n v="0"/>
    <n v="85248"/>
    <n v="1.48"/>
    <s v="Al Badr"/>
    <x v="162"/>
    <d v="2019-07-25T00:00:00"/>
    <m/>
  </r>
  <r>
    <d v="2019-08-21T00:00:00"/>
    <n v="16000"/>
    <n v="37055.718000000001"/>
    <n v="3161.9110000000001"/>
    <n v="33893.807000000001"/>
    <n v="2.1183629375000002"/>
    <s v="Aboura Foods"/>
    <x v="163"/>
    <d v="2019-08-08T00:00:00"/>
    <m/>
  </r>
  <r>
    <d v="2019-08-22T00:00:00"/>
    <n v="22008"/>
    <n v="33452.160000000003"/>
    <n v="0"/>
    <n v="33452.160000000003"/>
    <n v="1.5200000000000002"/>
    <s v="Sahel"/>
    <x v="164"/>
    <d v="2019-08-15T00:00:00"/>
    <m/>
  </r>
  <r>
    <d v="2019-08-23T00:00:00"/>
    <n v="53600"/>
    <n v="77527.600000000006"/>
    <n v="0"/>
    <n v="77527.600000000006"/>
    <n v="1.4464104477611941"/>
    <s v="TAB"/>
    <x v="165"/>
    <d v="2019-08-19T00:00:00"/>
    <m/>
  </r>
  <r>
    <d v="2019-08-23T00:00:00"/>
    <n v="111000"/>
    <n v="158650"/>
    <n v="0"/>
    <n v="158650"/>
    <n v="1.4292792792792792"/>
    <s v="TAB"/>
    <x v="166"/>
    <d v="2019-08-15T00:00:00"/>
    <m/>
  </r>
  <r>
    <d v="2019-08-23T00:00:00"/>
    <n v="21019.200000000001"/>
    <n v="36482.080000000002"/>
    <n v="0"/>
    <n v="36482.080000000002"/>
    <n v="1.7356550201720331"/>
    <s v="Arcadia"/>
    <x v="167"/>
    <d v="2019-08-08T00:00:00"/>
    <m/>
  </r>
  <r>
    <d v="2019-08-26T00:00:00"/>
    <n v="1680"/>
    <n v="5712"/>
    <n v="0"/>
    <n v="5712"/>
    <n v="3.4"/>
    <s v="SCIT"/>
    <x v="168"/>
    <d v="2019-07-23T00:00:00"/>
    <m/>
  </r>
  <r>
    <d v="2019-08-28T00:00:00"/>
    <n v="22848"/>
    <n v="32297.759999999998"/>
    <n v="0"/>
    <n v="32297.759999999998"/>
    <n v="1.4135924369747899"/>
    <s v="Arcadia"/>
    <x v="169"/>
    <d v="2019-08-08T00:00:00"/>
    <m/>
  </r>
  <r>
    <d v="2019-08-28T00:00:00"/>
    <n v="16640"/>
    <n v="58144.65"/>
    <n v="1260.298"/>
    <n v="56884.351999999999"/>
    <n v="3.4185307692307694"/>
    <s v="Davis Trading "/>
    <x v="170"/>
    <d v="2019-08-26T00:00:00"/>
    <m/>
  </r>
  <r>
    <d v="2019-08-29T00:00:00"/>
    <n v="25848"/>
    <n v="45583.534"/>
    <n v="9514.2939999999999"/>
    <n v="36069.24"/>
    <n v="1.3954363974001855"/>
    <s v="Sodifram "/>
    <x v="171"/>
    <d v="2019-08-20T00:00:00"/>
    <m/>
  </r>
  <r>
    <d v="2019-08-29T00:00:00"/>
    <n v="108000"/>
    <n v="147477.18599999999"/>
    <n v="17350"/>
    <n v="130127.18599999999"/>
    <n v="1.2048813518518517"/>
    <s v="Kasso"/>
    <x v="172"/>
    <d v="2019-08-20T00:00:00"/>
    <m/>
  </r>
  <r>
    <d v="2019-08-29T00:00:00"/>
    <n v="20000"/>
    <n v="31600"/>
    <n v="0"/>
    <n v="31600"/>
    <n v="1.58"/>
    <s v="Arcadia"/>
    <x v="173"/>
    <d v="2019-08-15T00:00:00"/>
    <m/>
  </r>
  <r>
    <d v="2019-08-30T00:00:00"/>
    <n v="108000"/>
    <n v="147477.18599999999"/>
    <n v="17350"/>
    <n v="130127.18599999999"/>
    <n v="1.2048813518518517"/>
    <s v="Kasso"/>
    <x v="174"/>
    <d v="2019-08-20T00:00:00"/>
    <m/>
  </r>
  <r>
    <d v="2019-08-30T00:00:00"/>
    <n v="211200"/>
    <n v="311604.005"/>
    <n v="0"/>
    <n v="311604.005"/>
    <n v="1.4753977509469698"/>
    <s v="Al Magemoua"/>
    <x v="175"/>
    <d v="2019-08-07T00:00:00"/>
    <m/>
  </r>
  <r>
    <d v="2019-09-02T00:00:00"/>
    <n v="108000"/>
    <n v="147159.07199999999"/>
    <n v="17164.5"/>
    <n v="129994.57199999999"/>
    <n v="1.2036534444444442"/>
    <s v="ETS Kasso"/>
    <x v="176"/>
    <d v="2019-08-20T00:00:00"/>
    <m/>
  </r>
  <r>
    <d v="2019-09-04T00:00:00"/>
    <n v="22008"/>
    <n v="33452.160000000003"/>
    <n v="0"/>
    <n v="33452.160000000003"/>
    <n v="1.5200000000000002"/>
    <s v="Sahel"/>
    <x v="177"/>
    <d v="2019-08-28T00:00:00"/>
    <m/>
  </r>
  <r>
    <d v="2019-09-04T00:00:00"/>
    <n v="19200"/>
    <n v="30144"/>
    <n v="0"/>
    <n v="30144"/>
    <n v="1.57"/>
    <s v="Sahel"/>
    <x v="178"/>
    <d v="2019-08-28T00:00:00"/>
    <m/>
  </r>
  <r>
    <d v="2019-09-09T00:00:00"/>
    <n v="20000"/>
    <n v="39699.839999999997"/>
    <n v="4203.7950000000001"/>
    <n v="35496.044999999998"/>
    <n v="1.7748022499999998"/>
    <s v="Angestrem "/>
    <x v="179"/>
    <d v="2019-08-26T00:00:00"/>
    <m/>
  </r>
  <r>
    <d v="2019-09-10T00:00:00"/>
    <n v="110040"/>
    <n v="147453.6"/>
    <n v="0"/>
    <n v="147453.6"/>
    <n v="1.34"/>
    <s v="Tab"/>
    <x v="180"/>
    <d v="2019-08-29T00:00:00"/>
    <m/>
  </r>
  <r>
    <d v="2019-09-11T00:00:00"/>
    <n v="20700"/>
    <n v="26496"/>
    <n v="0"/>
    <n v="26496"/>
    <n v="1.28"/>
    <s v="Sahel "/>
    <x v="181"/>
    <d v="2019-09-06T00:00:00"/>
    <m/>
  </r>
  <r>
    <d v="2019-09-11T00:00:00"/>
    <n v="23971.200000000001"/>
    <n v="40271.616000000002"/>
    <n v="0"/>
    <n v="40271.616000000002"/>
    <n v="1.68"/>
    <s v="Arcadia"/>
    <x v="182"/>
    <d v="2019-08-26T00:00:00"/>
    <m/>
  </r>
  <r>
    <d v="2019-09-12T00:00:00"/>
    <n v="560000"/>
    <n v="700000"/>
    <n v="0"/>
    <n v="700000"/>
    <n v="1.25"/>
    <s v="S.C.I.T"/>
    <x v="183"/>
    <d v="2019-08-20T00:00:00"/>
    <m/>
  </r>
  <r>
    <d v="2019-09-12T00:00:00"/>
    <n v="40000"/>
    <n v="63200"/>
    <n v="0"/>
    <n v="63200"/>
    <n v="1.58"/>
    <s v="Arcadia"/>
    <x v="184"/>
    <d v="2019-09-04T00:00:00"/>
    <m/>
  </r>
  <r>
    <d v="2019-09-18T00:00:00"/>
    <n v="280000"/>
    <n v="350000"/>
    <n v="0"/>
    <n v="350000"/>
    <n v="1.25"/>
    <s v="Omega"/>
    <x v="185"/>
    <d v="2019-09-11T00:00:00"/>
    <m/>
  </r>
  <r>
    <d v="2019-09-19T00:00:00"/>
    <n v="39000"/>
    <n v="62400"/>
    <n v="0"/>
    <n v="62400"/>
    <n v="1.6"/>
    <s v="Midcom"/>
    <x v="186"/>
    <d v="2019-09-11T00:00:00"/>
    <m/>
  </r>
  <r>
    <d v="2019-09-23T00:00:00"/>
    <n v="57600"/>
    <n v="88704"/>
    <n v="0"/>
    <n v="88704"/>
    <n v="1.54"/>
    <s v="S.C.I.T"/>
    <x v="187"/>
    <d v="2019-09-04T00:00:00"/>
    <m/>
  </r>
  <r>
    <d v="2019-09-24T00:00:00"/>
    <n v="18650"/>
    <n v="64906.142"/>
    <n v="1200"/>
    <n v="63706.142"/>
    <n v="3.415878927613941"/>
    <s v="Davis Trading"/>
    <x v="188"/>
    <d v="2019-09-11T00:00:00"/>
    <m/>
  </r>
  <r>
    <d v="2019-09-25T00:00:00"/>
    <n v="20000"/>
    <n v="39346.559999999998"/>
    <n v="4296.29"/>
    <n v="35050.269999999997"/>
    <n v="1.7525134999999998"/>
    <s v="Angestrem "/>
    <x v="189"/>
    <d v="2019-09-11T00:00:00"/>
    <m/>
  </r>
  <r>
    <d v="2019-09-25T00:00:00"/>
    <n v="193440"/>
    <n v="344818.14"/>
    <n v="94272.98"/>
    <n v="250545.16000000003"/>
    <n v="1.2952086435070307"/>
    <s v="Sawaba "/>
    <x v="190"/>
    <d v="2019-09-11T00:00:00"/>
    <m/>
  </r>
  <r>
    <d v="2019-09-25T00:00:00"/>
    <n v="180000"/>
    <n v="257926.5"/>
    <n v="0"/>
    <n v="257926.5"/>
    <n v="1.432925"/>
    <s v="Mahara "/>
    <x v="191"/>
    <d v="2019-09-23T00:00:00"/>
    <m/>
  </r>
  <r>
    <d v="2019-09-28T00:00:00"/>
    <n v="44016"/>
    <n v="58981.440000000002"/>
    <n v="0"/>
    <n v="58981.440000000002"/>
    <n v="1.34"/>
    <s v="TAB"/>
    <x v="192"/>
    <d v="2019-09-19T00:00:00"/>
    <m/>
  </r>
  <r>
    <d v="2019-09-30T00:00:00"/>
    <n v="56000"/>
    <n v="77000"/>
    <n v="0"/>
    <n v="77000"/>
    <n v="1.375"/>
    <s v="TAB"/>
    <x v="193"/>
    <d v="2019-09-04T00:00:00"/>
    <m/>
  </r>
  <r>
    <d v="2019-09-30T00:00:00"/>
    <n v="21600"/>
    <n v="31632"/>
    <n v="0"/>
    <n v="31632"/>
    <n v="1.4644444444444444"/>
    <s v="Sahel "/>
    <x v="194"/>
    <d v="2019-09-23T00:00:00"/>
    <m/>
  </r>
  <r>
    <d v="2019-10-01T00:00:00"/>
    <n v="88032"/>
    <n v="117962.88"/>
    <n v="0"/>
    <n v="117962.88"/>
    <n v="1.34"/>
    <s v="TAB"/>
    <x v="192"/>
    <d v="2019-09-19T00:00:00"/>
    <m/>
  </r>
  <r>
    <d v="2019-10-02T00:00:00"/>
    <n v="56000"/>
    <n v="76720"/>
    <n v="0"/>
    <n v="76720"/>
    <n v="1.37"/>
    <s v="SCIT"/>
    <x v="195"/>
    <d v="2019-09-09T00:00:00"/>
    <m/>
  </r>
  <r>
    <d v="2019-10-07T00:00:00"/>
    <n v="280000"/>
    <n v="350000"/>
    <n v="0"/>
    <n v="350000"/>
    <n v="1.25"/>
    <s v="OMEGA"/>
    <x v="196"/>
    <d v="2019-10-01T00:00:00"/>
    <m/>
  </r>
  <r>
    <d v="2019-10-10T00:00:00"/>
    <n v="66024"/>
    <n v="86491.44"/>
    <n v="0"/>
    <n v="86491.44"/>
    <n v="1.31"/>
    <s v="TAB"/>
    <x v="197"/>
    <d v="2019-10-03T00:00:00"/>
    <m/>
  </r>
  <r>
    <d v="2019-07-16T00:00:00"/>
    <n v="18000"/>
    <n v="29160"/>
    <n v="0"/>
    <n v="29160"/>
    <n v="1.62"/>
    <s v="SAHEL"/>
    <x v="198"/>
    <d v="2019-10-11T00:00:00"/>
    <m/>
  </r>
  <r>
    <d v="2019-07-16T00:00:00"/>
    <n v="20500"/>
    <n v="30340"/>
    <n v="0"/>
    <n v="30340"/>
    <n v="1.48"/>
    <s v="SAHEL"/>
    <x v="199"/>
    <d v="2019-10-11T00:00:00"/>
    <m/>
  </r>
  <r>
    <d v="2019-10-17T00:00:00"/>
    <n v="100000"/>
    <n v="160000"/>
    <n v="0"/>
    <n v="160000"/>
    <n v="1.6"/>
    <s v="MIDCOM"/>
    <x v="200"/>
    <d v="2019-10-01T00:00:00"/>
    <m/>
  </r>
  <r>
    <d v="2019-10-17T00:00:00"/>
    <n v="26000"/>
    <n v="37570"/>
    <n v="0"/>
    <n v="37570"/>
    <n v="1.4450000000000001"/>
    <s v="SCIT"/>
    <x v="201"/>
    <d v="2019-10-03T00:00:00"/>
    <m/>
  </r>
  <r>
    <d v="2019-10-18T00:00:00"/>
    <n v="20000"/>
    <n v="37905.665000000001"/>
    <n v="3858.5419999999999"/>
    <n v="34047.123"/>
    <n v="1.70235615"/>
    <s v="ANGSTREM "/>
    <x v="202"/>
    <d v="2019-09-11T00:00:00"/>
    <m/>
  </r>
  <r>
    <d v="2019-10-21T00:00:00"/>
    <n v="24000"/>
    <n v="36213"/>
    <n v="0"/>
    <n v="36213"/>
    <n v="1.508875"/>
    <s v="SCIT"/>
    <x v="203"/>
    <d v="2019-10-11T00:00:00"/>
    <m/>
  </r>
  <r>
    <d v="2019-10-22T00:00:00"/>
    <n v="84000"/>
    <n v="116480"/>
    <n v="0"/>
    <n v="116480"/>
    <n v="1.3866666666666667"/>
    <s v="TAB"/>
    <x v="204"/>
    <d v="2019-10-03T00:00:00"/>
    <m/>
  </r>
  <r>
    <d v="2019-10-22T00:00:00"/>
    <n v="20175.759999999998"/>
    <n v="33290.004000000001"/>
    <n v="0"/>
    <n v="33290.004000000001"/>
    <n v="1.6500000000000001"/>
    <s v="ARCADIA"/>
    <x v="205"/>
    <d v="2019-09-19T00:00:00"/>
    <m/>
  </r>
  <r>
    <d v="2019-10-23T00:00:00"/>
    <n v="82800"/>
    <n v="118548"/>
    <n v="0"/>
    <n v="118548"/>
    <n v="1.4317391304347826"/>
    <s v="SAHEL"/>
    <x v="206"/>
    <d v="2019-10-14T00:00:00"/>
    <m/>
  </r>
  <r>
    <d v="2019-10-24T00:00:00"/>
    <n v="20000"/>
    <n v="31600"/>
    <n v="0"/>
    <n v="31600"/>
    <n v="1.58"/>
    <s v="ARCADIA"/>
    <x v="207"/>
    <d v="2019-10-01T00:00:00"/>
    <m/>
  </r>
  <r>
    <d v="2019-10-26T00:00:00"/>
    <n v="25300"/>
    <n v="49556.038"/>
    <n v="4764.45"/>
    <n v="44791.588000000003"/>
    <n v="1.7704184980237156"/>
    <s v="ABOURA FOODS"/>
    <x v="208"/>
    <d v="2019-10-17T00:00:00"/>
    <m/>
  </r>
  <r>
    <d v="2019-10-28T00:00:00"/>
    <n v="20175.759999999998"/>
    <n v="33290.004000000001"/>
    <n v="0"/>
    <n v="33290.004000000001"/>
    <n v="1.6500000000000001"/>
    <s v="ARCADIA"/>
    <x v="209"/>
    <d v="2019-10-22T00:00:00"/>
    <m/>
  </r>
  <r>
    <d v="2019-10-30T00:00:00"/>
    <n v="20000"/>
    <n v="30000"/>
    <n v="0"/>
    <n v="30000"/>
    <n v="1.5"/>
    <s v="SCIT"/>
    <x v="210"/>
    <d v="2019-10-22T00:00:00"/>
    <m/>
  </r>
  <r>
    <d v="2019-11-01T00:00:00"/>
    <n v="108000"/>
    <n v="146464.79399999999"/>
    <n v="17020.86"/>
    <n v="129443.93399999999"/>
    <n v="1.1985549444444443"/>
    <s v="KASSO"/>
    <x v="211"/>
    <d v="2019-10-18T00:00:00"/>
    <m/>
  </r>
  <r>
    <d v="2019-11-01T00:00:00"/>
    <n v="52000"/>
    <n v="87125.15"/>
    <n v="15528.32"/>
    <n v="71596.829999999987"/>
    <n v="1.3768621153846152"/>
    <s v="TIMBI MADINA"/>
    <x v="212"/>
    <d v="2019-10-02T00:00:00"/>
    <m/>
  </r>
  <r>
    <d v="2019-11-02T00:00:00"/>
    <n v="108000"/>
    <n v="146464.79399999999"/>
    <n v="17020.86"/>
    <n v="129443.93399999999"/>
    <n v="1.1985549444444443"/>
    <s v="KASSO"/>
    <x v="213"/>
    <d v="2019-10-18T00:00:00"/>
    <m/>
  </r>
  <r>
    <d v="2019-11-02T00:00:00"/>
    <n v="20000"/>
    <n v="36167.039999999994"/>
    <n v="1222.5"/>
    <n v="34944.539999999994"/>
    <n v="1.7472269999999996"/>
    <s v="ANGSTREM N°21"/>
    <x v="214"/>
    <d v="2019-10-28T00:00:00"/>
    <m/>
  </r>
  <r>
    <d v="2019-11-04T00:00:00"/>
    <n v="21052"/>
    <n v="49439.20732799999"/>
    <n v="6889.27"/>
    <n v="42549.937327999985"/>
    <n v="2.0211826585597561"/>
    <s v="MIKSSAB"/>
    <x v="215"/>
    <d v="2019-10-24T00:00:00"/>
    <m/>
  </r>
  <r>
    <d v="2019-11-05T00:00:00"/>
    <n v="108516"/>
    <n v="151363.68"/>
    <n v="0"/>
    <n v="151363.68"/>
    <n v="1.3948512661727301"/>
    <s v="SCIT"/>
    <x v="216"/>
    <d v="2019-10-26T00:00:00"/>
    <m/>
  </r>
  <r>
    <d v="2019-11-06T00:00:00"/>
    <n v="10632.4"/>
    <n v="17999.272000000001"/>
    <n v="0"/>
    <n v="17999.272000000001"/>
    <n v="1.6928700951807683"/>
    <s v="ARCADIA-INTERFRESH"/>
    <x v="217"/>
    <d v="2019-10-26T00:00:00"/>
    <m/>
  </r>
  <r>
    <d v="2019-11-06T00:00:00"/>
    <n v="19200"/>
    <n v="30144"/>
    <n v="0"/>
    <n v="30144"/>
    <n v="1.57"/>
    <s v="SAHEL"/>
    <x v="218"/>
    <d v="2019-10-18T00:00:00"/>
    <m/>
  </r>
  <r>
    <d v="2019-11-07T00:00:00"/>
    <n v="20000"/>
    <n v="31600"/>
    <n v="0"/>
    <n v="31600"/>
    <n v="1.58"/>
    <s v="ARCADIA-FQF"/>
    <x v="219"/>
    <d v="2019-11-01T00:00:00"/>
    <m/>
  </r>
  <r>
    <d v="2019-11-08T00:00:00"/>
    <n v="154056"/>
    <n v="205114.56"/>
    <n v="0"/>
    <n v="205114.56"/>
    <n v="1.3314285714285714"/>
    <s v="TAB"/>
    <x v="220"/>
    <d v="2019-11-04T00:00:00"/>
    <m/>
  </r>
  <r>
    <d v="2019-11-11T00:00:00"/>
    <n v="76248"/>
    <n v="131248.492"/>
    <n v="26318.59"/>
    <n v="104929.902"/>
    <n v="1.3761659584513692"/>
    <s v="EASB"/>
    <x v="221"/>
    <d v="2019-11-06T00:00:00"/>
    <m/>
  </r>
  <r>
    <d v="2019-11-11T00:00:00"/>
    <n v="25080"/>
    <n v="38032.800000000003"/>
    <n v="0"/>
    <n v="38032.800000000003"/>
    <n v="1.5164593301435407"/>
    <s v="SCIT"/>
    <x v="222"/>
    <d v="2019-10-28T00:00:00"/>
    <m/>
  </r>
  <r>
    <d v="2019-11-12T00:00:00"/>
    <n v="40800"/>
    <n v="70607.14"/>
    <n v="19179.32"/>
    <n v="51427.82"/>
    <n v="1.2604857843137254"/>
    <s v="SALIOU BAH"/>
    <x v="223"/>
    <d v="2019-11-02T00:00:00"/>
    <m/>
  </r>
  <r>
    <d v="2019-11-12T00:00:00"/>
    <n v="39000"/>
    <n v="62400"/>
    <n v="0"/>
    <n v="62400"/>
    <n v="1.6"/>
    <s v="MIDCOM"/>
    <x v="224"/>
    <d v="2019-11-02T00:00:00"/>
    <m/>
  </r>
  <r>
    <d v="2019-11-12T00:00:00"/>
    <n v="1906.8"/>
    <n v="3432.24"/>
    <n v="0"/>
    <n v="3432.24"/>
    <n v="1.7999999999999998"/>
    <s v="ARCADIA- KARTAGO"/>
    <x v="225"/>
    <d v="2019-11-02T00:00:00"/>
    <m/>
  </r>
  <r>
    <d v="2019-11-13T00:00:00"/>
    <n v="109000"/>
    <n v="140610"/>
    <n v="0"/>
    <n v="140610"/>
    <n v="1.29"/>
    <s v="SCIT"/>
    <x v="226"/>
    <d v="2019-11-06T00:00:00"/>
    <m/>
  </r>
  <r>
    <d v="2019-11-13T00:00:00"/>
    <n v="233520"/>
    <n v="334542.527"/>
    <n v="0"/>
    <n v="334542.527"/>
    <n v="1.4326076010620075"/>
    <s v="AL MAGEMOUA"/>
    <x v="227"/>
    <d v="2019-10-17T00:00:00"/>
    <m/>
  </r>
  <r>
    <d v="2019-11-15T00:00:00"/>
    <n v="20000"/>
    <n v="38016.720000000001"/>
    <n v="3673.0770000000002"/>
    <n v="34343.643000000004"/>
    <n v="1.7171821500000002"/>
    <s v="ANGSTREM N°22"/>
    <x v="228"/>
    <d v="2019-11-11T00:00:00"/>
    <m/>
  </r>
  <r>
    <d v="2019-11-16T00:00:00"/>
    <n v="27336"/>
    <n v="47249.358999999997"/>
    <n v="8873.52"/>
    <n v="38375.838999999993"/>
    <n v="1.4038571480831137"/>
    <s v="SODIFRAM"/>
    <x v="229"/>
    <d v="2019-11-02T00:00:00"/>
    <m/>
  </r>
  <r>
    <d v="2019-11-16T00:00:00"/>
    <n v="154056"/>
    <n v="205114.56"/>
    <n v="0"/>
    <n v="205114.56"/>
    <n v="1.3314285714285714"/>
    <s v="TAB"/>
    <x v="230"/>
    <d v="2019-11-04T00:00:00"/>
    <m/>
  </r>
  <r>
    <d v="2019-11-18T00:00:00"/>
    <n v="43200"/>
    <n v="66960"/>
    <n v="0"/>
    <n v="66960"/>
    <n v="1.55"/>
    <s v="SAHEL"/>
    <x v="231"/>
    <d v="2019-11-06T00:00:00"/>
    <m/>
  </r>
  <r>
    <d v="2019-11-18T00:00:00"/>
    <n v="24692"/>
    <n v="41354.800000000003"/>
    <n v="0"/>
    <n v="41354.800000000003"/>
    <n v="1.6748258545277823"/>
    <s v="ARCADIA - TCI"/>
    <x v="232"/>
    <d v="2019-11-13T00:00:00"/>
    <m/>
  </r>
  <r>
    <d v="2019-11-19T00:00:00"/>
    <n v="14200"/>
    <n v="36958.043899999997"/>
    <n v="1693.335"/>
    <n v="35264.708899999998"/>
    <n v="2.483430204225352"/>
    <s v="DAVIS FOOD"/>
    <x v="233"/>
    <d v="2019-11-02T00:00:00"/>
    <m/>
  </r>
  <r>
    <d v="2019-11-19T00:00:00"/>
    <n v="18200"/>
    <n v="63284.008699999998"/>
    <n v="1440.94"/>
    <n v="61843.068699999996"/>
    <n v="3.3979708076923076"/>
    <s v="DAVIS TRADING"/>
    <x v="234"/>
    <d v="2019-11-02T00:00:00"/>
    <m/>
  </r>
  <r>
    <d v="2019-11-21T00:00:00"/>
    <n v="110040"/>
    <n v="147453.6"/>
    <n v="0"/>
    <n v="147453.6"/>
    <n v="1.34"/>
    <s v="TAB"/>
    <x v="235"/>
    <d v="2019-11-13T00:00:00"/>
    <m/>
  </r>
  <r>
    <d v="2019-11-22T00:00:00"/>
    <n v="77120"/>
    <n v="110777.60000000001"/>
    <n v="0"/>
    <n v="110777.60000000001"/>
    <n v="1.4364315352697097"/>
    <s v="TAB"/>
    <x v="236"/>
    <d v="2019-11-19T00:00:00"/>
    <m/>
  </r>
  <r>
    <d v="2019-11-22T00:00:00"/>
    <n v="5277"/>
    <n v="8825.49"/>
    <n v="0"/>
    <n v="8825.49"/>
    <n v="1.6724445707788516"/>
    <s v="ARCADIA-M&amp;P"/>
    <x v="237"/>
    <d v="2019-11-19T00:00:00"/>
    <m/>
  </r>
  <r>
    <d v="2019-11-23T00:00:00"/>
    <n v="20000"/>
    <n v="36465.919999999998"/>
    <n v="1271.08"/>
    <n v="35194.839999999997"/>
    <n v="1.7597419999999999"/>
    <s v="ANGSTREM N°23"/>
    <x v="238"/>
    <d v="2019-11-13T00:00:00"/>
    <m/>
  </r>
  <r>
    <d v="2019-11-23T00:00:00"/>
    <n v="300000"/>
    <n v="436210.64999999997"/>
    <n v="0"/>
    <n v="436210.64999999997"/>
    <n v="1.4540354999999998"/>
    <s v="AL HAD AKSSA"/>
    <x v="239"/>
    <d v="2019-11-16T00:00:00"/>
    <m/>
  </r>
  <r>
    <d v="2019-11-25T00:00:00"/>
    <n v="2348"/>
    <n v="4761.76"/>
    <n v="0"/>
    <n v="4761.76"/>
    <n v="2.0280068143100514"/>
    <s v="ARCADIA-QATAR"/>
    <x v="240"/>
    <d v="2019-11-25T00:00:00"/>
    <m/>
  </r>
  <r>
    <d v="2019-11-30T00:00:00"/>
    <n v="20150"/>
    <n v="39489.866832"/>
    <n v="4758.1949999999997"/>
    <n v="34731.671832"/>
    <n v="1.7236561703225806"/>
    <s v="ANGSTREM N°24"/>
    <x v="241"/>
    <d v="2019-11-25T00:00:00"/>
    <m/>
  </r>
  <r>
    <d v="2019-11-30T00:00:00"/>
    <n v="18000"/>
    <n v="33477.957000000002"/>
    <n v="5866.9449999999997"/>
    <n v="27611.012000000002"/>
    <n v="1.5339451111111113"/>
    <s v="AHODIKPE"/>
    <x v="242"/>
    <d v="2019-11-27T00:00:00"/>
    <m/>
  </r>
  <r>
    <d v="2019-12-03T00:00:00"/>
    <n v="69408"/>
    <n v="121434.133674"/>
    <n v="24436.01"/>
    <n v="96998.123674000002"/>
    <n v="1.3975063922602582"/>
    <s v="MAMADOU TEDOUGNAL"/>
    <x v="243"/>
    <d v="2019-11-27T00:00:00"/>
    <m/>
  </r>
  <r>
    <d v="2019-12-04T00:00:00"/>
    <n v="157765"/>
    <n v="219842.95"/>
    <n v="0"/>
    <n v="219842.95"/>
    <n v="1.3934836624092797"/>
    <s v="TAB"/>
    <x v="244"/>
    <d v="2019-11-25T00:00:00"/>
    <m/>
  </r>
  <r>
    <d v="2019-12-05T00:00:00"/>
    <n v="23400"/>
    <n v="35319"/>
    <n v="0"/>
    <n v="35319"/>
    <n v="1.5093589743589744"/>
    <s v="SCIT"/>
    <x v="245"/>
    <d v="2019-11-25T00:00:00"/>
    <m/>
  </r>
  <r>
    <d v="2019-12-06T00:00:00"/>
    <n v="278000"/>
    <n v="436712.98"/>
    <n v="89362.28"/>
    <n v="347350.69999999995"/>
    <n v="1.2494629496402876"/>
    <s v="TOYOTA TSUSHO"/>
    <x v="246"/>
    <d v="2019-12-02T00:00:00"/>
    <m/>
  </r>
  <r>
    <d v="2019-12-09T00:00:00"/>
    <n v="39000"/>
    <n v="62400"/>
    <n v="0"/>
    <n v="62400"/>
    <n v="1.6"/>
    <s v="MIDCOM"/>
    <x v="247"/>
    <d v="2019-11-29T00:00:00"/>
    <m/>
  </r>
  <r>
    <d v="2019-12-10T00:00:00"/>
    <n v="27120"/>
    <n v="49910.141599999995"/>
    <n v="10729.6"/>
    <n v="39180.541599999997"/>
    <n v="1.4447102359882005"/>
    <s v="SODIFRAM"/>
    <x v="248"/>
    <d v="2019-12-04T00:00:00"/>
    <m/>
  </r>
  <r>
    <d v="2019-12-11T00:00:00"/>
    <n v="2328"/>
    <n v="4063.92"/>
    <n v="0"/>
    <n v="4063.92"/>
    <n v="1.7456701030927835"/>
    <s v="ISBT"/>
    <x v="249"/>
    <d v="2019-12-05T00:00:00"/>
    <m/>
  </r>
  <r>
    <d v="2019-12-11T00:00:00"/>
    <n v="300000"/>
    <n v="436937.39999999997"/>
    <n v="0"/>
    <n v="436937.39999999997"/>
    <n v="1.4564579999999998"/>
    <s v="AL HAD AKSSA"/>
    <x v="250"/>
    <d v="2019-12-05T00:00:00"/>
    <m/>
  </r>
  <r>
    <d v="2019-12-13T00:00:00"/>
    <n v="220080"/>
    <n v="294907.2"/>
    <n v="0"/>
    <n v="294907.2"/>
    <n v="1.34"/>
    <s v="TAB"/>
    <x v="251"/>
    <d v="2019-12-06T00:00:00"/>
    <m/>
  </r>
  <r>
    <d v="2019-12-13T00:00:00"/>
    <n v="26000"/>
    <n v="40232.510399999999"/>
    <n v="7226.8050000000003"/>
    <n v="33005.705399999999"/>
    <n v="1.2694502076923075"/>
    <s v="SAWABA"/>
    <x v="252"/>
    <d v="2019-12-04T00:00:00"/>
    <m/>
  </r>
  <r>
    <d v="2019-12-14T00:00:00"/>
    <n v="60000"/>
    <n v="107488.425"/>
    <n v="30542.564999999999"/>
    <n v="76945.86"/>
    <n v="1.2824310000000001"/>
    <s v="SALIOU BAH"/>
    <x v="253"/>
    <d v="2019-12-04T00:00:00"/>
    <m/>
  </r>
  <r>
    <d v="2019-12-16T00:00:00"/>
    <n v="26000"/>
    <n v="36650"/>
    <n v="0"/>
    <n v="36650"/>
    <n v="1.4096153846153847"/>
    <s v="TAB"/>
    <x v="254"/>
    <d v="2019-12-06T00:00:00"/>
    <m/>
  </r>
  <r>
    <d v="2019-12-18T00:00:00"/>
    <n v="17500"/>
    <n v="60810.240000000005"/>
    <n v="22764.5"/>
    <n v="38045.740000000005"/>
    <n v="2.174042285714286"/>
    <s v="DAVIS TRADING"/>
    <x v="255"/>
    <d v="2019-12-07T00:00:00"/>
    <m/>
  </r>
  <r>
    <d v="2019-12-19T00:00:00"/>
    <n v="4270"/>
    <n v="16771.400000000001"/>
    <n v="0"/>
    <n v="16771.400000000001"/>
    <n v="3.9277283372365344"/>
    <s v="ARCADIA- COSTA RICA"/>
    <x v="256"/>
    <d v="2019-12-16T00:00:00"/>
    <m/>
  </r>
  <r>
    <d v="2019-12-19T00:00:00"/>
    <n v="24789.599999999999"/>
    <n v="43108.008000000002"/>
    <n v="0"/>
    <n v="43108.008000000002"/>
    <n v="1.7389553683802887"/>
    <s v="ARCADIA- CANADA"/>
    <x v="257"/>
    <d v="2019-12-16T00:00:00"/>
    <m/>
  </r>
  <r>
    <d v="2019-12-23T00:00:00"/>
    <n v="18000"/>
    <n v="29160"/>
    <n v="0"/>
    <n v="29160"/>
    <n v="1.62"/>
    <s v="SAHEL"/>
    <x v="258"/>
    <d v="2019-12-16T00:00:00"/>
    <m/>
  </r>
  <r>
    <d v="2019-12-24T00:00:00"/>
    <n v="20000"/>
    <n v="37793.279999999999"/>
    <n v="3947.5259999999998"/>
    <n v="33845.754000000001"/>
    <n v="1.6922877000000001"/>
    <s v="ANGSTREM N°25"/>
    <x v="259"/>
    <d v="2019-12-02T00:00:00"/>
    <m/>
  </r>
  <r>
    <d v="2019-12-24T00:00:00"/>
    <n v="27336"/>
    <n v="50168.877575999999"/>
    <n v="10729.6"/>
    <n v="39439.277576"/>
    <n v="1.4427596420836992"/>
    <s v="SODIFRAM "/>
    <x v="260"/>
    <d v="2019-12-19T00:00:00"/>
    <m/>
  </r>
  <r>
    <d v="2019-12-24T00:00:00"/>
    <n v="26000"/>
    <n v="36800"/>
    <n v="0"/>
    <n v="36800"/>
    <n v="1.4153846153846155"/>
    <s v="SCIT"/>
    <x v="261"/>
    <d v="2019-12-19T00:00:00"/>
    <m/>
  </r>
  <r>
    <d v="2019-12-25T00:00:00"/>
    <n v="136396"/>
    <n v="229137.097977"/>
    <n v="41549.184999999998"/>
    <n v="187587.912977"/>
    <n v="1.3753182862913869"/>
    <s v="SAWABA"/>
    <x v="262"/>
    <d v="2019-12-20T00:00:00"/>
    <m/>
  </r>
  <r>
    <d v="2019-12-28T00:00:00"/>
    <n v="274080"/>
    <n v="407592.95052000001"/>
    <n v="0"/>
    <n v="407592.95052000001"/>
    <n v="1.4871313139229423"/>
    <s v="AL MAGEMOUA"/>
    <x v="263"/>
    <d v="2019-12-16T00:00:00"/>
    <m/>
  </r>
  <r>
    <d v="2019-12-27T00:00:00"/>
    <n v="12772.4"/>
    <n v="22221.752"/>
    <n v="0"/>
    <n v="22221.752"/>
    <n v="1.7398258745419812"/>
    <s v="ARCADIA - INTERFRESH"/>
    <x v="264"/>
    <d v="2019-12-05T00:00:00"/>
    <m/>
  </r>
  <r>
    <d v="2019-12-28T00:00:00"/>
    <n v="108000"/>
    <n v="145724.076"/>
    <n v="17020.86"/>
    <n v="128703.216"/>
    <n v="1.1916964444444444"/>
    <s v="KASSO"/>
    <x v="265"/>
    <d v="2019-12-20T00:00:00"/>
    <m/>
  </r>
  <r>
    <d v="2019-12-30T00:00:00"/>
    <n v="20157.599999999999"/>
    <n v="33461.616000000002"/>
    <n v="0"/>
    <n v="33461.616000000002"/>
    <n v="1.6600000000000001"/>
    <s v="ARCADIA -SHELL"/>
    <x v="266"/>
    <d v="2019-12-16T00:00:00"/>
    <m/>
  </r>
  <r>
    <d v="2019-12-30T00:00:00"/>
    <n v="17960"/>
    <n v="35565.281580000003"/>
    <n v="3958.06"/>
    <n v="31607.221580000001"/>
    <n v="1.7598675712694878"/>
    <s v="OMRANE"/>
    <x v="267"/>
    <d v="2019-12-18T00:00:00"/>
    <m/>
  </r>
  <r>
    <d v="2020-01-06T00:00:00"/>
    <n v="15150"/>
    <n v="25447.5"/>
    <n v="0"/>
    <n v="25447.5"/>
    <n v="1.6797029702970296"/>
    <s v="ARCADIA-QATAR"/>
    <x v="268"/>
    <d v="2020-01-02T00:00:00"/>
    <m/>
  </r>
  <r>
    <d v="2020-01-07T00:00:00"/>
    <n v="21600"/>
    <n v="41207.846400000002"/>
    <n v="10688.11"/>
    <n v="30519.736400000002"/>
    <n v="1.4129507592592594"/>
    <s v="SODIFRAM"/>
    <x v="269"/>
    <d v="2020-01-02T00:00:00"/>
    <m/>
  </r>
  <r>
    <d v="2020-01-07T00:00:00"/>
    <n v="21600"/>
    <n v="41207.846400000002"/>
    <n v="10688.11"/>
    <n v="30519.736400000002"/>
    <n v="1.4129507592592594"/>
    <s v="SODIFRAM"/>
    <x v="270"/>
    <d v="2020-01-02T00:00:00"/>
    <m/>
  </r>
  <r>
    <d v="2020-01-08T00:00:00"/>
    <n v="108000"/>
    <n v="145663.704"/>
    <n v="19901.400000000001"/>
    <n v="125762.304"/>
    <n v="1.1644657777777778"/>
    <s v="KASSO"/>
    <x v="271"/>
    <d v="2020-01-02T00:00:00"/>
    <m/>
  </r>
  <r>
    <d v="2020-01-09T00:00:00"/>
    <n v="108000"/>
    <n v="145561.53599999999"/>
    <n v="19306.400000000001"/>
    <n v="126255.136"/>
    <n v="1.1690290370370371"/>
    <s v="KASSO"/>
    <x v="272"/>
    <d v="2020-01-02T00:00:00"/>
    <m/>
  </r>
  <r>
    <d v="2020-01-10T00:00:00"/>
    <n v="108000"/>
    <n v="145568.50200000001"/>
    <n v="19603.900000000001"/>
    <n v="125964.60200000001"/>
    <n v="1.1663389074074075"/>
    <s v="KASSO"/>
    <x v="273"/>
    <d v="2020-01-02T00:00:00"/>
    <m/>
  </r>
  <r>
    <d v="2020-01-10T00:00:00"/>
    <n v="3600"/>
    <n v="6307.7807499999999"/>
    <n v="1032.3399999999999"/>
    <n v="5275.4407499999998"/>
    <n v="1.4654002083333333"/>
    <s v="ABOURA FOOD"/>
    <x v="274"/>
    <d v="2020-01-02T00:00:00"/>
    <m/>
  </r>
  <r>
    <d v="2020-01-11T00:00:00"/>
    <n v="108000"/>
    <n v="145568.50200000001"/>
    <n v="19901.400000000001"/>
    <n v="125667.10200000001"/>
    <n v="1.1635842777777778"/>
    <s v="KASSO"/>
    <x v="275"/>
    <d v="2020-01-02T00:00:00"/>
    <m/>
  </r>
  <r>
    <d v="2020-01-11T00:00:00"/>
    <n v="20000"/>
    <n v="38912.550000000003"/>
    <n v="4550.0550000000003"/>
    <n v="34362.495000000003"/>
    <n v="1.7181247500000001"/>
    <s v="ANGSTREM N°26"/>
    <x v="276"/>
    <d v="2020-01-02T00:00:00"/>
    <m/>
  </r>
  <r>
    <d v="2020-01-13T00:00:00"/>
    <n v="19200"/>
    <n v="30144"/>
    <n v="0"/>
    <n v="30144"/>
    <n v="1.57"/>
    <s v="SAHEL"/>
    <x v="277"/>
    <d v="2020-01-02T00:00:00"/>
    <m/>
  </r>
  <r>
    <d v="2020-01-13T00:00:00"/>
    <n v="21600"/>
    <n v="33480"/>
    <n v="0"/>
    <n v="33480"/>
    <n v="1.55"/>
    <s v="SAHEL"/>
    <x v="278"/>
    <d v="2020-01-02T00:00:00"/>
    <m/>
  </r>
  <r>
    <d v="2020-01-13T00:00:00"/>
    <n v="35250"/>
    <n v="117599.86687500001"/>
    <n v="0"/>
    <n v="117599.86687500001"/>
    <n v="3.3361664361702128"/>
    <s v="AL MAGEMOUA"/>
    <x v="279"/>
    <d v="2020-01-09T00:00:00"/>
    <m/>
  </r>
  <r>
    <d v="2020-01-15T00:00:00"/>
    <n v="20345"/>
    <n v="69961.105020000003"/>
    <n v="1688.694"/>
    <n v="68272.41102"/>
    <n v="3.3557341371344309"/>
    <s v="DAVIS TRADING"/>
    <x v="280"/>
    <d v="2020-01-02T00:00:00"/>
    <m/>
  </r>
  <r>
    <d v="2020-01-16T00:00:00"/>
    <n v="33600"/>
    <n v="57120"/>
    <n v="0"/>
    <n v="57120"/>
    <n v="1.7"/>
    <s v="ARCADIA-ASAHI"/>
    <x v="281"/>
    <d v="2020-01-10T00:00:00"/>
    <m/>
  </r>
  <r>
    <d v="2020-01-17T00:00:00"/>
    <n v="28000"/>
    <n v="36400"/>
    <n v="0"/>
    <n v="36400"/>
    <n v="1.3"/>
    <s v="BIOFIELD"/>
    <x v="282"/>
    <d v="2020-01-06T00:00:00"/>
    <m/>
  </r>
  <r>
    <d v="2020-01-17T00:00:00"/>
    <n v="2752"/>
    <n v="5596.2"/>
    <n v="0"/>
    <n v="5596.2"/>
    <n v="2.0335029069767443"/>
    <s v="GOLDEN PEARL"/>
    <x v="283"/>
    <d v="2020-01-15T00:00:00"/>
    <m/>
  </r>
  <r>
    <d v="2020-01-21T00:00:00"/>
    <n v="280000"/>
    <n v="347200"/>
    <n v="0"/>
    <n v="347200"/>
    <n v="1.24"/>
    <s v="OMEGA"/>
    <x v="284"/>
    <d v="2020-01-09T00:00:00"/>
    <m/>
  </r>
  <r>
    <d v="2020-01-21T00:00:00"/>
    <n v="19500"/>
    <n v="31590"/>
    <n v="0"/>
    <n v="31590"/>
    <n v="1.62"/>
    <s v="MIDCOM"/>
    <x v="285"/>
    <d v="2020-01-02T00:00:00"/>
    <m/>
  </r>
  <r>
    <d v="2020-01-22T00:00:00"/>
    <n v="27780"/>
    <n v="43192.480060000002"/>
    <n v="1414.48"/>
    <n v="41778.000059999998"/>
    <n v="1.5038876911447083"/>
    <s v="AL GAMIL"/>
    <x v="286"/>
    <d v="2020-01-16T00:00:00"/>
    <m/>
  </r>
  <r>
    <d v="2020-01-24T00:00:00"/>
    <n v="20000"/>
    <n v="31600"/>
    <n v="0"/>
    <n v="31600"/>
    <n v="1.58"/>
    <s v="ARCADIA -FQF"/>
    <x v="287"/>
    <d v="2020-01-20T00:00:00"/>
    <m/>
  </r>
  <r>
    <d v="2020-01-28T00:00:00"/>
    <n v="244704"/>
    <n v="353237.44276799995"/>
    <n v="0"/>
    <n v="353237.44276799995"/>
    <n v="1.4435294999999997"/>
    <s v="AL HAD AKSSA"/>
    <x v="288"/>
    <d v="2020-01-23T00:00:00"/>
    <m/>
  </r>
  <r>
    <d v="2020-01-28T00:00:00"/>
    <n v="20000"/>
    <n v="37594.445"/>
    <n v="4407.3599999999997"/>
    <n v="33187.084999999999"/>
    <n v="1.65935425"/>
    <s v="ANGSTREM N°27"/>
    <x v="289"/>
    <d v="2020-01-22T00:00:00"/>
    <m/>
  </r>
  <r>
    <d v="2020-01-28T00:00:00"/>
    <n v="280000"/>
    <n v="347200"/>
    <n v="0"/>
    <n v="347200"/>
    <n v="1.24"/>
    <s v="OMEGA"/>
    <x v="290"/>
    <d v="2020-01-09T00:00:00"/>
    <m/>
  </r>
  <r>
    <d v="2020-01-29T00:00:00"/>
    <n v="22008"/>
    <n v="33452.160000000003"/>
    <n v="0"/>
    <n v="33452.160000000003"/>
    <n v="1.5200000000000002"/>
    <s v="SAHEL"/>
    <x v="291"/>
    <d v="2020-01-22T00:00:00"/>
    <m/>
  </r>
  <r>
    <d v="2020-01-29T00:00:00"/>
    <n v="44016"/>
    <n v="66904.320000000007"/>
    <n v="0"/>
    <n v="66904.320000000007"/>
    <n v="1.5200000000000002"/>
    <s v="SAHEL"/>
    <x v="292"/>
    <d v="2020-01-22T00:00:00"/>
    <m/>
  </r>
  <r>
    <d v="2020-01-29T00:00:00"/>
    <n v="11500"/>
    <n v="30050.172500000001"/>
    <n v="1693.335"/>
    <n v="28356.837500000001"/>
    <n v="2.4658119565217391"/>
    <s v="DAVIS FOOD"/>
    <x v="293"/>
    <d v="2020-01-22T00:00:00"/>
    <m/>
  </r>
  <r>
    <d v="2020-01-30T00:00:00"/>
    <n v="76800"/>
    <n v="115584"/>
    <n v="0"/>
    <n v="115584"/>
    <n v="1.5049999999999999"/>
    <s v="AL BADR"/>
    <x v="294"/>
    <d v="2020-01-22T00:00:00"/>
    <m/>
  </r>
  <r>
    <d v="2020-01-30T00:00:00"/>
    <n v="154080"/>
    <n v="224734.50107999999"/>
    <n v="0"/>
    <n v="224734.50107999999"/>
    <n v="1.4585572499999999"/>
    <s v="AL MAGEMOUA"/>
    <x v="295"/>
    <d v="2020-01-23T00:00:00"/>
    <m/>
  </r>
  <r>
    <d v="2020-01-31T00:00:00"/>
    <n v="47200"/>
    <n v="67266"/>
    <n v="0"/>
    <n v="67266"/>
    <n v="1.4251271186440677"/>
    <s v="TAB"/>
    <x v="296"/>
    <d v="2020-01-23T00:00:00"/>
    <m/>
  </r>
  <r>
    <d v="2020-01-31T00:00:00"/>
    <n v="52000"/>
    <n v="82741.26225"/>
    <n v="15075.425999999999"/>
    <n v="67665.836249999993"/>
    <n v="1.3012660817307691"/>
    <s v="SAWABA"/>
    <x v="297"/>
    <d v="2020-01-22T00:00:00"/>
    <m/>
  </r>
  <r>
    <d v="2020-01-31T00:00:00"/>
    <n v="108000"/>
    <n v="144725.61600000001"/>
    <n v="19306.400000000001"/>
    <n v="125419.21600000001"/>
    <n v="1.1612890370370372"/>
    <s v="KASSO"/>
    <x v="298"/>
    <d v="2020-01-22T00:00:00"/>
    <m/>
  </r>
  <r>
    <d v="2020-02-05T00:00:00"/>
    <n v="82800"/>
    <n v="118440"/>
    <n v="0"/>
    <n v="118440"/>
    <n v="1.4304347826086956"/>
    <s v="SAHEL"/>
    <x v="299"/>
    <d v="2020-01-23T00:00:00"/>
    <m/>
  </r>
  <r>
    <d v="2020-02-06T00:00:00"/>
    <n v="165594"/>
    <n v="278584.1179445"/>
    <n v="61743.199999999997"/>
    <n v="216840.91794449999"/>
    <n v="1.3094732776821623"/>
    <s v="SAWABA"/>
    <x v="300"/>
    <d v="2020-01-22T00:00:00"/>
    <m/>
  </r>
  <r>
    <d v="2020-02-07T00:00:00"/>
    <n v="108000"/>
    <n v="144883.51200000002"/>
    <n v="19102.019"/>
    <n v="125781.49300000002"/>
    <n v="1.1646434537037038"/>
    <s v="KASSO"/>
    <x v="301"/>
    <d v="2020-01-22T00:00:00"/>
    <m/>
  </r>
  <r>
    <d v="2020-02-08T00:00:00"/>
    <n v="26568"/>
    <n v="49792.263695999995"/>
    <n v="11809.34"/>
    <n v="37982.923695999998"/>
    <n v="1.4296493411623004"/>
    <s v="SODIFRAM"/>
    <x v="302"/>
    <d v="2020-01-22T00:00:00"/>
    <m/>
  </r>
  <r>
    <d v="2020-02-08T00:00:00"/>
    <n v="108000"/>
    <n v="144883.51200000002"/>
    <n v="19102.019"/>
    <n v="125781.49300000002"/>
    <n v="1.1646434537037038"/>
    <s v="KASSO"/>
    <x v="303"/>
    <d v="2020-01-22T00:00:00"/>
    <m/>
  </r>
  <r>
    <d v="2020-02-10T00:00:00"/>
    <n v="20500"/>
    <n v="32595"/>
    <n v="0"/>
    <n v="32595"/>
    <n v="1.59"/>
    <s v="ARCADIA-MELVIT"/>
    <x v="304"/>
    <d v="2020-01-22T00:00:00"/>
    <m/>
  </r>
  <r>
    <d v="2020-02-12T00:00:00"/>
    <n v="21600"/>
    <n v="33480"/>
    <n v="0"/>
    <n v="33480"/>
    <n v="1.55"/>
    <s v="SAHEL"/>
    <x v="305"/>
    <d v="2020-02-07T00:00:00"/>
    <m/>
  </r>
  <r>
    <d v="2020-02-12T00:00:00"/>
    <n v="20000"/>
    <n v="30800"/>
    <n v="0"/>
    <n v="30800"/>
    <n v="1.54"/>
    <s v="SCIT"/>
    <x v="306"/>
    <d v="2020-02-05T00:00:00"/>
    <m/>
  </r>
  <r>
    <d v="2020-02-14T00:00:00"/>
    <n v="132048"/>
    <n v="176944.32"/>
    <n v="0"/>
    <n v="176944.32"/>
    <n v="1.34"/>
    <s v="TAB"/>
    <x v="307"/>
    <d v="2020-02-05T00:00:00"/>
    <m/>
  </r>
  <r>
    <d v="2020-02-17T00:00:00"/>
    <n v="106024"/>
    <n v="161641.48000000001"/>
    <n v="0"/>
    <n v="161641.48000000001"/>
    <n v="1.5245744359767601"/>
    <s v="TAB"/>
    <x v="308"/>
    <d v="2020-02-05T00:00:00"/>
    <m/>
  </r>
  <r>
    <d v="2020-02-17T00:00:00"/>
    <n v="53200"/>
    <n v="97273.623099999997"/>
    <n v="11038.6"/>
    <n v="86235.023099999991"/>
    <n v="1.6209590808270675"/>
    <s v="ABOURA FOOD"/>
    <x v="309"/>
    <d v="2020-02-05T00:00:00"/>
    <m/>
  </r>
  <r>
    <d v="2020-02-18T00:00:00"/>
    <n v="268800"/>
    <n v="398507.4216"/>
    <n v="0"/>
    <n v="398507.4216"/>
    <n v="1.4825424910714287"/>
    <s v="AL MAGEMOUA"/>
    <x v="310"/>
    <d v="2020-02-14T00:00:00"/>
    <m/>
  </r>
  <r>
    <d v="2020-02-18T00:00:00"/>
    <n v="20000"/>
    <n v="38121.79"/>
    <n v="4410.37"/>
    <n v="33711.42"/>
    <n v="1.6855709999999999"/>
    <s v="ANGSTREM APDX N°28"/>
    <x v="311"/>
    <d v="2020-02-05T00:00:00"/>
    <m/>
  </r>
  <r>
    <d v="2020-02-18T00:00:00"/>
    <n v="20000"/>
    <n v="31600"/>
    <n v="0"/>
    <n v="31600"/>
    <n v="1.58"/>
    <s v="ARCADIA-FQF"/>
    <x v="312"/>
    <d v="2020-02-13T00:00:00"/>
    <m/>
  </r>
  <r>
    <d v="2020-02-18T00:00:00"/>
    <n v="39000"/>
    <n v="63180"/>
    <n v="0"/>
    <n v="63180"/>
    <n v="1.62"/>
    <s v="MIDCOM"/>
    <x v="313"/>
    <d v="2020-02-05T00:00:00"/>
    <m/>
  </r>
  <r>
    <d v="2020-02-20T00:00:00"/>
    <n v="308000"/>
    <n v="385000"/>
    <n v="0"/>
    <n v="385000"/>
    <n v="1.25"/>
    <s v="SAHEL-PC"/>
    <x v="314"/>
    <d v="2020-02-13T00:00:00"/>
    <m/>
  </r>
  <r>
    <d v="2020-02-25T00:00:00"/>
    <n v="20000"/>
    <n v="39860.61"/>
    <n v="4895.0600000000004"/>
    <n v="34965.550000000003"/>
    <n v="1.7482775000000002"/>
    <s v="ANGSTREM APDX 30 - ST PERT"/>
    <x v="315"/>
    <d v="2020-02-21T00:00:00"/>
    <m/>
  </r>
  <r>
    <d v="2020-02-26T00:00:00"/>
    <n v="280000"/>
    <n v="347200"/>
    <n v="0"/>
    <n v="347200"/>
    <n v="1.24"/>
    <s v="SAHEL"/>
    <x v="316"/>
    <d v="2020-02-13T00:00:00"/>
    <m/>
  </r>
  <r>
    <d v="2020-02-26T00:00:00"/>
    <n v="19540"/>
    <n v="67517.333199999994"/>
    <n v="1456.11"/>
    <n v="66061.223199999993"/>
    <n v="3.3808200204708285"/>
    <s v="DAVIS TRADING"/>
    <x v="317"/>
    <d v="2020-02-05T00:00:00"/>
    <m/>
  </r>
  <r>
    <d v="2020-02-28T00:00:00"/>
    <n v="278000"/>
    <n v="442049.18999999994"/>
    <n v="101803.71799999999"/>
    <n v="340245.47199999995"/>
    <n v="1.2239045755395681"/>
    <s v="TOYOTA"/>
    <x v="318"/>
    <d v="2020-01-22T00:00:00"/>
    <m/>
  </r>
  <r>
    <d v="2020-02-28T00:00:00"/>
    <n v="27336"/>
    <n v="51420.808115999993"/>
    <n v="10269.209999999999"/>
    <n v="41151.598115999994"/>
    <n v="1.5053994043020191"/>
    <s v="SODIFRAM"/>
    <x v="319"/>
    <d v="2020-02-14T00:00:00"/>
    <m/>
  </r>
  <r>
    <d v="2020-02-28T00:00:00"/>
    <n v="20000"/>
    <n v="38326.61"/>
    <n v="4230.9660000000003"/>
    <n v="34095.644"/>
    <n v="1.7047821999999999"/>
    <s v="ANGSTREM APDX 29- NOV"/>
    <x v="320"/>
    <d v="2020-02-21T00:00:00"/>
    <m/>
  </r>
  <r>
    <d v="2020-02-29T00:00:00"/>
    <n v="50400"/>
    <n v="89568"/>
    <n v="0"/>
    <n v="89568"/>
    <n v="1.7771428571428571"/>
    <s v="GOLDEN PEARL"/>
    <x v="321"/>
    <d v="2020-02-05T00:00:00"/>
    <m/>
  </r>
  <r>
    <d v="2020-03-04T00:00:00"/>
    <n v="308000"/>
    <n v="385000"/>
    <n v="0"/>
    <n v="385000"/>
    <n v="1.25"/>
    <s v="SAHEL"/>
    <x v="322"/>
    <d v="2020-02-26T00:00:00"/>
    <m/>
  </r>
  <r>
    <d v="2020-03-03T00:00:00"/>
    <n v="6396"/>
    <n v="11018.4"/>
    <n v="0"/>
    <n v="11018.4"/>
    <n v="1.722701688555347"/>
    <s v="ARCADIA-OMAN"/>
    <x v="323"/>
    <d v="2020-01-10T00:00:00"/>
    <m/>
  </r>
  <r>
    <d v="2020-03-05T00:00:00"/>
    <n v="114552"/>
    <n v="172332.24"/>
    <n v="0"/>
    <n v="172332.24"/>
    <n v="1.5044018437041693"/>
    <s v="TAB"/>
    <x v="324"/>
    <d v="2020-02-26T00:00:00"/>
    <m/>
  </r>
  <r>
    <d v="2020-03-06T00:00:00"/>
    <n v="20000"/>
    <n v="39247.199999999997"/>
    <n v="4915"/>
    <n v="34332.199999999997"/>
    <n v="1.7166099999999997"/>
    <s v="ANGSTREM-APDX N°31"/>
    <x v="325"/>
    <d v="2020-02-28T00:00:00"/>
    <m/>
  </r>
  <r>
    <d v="2020-03-06T00:00:00"/>
    <n v="70600"/>
    <n v="120574.22399999999"/>
    <n v="25337.88"/>
    <n v="95236.343999999983"/>
    <n v="1.3489567138810197"/>
    <s v="MAMADOU TEDOUNGAL"/>
    <x v="326"/>
    <d v="2020-02-28T00:00:00"/>
    <m/>
  </r>
  <r>
    <d v="2020-03-06T00:00:00"/>
    <n v="20430"/>
    <n v="33709.5"/>
    <n v="0"/>
    <n v="33709.5"/>
    <n v="1.65"/>
    <s v="ARCADIA-IGF"/>
    <x v="327"/>
    <d v="2020-02-27T00:00:00"/>
    <m/>
  </r>
  <r>
    <d v="2020-03-07T00:00:00"/>
    <n v="20430"/>
    <n v="33709.5"/>
    <n v="0"/>
    <n v="33709.5"/>
    <n v="1.65"/>
    <s v="ARCADIA-IGF"/>
    <x v="328"/>
    <d v="2020-02-27T00:00:00"/>
    <m/>
  </r>
  <r>
    <d v="2020-03-11T00:00:00"/>
    <n v="19200"/>
    <n v="30144"/>
    <n v="0"/>
    <n v="30144"/>
    <n v="1.57"/>
    <s v="SAHEL"/>
    <x v="329"/>
    <d v="2020-02-20T00:00:00"/>
    <m/>
  </r>
  <r>
    <d v="2020-03-11T00:00:00"/>
    <n v="18000"/>
    <n v="29160"/>
    <n v="0"/>
    <n v="29160"/>
    <n v="1.62"/>
    <s v="SAHEL"/>
    <x v="330"/>
    <d v="2020-02-28T00:00:00"/>
    <m/>
  </r>
  <r>
    <d v="2020-03-12T00:00:00"/>
    <n v="32500"/>
    <n v="50050"/>
    <n v="0"/>
    <n v="50050"/>
    <n v="1.54"/>
    <s v="SCIT"/>
    <x v="331"/>
    <d v="2020-02-26T00:00:00"/>
    <m/>
  </r>
  <r>
    <d v="2020-02-13T00:00:00"/>
    <n v="40000"/>
    <n v="75220.810000000012"/>
    <n v="8645.5319999999992"/>
    <n v="66575.27800000002"/>
    <n v="1.6643819500000006"/>
    <s v="ANGSTREM APDX 35- NOV"/>
    <x v="332"/>
    <d v="2020-02-28T00:00:00"/>
    <m/>
  </r>
  <r>
    <d v="2020-03-16T00:00:00"/>
    <n v="50400"/>
    <n v="74592"/>
    <n v="0"/>
    <n v="74592"/>
    <n v="1.48"/>
    <s v="TAB"/>
    <x v="333"/>
    <d v="2020-02-26T00:00:00"/>
    <m/>
  </r>
  <r>
    <d v="2020-03-17T00:00:00"/>
    <n v="57600"/>
    <n v="90432"/>
    <n v="0"/>
    <n v="90432"/>
    <n v="1.57"/>
    <s v="TAB"/>
    <x v="334"/>
    <d v="2020-03-11T00:00:00"/>
    <m/>
  </r>
  <r>
    <d v="2020-03-18T00:00:00"/>
    <n v="88008"/>
    <n v="150532.30228800001"/>
    <n v="28678.14"/>
    <n v="121854.16228800001"/>
    <n v="1.3845805186801201"/>
    <s v="MAMADOU TEDOUNGAL"/>
    <x v="335"/>
    <d v="2020-03-11T00:00:00"/>
    <m/>
  </r>
  <r>
    <d v="2020-03-18T00:00:00"/>
    <n v="20500"/>
    <n v="30340"/>
    <n v="0"/>
    <n v="30340"/>
    <n v="1.48"/>
    <s v="SAHEL"/>
    <x v="336"/>
    <d v="2020-03-12T00:00:00"/>
    <m/>
  </r>
  <r>
    <d v="2020-03-19T00:00:00"/>
    <n v="20000"/>
    <n v="39487.32"/>
    <n v="4787.34"/>
    <n v="34699.979999999996"/>
    <n v="1.7349989999999997"/>
    <s v="ANGSTREM APDX 32- ST PETR"/>
    <x v="337"/>
    <d v="2020-03-11T00:00:00"/>
    <m/>
  </r>
  <r>
    <d v="2020-03-27T00:00:00"/>
    <n v="40000"/>
    <n v="77376.740000000005"/>
    <n v="8607.1119999999992"/>
    <n v="68769.628000000012"/>
    <n v="1.7192407000000003"/>
    <s v="ANGSTREM APDX 36- NOV"/>
    <x v="338"/>
    <d v="2020-03-11T00:00:00"/>
    <m/>
  </r>
  <r>
    <d v="2020-03-30T00:00:00"/>
    <n v="20460"/>
    <n v="34493.468985"/>
    <n v="1208.58"/>
    <n v="33284.888984999998"/>
    <n v="1.6268274186217007"/>
    <s v="OMRANE"/>
    <x v="339"/>
    <d v="2020-03-19T00:00:00"/>
    <m/>
  </r>
  <r>
    <d v="2020-03-30T00:00:00"/>
    <n v="20424"/>
    <n v="34219.247184"/>
    <n v="1208.58"/>
    <n v="33010.667183999998"/>
    <n v="1.6162684676850763"/>
    <s v="OMRANE"/>
    <x v="340"/>
    <d v="2020-03-19T00:00:00"/>
    <m/>
  </r>
  <r>
    <d v="2020-03-31T00:00:00"/>
    <n v="23856"/>
    <n v="42954.8"/>
    <n v="0"/>
    <n v="42954.8"/>
    <n v="1.800586854460094"/>
    <s v="ARCADIA-CANADA"/>
    <x v="341"/>
    <d v="2020-02-26T00:00:00"/>
    <m/>
  </r>
  <r>
    <d v="2020-04-02T00:00:00"/>
    <n v="20148"/>
    <n v="35471.450279999997"/>
    <n v="589.1"/>
    <n v="34882.350279999999"/>
    <n v="1.7313058507047845"/>
    <s v="ANOOR"/>
    <x v="342"/>
    <d v="2020-03-27T00:00:00"/>
    <m/>
  </r>
  <r>
    <d v="2020-04-06T00:00:00"/>
    <n v="280000"/>
    <n v="347200"/>
    <n v="0"/>
    <n v="347200"/>
    <n v="1.24"/>
    <s v="SAHEL"/>
    <x v="343"/>
    <d v="2020-02-28T00:00:00"/>
    <m/>
  </r>
  <r>
    <d v="2020-04-07T00:00:00"/>
    <n v="50400"/>
    <n v="85680"/>
    <n v="0"/>
    <n v="85680"/>
    <n v="1.7"/>
    <s v="ARCADIA-ASAHI"/>
    <x v="344"/>
    <d v="2020-02-13T00:00:00"/>
    <m/>
  </r>
  <r>
    <d v="2020-04-07T00:00:00"/>
    <n v="10500"/>
    <n v="29461.248"/>
    <n v="1925.03"/>
    <n v="27536.218000000001"/>
    <n v="2.6224969523809523"/>
    <s v="DAVIS FOOD"/>
    <x v="345"/>
    <d v="2020-04-02T00:00:00"/>
    <m/>
  </r>
  <r>
    <d v="2020-04-11T00:00:00"/>
    <n v="16848"/>
    <n v="59869.691904000007"/>
    <n v="1215.248"/>
    <n v="58654.443904000007"/>
    <n v="3.4813891206077878"/>
    <s v="DAVIS TRADING"/>
    <x v="346"/>
    <d v="2020-04-02T00:00:00"/>
    <m/>
  </r>
  <r>
    <d v="2020-04-17T00:00:00"/>
    <n v="27336"/>
    <n v="51561.924623999999"/>
    <n v="10332.09"/>
    <n v="41229.834623999996"/>
    <n v="1.5082614363476732"/>
    <s v="SODIFRAM"/>
    <x v="347"/>
    <d v="2020-03-11T00:00:00"/>
    <m/>
  </r>
  <r>
    <d v="2020-04-17T00:00:00"/>
    <n v="27300"/>
    <n v="51506.242200000001"/>
    <n v="10332.09"/>
    <n v="41174.152199999997"/>
    <n v="1.5082107032967031"/>
    <s v="SODIFRAM"/>
    <x v="348"/>
    <d v="2020-04-02T00:00:00"/>
    <m/>
  </r>
  <r>
    <d v="2020-04-22T00:00:00"/>
    <n v="19724"/>
    <n v="34606.15438"/>
    <n v="589.1"/>
    <n v="34017.054380000001"/>
    <n v="1.72465292942608"/>
    <s v="ANOOR"/>
    <x v="349"/>
    <d v="2020-04-11T00:00:00"/>
    <m/>
  </r>
  <r>
    <d v="2020-04-22T00:00:00"/>
    <n v="20000"/>
    <n v="40163.520000000004"/>
    <n v="4989.5"/>
    <n v="35174.020000000004"/>
    <n v="1.7587010000000003"/>
    <s v="ANGSTREM-APDX N°33"/>
    <x v="350"/>
    <d v="2020-04-11T00:00:00"/>
    <m/>
  </r>
  <r>
    <d v="2020-04-24T00:00:00"/>
    <n v="109880"/>
    <n v="220510"/>
    <n v="0"/>
    <n v="220510"/>
    <n v="2.0068256279577721"/>
    <s v="GOLDEN PEARL"/>
    <x v="351"/>
    <d v="2020-04-17T00:00:00"/>
    <m/>
  </r>
  <r>
    <d v="2020-02-25T00:00:00"/>
    <n v="38400"/>
    <n v="60288"/>
    <n v="0"/>
    <n v="60288"/>
    <n v="1.57"/>
    <s v="TAB"/>
    <x v="352"/>
    <d v="2020-04-17T00:00:00"/>
    <m/>
  </r>
  <r>
    <d v="2020-04-27T00:00:00"/>
    <n v="21600"/>
    <n v="40278.772799999999"/>
    <n v="5802.0619999999999"/>
    <n v="34476.710800000001"/>
    <n v="1.5961440185185185"/>
    <s v="ABOURA FOOD"/>
    <x v="353"/>
    <d v="2020-04-17T00:00:00"/>
    <m/>
  </r>
  <r>
    <d v="2020-04-27T00:00:00"/>
    <n v="11520"/>
    <n v="20853.524160000001"/>
    <n v="2301.482"/>
    <n v="18552.042160000001"/>
    <n v="1.610420326388889"/>
    <s v="ABOURA FOOD"/>
    <x v="354"/>
    <d v="2020-04-20T00:00:00"/>
    <m/>
  </r>
  <r>
    <d v="2020-04-27T00:00:00"/>
    <n v="18600"/>
    <n v="29472"/>
    <n v="0"/>
    <n v="29472"/>
    <n v="1.584516129032258"/>
    <s v="OMEGA"/>
    <x v="355"/>
    <d v="2020-03-11T00:00:00"/>
    <m/>
  </r>
  <r>
    <d v="2020-04-27T00:00:00"/>
    <n v="44016"/>
    <n v="66904.320000000007"/>
    <n v="0"/>
    <n v="66904.320000000007"/>
    <n v="1.5200000000000002"/>
    <s v="SAHEL"/>
    <x v="356"/>
    <d v="2020-04-23T00:00:00"/>
    <m/>
  </r>
  <r>
    <d v="2020-04-29T00:00:00"/>
    <n v="20500"/>
    <n v="30340"/>
    <n v="0"/>
    <n v="30340"/>
    <n v="1.48"/>
    <s v="SAHEL"/>
    <x v="357"/>
    <d v="2020-04-23T00:00:00"/>
    <m/>
  </r>
  <r>
    <d v="2020-04-30T00:00:00"/>
    <n v="165594"/>
    <n v="287086.84493800002"/>
    <n v="63575.05"/>
    <n v="223511.79493800004"/>
    <n v="1.3497578108989459"/>
    <s v="SAWABA"/>
    <x v="358"/>
    <d v="2020-04-17T00:00:00"/>
    <m/>
  </r>
  <r>
    <d v="2020-04-30T00:00:00"/>
    <n v="40000"/>
    <n v="77283.64"/>
    <n v="8316.9979999999996"/>
    <n v="68966.641999999993"/>
    <n v="1.7241660499999998"/>
    <s v="ANGSTREM-APDX N°37"/>
    <x v="359"/>
    <d v="2020-04-15T00:00:00"/>
    <m/>
  </r>
  <r>
    <d v="2020-05-02T00:00:00"/>
    <n v="52000"/>
    <n v="84881.261000000013"/>
    <n v="14791.286"/>
    <n v="70089.975000000006"/>
    <n v="1.3478841346153847"/>
    <s v="SAWABA"/>
    <x v="360"/>
    <d v="2020-04-17T00:00:00"/>
    <m/>
  </r>
  <r>
    <d v="2020-05-02T00:00:00"/>
    <n v="112000"/>
    <n v="153440"/>
    <n v="0"/>
    <n v="153440"/>
    <n v="1.37"/>
    <s v="TAB"/>
    <x v="361"/>
    <d v="2020-03-19T00:00:00"/>
    <m/>
  </r>
  <r>
    <d v="2020-05-04T00:00:00"/>
    <n v="108000"/>
    <n v="146392.81200000001"/>
    <n v="19200.067999999999"/>
    <n v="127192.74400000001"/>
    <n v="1.1777105925925926"/>
    <s v="KASSO"/>
    <x v="362"/>
    <d v="2020-04-18T00:00:00"/>
    <m/>
  </r>
  <r>
    <d v="2020-05-05T00:00:00"/>
    <n v="108000"/>
    <n v="142988.32800000001"/>
    <n v="20800.067999999999"/>
    <n v="122188.26000000001"/>
    <n v="1.1313727777777778"/>
    <s v="KASSO"/>
    <x v="363"/>
    <d v="2020-04-18T00:00:00"/>
    <m/>
  </r>
  <r>
    <d v="2020-05-06T00:00:00"/>
    <n v="135000"/>
    <n v="178735.41"/>
    <n v="25953.51"/>
    <n v="152781.9"/>
    <n v="1.1317177777777778"/>
    <s v="KASSO"/>
    <x v="364"/>
    <d v="2020-04-18T00:00:00"/>
    <m/>
  </r>
  <r>
    <d v="2020-05-09T00:00:00"/>
    <n v="267360"/>
    <n v="447818.25"/>
    <n v="46481.4"/>
    <n v="401336.85"/>
    <n v="1.5011103007181328"/>
    <s v="AL MAGEMOUA"/>
    <x v="365"/>
    <d v="2020-03-11T00:00:00"/>
    <m/>
  </r>
  <r>
    <d v="2020-05-11T00:00:00"/>
    <n v="84000"/>
    <n v="105588"/>
    <n v="0"/>
    <n v="105588"/>
    <n v="1.2569999999999999"/>
    <s v="SCIT"/>
    <x v="366"/>
    <d v="2020-03-11T00:00:00"/>
    <m/>
  </r>
  <r>
    <d v="2020-05-11T00:00:00"/>
    <n v="17004"/>
    <n v="25846.080000000002"/>
    <n v="0"/>
    <n v="25846.080000000002"/>
    <n v="1.52"/>
    <s v="ARCADIA - CENTRAL FOOD"/>
    <x v="367"/>
    <d v="2020-04-20T00:00:00"/>
    <m/>
  </r>
  <r>
    <d v="2020-05-11T00:00:00"/>
    <n v="18000"/>
    <n v="29160"/>
    <n v="0"/>
    <n v="29160"/>
    <n v="1.62"/>
    <s v="SAHEL"/>
    <x v="368"/>
    <d v="2020-05-04T00:00:00"/>
    <m/>
  </r>
  <r>
    <d v="2020-05-12T00:00:00"/>
    <n v="25440"/>
    <n v="42919.199999999997"/>
    <n v="0"/>
    <n v="42919.199999999997"/>
    <n v="1.6870754716981131"/>
    <s v="ARCADIA -CANADA"/>
    <x v="369"/>
    <d v="2020-05-06T00:00:00"/>
    <m/>
  </r>
  <r>
    <d v="2020-05-13T00:00:00"/>
    <n v="88032"/>
    <n v="133808.64000000001"/>
    <n v="0"/>
    <n v="133808.64000000001"/>
    <n v="1.5200000000000002"/>
    <s v=" SAHEL"/>
    <x v="370"/>
    <d v="2020-05-06T00:00:00"/>
    <m/>
  </r>
  <r>
    <d v="2020-05-13T00:00:00"/>
    <n v="22008"/>
    <n v="33452.160000000003"/>
    <n v="0"/>
    <n v="33452.160000000003"/>
    <n v="1.5200000000000002"/>
    <s v=" SAHEL"/>
    <x v="371"/>
    <d v="2020-05-06T00:00:00"/>
    <m/>
  </r>
  <r>
    <d v="2020-05-14T00:00:00"/>
    <n v="25440"/>
    <n v="42490.6"/>
    <n v="0"/>
    <n v="42490.6"/>
    <n v="1.6702279874213837"/>
    <s v="ARCADIA -CANADA"/>
    <x v="372"/>
    <d v="2020-05-06T00:00:00"/>
    <m/>
  </r>
  <r>
    <d v="2020-05-14T00:00:00"/>
    <n v="25440"/>
    <n v="42417.599999999999"/>
    <n v="0"/>
    <n v="42417.599999999999"/>
    <n v="1.6673584905660377"/>
    <s v="ARCADIA -CANADA"/>
    <x v="373"/>
    <d v="2020-05-06T00:00:00"/>
    <m/>
  </r>
  <r>
    <d v="2020-05-14T00:00:00"/>
    <n v="40000"/>
    <n v="63200"/>
    <n v="0"/>
    <n v="63200"/>
    <n v="1.58"/>
    <s v="ARCADIA-FQF"/>
    <x v="374"/>
    <d v="2020-05-07T00:00:00"/>
    <m/>
  </r>
  <r>
    <d v="2020-05-14T00:00:00"/>
    <n v="20000"/>
    <n v="40153.86"/>
    <n v="4789.09"/>
    <n v="35364.770000000004"/>
    <n v="1.7682385000000003"/>
    <s v="ANGSTREM APDX N°34"/>
    <x v="375"/>
    <d v="2020-05-08T00:00:00"/>
    <m/>
  </r>
  <r>
    <d v="2020-05-15T00:00:00"/>
    <n v="70208"/>
    <n v="118917.93075600002"/>
    <n v="25499.989000000001"/>
    <n v="93417.941756000015"/>
    <n v="1.3305882770624433"/>
    <s v="SALIOU BAH"/>
    <x v="376"/>
    <d v="2020-03-11T00:00:00"/>
    <m/>
  </r>
  <r>
    <d v="2020-05-16T00:00:00"/>
    <n v="26000"/>
    <n v="37310"/>
    <n v="0"/>
    <n v="37310"/>
    <n v="1.4350000000000001"/>
    <s v="SCIT"/>
    <x v="377"/>
    <d v="2020-03-11T00:00:00"/>
    <m/>
  </r>
  <r>
    <d v="2020-05-16T00:00:00"/>
    <n v="41160"/>
    <n v="62539.8"/>
    <n v="0"/>
    <n v="62539.8"/>
    <n v="1.5194314868804666"/>
    <s v="SCIT"/>
    <x v="378"/>
    <d v="2020-03-11T00:00:00"/>
    <m/>
  </r>
  <r>
    <d v="2020-05-19T00:00:00"/>
    <n v="115632"/>
    <n v="173825.04"/>
    <n v="0"/>
    <n v="173825.04"/>
    <n v="1.503260689082607"/>
    <s v="TAB"/>
    <x v="379"/>
    <d v="2020-04-17T00:00:00"/>
    <m/>
  </r>
  <r>
    <d v="2020-05-20T00:00:00"/>
    <n v="22008"/>
    <n v="44658.375335000004"/>
    <n v="8071.6040000000003"/>
    <n v="36586.771335000005"/>
    <n v="1.6624305404852784"/>
    <s v="ADJA KHADY"/>
    <x v="380"/>
    <d v="2020-03-11T00:00:00"/>
    <m/>
  </r>
  <r>
    <d v="2020-05-21T00:00:00"/>
    <n v="88032"/>
    <n v="157622.87323199998"/>
    <n v="29972.991999999998"/>
    <n v="127649.88123199999"/>
    <n v="1.4500395450745183"/>
    <s v="EASB"/>
    <x v="381"/>
    <d v="2020-05-08T00:00:00"/>
    <m/>
  </r>
  <r>
    <d v="2020-05-22T00:00:00"/>
    <n v="110040"/>
    <n v="144152.4"/>
    <n v="0"/>
    <n v="144152.4"/>
    <n v="1.31"/>
    <s v="TAB- SENEGAL"/>
    <x v="382"/>
    <d v="2020-03-11T00:00:00"/>
    <m/>
  </r>
  <r>
    <d v="2020-05-22T00:00:00"/>
    <n v="27300"/>
    <n v="51733.971900000004"/>
    <n v="10662.09"/>
    <n v="41071.881900000008"/>
    <n v="1.5044645384615387"/>
    <s v="SODIFRAM"/>
    <x v="383"/>
    <d v="2020-05-18T00:00:00"/>
    <m/>
  </r>
  <r>
    <d v="2020-05-22T00:00:00"/>
    <n v="27336"/>
    <n v="51751.827576000003"/>
    <n v="10662.09"/>
    <n v="41089.737576"/>
    <n v="1.5031364345917471"/>
    <s v="SODIFRAM"/>
    <x v="384"/>
    <d v="2020-05-18T00:00:00"/>
    <m/>
  </r>
  <r>
    <d v="2020-05-26T00:00:00"/>
    <n v="42500"/>
    <n v="69275"/>
    <n v="0"/>
    <n v="69275"/>
    <n v="1.63"/>
    <s v="ARCADIA-CRISPA"/>
    <x v="385"/>
    <d v="2020-05-18T00:00:00"/>
    <m/>
  </r>
  <r>
    <d v="2020-05-27T00:00:00"/>
    <n v="40000"/>
    <n v="64800"/>
    <n v="0"/>
    <n v="64800"/>
    <n v="1.62"/>
    <s v="MIDCOM"/>
    <x v="386"/>
    <d v="2020-05-14T00:00:00"/>
    <m/>
  </r>
  <r>
    <d v="2020-05-27T00:00:00"/>
    <n v="22008"/>
    <n v="33452.160000000003"/>
    <n v="0"/>
    <n v="33452.160000000003"/>
    <n v="1.5200000000000002"/>
    <s v="SAHEL"/>
    <x v="387"/>
    <d v="2020-05-18T00:00:00"/>
    <m/>
  </r>
  <r>
    <d v="2020-05-27T00:00:00"/>
    <n v="21600"/>
    <n v="33264"/>
    <n v="0"/>
    <n v="33264"/>
    <n v="1.54"/>
    <s v="SAHEL"/>
    <x v="388"/>
    <d v="2020-05-18T00:00:00"/>
    <m/>
  </r>
  <r>
    <d v="2020-05-27T00:00:00"/>
    <n v="14982"/>
    <n v="26368.32"/>
    <n v="0"/>
    <n v="26368.32"/>
    <n v="1.76"/>
    <s v="ARCADIA-CRISPA"/>
    <x v="389"/>
    <d v="2020-05-18T00:00:00"/>
    <m/>
  </r>
  <r>
    <d v="2020-05-29T00:00:00"/>
    <n v="57600"/>
    <n v="90432"/>
    <n v="0"/>
    <n v="90432"/>
    <n v="1.57"/>
    <s v="TAB"/>
    <x v="390"/>
    <d v="2020-05-22T00:00:00"/>
    <m/>
  </r>
  <r>
    <d v="2020-05-30T00:00:00"/>
    <n v="84000"/>
    <n v="116480"/>
    <n v="0"/>
    <n v="116480"/>
    <n v="1.3866666666666667"/>
    <s v="TAB"/>
    <x v="391"/>
    <d v="2020-05-22T00:00:00"/>
    <m/>
  </r>
  <r>
    <d v="2020-06-01T00:00:00"/>
    <n v="19800"/>
    <n v="29304"/>
    <n v="0"/>
    <n v="29304"/>
    <n v="1.48"/>
    <s v="TAB"/>
    <x v="391"/>
    <d v="2020-05-22T00:00:00"/>
    <m/>
  </r>
  <r>
    <d v="2020-06-01T00:00:00"/>
    <n v="75800"/>
    <n v="107424"/>
    <n v="0"/>
    <n v="107424"/>
    <n v="1.4172031662269129"/>
    <s v="TAB"/>
    <x v="392"/>
    <d v="2020-05-22T00:00:00"/>
    <m/>
  </r>
  <r>
    <d v="2020-06-01T00:00:00"/>
    <n v="16360"/>
    <n v="56728.698880000004"/>
    <n v="1542.34"/>
    <n v="55186.358880000007"/>
    <n v="3.3732493202933989"/>
    <s v="DAVIS TRADING"/>
    <x v="393"/>
    <d v="2020-05-14T00:00:00"/>
    <m/>
  </r>
  <r>
    <d v="2020-06-03T00:00:00"/>
    <n v="280000"/>
    <n v="347200"/>
    <n v="0"/>
    <n v="347200"/>
    <n v="1.24"/>
    <s v="SAHEL"/>
    <x v="394"/>
    <d v="2020-05-28T00:00:00"/>
    <m/>
  </r>
  <r>
    <d v="2020-06-04T00:00:00"/>
    <n v="40000"/>
    <n v="77898.080000000002"/>
    <n v="8227.6319999999996"/>
    <n v="69670.448000000004"/>
    <n v="1.7417612"/>
    <s v="ANGSTREM APDX N°38"/>
    <x v="395"/>
    <d v="2020-05-09T00:00:00"/>
    <m/>
  </r>
  <r>
    <d v="2020-06-05T00:00:00"/>
    <n v="41000"/>
    <n v="65190"/>
    <n v="0"/>
    <n v="65190"/>
    <n v="1.59"/>
    <s v="ARCADIA-MELVIT"/>
    <x v="396"/>
    <d v="2020-04-29T00:00:00"/>
    <m/>
  </r>
  <r>
    <d v="2020-06-05T00:00:00"/>
    <n v="20000"/>
    <n v="34800"/>
    <n v="0"/>
    <n v="34800"/>
    <n v="1.74"/>
    <s v="MIDCOM"/>
    <x v="397"/>
    <d v="2020-06-01T00:00:00"/>
    <m/>
  </r>
  <r>
    <d v="2020-06-05T00:00:00"/>
    <n v="57600"/>
    <n v="90432"/>
    <n v="0"/>
    <n v="90432"/>
    <n v="1.57"/>
    <s v="SCIT"/>
    <x v="398"/>
    <d v="2020-06-01T00:00:00"/>
    <m/>
  </r>
  <r>
    <d v="2020-06-08T00:00:00"/>
    <n v="78000"/>
    <n v="97500"/>
    <n v="0"/>
    <n v="97500"/>
    <n v="1.25"/>
    <s v="OMEGA"/>
    <x v="399"/>
    <d v="2020-05-14T00:00:00"/>
    <m/>
  </r>
  <r>
    <d v="2020-06-12T00:00:00"/>
    <n v="278000"/>
    <n v="432393.55499999999"/>
    <n v="105432.98"/>
    <n v="326960.57500000001"/>
    <n v="1.1761171762589928"/>
    <s v="TOYOTA"/>
    <x v="400"/>
    <d v="2020-06-09T00:00:00"/>
    <m/>
  </r>
  <r>
    <d v="2020-06-13T00:00:00"/>
    <n v="894960"/>
    <n v="1476862.5456000001"/>
    <n v="152021.535"/>
    <n v="1324841.0106000002"/>
    <n v="1.4803354458299813"/>
    <s v="AL JAWDA AL RAEDA"/>
    <x v="401"/>
    <d v="2020-06-04T00:00:00"/>
    <m/>
  </r>
  <r>
    <d v="2020-06-16T00:00:00"/>
    <n v="174300"/>
    <n v="301411.65726000001"/>
    <n v="75583.67"/>
    <n v="225827.98726000002"/>
    <n v="1.2956281541021228"/>
    <s v="SAWABA"/>
    <x v="402"/>
    <d v="2020-06-13T00:00:00"/>
    <m/>
  </r>
  <r>
    <d v="2020-04-17T00:00:00"/>
    <n v="55404"/>
    <n v="79097.52"/>
    <n v="0"/>
    <n v="79097.52"/>
    <n v="1.427649989170457"/>
    <s v="SAHEL"/>
    <x v="403"/>
    <d v="2020-06-11T00:00:00"/>
    <m/>
  </r>
  <r>
    <d v="2020-04-17T00:00:00"/>
    <n v="55404"/>
    <n v="84637.92"/>
    <n v="0"/>
    <n v="84637.92"/>
    <n v="1.5276499891704569"/>
    <s v="SAHEL"/>
    <x v="404"/>
    <d v="2020-06-12T00:00:00"/>
    <m/>
  </r>
  <r>
    <d v="2020-04-17T00:00:00"/>
    <n v="19200"/>
    <n v="32064"/>
    <n v="0"/>
    <n v="32064"/>
    <n v="1.67"/>
    <s v="SAHEL"/>
    <x v="405"/>
    <d v="2020-06-12T00:00:00"/>
    <m/>
  </r>
  <r>
    <d v="2020-04-17T00:00:00"/>
    <n v="20000"/>
    <n v="33000"/>
    <n v="0"/>
    <n v="33000"/>
    <n v="1.65"/>
    <s v="ARCADIA-FQF"/>
    <x v="406"/>
    <d v="2020-06-01T00:00:00"/>
    <m/>
  </r>
  <r>
    <d v="2020-06-16T00:00:00"/>
    <n v="579600"/>
    <n v="1009998.6792"/>
    <n v="96741.195000000007"/>
    <n v="913257.48420000006"/>
    <n v="1.5756685372670809"/>
    <s v="AL MAGEMOUA"/>
    <x v="407"/>
    <d v="2020-06-01T00:00:00"/>
    <m/>
  </r>
  <r>
    <d v="2020-06-19T00:00:00"/>
    <n v="132000"/>
    <n v="165000"/>
    <n v="0"/>
    <n v="165000"/>
    <n v="1.25"/>
    <s v="SAHEL"/>
    <x v="408"/>
    <d v="2020-06-12T00:00:00"/>
    <m/>
  </r>
  <r>
    <d v="2020-06-19T00:00:00"/>
    <n v="27336"/>
    <n v="52315.044287999997"/>
    <n v="10312.09"/>
    <n v="42002.954287999994"/>
    <n v="1.5365435428738656"/>
    <s v="SODIFRAM"/>
    <x v="409"/>
    <d v="2020-06-13T00:00:00"/>
    <m/>
  </r>
  <r>
    <d v="2020-06-19T00:00:00"/>
    <n v="27336"/>
    <n v="52368.095903999994"/>
    <n v="10312.09"/>
    <n v="42056.005903999991"/>
    <n v="1.538484266315481"/>
    <s v="SODIFRAM"/>
    <x v="410"/>
    <d v="2020-06-13T00:00:00"/>
    <m/>
  </r>
  <r>
    <d v="2020-06-20T00:00:00"/>
    <n v="300000"/>
    <n v="485563.31999999995"/>
    <n v="44081.58"/>
    <n v="441481.73999999993"/>
    <n v="1.4716057999999999"/>
    <s v="ALAM EL AMAN"/>
    <x v="411"/>
    <d v="2020-06-15T00:00:00"/>
    <m/>
  </r>
  <r>
    <d v="2020-06-20T00:00:00"/>
    <n v="110040"/>
    <n v="147453.6"/>
    <n v="0"/>
    <n v="147453.6"/>
    <n v="1.34"/>
    <s v="TAB"/>
    <x v="412"/>
    <d v="2020-06-13T00:00:00"/>
    <m/>
  </r>
  <r>
    <d v="2020-06-20T00:00:00"/>
    <n v="40000"/>
    <n v="80761.98"/>
    <n v="9592.7999999999993"/>
    <n v="71169.179999999993"/>
    <n v="1.7792294999999998"/>
    <s v="ANGSTREM APDX N°39"/>
    <x v="413"/>
    <d v="2020-06-01T00:00:00"/>
    <m/>
  </r>
  <r>
    <d v="2020-06-23T00:00:00"/>
    <n v="80400"/>
    <n v="153884.91159999999"/>
    <n v="42924.08"/>
    <n v="110960.83159999999"/>
    <n v="1.3801098457711443"/>
    <s v="SALIOU BAH"/>
    <x v="414"/>
    <d v="2020-06-22T00:00:00"/>
    <m/>
  </r>
  <r>
    <d v="2020-06-24T00:00:00"/>
    <n v="4540"/>
    <n v="8444.4"/>
    <n v="0"/>
    <n v="8444.4"/>
    <n v="1.8599999999999999"/>
    <s v="ARCADIA-KARTAGO"/>
    <x v="415"/>
    <d v="2020-06-20T00:00:00"/>
    <m/>
  </r>
  <r>
    <d v="2020-06-24T00:00:00"/>
    <n v="44016"/>
    <n v="66904.320000000007"/>
    <n v="0"/>
    <n v="66904.320000000007"/>
    <n v="1.5200000000000002"/>
    <s v="SAHEL"/>
    <x v="416"/>
    <d v="2020-06-17T00:00:00"/>
    <m/>
  </r>
  <r>
    <d v="2020-06-24T00:00:00"/>
    <n v="83400"/>
    <n v="158420.39604999998"/>
    <n v="26047.58"/>
    <n v="132372.81604999996"/>
    <n v="1.5872040293764984"/>
    <s v="MAMADOU TEDOUNGAL"/>
    <x v="417"/>
    <d v="2020-06-15T00:00:00"/>
    <m/>
  </r>
  <r>
    <d v="2020-06-25T00:00:00"/>
    <n v="45600"/>
    <n v="68388"/>
    <n v="0"/>
    <n v="68388"/>
    <n v="1.4997368421052633"/>
    <s v="SCIT"/>
    <x v="418"/>
    <d v="2020-06-22T00:00:00"/>
    <m/>
  </r>
  <r>
    <d v="2020-06-25T00:00:00"/>
    <n v="84000"/>
    <n v="115080"/>
    <n v="0"/>
    <n v="115080"/>
    <n v="1.37"/>
    <s v="TAB"/>
    <x v="419"/>
    <d v="2020-05-27T00:00:00"/>
    <m/>
  </r>
  <r>
    <d v="2020-06-25T00:00:00"/>
    <n v="28000"/>
    <n v="38360"/>
    <n v="0"/>
    <n v="38360"/>
    <n v="1.37"/>
    <s v="TAB"/>
    <x v="420"/>
    <d v="2020-05-27T00:00:00"/>
    <m/>
  </r>
  <r>
    <d v="2020-06-26T00:00:00"/>
    <n v="24000"/>
    <n v="37200"/>
    <n v="0"/>
    <n v="37200"/>
    <n v="1.55"/>
    <s v="TAB"/>
    <x v="421"/>
    <d v="2020-06-22T00:00:00"/>
    <m/>
  </r>
  <r>
    <d v="2020-06-29T00:00:00"/>
    <n v="84000"/>
    <n v="117600"/>
    <n v="0"/>
    <n v="117600"/>
    <n v="1.4"/>
    <s v="SCIT"/>
    <x v="422"/>
    <d v="2020-06-13T00:00:00"/>
    <m/>
  </r>
  <r>
    <d v="2020-06-29T00:00:00"/>
    <n v="23400"/>
    <n v="38154"/>
    <n v="0"/>
    <n v="38154"/>
    <n v="1.6305128205128205"/>
    <s v="ARCADIA - K&amp;K"/>
    <x v="423"/>
    <d v="2020-06-15T00:00:00"/>
    <m/>
  </r>
  <r>
    <d v="2020-06-30T00:00:00"/>
    <n v="26000"/>
    <n v="43648.52"/>
    <n v="0"/>
    <n v="43648.52"/>
    <n v="1.6787892307692307"/>
    <s v="TIMBI MADINA"/>
    <x v="424"/>
    <d v="2020-06-23T00:00:00"/>
    <m/>
  </r>
  <r>
    <d v="2020-06-30T00:00:00"/>
    <n v="55200"/>
    <n v="69000"/>
    <n v="0"/>
    <n v="69000"/>
    <n v="1.25"/>
    <s v="SAHEL"/>
    <x v="425"/>
    <d v="2020-06-30T00:00:00"/>
    <m/>
  </r>
  <r>
    <d v="2020-07-01T00:00:00"/>
    <n v="26000"/>
    <n v="43937.371000000006"/>
    <n v="0"/>
    <n v="43937.371000000006"/>
    <n v="1.6898988846153848"/>
    <s v="TIMBI MADINA"/>
    <x v="424"/>
    <d v="2020-06-23T00:00:00"/>
    <m/>
  </r>
  <r>
    <d v="2020-07-01T00:00:00"/>
    <n v="156240"/>
    <n v="195300"/>
    <n v="0"/>
    <n v="195300"/>
    <n v="1.25"/>
    <s v="SAHEL"/>
    <x v="425"/>
    <d v="2020-06-30T00:00:00"/>
    <m/>
  </r>
  <r>
    <d v="2020-07-02T00:00:00"/>
    <n v="26000"/>
    <n v="41340"/>
    <n v="0"/>
    <n v="41340"/>
    <n v="1.59"/>
    <s v="MIDCOM"/>
    <x v="426"/>
    <d v="2020-06-30T00:00:00"/>
    <m/>
  </r>
  <r>
    <d v="2020-07-02T00:00:00"/>
    <n v="102500"/>
    <n v="178350"/>
    <n v="0"/>
    <n v="178350"/>
    <n v="1.74"/>
    <s v="MIDCOM"/>
    <x v="427"/>
    <d v="2020-06-30T00:00:00"/>
    <m/>
  </r>
  <r>
    <d v="2020-07-03T00:00:00"/>
    <n v="66024"/>
    <n v="105638.39999999999"/>
    <n v="0"/>
    <n v="105638.39999999999"/>
    <n v="1.5999999999999999"/>
    <s v="OMEGA"/>
    <x v="428"/>
    <d v="2020-06-30T00:00:00"/>
    <m/>
  </r>
  <r>
    <d v="2020-07-04T00:00:00"/>
    <n v="198300"/>
    <n v="247875"/>
    <n v="0"/>
    <n v="247875"/>
    <n v="1.25"/>
    <s v="SAHEL"/>
    <x v="429"/>
    <d v="2020-06-30T00:00:00"/>
    <m/>
  </r>
  <r>
    <d v="2020-07-07T00:00:00"/>
    <n v="5304"/>
    <n v="9238.08"/>
    <n v="0"/>
    <n v="9238.08"/>
    <n v="1.7417194570135746"/>
    <s v="BG&amp;CO"/>
    <x v="430"/>
    <d v="2020-06-22T00:00:00"/>
    <m/>
  </r>
  <r>
    <d v="2020-07-07T00:00:00"/>
    <n v="168000"/>
    <n v="218400"/>
    <n v="0"/>
    <n v="218400"/>
    <n v="1.3"/>
    <s v="OMEGA"/>
    <x v="431"/>
    <d v="2020-06-23T00:00:00"/>
    <m/>
  </r>
  <r>
    <d v="2020-07-07T00:00:00"/>
    <n v="112000"/>
    <n v="145600"/>
    <n v="0"/>
    <n v="145600"/>
    <n v="1.3"/>
    <s v="OMEGA"/>
    <x v="432"/>
    <d v="2020-07-04T00:00:00"/>
    <m/>
  </r>
  <r>
    <d v="2020-07-07T00:00:00"/>
    <n v="444000"/>
    <n v="790951.44759999996"/>
    <n v="57016.44"/>
    <n v="733935.0075999999"/>
    <n v="1.6530067738738736"/>
    <s v="AL MAGEMOUA"/>
    <x v="433"/>
    <d v="2020-07-01T00:00:00"/>
    <m/>
  </r>
  <r>
    <d v="2020-07-08T00:00:00"/>
    <n v="22008"/>
    <n v="32791.919999999998"/>
    <n v="0"/>
    <n v="32791.919999999998"/>
    <n v="1.49"/>
    <s v="TAB"/>
    <x v="434"/>
    <d v="2020-07-04T00:00:00"/>
    <m/>
  </r>
  <r>
    <d v="2020-07-09T00:00:00"/>
    <n v="24724"/>
    <n v="43867.099834000001"/>
    <n v="1245.3"/>
    <n v="42621.799833999998"/>
    <n v="1.7239038923313379"/>
    <s v="SOPALIM"/>
    <x v="435"/>
    <d v="2020-07-04T00:00:00"/>
    <m/>
  </r>
  <r>
    <d v="2020-07-10T00:00:00"/>
    <n v="18030"/>
    <n v="31161"/>
    <n v="0"/>
    <n v="31161"/>
    <n v="1.7282861896838602"/>
    <s v="SAHEL"/>
    <x v="436"/>
    <d v="2020-07-07T00:00:00"/>
    <m/>
  </r>
  <r>
    <d v="2020-07-13T00:00:00"/>
    <n v="20000"/>
    <n v="33000"/>
    <n v="0"/>
    <n v="33000"/>
    <n v="1.65"/>
    <s v="ARCADIA-FQF"/>
    <x v="437"/>
    <d v="2020-06-27T00:00:00"/>
    <m/>
  </r>
  <r>
    <d v="2020-07-13T00:00:00"/>
    <n v="20000"/>
    <n v="33000"/>
    <n v="0"/>
    <n v="33000"/>
    <n v="1.65"/>
    <s v="ARCADIA-FQF"/>
    <x v="438"/>
    <d v="2020-07-07T00:00:00"/>
    <m/>
  </r>
  <r>
    <d v="2020-07-13T00:00:00"/>
    <n v="20000"/>
    <n v="33000"/>
    <n v="0"/>
    <n v="33000"/>
    <n v="1.65"/>
    <s v="ARCADIA-FQF"/>
    <x v="439"/>
    <d v="2020-07-07T00:00:00"/>
    <m/>
  </r>
  <r>
    <d v="2020-07-15T00:00:00"/>
    <n v="56016"/>
    <n v="76181.759999999995"/>
    <n v="0"/>
    <n v="76181.759999999995"/>
    <n v="1.3599999999999999"/>
    <s v="SAHEL"/>
    <x v="440"/>
    <d v="2020-07-07T00:00:00"/>
    <m/>
  </r>
  <r>
    <d v="2020-07-20T00:00:00"/>
    <n v="110040"/>
    <n v="148333.92000000001"/>
    <n v="0"/>
    <n v="148333.92000000001"/>
    <n v="1.3480000000000001"/>
    <s v="TAB"/>
    <x v="441"/>
    <d v="2020-07-09T00:00:00"/>
    <m/>
  </r>
  <r>
    <d v="2020-07-21T00:00:00"/>
    <n v="50400"/>
    <n v="78624"/>
    <n v="0"/>
    <n v="78624"/>
    <n v="1.56"/>
    <s v="ARCADIA-ASAHI"/>
    <x v="442"/>
    <d v="2020-07-07T00:00:00"/>
    <m/>
  </r>
  <r>
    <d v="2020-07-21T00:00:00"/>
    <n v="280000"/>
    <n v="347200"/>
    <n v="0"/>
    <n v="347200"/>
    <n v="1.24"/>
    <s v="SAHEL"/>
    <x v="443"/>
    <d v="2020-07-13T00:00:00"/>
    <m/>
  </r>
  <r>
    <d v="2020-07-21T00:00:00"/>
    <n v="40000"/>
    <n v="76630.559999999998"/>
    <n v="7900.0720000000001"/>
    <n v="68730.487999999998"/>
    <n v="1.7182621999999999"/>
    <s v="ANGSTREM-APDX 40"/>
    <x v="444"/>
    <d v="2020-07-11T00:00:00"/>
    <m/>
  </r>
  <r>
    <d v="2020-07-22T00:00:00"/>
    <n v="57600"/>
    <n v="103000.488"/>
    <n v="22723.003000000001"/>
    <n v="80277.485000000001"/>
    <n v="1.3937063368055556"/>
    <s v="MAMADOU TEDOUNGAL"/>
    <x v="445"/>
    <d v="2020-07-16T00:00:00"/>
    <m/>
  </r>
  <r>
    <d v="2020-07-22T00:00:00"/>
    <n v="43608"/>
    <n v="68916.960000000006"/>
    <n v="0"/>
    <n v="68916.960000000006"/>
    <n v="1.5803742432581178"/>
    <s v="SAHEL"/>
    <x v="446"/>
    <d v="2020-07-07T00:00:00"/>
    <m/>
  </r>
  <r>
    <d v="2020-07-23T00:00:00"/>
    <n v="20157.599999999999"/>
    <n v="34771.86"/>
    <n v="0"/>
    <n v="34771.86"/>
    <n v="1.7250000000000001"/>
    <s v="ARCADIA - CRISPA"/>
    <x v="447"/>
    <d v="2020-07-09T00:00:00"/>
    <m/>
  </r>
  <r>
    <d v="2020-07-23T00:00:00"/>
    <n v="165600"/>
    <n v="282084.32339999999"/>
    <n v="22150.38"/>
    <n v="259933.94339999999"/>
    <n v="1.5696494166666666"/>
    <s v="AL ATHEER AL ZAHER"/>
    <x v="448"/>
    <d v="2020-07-16T00:00:00"/>
    <m/>
  </r>
  <r>
    <d v="2020-07-24T00:00:00"/>
    <n v="290316"/>
    <n v="532095.75328499998"/>
    <n v="140422.345"/>
    <n v="391673.40828500001"/>
    <n v="1.3491278754357321"/>
    <s v="SAWABA"/>
    <x v="449"/>
    <d v="2020-07-11T00:00:00"/>
    <m/>
  </r>
  <r>
    <d v="2020-07-24T00:00:00"/>
    <n v="108000"/>
    <n v="150017.454"/>
    <n v="21208.403999999999"/>
    <n v="128809.05"/>
    <n v="1.1926763888888889"/>
    <s v="KASSO"/>
    <x v="450"/>
    <d v="2020-07-22T00:00:00"/>
    <m/>
  </r>
  <r>
    <d v="2020-07-24T00:00:00"/>
    <n v="108000"/>
    <n v="150017.454"/>
    <n v="21208.403999999999"/>
    <n v="128809.05"/>
    <n v="1.1926763888888889"/>
    <s v="KASSO"/>
    <x v="451"/>
    <d v="2020-07-22T00:00:00"/>
    <m/>
  </r>
  <r>
    <d v="2020-07-25T00:00:00"/>
    <n v="242088"/>
    <n v="441409.21268400003"/>
    <n v="34099.78"/>
    <n v="407309.432684"/>
    <n v="1.6824850165394403"/>
    <s v="AL MAGEMOUA"/>
    <x v="452"/>
    <d v="2020-07-23T00:00:00"/>
    <m/>
  </r>
  <r>
    <d v="2020-07-28T00:00:00"/>
    <n v="154056"/>
    <n v="209956.32"/>
    <n v="0"/>
    <n v="209956.32"/>
    <n v="1.362857142857143"/>
    <s v="TAB"/>
    <x v="453"/>
    <d v="2020-07-22T00:00:00"/>
    <m/>
  </r>
  <r>
    <d v="2020-07-29T00:00:00"/>
    <n v="25209.52"/>
    <n v="59213.826999999997"/>
    <n v="0"/>
    <n v="59213.826999999997"/>
    <n v="2.3488676896664433"/>
    <s v="ARCADIA-CANADA"/>
    <x v="454"/>
    <d v="2020-07-23T00:00:00"/>
    <m/>
  </r>
  <r>
    <d v="2020-07-30T00:00:00"/>
    <n v="135624"/>
    <n v="216002.4"/>
    <n v="0"/>
    <n v="216002.4"/>
    <n v="1.5926561670500796"/>
    <s v="TAB"/>
    <x v="455"/>
    <d v="2020-07-22T00:00:00"/>
    <m/>
  </r>
  <r>
    <d v="2020-07-31T00:00:00"/>
    <n v="690000"/>
    <n v="1164670.3125"/>
    <n v="117639.94"/>
    <n v="1047030.3725000001"/>
    <n v="1.5174353224637682"/>
    <s v="AL JAWDA AL RAEDA"/>
    <x v="456"/>
    <d v="2020-07-16T00:00:00"/>
    <m/>
  </r>
  <r>
    <d v="2020-08-03T00:00:00"/>
    <n v="193200"/>
    <n v="326107.68699999998"/>
    <n v="0"/>
    <n v="326107.68699999998"/>
    <n v="1.687927986542443"/>
    <s v="AL JAWDA AL RAEDA"/>
    <x v="456"/>
    <d v="2020-07-16T00:00:00"/>
    <m/>
  </r>
  <r>
    <d v="2020-08-03T00:00:00"/>
    <n v="40000"/>
    <n v="64000"/>
    <n v="0"/>
    <n v="64000"/>
    <n v="1.6"/>
    <s v="SCIT"/>
    <x v="457"/>
    <d v="2020-07-16T00:00:00"/>
    <m/>
  </r>
  <r>
    <d v="2020-08-05T00:00:00"/>
    <n v="41500"/>
    <n v="65570"/>
    <n v="0"/>
    <n v="65570"/>
    <n v="1.58"/>
    <s v="SAHEL "/>
    <x v="458"/>
    <d v="2020-07-13T00:00:00"/>
    <m/>
  </r>
  <r>
    <d v="2020-08-08T00:00:00"/>
    <n v="20270"/>
    <n v="57099.925199999998"/>
    <n v="5640.18"/>
    <n v="51459.745199999998"/>
    <n v="2.5387146127281697"/>
    <s v="ABOURA FOODS"/>
    <x v="459"/>
    <d v="2020-08-04T00:00:00"/>
    <m/>
  </r>
  <r>
    <d v="2020-08-10T00:00:00"/>
    <n v="56000"/>
    <n v="75040"/>
    <n v="0"/>
    <n v="75040"/>
    <n v="1.34"/>
    <s v="AL BADR"/>
    <x v="460"/>
    <d v="2020-06-15T00:00:00"/>
    <m/>
  </r>
  <r>
    <d v="2020-08-10T00:00:00"/>
    <n v="43404"/>
    <n v="70962.48"/>
    <n v="0"/>
    <n v="70962.48"/>
    <n v="1.6349294995852917"/>
    <s v="SAHEL "/>
    <x v="461"/>
    <d v="2020-07-30T00:00:00"/>
    <m/>
  </r>
  <r>
    <d v="2020-08-18T00:00:00"/>
    <n v="246000"/>
    <n v="415740"/>
    <n v="0"/>
    <n v="415740"/>
    <n v="1.69"/>
    <s v="MIDCOM"/>
    <x v="462"/>
    <d v="2020-08-04T00:00:00"/>
    <m/>
  </r>
  <r>
    <d v="2020-08-19T00:00:00"/>
    <n v="277000"/>
    <n v="343480"/>
    <n v="0"/>
    <n v="343480"/>
    <n v="1.24"/>
    <s v="SAHEL "/>
    <x v="463"/>
    <d v="2020-07-30T00:00:00"/>
    <m/>
  </r>
  <r>
    <d v="2020-08-21T00:00:00"/>
    <n v="23426"/>
    <n v="51157.635263999997"/>
    <n v="10794.536"/>
    <n v="40363.099263999997"/>
    <n v="1.7230043227183469"/>
    <s v="GREENWORLD"/>
    <x v="464"/>
    <d v="2020-08-11T00:00:00"/>
    <m/>
  </r>
  <r>
    <d v="2020-08-21T00:00:00"/>
    <n v="52000"/>
    <n v="72540"/>
    <n v="0"/>
    <n v="72540"/>
    <n v="1.395"/>
    <s v="TAB"/>
    <x v="465"/>
    <d v="2020-08-10T00:00:00"/>
    <m/>
  </r>
  <r>
    <d v="2020-08-21T00:00:00"/>
    <n v="20000"/>
    <n v="38619.195"/>
    <n v="4996.43"/>
    <n v="33622.764999999999"/>
    <n v="1.6811382500000001"/>
    <s v="ANGSTREM APDX 41"/>
    <x v="466"/>
    <d v="2020-06-30T00:00:00"/>
    <m/>
  </r>
  <r>
    <d v="2020-08-24T00:00:00"/>
    <n v="43608"/>
    <n v="68916.960000000006"/>
    <n v="0"/>
    <n v="68916.960000000006"/>
    <n v="1.5803742432581178"/>
    <s v="SAHEL "/>
    <x v="467"/>
    <d v="2020-08-19T00:00:00"/>
    <m/>
  </r>
  <r>
    <d v="2020-08-26T00:00:00"/>
    <n v="304200"/>
    <n v="380250"/>
    <n v="0"/>
    <n v="380250"/>
    <n v="1.25"/>
    <s v="SAHEL "/>
    <x v="468"/>
    <d v="2020-07-30T00:00:00"/>
    <m/>
  </r>
  <r>
    <d v="2020-08-26T00:00:00"/>
    <n v="198072"/>
    <n v="354604.005144"/>
    <n v="31060.5"/>
    <n v="323543.505144"/>
    <n v="1.6334641198352113"/>
    <s v="AL MAGEMOUA"/>
    <x v="469"/>
    <d v="2020-08-21T00:00:00"/>
    <m/>
  </r>
  <r>
    <d v="2020-08-27T00:00:00"/>
    <n v="108000"/>
    <n v="154052.712"/>
    <n v="20146.34"/>
    <n v="133906.372"/>
    <n v="1.2398738148148147"/>
    <s v="KASSO"/>
    <x v="470"/>
    <d v="2020-08-21T00:00:00"/>
    <m/>
  </r>
  <r>
    <d v="2020-08-28T00:00:00"/>
    <n v="108000"/>
    <n v="154119.24000000002"/>
    <n v="20146.34"/>
    <n v="133972.90000000002"/>
    <n v="1.2404898148148151"/>
    <s v="KASSO"/>
    <x v="471"/>
    <d v="2020-08-21T00:00:00"/>
    <m/>
  </r>
  <r>
    <d v="2020-08-28T00:00:00"/>
    <n v="1906.8"/>
    <n v="3565.7159999999999"/>
    <n v="0"/>
    <n v="3565.7159999999999"/>
    <n v="1.8699999999999999"/>
    <s v="ARCADIA"/>
    <x v="472"/>
    <d v="2020-08-15T00:00:00"/>
    <m/>
  </r>
  <r>
    <d v="2020-08-28T00:00:00"/>
    <n v="264096"/>
    <n v="358290.24"/>
    <n v="0"/>
    <n v="358290.24"/>
    <n v="1.3566666666666667"/>
    <s v="TAB"/>
    <x v="473"/>
    <d v="2020-08-21T00:00:00"/>
    <m/>
  </r>
  <r>
    <d v="2020-08-29T00:00:00"/>
    <n v="108000"/>
    <n v="154468.51199999999"/>
    <n v="20146.34"/>
    <n v="134322.17199999999"/>
    <n v="1.2437238148148146"/>
    <s v="KASSO"/>
    <x v="474"/>
    <d v="2020-08-21T00:00:00"/>
    <m/>
  </r>
  <r>
    <d v="2020-08-29T00:00:00"/>
    <n v="220080"/>
    <n v="397912.78295999998"/>
    <n v="29640.400000000001"/>
    <n v="368272.38295999996"/>
    <n v="1.6733568836786621"/>
    <s v="ALAM EL AMAN"/>
    <x v="475"/>
    <d v="2020-08-21T00:00:00"/>
    <m/>
  </r>
  <r>
    <d v="2020-08-31T00:00:00"/>
    <n v="6330"/>
    <n v="11717.7"/>
    <n v="0"/>
    <n v="11717.7"/>
    <n v="1.8511374407582939"/>
    <s v="ARCADIA-M&amp;P"/>
    <x v="476"/>
    <d v="2020-08-21T00:00:00"/>
    <m/>
  </r>
  <r>
    <d v="2020-09-01T00:00:00"/>
    <n v="48000"/>
    <n v="75408"/>
    <n v="0"/>
    <n v="75408"/>
    <n v="1.571"/>
    <s v="TAB"/>
    <x v="477"/>
    <d v="2020-08-10T00:00:00"/>
    <m/>
  </r>
  <r>
    <d v="2020-09-02T00:00:00"/>
    <n v="20750"/>
    <n v="32785"/>
    <n v="0"/>
    <n v="32785"/>
    <n v="1.58"/>
    <s v="SAHEL "/>
    <x v="478"/>
    <d v="2020-08-25T00:00:00"/>
    <m/>
  </r>
  <r>
    <d v="2020-09-02T00:00:00"/>
    <n v="19200"/>
    <n v="32064"/>
    <n v="0"/>
    <n v="32064"/>
    <n v="1.67"/>
    <s v="SAHEL "/>
    <x v="479"/>
    <d v="2020-08-25T00:00:00"/>
    <m/>
  </r>
  <r>
    <d v="2020-09-03T00:00:00"/>
    <n v="33600"/>
    <n v="52416"/>
    <n v="0"/>
    <n v="52416"/>
    <n v="1.56"/>
    <s v="ARCADIA"/>
    <x v="480"/>
    <d v="2020-08-19T00:00:00"/>
    <m/>
  </r>
  <r>
    <d v="2020-09-04T00:00:00"/>
    <n v="20000"/>
    <n v="34750"/>
    <n v="0"/>
    <n v="34750"/>
    <n v="1.7375"/>
    <s v="MIDCOM"/>
    <x v="481"/>
    <d v="2020-09-01T00:00:00"/>
    <m/>
  </r>
  <r>
    <d v="2020-09-08T00:00:00"/>
    <n v="137200"/>
    <n v="186592"/>
    <n v="0"/>
    <n v="186592"/>
    <n v="1.36"/>
    <s v="SCIT"/>
    <x v="482"/>
    <d v="2020-09-01T00:00:00"/>
    <m/>
  </r>
  <r>
    <d v="2020-09-09T00:00:00"/>
    <n v="22200"/>
    <n v="42289.5"/>
    <n v="0"/>
    <n v="42289.5"/>
    <n v="1.9049324324324324"/>
    <s v="GOLDEN PEARL"/>
    <x v="483"/>
    <d v="2020-09-01T00:00:00"/>
    <m/>
  </r>
  <r>
    <d v="2020-09-10T00:00:00"/>
    <n v="108000"/>
    <n v="153938.66400000002"/>
    <n v="23851.616000000002"/>
    <n v="130087.04800000001"/>
    <n v="1.2045097037037038"/>
    <s v="KASSO"/>
    <x v="484"/>
    <d v="2020-09-04T00:00:00"/>
    <m/>
  </r>
  <r>
    <d v="2020-09-12T00:00:00"/>
    <n v="108000"/>
    <n v="153938.66400000002"/>
    <n v="23851.616000000002"/>
    <n v="130087.04800000001"/>
    <n v="1.2045097037037038"/>
    <s v="KASSO"/>
    <x v="485"/>
    <d v="2020-09-04T00:00:00"/>
    <m/>
  </r>
  <r>
    <d v="2020-09-14T00:00:00"/>
    <n v="96000"/>
    <n v="156480"/>
    <n v="0"/>
    <n v="156480"/>
    <n v="1.63"/>
    <s v="AL BADR"/>
    <x v="486"/>
    <d v="2020-09-01T00:00:00"/>
    <m/>
  </r>
  <r>
    <d v="2020-09-15T00:00:00"/>
    <n v="280000"/>
    <n v="355600"/>
    <n v="0"/>
    <n v="355600"/>
    <n v="1.27"/>
    <s v="OMEGA"/>
    <x v="487"/>
    <d v="2020-08-04T00:00:00"/>
    <m/>
  </r>
  <r>
    <d v="2020-09-16T00:00:00"/>
    <n v="20000"/>
    <n v="39767.730000000003"/>
    <n v="6372.34"/>
    <n v="33395.39"/>
    <n v="1.6697694999999999"/>
    <s v="ADVENS"/>
    <x v="488"/>
    <d v="2020-09-07T00:00:00"/>
    <m/>
  </r>
  <r>
    <d v="2020-09-16T00:00:00"/>
    <n v="1000800"/>
    <n v="1677784.7679999999"/>
    <n v="172590.72"/>
    <n v="1505194.048"/>
    <n v="1.5039908553157473"/>
    <s v="AL JAWDA AL RAEDA"/>
    <x v="489"/>
    <d v="2020-09-01T00:00:00"/>
    <m/>
  </r>
  <r>
    <d v="2020-09-17T00:00:00"/>
    <n v="106200"/>
    <n v="206454.891"/>
    <n v="54414.025000000001"/>
    <n v="152040.86600000001"/>
    <n v="1.4316465725047083"/>
    <s v="SALIOU BAH"/>
    <x v="490"/>
    <d v="2020-09-12T00:00:00"/>
    <m/>
  </r>
  <r>
    <d v="2020-09-18T00:00:00"/>
    <n v="156000"/>
    <n v="217620"/>
    <n v="0"/>
    <n v="217620"/>
    <n v="1.395"/>
    <s v="TAB"/>
    <x v="491"/>
    <d v="2020-09-15T00:00:00"/>
    <m/>
  </r>
  <r>
    <d v="2020-09-20T00:00:00"/>
    <n v="242088"/>
    <n v="432936.86436000007"/>
    <n v="36133.699999999997"/>
    <n v="396803.16436000005"/>
    <n v="1.6390864659132218"/>
    <s v="AL HAMAT AL DAWLIA"/>
    <x v="492"/>
    <d v="2020-09-04T00:00:00"/>
    <m/>
  </r>
  <r>
    <d v="2020-09-22T00:00:00"/>
    <n v="278000"/>
    <n v="461614.27400000003"/>
    <n v="106891.738"/>
    <n v="354722.53600000002"/>
    <n v="1.275980345323741"/>
    <s v="TOYOTA"/>
    <x v="493"/>
    <d v="2020-09-15T00:00:00"/>
    <m/>
  </r>
  <r>
    <d v="2020-09-22T00:00:00"/>
    <n v="3588"/>
    <n v="5952.6"/>
    <n v="0"/>
    <n v="5952.6"/>
    <n v="1.6590301003344483"/>
    <s v="ARCADIA-OMAN"/>
    <x v="494"/>
    <d v="2020-09-01T00:00:00"/>
    <m/>
  </r>
  <r>
    <d v="2020-09-22T00:00:00"/>
    <n v="579600"/>
    <n v="981343.70039999997"/>
    <n v="101051.515"/>
    <n v="880292.18539999996"/>
    <n v="1.5187925904071773"/>
    <s v="AL MAGEMOUA"/>
    <x v="495"/>
    <d v="2020-09-01T00:00:00"/>
    <m/>
  </r>
  <r>
    <d v="2020-09-23T00:00:00"/>
    <n v="236040"/>
    <n v="414999.48888000002"/>
    <n v="109236.45"/>
    <n v="305763.03888000001"/>
    <n v="1.2953865399084901"/>
    <s v="SAWABA"/>
    <x v="496"/>
    <d v="2020-09-15T00:00:00"/>
    <m/>
  </r>
  <r>
    <d v="2020-09-23T00:00:00"/>
    <n v="88032"/>
    <n v="142611.84"/>
    <n v="0"/>
    <n v="142611.84"/>
    <n v="1.6199999999999999"/>
    <s v="SAHEL "/>
    <x v="497"/>
    <d v="2020-09-17T00:00:00"/>
    <m/>
  </r>
  <r>
    <d v="2020-09-25T00:00:00"/>
    <n v="84000"/>
    <n v="115080"/>
    <n v="0"/>
    <n v="115080"/>
    <n v="1.37"/>
    <s v="TAB"/>
    <x v="498"/>
    <d v="2020-09-15T00:00:00"/>
    <m/>
  </r>
  <r>
    <d v="2020-09-28T00:00:00"/>
    <n v="22008"/>
    <n v="35652.959999999999"/>
    <n v="0"/>
    <n v="35652.959999999999"/>
    <n v="1.6199999999999999"/>
    <s v="SAHEL "/>
    <x v="499"/>
    <d v="2020-09-22T00:00:00"/>
    <m/>
  </r>
  <r>
    <d v="2020-09-29T00:00:00"/>
    <n v="18050"/>
    <n v="60865.044750000001"/>
    <n v="1653.69"/>
    <n v="59211.354749999999"/>
    <n v="3.280407465373961"/>
    <s v="DAVIS TRADING"/>
    <x v="500"/>
    <d v="2020-09-25T00:00:00"/>
    <m/>
  </r>
  <r>
    <d v="2020-09-30T00:00:00"/>
    <n v="20000"/>
    <n v="33000"/>
    <n v="0"/>
    <n v="33000"/>
    <n v="1.65"/>
    <s v="ARCADIA-AB FOOD"/>
    <x v="501"/>
    <d v="2020-09-24T00:00:00"/>
    <m/>
  </r>
  <r>
    <d v="2020-09-30T00:00:00"/>
    <n v="76160"/>
    <n v="109906.4"/>
    <n v="0"/>
    <n v="109906.4"/>
    <n v="1.4430987394957981"/>
    <s v="TAB"/>
    <x v="502"/>
    <d v="2020-09-25T00:00:00"/>
    <m/>
  </r>
  <r>
    <d v="2020-10-01T00:00:00"/>
    <n v="28000"/>
    <n v="40320"/>
    <n v="0"/>
    <n v="40320"/>
    <n v="1.44"/>
    <s v="TAB"/>
    <x v="502"/>
    <d v="2020-09-25T00:00:00"/>
    <m/>
  </r>
  <r>
    <d v="2020-10-05T00:00:00"/>
    <n v="42650"/>
    <n v="59365.02"/>
    <n v="2549.66"/>
    <n v="56815.360000000001"/>
    <n v="1.3321303634232122"/>
    <s v="RNK DISTRIBUTION"/>
    <x v="503"/>
    <d v="2020-09-25T00:00:00"/>
    <m/>
  </r>
  <r>
    <d v="2020-10-05T00:00:00"/>
    <n v="220080"/>
    <n v="401703.88104000001"/>
    <n v="30050.55"/>
    <n v="371653.33104000002"/>
    <n v="1.6887192431842968"/>
    <s v="ALAM EL AMAN"/>
    <x v="504"/>
    <d v="2020-09-25T00:00:00"/>
    <m/>
  </r>
  <r>
    <d v="2020-10-06T00:00:00"/>
    <n v="27264"/>
    <n v="52831.446096000007"/>
    <n v="10277.299999999999"/>
    <n v="42554.146096000011"/>
    <n v="1.5608181519953055"/>
    <s v="SODIFRAM"/>
    <x v="505"/>
    <d v="2020-08-28T00:00:00"/>
    <m/>
  </r>
  <r>
    <d v="2020-10-07T00:00:00"/>
    <n v="27598"/>
    <n v="54727.428183999997"/>
    <n v="0"/>
    <n v="54727.428183999997"/>
    <n v="1.9830215299659395"/>
    <s v="SOPALIM"/>
    <x v="506"/>
    <d v="2020-09-26T00:00:00"/>
    <m/>
  </r>
  <r>
    <d v="2020-10-08T00:00:00"/>
    <n v="75024"/>
    <n v="145317.84"/>
    <n v="0"/>
    <n v="145317.84"/>
    <n v="1.9369513755598209"/>
    <s v="ARCADIA-CANADA"/>
    <x v="507"/>
    <d v="2020-09-29T00:00:00"/>
    <m/>
  </r>
  <r>
    <d v="2020-10-13T00:00:00"/>
    <n v="24480"/>
    <n v="47264.214060000006"/>
    <n v="0"/>
    <n v="47264.214060000006"/>
    <n v="1.930727698529412"/>
    <s v="DISTREUROP"/>
    <x v="508"/>
    <d v="2020-09-26T00:00:00"/>
    <m/>
  </r>
  <r>
    <d v="2020-10-13T00:00:00"/>
    <n v="280000"/>
    <n v="364000"/>
    <n v="0"/>
    <n v="364000"/>
    <n v="1.3"/>
    <s v="SCIT"/>
    <x v="509"/>
    <d v="2020-10-08T00:00:00"/>
    <m/>
  </r>
  <r>
    <d v="2020-10-14T00:00:00"/>
    <n v="57600"/>
    <n v="93888"/>
    <n v="0"/>
    <n v="93888"/>
    <n v="1.63"/>
    <s v="SCIT"/>
    <x v="510"/>
    <d v="2020-09-25T00:00:00"/>
    <m/>
  </r>
  <r>
    <d v="2020-10-14T00:00:00"/>
    <n v="107208"/>
    <n v="163721.04"/>
    <n v="0"/>
    <n v="163721.04"/>
    <n v="1.5271345421983435"/>
    <s v="SAHEL "/>
    <x v="511"/>
    <d v="2020-10-08T00:00:00"/>
    <m/>
  </r>
  <r>
    <d v="2020-10-16T00:00:00"/>
    <n v="57600"/>
    <n v="93888"/>
    <n v="0"/>
    <n v="93888"/>
    <n v="1.63"/>
    <s v="SCIT"/>
    <x v="512"/>
    <d v="2020-10-08T00:00:00"/>
    <m/>
  </r>
  <r>
    <d v="2020-10-19T00:00:00"/>
    <n v="21540"/>
    <n v="46089.658290000007"/>
    <n v="1142.48"/>
    <n v="44947.178290000003"/>
    <n v="2.0866842288765088"/>
    <s v="OMRANE"/>
    <x v="513"/>
    <d v="2020-09-01T00:00:00"/>
    <m/>
  </r>
  <r>
    <d v="2020-10-19T00:00:00"/>
    <n v="17975"/>
    <n v="30872"/>
    <n v="0"/>
    <n v="30872"/>
    <n v="1.7174965229485397"/>
    <s v="SAHEL "/>
    <x v="514"/>
    <d v="2020-10-02T00:00:00"/>
    <m/>
  </r>
  <r>
    <d v="2020-10-20T00:00:00"/>
    <n v="20000"/>
    <n v="37657.719999999994"/>
    <n v="3989.011"/>
    <n v="33668.708999999995"/>
    <n v="1.6834354499999997"/>
    <s v="ANGSTREM APDX 42"/>
    <x v="515"/>
    <d v="2020-10-16T00:00:00"/>
    <m/>
  </r>
  <r>
    <d v="2020-10-21T00:00:00"/>
    <n v="20157.599999999999"/>
    <n v="34771.86"/>
    <n v="0"/>
    <n v="34771.86"/>
    <n v="1.7250000000000001"/>
    <s v="ARCADIA-CRISPA"/>
    <x v="516"/>
    <d v="2020-09-25T00:00:00"/>
    <m/>
  </r>
  <r>
    <d v="2020-10-22T00:00:00"/>
    <n v="43200"/>
    <n v="70848"/>
    <n v="0"/>
    <n v="70848"/>
    <n v="1.64"/>
    <s v="SAHEL "/>
    <x v="517"/>
    <d v="2020-10-08T00:00:00"/>
    <m/>
  </r>
  <r>
    <d v="2020-10-22T00:00:00"/>
    <n v="27610"/>
    <n v="47611.8"/>
    <n v="0"/>
    <n v="47611.8"/>
    <n v="1.7244404201376313"/>
    <s v="GOLDEN PEARL"/>
    <x v="518"/>
    <d v="2020-10-08T00:00:00"/>
    <m/>
  </r>
  <r>
    <d v="2020-10-23T00:00:00"/>
    <n v="19976"/>
    <n v="33759.440000000002"/>
    <n v="0"/>
    <n v="33759.440000000002"/>
    <n v="1.6900000000000002"/>
    <s v="ARCADIA-CRISPA VER"/>
    <x v="519"/>
    <d v="2020-10-16T00:00:00"/>
    <m/>
  </r>
  <r>
    <d v="2020-10-24T00:00:00"/>
    <n v="20000"/>
    <n v="33600"/>
    <n v="0"/>
    <n v="33600"/>
    <n v="1.68"/>
    <s v="SYNERGIY INTERNATIONAL"/>
    <x v="520"/>
    <d v="2020-09-25T00:00:00"/>
    <m/>
  </r>
  <r>
    <d v="2020-10-26T00:00:00"/>
    <n v="24370"/>
    <n v="51189.590539999997"/>
    <n v="1540.826"/>
    <n v="49648.764539999996"/>
    <n v="2.0372902970865816"/>
    <s v="MAJAN GULF FOODS"/>
    <x v="521"/>
    <d v="2020-10-16T00:00:00"/>
    <m/>
  </r>
  <r>
    <d v="2020-10-26T00:00:00"/>
    <n v="260000"/>
    <n v="362700"/>
    <n v="0"/>
    <n v="362700"/>
    <n v="1.395"/>
    <s v="TAB"/>
    <x v="522"/>
    <d v="2020-10-21T00:00:00"/>
    <m/>
  </r>
  <r>
    <d v="2020-10-27T00:00:00"/>
    <n v="38000"/>
    <n v="64140"/>
    <n v="0"/>
    <n v="64140"/>
    <n v="1.6878947368421053"/>
    <s v="OMEGA"/>
    <x v="523"/>
    <d v="2020-10-08T00:00:00"/>
    <m/>
  </r>
  <r>
    <d v="2020-10-28T00:00:00"/>
    <n v="78000"/>
    <n v="102960"/>
    <n v="0"/>
    <n v="102960"/>
    <n v="1.32"/>
    <s v="OMEGA"/>
    <x v="524"/>
    <d v="2020-10-08T00:00:00"/>
    <m/>
  </r>
  <r>
    <d v="2020-10-28T00:00:00"/>
    <n v="188460"/>
    <n v="235575"/>
    <n v="0"/>
    <n v="235575"/>
    <n v="1.25"/>
    <s v="SAHEL "/>
    <x v="525"/>
    <d v="2020-10-26T00:00:00"/>
    <m/>
  </r>
  <r>
    <d v="2020-10-29T00:00:00"/>
    <n v="138920"/>
    <n v="221835.68"/>
    <n v="0"/>
    <n v="221835.68"/>
    <n v="1.5968591995393031"/>
    <s v="TAB"/>
    <x v="526"/>
    <d v="2020-10-21T00:00:00"/>
    <m/>
  </r>
  <r>
    <d v="2020-10-31T00:00:00"/>
    <n v="75600"/>
    <n v="116220"/>
    <n v="0"/>
    <n v="116220"/>
    <n v="1.5373015873015874"/>
    <s v="TAB"/>
    <x v="527"/>
    <d v="2020-10-21T00:00:00"/>
    <m/>
  </r>
  <r>
    <d v="2020-10-31T00:00:00"/>
    <n v="232300"/>
    <n v="314808"/>
    <n v="0"/>
    <n v="314808"/>
    <n v="1.3551786482996127"/>
    <s v="SCIT"/>
    <x v="528"/>
    <d v="2020-10-22T00:00:00"/>
    <m/>
  </r>
  <r>
    <d v="2020-11-02T00:00:00"/>
    <n v="176064"/>
    <n v="245609.28"/>
    <n v="0"/>
    <n v="245609.28"/>
    <n v="1.395"/>
    <s v="TAB"/>
    <x v="529"/>
    <d v="2020-10-21T00:00:00"/>
    <m/>
  </r>
  <r>
    <d v="2020-11-04T00:00:00"/>
    <n v="19500"/>
    <n v="32955"/>
    <n v="0"/>
    <n v="32955"/>
    <n v="1.69"/>
    <s v="MIDCOM"/>
    <x v="530"/>
    <d v="2020-10-16T00:00:00"/>
    <m/>
  </r>
  <r>
    <d v="2020-11-04T00:00:00"/>
    <n v="20000"/>
    <n v="33000"/>
    <n v="0"/>
    <n v="33000"/>
    <n v="1.65"/>
    <s v="ARCADIA-AB FOOD"/>
    <x v="531"/>
    <d v="2020-10-16T00:00:00"/>
    <m/>
  </r>
  <r>
    <d v="2020-11-05T00:00:00"/>
    <n v="88032"/>
    <n v="142611.84"/>
    <n v="0"/>
    <n v="142611.84"/>
    <n v="1.6199999999999999"/>
    <s v="SAHEL "/>
    <x v="532"/>
    <d v="2020-11-02T00:00:00"/>
    <m/>
  </r>
  <r>
    <d v="2020-11-06T00:00:00"/>
    <n v="108000"/>
    <n v="146948.25599999999"/>
    <n v="24203.643"/>
    <n v="122744.613"/>
    <n v="1.1365241944444444"/>
    <s v="KASSO"/>
    <x v="533"/>
    <d v="2020-11-03T00:00:00"/>
    <m/>
  </r>
  <r>
    <d v="2020-11-06T00:00:00"/>
    <n v="108000"/>
    <n v="146948.25599999999"/>
    <n v="24203.643"/>
    <n v="122744.613"/>
    <n v="1.1365241944444444"/>
    <s v="KASSO"/>
    <x v="534"/>
    <d v="2020-11-03T00:00:00"/>
    <m/>
  </r>
  <r>
    <d v="2020-11-07T00:00:00"/>
    <n v="108000"/>
    <n v="147206.80799999999"/>
    <n v="24203.643"/>
    <n v="123003.16499999999"/>
    <n v="1.1389181944444444"/>
    <s v="KASSO"/>
    <x v="535"/>
    <d v="2020-11-03T00:00:00"/>
    <m/>
  </r>
  <r>
    <d v="2020-11-07T00:00:00"/>
    <n v="108000"/>
    <n v="147206.80799999999"/>
    <n v="24203.643"/>
    <n v="123003.16499999999"/>
    <n v="1.1389181944444444"/>
    <s v="KASSO"/>
    <x v="536"/>
    <d v="2020-11-03T00:00:00"/>
    <m/>
  </r>
  <r>
    <d v="2020-11-09T00:00:00"/>
    <n v="18320"/>
    <n v="40885.198084000003"/>
    <n v="7929.76"/>
    <n v="32955.438084000001"/>
    <n v="1.7988776246724891"/>
    <s v="CENTRAL FOOD"/>
    <x v="537"/>
    <d v="2020-11-02T00:00:00"/>
    <m/>
  </r>
  <r>
    <d v="2020-11-09T00:00:00"/>
    <n v="24360"/>
    <n v="51578.965799999998"/>
    <n v="5628.7020000000002"/>
    <n v="45950.263800000001"/>
    <n v="1.8862998275862068"/>
    <s v="ABOURA FOODS"/>
    <x v="538"/>
    <d v="2020-11-02T00:00:00"/>
    <m/>
  </r>
  <r>
    <d v="2020-11-09T00:00:00"/>
    <n v="24360"/>
    <n v="51020.281079999993"/>
    <n v="4783.0619999999999"/>
    <n v="46237.219079999995"/>
    <n v="1.8980796009852214"/>
    <s v="ALGT"/>
    <x v="539"/>
    <d v="2020-11-02T00:00:00"/>
    <m/>
  </r>
  <r>
    <d v="2020-11-10T00:00:00"/>
    <n v="15360"/>
    <n v="26265.599999999999"/>
    <n v="0"/>
    <n v="26265.599999999999"/>
    <n v="1.71"/>
    <s v="ARCADIA-CANADA"/>
    <x v="540"/>
    <d v="2020-11-02T00:00:00"/>
    <m/>
  </r>
  <r>
    <d v="2020-11-10T00:00:00"/>
    <n v="27312"/>
    <n v="53146.214412000001"/>
    <n v="10923.7"/>
    <n v="42222.514412000004"/>
    <n v="1.5459327186584653"/>
    <s v="SODIFRAM"/>
    <x v="541"/>
    <d v="2020-10-22T00:00:00"/>
    <m/>
  </r>
  <r>
    <d v="2020-11-10T00:00:00"/>
    <n v="60000"/>
    <n v="112044.95999999999"/>
    <n v="11967.438"/>
    <n v="100077.522"/>
    <n v="1.6679587"/>
    <s v="ANGSTREM APDX 43"/>
    <x v="542"/>
    <d v="2020-10-22T00:00:00"/>
    <m/>
  </r>
  <r>
    <d v="2020-11-11T00:00:00"/>
    <n v="41500"/>
    <n v="65570"/>
    <n v="0"/>
    <n v="65570"/>
    <n v="1.58"/>
    <s v="SAHEL "/>
    <x v="543"/>
    <d v="2020-11-04T00:00:00"/>
    <m/>
  </r>
  <r>
    <d v="2020-11-11T00:00:00"/>
    <n v="19200"/>
    <n v="32064"/>
    <n v="0"/>
    <n v="32064"/>
    <n v="1.67"/>
    <s v="SAHEL "/>
    <x v="544"/>
    <d v="2020-11-02T00:00:00"/>
    <m/>
  </r>
  <r>
    <d v="2020-11-11T00:00:00"/>
    <n v="35000"/>
    <n v="124471.515"/>
    <n v="2559.83"/>
    <n v="121911.685"/>
    <n v="3.4831910000000001"/>
    <s v="VALENCIA"/>
    <x v="545"/>
    <d v="2020-11-02T00:00:00"/>
    <m/>
  </r>
  <r>
    <d v="2020-11-11T00:00:00"/>
    <n v="21728"/>
    <n v="44785.279999999999"/>
    <n v="0"/>
    <n v="44785.279999999999"/>
    <n v="2.061178203240059"/>
    <s v="ARCADIA-CANADA"/>
    <x v="546"/>
    <d v="2020-11-03T00:00:00"/>
    <m/>
  </r>
  <r>
    <d v="2020-11-12T00:00:00"/>
    <n v="12036"/>
    <n v="21664.799999999999"/>
    <n v="0"/>
    <n v="21664.799999999999"/>
    <n v="1.8"/>
    <s v="HMM EXPORT"/>
    <x v="547"/>
    <d v="2020-11-02T00:00:00"/>
    <m/>
  </r>
  <r>
    <d v="2020-11-13T00:00:00"/>
    <n v="57600"/>
    <n v="93888"/>
    <n v="0"/>
    <n v="93888"/>
    <n v="1.63"/>
    <s v="SCIT"/>
    <x v="548"/>
    <d v="2020-11-02T00:00:00"/>
    <m/>
  </r>
  <r>
    <d v="2020-11-14T00:00:00"/>
    <n v="82416"/>
    <n v="145751.08962400001"/>
    <n v="24208.18"/>
    <n v="121542.90962400002"/>
    <n v="1.4747489519510777"/>
    <s v="MAMADOU TD"/>
    <x v="549"/>
    <d v="2020-10-22T00:00:00"/>
    <m/>
  </r>
  <r>
    <d v="2020-11-17T00:00:00"/>
    <n v="231600"/>
    <n v="405793.23849999998"/>
    <n v="108790.55"/>
    <n v="297002.68849999999"/>
    <n v="1.2823950280656304"/>
    <s v="SAWABA"/>
    <x v="550"/>
    <d v="2020-10-16T00:00:00"/>
    <m/>
  </r>
  <r>
    <d v="2020-11-19T00:00:00"/>
    <n v="280000"/>
    <n v="364000"/>
    <n v="0"/>
    <n v="364000"/>
    <n v="1.3"/>
    <s v="SCIT"/>
    <x v="551"/>
    <d v="2020-11-12T00:00:00"/>
    <m/>
  </r>
  <r>
    <d v="2020-11-23T00:00:00"/>
    <n v="20000"/>
    <n v="33900"/>
    <n v="0"/>
    <n v="33900"/>
    <n v="1.6950000000000001"/>
    <s v="ARCADIA"/>
    <x v="552"/>
    <d v="2020-11-18T00:00:00"/>
    <m/>
  </r>
  <r>
    <d v="2020-11-23T00:00:00"/>
    <n v="15480"/>
    <n v="51716.093399999998"/>
    <n v="1783.89"/>
    <n v="49932.203399999999"/>
    <n v="3.2255945348837209"/>
    <s v="DAVIS TRADING"/>
    <x v="553"/>
    <d v="2020-11-12T00:00:00"/>
    <m/>
  </r>
  <r>
    <d v="2020-11-23T00:00:00"/>
    <n v="19200"/>
    <n v="29952"/>
    <n v="0"/>
    <n v="29952"/>
    <n v="1.56"/>
    <s v="MIDCOM"/>
    <x v="554"/>
    <d v="2020-11-12T00:00:00"/>
    <m/>
  </r>
  <r>
    <d v="2020-11-24T00:00:00"/>
    <n v="43200"/>
    <n v="70848"/>
    <n v="0"/>
    <n v="70848"/>
    <n v="1.64"/>
    <s v="SAHEL "/>
    <x v="555"/>
    <d v="2020-11-12T00:00:00"/>
    <m/>
  </r>
  <r>
    <d v="2020-11-24T00:00:00"/>
    <n v="43060"/>
    <n v="70089.2"/>
    <n v="0"/>
    <n v="70089.2"/>
    <n v="1.6277101718532281"/>
    <s v="SAHEL "/>
    <x v="556"/>
    <d v="2020-11-12T00:00:00"/>
    <m/>
  </r>
  <r>
    <d v="2020-11-24T00:00:00"/>
    <n v="19200"/>
    <n v="32064"/>
    <n v="0"/>
    <n v="32064"/>
    <n v="1.67"/>
    <s v="SAHEL "/>
    <x v="557"/>
    <d v="2020-11-18T00:00:00"/>
    <m/>
  </r>
  <r>
    <d v="2020-11-25T00:00:00"/>
    <n v="196800"/>
    <n v="255840"/>
    <n v="0"/>
    <n v="255840"/>
    <n v="1.3"/>
    <s v="SAHEL "/>
    <x v="558"/>
    <d v="2020-11-19T00:00:00"/>
    <m/>
  </r>
  <r>
    <d v="2020-11-25T00:00:00"/>
    <n v="52000"/>
    <n v="76180"/>
    <n v="0"/>
    <n v="76180"/>
    <n v="1.4650000000000001"/>
    <s v="SCIT"/>
    <x v="559"/>
    <d v="2020-11-20T00:00:00"/>
    <m/>
  </r>
  <r>
    <d v="2020-11-26T00:00:00"/>
    <n v="312000"/>
    <n v="435240"/>
    <n v="0"/>
    <n v="435240"/>
    <n v="1.395"/>
    <s v="TAB"/>
    <x v="560"/>
    <d v="2020-11-12T00:00:00"/>
    <m/>
  </r>
  <r>
    <d v="2020-11-26T00:00:00"/>
    <n v="122304"/>
    <n v="208689.85196799997"/>
    <n v="18409.858"/>
    <n v="190279.99396799997"/>
    <n v="1.5557953457613811"/>
    <s v="AL MAGEMOUA"/>
    <x v="561"/>
    <d v="2020-11-02T00:00:00"/>
    <m/>
  </r>
  <r>
    <d v="2020-11-28T00:00:00"/>
    <n v="185400"/>
    <n v="245424"/>
    <n v="0"/>
    <n v="245424"/>
    <n v="1.3237540453074434"/>
    <s v="SCIT"/>
    <x v="562"/>
    <d v="2020-11-19T00:00:00"/>
    <m/>
  </r>
  <r>
    <d v="2020-11-28T00:00:00"/>
    <n v="27336"/>
    <n v="53288.907702000004"/>
    <n v="11003"/>
    <n v="42285.907702000004"/>
    <n v="1.5468944871963712"/>
    <s v="SODIFRAM"/>
    <x v="563"/>
    <d v="2020-11-19T00:00:00"/>
    <m/>
  </r>
  <r>
    <d v="2020-11-30T00:00:00"/>
    <n v="17975"/>
    <n v="30872"/>
    <n v="0"/>
    <n v="30872"/>
    <n v="1.7174965229485397"/>
    <s v="SAHEL "/>
    <x v="564"/>
    <d v="2020-11-20T00:00:00"/>
    <m/>
  </r>
  <r>
    <d v="2020-12-02T00:00:00"/>
    <n v="76800"/>
    <n v="127488"/>
    <n v="0"/>
    <n v="127488"/>
    <n v="1.66"/>
    <s v="SAHEL"/>
    <x v="565"/>
    <d v="2020-11-27T00:00:00"/>
    <m/>
  </r>
  <r>
    <d v="2020-12-05T00:00:00"/>
    <n v="24868"/>
    <n v="50183.384072000001"/>
    <n v="550"/>
    <n v="49633.384072000001"/>
    <n v="1.9958735753578898"/>
    <s v="MBCD "/>
    <x v="566"/>
    <d v="2020-11-19T00:00:00"/>
    <m/>
  </r>
  <r>
    <d v="2020-12-07T00:00:00"/>
    <n v="20000"/>
    <n v="32000"/>
    <n v="0"/>
    <n v="32000"/>
    <n v="1.6"/>
    <s v="SCIT"/>
    <x v="567"/>
    <d v="2020-11-02T00:00:00"/>
    <m/>
  </r>
  <r>
    <d v="2020-12-08T00:00:00"/>
    <n v="20000"/>
    <n v="38134.154999999999"/>
    <n v="4036.16"/>
    <n v="34097.994999999995"/>
    <n v="1.7048997499999998"/>
    <s v="ANGSTREM APDX°44"/>
    <x v="568"/>
    <d v="2020-12-02T00:00:00"/>
    <m/>
  </r>
  <r>
    <d v="2020-12-09T00:00:00"/>
    <n v="41000"/>
    <n v="69700"/>
    <n v="0"/>
    <n v="69700"/>
    <n v="1.7"/>
    <s v="ARCADIA-MELVIT"/>
    <x v="569"/>
    <d v="2020-11-19T00:00:00"/>
    <m/>
  </r>
  <r>
    <d v="2020-12-09T00:00:00"/>
    <n v="79008"/>
    <n v="119973.12"/>
    <n v="0"/>
    <n v="119973.12"/>
    <n v="1.5184933171324422"/>
    <s v="SAHEL"/>
    <x v="570"/>
    <d v="2020-11-27T00:00:00"/>
    <m/>
  </r>
  <r>
    <d v="2020-12-09T00:00:00"/>
    <n v="44016"/>
    <n v="73506.720000000001"/>
    <n v="0"/>
    <n v="73506.720000000001"/>
    <n v="1.67"/>
    <s v="SAHEL"/>
    <x v="571"/>
    <d v="2020-12-04T00:00:00"/>
    <m/>
  </r>
  <r>
    <d v="2020-12-09T00:00:00"/>
    <n v="22800"/>
    <n v="33744"/>
    <n v="0"/>
    <n v="33744"/>
    <n v="1.48"/>
    <s v="SCIT"/>
    <x v="572"/>
    <d v="2020-12-02T00:00:00"/>
    <m/>
  </r>
  <r>
    <d v="2020-12-11T00:00:00"/>
    <n v="25600"/>
    <n v="76928"/>
    <n v="0"/>
    <n v="76928"/>
    <n v="3.0049999999999999"/>
    <s v="ARCADIA-CANADA"/>
    <x v="573"/>
    <d v="2020-12-04T00:00:00"/>
    <m/>
  </r>
  <r>
    <d v="2020-12-11T00:00:00"/>
    <n v="79640"/>
    <n v="117780.4"/>
    <n v="0"/>
    <n v="117780.4"/>
    <n v="1.4789100954294323"/>
    <s v="TAB"/>
    <x v="574"/>
    <d v="2020-12-02T00:00:00"/>
    <m/>
  </r>
  <r>
    <d v="2020-12-15T00:00:00"/>
    <n v="156824"/>
    <n v="251675.12"/>
    <n v="0"/>
    <n v="251675.12"/>
    <n v="1.6048252818446156"/>
    <s v="TAB"/>
    <x v="575"/>
    <d v="2020-12-11T00:00:00"/>
    <m/>
  </r>
  <r>
    <d v="2020-12-16T00:00:00"/>
    <n v="20157.599999999999"/>
    <n v="34771.86"/>
    <n v="0"/>
    <n v="34771.86"/>
    <n v="1.7250000000000001"/>
    <s v="ARCADIA"/>
    <x v="576"/>
    <d v="2020-12-04T00:00:00"/>
    <m/>
  </r>
  <r>
    <d v="2020-12-16T00:00:00"/>
    <n v="131600"/>
    <n v="171080"/>
    <n v="0"/>
    <n v="171080"/>
    <n v="1.3"/>
    <s v="SAHEL"/>
    <x v="577"/>
    <d v="2020-12-11T00:00:00"/>
    <m/>
  </r>
  <r>
    <d v="2020-12-16T00:00:00"/>
    <n v="22008"/>
    <n v="36753.360000000001"/>
    <n v="0"/>
    <n v="36753.360000000001"/>
    <n v="1.67"/>
    <s v="SAHEL"/>
    <x v="578"/>
    <d v="2020-12-11T00:00:00"/>
    <m/>
  </r>
  <r>
    <d v="2020-12-19T00:00:00"/>
    <n v="146424"/>
    <n v="221908.08"/>
    <n v="0"/>
    <n v="221908.08"/>
    <n v="1.5155171283396163"/>
    <s v="TAB"/>
    <x v="579"/>
    <d v="2020-12-11T00:00:00"/>
    <m/>
  </r>
  <r>
    <d v="2020-12-21T00:00:00"/>
    <n v="7500"/>
    <n v="33074.272000000004"/>
    <n v="4458.99"/>
    <n v="28615.282000000007"/>
    <n v="3.8153709333333343"/>
    <s v="ABOURA FOODS"/>
    <x v="580"/>
    <d v="2020-12-11T00:00:00"/>
    <m/>
  </r>
  <r>
    <d v="2020-12-21T00:00:00"/>
    <n v="560000"/>
    <n v="736400"/>
    <n v="0"/>
    <n v="736400"/>
    <n v="1.3149999999999999"/>
    <s v="SCIT"/>
    <x v="581"/>
    <d v="2020-12-02T00:00:00"/>
    <m/>
  </r>
  <r>
    <d v="2020-12-21T00:00:00"/>
    <n v="17720"/>
    <n v="57859.573040000003"/>
    <n v="1412.72"/>
    <n v="56446.853040000002"/>
    <n v="3.185488320541761"/>
    <s v="DAVIS TRADING"/>
    <x v="582"/>
    <d v="2020-12-11T00:00:00"/>
    <m/>
  </r>
  <r>
    <d v="2020-12-21T00:00:00"/>
    <n v="19004"/>
    <n v="38376.443496"/>
    <n v="1439.48"/>
    <n v="36936.963495999997"/>
    <n v="1.9436415226268153"/>
    <s v="OMRANE"/>
    <x v="583"/>
    <d v="2020-12-11T00:00:00"/>
    <m/>
  </r>
  <r>
    <d v="2020-12-22T00:00:00"/>
    <n v="40000"/>
    <n v="73021.12000000001"/>
    <n v="7784.4480000000003"/>
    <n v="65236.672000000006"/>
    <n v="1.6309168000000001"/>
    <s v="ANGSTREM APDX°45"/>
    <x v="584"/>
    <d v="2020-12-11T00:00:00"/>
    <m/>
  </r>
  <r>
    <d v="2020-12-23T00:00:00"/>
    <n v="199020"/>
    <n v="248775"/>
    <n v="0"/>
    <n v="248775"/>
    <n v="1.25"/>
    <s v="SAHEL"/>
    <x v="585"/>
    <d v="2020-12-11T00:00:00"/>
    <m/>
  </r>
  <r>
    <d v="2020-12-23T00:00:00"/>
    <n v="19200"/>
    <n v="33024"/>
    <n v="0"/>
    <n v="33024"/>
    <n v="1.72"/>
    <s v="SAHEL"/>
    <x v="586"/>
    <d v="2020-12-15T00:00:00"/>
    <m/>
  </r>
  <r>
    <d v="2020-12-24T00:00:00"/>
    <n v="68544"/>
    <n v="148828.98412800001"/>
    <n v="34283.160000000003"/>
    <n v="114545.82412800001"/>
    <n v="1.671128386554622"/>
    <s v="SODIFRAM"/>
    <x v="587"/>
    <d v="2020-12-11T00:00:00"/>
    <m/>
  </r>
  <r>
    <d v="2020-12-24T00:00:00"/>
    <n v="24645.279999999999"/>
    <n v="44756.652999999998"/>
    <n v="0"/>
    <n v="44756.652999999998"/>
    <n v="1.8160334554933033"/>
    <s v="ARCADIA"/>
    <x v="588"/>
    <d v="2020-12-11T00:00:00"/>
    <m/>
  </r>
  <r>
    <d v="2020-12-24T00:00:00"/>
    <n v="52850"/>
    <n v="91723"/>
    <n v="0"/>
    <n v="91723"/>
    <n v="1.735534531693472"/>
    <s v="GOLDEN PEARL"/>
    <x v="589"/>
    <d v="2020-12-11T00:00:00"/>
    <m/>
  </r>
  <r>
    <d v="2020-12-24T00:00:00"/>
    <n v="27372"/>
    <n v="58957.048722"/>
    <n v="11428.12"/>
    <n v="47528.928721999997"/>
    <n v="1.7364068654829752"/>
    <s v="SODISCOUNT"/>
    <x v="590"/>
    <d v="2020-12-11T00:00:00"/>
    <m/>
  </r>
  <r>
    <d v="2020-12-24T00:00:00"/>
    <n v="38400"/>
    <n v="71477.528000000006"/>
    <n v="11851.13"/>
    <n v="59626.398000000008"/>
    <n v="1.5527707812500002"/>
    <s v="MAMADOU TD"/>
    <x v="591"/>
    <d v="2020-11-27T00:00:00"/>
    <m/>
  </r>
  <r>
    <d v="2020-12-28T00:00:00"/>
    <n v="45600"/>
    <n v="67488"/>
    <n v="0"/>
    <n v="67488"/>
    <n v="1.48"/>
    <s v="TAB"/>
    <x v="592"/>
    <d v="2020-12-23T00:00:00"/>
    <m/>
  </r>
  <r>
    <d v="2020-12-28T00:00:00"/>
    <n v="24000"/>
    <n v="35900"/>
    <n v="0"/>
    <n v="35900"/>
    <n v="1.4958333333333333"/>
    <s v="SCIT"/>
    <x v="593"/>
    <d v="2020-12-23T00:00:00"/>
    <m/>
  </r>
  <r>
    <d v="2020-12-28T00:00:00"/>
    <n v="68000"/>
    <n v="104400"/>
    <n v="0"/>
    <n v="104400"/>
    <n v="1.5352941176470589"/>
    <s v="SCIT"/>
    <x v="594"/>
    <d v="2020-12-23T00:00:00"/>
    <m/>
  </r>
  <r>
    <d v="2020-12-28T00:00:00"/>
    <n v="35950"/>
    <n v="63541.5"/>
    <n v="0"/>
    <n v="63541.5"/>
    <n v="1.7674965229485395"/>
    <s v="SAHEL"/>
    <x v="595"/>
    <d v="2020-12-11T00:00:00"/>
    <m/>
  </r>
  <r>
    <d v="2020-12-30T00:00:00"/>
    <n v="76800"/>
    <n v="129024"/>
    <n v="0"/>
    <n v="129024"/>
    <n v="1.68"/>
    <s v="SCIT"/>
    <x v="596"/>
    <d v="2020-12-23T00:00:00"/>
    <m/>
  </r>
  <r>
    <d v="2020-12-30T00:00:00"/>
    <n v="21580"/>
    <n v="26975"/>
    <n v="0"/>
    <n v="26975"/>
    <n v="1.25"/>
    <s v="SAHEL"/>
    <x v="597"/>
    <d v="2020-12-18T00:00:00"/>
    <m/>
  </r>
  <r>
    <d v="2020-12-30T00:00:00"/>
    <n v="20400"/>
    <n v="34476"/>
    <n v="0"/>
    <n v="34476"/>
    <n v="1.69"/>
    <s v="MIDCOM"/>
    <x v="598"/>
    <d v="2020-12-23T00:00:00"/>
    <m/>
  </r>
  <r>
    <d v="2021-01-12T00:00:00"/>
    <n v="20000"/>
    <n v="37924.770000000004"/>
    <n v="5187.58"/>
    <n v="32737.190000000002"/>
    <n v="1.6368595000000001"/>
    <s v="ANGSTREM APDX°46"/>
    <x v="599"/>
    <d v="2021-01-07T00:00:00"/>
    <n v="917.95"/>
  </r>
  <r>
    <d v="2021-01-13T00:00:00"/>
    <n v="22008"/>
    <n v="36753.360000000001"/>
    <n v="0"/>
    <n v="36753.360000000001"/>
    <n v="1.67"/>
    <s v="SAHEL"/>
    <x v="600"/>
    <d v="2021-01-06T00:00:00"/>
    <n v="0"/>
  </r>
  <r>
    <d v="2021-01-13T00:00:00"/>
    <n v="44016"/>
    <n v="73506.720000000001"/>
    <n v="0"/>
    <n v="73506.720000000001"/>
    <n v="1.67"/>
    <s v="SAHEL"/>
    <x v="601"/>
    <d v="2021-01-06T00:00:00"/>
    <n v="0"/>
  </r>
  <r>
    <d v="2021-01-15T00:00:00"/>
    <n v="10800"/>
    <n v="25070.207400000003"/>
    <n v="7059.51"/>
    <n v="18010.697400000005"/>
    <n v="1.6676571666666671"/>
    <s v="SODIFRAM"/>
    <x v="602"/>
    <d v="2021-01-06T00:00:00"/>
    <n v="2369.98"/>
  </r>
  <r>
    <d v="2021-01-15T00:00:00"/>
    <n v="27336"/>
    <n v="58786.255584000013"/>
    <n v="11081.8"/>
    <n v="47704.45558400001"/>
    <n v="1.7451147052970446"/>
    <s v="SODIFRAM"/>
    <x v="603"/>
    <d v="2021-01-06T00:00:00"/>
    <n v="3979.0160000000005"/>
  </r>
  <r>
    <d v="2021-01-15T00:00:00"/>
    <n v="23426"/>
    <n v="50619.765119999996"/>
    <n v="10645.382"/>
    <n v="39974.383119999999"/>
    <n v="1.7064109587637668"/>
    <s v="GREENWORLD"/>
    <x v="604"/>
    <d v="2021-01-07T00:00:00"/>
    <n v="2016.298"/>
  </r>
  <r>
    <d v="2021-01-15T00:00:00"/>
    <n v="156000"/>
    <n v="221520"/>
    <n v="0"/>
    <n v="221520"/>
    <n v="1.42"/>
    <s v="TAB"/>
    <x v="605"/>
    <d v="2021-01-06T00:00:00"/>
    <n v="0"/>
  </r>
  <r>
    <d v="2021-01-18T00:00:00"/>
    <n v="41500"/>
    <n v="67645"/>
    <n v="0"/>
    <n v="67645"/>
    <n v="1.63"/>
    <s v="SAHEL"/>
    <x v="606"/>
    <d v="2021-01-06T00:00:00"/>
    <n v="0"/>
  </r>
  <r>
    <d v="2021-01-18T00:00:00"/>
    <n v="140000"/>
    <n v="184800"/>
    <n v="0"/>
    <n v="184800"/>
    <n v="1.32"/>
    <s v="SCIT"/>
    <x v="607"/>
    <d v="2021-01-08T00:00:00"/>
    <n v="0"/>
  </r>
  <r>
    <d v="2021-01-18T00:00:00"/>
    <n v="20000"/>
    <n v="33200"/>
    <n v="0"/>
    <n v="33200"/>
    <n v="1.66"/>
    <s v="ARCADIA-AB"/>
    <x v="608"/>
    <d v="2021-01-06T00:00:00"/>
    <n v="0"/>
  </r>
  <r>
    <d v="2021-01-20T00:00:00"/>
    <n v="279120"/>
    <n v="499824.9118"/>
    <n v="110530.7"/>
    <n v="389294.21179999999"/>
    <n v="1.3947198760389796"/>
    <s v="SAWABA"/>
    <x v="609"/>
    <d v="2021-01-06T00:00:00"/>
    <n v="39455.160000000003"/>
  </r>
  <r>
    <d v="2021-01-20T00:00:00"/>
    <n v="105372"/>
    <n v="165274.20000000001"/>
    <n v="0"/>
    <n v="165274.20000000001"/>
    <n v="1.5684830884865051"/>
    <s v="SAHEL"/>
    <x v="610"/>
    <d v="2021-01-06T00:00:00"/>
    <n v="0"/>
  </r>
  <r>
    <d v="2021-01-20T00:00:00"/>
    <n v="41768"/>
    <n v="73330.080000000002"/>
    <n v="0"/>
    <n v="73330.080000000002"/>
    <n v="1.7556521739130435"/>
    <s v="ARCADIA-CANADA"/>
    <x v="611"/>
    <d v="2021-01-11T00:00:00"/>
    <n v="0"/>
  </r>
  <r>
    <d v="2021-01-21T00:00:00"/>
    <n v="96000"/>
    <n v="161280"/>
    <n v="0"/>
    <n v="161280"/>
    <n v="1.68"/>
    <s v="SCIT"/>
    <x v="612"/>
    <d v="2021-01-06T00:00:00"/>
    <n v="0"/>
  </r>
  <r>
    <d v="2021-01-21T00:00:00"/>
    <n v="19200"/>
    <n v="39628.582399999999"/>
    <n v="6338.7439999999997"/>
    <n v="33289.838400000001"/>
    <n v="1.73384575"/>
    <s v="MATMATA"/>
    <x v="613"/>
    <d v="2021-01-06T00:00:00"/>
    <n v="2093.5936000000002"/>
  </r>
  <r>
    <d v="2021-01-21T00:00:00"/>
    <n v="140000"/>
    <n v="184800"/>
    <n v="0"/>
    <n v="184800"/>
    <n v="1.32"/>
    <s v="SCIT"/>
    <x v="614"/>
    <d v="2021-01-08T00:00:00"/>
    <n v="0"/>
  </r>
  <r>
    <d v="2021-01-25T00:00:00"/>
    <n v="264096"/>
    <n v="368413.92"/>
    <n v="0"/>
    <n v="368413.92"/>
    <n v="1.395"/>
    <s v="TAB"/>
    <x v="615"/>
    <d v="2021-01-13T00:00:00"/>
    <n v="0"/>
  </r>
  <r>
    <d v="2021-01-26T00:00:00"/>
    <n v="35950"/>
    <n v="63541.5"/>
    <n v="0"/>
    <n v="63541.5"/>
    <n v="1.7674965229485395"/>
    <s v="SAHEL"/>
    <x v="616"/>
    <d v="2021-01-06T00:00:00"/>
    <n v="0"/>
  </r>
  <r>
    <d v="2021-01-26T00:00:00"/>
    <n v="17320"/>
    <n v="56824.447320000007"/>
    <n v="1497.02"/>
    <n v="55327.42732000001"/>
    <n v="3.1944242101616633"/>
    <s v="DAVIS TRADING"/>
    <x v="617"/>
    <d v="2021-01-13T00:00:00"/>
    <n v="0"/>
  </r>
  <r>
    <d v="2021-01-27T00:00:00"/>
    <n v="8092"/>
    <n v="20858.623295999998"/>
    <n v="0"/>
    <n v="20858.623295999998"/>
    <n v="2.5776845397923873"/>
    <s v="DISTREUROP"/>
    <x v="618"/>
    <d v="2021-01-21T00:00:00"/>
    <n v="0"/>
  </r>
  <r>
    <d v="2021-01-28T00:00:00"/>
    <n v="76800"/>
    <n v="129024"/>
    <n v="0"/>
    <n v="129024"/>
    <n v="1.68"/>
    <s v="SCIT"/>
    <x v="619"/>
    <d v="2021-01-06T00:00:00"/>
    <n v="0"/>
  </r>
  <r>
    <d v="2021-02-01T00:00:00"/>
    <n v="19200"/>
    <n v="33024"/>
    <n v="0"/>
    <n v="33024"/>
    <n v="1.72"/>
    <s v="SAHEL"/>
    <x v="620"/>
    <d v="2021-01-06T00:00:00"/>
    <n v="0"/>
  </r>
  <r>
    <d v="2021-02-01T00:00:00"/>
    <n v="20750"/>
    <n v="33822.5"/>
    <n v="0"/>
    <n v="33822.5"/>
    <n v="1.63"/>
    <s v="SAHEL"/>
    <x v="621"/>
    <d v="2021-01-26T00:00:00"/>
    <n v="0"/>
  </r>
  <r>
    <d v="2021-02-01T00:00:00"/>
    <n v="44016"/>
    <n v="71858.645040000003"/>
    <n v="11677.806"/>
    <n v="60180.839040000006"/>
    <n v="1.3672491603053436"/>
    <s v="MAMADOU TD"/>
    <x v="622"/>
    <d v="2021-01-13T00:00:00"/>
    <n v="3958.1784000000002"/>
  </r>
  <r>
    <d v="2021-02-03T00:00:00"/>
    <n v="108000"/>
    <n v="162885.81600000002"/>
    <n v="21015.42"/>
    <n v="141870.39600000001"/>
    <n v="1.3136147777777778"/>
    <s v="KASSO"/>
    <x v="623"/>
    <d v="2021-01-23T00:00:00"/>
    <n v="6571.152000000001"/>
  </r>
  <r>
    <d v="2021-02-04T00:00:00"/>
    <n v="108000"/>
    <n v="162885.81600000002"/>
    <n v="21015.42"/>
    <n v="141870.39600000001"/>
    <n v="1.3136147777777778"/>
    <s v="KASSO"/>
    <x v="624"/>
    <d v="2021-01-23T00:00:00"/>
    <n v="6571.1552000000001"/>
  </r>
  <r>
    <d v="2021-02-05T00:00:00"/>
    <n v="108000"/>
    <n v="162736.77600000001"/>
    <n v="21015.42"/>
    <n v="141721.35600000003"/>
    <n v="1.3122347777777781"/>
    <s v="KASSO"/>
    <x v="625"/>
    <d v="2021-01-23T00:00:00"/>
    <n v="6571.1552000000001"/>
  </r>
  <r>
    <d v="2021-02-08T00:00:00"/>
    <n v="96000"/>
    <n v="161280"/>
    <n v="0"/>
    <n v="161280"/>
    <n v="1.68"/>
    <s v="SCIT"/>
    <x v="626"/>
    <d v="2021-02-02T00:00:00"/>
    <n v="0"/>
  </r>
  <r>
    <d v="2021-02-10T00:00:00"/>
    <n v="104000"/>
    <n v="177732.54265000002"/>
    <n v="32957.252"/>
    <n v="144775.29065000001"/>
    <n v="1.3920701024038462"/>
    <s v="SAWABA"/>
    <x v="627"/>
    <d v="2021-02-02T00:00:00"/>
    <n v="11443.4208"/>
  </r>
  <r>
    <d v="2021-02-10T00:00:00"/>
    <n v="44016"/>
    <n v="73506.720000000001"/>
    <n v="0"/>
    <n v="73506.720000000001"/>
    <n v="1.67"/>
    <s v="SAHEL"/>
    <x v="628"/>
    <d v="2021-02-03T00:00:00"/>
    <n v="0"/>
  </r>
  <r>
    <d v="2021-02-10T00:00:00"/>
    <n v="27000"/>
    <n v="44100"/>
    <n v="0"/>
    <n v="44100"/>
    <n v="1.6333333333333333"/>
    <s v="SAHEL"/>
    <x v="629"/>
    <d v="2021-02-03T00:00:00"/>
    <n v="0"/>
  </r>
  <r>
    <d v="2021-02-10T00:00:00"/>
    <n v="22008"/>
    <n v="36753.360000000001"/>
    <n v="0"/>
    <n v="36753.360000000001"/>
    <n v="1.67"/>
    <s v="SAHEL"/>
    <x v="630"/>
    <d v="2021-01-06T00:00:00"/>
    <n v="0"/>
  </r>
  <r>
    <d v="2021-02-10T00:00:00"/>
    <n v="13200"/>
    <n v="23744.400000000001"/>
    <n v="0"/>
    <n v="23744.400000000001"/>
    <n v="1.7988181818181819"/>
    <s v="ARCADIA "/>
    <x v="631"/>
    <d v="2021-01-26T00:00:00"/>
    <n v="0"/>
  </r>
  <r>
    <d v="2021-02-11T00:00:00"/>
    <n v="107016"/>
    <n v="195272.94503999999"/>
    <n v="32960.11"/>
    <n v="162312.83503999998"/>
    <n v="1.5167155849592582"/>
    <s v="MAMADOU TD"/>
    <x v="632"/>
    <d v="2021-02-03T00:00:00"/>
    <n v="10938.564"/>
  </r>
  <r>
    <d v="2021-02-12T00:00:00"/>
    <n v="25702"/>
    <n v="51980.777182500002"/>
    <n v="0"/>
    <n v="51980.777182500002"/>
    <n v="2.0224409455489845"/>
    <s v="CENTRAL FOOD"/>
    <x v="633"/>
    <d v="2021-02-03T00:00:00"/>
    <n v="0"/>
  </r>
  <r>
    <d v="2021-02-13T00:00:00"/>
    <n v="157520"/>
    <n v="265289.12"/>
    <n v="0"/>
    <n v="265289.12"/>
    <n v="1.6841615033011681"/>
    <s v="TAB"/>
    <x v="634"/>
    <d v="2021-02-02T00:00:00"/>
    <n v="0"/>
  </r>
  <r>
    <d v="2021-02-13T00:00:00"/>
    <n v="108000"/>
    <n v="163136.70000000001"/>
    <n v="20812.919999999998"/>
    <n v="142323.78000000003"/>
    <n v="1.3178127777777779"/>
    <s v="KASSO"/>
    <x v="635"/>
    <d v="2021-02-04T00:00:00"/>
    <n v="6590.8320000000012"/>
  </r>
  <r>
    <d v="2021-02-15T00:00:00"/>
    <n v="108000"/>
    <n v="163136.70000000001"/>
    <n v="20336.919999999998"/>
    <n v="142799.78000000003"/>
    <n v="1.3222201851851854"/>
    <s v="KASSO"/>
    <x v="636"/>
    <d v="2021-02-04T00:00:00"/>
    <n v="6590.8320000000012"/>
  </r>
  <r>
    <d v="2021-02-15T00:00:00"/>
    <n v="20000"/>
    <n v="34000"/>
    <n v="0"/>
    <n v="34000"/>
    <n v="1.7"/>
    <s v="ARCADIA -AB "/>
    <x v="637"/>
    <d v="2021-02-02T00:00:00"/>
    <n v="0"/>
  </r>
  <r>
    <d v="2021-02-15T00:00:00"/>
    <n v="26680"/>
    <n v="76002"/>
    <n v="0"/>
    <n v="76002"/>
    <n v="2.8486506746626685"/>
    <s v="SOGETRAC"/>
    <x v="638"/>
    <d v="2021-02-08T00:00:00"/>
    <n v="0"/>
  </r>
  <r>
    <d v="2021-02-16T00:00:00"/>
    <n v="140000"/>
    <n v="191800"/>
    <n v="0"/>
    <n v="191800"/>
    <n v="1.37"/>
    <s v="SCIT"/>
    <x v="639"/>
    <d v="2021-02-03T00:00:00"/>
    <n v="0"/>
  </r>
  <r>
    <d v="2021-02-17T00:00:00"/>
    <n v="38000"/>
    <n v="66688"/>
    <n v="0"/>
    <n v="66688"/>
    <n v="1.7549473684210526"/>
    <s v="OMEGA"/>
    <x v="640"/>
    <d v="2021-02-08T00:00:00"/>
    <n v="0"/>
  </r>
  <r>
    <d v="2021-02-18T00:00:00"/>
    <n v="335904"/>
    <n v="598716.39495600003"/>
    <n v="131869.9"/>
    <n v="466846.49495600001"/>
    <n v="1.3898211838977803"/>
    <s v="SAWABA"/>
    <x v="641"/>
    <d v="2021-02-02T00:00:00"/>
    <n v="47360.376000000004"/>
  </r>
  <r>
    <d v="2021-02-18T00:00:00"/>
    <n v="25800"/>
    <n v="45141"/>
    <n v="0"/>
    <n v="45141"/>
    <n v="1.7496511627906977"/>
    <s v="ARCADIA-K&amp;K"/>
    <x v="642"/>
    <d v="2021-02-10T00:00:00"/>
    <n v="0"/>
  </r>
  <r>
    <d v="2021-02-19T00:00:00"/>
    <n v="4540"/>
    <n v="8512.5"/>
    <n v="0"/>
    <n v="8512.5"/>
    <n v="1.875"/>
    <s v="ARCADIA - KARTAGO"/>
    <x v="643"/>
    <d v="2021-02-10T00:00:00"/>
    <n v="0"/>
  </r>
  <r>
    <d v="2021-02-20T00:00:00"/>
    <n v="131040"/>
    <n v="221208.95999999999"/>
    <n v="0"/>
    <n v="221208.95999999999"/>
    <n v="1.688102564102564"/>
    <s v="TAB"/>
    <x v="644"/>
    <d v="2021-02-02T00:00:00"/>
    <n v="0"/>
  </r>
  <r>
    <d v="2021-02-22T00:00:00"/>
    <n v="57600"/>
    <n v="101376"/>
    <n v="0"/>
    <n v="101376"/>
    <n v="1.76"/>
    <s v="SCIT"/>
    <x v="645"/>
    <d v="2021-02-02T00:00:00"/>
    <n v="0"/>
  </r>
  <r>
    <d v="2021-02-23T00:00:00"/>
    <n v="8330"/>
    <n v="37209.302155000005"/>
    <n v="5447.52"/>
    <n v="31761.782155000004"/>
    <n v="3.8129390342136862"/>
    <s v="ABOURA FOOD"/>
    <x v="646"/>
    <d v="2021-02-12T00:00:00"/>
    <n v="1093.3599999999999"/>
  </r>
  <r>
    <d v="2021-02-23T00:00:00"/>
    <n v="26780"/>
    <n v="51974.067950000004"/>
    <n v="5447.52"/>
    <n v="46526.547950000007"/>
    <n v="1.7373617606422707"/>
    <s v="ABOURA FOOD"/>
    <x v="647"/>
    <d v="2021-02-12T00:00:00"/>
    <n v="1093.3599999999999"/>
  </r>
  <r>
    <d v="2021-02-23T00:00:00"/>
    <n v="9324"/>
    <n v="20991.599999999999"/>
    <n v="0"/>
    <n v="20991.599999999999"/>
    <n v="2.2513513513513512"/>
    <s v="CT TRADING"/>
    <x v="648"/>
    <d v="2021-02-08T00:00:00"/>
    <n v="0"/>
  </r>
  <r>
    <d v="2021-02-24T00:00:00"/>
    <n v="60440"/>
    <n v="132312.63045"/>
    <n v="28463.092000000001"/>
    <n v="103849.53844999999"/>
    <n v="1.7182253218067505"/>
    <s v="RNK DISTRIBUTION"/>
    <x v="649"/>
    <d v="2021-02-12T00:00:00"/>
    <n v="10088.0208"/>
  </r>
  <r>
    <d v="2021-02-25T00:00:00"/>
    <n v="78000"/>
    <n v="110760"/>
    <n v="0"/>
    <n v="110760"/>
    <n v="1.42"/>
    <s v="TAB"/>
    <x v="650"/>
    <d v="2021-02-22T00:00:00"/>
    <n v="0"/>
  </r>
  <r>
    <d v="2021-02-27T00:00:00"/>
    <n v="35940"/>
    <n v="63919.8"/>
    <n v="0"/>
    <n v="63919.8"/>
    <n v="1.7785141903171955"/>
    <s v="SAHEL"/>
    <x v="651"/>
    <d v="2021-02-18T00:00:00"/>
    <n v="0"/>
  </r>
  <r>
    <d v="2021-03-01T00:00:00"/>
    <n v="27336"/>
    <n v="58986.453259999995"/>
    <n v="11182.12"/>
    <n v="47804.333259999992"/>
    <n v="1.7487684101551064"/>
    <s v="SODIFRAM"/>
    <x v="652"/>
    <d v="2021-02-22T00:00:00"/>
    <n v="4023.2160000000003"/>
  </r>
  <r>
    <d v="2021-03-01T00:00:00"/>
    <n v="38400"/>
    <n v="67296"/>
    <n v="0"/>
    <n v="67296"/>
    <n v="1.7524999999999999"/>
    <s v="SAHEL"/>
    <x v="653"/>
    <d v="2021-02-18T00:00:00"/>
    <n v="0"/>
  </r>
  <r>
    <d v="2021-03-02T00:00:00"/>
    <n v="20464"/>
    <n v="54328.522080000002"/>
    <n v="0"/>
    <n v="54328.522080000002"/>
    <n v="2.6548339562157937"/>
    <s v="DISTREUROP"/>
    <x v="654"/>
    <d v="2021-02-22T00:00:00"/>
    <n v="0"/>
  </r>
  <r>
    <d v="2021-03-03T00:00:00"/>
    <n v="19200"/>
    <n v="33024"/>
    <n v="0"/>
    <n v="33024"/>
    <n v="1.72"/>
    <s v="SAHEL"/>
    <x v="655"/>
    <d v="2021-02-22T00:00:00"/>
    <n v="0"/>
  </r>
  <r>
    <d v="2021-03-03T00:00:00"/>
    <n v="40000"/>
    <n v="81324"/>
    <n v="9725.4760000000006"/>
    <n v="71598.524000000005"/>
    <n v="1.7899631"/>
    <s v="ANGSTREM APDX°47"/>
    <x v="656"/>
    <d v="2021-02-22T00:00:00"/>
    <n v="1881.5039999999999"/>
  </r>
  <r>
    <d v="2021-03-04T00:00:00"/>
    <n v="126000"/>
    <n v="246786.11"/>
    <n v="60484.728000000003"/>
    <n v="186301.38199999998"/>
    <n v="1.4785823968253966"/>
    <s v="SALIOU BAH"/>
    <x v="657"/>
    <d v="2021-02-12T00:00:00"/>
    <n v="21495.619200000001"/>
  </r>
  <r>
    <d v="2021-03-04T00:00:00"/>
    <n v="21600"/>
    <n v="36504"/>
    <n v="0"/>
    <n v="36504"/>
    <n v="1.69"/>
    <s v="SAHEL"/>
    <x v="658"/>
    <d v="2021-02-24T00:00:00"/>
    <n v="0"/>
  </r>
  <r>
    <d v="2021-03-05T00:00:00"/>
    <n v="22112"/>
    <n v="64458.560271999995"/>
    <n v="11069.2"/>
    <n v="53389.360271999991"/>
    <n v="2.414497117945007"/>
    <s v="MBCD"/>
    <x v="659"/>
    <d v="2021-02-12T00:00:00"/>
    <n v="2502.75"/>
  </r>
  <r>
    <d v="2021-03-08T00:00:00"/>
    <n v="24360"/>
    <n v="50356.719839999998"/>
    <n v="4777.08"/>
    <n v="45579.639839999996"/>
    <n v="1.8710853793103446"/>
    <s v="ALGT"/>
    <x v="660"/>
    <d v="2021-02-25T00:00:00"/>
    <n v="923.13"/>
  </r>
  <r>
    <d v="2021-03-08T00:00:00"/>
    <n v="16800"/>
    <n v="22982.400000000001"/>
    <n v="0"/>
    <n v="22982.400000000001"/>
    <n v="1.3680000000000001"/>
    <s v="ARCADIA-ASAHI"/>
    <x v="661"/>
    <d v="2021-03-01T00:00:00"/>
    <n v="0"/>
  </r>
  <r>
    <d v="2021-03-09T00:00:00"/>
    <n v="22008"/>
    <n v="42715.833383999998"/>
    <n v="7630.0640000000003"/>
    <n v="35085.769383999999"/>
    <n v="1.5942279800072701"/>
    <s v="SEYAL TCHAD"/>
    <x v="662"/>
    <d v="2021-02-25T00:00:00"/>
    <n v="2594.0736000000002"/>
  </r>
  <r>
    <d v="2021-03-09T00:00:00"/>
    <n v="382752"/>
    <n v="645579.21542599995"/>
    <n v="138016"/>
    <n v="507563.21542599995"/>
    <n v="1.3260889960757878"/>
    <s v="SEYAL TCHAD"/>
    <x v="663"/>
    <d v="2021-02-25T00:00:00"/>
    <n v="49012.512000000002"/>
  </r>
  <r>
    <d v="2021-03-09T00:00:00"/>
    <n v="18480"/>
    <n v="61259.768640000002"/>
    <n v="1510.12"/>
    <n v="59749.648639999999"/>
    <n v="3.2332060952380952"/>
    <s v="DAVIS TRADING"/>
    <x v="664"/>
    <d v="2021-03-01T00:00:00"/>
    <n v="0"/>
  </r>
  <r>
    <d v="2021-03-10T00:00:00"/>
    <n v="38400"/>
    <n v="67968"/>
    <n v="0"/>
    <n v="67968"/>
    <n v="1.77"/>
    <s v="SAHEL"/>
    <x v="665"/>
    <d v="2021-02-22T00:00:00"/>
    <n v="0"/>
  </r>
  <r>
    <d v="2021-03-10T00:00:00"/>
    <n v="54600"/>
    <n v="74256"/>
    <n v="0"/>
    <n v="74256"/>
    <n v="1.36"/>
    <s v="DORCAS"/>
    <x v="666"/>
    <d v="2021-02-22T00:00:00"/>
    <n v="0"/>
  </r>
  <r>
    <d v="2021-03-10T00:00:00"/>
    <n v="107940"/>
    <n v="172305.96"/>
    <n v="0"/>
    <n v="172305.96"/>
    <n v="1.5963123957754308"/>
    <s v="SAHEL"/>
    <x v="667"/>
    <d v="2021-02-22T00:00:00"/>
    <n v="0"/>
  </r>
  <r>
    <d v="2021-03-12T00:00:00"/>
    <n v="10036"/>
    <n v="19591"/>
    <n v="0"/>
    <n v="19591"/>
    <n v="1.9520725388601037"/>
    <s v="ARCADIA - SUISSE"/>
    <x v="668"/>
    <d v="2021-03-08T00:00:00"/>
    <n v="0"/>
  </r>
  <r>
    <d v="2021-03-13T00:00:00"/>
    <n v="280000"/>
    <n v="378000"/>
    <n v="0"/>
    <n v="378000"/>
    <n v="1.35"/>
    <s v="OMEGA"/>
    <x v="669"/>
    <d v="2021-02-22T00:00:00"/>
    <n v="0"/>
  </r>
  <r>
    <d v="2021-03-15T00:00:00"/>
    <n v="11076"/>
    <n v="25574.400000000001"/>
    <n v="0"/>
    <n v="25574.400000000001"/>
    <n v="2.3089924160346698"/>
    <s v="HERMES"/>
    <x v="670"/>
    <d v="2021-03-08T00:00:00"/>
    <n v="0"/>
  </r>
  <r>
    <d v="2021-03-15T00:00:00"/>
    <n v="20000"/>
    <n v="35200"/>
    <n v="0"/>
    <n v="35200"/>
    <n v="1.76"/>
    <s v="ARCADIA-AB WORLD"/>
    <x v="671"/>
    <d v="2021-03-05T00:00:00"/>
    <n v="0"/>
  </r>
  <r>
    <d v="2021-03-16T00:00:00"/>
    <n v="27336"/>
    <n v="58782.618527999999"/>
    <n v="11208.834999999999"/>
    <n v="47573.783528"/>
    <n v="1.7403344866842259"/>
    <s v="SODIFRAM"/>
    <x v="672"/>
    <d v="2021-03-12T00:00:00"/>
    <n v="4024.4220000000005"/>
  </r>
  <r>
    <d v="2021-03-17T00:00:00"/>
    <n v="20750"/>
    <n v="33822.5"/>
    <n v="0"/>
    <n v="33822.5"/>
    <n v="1.63"/>
    <s v="SAHEL"/>
    <x v="673"/>
    <d v="2021-03-12T00:00:00"/>
    <n v="0"/>
  </r>
  <r>
    <d v="2021-03-17T00:00:00"/>
    <n v="40000"/>
    <n v="72000"/>
    <n v="0"/>
    <n v="72000"/>
    <n v="1.8"/>
    <s v="ARCADIA- BELARUS"/>
    <x v="674"/>
    <d v="2021-02-22T00:00:00"/>
    <n v="0"/>
  </r>
  <r>
    <d v="2021-03-18T00:00:00"/>
    <n v="5460"/>
    <n v="14117.4"/>
    <n v="0"/>
    <n v="14117.4"/>
    <n v="2.5856043956043955"/>
    <s v="ARCADI -USA"/>
    <x v="675"/>
    <d v="2021-03-08T00:00:00"/>
    <n v="0"/>
  </r>
  <r>
    <d v="2021-03-18T00:00:00"/>
    <n v="156000"/>
    <n v="221520"/>
    <n v="0"/>
    <n v="221520"/>
    <n v="1.42"/>
    <s v="TAB"/>
    <x v="676"/>
    <d v="2021-03-12T00:00:00"/>
    <n v="0"/>
  </r>
  <r>
    <d v="2021-03-19T00:00:00"/>
    <n v="23460"/>
    <n v="46962.026749999997"/>
    <n v="0"/>
    <n v="46962.026749999997"/>
    <n v="2.0017914215686274"/>
    <s v="ABOURA"/>
    <x v="677"/>
    <d v="2021-03-12T00:00:00"/>
    <n v="0"/>
  </r>
  <r>
    <d v="2021-03-19T00:00:00"/>
    <n v="10760"/>
    <n v="42312"/>
    <n v="0"/>
    <n v="42312"/>
    <n v="3.9323420074349444"/>
    <s v="CT TRADING"/>
    <x v="678"/>
    <d v="2021-03-08T00:00:00"/>
    <n v="0"/>
  </r>
  <r>
    <d v="2021-03-19T00:00:00"/>
    <n v="100000"/>
    <n v="140000"/>
    <n v="0"/>
    <n v="140000"/>
    <n v="1.4"/>
    <s v="OMEGA"/>
    <x v="679"/>
    <d v="2021-03-12T00:00:00"/>
    <n v="0"/>
  </r>
  <r>
    <d v="2021-03-19T00:00:00"/>
    <n v="88032"/>
    <n v="149654.39999999999"/>
    <n v="0"/>
    <n v="149654.39999999999"/>
    <n v="1.7"/>
    <s v="TAB"/>
    <x v="680"/>
    <d v="2021-03-12T00:00:00"/>
    <n v="0"/>
  </r>
  <r>
    <d v="2021-03-22T00:00:00"/>
    <n v="65100"/>
    <n v="214288.9265"/>
    <n v="0"/>
    <n v="214288.9265"/>
    <n v="3.2916885791090631"/>
    <s v="AL MAGEMOUA"/>
    <x v="681"/>
    <d v="2021-03-12T00:00:00"/>
    <n v="0"/>
  </r>
  <r>
    <d v="2021-03-23T00:00:00"/>
    <n v="115200"/>
    <n v="202176"/>
    <n v="0"/>
    <n v="202176"/>
    <n v="1.7549999999999999"/>
    <s v="SAHEL"/>
    <x v="682"/>
    <d v="2021-03-12T00:00:00"/>
    <n v="0"/>
  </r>
  <r>
    <d v="2021-03-25T00:00:00"/>
    <n v="20000"/>
    <n v="41934.519999999997"/>
    <n v="5328.6949999999997"/>
    <n v="36605.824999999997"/>
    <n v="1.8302912499999999"/>
    <s v="ANGSTREM APDX°50"/>
    <x v="683"/>
    <d v="2021-03-12T00:00:00"/>
    <n v="1053.42875"/>
  </r>
  <r>
    <d v="2021-03-25T00:00:00"/>
    <n v="635.6"/>
    <n v="1226.7080000000001"/>
    <n v="0"/>
    <n v="1226.7080000000001"/>
    <n v="1.9300000000000002"/>
    <s v="ARCADIA-KARTAGO"/>
    <x v="684"/>
    <d v="2021-03-12T00:00:00"/>
    <n v="0"/>
  </r>
  <r>
    <d v="2021-03-25T00:00:00"/>
    <n v="96000"/>
    <n v="164640"/>
    <n v="0"/>
    <n v="164640"/>
    <n v="1.7150000000000001"/>
    <s v="SCIT"/>
    <x v="685"/>
    <d v="2021-03-12T00:00:00"/>
    <n v="0"/>
  </r>
  <r>
    <d v="2021-03-26T00:00:00"/>
    <n v="1000800"/>
    <n v="1734259.851"/>
    <n v="139365.04"/>
    <n v="1594894.811"/>
    <n v="1.5936199150679455"/>
    <s v="AL JAWDA AL RAEDA"/>
    <x v="686"/>
    <d v="2021-03-17T00:00:00"/>
    <n v="49356.72"/>
  </r>
  <r>
    <d v="2021-03-31T00:00:00"/>
    <n v="335904"/>
    <n v="571207.63473000005"/>
    <n v="134894.06"/>
    <n v="436313.57473000005"/>
    <n v="1.2989234267231116"/>
    <s v="SAWABA"/>
    <x v="687"/>
    <d v="2021-03-25T00:00:00"/>
    <n v="48087.72"/>
  </r>
  <r>
    <d v="2021-04-01T00:00:00"/>
    <n v="15150"/>
    <n v="39781.839599999999"/>
    <n v="1388.68"/>
    <n v="38393.159599999999"/>
    <n v="2.5342019537953795"/>
    <s v="DAVIS FOOD"/>
    <x v="688"/>
    <d v="2021-03-12T00:00:00"/>
    <n v="0"/>
  </r>
  <r>
    <d v="2021-04-02T00:00:00"/>
    <n v="20157.599999999999"/>
    <n v="35880.527999999998"/>
    <n v="0"/>
    <n v="35880.527999999998"/>
    <n v="1.78"/>
    <s v="ARCADIA - CRISPA"/>
    <x v="689"/>
    <d v="2021-02-22T00:00:00"/>
    <n v="0"/>
  </r>
  <r>
    <d v="2021-04-03T00:00:00"/>
    <n v="40000"/>
    <n v="83629.5"/>
    <n v="9457.14"/>
    <n v="74172.36"/>
    <n v="1.854309"/>
    <s v="ANGSTREM - APDX 48"/>
    <x v="690"/>
    <d v="2021-03-29T00:00:00"/>
    <n v="1809.28"/>
  </r>
  <r>
    <d v="2021-04-05T00:00:00"/>
    <n v="20157.599999999999"/>
    <n v="35880.527999999998"/>
    <n v="0"/>
    <n v="35880.527999999998"/>
    <n v="1.78"/>
    <s v="ARCADIA - CRISPA"/>
    <x v="691"/>
    <d v="2021-02-22T00:00:00"/>
    <n v="0"/>
  </r>
  <r>
    <d v="2021-04-06T00:00:00"/>
    <n v="88032"/>
    <n v="124125.12"/>
    <n v="0"/>
    <n v="124125.12"/>
    <n v="1.41"/>
    <s v="TAB"/>
    <x v="692"/>
    <d v="2021-03-27T00:00:00"/>
    <n v="0"/>
  </r>
  <r>
    <d v="2021-04-07T00:00:00"/>
    <n v="38150"/>
    <n v="68450.5"/>
    <n v="0"/>
    <n v="68450.5"/>
    <n v="1.7942463958060288"/>
    <s v="ARCADIA-OMAN"/>
    <x v="693"/>
    <d v="2021-03-30T00:00:00"/>
    <n v="0"/>
  </r>
  <r>
    <d v="2021-04-07T00:00:00"/>
    <n v="47208"/>
    <n v="77669.759999999995"/>
    <n v="0"/>
    <n v="77669.759999999995"/>
    <n v="1.6452669039145906"/>
    <s v="SAHEL"/>
    <x v="694"/>
    <d v="2021-04-02T00:00:00"/>
    <n v="0"/>
  </r>
  <r>
    <d v="2021-04-07T00:00:00"/>
    <n v="24000"/>
    <n v="46513.119640000004"/>
    <n v="0"/>
    <n v="46513.119640000004"/>
    <n v="1.9380466516666668"/>
    <s v="NEW ADAMER"/>
    <x v="695"/>
    <d v="2021-03-27T00:00:00"/>
    <n v="0"/>
  </r>
  <r>
    <d v="2021-04-10T00:00:00"/>
    <n v="280000"/>
    <n v="383600"/>
    <n v="0"/>
    <n v="383600"/>
    <n v="1.37"/>
    <s v="SCIT"/>
    <x v="696"/>
    <d v="2021-03-27T00:00:00"/>
    <n v="0"/>
  </r>
  <r>
    <d v="2021-04-12T00:00:00"/>
    <n v="20000"/>
    <n v="43412.82"/>
    <n v="7327.6779999999999"/>
    <n v="36085.142"/>
    <n v="1.8042571000000001"/>
    <s v="ADVENS"/>
    <x v="697"/>
    <d v="2021-04-05T00:00:00"/>
    <n v="2493.4392000000003"/>
  </r>
  <r>
    <d v="2021-04-12T00:00:00"/>
    <n v="23652"/>
    <n v="56090.810534000004"/>
    <n v="0"/>
    <n v="56090.810534000004"/>
    <n v="2.3715039123118555"/>
    <s v="SOPALIM"/>
    <x v="698"/>
    <d v="2021-03-12T00:00:00"/>
    <n v="0"/>
  </r>
  <r>
    <d v="2021-04-14T00:00:00"/>
    <n v="20750"/>
    <n v="33822.5"/>
    <n v="0"/>
    <n v="33822.5"/>
    <n v="1.63"/>
    <s v="SAHEL"/>
    <x v="699"/>
    <d v="2021-04-08T00:00:00"/>
    <n v="0"/>
  </r>
  <r>
    <d v="2021-04-14T00:00:00"/>
    <n v="149800"/>
    <n v="190520"/>
    <n v="0"/>
    <n v="190520"/>
    <n v="1.2718291054739652"/>
    <s v="SAHEL"/>
    <x v="700"/>
    <d v="2021-04-08T00:00:00"/>
    <n v="0"/>
  </r>
  <r>
    <d v="2021-04-14T00:00:00"/>
    <n v="19200"/>
    <n v="24000"/>
    <n v="0"/>
    <n v="24000"/>
    <n v="1.25"/>
    <s v="SAHEL"/>
    <x v="701"/>
    <d v="2021-04-08T00:00:00"/>
    <n v="0"/>
  </r>
  <r>
    <d v="2021-04-15T00:00:00"/>
    <n v="4808"/>
    <n v="13194.32"/>
    <n v="0"/>
    <n v="13194.32"/>
    <n v="2.7442429284525791"/>
    <s v="ARCADIA"/>
    <x v="702"/>
    <d v="2021-04-13T00:00:00"/>
    <n v="0"/>
  </r>
  <r>
    <d v="2021-04-15T00:00:00"/>
    <n v="57600"/>
    <n v="99072"/>
    <n v="0"/>
    <n v="99072"/>
    <n v="1.72"/>
    <s v="DORCAS"/>
    <x v="703"/>
    <d v="2021-03-17T00:00:00"/>
    <n v="0"/>
  </r>
  <r>
    <d v="2021-04-16T00:00:00"/>
    <n v="108000"/>
    <n v="163799.92799999999"/>
    <n v="25422.6"/>
    <n v="138377.32799999998"/>
    <n v="1.2812715555555554"/>
    <s v="KASSO"/>
    <x v="704"/>
    <d v="2021-03-27T00:00:00"/>
    <n v="8354.3040000000001"/>
  </r>
  <r>
    <d v="2021-04-17T00:00:00"/>
    <n v="108000"/>
    <n v="163901.772"/>
    <n v="25422.6"/>
    <n v="138479.17199999999"/>
    <n v="1.2822145555555555"/>
    <s v="KASSO"/>
    <x v="705"/>
    <d v="2021-03-27T00:00:00"/>
    <n v="8354.3040000000001"/>
  </r>
  <r>
    <d v="2021-04-19T00:00:00"/>
    <n v="108000"/>
    <n v="163971.32399999999"/>
    <n v="25422.6"/>
    <n v="138548.72399999999"/>
    <n v="1.2828585555555554"/>
    <s v="KASSO"/>
    <x v="706"/>
    <d v="2021-03-27T00:00:00"/>
    <n v="8354.3040000000001"/>
  </r>
  <r>
    <d v="2021-04-22T00:00:00"/>
    <n v="82800"/>
    <n v="135072"/>
    <n v="0"/>
    <n v="135072"/>
    <n v="1.6313043478260869"/>
    <s v="SAHEL"/>
    <x v="707"/>
    <d v="2021-04-16T00:00:00"/>
    <n v="0"/>
  </r>
  <r>
    <d v="2021-04-22T00:00:00"/>
    <n v="43608"/>
    <n v="75657.84"/>
    <n v="0"/>
    <n v="75657.84"/>
    <n v="1.7349532195927353"/>
    <s v="SAHEL"/>
    <x v="708"/>
    <d v="2021-04-05T00:00:00"/>
    <n v="0"/>
  </r>
  <r>
    <d v="2021-04-23T00:00:00"/>
    <n v="112208"/>
    <n v="185778.88"/>
    <n v="0"/>
    <n v="185778.88"/>
    <n v="1.6556651932126052"/>
    <s v="TAB"/>
    <x v="709"/>
    <d v="2021-04-17T00:00:00"/>
    <n v="0"/>
  </r>
  <r>
    <d v="2021-04-23T00:00:00"/>
    <n v="5960"/>
    <n v="15125.6"/>
    <n v="0"/>
    <n v="15125.6"/>
    <n v="2.5378523489932885"/>
    <s v="ARCADIA"/>
    <x v="710"/>
    <d v="2021-04-17T00:00:00"/>
    <n v="0"/>
  </r>
  <r>
    <d v="2021-04-24T00:00:00"/>
    <n v="40000"/>
    <n v="82395"/>
    <n v="9070.08"/>
    <n v="73324.92"/>
    <n v="1.8331230000000001"/>
    <s v="ANGSTREM - APDX 49"/>
    <x v="711"/>
    <d v="2021-04-17T00:00:00"/>
    <n v="1720.155"/>
  </r>
  <r>
    <d v="2021-04-24T00:00:00"/>
    <n v="48600"/>
    <n v="77028"/>
    <n v="0"/>
    <n v="77028"/>
    <n v="1.5849382716049383"/>
    <s v="SCIT"/>
    <x v="712"/>
    <d v="2021-04-17T00:00:00"/>
    <n v="0"/>
  </r>
  <r>
    <d v="2021-04-26T00:00:00"/>
    <n v="24120"/>
    <n v="49411.03125"/>
    <n v="5727.33"/>
    <n v="43683.701249999998"/>
    <n v="1.811098725124378"/>
    <s v="ABOURA"/>
    <x v="713"/>
    <d v="2021-04-17T00:00:00"/>
    <n v="1153.7625"/>
  </r>
  <r>
    <d v="2021-04-26T00:00:00"/>
    <n v="27336"/>
    <n v="63759.89806"/>
    <n v="12329.254999999999"/>
    <n v="51430.643060000002"/>
    <n v="1.8814253387474393"/>
    <s v="SODIFRAM"/>
    <x v="714"/>
    <d v="2021-04-17T00:00:00"/>
    <n v="2788.7437500000001"/>
  </r>
  <r>
    <d v="2021-04-26T00:00:00"/>
    <n v="10758"/>
    <n v="23536.2"/>
    <n v="0"/>
    <n v="23536.2"/>
    <n v="2.1877858337981038"/>
    <s v="FOOD EXPORT"/>
    <x v="715"/>
    <d v="2021-04-17T00:00:00"/>
    <n v="0"/>
  </r>
  <r>
    <d v="2021-04-27T00:00:00"/>
    <n v="104000"/>
    <n v="208458.35625000001"/>
    <n v="34254.86"/>
    <n v="174203.49625000003"/>
    <n v="1.6750336177884617"/>
    <s v="SAWABA"/>
    <x v="716"/>
    <d v="2021-04-17T00:00:00"/>
    <n v="11936.328000000001"/>
  </r>
  <r>
    <d v="2021-04-28T00:00:00"/>
    <n v="75240"/>
    <n v="120232.8"/>
    <n v="0"/>
    <n v="120232.8"/>
    <n v="1.5979904306220096"/>
    <s v="TAB"/>
    <x v="717"/>
    <d v="2021-04-15T00:00:00"/>
    <n v="0"/>
  </r>
  <r>
    <d v="2021-04-28T00:00:00"/>
    <n v="223936"/>
    <n v="381171.68969999999"/>
    <n v="89563.24"/>
    <n v="291608.4497"/>
    <n v="1.3021954920155758"/>
    <s v="SAWABA"/>
    <x v="718"/>
    <d v="2021-04-17T00:00:00"/>
    <n v="32250.16"/>
  </r>
  <r>
    <d v="2021-04-29T00:00:00"/>
    <n v="33600"/>
    <n v="58060.800000000003"/>
    <n v="0"/>
    <n v="58060.800000000003"/>
    <n v="1.728"/>
    <s v="ARCADIA"/>
    <x v="719"/>
    <d v="2021-04-20T00:00:00"/>
    <n v="0"/>
  </r>
  <r>
    <d v="2021-05-03T00:00:00"/>
    <n v="44010"/>
    <n v="78354.899999999994"/>
    <n v="0"/>
    <n v="78354.899999999994"/>
    <n v="1.7803885480572597"/>
    <s v="SAHEL"/>
    <x v="720"/>
    <d v="2021-04-20T00:00:00"/>
    <n v="0"/>
  </r>
  <r>
    <d v="2021-05-06T00:00:00"/>
    <n v="25732"/>
    <n v="49107.130072"/>
    <n v="0"/>
    <n v="49107.130072"/>
    <n v="1.9084070446137105"/>
    <s v="CENTRAL FOOD"/>
    <x v="721"/>
    <d v="2021-04-30T00:00:00"/>
    <n v="0"/>
  </r>
  <r>
    <d v="2021-05-07T00:00:00"/>
    <n v="24856"/>
    <n v="56644.540480000003"/>
    <n v="0"/>
    <n v="56644.540480000003"/>
    <n v="2.2789081300289671"/>
    <s v="OMRANE"/>
    <x v="722"/>
    <d v="2021-04-17T00:00:00"/>
    <n v="0"/>
  </r>
  <r>
    <d v="2021-05-10T00:00:00"/>
    <n v="199400"/>
    <n v="259220"/>
    <n v="0"/>
    <n v="259220"/>
    <n v="1.3"/>
    <s v="SAHEL"/>
    <x v="723"/>
    <d v="2021-05-04T00:00:00"/>
    <n v="0"/>
  </r>
  <r>
    <d v="2021-05-11T00:00:00"/>
    <n v="280000"/>
    <n v="378000"/>
    <n v="0"/>
    <n v="378000"/>
    <n v="1.35"/>
    <s v="OMEGA"/>
    <x v="724"/>
    <d v="2021-04-17T00:00:00"/>
    <n v="0"/>
  </r>
  <r>
    <d v="2021-05-18T00:00:00"/>
    <n v="20000"/>
    <n v="35200"/>
    <n v="0"/>
    <n v="35200"/>
    <n v="1.76"/>
    <s v="ARCADIA"/>
    <x v="725"/>
    <d v="2021-05-05T00:00:00"/>
    <n v="0"/>
  </r>
  <r>
    <d v="2021-05-18T00:00:00"/>
    <n v="110040"/>
    <n v="155156.4"/>
    <n v="0"/>
    <n v="155156.4"/>
    <n v="1.41"/>
    <s v="TAB"/>
    <x v="726"/>
    <d v="2021-05-05T00:00:00"/>
    <n v="0"/>
  </r>
  <r>
    <d v="2021-05-19T00:00:00"/>
    <n v="76800"/>
    <n v="131328"/>
    <n v="0"/>
    <n v="131328"/>
    <n v="1.71"/>
    <s v="SAHEL"/>
    <x v="727"/>
    <d v="2021-04-27T00:00:00"/>
    <n v="0"/>
  </r>
  <r>
    <d v="2021-05-20T00:00:00"/>
    <n v="27336"/>
    <n v="64038.253632000007"/>
    <n v="12500.71"/>
    <n v="51537.543632000008"/>
    <n v="1.8853359537606089"/>
    <s v="SODIFRAM"/>
    <x v="728"/>
    <d v="2021-05-05T00:00:00"/>
    <n v="4530.54"/>
  </r>
  <r>
    <d v="2021-05-21T00:00:00"/>
    <n v="20340"/>
    <n v="38274.400000000001"/>
    <n v="0"/>
    <n v="38274.400000000001"/>
    <n v="1.8817305801376598"/>
    <s v="GOLDEN PEARL"/>
    <x v="729"/>
    <d v="2021-05-04T00:00:00"/>
    <n v="0"/>
  </r>
  <r>
    <d v="2021-05-22T00:00:00"/>
    <n v="231240"/>
    <n v="385620"/>
    <n v="0"/>
    <n v="385620"/>
    <n v="1.667618059159315"/>
    <s v="TAB"/>
    <x v="730"/>
    <d v="2021-03-12T00:00:00"/>
    <n v="0"/>
  </r>
  <r>
    <d v="2021-05-24T00:00:00"/>
    <n v="130000"/>
    <n v="184600"/>
    <n v="0"/>
    <n v="184600"/>
    <n v="1.42"/>
    <s v="TAB"/>
    <x v="731"/>
    <d v="2021-05-18T00:00:00"/>
    <n v="0"/>
  </r>
  <r>
    <d v="2021-05-25T00:00:00"/>
    <n v="21000"/>
    <n v="69433.941000000006"/>
    <n v="1515.77"/>
    <n v="67918.171000000002"/>
    <n v="3.2341986190476191"/>
    <s v="DAVIS TRADING"/>
    <x v="732"/>
    <d v="2021-05-17T00:00:00"/>
    <n v="0"/>
  </r>
  <r>
    <d v="2021-05-26T00:00:00"/>
    <n v="20000"/>
    <n v="35200"/>
    <n v="0"/>
    <n v="35200"/>
    <n v="1.76"/>
    <s v="ARCADIA- AB"/>
    <x v="733"/>
    <d v="2021-05-18T00:00:00"/>
    <n v="0"/>
  </r>
  <r>
    <d v="2021-05-26T00:00:00"/>
    <n v="25184"/>
    <n v="52430.644597999992"/>
    <n v="0"/>
    <n v="52430.644597999992"/>
    <n v="2.0819029780019056"/>
    <s v="NEW ADAMER"/>
    <x v="734"/>
    <d v="2021-05-05T00:00:00"/>
    <n v="0"/>
  </r>
  <r>
    <d v="2021-05-26T00:00:00"/>
    <n v="41000"/>
    <n v="73390"/>
    <n v="0"/>
    <n v="73390"/>
    <n v="1.79"/>
    <s v="ARCADIA - MELVIT"/>
    <x v="735"/>
    <d v="2021-05-17T00:00:00"/>
    <n v="0"/>
  </r>
  <r>
    <d v="2021-05-27T00:00:00"/>
    <n v="305600"/>
    <n v="397280"/>
    <n v="0"/>
    <n v="397280"/>
    <n v="1.3"/>
    <s v="SAHEL"/>
    <x v="736"/>
    <d v="2021-05-19T00:00:00"/>
    <n v="0"/>
  </r>
  <r>
    <d v="2021-05-27T00:00:00"/>
    <n v="22008"/>
    <n v="43933.669200000004"/>
    <n v="7526.6490000000003"/>
    <n v="36407.020200000006"/>
    <n v="1.6542630043620505"/>
    <s v="SALIOU BAH"/>
    <x v="737"/>
    <d v="2021-05-05T00:00:00"/>
    <n v="2323.7759999999998"/>
  </r>
  <r>
    <d v="2021-05-27T00:00:00"/>
    <n v="43200"/>
    <n v="73008"/>
    <n v="0"/>
    <n v="73008"/>
    <n v="1.69"/>
    <s v="SAHEL"/>
    <x v="738"/>
    <d v="2021-05-18T00:00:00"/>
    <n v="0"/>
  </r>
  <r>
    <d v="2021-05-27T00:00:00"/>
    <n v="40000"/>
    <n v="82788.320000000007"/>
    <n v="9464.35"/>
    <n v="73323.97"/>
    <n v="1.8330992500000001"/>
    <s v="ANGSTREM"/>
    <x v="739"/>
    <d v="2021-05-17T00:00:00"/>
    <n v="1716.8724999999999"/>
  </r>
  <r>
    <d v="2021-05-27T00:00:00"/>
    <n v="65986"/>
    <n v="137359.01963699999"/>
    <n v="27633.706999999999"/>
    <n v="109725.312637"/>
    <n v="1.662857464265147"/>
    <s v="EASB"/>
    <x v="740"/>
    <d v="2021-05-05T00:00:00"/>
    <n v="9674.0267999999996"/>
  </r>
  <r>
    <d v="2021-05-27T00:00:00"/>
    <n v="28000"/>
    <n v="44240"/>
    <n v="0"/>
    <n v="44240"/>
    <n v="1.58"/>
    <s v="TAB"/>
    <x v="741"/>
    <d v="2021-05-05T00:00:00"/>
    <n v="0"/>
  </r>
  <r>
    <d v="2021-05-27T00:00:00"/>
    <n v="123624"/>
    <n v="211144.32000000001"/>
    <n v="0"/>
    <n v="211144.32000000001"/>
    <n v="1.7079557367501457"/>
    <s v="SCIT"/>
    <x v="742"/>
    <d v="2021-05-17T00:00:00"/>
    <n v="0"/>
  </r>
  <r>
    <d v="2021-05-29T00:00:00"/>
    <n v="307200"/>
    <n v="582473.42617600004"/>
    <n v="42260.601999999999"/>
    <n v="540212.82417600008"/>
    <n v="1.7585052870312503"/>
    <s v="AL ATHEER AL ZAHER"/>
    <x v="743"/>
    <d v="2021-05-22T00:00:00"/>
    <n v="14951.86"/>
  </r>
  <r>
    <d v="2021-05-31T00:00:00"/>
    <n v="280000"/>
    <n v="378000"/>
    <n v="0"/>
    <n v="378000"/>
    <n v="1.35"/>
    <s v="OMEGA"/>
    <x v="744"/>
    <d v="2021-05-18T00:00:00"/>
    <n v="0"/>
  </r>
  <r>
    <d v="2021-05-31T00:00:00"/>
    <n v="66024"/>
    <n v="93093.84"/>
    <n v="0"/>
    <n v="93093.84"/>
    <n v="1.41"/>
    <s v="TAB"/>
    <x v="745"/>
    <d v="2021-05-18T00:00:00"/>
    <n v="0"/>
  </r>
  <r>
    <d v="2021-06-01T00:00:00"/>
    <n v="66024"/>
    <n v="93093.84"/>
    <n v="0"/>
    <n v="93093.84"/>
    <n v="1.41"/>
    <s v="TAB"/>
    <x v="745"/>
    <d v="2021-05-18T00:00:00"/>
    <n v="0"/>
  </r>
  <r>
    <d v="2021-06-08T00:00:00"/>
    <n v="20750"/>
    <n v="36312.5"/>
    <n v="0"/>
    <n v="36312.5"/>
    <n v="1.75"/>
    <s v="SAHEL"/>
    <x v="746"/>
    <d v="2021-06-03T00:00:00"/>
    <n v="0"/>
  </r>
  <r>
    <d v="2021-06-08T00:00:00"/>
    <n v="38400"/>
    <n v="67200"/>
    <n v="0"/>
    <n v="67200"/>
    <n v="1.75"/>
    <s v="SAHEL"/>
    <x v="747"/>
    <d v="2021-06-03T00:00:00"/>
    <n v="0"/>
  </r>
  <r>
    <d v="2021-06-12T00:00:00"/>
    <n v="112000"/>
    <n v="168000"/>
    <n v="0"/>
    <n v="168000"/>
    <n v="1.5"/>
    <s v="SCIT"/>
    <x v="748"/>
    <d v="2021-06-04T00:00:00"/>
    <n v="0"/>
  </r>
  <r>
    <d v="2021-06-14T00:00:00"/>
    <n v="280200"/>
    <n v="423816"/>
    <n v="0"/>
    <n v="423816"/>
    <n v="1.5125481798715203"/>
    <s v="SAHEL"/>
    <x v="749"/>
    <d v="2021-06-04T00:00:00"/>
    <n v="0"/>
  </r>
  <r>
    <d v="2021-06-14T00:00:00"/>
    <n v="21600"/>
    <n v="36504"/>
    <n v="0"/>
    <n v="36504"/>
    <n v="1.69"/>
    <s v="SAHEL"/>
    <x v="750"/>
    <d v="2021-06-03T00:00:00"/>
    <n v="0"/>
  </r>
  <r>
    <d v="2021-06-14T00:00:00"/>
    <n v="20000"/>
    <n v="35800"/>
    <n v="0"/>
    <n v="35800"/>
    <n v="1.79"/>
    <s v="ARCADIA-AB "/>
    <x v="751"/>
    <d v="2021-06-04T00:00:00"/>
    <n v="0"/>
  </r>
  <r>
    <d v="2021-06-15T00:00:00"/>
    <n v="23044"/>
    <n v="69604.502562499998"/>
    <n v="5944.33"/>
    <n v="63660.172562499996"/>
    <n v="2.7625487138734592"/>
    <s v="ABOURA FOODS"/>
    <x v="752"/>
    <d v="2021-06-08T00:00:00"/>
    <n v="1217.5625"/>
  </r>
  <r>
    <d v="2021-06-16T00:00:00"/>
    <n v="130000"/>
    <n v="248210.196"/>
    <n v="40964.71"/>
    <n v="207245.486"/>
    <n v="1.5941960461538462"/>
    <s v="E.A.S.B GB LDA"/>
    <x v="753"/>
    <d v="2021-05-05T00:00:00"/>
    <n v="14065.444000000001"/>
  </r>
  <r>
    <d v="2021-06-16T00:00:00"/>
    <n v="20157.599999999999"/>
    <n v="38249.046000000002"/>
    <n v="0"/>
    <n v="38249.046000000002"/>
    <n v="1.8975000000000002"/>
    <s v="ARCADIA-CRISPA"/>
    <x v="754"/>
    <d v="2021-05-20T00:00:00"/>
    <n v="0"/>
  </r>
  <r>
    <d v="2021-06-17T00:00:00"/>
    <n v="108000"/>
    <n v="173959.21799999999"/>
    <n v="25396.34"/>
    <n v="148562.878"/>
    <n v="1.3755822037037038"/>
    <s v="KASSO"/>
    <x v="755"/>
    <d v="2021-06-08T00:00:00"/>
    <n v="8203.2479999999996"/>
  </r>
  <r>
    <d v="2021-06-18T00:00:00"/>
    <n v="108000"/>
    <n v="173862.315"/>
    <n v="25396.34"/>
    <n v="148465.97500000001"/>
    <n v="1.3746849537037038"/>
    <s v="KASSO"/>
    <x v="756"/>
    <d v="2021-06-08T00:00:00"/>
    <n v="8203.2479999999996"/>
  </r>
  <r>
    <d v="2021-06-19T00:00:00"/>
    <n v="108000"/>
    <n v="173029.473"/>
    <n v="25198.84"/>
    <n v="147830.633"/>
    <n v="1.3688021574074074"/>
    <s v="KASSO"/>
    <x v="757"/>
    <d v="2021-06-08T00:00:00"/>
    <n v="8203.2479999999996"/>
  </r>
  <r>
    <d v="2021-06-21T00:00:00"/>
    <n v="108000"/>
    <n v="173029.473"/>
    <n v="25396.34"/>
    <n v="147633.133"/>
    <n v="1.3669734537037037"/>
    <s v="KASSO"/>
    <x v="758"/>
    <d v="2021-06-08T00:00:00"/>
    <n v="8203.2479999999996"/>
  </r>
  <r>
    <d v="2021-06-21T00:00:00"/>
    <n v="38070"/>
    <n v="69368.100000000006"/>
    <n v="0"/>
    <n v="69368.100000000006"/>
    <n v="1.822119779353822"/>
    <s v="OMEGA"/>
    <x v="759"/>
    <d v="2021-06-08T00:00:00"/>
    <n v="0"/>
  </r>
  <r>
    <d v="2021-06-21T00:00:00"/>
    <n v="52500"/>
    <n v="170967.22500000001"/>
    <n v="0"/>
    <n v="170967.22500000001"/>
    <n v="3.2565185714285714"/>
    <s v="AL MAGEMOUA"/>
    <x v="760"/>
    <d v="2021-06-08T00:00:00"/>
    <n v="0"/>
  </r>
  <r>
    <d v="2021-06-22T00:00:00"/>
    <n v="260456"/>
    <n v="448740.88"/>
    <n v="0"/>
    <n v="448740.88"/>
    <n v="1.7229047516663083"/>
    <s v="SCIT"/>
    <x v="761"/>
    <d v="2021-06-04T00:00:00"/>
    <n v="0"/>
  </r>
  <r>
    <d v="2021-06-23T00:00:00"/>
    <n v="131040"/>
    <n v="273473.91258"/>
    <n v="52044.84"/>
    <n v="221429.07258000001"/>
    <n v="1.6897822999084249"/>
    <s v="E.A.S.B NAFA"/>
    <x v="762"/>
    <d v="2021-06-08T00:00:00"/>
    <n v="18046.944"/>
  </r>
  <r>
    <d v="2021-06-23T00:00:00"/>
    <n v="20000"/>
    <n v="40976.76"/>
    <n v="4633.93"/>
    <n v="36342.83"/>
    <n v="1.8171415000000002"/>
    <s v="ANGSTREM APDX N°52"/>
    <x v="763"/>
    <d v="2021-06-08T00:00:00"/>
    <n v="869.61"/>
  </r>
  <r>
    <d v="2021-06-24T00:00:00"/>
    <n v="96000"/>
    <n v="170880"/>
    <n v="0"/>
    <n v="170880"/>
    <n v="1.78"/>
    <s v="SCIT"/>
    <x v="764"/>
    <d v="2021-06-04T00:00:00"/>
    <n v="0"/>
  </r>
  <r>
    <d v="2021-06-24T00:00:00"/>
    <n v="19200"/>
    <n v="33984"/>
    <n v="0"/>
    <n v="33984"/>
    <n v="1.77"/>
    <s v="SAHEL"/>
    <x v="765"/>
    <d v="2021-06-04T00:00:00"/>
    <n v="0"/>
  </r>
  <r>
    <d v="2021-06-24T00:00:00"/>
    <n v="9468"/>
    <n v="17989.2"/>
    <n v="0"/>
    <n v="17989.2"/>
    <n v="1.9000000000000001"/>
    <s v="FOOD EXPORT"/>
    <x v="766"/>
    <d v="2021-06-04T00:00:00"/>
    <n v="0"/>
  </r>
  <r>
    <d v="2021-06-25T00:00:00"/>
    <n v="40000"/>
    <n v="72400"/>
    <n v="0"/>
    <n v="72400"/>
    <n v="1.81"/>
    <s v="ARCADIA"/>
    <x v="767"/>
    <d v="2021-06-08T00:00:00"/>
    <n v="0"/>
  </r>
  <r>
    <d v="2021-06-25T00:00:00"/>
    <n v="20000"/>
    <n v="41050.019999999997"/>
    <n v="4612.93"/>
    <n v="36437.089999999997"/>
    <n v="1.8218544999999999"/>
    <s v="ANGSTREM APDX N°53"/>
    <x v="768"/>
    <d v="2021-06-10T00:00:00"/>
    <n v="869.61"/>
  </r>
  <r>
    <d v="2021-06-26T00:00:00"/>
    <n v="102600"/>
    <n v="219693.28935000001"/>
    <n v="41528.504000000001"/>
    <n v="178164.78535000002"/>
    <n v="1.7364988825536065"/>
    <s v="MAMADOU TD"/>
    <x v="769"/>
    <d v="2021-06-18T00:00:00"/>
    <n v="14374.161600000001"/>
  </r>
  <r>
    <d v="2021-06-28T00:00:00"/>
    <n v="130000"/>
    <n v="201500"/>
    <n v="0"/>
    <n v="201500"/>
    <n v="1.55"/>
    <s v="TAB"/>
    <x v="770"/>
    <d v="2021-06-15T00:00:00"/>
    <n v="0"/>
  </r>
  <r>
    <d v="2021-06-28T00:00:00"/>
    <n v="76800"/>
    <n v="134400"/>
    <n v="0"/>
    <n v="134400"/>
    <n v="1.75"/>
    <s v="SAHEL"/>
    <x v="771"/>
    <d v="2021-06-08T00:00:00"/>
    <n v="0"/>
  </r>
  <r>
    <d v="2021-06-29T00:00:00"/>
    <n v="27336"/>
    <n v="63739.599532"/>
    <n v="11882.88"/>
    <n v="51856.719532000003"/>
    <n v="1.8970119817091016"/>
    <s v="SODIFRAM"/>
    <x v="772"/>
    <d v="2021-05-25T00:00:00"/>
    <n v="4128.88"/>
  </r>
  <r>
    <d v="2021-06-30T00:00:00"/>
    <n v="261800"/>
    <n v="370504"/>
    <n v="0"/>
    <n v="370504"/>
    <n v="1.4152177234530177"/>
    <s v="SAHEL"/>
    <x v="773"/>
    <d v="2021-06-18T00:00:00"/>
    <n v="0"/>
  </r>
  <r>
    <d v="2021-06-30T00:00:00"/>
    <n v="274200"/>
    <n v="519741.26084999996"/>
    <n v="112566.7"/>
    <n v="407174.56084999995"/>
    <n v="1.4849546347556526"/>
    <s v="SAWABA"/>
    <x v="774"/>
    <d v="2021-06-18T00:00:00"/>
    <n v="40396.559999999998"/>
  </r>
  <r>
    <d v="2021-07-05T00:00:00"/>
    <n v="280000"/>
    <n v="378000"/>
    <n v="0"/>
    <n v="378000"/>
    <n v="1.35"/>
    <s v="OMEGA"/>
    <x v="775"/>
    <d v="2021-07-01T00:00:00"/>
    <n v="0"/>
  </r>
  <r>
    <d v="2021-07-06T00:00:00"/>
    <n v="7436"/>
    <n v="16296.4"/>
    <n v="0"/>
    <n v="16296.4"/>
    <n v="2.1915545992469068"/>
    <s v="HMM EXPORT"/>
    <x v="776"/>
    <d v="2021-06-23T00:00:00"/>
    <n v="0"/>
  </r>
  <r>
    <d v="2021-07-10T00:00:00"/>
    <n v="96000"/>
    <n v="170880"/>
    <n v="0"/>
    <n v="170880"/>
    <n v="1.78"/>
    <s v="SCIT"/>
    <x v="777"/>
    <d v="2021-07-07T00:00:00"/>
    <n v="0"/>
  </r>
  <r>
    <d v="2021-07-12T00:00:00"/>
    <n v="60000"/>
    <n v="103800"/>
    <n v="0"/>
    <n v="103800"/>
    <n v="1.73"/>
    <s v="SCIT"/>
    <x v="778"/>
    <d v="2021-07-05T00:00:00"/>
    <n v="0"/>
  </r>
  <r>
    <d v="2021-07-12T00:00:00"/>
    <n v="56000"/>
    <n v="100240"/>
    <n v="0"/>
    <n v="100240"/>
    <n v="1.79"/>
    <s v="SAHEL"/>
    <x v="779"/>
    <d v="2021-06-30T00:00:00"/>
    <n v="0"/>
  </r>
  <r>
    <d v="2021-07-12T00:00:00"/>
    <n v="22008"/>
    <n v="38954.160000000003"/>
    <n v="0"/>
    <n v="38954.160000000003"/>
    <n v="1.7700000000000002"/>
    <s v="SAHEL"/>
    <x v="780"/>
    <d v="2021-07-06T00:00:00"/>
    <n v="0"/>
  </r>
  <r>
    <d v="2021-07-13T00:00:00"/>
    <n v="3000"/>
    <n v="5700"/>
    <n v="0"/>
    <n v="5700"/>
    <n v="1.9"/>
    <s v="ARCADIA- M&amp;P"/>
    <x v="781"/>
    <d v="2021-07-02T00:00:00"/>
    <n v="0"/>
  </r>
  <r>
    <d v="2021-07-15T00:00:00"/>
    <n v="130000"/>
    <n v="202800"/>
    <n v="0"/>
    <n v="202800"/>
    <n v="1.56"/>
    <s v="TAB"/>
    <x v="782"/>
    <d v="2021-07-09T00:00:00"/>
    <n v="0"/>
  </r>
  <r>
    <d v="2021-07-15T00:00:00"/>
    <n v="18500"/>
    <n v="62301.371750000006"/>
    <n v="1681.72"/>
    <n v="60619.651750000005"/>
    <n v="3.2767379324324328"/>
    <s v="DAVIS TRADING"/>
    <x v="783"/>
    <d v="2021-07-09T00:00:00"/>
    <n v="0"/>
  </r>
  <r>
    <d v="2021-07-16T00:00:00"/>
    <n v="27500"/>
    <n v="112547.33125"/>
    <n v="2879.37"/>
    <n v="109667.96125000001"/>
    <n v="3.9879258636363639"/>
    <s v="VALENCIA"/>
    <x v="784"/>
    <d v="2021-07-09T00:00:00"/>
    <n v="0"/>
  </r>
  <r>
    <d v="2021-07-17T00:00:00"/>
    <n v="176064"/>
    <n v="269598"/>
    <n v="0"/>
    <n v="269598"/>
    <n v="1.53125"/>
    <s v="TAB"/>
    <x v="785"/>
    <d v="2021-07-13T00:00:00"/>
    <n v="0"/>
  </r>
  <r>
    <d v="2021-07-22T00:00:00"/>
    <n v="96000"/>
    <n v="170880"/>
    <n v="0"/>
    <n v="170880"/>
    <n v="1.78"/>
    <s v="SCIT"/>
    <x v="786"/>
    <d v="2021-07-01T00:00:00"/>
    <n v="0"/>
  </r>
  <r>
    <d v="2021-07-23T00:00:00"/>
    <n v="40000"/>
    <n v="82585.48"/>
    <n v="9700.36"/>
    <n v="72885.119999999995"/>
    <n v="1.822128"/>
    <s v="ANGSTREM"/>
    <x v="787"/>
    <d v="2021-07-09T00:00:00"/>
    <n v="1847.95"/>
  </r>
  <r>
    <d v="2021-07-28T00:00:00"/>
    <n v="20000"/>
    <n v="35800"/>
    <n v="0"/>
    <n v="35800"/>
    <n v="1.79"/>
    <s v="ARCADIA- AB WORLD"/>
    <x v="788"/>
    <d v="2021-07-09T00:00:00"/>
    <n v="0"/>
  </r>
  <r>
    <d v="2021-07-28T00:00:00"/>
    <n v="27336"/>
    <n v="63265.587999999996"/>
    <n v="12098.19"/>
    <n v="51167.397999999994"/>
    <n v="1.8717953614281531"/>
    <s v="SODIFRAM"/>
    <x v="789"/>
    <d v="2021-07-17T00:00:00"/>
    <n v="4137.6400000000003"/>
  </r>
  <r>
    <d v="2021-07-29T00:00:00"/>
    <n v="41500"/>
    <n v="72625"/>
    <n v="0"/>
    <n v="72625"/>
    <n v="1.75"/>
    <s v="SAHEL"/>
    <x v="790"/>
    <d v="2021-07-22T00:00:00"/>
    <n v="0"/>
  </r>
  <r>
    <d v="2021-07-29T00:00:00"/>
    <n v="38400"/>
    <n v="70080"/>
    <n v="0"/>
    <n v="70080"/>
    <n v="1.825"/>
    <s v="SAHEL"/>
    <x v="791"/>
    <d v="2021-07-22T00:00:00"/>
    <n v="0"/>
  </r>
  <r>
    <d v="2021-07-29T00:00:00"/>
    <n v="82000"/>
    <n v="127400"/>
    <n v="0"/>
    <n v="127400"/>
    <n v="1.5536585365853659"/>
    <s v="SCIT"/>
    <x v="792"/>
    <d v="2021-07-09T00:00:00"/>
    <n v="0"/>
  </r>
  <r>
    <d v="2021-07-30T00:00:00"/>
    <n v="108000"/>
    <n v="172084.014"/>
    <n v="25396.34"/>
    <n v="146687.674"/>
    <n v="1.3582192037037037"/>
    <s v="KASSO"/>
    <x v="793"/>
    <d v="2021-07-17T00:00:00"/>
    <n v="8203.2479999999996"/>
  </r>
  <r>
    <d v="2021-07-31T00:00:00"/>
    <n v="108000"/>
    <n v="172675.908"/>
    <n v="25396.34"/>
    <n v="147279.568"/>
    <n v="1.3636997037037037"/>
    <s v="KASSO"/>
    <x v="794"/>
    <d v="2021-07-17T00:00:00"/>
    <n v="8203.2479999999996"/>
  </r>
  <r>
    <d v="2021-07-31T00:00:00"/>
    <n v="158796"/>
    <n v="303110.52678499999"/>
    <n v="67497.5"/>
    <n v="235613.02678499999"/>
    <n v="1.4837466106514017"/>
    <s v="SAWABA"/>
    <x v="795"/>
    <d v="2021-07-17T00:00:00"/>
    <n v="24226.128000000001"/>
  </r>
  <r>
    <d v="2021-08-02T00:00:00"/>
    <n v="108000"/>
    <n v="172675.908"/>
    <n v="32505.1"/>
    <n v="140170.80799999999"/>
    <n v="1.2978778518518517"/>
    <s v="KASSO"/>
    <x v="796"/>
    <d v="2021-07-17T00:00:00"/>
    <n v="10212.175999999999"/>
  </r>
  <r>
    <d v="2021-08-03T00:00:00"/>
    <n v="108000"/>
    <n v="172675.908"/>
    <n v="31791.1"/>
    <n v="140884.80799999999"/>
    <n v="1.3044889629629628"/>
    <s v="KASSO"/>
    <x v="797"/>
    <d v="2021-07-17T00:00:00"/>
    <n v="10212.175999999999"/>
  </r>
  <r>
    <d v="2021-08-03T00:00:00"/>
    <n v="11950"/>
    <n v="26841.775824999997"/>
    <n v="2616.9949999999999"/>
    <n v="24224.780824999998"/>
    <n v="2.0271783117154811"/>
    <s v="ABOURA FOODS"/>
    <x v="798"/>
    <d v="2021-07-17T00:00:00"/>
    <n v="543.72375"/>
  </r>
  <r>
    <d v="2021-08-04T00:00:00"/>
    <n v="6848"/>
    <n v="14651.92"/>
    <n v="0"/>
    <n v="14651.92"/>
    <n v="2.1395911214953269"/>
    <s v="ARCADIA-SAFA FOOD"/>
    <x v="799"/>
    <d v="2021-07-09T00:00:00"/>
    <n v="0"/>
  </r>
  <r>
    <d v="2021-08-06T00:00:00"/>
    <n v="42100"/>
    <n v="74973"/>
    <n v="0"/>
    <n v="74973"/>
    <n v="1.78083135391924"/>
    <s v="SAHEL"/>
    <x v="800"/>
    <d v="2021-07-26T00:00:00"/>
    <n v="0"/>
  </r>
  <r>
    <d v="2021-08-06T00:00:00"/>
    <n v="55416"/>
    <n v="86448.960000000006"/>
    <n v="0"/>
    <n v="86448.960000000006"/>
    <n v="1.56"/>
    <s v="SAHEL"/>
    <x v="801"/>
    <d v="2021-07-22T00:00:00"/>
    <n v="0"/>
  </r>
  <r>
    <d v="2021-08-07T00:00:00"/>
    <n v="154056"/>
    <n v="236145.84"/>
    <n v="0"/>
    <n v="236145.84"/>
    <n v="1.5328571428571429"/>
    <s v="TAB"/>
    <x v="802"/>
    <d v="2021-07-17T00:00:00"/>
    <n v="0"/>
  </r>
  <r>
    <d v="2021-08-16T00:00:00"/>
    <n v="20000"/>
    <n v="35600"/>
    <n v="0"/>
    <n v="35600"/>
    <n v="1.78"/>
    <s v="ARCADIA-GOLDEN FOODS"/>
    <x v="803"/>
    <d v="2021-08-09T00:00:00"/>
    <n v="0"/>
  </r>
  <r>
    <d v="2021-08-17T00:00:00"/>
    <n v="23640"/>
    <n v="40759.199999999997"/>
    <n v="0"/>
    <n v="40759.199999999997"/>
    <n v="1.7241624365482233"/>
    <s v="TAB"/>
    <x v="804"/>
    <d v="2021-08-12T00:00:00"/>
    <n v="0"/>
  </r>
  <r>
    <d v="2021-08-17T00:00:00"/>
    <n v="280000"/>
    <n v="378000"/>
    <n v="0"/>
    <n v="378000"/>
    <n v="1.35"/>
    <s v="OMEGA"/>
    <x v="805"/>
    <d v="2021-08-09T00:00:00"/>
    <n v="0"/>
  </r>
  <r>
    <d v="2021-08-17T00:00:00"/>
    <n v="19600"/>
    <n v="50812.289399999994"/>
    <n v="11195.18"/>
    <n v="39617.109399999994"/>
    <n v="2.0212810918367343"/>
    <s v="RNK DISTRIBUTION"/>
    <x v="806"/>
    <d v="2021-08-09T00:00:00"/>
    <n v="3895.0400000000004"/>
  </r>
  <r>
    <d v="2021-08-25T00:00:00"/>
    <n v="27336"/>
    <n v="63245.444956000007"/>
    <n v="12010.24"/>
    <n v="51235.204956000009"/>
    <n v="1.874275861720808"/>
    <s v="SODIFRAM"/>
    <x v="807"/>
    <d v="2021-08-18T00:00:00"/>
    <n v="4181.4400000000005"/>
  </r>
  <r>
    <d v="2021-08-26T00:00:00"/>
    <n v="50700"/>
    <n v="84708"/>
    <n v="0"/>
    <n v="84708"/>
    <n v="1.6707692307692308"/>
    <s v="SAHEL"/>
    <x v="808"/>
    <d v="2021-08-18T00:00:00"/>
    <n v="0"/>
  </r>
  <r>
    <d v="2021-08-27T00:00:00"/>
    <n v="57600"/>
    <n v="102528"/>
    <n v="0"/>
    <n v="102528"/>
    <n v="1.78"/>
    <s v="SCIT"/>
    <x v="809"/>
    <d v="2021-08-20T00:00:00"/>
    <n v="0"/>
  </r>
  <r>
    <d v="2021-08-28T00:00:00"/>
    <n v="88032"/>
    <n v="136449.60000000001"/>
    <n v="0"/>
    <n v="136449.60000000001"/>
    <n v="1.55"/>
    <s v="TAB"/>
    <x v="810"/>
    <d v="2021-08-20T00:00:00"/>
    <n v="0"/>
  </r>
  <r>
    <d v="2021-08-30T00:00:00"/>
    <n v="19200"/>
    <n v="33984"/>
    <n v="0"/>
    <n v="33984"/>
    <n v="1.77"/>
    <s v="SAHEL"/>
    <x v="811"/>
    <d v="2021-08-09T00:00:00"/>
    <n v="0"/>
  </r>
  <r>
    <d v="2021-08-31T00:00:00"/>
    <n v="159720"/>
    <n v="305688.56400000001"/>
    <n v="67904"/>
    <n v="237784.56400000001"/>
    <n v="1.4887588529927374"/>
    <s v="SAWABA"/>
    <x v="812"/>
    <d v="2021-08-20T00:00:00"/>
    <n v="24370.848000000002"/>
  </r>
  <r>
    <d v="2021-08-31T00:00:00"/>
    <n v="131472"/>
    <n v="224368.56"/>
    <n v="0"/>
    <n v="224368.56"/>
    <n v="1.7065881708652793"/>
    <s v="TAB"/>
    <x v="813"/>
    <d v="2021-07-17T00:00:00"/>
    <n v="0"/>
  </r>
  <r>
    <d v="2021-09-01T00:00:00"/>
    <n v="28000"/>
    <n v="43120"/>
    <n v="0"/>
    <n v="43120"/>
    <n v="1.54"/>
    <s v="TAB"/>
    <x v="814"/>
    <d v="2021-08-20T00:00:00"/>
    <n v="0"/>
  </r>
  <r>
    <d v="2021-09-02T00:00:00"/>
    <n v="18500"/>
    <n v="62679.403749999998"/>
    <n v="1696.62"/>
    <n v="60982.783749999995"/>
    <n v="3.2963666891891887"/>
    <s v="DAVIS TRADING"/>
    <x v="815"/>
    <d v="2021-08-25T00:00:00"/>
    <n v="0"/>
  </r>
  <r>
    <d v="2021-09-08T00:00:00"/>
    <n v="20000"/>
    <n v="35800"/>
    <n v="0"/>
    <n v="35800"/>
    <n v="1.79"/>
    <s v="ARCADIA- AB WORLD"/>
    <x v="816"/>
    <d v="2021-09-01T00:00:00"/>
    <n v="0"/>
  </r>
  <r>
    <d v="2021-09-09T00:00:00"/>
    <n v="76800"/>
    <n v="174139.62159999998"/>
    <n v="30791.72"/>
    <n v="143347.90159999998"/>
    <n v="1.8665091354166665"/>
    <s v="MATMATA"/>
    <x v="817"/>
    <d v="2021-08-26T00:00:00"/>
    <n v="10476.960000000001"/>
  </r>
  <r>
    <d v="2021-09-13T00:00:00"/>
    <n v="50700"/>
    <n v="84708"/>
    <n v="0"/>
    <n v="84708"/>
    <n v="1.6707692307692308"/>
    <s v="SAHEL"/>
    <x v="818"/>
    <d v="2021-09-28T00:00:00"/>
    <n v="0"/>
  </r>
  <r>
    <d v="2021-09-14T00:00:00"/>
    <n v="20750"/>
    <n v="36312.5"/>
    <n v="0"/>
    <n v="36312.5"/>
    <n v="1.75"/>
    <s v="SAHEL"/>
    <x v="819"/>
    <d v="2021-09-09T00:00:00"/>
    <n v="0"/>
  </r>
  <r>
    <d v="2021-09-16T00:00:00"/>
    <n v="20000"/>
    <n v="67623.27"/>
    <n v="1761.12"/>
    <n v="65862.150000000009"/>
    <n v="3.2931075000000005"/>
    <s v="DAVIS TRADING"/>
    <x v="820"/>
    <d v="2021-09-07T00:00:00"/>
    <n v="0"/>
  </r>
  <r>
    <d v="2021-09-17T00:00:00"/>
    <n v="44016"/>
    <n v="77908.320000000007"/>
    <n v="0"/>
    <n v="77908.320000000007"/>
    <n v="1.7700000000000002"/>
    <s v="MEDILIFE"/>
    <x v="821"/>
    <d v="2021-08-25T00:00:00"/>
    <n v="0"/>
  </r>
  <r>
    <d v="2021-06-17T00:00:00"/>
    <n v="280000"/>
    <n v="428400"/>
    <n v="0"/>
    <n v="428400"/>
    <n v="1.53"/>
    <s v="OMEGA"/>
    <x v="822"/>
    <d v="2021-09-13T00:00:00"/>
    <n v="0"/>
  </r>
  <r>
    <d v="2021-09-21T00:00:00"/>
    <n v="60000"/>
    <n v="175099.99937500001"/>
    <n v="0"/>
    <n v="175099.99937500001"/>
    <n v="2.9183333229166668"/>
    <s v="AL MAGEMOUA"/>
    <x v="823"/>
    <d v="2021-08-19T00:00:00"/>
    <n v="0"/>
  </r>
  <r>
    <d v="2021-09-23T00:00:00"/>
    <n v="28000"/>
    <n v="43120"/>
    <n v="0"/>
    <n v="43120"/>
    <n v="1.54"/>
    <s v="TAB"/>
    <x v="824"/>
    <d v="2021-09-20T00:00:00"/>
    <n v="0"/>
  </r>
  <r>
    <d v="2021-09-23T00:00:00"/>
    <n v="28000"/>
    <n v="43120"/>
    <n v="0"/>
    <n v="43120"/>
    <n v="1.54"/>
    <s v="TAB"/>
    <x v="825"/>
    <d v="2021-09-20T00:00:00"/>
    <n v="0"/>
  </r>
  <r>
    <d v="2021-09-23T00:00:00"/>
    <n v="23426.400000000001"/>
    <n v="62540.394444500002"/>
    <n v="17646.66"/>
    <n v="44893.734444500005"/>
    <n v="1.91637359750111"/>
    <s v="GREEN WORLD"/>
    <x v="826"/>
    <d v="2021-08-25T00:00:00"/>
    <n v="4055.52"/>
  </r>
  <r>
    <d v="2021-09-25T00:00:00"/>
    <n v="280000"/>
    <n v="428400"/>
    <n v="0"/>
    <n v="428400"/>
    <n v="1.53"/>
    <s v="OMEGA"/>
    <x v="827"/>
    <d v="2021-09-18T00:00:00"/>
    <n v="0"/>
  </r>
  <r>
    <d v="2021-09-28T00:00:00"/>
    <n v="27336"/>
    <n v="63405.457190000001"/>
    <n v="12123.165000000001"/>
    <n v="51282.29219"/>
    <n v="1.875998397351478"/>
    <s v="SODIFRAM"/>
    <x v="828"/>
    <d v="2021-09-07T00:00:00"/>
    <n v="4203.34"/>
  </r>
  <r>
    <d v="2021-09-28T00:00:00"/>
    <n v="15096"/>
    <n v="49333.599999999999"/>
    <n v="0"/>
    <n v="49333.599999999999"/>
    <n v="3.2679915209326973"/>
    <s v="MUCH MARK - 2MIT"/>
    <x v="829"/>
    <d v="2021-09-07T00:00:00"/>
    <n v="0"/>
  </r>
  <r>
    <d v="2021-09-29T00:00:00"/>
    <n v="21600"/>
    <n v="41256"/>
    <n v="0"/>
    <n v="41256"/>
    <n v="1.91"/>
    <s v="PUNIC"/>
    <x v="830"/>
    <d v="2021-09-07T00:00:00"/>
    <n v="0"/>
  </r>
  <r>
    <d v="2021-09-29T00:00:00"/>
    <n v="44016"/>
    <n v="68224.800000000003"/>
    <n v="0"/>
    <n v="68224.800000000003"/>
    <n v="1.55"/>
    <s v="TAB"/>
    <x v="831"/>
    <d v="2021-09-21T00:00:00"/>
    <n v="0"/>
  </r>
  <r>
    <d v="2021-10-04T00:00:00"/>
    <n v="77200"/>
    <n v="167732"/>
    <n v="0"/>
    <n v="167732"/>
    <n v="2.1726943005181347"/>
    <s v="GOLDEN PEARL"/>
    <x v="832"/>
    <d v="2021-09-24T00:00:00"/>
    <n v="0"/>
  </r>
  <r>
    <d v="2021-10-11T00:00:00"/>
    <n v="41000"/>
    <n v="76260"/>
    <n v="0"/>
    <n v="76260"/>
    <n v="1.86"/>
    <s v="ARCADIA"/>
    <x v="833"/>
    <d v="2021-10-05T00:00:00"/>
    <n v="0"/>
  </r>
  <r>
    <d v="2021-10-11T00:00:00"/>
    <n v="21600"/>
    <n v="38664"/>
    <n v="0"/>
    <n v="38664"/>
    <n v="1.79"/>
    <s v="SAHEL"/>
    <x v="834"/>
    <d v="2021-10-05T00:00:00"/>
    <n v="0"/>
  </r>
  <r>
    <d v="2021-10-13T00:00:00"/>
    <n v="66024"/>
    <n v="116862.48"/>
    <n v="0"/>
    <n v="116862.48"/>
    <n v="1.77"/>
    <s v="SAHEL"/>
    <x v="835"/>
    <d v="2021-09-28T00:00:00"/>
    <n v="0"/>
  </r>
  <r>
    <d v="2021-10-13T00:00:00"/>
    <n v="19200"/>
    <n v="34944"/>
    <n v="0"/>
    <n v="34944"/>
    <n v="1.82"/>
    <s v="SAHEL"/>
    <x v="836"/>
    <d v="2021-10-07T00:00:00"/>
    <n v="0"/>
  </r>
  <r>
    <d v="2021-10-16T00:00:00"/>
    <n v="560000"/>
    <n v="856800"/>
    <n v="0"/>
    <n v="856800"/>
    <n v="1.53"/>
    <s v="OMEGA"/>
    <x v="837"/>
    <d v="2021-10-05T00:00:00"/>
    <n v="0"/>
  </r>
  <r>
    <d v="2021-10-20T00:00:00"/>
    <n v="40000"/>
    <n v="110975.2"/>
    <n v="10715.82"/>
    <n v="100259.38"/>
    <n v="2.5064845"/>
    <s v="ANGSTREM"/>
    <x v="838"/>
    <d v="2021-10-06T00:00:00"/>
    <n v="2094.5250000000001"/>
  </r>
  <r>
    <d v="2021-10-21T00:00:00"/>
    <n v="27336"/>
    <n v="95178.486999999994"/>
    <n v="12224.985000000001"/>
    <n v="82953.501999999993"/>
    <n v="3.0345881621305235"/>
    <s v="SODIFRAM"/>
    <x v="839"/>
    <d v="2021-10-12T00:00:00"/>
    <n v="4252.6080000000002"/>
  </r>
  <r>
    <d v="2021-10-22T00:00:00"/>
    <n v="120480"/>
    <n v="223321.18599999999"/>
    <n v="55822.525000000001"/>
    <n v="167498.66099999999"/>
    <n v="1.3902611304780876"/>
    <s v="SEYAL TCHAD"/>
    <x v="840"/>
    <d v="2021-10-12T00:00:00"/>
    <n v="19843.25"/>
  </r>
  <r>
    <d v="2021-10-23T00:00:00"/>
    <n v="54000"/>
    <n v="108000"/>
    <n v="0"/>
    <n v="108000"/>
    <n v="2"/>
    <s v="SAHEL"/>
    <x v="841"/>
    <d v="2021-09-28T00:00:00"/>
    <n v="0"/>
  </r>
  <r>
    <d v="2021-10-26T00:00:00"/>
    <n v="25856.639999999999"/>
    <n v="52044.491999999998"/>
    <n v="0"/>
    <n v="52044.491999999998"/>
    <n v="2.0128095529813619"/>
    <s v="ARCADIA"/>
    <x v="842"/>
    <d v="2021-10-20T00:00:00"/>
    <n v="0"/>
  </r>
  <r>
    <d v="2021-10-27T00:00:00"/>
    <n v="108000"/>
    <n v="175415.736"/>
    <n v="36801.96"/>
    <n v="138613.77600000001"/>
    <n v="1.283460888888889"/>
    <s v="KASSO"/>
    <x v="843"/>
    <d v="2021-10-13T00:00:00"/>
    <n v="12623.424000000001"/>
  </r>
  <r>
    <d v="2021-10-28T00:00:00"/>
    <n v="140000"/>
    <n v="255283.35"/>
    <n v="41313.97"/>
    <n v="213969.38"/>
    <n v="1.5283527142857143"/>
    <s v="SEYAL TCHAD"/>
    <x v="844"/>
    <d v="2021-10-19T00:00:00"/>
    <n v="14204.688000000002"/>
  </r>
  <r>
    <d v="2021-10-28T00:00:00"/>
    <n v="108000"/>
    <n v="175415.736"/>
    <n v="36801.96"/>
    <n v="138613.77600000001"/>
    <n v="1.283460888888889"/>
    <s v="KASSO"/>
    <x v="845"/>
    <d v="2021-10-13T00:00:00"/>
    <n v="12623.424000000001"/>
  </r>
  <r>
    <d v="2021-10-28T00:00:00"/>
    <n v="66024"/>
    <n v="102337.2"/>
    <n v="0"/>
    <n v="102337.2"/>
    <n v="1.55"/>
    <s v="TAB"/>
    <x v="846"/>
    <d v="2021-10-19T00:00:00"/>
    <n v="0"/>
  </r>
  <r>
    <d v="2021-10-29T00:00:00"/>
    <n v="108000"/>
    <n v="175415.736"/>
    <n v="36801.96"/>
    <n v="138613.77600000001"/>
    <n v="1.283460888888889"/>
    <s v="KASSO"/>
    <x v="847"/>
    <d v="2021-10-13T00:00:00"/>
    <n v="12623.424000000001"/>
  </r>
  <r>
    <d v="2021-10-29T00:00:00"/>
    <n v="60000"/>
    <n v="165695.46"/>
    <n v="16032.17"/>
    <n v="149663.28999999998"/>
    <n v="2.4943881666666665"/>
    <s v="ANGSTREM"/>
    <x v="848"/>
    <d v="2021-10-19T00:00:00"/>
    <n v="3132"/>
  </r>
  <r>
    <d v="2021-10-30T00:00:00"/>
    <n v="108000"/>
    <n v="175415.736"/>
    <n v="36801.96"/>
    <n v="138613.77600000001"/>
    <n v="1.283460888888889"/>
    <s v="KASSO"/>
    <x v="849"/>
    <d v="2021-10-13T00:00:00"/>
    <n v="12623.424000000001"/>
  </r>
  <r>
    <d v="2021-11-01T00:00:00"/>
    <n v="24716"/>
    <n v="48570.614827999998"/>
    <n v="0"/>
    <n v="48570.614827999998"/>
    <n v="1.965148682149215"/>
    <s v="OMRANE "/>
    <x v="850"/>
    <d v="2021-10-19T00:00:00"/>
    <n v="0"/>
  </r>
  <r>
    <d v="2021-11-04T00:00:00"/>
    <n v="27336"/>
    <n v="63311.817139999999"/>
    <n v="12601.28"/>
    <n v="50710.53714"/>
    <n v="1.8550825702370501"/>
    <s v="SODIFRAM"/>
    <x v="851"/>
    <d v="2021-10-29T00:00:00"/>
    <n v="4286.4639999999999"/>
  </r>
  <r>
    <d v="2021-11-06T00:00:00"/>
    <n v="54000"/>
    <n v="108000"/>
    <n v="0"/>
    <n v="108000"/>
    <n v="2"/>
    <s v="SAHEL"/>
    <x v="852"/>
    <d v="2021-10-23T00:00:00"/>
    <n v="0"/>
  </r>
  <r>
    <d v="2021-11-08T00:00:00"/>
    <n v="11200"/>
    <n v="61040"/>
    <n v="0"/>
    <n v="61040"/>
    <n v="5.45"/>
    <s v="SOGETRAC"/>
    <x v="853"/>
    <d v="2021-11-02T00:00:00"/>
    <n v="0"/>
  </r>
  <r>
    <d v="2021-11-11T00:00:00"/>
    <n v="20160"/>
    <n v="69490.785920000009"/>
    <n v="1659.414"/>
    <n v="67831.371920000005"/>
    <n v="3.3646513849206352"/>
    <s v="DAVIS TRADING"/>
    <x v="854"/>
    <d v="2021-10-29T00:00:00"/>
    <n v="0"/>
  </r>
  <r>
    <d v="2021-11-15T00:00:00"/>
    <n v="280000"/>
    <n v="501200"/>
    <n v="0"/>
    <n v="501200"/>
    <n v="1.79"/>
    <s v="SCIT"/>
    <x v="855"/>
    <d v="2021-11-09T00:00:00"/>
    <n v="0"/>
  </r>
  <r>
    <d v="2021-11-16T00:00:00"/>
    <n v="25200"/>
    <n v="67134.990000000005"/>
    <n v="10108.355"/>
    <n v="57026.635000000009"/>
    <n v="2.2629617063492069"/>
    <s v="SALIOU BAH"/>
    <x v="856"/>
    <d v="2021-11-09T00:00:00"/>
    <n v="3425.4800000000005"/>
  </r>
  <r>
    <d v="2021-11-17T00:00:00"/>
    <n v="20000"/>
    <n v="62000"/>
    <n v="0"/>
    <n v="62000"/>
    <n v="3.1"/>
    <s v="ARCADIA"/>
    <x v="857"/>
    <d v="2021-11-09T00:00:00"/>
    <n v="0"/>
  </r>
  <r>
    <d v="2021-11-17T00:00:00"/>
    <n v="158796"/>
    <n v="311998.23125800001"/>
    <n v="67904"/>
    <n v="244094.23125800001"/>
    <n v="1.5371560445981007"/>
    <s v="SAWABA"/>
    <x v="858"/>
    <d v="2021-11-19T00:00:00"/>
    <n v="24370.848000000002"/>
  </r>
  <r>
    <d v="2021-11-18T00:00:00"/>
    <n v="167424"/>
    <n v="390707.6"/>
    <n v="0"/>
    <n v="390707.6"/>
    <n v="2.3336415328746174"/>
    <s v="TAB"/>
    <x v="859"/>
    <d v="2021-11-09T00:00:00"/>
    <n v="0"/>
  </r>
  <r>
    <d v="2021-11-22T00:00:00"/>
    <n v="38400"/>
    <n v="68736"/>
    <n v="0"/>
    <n v="68736"/>
    <n v="1.79"/>
    <s v="SAHEL"/>
    <x v="860"/>
    <d v="2021-11-15T00:00:00"/>
    <n v="0"/>
  </r>
  <r>
    <d v="2021-11-27T00:00:00"/>
    <n v="60000"/>
    <n v="186000"/>
    <n v="0"/>
    <n v="186000"/>
    <n v="3.1"/>
    <s v="ARCADIA"/>
    <x v="861"/>
    <d v="2021-11-15T00:00:00"/>
    <n v="0"/>
  </r>
  <r>
    <d v="2021-11-29T00:00:00"/>
    <n v="110040"/>
    <n v="170562"/>
    <n v="0"/>
    <n v="170562"/>
    <n v="1.55"/>
    <s v="TAB"/>
    <x v="862"/>
    <d v="2021-11-23T00:00:00"/>
    <n v="0"/>
  </r>
  <r>
    <d v="2021-11-29T00:00:00"/>
    <n v="21600"/>
    <n v="76797.441800000001"/>
    <n v="12532.495000000001"/>
    <n v="64264.946799999998"/>
    <n v="2.9752290185185184"/>
    <s v="SODIFRAM"/>
    <x v="863"/>
    <d v="2021-11-23T00:00:00"/>
    <n v="4346.8160000000007"/>
  </r>
  <r>
    <d v="2021-11-29T00:00:00"/>
    <n v="21600"/>
    <n v="76797.441800000001"/>
    <n v="12532.495000000001"/>
    <n v="64264.946799999998"/>
    <n v="2.9752290185185184"/>
    <s v="SODIFRAM"/>
    <x v="864"/>
    <d v="2021-11-23T00:00:00"/>
    <n v="4346.8160000000007"/>
  </r>
  <r>
    <d v="2021-11-30T00:00:00"/>
    <n v="10800"/>
    <n v="40525.309399999998"/>
    <n v="9675.2049999999999"/>
    <n v="30850.104399999997"/>
    <n v="2.8564911481481476"/>
    <s v="SODIFRAM"/>
    <x v="865"/>
    <d v="2021-11-23T00:00:00"/>
    <n v="3248.3"/>
  </r>
  <r>
    <d v="2021-11-30T00:00:00"/>
    <n v="139200"/>
    <n v="244047.94560000001"/>
    <n v="41313.97"/>
    <n v="202733.97560000001"/>
    <n v="1.4564222385057473"/>
    <s v="SEYAL TCHAD"/>
    <x v="866"/>
    <d v="2021-11-12T00:00:00"/>
    <n v="14204.688000000002"/>
  </r>
  <r>
    <d v="2021-12-07T00:00:00"/>
    <n v="5600"/>
    <n v="30576"/>
    <n v="0"/>
    <n v="30576"/>
    <n v="5.46"/>
    <s v="CT TRADING"/>
    <x v="867"/>
    <d v="2021-11-15T00:00:00"/>
    <n v="0"/>
  </r>
  <r>
    <d v="2021-12-07T00:00:00"/>
    <n v="19500"/>
    <n v="80509.252500000002"/>
    <n v="1558.32"/>
    <n v="78950.932499999995"/>
    <n v="4.0487657692307693"/>
    <s v="DAVIS TRADING"/>
    <x v="868"/>
    <d v="2021-11-25T00:00:00"/>
    <n v="0"/>
  </r>
  <r>
    <d v="2021-12-09T00:00:00"/>
    <n v="158796"/>
    <n v="314511.43803799996"/>
    <n v="69410.59"/>
    <n v="245100.84803799997"/>
    <n v="1.5434951008715583"/>
    <s v="SAWABA"/>
    <x v="869"/>
    <d v="2021-11-30T00:00:00"/>
    <n v="24522.804000000004"/>
  </r>
  <r>
    <d v="2021-12-09T00:00:00"/>
    <n v="23395.84"/>
    <n v="34363.523000000001"/>
    <n v="0"/>
    <n v="34363.523000000001"/>
    <n v="1.46878774175238"/>
    <s v="ARCADIA"/>
    <x v="870"/>
    <d v="2021-11-25T00:00:00"/>
    <n v="0"/>
  </r>
  <r>
    <d v="2021-12-13T00:00:00"/>
    <n v="40464"/>
    <n v="168276.46739999999"/>
    <n v="47617.34"/>
    <n v="120659.1274"/>
    <n v="2.9818882809410834"/>
    <s v="FOODMED"/>
    <x v="871"/>
    <d v="2021-12-01T00:00:00"/>
    <n v="4315.5249999999996"/>
  </r>
  <r>
    <d v="2021-12-13T00:00:00"/>
    <n v="19200"/>
    <n v="34944"/>
    <n v="0"/>
    <n v="34944"/>
    <n v="1.82"/>
    <s v="SAHEL"/>
    <x v="872"/>
    <d v="2021-12-07T00:00:00"/>
    <n v="0"/>
  </r>
  <r>
    <d v="2021-12-15T00:00:00"/>
    <n v="19200"/>
    <n v="34368"/>
    <n v="0"/>
    <n v="34368"/>
    <n v="1.79"/>
    <s v="SAHEL"/>
    <x v="873"/>
    <d v="2021-12-04T00:00:00"/>
    <n v="0"/>
  </r>
  <r>
    <d v="2021-12-15T00:00:00"/>
    <n v="19200"/>
    <n v="34944"/>
    <n v="0"/>
    <n v="34944"/>
    <n v="1.82"/>
    <s v="SAHEL"/>
    <x v="874"/>
    <d v="2021-12-03T00:00:00"/>
    <n v="0"/>
  </r>
  <r>
    <d v="2021-12-16T00:00:00"/>
    <n v="56000"/>
    <n v="103530"/>
    <n v="0"/>
    <n v="103530"/>
    <n v="1.8487499999999999"/>
    <s v="TAB"/>
    <x v="875"/>
    <d v="2021-12-01T00:00:00"/>
    <n v="0"/>
  </r>
  <r>
    <d v="2021-12-20T00:00:00"/>
    <n v="5600"/>
    <n v="28448"/>
    <n v="0"/>
    <n v="28448"/>
    <n v="5.08"/>
    <s v="ARCADIA"/>
    <x v="876"/>
    <d v="2021-11-19T00:00:00"/>
    <n v="0"/>
  </r>
  <r>
    <d v="2021-12-21T00:00:00"/>
    <n v="48600"/>
    <n v="126613.8621"/>
    <n v="22383.272000000001"/>
    <n v="104230.5901"/>
    <n v="2.1446623477366256"/>
    <s v="RNK DISTRIBUTION"/>
    <x v="877"/>
    <d v="2021-12-13T00:00:00"/>
    <n v="8099.3487999999998"/>
  </r>
  <r>
    <d v="2021-12-21T00:00:00"/>
    <n v="27336"/>
    <n v="94315.012104000009"/>
    <n v="12435.084999999999"/>
    <n v="81879.927104000002"/>
    <n v="2.9953148633304068"/>
    <s v="SODIFRAM"/>
    <x v="878"/>
    <d v="2021-12-07T00:00:00"/>
    <n v="4340.9279999999999"/>
  </r>
  <r>
    <d v="2021-12-22T00:00:00"/>
    <n v="61000"/>
    <n v="310476.39777000004"/>
    <n v="0"/>
    <n v="310476.39777000004"/>
    <n v="5.0897770126229513"/>
    <s v="AL MAGEMOUA"/>
    <x v="879"/>
    <d v="2021-12-13T00:00:00"/>
    <n v="0"/>
  </r>
  <r>
    <d v="2021-12-23T00:00:00"/>
    <n v="280000"/>
    <n v="501200"/>
    <n v="0"/>
    <n v="501200"/>
    <n v="1.79"/>
    <s v="OMEGA"/>
    <x v="880"/>
    <d v="2021-12-13T00:00:00"/>
    <n v="0"/>
  </r>
  <r>
    <d v="2021-12-25T00:00:00"/>
    <n v="100176"/>
    <n v="231998.4"/>
    <n v="0"/>
    <n v="231998.4"/>
    <n v="2.3159080019166267"/>
    <s v="TAB"/>
    <x v="881"/>
    <d v="2021-12-01T00:00:00"/>
    <n v="0"/>
  </r>
  <r>
    <d v="2021-12-25T00:00:00"/>
    <n v="280000"/>
    <n v="501200"/>
    <n v="0"/>
    <n v="501200"/>
    <n v="1.79"/>
    <s v="OMEGA"/>
    <x v="882"/>
    <d v="2021-12-15T00:00:00"/>
    <n v="0"/>
  </r>
  <r>
    <d v="2021-12-25T00:00:00"/>
    <n v="9732"/>
    <n v="32359.1198"/>
    <n v="5236.8500000000004"/>
    <n v="27122.269800000002"/>
    <n v="2.786916337854501"/>
    <s v="ABOURA FOODS"/>
    <x v="883"/>
    <d v="2021-12-16T00:00:00"/>
    <n v="985.83749999999998"/>
  </r>
  <r>
    <d v="2021-12-27T00:00:00"/>
    <n v="280000"/>
    <n v="501200"/>
    <n v="0"/>
    <n v="501200"/>
    <n v="1.79"/>
    <s v="OMEGA"/>
    <x v="884"/>
    <d v="2021-12-15T00:00:00"/>
    <n v="0"/>
  </r>
  <r>
    <d v="2021-12-27T00:00:00"/>
    <n v="41500"/>
    <n v="68475"/>
    <n v="0"/>
    <n v="68475"/>
    <n v="1.65"/>
    <s v="SAHEL"/>
    <x v="885"/>
    <d v="2021-10-21T00:00:00"/>
    <n v="0"/>
  </r>
  <r>
    <d v="2021-12-27T00:00:00"/>
    <n v="11000"/>
    <n v="43431.6"/>
    <n v="0"/>
    <n v="43431.6"/>
    <n v="3.9483272727272727"/>
    <s v="CT TRADING"/>
    <x v="886"/>
    <d v="2021-11-02T00:00:00"/>
    <n v="0"/>
  </r>
  <r>
    <d v="2021-12-29T00:00:00"/>
    <n v="96000"/>
    <n v="272482.56"/>
    <n v="30151.53"/>
    <n v="242331.03"/>
    <n v="2.5242815625000001"/>
    <s v="LAMP -FALL"/>
    <x v="887"/>
    <d v="2021-12-14T00:00:00"/>
    <n v="9166.5600000000013"/>
  </r>
  <r>
    <d v="2021-12-29T00:00:00"/>
    <n v="154056"/>
    <n v="281922.48"/>
    <n v="0"/>
    <n v="281922.48"/>
    <n v="1.8299999999999998"/>
    <s v="TAB"/>
    <x v="888"/>
    <d v="2021-12-07T00:00:00"/>
    <n v="0"/>
  </r>
  <r>
    <d v="2022-01-06T00:00:00"/>
    <n v="41000"/>
    <n v="125460"/>
    <n v="0"/>
    <n v="125460"/>
    <n v="3.06"/>
    <s v="MIDCOM"/>
    <x v="889"/>
    <d v="2021-12-16T00:00:00"/>
    <n v="0"/>
  </r>
  <r>
    <d v="2022-01-08T00:00:00"/>
    <n v="2504"/>
    <n v="8811.6"/>
    <n v="0"/>
    <n v="8811.6"/>
    <n v="3.5190095846645368"/>
    <s v="ARCADIA"/>
    <x v="890"/>
    <d v="2022-01-04T00:00:00"/>
    <n v="0"/>
  </r>
  <r>
    <d v="2021-01-18T00:00:00"/>
    <n v="20750"/>
    <n v="36312.5"/>
    <n v="0"/>
    <n v="36312.5"/>
    <n v="1.75"/>
    <s v="SAHEL"/>
    <x v="891"/>
    <d v="2022-01-05T00:00:00"/>
    <n v="0"/>
  </r>
  <r>
    <d v="2022-01-18T00:00:00"/>
    <n v="43608"/>
    <n v="73257.36"/>
    <n v="0"/>
    <n v="73257.36"/>
    <n v="1.6799064391854706"/>
    <s v="SAHEL"/>
    <x v="892"/>
    <d v="2022-01-07T00:00:00"/>
    <n v="0"/>
  </r>
  <r>
    <d v="2022-01-19T00:00:00"/>
    <n v="13440"/>
    <n v="73920"/>
    <n v="0"/>
    <n v="73920"/>
    <n v="5.5"/>
    <s v="SOGETRAC"/>
    <x v="893"/>
    <d v="2022-01-04T00:00:00"/>
    <n v="0"/>
  </r>
  <r>
    <d v="2022-01-24T00:00:00"/>
    <n v="210000"/>
    <n v="494704.77"/>
    <n v="0"/>
    <n v="494704.77"/>
    <n v="2.355737"/>
    <s v="AL JAWDA RAEDA"/>
    <x v="894"/>
    <d v="2022-01-13T00:00:00"/>
    <n v="0"/>
  </r>
  <r>
    <d v="2022-01-24T00:00:00"/>
    <n v="20000"/>
    <n v="61000"/>
    <n v="0"/>
    <n v="61000"/>
    <n v="3.05"/>
    <s v="ARCADIA"/>
    <x v="895"/>
    <d v="2022-01-12T00:00:00"/>
    <n v="0"/>
  </r>
  <r>
    <d v="2022-01-27T00:00:00"/>
    <n v="20400"/>
    <n v="46200"/>
    <n v="0"/>
    <n v="46200"/>
    <n v="2.2647058823529411"/>
    <s v="SCIT"/>
    <x v="896"/>
    <d v="2022-01-11T00:00:00"/>
    <n v="0"/>
  </r>
  <r>
    <d v="2022-01-28T00:00:00"/>
    <n v="108000"/>
    <n v="204165.68400000001"/>
    <n v="34260.029000000002"/>
    <n v="169905.655"/>
    <n v="1.5732005092592591"/>
    <s v="KASSO"/>
    <x v="897"/>
    <d v="2022-01-24T00:00:00"/>
    <n v="10366.950999999999"/>
  </r>
  <r>
    <d v="2022-01-29T00:00:00"/>
    <n v="108000"/>
    <n v="204165.68400000001"/>
    <n v="34260.029000000002"/>
    <n v="169905.655"/>
    <n v="1.5732005092592591"/>
    <s v="KASSO"/>
    <x v="898"/>
    <d v="2022-01-24T00:00:00"/>
    <n v="10366.950999999999"/>
  </r>
  <r>
    <d v="2022-01-29T00:00:00"/>
    <n v="280000"/>
    <n v="501200"/>
    <n v="0"/>
    <n v="501200"/>
    <n v="1.79"/>
    <s v="OMEGA"/>
    <x v="899"/>
    <d v="2022-01-13T00:00:00"/>
    <n v="0"/>
  </r>
  <r>
    <d v="2022-01-29T00:00:00"/>
    <n v="108000"/>
    <n v="203335.70400000003"/>
    <n v="34260.029000000002"/>
    <n v="169075.67500000002"/>
    <n v="1.5655155092592594"/>
    <s v="KASSO"/>
    <x v="900"/>
    <d v="2022-01-24T00:00:00"/>
    <n v="10366.950999999999"/>
  </r>
  <r>
    <d v="2022-01-31T00:00:00"/>
    <n v="110540"/>
    <n v="320114.68919999996"/>
    <n v="52693.824999999997"/>
    <n v="267420.86419999995"/>
    <n v="2.4192225818708155"/>
    <s v="MAMADOU TD"/>
    <x v="901"/>
    <d v="2022-01-10T00:00:00"/>
    <n v="15927.449999999999"/>
  </r>
  <r>
    <d v="2022-01-31T00:00:00"/>
    <n v="108000"/>
    <n v="203335.70400000003"/>
    <n v="34260.029000000002"/>
    <n v="169075.67500000002"/>
    <n v="1.5655155092592594"/>
    <s v="KASSO"/>
    <x v="902"/>
    <d v="2022-01-24T00:00:00"/>
    <n v="10366.950999999999"/>
  </r>
  <r>
    <d v="2022-01-31T00:00:00"/>
    <n v="168000"/>
    <n v="300720"/>
    <n v="0"/>
    <n v="300720"/>
    <n v="1.79"/>
    <s v="OMEGA"/>
    <x v="903"/>
    <d v="2022-01-13T00:00:00"/>
    <n v="0"/>
  </r>
  <r>
    <d v="2022-01-31T00:00:00"/>
    <n v="460800"/>
    <n v="1081672.7039999999"/>
    <n v="0"/>
    <n v="1081672.7039999999"/>
    <n v="2.3473799999999998"/>
    <s v="JANNET AL KHAYRAT"/>
    <x v="904"/>
    <d v="2022-01-25T00:00:00"/>
    <n v="0"/>
  </r>
  <r>
    <d v="2022-02-01T00:00:00"/>
    <n v="112000"/>
    <n v="200480"/>
    <n v="0"/>
    <n v="200480"/>
    <n v="1.79"/>
    <s v="OMEGA"/>
    <x v="903"/>
    <d v="2022-01-13T00:00:00"/>
    <n v="0"/>
  </r>
  <r>
    <d v="2022-02-01T00:00:00"/>
    <n v="110040"/>
    <n v="201373.2"/>
    <n v="0"/>
    <n v="201373.2"/>
    <n v="1.83"/>
    <s v="TAB"/>
    <x v="905"/>
    <d v="2022-01-24T00:00:00"/>
    <n v="0"/>
  </r>
  <r>
    <d v="2022-02-02T00:00:00"/>
    <n v="40000"/>
    <n v="132568.1"/>
    <n v="8310.1"/>
    <n v="124258"/>
    <n v="3.1064500000000002"/>
    <s v="ANGSTREM"/>
    <x v="906"/>
    <d v="2022-01-21T00:00:00"/>
    <n v="1234.8000000000002"/>
  </r>
  <r>
    <d v="2022-02-08T00:00:00"/>
    <n v="41000"/>
    <n v="124640"/>
    <n v="0"/>
    <n v="124640"/>
    <n v="3.04"/>
    <s v="MIDCOM"/>
    <x v="907"/>
    <d v="2022-02-03T00:00:00"/>
    <n v="0"/>
  </r>
  <r>
    <d v="2022-02-09T00:00:00"/>
    <n v="20000"/>
    <n v="61000"/>
    <n v="0"/>
    <n v="61000"/>
    <n v="3.05"/>
    <s v="ARCADIA"/>
    <x v="908"/>
    <d v="2022-01-24T00:00:00"/>
    <n v="0"/>
  </r>
  <r>
    <d v="2022-02-10T00:00:00"/>
    <n v="56000"/>
    <n v="102480"/>
    <n v="0"/>
    <n v="102480"/>
    <n v="1.83"/>
    <s v="TAB"/>
    <x v="909"/>
    <d v="2022-01-24T00:00:00"/>
    <n v="0"/>
  </r>
  <r>
    <d v="2022-02-14T00:00:00"/>
    <n v="27336"/>
    <n v="95348.778967999999"/>
    <n v="13020.504999999999"/>
    <n v="82328.273967999994"/>
    <n v="3.0117161972490485"/>
    <s v="SODIFRAM"/>
    <x v="910"/>
    <d v="2022-01-21T00:00:00"/>
    <n v="3912.1109999999994"/>
  </r>
  <r>
    <d v="2022-02-14T00:00:00"/>
    <n v="43200"/>
    <n v="77328"/>
    <n v="0"/>
    <n v="77328"/>
    <n v="1.79"/>
    <s v="SAHEL"/>
    <x v="911"/>
    <d v="2022-02-08T00:00:00"/>
    <n v="0"/>
  </r>
  <r>
    <d v="2022-02-16T00:00:00"/>
    <n v="40000"/>
    <n v="131874.23000000001"/>
    <n v="8023.07"/>
    <n v="123851.16"/>
    <n v="3.096279"/>
    <s v="ANGSTREM"/>
    <x v="912"/>
    <d v="2022-02-10T00:00:00"/>
    <n v="994.73400000000004"/>
  </r>
  <r>
    <d v="2022-02-17T00:00:00"/>
    <n v="3813.6"/>
    <n v="12394.2"/>
    <n v="0"/>
    <n v="12394.2"/>
    <n v="3.2500000000000004"/>
    <s v="ARCADIA"/>
    <x v="913"/>
    <d v="2022-02-05T00:00:00"/>
    <n v="0"/>
  </r>
  <r>
    <d v="2022-02-21T00:00:00"/>
    <n v="25000"/>
    <n v="133690.07250000001"/>
    <n v="0"/>
    <n v="133690.07250000001"/>
    <n v="5.3476029"/>
    <s v="JANNET AL KHAYRAT"/>
    <x v="914"/>
    <d v="2022-02-16T00:00:00"/>
    <n v="0"/>
  </r>
  <r>
    <d v="2022-02-23T00:00:00"/>
    <n v="23426.400000000001"/>
    <n v="82945.333341999998"/>
    <n v="39023.928"/>
    <n v="43921.405341999998"/>
    <n v="1.8748678986954888"/>
    <s v="GREENWORLD"/>
    <x v="915"/>
    <d v="2022-02-21T00:00:00"/>
    <n v="7566.3755999999994"/>
  </r>
  <r>
    <d v="2022-02-23T00:00:00"/>
    <n v="27336"/>
    <n v="95016.932128"/>
    <n v="12825.475"/>
    <n v="82191.457127999995"/>
    <n v="3.006711191395961"/>
    <s v="SODIFRAM"/>
    <x v="916"/>
    <d v="2022-02-18T00:00:00"/>
    <n v="3935.9249999999997"/>
  </r>
  <r>
    <d v="2022-02-23T00:00:00"/>
    <n v="23430"/>
    <n v="64692.217100000002"/>
    <n v="11828.85"/>
    <n v="52863.367100000003"/>
    <n v="2.2562256551429791"/>
    <s v="MAMADOU TD"/>
    <x v="917"/>
    <d v="2022-02-18T00:00:00"/>
    <n v="3623.5499999999997"/>
  </r>
  <r>
    <d v="2022-02-24T00:00:00"/>
    <n v="112800"/>
    <n v="248880"/>
    <n v="0"/>
    <n v="248880"/>
    <n v="2.2063829787234042"/>
    <s v="SAHEL"/>
    <x v="918"/>
    <d v="2022-02-18T00:00:00"/>
    <n v="0"/>
  </r>
  <r>
    <d v="2022-02-25T00:00:00"/>
    <n v="115200"/>
    <n v="328483.2672"/>
    <n v="61576.89"/>
    <n v="266906.37719999999"/>
    <n v="2.3168956354166665"/>
    <s v="LAMP FALL"/>
    <x v="919"/>
    <d v="2022-02-21T00:00:00"/>
    <n v="18423.93"/>
  </r>
  <r>
    <d v="2022-02-25T00:00:00"/>
    <n v="112000"/>
    <n v="219520"/>
    <n v="0"/>
    <n v="219520"/>
    <n v="1.96"/>
    <s v="TAB"/>
    <x v="920"/>
    <d v="2022-01-21T00:00:00"/>
    <n v="0"/>
  </r>
  <r>
    <d v="2022-02-26T00:00:00"/>
    <n v="280000"/>
    <n v="501200"/>
    <n v="0"/>
    <n v="501200"/>
    <n v="1.79"/>
    <s v="OMEGA"/>
    <x v="921"/>
    <d v="2022-02-21T00:00:00"/>
    <n v="0"/>
  </r>
  <r>
    <d v="2022-02-28T00:00:00"/>
    <n v="66024"/>
    <n v="120823.92"/>
    <n v="0"/>
    <n v="120823.92"/>
    <n v="1.83"/>
    <s v="TAB"/>
    <x v="922"/>
    <d v="2022-02-21T00:00:00"/>
    <n v="0"/>
  </r>
  <r>
    <d v="2022-02-28T00:00:00"/>
    <n v="314160"/>
    <n v="869156.58240000007"/>
    <n v="144254.82"/>
    <n v="724901.76240000012"/>
    <n v="2.3074285790679911"/>
    <s v="SAWABA"/>
    <x v="923"/>
    <d v="2022-02-18T00:00:00"/>
    <n v="42914.906999999999"/>
  </r>
  <r>
    <d v="2022-02-28T00:00:00"/>
    <n v="64800"/>
    <n v="173178.19440000001"/>
    <n v="32226.115000000002"/>
    <n v="140952.07940000002"/>
    <n v="2.1751864104938274"/>
    <s v="SALIOU BAH"/>
    <x v="924"/>
    <d v="2022-02-18T00:00:00"/>
    <n v="9227.4524999999994"/>
  </r>
  <r>
    <d v="2022-03-01T00:00:00"/>
    <n v="110040"/>
    <n v="201373.2"/>
    <n v="0"/>
    <n v="201373.2"/>
    <n v="1.83"/>
    <s v="TAB"/>
    <x v="922"/>
    <d v="2022-02-21T00:00:00"/>
    <n v="0"/>
  </r>
  <r>
    <d v="2022-03-07T00:00:00"/>
    <n v="19800"/>
    <n v="88215.119179999994"/>
    <n v="1600.92"/>
    <n v="86614.199179999996"/>
    <n v="4.3744545040404041"/>
    <s v="DAVIS TRADING"/>
    <x v="925"/>
    <d v="2022-02-23T00:00:00"/>
    <n v="0"/>
  </r>
  <r>
    <d v="2022-03-12T00:00:00"/>
    <n v="108000"/>
    <n v="220102.59600000002"/>
    <n v="37330.36"/>
    <n v="182772.23600000003"/>
    <n v="1.6923355185185189"/>
    <s v="KASSO"/>
    <x v="926"/>
    <d v="2022-03-08T00:00:00"/>
    <n v="11315.870999999999"/>
  </r>
  <r>
    <d v="2022-03-14T00:00:00"/>
    <n v="46909"/>
    <n v="178875.84996749999"/>
    <n v="9512.4500000000007"/>
    <n v="169363.39996749998"/>
    <n v="3.6104670738557627"/>
    <s v="MASREF AL RAYAN"/>
    <x v="927"/>
    <d v="2022-03-01T00:00:00"/>
    <n v="1398.7200000000003"/>
  </r>
  <r>
    <d v="2022-03-14T00:00:00"/>
    <n v="113232"/>
    <n v="277260.24"/>
    <n v="0"/>
    <n v="277260.24"/>
    <n v="2.4486032217041118"/>
    <s v="TAB"/>
    <x v="928"/>
    <d v="2022-02-21T00:00:00"/>
    <n v="0"/>
  </r>
  <r>
    <d v="2022-03-15T00:00:00"/>
    <n v="25674"/>
    <n v="84142.862895000013"/>
    <n v="0"/>
    <n v="84142.862895000013"/>
    <n v="3.2773569718392155"/>
    <s v="OMRANE"/>
    <x v="929"/>
    <d v="2022-02-03T00:00:00"/>
    <n v="0"/>
  </r>
  <r>
    <d v="2022-03-15T00:00:00"/>
    <n v="108000"/>
    <n v="220102.59600000002"/>
    <n v="37330.36"/>
    <n v="182772.23600000003"/>
    <n v="1.6923355185185189"/>
    <s v="KASSO"/>
    <x v="930"/>
    <d v="2022-03-08T00:00:00"/>
    <n v="11315.870999999999"/>
  </r>
  <r>
    <d v="2022-03-15T00:00:00"/>
    <n v="108000"/>
    <n v="220742.17199999999"/>
    <n v="37330.36"/>
    <n v="183411.81199999998"/>
    <n v="1.6982575185185182"/>
    <s v="KASSO"/>
    <x v="931"/>
    <d v="2022-03-08T00:00:00"/>
    <n v="11315.870999999999"/>
  </r>
  <r>
    <d v="2022-03-16T00:00:00"/>
    <n v="108000"/>
    <n v="220480.21799999999"/>
    <n v="37330.36"/>
    <n v="183149.85800000001"/>
    <n v="1.6958320185185185"/>
    <s v="KASSO"/>
    <x v="932"/>
    <d v="2022-03-08T00:00:00"/>
    <n v="11315.870999999999"/>
  </r>
  <r>
    <d v="2022-03-16T00:00:00"/>
    <n v="280000"/>
    <n v="501200"/>
    <n v="0"/>
    <n v="501200"/>
    <n v="1.79"/>
    <s v="OMEGA"/>
    <x v="933"/>
    <d v="2022-02-21T00:00:00"/>
    <n v="0"/>
  </r>
  <r>
    <d v="2022-03-17T00:00:00"/>
    <n v="108000"/>
    <n v="221119.79399999999"/>
    <n v="37330.36"/>
    <n v="183789.43400000001"/>
    <n v="1.7017540185185185"/>
    <s v="KASSO"/>
    <x v="934"/>
    <d v="2022-03-08T00:00:00"/>
    <n v="11315.870999999999"/>
  </r>
  <r>
    <d v="2022-03-17T00:00:00"/>
    <n v="20500"/>
    <n v="64575"/>
    <n v="0"/>
    <n v="64575"/>
    <n v="3.15"/>
    <s v="ARCADIA"/>
    <x v="935"/>
    <d v="2022-03-10T00:00:00"/>
    <n v="0"/>
  </r>
  <r>
    <d v="2022-03-21T00:00:00"/>
    <n v="21600"/>
    <n v="77060.001199999999"/>
    <n v="13797.38"/>
    <n v="63262.621200000001"/>
    <n v="2.9288250555555555"/>
    <s v="SODIFRAM"/>
    <x v="936"/>
    <d v="2022-03-07T00:00:00"/>
    <n v="4345.1799999999994"/>
  </r>
  <r>
    <d v="2022-03-23T00:00:00"/>
    <n v="110040"/>
    <n v="269598"/>
    <n v="0"/>
    <n v="269598"/>
    <n v="2.4500000000000002"/>
    <s v="DORCAS"/>
    <x v="937"/>
    <d v="2022-03-15T00:00:00"/>
    <n v="0"/>
  </r>
  <r>
    <d v="2022-03-23T00:00:00"/>
    <n v="17952"/>
    <n v="87090.115999999995"/>
    <n v="25164.54"/>
    <n v="61925.575999999994"/>
    <n v="3.4495084670231724"/>
    <s v="CENTRAL FOOD"/>
    <x v="938"/>
    <d v="2022-03-10T00:00:00"/>
    <n v="1956"/>
  </r>
  <r>
    <d v="2022-03-24T00:00:00"/>
    <n v="27336"/>
    <n v="94371.683440000008"/>
    <n v="14196.74"/>
    <n v="80174.943440000003"/>
    <n v="2.9329434972197834"/>
    <s v="SODIFRAM"/>
    <x v="939"/>
    <d v="2022-03-10T00:00:00"/>
    <n v="4339.4399999999996"/>
  </r>
  <r>
    <d v="2022-03-25T00:00:00"/>
    <n v="8076"/>
    <n v="28196.799999999999"/>
    <n v="0"/>
    <n v="28196.799999999999"/>
    <n v="3.491431401684002"/>
    <s v="HMM EXPORT"/>
    <x v="940"/>
    <d v="2022-03-18T00:00:00"/>
    <n v="0"/>
  </r>
  <r>
    <d v="2022-03-28T00:00:00"/>
    <n v="1120"/>
    <n v="5936"/>
    <n v="0"/>
    <n v="5936"/>
    <n v="5.3"/>
    <s v="CT TRADING"/>
    <x v="941"/>
    <d v="2022-03-15T00:00:00"/>
    <n v="0"/>
  </r>
  <r>
    <d v="2022-03-28T00:00:00"/>
    <n v="65616"/>
    <n v="148704"/>
    <n v="0"/>
    <n v="148704"/>
    <n v="2.2662765179224578"/>
    <s v="SAHEL"/>
    <x v="942"/>
    <d v="2022-03-18T00:00:00"/>
    <n v="0"/>
  </r>
  <r>
    <d v="2022-03-28T00:00:00"/>
    <n v="20000"/>
    <n v="61000"/>
    <n v="0"/>
    <n v="61000"/>
    <n v="3.05"/>
    <s v="ARCADIA"/>
    <x v="943"/>
    <d v="2022-03-19T00:00:00"/>
    <n v="0"/>
  </r>
  <r>
    <d v="2022-03-28T00:00:00"/>
    <n v="315360"/>
    <n v="815609.65500000003"/>
    <n v="0"/>
    <n v="815609.65500000003"/>
    <n v="2.5862812500000003"/>
    <s v="AL JAWDA RAEDA"/>
    <x v="944"/>
    <d v="2022-03-18T00:00:00"/>
    <n v="0"/>
  </r>
  <r>
    <d v="2022-03-28T00:00:00"/>
    <n v="460800"/>
    <n v="1144088.064"/>
    <n v="0"/>
    <n v="1144088.064"/>
    <n v="2.4828299999999999"/>
    <s v="AL MAGEMOUA"/>
    <x v="945"/>
    <d v="2022-03-19T00:00:00"/>
    <n v="0"/>
  </r>
  <r>
    <d v="2022-03-29T00:00:00"/>
    <n v="76800"/>
    <n v="217766.7072"/>
    <n v="38989.745000000003"/>
    <n v="178776.96220000001"/>
    <n v="2.3278250286458335"/>
    <s v="LAMP FALL"/>
    <x v="946"/>
    <d v="2022-03-23T00:00:00"/>
    <n v="12077.73"/>
  </r>
  <r>
    <d v="2022-03-29T00:00:00"/>
    <n v="120960"/>
    <n v="298303.99200000003"/>
    <n v="0"/>
    <n v="298303.99200000003"/>
    <n v="2.4661375000000003"/>
    <s v="MAYAN"/>
    <x v="947"/>
    <d v="2022-03-23T00:00:00"/>
    <n v="0"/>
  </r>
  <r>
    <d v="2022-03-31T00:00:00"/>
    <n v="239656"/>
    <n v="593788"/>
    <n v="0"/>
    <n v="593788"/>
    <n v="2.4776679907867942"/>
    <s v="TAB"/>
    <x v="948"/>
    <d v="2022-03-15T00:00:00"/>
    <n v="0"/>
  </r>
  <r>
    <d v="2022-04-04T00:00:00"/>
    <n v="110040"/>
    <n v="201373.2"/>
    <n v="0"/>
    <n v="201373.2"/>
    <n v="1.83"/>
    <s v="TAB"/>
    <x v="949"/>
    <d v="2022-03-29T00:00:00"/>
    <n v="0"/>
  </r>
  <r>
    <d v="2022-04-07T00:00:00"/>
    <n v="20000"/>
    <n v="67713.009999999995"/>
    <n v="8538.0249999999996"/>
    <n v="59174.984999999993"/>
    <n v="2.9587492499999999"/>
    <s v="ANGSTREM"/>
    <x v="950"/>
    <d v="2022-02-21T00:00:00"/>
    <n v="1474.2150000000001"/>
  </r>
  <r>
    <d v="2022-04-08T00:00:00"/>
    <n v="107640"/>
    <n v="218153.60000000001"/>
    <n v="0"/>
    <n v="218153.60000000001"/>
    <n v="2.0266963953920478"/>
    <s v="TAB"/>
    <x v="951"/>
    <d v="2022-03-15T00:00:00"/>
    <n v="0"/>
  </r>
  <r>
    <d v="2022-04-13T00:00:00"/>
    <n v="275088"/>
    <n v="561162"/>
    <n v="0"/>
    <n v="561162"/>
    <n v="2.0399363112894782"/>
    <s v="MARCOM"/>
    <x v="952"/>
    <d v="2022-03-29T00:00:00"/>
    <n v="0"/>
  </r>
  <r>
    <d v="2022-04-14T00:00:00"/>
    <n v="42350"/>
    <n v="97872.5"/>
    <n v="0"/>
    <n v="97872.5"/>
    <n v="2.3110389610389612"/>
    <s v="SAHEL"/>
    <x v="953"/>
    <d v="2022-04-07T00:00:00"/>
    <n v="0"/>
  </r>
  <r>
    <d v="2022-04-16T00:00:00"/>
    <n v="12750"/>
    <n v="66456.520499999999"/>
    <n v="0"/>
    <n v="66456.520499999999"/>
    <n v="5.2122761176470584"/>
    <s v="AL SAHL MOTAQADEM"/>
    <x v="954"/>
    <d v="2022-04-09T00:00:00"/>
    <n v="0"/>
  </r>
  <r>
    <d v="2022-04-18T00:00:00"/>
    <n v="20480"/>
    <n v="93522.355884000004"/>
    <n v="1586.87"/>
    <n v="91935.485884000009"/>
    <n v="4.4890373966796879"/>
    <s v="DAVIS TRADING"/>
    <x v="955"/>
    <d v="2022-04-07T00:00:00"/>
    <n v="0"/>
  </r>
  <r>
    <d v="2022-04-18T00:00:00"/>
    <n v="44016"/>
    <n v="124125.12"/>
    <n v="0"/>
    <n v="124125.12"/>
    <n v="2.82"/>
    <s v="SAHEL"/>
    <x v="956"/>
    <d v="2022-04-07T00:00:00"/>
    <n v="0"/>
  </r>
  <r>
    <d v="2022-04-18T00:00:00"/>
    <n v="12000"/>
    <n v="45760.687919999997"/>
    <n v="5236.8500000000004"/>
    <n v="40523.837919999998"/>
    <n v="3.3769864933333333"/>
    <s v="ABOURA"/>
    <x v="957"/>
    <d v="2022-04-07T00:00:00"/>
    <n v="788.67000000000007"/>
  </r>
  <r>
    <d v="2022-04-20T00:00:00"/>
    <n v="41000"/>
    <n v="138170"/>
    <n v="0"/>
    <n v="138170"/>
    <n v="3.37"/>
    <s v="ARCADIA"/>
    <x v="958"/>
    <d v="2022-04-07T00:00:00"/>
    <n v="0"/>
  </r>
  <r>
    <d v="2022-04-21T00:00:00"/>
    <n v="280000"/>
    <n v="501200"/>
    <n v="0"/>
    <n v="501200"/>
    <n v="1.79"/>
    <s v="OMEGA"/>
    <x v="959"/>
    <d v="2022-04-07T00:00:00"/>
    <n v="0"/>
  </r>
  <r>
    <d v="2022-04-21T00:00:00"/>
    <n v="112000"/>
    <n v="217280"/>
    <n v="0"/>
    <n v="217280"/>
    <n v="1.94"/>
    <s v="TAB"/>
    <x v="960"/>
    <d v="2022-04-12T00:00:00"/>
    <n v="0"/>
  </r>
  <r>
    <d v="2022-04-21T00:00:00"/>
    <n v="24244.799999999999"/>
    <n v="76266.12"/>
    <n v="0"/>
    <n v="76266.12"/>
    <n v="3.1456691744209064"/>
    <s v="ARCADIA"/>
    <x v="961"/>
    <d v="2022-04-07T00:00:00"/>
    <n v="0"/>
  </r>
  <r>
    <d v="2022-04-21T00:00:00"/>
    <n v="11930"/>
    <n v="41045"/>
    <n v="0"/>
    <n v="41045"/>
    <n v="3.4404861693210393"/>
    <s v="ARCADIA"/>
    <x v="962"/>
    <d v="2022-02-21T00:00:00"/>
    <n v="0"/>
  </r>
  <r>
    <d v="2022-04-21T00:00:00"/>
    <n v="19200"/>
    <n v="68598.07759999999"/>
    <n v="10969.75"/>
    <n v="57628.32759999999"/>
    <n v="3.0014753958333329"/>
    <s v="SANJAY"/>
    <x v="963"/>
    <d v="2022-03-10T00:00:00"/>
    <n v="3448.4799999999996"/>
  </r>
  <r>
    <d v="2022-04-22T00:00:00"/>
    <n v="27336"/>
    <n v="95667.204304000014"/>
    <n v="14493.065000000001"/>
    <n v="81174.139304000011"/>
    <n v="2.9694958773778173"/>
    <s v="SODIFRAM"/>
    <x v="964"/>
    <d v="2022-04-07T00:00:00"/>
    <n v="4443.1975000000002"/>
  </r>
  <r>
    <d v="2022-04-22T00:00:00"/>
    <n v="27336"/>
    <n v="95667.204304000014"/>
    <n v="14493.065000000001"/>
    <n v="81174.139304000011"/>
    <n v="2.9694958773778173"/>
    <s v="SODIFRAM"/>
    <x v="965"/>
    <d v="2022-04-07T00:00:00"/>
    <n v="4443.1975000000002"/>
  </r>
  <r>
    <d v="2022-04-22T00:00:00"/>
    <n v="27336"/>
    <n v="95657.817088000011"/>
    <n v="14493.065000000001"/>
    <n v="81164.752088000008"/>
    <n v="2.9691524761486687"/>
    <s v="SODIFRAM"/>
    <x v="966"/>
    <d v="2022-04-07T00:00:00"/>
    <n v="4443.1975000000002"/>
  </r>
  <r>
    <d v="2022-04-23T00:00:00"/>
    <n v="140000"/>
    <n v="250600"/>
    <n v="0"/>
    <n v="250600"/>
    <n v="1.79"/>
    <s v="OMEGA"/>
    <x v="967"/>
    <d v="2022-04-07T00:00:00"/>
    <n v="0"/>
  </r>
  <r>
    <d v="2022-04-25T00:00:00"/>
    <n v="27336"/>
    <n v="95347.671281999996"/>
    <n v="15794.94"/>
    <n v="79552.731281999993"/>
    <n v="2.9101818584284458"/>
    <s v="SODIFRAM"/>
    <x v="968"/>
    <d v="2022-04-18T00:00:00"/>
    <n v="4865.6299999999992"/>
  </r>
  <r>
    <d v="2022-04-25T00:00:00"/>
    <n v="27336"/>
    <n v="95318.43433199999"/>
    <n v="15794.94"/>
    <n v="79523.494331999987"/>
    <n v="2.9091123182616325"/>
    <s v="SODIFRAM"/>
    <x v="969"/>
    <d v="2022-04-18T00:00:00"/>
    <n v="4865.6299999999992"/>
  </r>
  <r>
    <d v="2022-04-25T00:00:00"/>
    <n v="27336"/>
    <n v="95298.943031999996"/>
    <n v="15766.4"/>
    <n v="79532.543032000001"/>
    <n v="2.9094433359672229"/>
    <s v="SODIFRAM"/>
    <x v="970"/>
    <d v="2022-04-18T00:00:00"/>
    <n v="4865.6299999999992"/>
  </r>
  <r>
    <d v="2022-04-25T00:00:00"/>
    <n v="18924"/>
    <n v="66393.605015999987"/>
    <n v="0"/>
    <n v="66393.605015999987"/>
    <n v="3.5084339999999994"/>
    <s v="OMRANE"/>
    <x v="971"/>
    <d v="2022-04-18T00:00:00"/>
    <n v="0"/>
  </r>
  <r>
    <d v="2022-04-25T00:00:00"/>
    <n v="40000"/>
    <n v="130600"/>
    <n v="0"/>
    <n v="130600"/>
    <n v="3.2650000000000001"/>
    <s v="ARCADIA"/>
    <x v="972"/>
    <d v="2022-04-19T00:00:00"/>
    <n v="0"/>
  </r>
  <r>
    <d v="2022-04-26T00:00:00"/>
    <n v="20000"/>
    <n v="60000"/>
    <n v="0"/>
    <n v="60000"/>
    <n v="3"/>
    <s v="ARCADIA"/>
    <x v="973"/>
    <d v="2022-04-19T00:00:00"/>
    <n v="0"/>
  </r>
  <r>
    <d v="2022-04-26T00:00:00"/>
    <n v="23460"/>
    <n v="83305.816200000001"/>
    <n v="0"/>
    <n v="83305.816200000001"/>
    <n v="3.5509725575447573"/>
    <s v="OMRANE"/>
    <x v="974"/>
    <d v="2022-02-10T00:00:00"/>
    <n v="0"/>
  </r>
  <r>
    <d v="2022-04-26T00:00:00"/>
    <n v="26644"/>
    <n v="86363.221517999991"/>
    <n v="0"/>
    <n v="86363.221517999991"/>
    <n v="3.241375976505029"/>
    <s v="OMRANE"/>
    <x v="975"/>
    <d v="2022-04-07T00:00:00"/>
    <n v="0"/>
  </r>
  <r>
    <d v="2022-04-27T00:00:00"/>
    <n v="323352"/>
    <n v="934420.43715599994"/>
    <n v="145592.04"/>
    <n v="788828.3971559999"/>
    <n v="2.439534616009797"/>
    <s v="SAWABA"/>
    <x v="976"/>
    <d v="2022-04-19T00:00:00"/>
    <n v="45769.898999999998"/>
  </r>
  <r>
    <d v="2022-04-28T00:00:00"/>
    <n v="176064"/>
    <n v="333421.2"/>
    <n v="0"/>
    <n v="333421.2"/>
    <n v="1.89375"/>
    <s v="TAB"/>
    <x v="977"/>
    <d v="2022-04-19T00:00:00"/>
    <n v="0"/>
  </r>
  <r>
    <d v="2022-04-28T00:00:00"/>
    <n v="17500"/>
    <n v="57137.5"/>
    <n v="0"/>
    <n v="57137.5"/>
    <n v="3.2650000000000001"/>
    <s v="ARCADIA"/>
    <x v="978"/>
    <d v="2022-04-23T00:00:00"/>
    <n v="0"/>
  </r>
  <r>
    <d v="2022-04-29T00:00:00"/>
    <n v="39000"/>
    <n v="87930"/>
    <n v="0"/>
    <n v="87930"/>
    <n v="2.2546153846153847"/>
    <s v="SCIT"/>
    <x v="979"/>
    <d v="2022-04-19T00:00:00"/>
    <n v="0"/>
  </r>
  <r>
    <d v="2022-04-29T00:00:00"/>
    <n v="40000"/>
    <n v="139408.32999999999"/>
    <n v="22016.935000000001"/>
    <n v="117391.39499999999"/>
    <n v="2.9347848749999996"/>
    <s v="ANGSTREM"/>
    <x v="980"/>
    <d v="2022-04-20T00:00:00"/>
    <n v="3199.2160000000003"/>
  </r>
  <r>
    <d v="2022-04-29T00:00:00"/>
    <n v="67004"/>
    <n v="207369.81479400001"/>
    <n v="34837.184999999998"/>
    <n v="172532.62979400001"/>
    <n v="2.5749601485582954"/>
    <s v="SALIOU BAH"/>
    <x v="981"/>
    <d v="2022-04-19T00:00:00"/>
    <n v="10635.224249999999"/>
  </r>
  <r>
    <d v="2022-04-29T00:00:00"/>
    <n v="136560"/>
    <n v="434749.54823999992"/>
    <n v="64819.285000000003"/>
    <n v="369930.26323999988"/>
    <n v="2.7089210840656115"/>
    <s v="SEYAL TCHAD"/>
    <x v="982"/>
    <d v="2022-04-19T00:00:00"/>
    <n v="20800.022249999998"/>
  </r>
  <r>
    <d v="2022-04-29T00:00:00"/>
    <n v="518400"/>
    <n v="1533749.7484799998"/>
    <n v="0"/>
    <n v="1533749.7484799998"/>
    <n v="2.9586221999999998"/>
    <s v="AL JAWDA RAEDA"/>
    <x v="983"/>
    <d v="2022-04-23T00:00:00"/>
    <n v="0"/>
  </r>
  <r>
    <d v="2022-05-07T00:00:00"/>
    <n v="21600"/>
    <n v="74940.508799999996"/>
    <n v="1300.8019999999999"/>
    <n v="73639.7068"/>
    <n v="3.4092456851851853"/>
    <s v="REGAL"/>
    <x v="984"/>
    <d v="2022-04-14T00:00:00"/>
    <n v="0"/>
  </r>
  <r>
    <d v="2022-05-09T00:00:00"/>
    <n v="20000"/>
    <n v="65300"/>
    <n v="0"/>
    <n v="65300"/>
    <n v="3.2650000000000001"/>
    <s v="ARCADIA"/>
    <x v="985"/>
    <d v="2022-04-07T00:00:00"/>
    <n v="0"/>
  </r>
  <r>
    <d v="2022-05-11T00:00:00"/>
    <n v="105120"/>
    <n v="366321.17735999997"/>
    <n v="0"/>
    <n v="366321.17735999997"/>
    <n v="3.4847904999999999"/>
    <s v="AL MAGEMOUA"/>
    <x v="986"/>
    <d v="2022-05-05T00:00:00"/>
    <n v="0"/>
  </r>
  <r>
    <d v="2022-05-12T00:00:00"/>
    <n v="381600"/>
    <n v="1135695.6917999999"/>
    <n v="0"/>
    <n v="1135695.6917999999"/>
    <n v="2.9761417499999996"/>
    <s v="AL JAWDA RAEDA"/>
    <x v="987"/>
    <d v="2022-04-23T00:00:00"/>
    <n v="0"/>
  </r>
  <r>
    <d v="2022-05-14T00:00:00"/>
    <n v="66024"/>
    <n v="130947.6"/>
    <n v="0"/>
    <n v="130947.6"/>
    <n v="1.9833333333333334"/>
    <s v="TAB"/>
    <x v="988"/>
    <d v="2022-05-10T00:00:00"/>
    <n v="0"/>
  </r>
  <r>
    <d v="2022-05-17T00:00:00"/>
    <n v="7336"/>
    <n v="26742.799999999999"/>
    <n v="0"/>
    <n v="26742.799999999999"/>
    <n v="3.645419847328244"/>
    <s v="AFRICAN GATE"/>
    <x v="989"/>
    <d v="2022-03-28T00:00:00"/>
    <n v="0"/>
  </r>
  <r>
    <d v="2022-05-18T00:00:00"/>
    <n v="20480"/>
    <n v="96114.040544000003"/>
    <n v="1586.87"/>
    <n v="94527.170544000008"/>
    <n v="4.61558449921875"/>
    <s v="DAVIS TRADING"/>
    <x v="990"/>
    <d v="2022-05-04T00:00:00"/>
    <n v="0"/>
  </r>
  <r>
    <d v="2022-05-18T00:00:00"/>
    <n v="278400"/>
    <n v="782820.78"/>
    <n v="96887.4"/>
    <n v="685933.38"/>
    <n v="2.4638411637931035"/>
    <s v="SEYAL TCHAD"/>
    <x v="991"/>
    <d v="2022-05-10T00:00:00"/>
    <n v="29971.497500000001"/>
  </r>
  <r>
    <d v="2022-05-18T00:00:00"/>
    <n v="41400"/>
    <n v="146786.97039999999"/>
    <n v="28999.91"/>
    <n v="117787.06039999999"/>
    <n v="2.8450980772946859"/>
    <s v="RNK"/>
    <x v="992"/>
    <d v="2022-05-12T00:00:00"/>
    <n v="9380.4759999999987"/>
  </r>
  <r>
    <d v="2022-05-19T00:00:00"/>
    <n v="27336"/>
    <n v="94378.707695999998"/>
    <n v="15828.64"/>
    <n v="78550.067695999998"/>
    <n v="2.8735026227685103"/>
    <s v="SODIFRAM"/>
    <x v="993"/>
    <d v="2022-05-10T00:00:00"/>
    <n v="4865.6299999999992"/>
  </r>
  <r>
    <d v="2022-05-19T00:00:00"/>
    <n v="27336"/>
    <n v="94379.093561999995"/>
    <n v="15828.64"/>
    <n v="78550.453561999995"/>
    <n v="2.8735167384401521"/>
    <s v="SODIFRAM"/>
    <x v="994"/>
    <d v="2022-05-10T00:00:00"/>
    <n v="4865.6299999999992"/>
  </r>
  <r>
    <d v="2022-05-19T00:00:00"/>
    <n v="53400"/>
    <n v="145632"/>
    <n v="0"/>
    <n v="145632"/>
    <n v="2.7271910112359552"/>
    <s v="SAHEL"/>
    <x v="995"/>
    <d v="2022-05-14T00:00:00"/>
    <n v="0"/>
  </r>
  <r>
    <d v="2022-05-20T00:00:00"/>
    <n v="44016"/>
    <n v="124125.12"/>
    <n v="0"/>
    <n v="124125.12"/>
    <n v="2.82"/>
    <s v="SAHEL"/>
    <x v="996"/>
    <d v="2022-05-10T00:00:00"/>
    <n v="0"/>
  </r>
  <r>
    <d v="2022-05-20T00:00:00"/>
    <n v="88032"/>
    <n v="171662.4"/>
    <n v="0"/>
    <n v="171662.4"/>
    <n v="1.95"/>
    <s v="TAB"/>
    <x v="997"/>
    <d v="2022-05-12T00:00:00"/>
    <n v="0"/>
  </r>
  <r>
    <d v="2022-05-20T00:00:00"/>
    <n v="460800"/>
    <n v="1271231.0784"/>
    <n v="0"/>
    <n v="1271231.0784"/>
    <n v="2.7587480000000002"/>
    <s v="AL MAGEMOUA"/>
    <x v="998"/>
    <d v="2022-05-14T00:00:00"/>
    <n v="0"/>
  </r>
  <r>
    <d v="2022-05-23T00:00:00"/>
    <n v="18600"/>
    <n v="59806.368699999999"/>
    <n v="10313.995999999999"/>
    <n v="49492.3727"/>
    <n v="2.6608802526881719"/>
    <s v="YAFRIB"/>
    <x v="999"/>
    <d v="2022-05-12T00:00:00"/>
    <n v="3211.9363499999995"/>
  </r>
  <r>
    <d v="2022-05-23T00:00:00"/>
    <n v="19200"/>
    <n v="55392"/>
    <n v="0"/>
    <n v="55392"/>
    <n v="2.8849999999999998"/>
    <s v="SAHEL"/>
    <x v="1000"/>
    <d v="2022-05-19T00:00:00"/>
    <n v="0"/>
  </r>
  <r>
    <d v="2022-05-23T00:00:00"/>
    <n v="20000"/>
    <n v="65300"/>
    <n v="0"/>
    <n v="65300"/>
    <n v="3.2650000000000001"/>
    <s v="ARCADIA"/>
    <x v="1001"/>
    <d v="2022-05-17T00:00:00"/>
    <n v="0"/>
  </r>
  <r>
    <d v="2022-05-24T00:00:00"/>
    <n v="55700"/>
    <n v="187151.44499999998"/>
    <n v="22525.161"/>
    <n v="164626.28399999999"/>
    <n v="2.955588581687612"/>
    <s v="EASB NAFA"/>
    <x v="1002"/>
    <d v="2022-05-16T00:00:00"/>
    <n v="6836.7067999999999"/>
  </r>
  <r>
    <d v="2022-05-24T00:00:00"/>
    <n v="84000"/>
    <n v="295000.99200000003"/>
    <m/>
    <n v="295000.99200000003"/>
    <n v="3.5119165714285718"/>
    <s v="MAMADOU TD"/>
    <x v="1003"/>
    <d v="2022-05-18T00:00:00"/>
    <m/>
  </r>
  <r>
    <d v="2022-05-26T00:00:00"/>
    <n v="188900"/>
    <n v="636040"/>
    <n v="0"/>
    <n v="636040"/>
    <n v="3.3670725251455798"/>
    <s v="GOLDEN PEARL"/>
    <x v="1004"/>
    <d v="2022-05-13T00:00:00"/>
    <n v="0"/>
  </r>
  <r>
    <d v="2022-05-30T00:00:00"/>
    <n v="20000"/>
    <n v="65300"/>
    <n v="0"/>
    <n v="65300"/>
    <n v="3.2650000000000001"/>
    <s v="ARCADIA"/>
    <x v="1005"/>
    <d v="2022-05-26T00:00:00"/>
    <n v="0"/>
  </r>
  <r>
    <d v="2022-05-31T00:00:00"/>
    <n v="336000"/>
    <n v="601440"/>
    <n v="0"/>
    <n v="601440"/>
    <n v="1.79"/>
    <s v="OMEGA"/>
    <x v="1006"/>
    <d v="2022-05-18T00:00:00"/>
    <n v="0"/>
  </r>
  <r>
    <d v="2022-05-31T00:00:00"/>
    <n v="445344"/>
    <n v="1533695.8076800001"/>
    <n v="189325.75200000001"/>
    <n v="1344370.05568"/>
    <n v="3.0187227304735216"/>
    <s v="SAWABA"/>
    <x v="1007"/>
    <d v="2022-05-18T00:00:00"/>
    <n v="58448.179999999993"/>
  </r>
  <r>
    <d v="2022-06-01T00:00:00"/>
    <n v="84000"/>
    <n v="150360"/>
    <n v="0"/>
    <n v="150360"/>
    <n v="1.79"/>
    <s v="OMEGA"/>
    <x v="1006"/>
    <d v="2022-05-18T00:00:00"/>
    <n v="0"/>
  </r>
  <r>
    <d v="2022-06-11T00:00:00"/>
    <n v="44016"/>
    <n v="124125.12"/>
    <n v="0"/>
    <n v="124125.12"/>
    <n v="2.82"/>
    <s v="SAHEL"/>
    <x v="1008"/>
    <d v="2022-06-06T00:00:00"/>
    <n v="0"/>
  </r>
  <r>
    <d v="2022-06-11T00:00:00"/>
    <n v="44016"/>
    <n v="124125.12"/>
    <n v="0"/>
    <n v="124125.12"/>
    <n v="2.82"/>
    <s v="SAHEL"/>
    <x v="1009"/>
    <d v="2022-06-06T00:00:00"/>
    <n v="0"/>
  </r>
  <r>
    <d v="2022-06-13T00:00:00"/>
    <n v="61500"/>
    <n v="198337.5"/>
    <n v="0"/>
    <n v="198337.5"/>
    <n v="3.2250000000000001"/>
    <s v="MIDCOM"/>
    <x v="1010"/>
    <d v="2022-06-09T00:00:00"/>
    <n v="0"/>
  </r>
  <r>
    <d v="2022-06-15T00:00:00"/>
    <n v="195686"/>
    <n v="618259.19500800001"/>
    <n v="71889.81"/>
    <n v="546369.38500800007"/>
    <n v="2.7920719162740313"/>
    <s v="SEYAL TCHAD"/>
    <x v="1011"/>
    <d v="2022-06-06T00:00:00"/>
    <n v="22092.335999999999"/>
  </r>
  <r>
    <d v="2022-06-15T00:00:00"/>
    <n v="3520"/>
    <n v="17952"/>
    <n v="0"/>
    <n v="17952"/>
    <n v="5.0999999999999996"/>
    <s v="ARCADIA"/>
    <x v="1012"/>
    <d v="2022-06-06T00:00:00"/>
    <n v="0"/>
  </r>
  <r>
    <d v="2022-06-15T00:00:00"/>
    <n v="19900"/>
    <n v="93338.476599999995"/>
    <n v="1612.8430000000001"/>
    <n v="91725.633600000001"/>
    <n v="4.6093283216080403"/>
    <s v="DAVIS TRADING"/>
    <x v="1013"/>
    <d v="2022-06-09T00:00:00"/>
    <n v="0"/>
  </r>
  <r>
    <d v="2022-06-16T00:00:00"/>
    <n v="48000"/>
    <n v="166434.973"/>
    <n v="30086.837"/>
    <n v="136348.136"/>
    <n v="2.8405861666666667"/>
    <s v="RNK"/>
    <x v="1014"/>
    <d v="2022-06-06T00:00:00"/>
    <n v="9758.941499999999"/>
  </r>
  <r>
    <d v="2022-06-17T00:00:00"/>
    <n v="67608"/>
    <n v="218902.45788000003"/>
    <n v="36981.629999999997"/>
    <n v="181920.82788000003"/>
    <n v="2.690818067092652"/>
    <s v="SALIOU BAH"/>
    <x v="1015"/>
    <d v="2022-06-07T00:00:00"/>
    <n v="11295.654999999999"/>
  </r>
  <r>
    <d v="2022-06-18T00:00:00"/>
    <n v="445344"/>
    <n v="1546510.373048"/>
    <n v="189325.75200000001"/>
    <n v="1357184.6210479999"/>
    <n v="3.0474972628978945"/>
    <s v="SAWABA"/>
    <x v="1016"/>
    <d v="2022-06-06T00:00:00"/>
    <n v="58448.179999999993"/>
  </r>
  <r>
    <d v="2022-06-20T00:00:00"/>
    <n v="242088"/>
    <n v="593335.68000000005"/>
    <n v="0"/>
    <n v="593335.68000000005"/>
    <n v="2.4509090909090911"/>
    <s v="TAB"/>
    <x v="1017"/>
    <d v="2022-06-10T00:00:00"/>
    <n v="0"/>
  </r>
  <r>
    <d v="2022-06-20T00:00:00"/>
    <n v="53640"/>
    <n v="146094"/>
    <n v="0"/>
    <n v="146094"/>
    <n v="2.7236017897091722"/>
    <s v="SAHEL"/>
    <x v="1018"/>
    <d v="2022-06-14T00:00:00"/>
    <n v="0"/>
  </r>
  <r>
    <d v="2022-06-20T00:00:00"/>
    <n v="28200"/>
    <n v="77148"/>
    <n v="0"/>
    <n v="77148"/>
    <n v="2.7357446808510639"/>
    <s v="SAHEL"/>
    <x v="1019"/>
    <d v="2022-06-14T00:00:00"/>
    <n v="0"/>
  </r>
  <r>
    <d v="2022-06-20T00:00:00"/>
    <n v="20000"/>
    <n v="56000"/>
    <n v="0"/>
    <n v="56000"/>
    <n v="2.8"/>
    <s v="DORCAS"/>
    <x v="1020"/>
    <d v="2022-06-09T00:00:00"/>
    <n v="0"/>
  </r>
  <r>
    <d v="2022-06-20T00:00:00"/>
    <n v="30912"/>
    <n v="97532.491392000011"/>
    <n v="0"/>
    <n v="97532.491392000011"/>
    <n v="3.1551660000000004"/>
    <s v="AL MAHARA ALAMIA"/>
    <x v="1021"/>
    <d v="2022-06-17T00:00:00"/>
    <n v="0"/>
  </r>
  <r>
    <d v="2022-06-21T00:00:00"/>
    <n v="499200"/>
    <n v="1549810.5792"/>
    <n v="0"/>
    <n v="1549810.5792"/>
    <n v="3.1045885000000002"/>
    <s v="AL MAGEMOUA"/>
    <x v="1022"/>
    <d v="2022-06-13T00:00:00"/>
    <n v="0"/>
  </r>
  <r>
    <d v="2022-06-22T00:00:00"/>
    <n v="300000"/>
    <n v="855817.80900000001"/>
    <n v="114152.2"/>
    <n v="741665.60900000005"/>
    <n v="2.4722186966666668"/>
    <s v="SEYAL TCHAD"/>
    <x v="1023"/>
    <d v="2022-06-15T00:00:00"/>
    <n v="35696.622499999998"/>
  </r>
  <r>
    <d v="2022-06-24T00:00:00"/>
    <n v="109800"/>
    <n v="290438"/>
    <n v="0"/>
    <n v="290438"/>
    <n v="2.6451548269581058"/>
    <s v="TAB"/>
    <x v="1024"/>
    <d v="2022-06-07T00:00:00"/>
    <n v="0"/>
  </r>
  <r>
    <d v="2022-06-25T00:00:00"/>
    <n v="280000"/>
    <n v="624400"/>
    <n v="0"/>
    <n v="624400"/>
    <n v="2.23"/>
    <s v="OMEGA"/>
    <x v="1025"/>
    <d v="2022-06-06T00:00:00"/>
    <n v="0"/>
  </r>
  <r>
    <d v="2022-06-25T00:00:00"/>
    <n v="40000"/>
    <n v="156151.58000000002"/>
    <n v="21713.936000000002"/>
    <n v="134437.64400000003"/>
    <n v="3.3609411000000007"/>
    <s v="ANGSTREM"/>
    <x v="1026"/>
    <d v="2022-06-14T00:00:00"/>
    <n v="3199.2160000000003"/>
  </r>
  <r>
    <d v="2022-06-29T00:00:00"/>
    <n v="4400"/>
    <n v="23892"/>
    <n v="0"/>
    <n v="23892"/>
    <n v="5.43"/>
    <s v="ARCADIA"/>
    <x v="1027"/>
    <d v="2022-06-06T00:00:00"/>
    <n v="0"/>
  </r>
  <r>
    <d v="2022-06-30T00:00:00"/>
    <n v="8930"/>
    <n v="39480.550000000003"/>
    <n v="6189.6850000000004"/>
    <n v="33290.865000000005"/>
    <n v="3.7279804031354988"/>
    <s v="ABOURA FOOD"/>
    <x v="1028"/>
    <d v="2022-06-20T00:00:00"/>
    <n v="978.67000000000007"/>
  </r>
  <r>
    <d v="2022-07-04T00:00:00"/>
    <n v="136000"/>
    <n v="350880"/>
    <n v="0"/>
    <n v="350880"/>
    <n v="2.58"/>
    <s v="SAHEL"/>
    <x v="1029"/>
    <d v="2022-06-28T00:00:00"/>
    <n v="0"/>
  </r>
  <r>
    <d v="2022-07-07T00:00:00"/>
    <n v="19815"/>
    <n v="106853.238375"/>
    <n v="18837.629000000001"/>
    <n v="88015.609375"/>
    <n v="4.4418677453949025"/>
    <s v="DEBENHAM "/>
    <x v="1030"/>
    <d v="2022-06-25T00:00:00"/>
    <n v="6193.8376499999995"/>
  </r>
  <r>
    <d v="2022-07-07T00:00:00"/>
    <n v="40000"/>
    <n v="157251.4"/>
    <n v="21007.85"/>
    <n v="136243.54999999999"/>
    <n v="3.4060887499999999"/>
    <s v="ANGSTREM"/>
    <x v="1031"/>
    <d v="2022-07-04T00:00:00"/>
    <n v="3072.7200000000003"/>
  </r>
  <r>
    <d v="2022-07-14T00:00:00"/>
    <n v="130000"/>
    <n v="425292.36749999999"/>
    <n v="63764.195"/>
    <n v="361528.17249999999"/>
    <n v="2.7809859423076921"/>
    <s v="EASB NAFA GB"/>
    <x v="1032"/>
    <d v="2022-07-04T00:00:00"/>
    <n v="19704.125"/>
  </r>
  <r>
    <d v="2022-07-14T00:00:00"/>
    <n v="280000"/>
    <n v="624400"/>
    <n v="0"/>
    <n v="624400"/>
    <n v="2.23"/>
    <s v="OMEGA"/>
    <x v="1033"/>
    <d v="2022-07-04T00:00:00"/>
    <n v="0"/>
  </r>
  <r>
    <d v="2022-07-20T00:00:00"/>
    <n v="41000"/>
    <n v="132225"/>
    <n v="0"/>
    <n v="132225"/>
    <n v="3.2250000000000001"/>
    <s v="MIDCOM"/>
    <x v="1034"/>
    <d v="2022-07-12T00:00:00"/>
    <n v="0"/>
  </r>
  <r>
    <d v="2022-07-20T00:00:00"/>
    <n v="20000"/>
    <n v="64600"/>
    <n v="0"/>
    <n v="64600"/>
    <n v="3.23"/>
    <s v="ARCADIA"/>
    <x v="1035"/>
    <d v="2022-07-12T00:00:00"/>
    <n v="0"/>
  </r>
  <r>
    <d v="2022-07-23T00:00:00"/>
    <n v="154440"/>
    <n v="430584"/>
    <n v="0"/>
    <n v="430584"/>
    <n v="2.7880341880341879"/>
    <s v="TAB"/>
    <x v="1036"/>
    <d v="2022-06-21T00:00:00"/>
    <n v="0"/>
  </r>
  <r>
    <d v="2022-07-26T00:00:00"/>
    <n v="20000"/>
    <n v="64600"/>
    <n v="0"/>
    <n v="64600"/>
    <n v="3.23"/>
    <s v="ARCADIA"/>
    <x v="1037"/>
    <d v="2022-07-12T00:00:00"/>
    <n v="0"/>
  </r>
  <r>
    <d v="2022-07-28T00:00:00"/>
    <n v="78050"/>
    <n v="259408.45139999999"/>
    <n v="21773.895"/>
    <n v="237634.5564"/>
    <n v="3.0446451812940425"/>
    <s v="MAMADOU TD"/>
    <x v="1038"/>
    <d v="2022-07-19T00:00:00"/>
    <n v="6443.3407499999994"/>
  </r>
  <r>
    <d v="2022-07-29T00:00:00"/>
    <n v="40000"/>
    <n v="159931.1"/>
    <n v="21046.858"/>
    <n v="138884.242"/>
    <n v="3.4721060499999998"/>
    <s v="ANGSTREM "/>
    <x v="1039"/>
    <d v="2022-07-13T00:00:00"/>
    <n v="3084.9920000000002"/>
  </r>
  <r>
    <d v="2022-07-29T00:00:00"/>
    <n v="100003"/>
    <n v="258008.25599999999"/>
    <n v="0"/>
    <n v="258008.25599999999"/>
    <n v="2.5800051598452045"/>
    <s v="EASY TRADE"/>
    <x v="1040"/>
    <d v="2022-07-19T00:00:00"/>
    <n v="0"/>
  </r>
  <r>
    <d v="2022-07-29T00:00:00"/>
    <n v="279086"/>
    <n v="841263.49800000002"/>
    <n v="132439.9"/>
    <n v="708823.598"/>
    <n v="2.5398034942634169"/>
    <s v="SEYAL TCHAD"/>
    <x v="1041"/>
    <d v="2022-07-19T00:00:00"/>
    <n v="41889.510249999999"/>
  </r>
  <r>
    <d v="2022-08-01T00:00:00"/>
    <n v="83520"/>
    <n v="233523.486"/>
    <n v="33202.074999999997"/>
    <n v="200321.41100000002"/>
    <n v="2.3984843271072798"/>
    <s v="SEYAL TCHAD"/>
    <x v="1042"/>
    <d v="2022-07-22T00:00:00"/>
    <n v="10382.95125"/>
  </r>
  <r>
    <d v="2022-08-02T00:00:00"/>
    <n v="56000"/>
    <n v="153552"/>
    <n v="0"/>
    <n v="153552"/>
    <n v="2.742"/>
    <s v="SAHEL"/>
    <x v="1043"/>
    <d v="2022-07-13T00:00:00"/>
    <n v="0"/>
  </r>
  <r>
    <d v="2022-08-03T00:00:00"/>
    <n v="141400"/>
    <n v="533216.81599999999"/>
    <n v="68321.490000000005"/>
    <n v="464895.326"/>
    <n v="3.2878028712871288"/>
    <s v="MAMADOU TD"/>
    <x v="1044"/>
    <d v="2022-07-19T00:00:00"/>
    <n v="21436.852500000001"/>
  </r>
  <r>
    <d v="2022-08-10T00:00:00"/>
    <n v="140000"/>
    <n v="344400"/>
    <n v="0"/>
    <n v="344400"/>
    <n v="2.46"/>
    <s v="SCIT"/>
    <x v="1045"/>
    <d v="2022-08-01T00:00:00"/>
    <n v="0"/>
  </r>
  <r>
    <d v="2022-08-12T00:00:00"/>
    <n v="280000"/>
    <n v="624400"/>
    <n v="0"/>
    <n v="624400"/>
    <n v="2.23"/>
    <s v="OMEGA"/>
    <x v="1046"/>
    <d v="2022-07-21T00:00:00"/>
    <n v="0"/>
  </r>
  <r>
    <d v="2022-08-15T00:00:00"/>
    <n v="195686"/>
    <n v="606527.94848349993"/>
    <n v="102760.266"/>
    <n v="503767.68248349993"/>
    <n v="2.5743675198200173"/>
    <s v="SEYAL TCHAD"/>
    <x v="1047"/>
    <d v="2022-07-13T00:00:00"/>
    <n v="32703.795599999998"/>
  </r>
  <r>
    <d v="2022-08-15T00:00:00"/>
    <n v="50962.879999999997"/>
    <n v="203516.75713599997"/>
    <n v="60332.544999999998"/>
    <n v="143184.21213599999"/>
    <n v="2.8095785037266339"/>
    <s v="SAFA FOOD"/>
    <x v="1048"/>
    <d v="2022-07-28T00:00:00"/>
    <n v="11416.92"/>
  </r>
  <r>
    <d v="2022-08-15T00:00:00"/>
    <n v="20000"/>
    <n v="64600"/>
    <n v="0"/>
    <n v="64600"/>
    <n v="3.23"/>
    <s v="ARCADIA"/>
    <x v="1049"/>
    <d v="2022-08-09T00:00:00"/>
    <n v="0"/>
  </r>
  <r>
    <d v="2022-08-17T00:00:00"/>
    <n v="19200"/>
    <n v="55392"/>
    <n v="0"/>
    <n v="55392"/>
    <n v="2.8849999999999998"/>
    <s v="SAHEL"/>
    <x v="1050"/>
    <d v="2022-08-05T00:00:00"/>
    <n v="0"/>
  </r>
  <r>
    <d v="2022-08-22T00:00:00"/>
    <n v="20800"/>
    <n v="105630.37568"/>
    <n v="1620.645"/>
    <n v="104009.73067999999"/>
    <n v="5.0004678211538458"/>
    <s v="DAVIS TRADING"/>
    <x v="1051"/>
    <d v="2022-08-09T00:00:00"/>
    <n v="0"/>
  </r>
  <r>
    <d v="2022-08-22T00:00:00"/>
    <n v="20000"/>
    <n v="64600"/>
    <n v="0"/>
    <n v="64600"/>
    <n v="3.23"/>
    <s v="ARCADIA"/>
    <x v="1052"/>
    <d v="2022-08-19T00:00:00"/>
    <n v="0"/>
  </r>
  <r>
    <d v="2022-08-24T00:00:00"/>
    <n v="66024"/>
    <n v="186187.68"/>
    <n v="0"/>
    <n v="186187.68"/>
    <n v="2.82"/>
    <s v="SAHEL"/>
    <x v="1053"/>
    <d v="2022-08-11T00:00:00"/>
    <n v="0"/>
  </r>
  <r>
    <d v="2022-08-26T00:00:00"/>
    <n v="26236.48"/>
    <n v="113489.75285999999"/>
    <n v="31087.599999999999"/>
    <n v="82402.152860000002"/>
    <n v="3.1407472671638881"/>
    <s v="SAFA FOOD"/>
    <x v="1054"/>
    <d v="2022-08-18T00:00:00"/>
    <n v="5841.92"/>
  </r>
  <r>
    <d v="2022-08-27T00:00:00"/>
    <n v="40536"/>
    <n v="166060.65090000001"/>
    <n v="32051.081999999999"/>
    <n v="134009.56890000001"/>
    <n v="3.3059396314387213"/>
    <s v="EASB NAFA"/>
    <x v="1055"/>
    <d v="2022-08-23T00:00:00"/>
    <n v="10448.615449999999"/>
  </r>
  <r>
    <d v="2022-08-29T00:00:00"/>
    <n v="140000"/>
    <n v="344400"/>
    <n v="0"/>
    <n v="344400"/>
    <n v="2.46"/>
    <s v="SCIT"/>
    <x v="1056"/>
    <d v="2022-08-23T00:00:00"/>
    <n v="0"/>
  </r>
  <r>
    <d v="2022-08-30T00:00:00"/>
    <n v="27000"/>
    <n v="128517.65775"/>
    <n v="0"/>
    <n v="128517.65775"/>
    <n v="4.7599132500000003"/>
    <s v="AL MAGEMOUA"/>
    <x v="1057"/>
    <d v="2022-08-23T00:00:00"/>
    <n v="0"/>
  </r>
  <r>
    <d v="2022-08-30T00:00:00"/>
    <n v="41000"/>
    <n v="91430"/>
    <n v="0"/>
    <n v="91430"/>
    <n v="2.23"/>
    <s v="ARCADIA"/>
    <x v="1058"/>
    <d v="2022-08-19T00:00:00"/>
    <n v="0"/>
  </r>
  <r>
    <d v="2022-08-31T00:00:00"/>
    <n v="53640"/>
    <n v="146094"/>
    <n v="0"/>
    <n v="146094"/>
    <n v="2.7236017897091722"/>
    <s v="SAHEL"/>
    <x v="1059"/>
    <d v="2022-08-22T00:00:00"/>
    <n v="0"/>
  </r>
  <r>
    <d v="2022-09-05T00:00:00"/>
    <n v="82040"/>
    <n v="213353.8"/>
    <n v="0"/>
    <n v="213353.8"/>
    <n v="2.6006070209653824"/>
    <s v="TAB"/>
    <x v="1060"/>
    <d v="2022-08-19T00:00:00"/>
    <n v="0"/>
  </r>
  <r>
    <d v="2022-09-12T00:00:00"/>
    <n v="54840"/>
    <n v="149742"/>
    <n v="0"/>
    <n v="149742"/>
    <n v="2.7305251641137858"/>
    <s v="SAHEL"/>
    <x v="1061"/>
    <d v="2022-09-05T00:00:00"/>
    <n v="0"/>
  </r>
  <r>
    <d v="2022-09-12T00:00:00"/>
    <n v="12000"/>
    <n v="39000"/>
    <n v="0"/>
    <n v="39000"/>
    <n v="3.25"/>
    <s v="AGRIGOLD"/>
    <x v="1062"/>
    <d v="2022-08-23T00:00:00"/>
    <n v="0"/>
  </r>
  <r>
    <d v="2022-09-14T00:00:00"/>
    <n v="20000"/>
    <n v="64600"/>
    <n v="0"/>
    <n v="64600"/>
    <n v="3.23"/>
    <s v="ARCADIA"/>
    <x v="1063"/>
    <d v="2022-09-08T00:00:00"/>
    <n v="0"/>
  </r>
  <r>
    <d v="2022-09-19T00:00:00"/>
    <n v="20500"/>
    <n v="71773.257249999995"/>
    <n v="1571.7650000000001"/>
    <n v="70201.492249999996"/>
    <n v="3.4244630365853657"/>
    <s v="ANGSTREM"/>
    <x v="1064"/>
    <d v="2022-09-12T00:00:00"/>
    <n v="0"/>
  </r>
  <r>
    <d v="2022-09-19T00:00:00"/>
    <n v="61500"/>
    <n v="195365"/>
    <n v="0"/>
    <n v="195365"/>
    <n v="3.1766666666666667"/>
    <s v="ARCADIA"/>
    <x v="1065"/>
    <d v="2022-09-01T00:00:00"/>
    <n v="0"/>
  </r>
  <r>
    <d v="2022-09-20T00:00:00"/>
    <n v="57600"/>
    <n v="161280"/>
    <n v="0"/>
    <n v="161280"/>
    <n v="2.8"/>
    <s v="TAB"/>
    <x v="1066"/>
    <d v="2022-09-12T00:00:00"/>
    <n v="0"/>
  </r>
  <r>
    <d v="2022-09-23T00:00:00"/>
    <n v="352128"/>
    <n v="879219.6"/>
    <n v="0"/>
    <n v="879219.6"/>
    <n v="2.4968749999999997"/>
    <s v="TAB"/>
    <x v="1067"/>
    <d v="2022-09-12T00:00:00"/>
    <n v="0"/>
  </r>
  <r>
    <d v="2022-09-23T00:00:00"/>
    <n v="20500"/>
    <n v="65069.321624999997"/>
    <n v="1500.3030000000001"/>
    <n v="63569.018624999997"/>
    <n v="3.1009277378048781"/>
    <s v="ANGSTREM"/>
    <x v="1068"/>
    <d v="2022-09-12T00:00:00"/>
    <n v="0"/>
  </r>
  <r>
    <d v="2022-09-28T00:00:00"/>
    <n v="20000"/>
    <n v="64600"/>
    <n v="0"/>
    <n v="64600"/>
    <n v="3.23"/>
    <s v="ARCADIA"/>
    <x v="1069"/>
    <d v="2022-09-22T00:00:00"/>
    <n v="0"/>
  </r>
  <r>
    <d v="2022-09-28T00:00:00"/>
    <n v="108000"/>
    <n v="251789.39099999997"/>
    <n v="37201.432000000001"/>
    <n v="214587.95899999997"/>
    <n v="1.986925546296296"/>
    <s v="KASSO"/>
    <x v="1070"/>
    <d v="2022-09-26T00:00:00"/>
    <n v="11321.8462"/>
  </r>
  <r>
    <d v="2022-09-29T00:00:00"/>
    <n v="108000"/>
    <n v="250963.83900000001"/>
    <n v="37201.432000000001"/>
    <n v="213762.40700000001"/>
    <n v="1.9792815462962963"/>
    <s v="KASSO"/>
    <x v="1071"/>
    <d v="2022-09-26T00:00:00"/>
    <n v="11321.8462"/>
  </r>
  <r>
    <d v="2022-09-29T00:00:00"/>
    <n v="27960"/>
    <n v="76890"/>
    <n v="0"/>
    <n v="76890"/>
    <n v="2.75"/>
    <s v="EASY TRADE"/>
    <x v="1072"/>
    <d v="2022-09-22T00:00:00"/>
    <n v="0"/>
  </r>
  <r>
    <d v="2022-09-30T00:00:00"/>
    <n v="108000"/>
    <n v="251682.228"/>
    <n v="37201.432000000001"/>
    <n v="214480.796"/>
    <n v="1.9859332962962963"/>
    <s v="KASSO"/>
    <x v="1073"/>
    <d v="2022-09-26T00:00:00"/>
    <n v="11321.8462"/>
  </r>
  <r>
    <d v="2022-09-30T00:00:00"/>
    <n v="20750"/>
    <n v="57788.75"/>
    <n v="0"/>
    <n v="57788.75"/>
    <n v="2.7850000000000001"/>
    <s v="SCIT"/>
    <x v="1074"/>
    <d v="2022-08-23T00:00:00"/>
    <n v="0"/>
  </r>
  <r>
    <d v="2022-09-30T00:00:00"/>
    <n v="302400"/>
    <n v="895093.41599999997"/>
    <n v="0"/>
    <n v="895093.41599999997"/>
    <n v="2.959965"/>
    <s v="AL MAGEMOUA"/>
    <x v="1075"/>
    <d v="2022-09-22T00:00:00"/>
    <n v="0"/>
  </r>
  <r>
    <d v="2022-09-30T00:00:00"/>
    <n v="150000"/>
    <n v="393000"/>
    <n v="0"/>
    <n v="393000"/>
    <n v="2.62"/>
    <s v="EASY TRADE"/>
    <x v="1076"/>
    <d v="2022-09-12T00:00:00"/>
    <n v="0"/>
  </r>
  <r>
    <d v="2022-10-04T00:00:00"/>
    <n v="55987"/>
    <n v="170760.95999999999"/>
    <n v="0"/>
    <n v="170760.95999999999"/>
    <n v="3.0500108953864289"/>
    <s v="GOLDEN PEARL"/>
    <x v="1077"/>
    <d v="2022-09-26T00:00:00"/>
    <n v="0"/>
  </r>
  <r>
    <d v="2022-10-05T00:00:00"/>
    <n v="35004"/>
    <n v="110738.19934799999"/>
    <n v="0"/>
    <n v="110738.19934799999"/>
    <n v="3.1635869999999997"/>
    <s v="AL WAFA"/>
    <x v="1078"/>
    <d v="2022-10-04T00:00:00"/>
    <n v="0"/>
  </r>
  <r>
    <d v="2022-10-13T00:00:00"/>
    <n v="308112"/>
    <n v="708657.6"/>
    <n v="0"/>
    <n v="708657.6"/>
    <n v="2.2999999999999998"/>
    <s v="TAB"/>
    <x v="1079"/>
    <d v="2022-10-07T00:00:00"/>
    <n v="0"/>
  </r>
  <r>
    <d v="2022-10-13T00:00:00"/>
    <n v="63360"/>
    <n v="218609.67256000001"/>
    <n v="46203"/>
    <n v="172406.67256000001"/>
    <n v="2.7210649078282829"/>
    <s v="DEBENHAM"/>
    <x v="1080"/>
    <d v="2022-10-06T00:00:00"/>
    <n v="14434.664999999999"/>
  </r>
  <r>
    <d v="2022-10-17T00:00:00"/>
    <n v="120067"/>
    <n v="288161.28000000003"/>
    <n v="0"/>
    <n v="288161.28000000003"/>
    <n v="2.4000039977679131"/>
    <s v="EASY TRADE"/>
    <x v="1081"/>
    <d v="2022-08-23T00:00:00"/>
    <n v="0"/>
  </r>
  <r>
    <d v="2022-10-17T00:00:00"/>
    <n v="21600"/>
    <n v="57672"/>
    <n v="0"/>
    <n v="57672"/>
    <n v="2.67"/>
    <s v="SAHEL"/>
    <x v="1082"/>
    <d v="2022-10-11T00:00:00"/>
    <n v="0"/>
  </r>
  <r>
    <d v="2022-10-19T00:00:00"/>
    <n v="19200"/>
    <n v="51840"/>
    <n v="0"/>
    <n v="51840"/>
    <n v="2.7"/>
    <s v="SCIT"/>
    <x v="1083"/>
    <d v="2022-10-10T00:00:00"/>
    <n v="0"/>
  </r>
  <r>
    <d v="2022-10-19T00:00:00"/>
    <n v="26000"/>
    <n v="61620"/>
    <n v="0"/>
    <n v="61620"/>
    <n v="2.37"/>
    <s v="SCIT"/>
    <x v="1084"/>
    <d v="2022-10-14T00:00:00"/>
    <n v="0"/>
  </r>
  <r>
    <d v="2022-10-19T00:00:00"/>
    <n v="20150"/>
    <n v="62357.983349999995"/>
    <n v="1550.3030000000001"/>
    <n v="60807.680349999995"/>
    <n v="3.0177508858560791"/>
    <s v="ANGSTREM"/>
    <x v="1085"/>
    <d v="2022-10-11T00:00:00"/>
    <n v="0"/>
  </r>
  <r>
    <d v="2022-10-20T00:00:00"/>
    <n v="54000"/>
    <n v="150120"/>
    <n v="0"/>
    <n v="150120"/>
    <n v="2.78"/>
    <s v="SAHEL"/>
    <x v="1086"/>
    <d v="2022-10-14T00:00:00"/>
    <n v="0"/>
  </r>
  <r>
    <d v="2022-10-21T00:00:00"/>
    <n v="20150"/>
    <n v="57229.274374999994"/>
    <n v="1550.3030000000001"/>
    <n v="55678.971374999994"/>
    <n v="2.7632243858560792"/>
    <s v="ANGSTREM"/>
    <x v="1087"/>
    <d v="2022-10-19T00:00:00"/>
    <n v="0"/>
  </r>
  <r>
    <d v="2022-10-24T00:00:00"/>
    <n v="84600"/>
    <n v="224808"/>
    <n v="0"/>
    <n v="224808"/>
    <n v="2.6573049645390072"/>
    <s v="SAHEL"/>
    <x v="1088"/>
    <d v="2022-10-13T00:00:00"/>
    <n v="0"/>
  </r>
  <r>
    <d v="2022-10-25T00:00:00"/>
    <n v="38400"/>
    <n v="129600"/>
    <n v="0"/>
    <n v="129600"/>
    <n v="3.375"/>
    <s v="GOLDEN PEARL"/>
    <x v="1089"/>
    <d v="2022-10-12T00:00:00"/>
    <n v="0"/>
  </r>
  <r>
    <d v="2022-10-25T00:00:00"/>
    <n v="9440"/>
    <n v="42005.331620000004"/>
    <n v="6636.08"/>
    <n v="35369.251620000003"/>
    <n v="3.7467427563559323"/>
    <s v="ABOURA FOODS"/>
    <x v="1090"/>
    <d v="2022-10-11T00:00:00"/>
    <n v="1831.4835"/>
  </r>
  <r>
    <d v="2022-10-27T00:00:00"/>
    <n v="41000"/>
    <n v="125050"/>
    <n v="0"/>
    <n v="125050"/>
    <n v="3.05"/>
    <s v="ARCADIA"/>
    <x v="1091"/>
    <d v="2022-10-25T00:00:00"/>
    <n v="0"/>
  </r>
  <r>
    <d v="2022-10-28T00:00:00"/>
    <n v="330120"/>
    <n v="754874.4"/>
    <n v="0"/>
    <n v="754874.4"/>
    <n v="2.2866666666666666"/>
    <s v="TAB"/>
    <x v="1092"/>
    <d v="2022-10-19T00:00:00"/>
    <n v="0"/>
  </r>
  <r>
    <d v="2022-10-29T00:00:00"/>
    <n v="90024"/>
    <n v="236727.6"/>
    <n v="0"/>
    <n v="236727.6"/>
    <n v="2.6296054385497203"/>
    <s v="TAB"/>
    <x v="1093"/>
    <d v="2022-10-13T00:00:00"/>
    <n v="0"/>
  </r>
  <r>
    <d v="2022-10-31T00:00:00"/>
    <n v="19200"/>
    <n v="51840"/>
    <n v="0"/>
    <n v="51840"/>
    <n v="2.7"/>
    <s v="SAHEL"/>
    <x v="1094"/>
    <d v="2022-10-25T00:00:00"/>
    <n v="0"/>
  </r>
  <r>
    <d v="2022-10-31T00:00:00"/>
    <n v="76800"/>
    <n v="206592"/>
    <n v="0"/>
    <n v="206592"/>
    <n v="2.69"/>
    <s v="SCIT"/>
    <x v="1095"/>
    <d v="2022-10-26T00:00:00"/>
    <n v="0"/>
  </r>
  <r>
    <d v="2022-11-02T00:00:00"/>
    <n v="24240"/>
    <n v="62539.199999999997"/>
    <n v="0"/>
    <n v="62539.199999999997"/>
    <n v="2.58"/>
    <s v="PUNIC"/>
    <x v="1096"/>
    <d v="2022-10-27T00:00:00"/>
    <n v="0"/>
  </r>
  <r>
    <d v="2022-11-02T00:00:00"/>
    <n v="174840"/>
    <n v="464622"/>
    <n v="0"/>
    <n v="464622"/>
    <n v="2.6574124914207276"/>
    <s v="TAB"/>
    <x v="1097"/>
    <d v="2022-10-10T00:00:00"/>
    <n v="0"/>
  </r>
  <r>
    <d v="2022-11-04T00:00:00"/>
    <n v="61500"/>
    <n v="186345"/>
    <n v="0"/>
    <n v="186345"/>
    <n v="3.03"/>
    <s v="MIDCOM"/>
    <x v="1098"/>
    <d v="2022-10-14T00:00:00"/>
    <n v="0"/>
  </r>
  <r>
    <d v="2022-11-10T00:00:00"/>
    <n v="43200"/>
    <n v="115344"/>
    <n v="0"/>
    <n v="115344"/>
    <n v="2.67"/>
    <s v="SAHEL"/>
    <x v="1099"/>
    <d v="2022-11-07T00:00:00"/>
    <n v="0"/>
  </r>
  <r>
    <d v="2022-11-11T00:00:00"/>
    <n v="210000"/>
    <n v="519750"/>
    <n v="0"/>
    <n v="519750"/>
    <n v="2.4750000000000001"/>
    <s v="EASY TRADE"/>
    <x v="1100"/>
    <d v="2022-11-07T00:00:00"/>
    <n v="0"/>
  </r>
  <r>
    <d v="2022-11-14T00:00:00"/>
    <n v="20724"/>
    <n v="69248.600000000006"/>
    <n v="0"/>
    <n v="69248.600000000006"/>
    <n v="3.3414688284115037"/>
    <s v="TEAM NEGOCE"/>
    <x v="1101"/>
    <d v="2022-09-30T00:00:00"/>
    <n v="0"/>
  </r>
  <r>
    <d v="2022-11-14T00:00:00"/>
    <n v="20150"/>
    <n v="56325.672812500001"/>
    <n v="1650.3530000000001"/>
    <n v="54675.319812499998"/>
    <n v="2.7134153753101735"/>
    <s v="ANGSTREM"/>
    <x v="1102"/>
    <d v="2022-11-07T00:00:00"/>
    <n v="0"/>
  </r>
  <r>
    <d v="2022-11-16T00:00:00"/>
    <n v="54000"/>
    <n v="133650"/>
    <n v="0"/>
    <n v="133650"/>
    <n v="2.4750000000000001"/>
    <s v="EASY TRADE"/>
    <x v="1103"/>
    <d v="2022-11-01T00:00:00"/>
    <n v="0"/>
  </r>
  <r>
    <d v="2022-11-17T00:00:00"/>
    <n v="26000"/>
    <n v="80309.118499999997"/>
    <n v="1793.56"/>
    <n v="78515.558499999999"/>
    <n v="3.0198291730769231"/>
    <s v="ANGSTREM"/>
    <x v="1104"/>
    <d v="2022-11-07T00:00:00"/>
    <n v="0"/>
  </r>
  <r>
    <d v="2022-11-17T00:00:00"/>
    <n v="252120"/>
    <n v="702699.65606399998"/>
    <n v="108842.144"/>
    <n v="593857.51206400001"/>
    <n v="2.3554557832143423"/>
    <s v="SAWABA"/>
    <x v="1105"/>
    <d v="2022-11-07T00:00:00"/>
    <n v="28562.799999999999"/>
  </r>
  <r>
    <d v="2022-11-17T00:00:00"/>
    <n v="42000"/>
    <n v="137681.28"/>
    <n v="19048.759999999998"/>
    <n v="118632.52"/>
    <n v="2.8245838095238098"/>
    <s v="SALIOU BAH"/>
    <x v="1106"/>
    <d v="2022-11-07T00:00:00"/>
    <n v="5712.5599999999995"/>
  </r>
  <r>
    <d v="2022-11-18T00:00:00"/>
    <n v="27336"/>
    <n v="99876.338495999997"/>
    <n v="14723.07"/>
    <n v="85153.268496000004"/>
    <n v="3.1150595733099213"/>
    <s v="SODIFRAM"/>
    <x v="1107"/>
    <d v="2022-11-08T00:00:00"/>
    <n v="4505.5674999999992"/>
  </r>
  <r>
    <d v="2022-11-21T00:00:00"/>
    <n v="20000"/>
    <n v="60000"/>
    <n v="0"/>
    <n v="60000"/>
    <n v="3"/>
    <s v="ARCADIA"/>
    <x v="1108"/>
    <d v="2022-11-11T00:00:00"/>
    <n v="0"/>
  </r>
  <r>
    <d v="2022-11-23T00:00:00"/>
    <n v="72640"/>
    <n v="303555.67718399997"/>
    <n v="76831.539999999994"/>
    <n v="226724.13718399999"/>
    <n v="3.1212023290748898"/>
    <s v="SAFA FOOD"/>
    <x v="1109"/>
    <d v="2022-11-16T00:00:00"/>
    <n v="14508"/>
  </r>
  <r>
    <d v="2022-11-23T00:00:00"/>
    <n v="27300"/>
    <n v="71394"/>
    <n v="0"/>
    <n v="71394"/>
    <n v="2.6151648351648351"/>
    <s v="SCIT"/>
    <x v="1110"/>
    <d v="2022-11-11T00:00:00"/>
    <n v="0"/>
  </r>
  <r>
    <d v="2022-11-24T00:00:00"/>
    <n v="27336"/>
    <n v="99380.504268000004"/>
    <n v="14696.77"/>
    <n v="84683.734268"/>
    <n v="3.0978831675446297"/>
    <s v="SODIFRAM"/>
    <x v="1111"/>
    <d v="2022-11-08T00:00:00"/>
    <n v="4491.7424999999994"/>
  </r>
  <r>
    <d v="2022-11-24T00:00:00"/>
    <n v="15728"/>
    <n v="53740.800000000003"/>
    <n v="0"/>
    <n v="53740.800000000003"/>
    <n v="3.4168870803662261"/>
    <s v="CT Trading"/>
    <x v="1112"/>
    <d v="2022-11-19T00:00:00"/>
    <n v="0"/>
  </r>
  <r>
    <d v="2022-11-25T00:00:00"/>
    <n v="25680"/>
    <n v="76270.230947999997"/>
    <n v="13987.35"/>
    <n v="62282.880947999998"/>
    <n v="2.4253458313084111"/>
    <s v="EASB NAFA"/>
    <x v="1113"/>
    <d v="2022-11-12T00:00:00"/>
    <n v="3274.39"/>
  </r>
  <r>
    <d v="2022-11-25T00:00:00"/>
    <n v="27500"/>
    <n v="146229.98749999999"/>
    <n v="6972.76"/>
    <n v="139257.22749999998"/>
    <n v="5.0638991818181811"/>
    <s v="VALENCIA"/>
    <x v="1114"/>
    <d v="2022-11-21T00:00:00"/>
    <n v="0"/>
  </r>
  <r>
    <d v="2022-11-28T00:00:00"/>
    <n v="350800"/>
    <n v="1018241.1066000001"/>
    <n v="0"/>
    <n v="1018241.1066000001"/>
    <n v="2.9026257314709238"/>
    <s v="AL MAGEMOUA"/>
    <x v="1115"/>
    <d v="2022-11-19T00:00:00"/>
    <n v="0"/>
  </r>
  <r>
    <d v="2022-11-29T00:00:00"/>
    <n v="20150"/>
    <n v="61810.855437500002"/>
    <n v="3395.28"/>
    <n v="58415.575437500003"/>
    <n v="2.8990360018610422"/>
    <s v="ANGSTREM"/>
    <x v="1116"/>
    <d v="2022-11-23T00:00:00"/>
    <n v="0"/>
  </r>
  <r>
    <d v="2022-11-30T00:00:00"/>
    <n v="54000"/>
    <n v="241543.99050000001"/>
    <n v="0"/>
    <n v="241543.99050000001"/>
    <n v="4.4730368611111118"/>
    <s v="AL MAGEMOUA "/>
    <x v="1117"/>
    <d v="2022-11-21T00:00:00"/>
    <n v="0"/>
  </r>
  <r>
    <d v="2022-12-01T00:00:00"/>
    <n v="18000"/>
    <n v="81655.56"/>
    <n v="25533.24"/>
    <n v="56122.319999999992"/>
    <n v="3.1179066666666664"/>
    <s v="MBCD "/>
    <x v="1118"/>
    <d v="2022-11-22T00:00:00"/>
    <n v="2520"/>
  </r>
  <r>
    <d v="2022-12-05T00:00:00"/>
    <n v="60704"/>
    <n v="179442.868308"/>
    <n v="37017.599999999999"/>
    <n v="142425.268308"/>
    <n v="2.3462254267923037"/>
    <s v="DEBENHAM"/>
    <x v="1119"/>
    <d v="2022-11-19T00:00:00"/>
    <n v="11295.48"/>
  </r>
  <r>
    <d v="2022-12-07T00:00:00"/>
    <n v="20750"/>
    <n v="54987.5"/>
    <n v="0"/>
    <n v="54987.5"/>
    <n v="2.65"/>
    <s v="SAHEL"/>
    <x v="1120"/>
    <d v="2022-12-01T00:00:00"/>
    <n v="0"/>
  </r>
  <r>
    <d v="2022-12-07T00:00:00"/>
    <n v="200013"/>
    <n v="459529.55200000003"/>
    <n v="0"/>
    <n v="459529.55200000003"/>
    <n v="2.2974984226025308"/>
    <s v="EASY TRADE"/>
    <x v="1121"/>
    <d v="2022-11-16T00:00:00"/>
    <n v="0"/>
  </r>
  <r>
    <d v="2022-12-12T00:00:00"/>
    <n v="136915"/>
    <n v="295736.83199999999"/>
    <n v="0"/>
    <n v="295736.83199999999"/>
    <n v="2.1600031552423036"/>
    <s v="EASY TRADE"/>
    <x v="1122"/>
    <d v="2022-12-06T00:00:00"/>
    <n v="0"/>
  </r>
  <r>
    <d v="2022-12-14T00:00:00"/>
    <n v="38400"/>
    <n v="97920"/>
    <n v="0"/>
    <n v="97920"/>
    <n v="2.5499999999999998"/>
    <s v="I3C+"/>
    <x v="1123"/>
    <d v="2022-11-25T00:00:00"/>
    <n v="0"/>
  </r>
  <r>
    <d v="2022-12-15T00:00:00"/>
    <n v="20150"/>
    <n v="54517.588124999995"/>
    <n v="3368.3449999999998"/>
    <n v="51149.243124999994"/>
    <n v="2.5384239764267988"/>
    <s v="ANGSTREM"/>
    <x v="1124"/>
    <d v="2022-12-09T00:00:00"/>
    <n v="0"/>
  </r>
  <r>
    <d v="2022-12-16T00:00:00"/>
    <n v="20150"/>
    <n v="61001.067237499999"/>
    <n v="3368.3449999999998"/>
    <n v="57632.722237499998"/>
    <n v="2.860184726426799"/>
    <s v="ANGSTREM"/>
    <x v="1125"/>
    <d v="2022-12-13T00:00:00"/>
    <n v="0"/>
  </r>
  <r>
    <d v="2022-12-17T00:00:00"/>
    <n v="300000"/>
    <n v="753000"/>
    <n v="0"/>
    <n v="753000"/>
    <n v="2.5099999999999998"/>
    <s v="EASY TRADE"/>
    <x v="1126"/>
    <d v="2022-12-10T00:00:00"/>
    <n v="0"/>
  </r>
  <r>
    <d v="2022-12-19T00:00:00"/>
    <n v="20000"/>
    <n v="60000"/>
    <n v="0"/>
    <n v="60000"/>
    <n v="3"/>
    <s v="ARCADIA"/>
    <x v="1127"/>
    <d v="2022-12-13T00:00:00"/>
    <n v="0"/>
  </r>
  <r>
    <d v="2022-12-20T00:00:00"/>
    <n v="96000"/>
    <n v="254400"/>
    <n v="0"/>
    <n v="254400"/>
    <n v="2.65"/>
    <s v="SCIT"/>
    <x v="1128"/>
    <d v="2022-12-09T00:00:00"/>
    <n v="0"/>
  </r>
  <r>
    <d v="2022-12-21T00:00:00"/>
    <n v="11016"/>
    <n v="43561.301167999998"/>
    <n v="9898.8700000000008"/>
    <n v="33662.431167999996"/>
    <n v="3.0557762498184453"/>
    <s v="SODIFRAM"/>
    <x v="1129"/>
    <d v="2022-12-15T00:00:00"/>
    <n v="2868.8309999999997"/>
  </r>
  <r>
    <d v="2022-12-22T00:00:00"/>
    <n v="27828"/>
    <n v="102229.598016"/>
    <n v="14627.85"/>
    <n v="87601.748015999998"/>
    <n v="3.147971396291505"/>
    <s v="SODIFRAM"/>
    <x v="1130"/>
    <d v="2022-12-13T00:00:00"/>
    <n v="4436.25"/>
  </r>
  <r>
    <d v="2022-12-22T00:00:00"/>
    <n v="21600"/>
    <n v="82564.747199999998"/>
    <n v="14163.465"/>
    <n v="68401.282200000001"/>
    <n v="3.166726027777778"/>
    <s v="SODIFRAM"/>
    <x v="1131"/>
    <d v="2022-12-13T00:00:00"/>
    <n v="4448.5349999999999"/>
  </r>
  <r>
    <d v="2022-12-22T00:00:00"/>
    <n v="252000"/>
    <n v="560820"/>
    <n v="0"/>
    <n v="560820"/>
    <n v="2.2254761904761904"/>
    <s v="EASY TRADE"/>
    <x v="1132"/>
    <d v="2022-12-13T00:00:00"/>
    <n v="0"/>
  </r>
  <r>
    <d v="2022-12-23T00:00:00"/>
    <n v="25500"/>
    <n v="144815.56200000001"/>
    <n v="0"/>
    <n v="144815.56200000001"/>
    <n v="5.6790416470588241"/>
    <s v="AL SAHL MOTAQADEM"/>
    <x v="1133"/>
    <d v="2022-12-15T00:00:00"/>
    <n v="0"/>
  </r>
  <r>
    <d v="2022-12-24T00:00:00"/>
    <n v="165600"/>
    <n v="380880"/>
    <n v="0"/>
    <n v="380880"/>
    <n v="2.2999999999999998"/>
    <s v="MARCOM"/>
    <x v="1134"/>
    <d v="2022-12-16T00:00:00"/>
    <n v="0"/>
  </r>
  <r>
    <d v="2022-12-24T00:00:00"/>
    <n v="96848"/>
    <n v="313919.2"/>
    <n v="0"/>
    <n v="313919.2"/>
    <n v="3.241359656368743"/>
    <s v="TEAM NEGOCE"/>
    <x v="1135"/>
    <d v="2022-12-20T00:00:00"/>
    <n v="0"/>
  </r>
  <r>
    <d v="2022-12-26T00:00:00"/>
    <n v="22008"/>
    <n v="56780.639999999999"/>
    <n v="0"/>
    <n v="56780.639999999999"/>
    <n v="2.58"/>
    <s v="SAHEL"/>
    <x v="1136"/>
    <d v="2022-12-14T00:00:00"/>
    <n v="0"/>
  </r>
  <r>
    <d v="2022-12-26T00:00:00"/>
    <n v="19200"/>
    <n v="51840"/>
    <n v="0"/>
    <n v="51840"/>
    <n v="2.7"/>
    <s v="SAHEL"/>
    <x v="1137"/>
    <d v="2022-12-20T00:00:00"/>
    <n v="0"/>
  </r>
  <r>
    <d v="2022-12-27T00:00:00"/>
    <n v="90000"/>
    <n v="248287.31999999998"/>
    <n v="0"/>
    <n v="248287.31999999998"/>
    <n v="2.7587479999999998"/>
    <s v="AL SAHL MOTAQADEM"/>
    <x v="1138"/>
    <d v="2022-12-15T00:00:00"/>
    <n v="0"/>
  </r>
  <r>
    <d v="2022-12-27T00:00:00"/>
    <n v="21540"/>
    <n v="79430.36559999999"/>
    <n v="8877.0049999999992"/>
    <n v="70553.360599999985"/>
    <n v="3.2754577808727943"/>
    <s v="ABOURA FOODS"/>
    <x v="1139"/>
    <d v="2022-12-13T00:00:00"/>
    <n v="414.375"/>
  </r>
  <r>
    <d v="2022-12-27T00:00:00"/>
    <n v="112000"/>
    <n v="256665.92"/>
    <n v="30758.038"/>
    <n v="225907.88200000001"/>
    <n v="2.0170346607142857"/>
    <s v="KASSO"/>
    <x v="1140"/>
    <d v="2022-12-13T00:00:00"/>
    <n v="8356.3829999999998"/>
  </r>
  <r>
    <d v="2022-12-28T00:00:00"/>
    <n v="112000"/>
    <n v="256665.92"/>
    <n v="31174.538"/>
    <n v="225491.38200000001"/>
    <n v="2.0133159107142857"/>
    <s v="KASSO"/>
    <x v="1141"/>
    <d v="2022-12-14T00:00:00"/>
    <n v="8356.3829999999998"/>
  </r>
  <r>
    <d v="2022-12-28T00:00:00"/>
    <n v="112000"/>
    <n v="256709.04"/>
    <n v="30758.038"/>
    <n v="225951.00200000001"/>
    <n v="2.0174196607142858"/>
    <s v="KASSO"/>
    <x v="1142"/>
    <d v="2022-11-23T00:00:00"/>
    <n v="8356.3829999999998"/>
  </r>
  <r>
    <d v="2022-12-30T00:00:00"/>
    <n v="274572"/>
    <n v="702315.95823999995"/>
    <n v="107729.36199999999"/>
    <n v="594586.59623999998"/>
    <n v="2.1655033879638128"/>
    <s v="SAWABA"/>
    <x v="1143"/>
    <d v="2022-12-23T00:00:00"/>
    <n v="32486.999999999996"/>
  </r>
  <r>
    <d v="2022-12-30T00:00:00"/>
    <n v="53536"/>
    <n v="220110.59808"/>
    <n v="66167.115000000005"/>
    <n v="153943.48307999998"/>
    <n v="2.8755133569934244"/>
    <s v="GREENWORLD"/>
    <x v="1144"/>
    <d v="2022-12-21T00:00:00"/>
    <n v="15626.1"/>
  </r>
  <r>
    <d v="2022-12-30T00:00:00"/>
    <n v="122400"/>
    <n v="331510.60800000001"/>
    <n v="0"/>
    <n v="331510.60800000001"/>
    <n v="2.7084200000000003"/>
    <s v="AL WAFA"/>
    <x v="1145"/>
    <d v="2022-12-15T00:00:00"/>
    <n v="0"/>
  </r>
  <r>
    <d v="2023-01-09T00:00:00"/>
    <n v="20503.28"/>
    <n v="82285.964311000003"/>
    <n v="28109.915000000001"/>
    <n v="54176.049311000002"/>
    <n v="2.642311342916841"/>
    <s v="SAFA FOOD"/>
    <x v="1146"/>
    <d v="2023-01-03T00:00:00"/>
    <n v="4764.366"/>
  </r>
  <r>
    <d v="2023-01-11T00:00:00"/>
    <n v="280000"/>
    <n v="679289.47"/>
    <n v="94961"/>
    <n v="584328.47"/>
    <n v="2.0868873928571428"/>
    <s v="KASSO"/>
    <x v="1147"/>
    <d v="2023-01-03T00:00:00"/>
    <n v="22673.37"/>
  </r>
  <r>
    <d v="2023-01-16T00:00:00"/>
    <n v="21600"/>
    <n v="83290.627200000003"/>
    <n v="13591.61"/>
    <n v="69699.017200000002"/>
    <n v="3.2268063518518519"/>
    <s v="SODIFRAM"/>
    <x v="1148"/>
    <d v="2023-01-10T00:00:00"/>
    <n v="3609.24"/>
  </r>
  <r>
    <d v="2023-01-17T00:00:00"/>
    <n v="110400"/>
    <n v="253920"/>
    <n v="0"/>
    <n v="253920"/>
    <n v="2.2999999999999998"/>
    <s v="MARCOM"/>
    <x v="1149"/>
    <d v="2023-01-09T00:00:00"/>
    <n v="0"/>
  </r>
  <r>
    <d v="2023-01-20T00:00:00"/>
    <n v="26400"/>
    <n v="65352"/>
    <n v="0"/>
    <n v="65352"/>
    <n v="2.4754545454545456"/>
    <s v="PUNIC"/>
    <x v="1150"/>
    <d v="2023-01-04T00:00:00"/>
    <n v="0"/>
  </r>
  <r>
    <d v="2023-01-24T00:00:00"/>
    <n v="50000"/>
    <n v="116500"/>
    <n v="0"/>
    <n v="116500"/>
    <n v="2.33"/>
    <s v="SAHEL"/>
    <x v="1151"/>
    <d v="2023-01-17T00:00:00"/>
    <n v="0"/>
  </r>
  <r>
    <d v="2023-01-24T00:00:00"/>
    <n v="83400"/>
    <n v="215778"/>
    <n v="0"/>
    <n v="215778"/>
    <n v="2.5872661870503597"/>
    <s v="TAB"/>
    <x v="1152"/>
    <d v="2023-01-02T00:00:00"/>
    <n v="0"/>
  </r>
  <r>
    <d v="2023-01-25T00:00:00"/>
    <n v="21600"/>
    <n v="56592"/>
    <n v="0"/>
    <n v="56592"/>
    <n v="2.62"/>
    <s v="SAHEL"/>
    <x v="1153"/>
    <d v="2023-01-17T00:00:00"/>
    <n v="0"/>
  </r>
  <r>
    <d v="2023-01-25T00:00:00"/>
    <n v="43200"/>
    <n v="115344"/>
    <n v="0"/>
    <n v="115344"/>
    <n v="2.67"/>
    <s v="SAHEL"/>
    <x v="1154"/>
    <d v="2023-01-18T00:00:00"/>
    <n v="0"/>
  </r>
  <r>
    <d v="2023-01-25T00:00:00"/>
    <n v="84020"/>
    <n v="183742.07928999999"/>
    <n v="25015.119999999999"/>
    <n v="158726.95929"/>
    <n v="1.8891568589621519"/>
    <s v="G.G.M "/>
    <x v="1155"/>
    <d v="2023-01-16T00:00:00"/>
    <n v="5862.72"/>
  </r>
  <r>
    <d v="2023-01-25T00:00:00"/>
    <n v="22008"/>
    <n v="57220.800000000003"/>
    <n v="0"/>
    <n v="57220.800000000003"/>
    <n v="2.6"/>
    <s v="SAHEL"/>
    <x v="1156"/>
    <d v="2023-01-17T00:00:00"/>
    <n v="0"/>
  </r>
  <r>
    <d v="2023-01-26T00:00:00"/>
    <n v="27756"/>
    <n v="102809.43529199999"/>
    <n v="13947.42"/>
    <n v="88862.015291999996"/>
    <n v="3.2015425598789449"/>
    <s v="SODIFRAM"/>
    <x v="1157"/>
    <d v="2023-01-17T00:00:00"/>
    <n v="3593.28"/>
  </r>
  <r>
    <d v="2023-01-27T00:00:00"/>
    <n v="56000"/>
    <n v="126280"/>
    <n v="0"/>
    <n v="126280"/>
    <n v="2.2549999999999999"/>
    <s v="TAB"/>
    <x v="1158"/>
    <d v="2023-01-25T00:00:00"/>
    <n v="0"/>
  </r>
  <r>
    <d v="2023-01-30T00:00:00"/>
    <n v="23160"/>
    <n v="71796"/>
    <n v="0"/>
    <n v="71796"/>
    <n v="3.1"/>
    <s v="ARCADIA"/>
    <x v="1159"/>
    <d v="2023-01-25T00:00:00"/>
    <n v="0"/>
  </r>
  <r>
    <d v="2023-01-30T00:00:00"/>
    <n v="112000"/>
    <n v="244191.024"/>
    <n v="29171.794999999998"/>
    <n v="215019.22899999999"/>
    <n v="1.9198145446428572"/>
    <s v="KASSO"/>
    <x v="1160"/>
    <d v="2023-01-18T00:00:00"/>
    <n v="7081.6799999999994"/>
  </r>
  <r>
    <d v="2023-01-31T00:00:00"/>
    <n v="79760"/>
    <n v="190546.8"/>
    <n v="0"/>
    <n v="190546.8"/>
    <n v="2.3890020060180541"/>
    <s v="SCIT"/>
    <x v="1161"/>
    <d v="2023-01-25T00:00:00"/>
    <n v="0"/>
  </r>
  <r>
    <d v="2023-02-08T00:00:00"/>
    <n v="38400"/>
    <n v="88320"/>
    <n v="0"/>
    <n v="88320"/>
    <n v="2.2999999999999998"/>
    <s v="EASY TRADE"/>
    <x v="1162"/>
    <d v="2023-01-26T00:00:00"/>
    <n v="0"/>
  </r>
  <r>
    <d v="2023-02-09T00:00:00"/>
    <n v="56400"/>
    <n v="143690"/>
    <n v="0"/>
    <n v="143690"/>
    <n v="2.5476950354609929"/>
    <s v="SAHEL"/>
    <x v="1163"/>
    <d v="2023-02-02T00:00:00"/>
    <n v="0"/>
  </r>
  <r>
    <d v="2023-02-09T00:00:00"/>
    <n v="57600"/>
    <n v="152640"/>
    <n v="0"/>
    <n v="152640"/>
    <n v="2.65"/>
    <s v="SCIT"/>
    <x v="1164"/>
    <d v="2023-02-06T00:00:00"/>
    <n v="0"/>
  </r>
  <r>
    <d v="2023-02-10T00:00:00"/>
    <n v="21600"/>
    <n v="57007.886400000003"/>
    <n v="3314.71"/>
    <n v="53693.176400000004"/>
    <n v="2.4857952037037041"/>
    <s v="REGAL"/>
    <x v="1165"/>
    <d v="2023-01-17T00:00:00"/>
    <n v="0"/>
  </r>
  <r>
    <d v="2023-02-10T00:00:00"/>
    <n v="98808"/>
    <n v="251937.6"/>
    <n v="0"/>
    <n v="251937.6"/>
    <n v="2.5497692494534858"/>
    <s v="SCIT"/>
    <x v="1166"/>
    <d v="2023-02-07T00:00:00"/>
    <n v="0"/>
  </r>
  <r>
    <d v="2023-02-13T00:00:00"/>
    <n v="38400"/>
    <n v="126600"/>
    <n v="0"/>
    <n v="126600"/>
    <n v="3.296875"/>
    <s v="GOLDEN PEARL"/>
    <x v="1167"/>
    <d v="2023-01-31T00:00:00"/>
    <n v="0"/>
  </r>
  <r>
    <d v="2023-02-14T00:00:00"/>
    <n v="176064"/>
    <n v="387340.79999999999"/>
    <n v="0"/>
    <n v="387340.79999999999"/>
    <n v="2.1999999999999997"/>
    <s v="TAB"/>
    <x v="1168"/>
    <d v="2023-02-09T00:00:00"/>
    <n v="0"/>
  </r>
  <r>
    <d v="2023-02-15T00:00:00"/>
    <n v="21600"/>
    <n v="56460"/>
    <n v="0"/>
    <n v="56460"/>
    <n v="2.6138888888888889"/>
    <s v="SAHEL"/>
    <x v="1169"/>
    <d v="2023-02-10T00:00:00"/>
    <n v="0"/>
  </r>
  <r>
    <d v="2023-02-18T00:00:00"/>
    <n v="90000"/>
    <n v="249145.17749999999"/>
    <n v="0"/>
    <n v="249145.17749999999"/>
    <n v="2.76827975"/>
    <s v="AL SAHL MOUTAQADEM"/>
    <x v="1170"/>
    <d v="2023-02-14T00:00:00"/>
    <n v="0"/>
  </r>
  <r>
    <d v="2023-02-20T00:00:00"/>
    <n v="3178"/>
    <n v="10169.6"/>
    <n v="0"/>
    <n v="10169.6"/>
    <n v="3.2"/>
    <s v="ARCADIA"/>
    <x v="1171"/>
    <d v="2023-01-26T00:00:00"/>
    <n v="0"/>
  </r>
  <r>
    <d v="2023-02-20T00:00:00"/>
    <n v="20000"/>
    <n v="61000"/>
    <n v="0"/>
    <n v="61000"/>
    <n v="3.05"/>
    <s v="ARCADIA"/>
    <x v="1172"/>
    <d v="2023-02-08T00:00:00"/>
    <n v="0"/>
  </r>
  <r>
    <d v="2023-02-20T00:00:00"/>
    <n v="21960"/>
    <n v="95432.2532985"/>
    <n v="3712.72"/>
    <n v="91719.533298499999"/>
    <n v="4.1766636292577415"/>
    <s v="DAVIS TRADING"/>
    <x v="1173"/>
    <d v="2023-02-09T00:00:00"/>
    <n v="0"/>
  </r>
  <r>
    <d v="2023-02-20T00:00:00"/>
    <n v="322329.59999999998"/>
    <n v="638991.35999999999"/>
    <n v="0"/>
    <n v="638991.35999999999"/>
    <n v="1.9824160114367406"/>
    <s v="EASY TRADE"/>
    <x v="1174"/>
    <d v="2023-01-24T00:00:00"/>
    <n v="0"/>
  </r>
  <r>
    <d v="2023-02-22T00:00:00"/>
    <n v="28224"/>
    <n v="103797.634552"/>
    <n v="13708.305"/>
    <n v="90089.32955200001"/>
    <n v="3.1919405311791387"/>
    <s v="SODIFRAM"/>
    <x v="1175"/>
    <d v="2023-02-15T00:00:00"/>
    <n v="3580.875"/>
  </r>
  <r>
    <d v="2023-02-23T00:00:00"/>
    <n v="12216"/>
    <n v="47466.662536000003"/>
    <n v="9219.94"/>
    <n v="38246.722536000001"/>
    <n v="3.1308711964636542"/>
    <s v="SODIFRAM"/>
    <x v="1176"/>
    <d v="2023-02-15T00:00:00"/>
    <n v="2339.5050000000001"/>
  </r>
  <r>
    <d v="2023-02-23T00:00:00"/>
    <n v="111200"/>
    <n v="502217.03579999995"/>
    <n v="0"/>
    <n v="502217.03579999995"/>
    <n v="4.5163402499999998"/>
    <s v="AL MAGEMOUA"/>
    <x v="1177"/>
    <d v="2023-02-08T00:00:00"/>
    <n v="0"/>
  </r>
  <r>
    <d v="2023-02-24T00:00:00"/>
    <n v="56400"/>
    <n v="143616"/>
    <n v="0"/>
    <n v="143616"/>
    <n v="2.5463829787234045"/>
    <s v="SAHEL"/>
    <x v="1178"/>
    <d v="2023-02-17T00:00:00"/>
    <n v="0"/>
  </r>
  <r>
    <d v="2023-02-24T00:00:00"/>
    <n v="49200"/>
    <n v="122616"/>
    <n v="0"/>
    <n v="122616"/>
    <n v="2.4921951219512195"/>
    <s v="TAB"/>
    <x v="1179"/>
    <d v="2023-02-20T00:00:00"/>
    <n v="0"/>
  </r>
  <r>
    <d v="2023-02-25T00:00:00"/>
    <n v="322800"/>
    <n v="840991.48560000001"/>
    <n v="0"/>
    <n v="840991.48560000001"/>
    <n v="2.605302"/>
    <s v="AL MAGEMOUA"/>
    <x v="1180"/>
    <d v="2023-02-18T00:00:00"/>
    <n v="0"/>
  </r>
  <r>
    <d v="2023-02-27T00:00:00"/>
    <n v="22920"/>
    <n v="96825.738675000001"/>
    <n v="10333.6"/>
    <n v="86492.138674999995"/>
    <n v="3.7736535198516576"/>
    <s v="ABOURA"/>
    <x v="1181"/>
    <d v="2023-02-14T00:00:00"/>
    <n v="1253.7359999999999"/>
  </r>
  <r>
    <d v="2023-02-27T00:00:00"/>
    <n v="19200"/>
    <n v="50880"/>
    <n v="0"/>
    <n v="50880"/>
    <n v="2.65"/>
    <s v="SAHEL"/>
    <x v="1182"/>
    <d v="2023-02-17T00:00:00"/>
    <n v="0"/>
  </r>
  <r>
    <d v="2023-02-28T00:00:00"/>
    <n v="154056"/>
    <n v="338923.2"/>
    <n v="0"/>
    <n v="338923.2"/>
    <n v="2.2000000000000002"/>
    <s v="TAB"/>
    <x v="1183"/>
    <d v="2023-02-20T00:00:00"/>
    <n v="0"/>
  </r>
  <r>
    <d v="2023-02-28T00:00:00"/>
    <n v="150000"/>
    <n v="285000"/>
    <n v="0"/>
    <n v="285000"/>
    <n v="1.9"/>
    <s v="EASY TRADE"/>
    <x v="1184"/>
    <d v="2023-02-25T00:00:00"/>
    <n v="0"/>
  </r>
  <r>
    <d v="2023-03-01T00:00:00"/>
    <n v="19200"/>
    <n v="50880"/>
    <n v="0"/>
    <n v="50880"/>
    <n v="2.65"/>
    <s v="SAHEL"/>
    <x v="1185"/>
    <d v="2023-02-23T00:00:00"/>
    <n v="0"/>
  </r>
  <r>
    <d v="2023-03-01T00:00:00"/>
    <n v="22008"/>
    <n v="57220.800000000003"/>
    <n v="0"/>
    <n v="57220.800000000003"/>
    <n v="2.6"/>
    <s v="SAHEL"/>
    <x v="1186"/>
    <d v="2023-02-25T00:00:00"/>
    <n v="0"/>
  </r>
  <r>
    <d v="2023-03-02T00:00:00"/>
    <n v="20150"/>
    <n v="54584.586875000001"/>
    <n v="3364.78"/>
    <n v="51219.806875000002"/>
    <n v="2.5419258995037222"/>
    <s v="ANGSTREM"/>
    <x v="1187"/>
    <d v="2023-02-10T00:00:00"/>
    <n v="0"/>
  </r>
  <r>
    <d v="2023-03-02T00:00:00"/>
    <n v="19200"/>
    <n v="43392"/>
    <n v="0"/>
    <n v="43392"/>
    <n v="2.2599999999999998"/>
    <s v="EASY TRADE"/>
    <x v="1188"/>
    <d v="2023-02-25T00:00:00"/>
    <n v="0"/>
  </r>
  <r>
    <d v="2023-03-06T00:00:00"/>
    <n v="61500"/>
    <n v="184500"/>
    <n v="0"/>
    <n v="184500"/>
    <n v="3"/>
    <s v="MIDCOM"/>
    <x v="1189"/>
    <d v="2023-02-17T00:00:00"/>
    <n v="0"/>
  </r>
  <r>
    <d v="2023-03-06T00:00:00"/>
    <n v="93981"/>
    <n v="121355.94924"/>
    <n v="47956"/>
    <n v="73399.949240000002"/>
    <n v="0.78100838722720556"/>
    <s v="SODIC"/>
    <x v="1190"/>
    <d v="2023-03-02T00:00:00"/>
    <n v="6545.4479999999994"/>
  </r>
  <r>
    <d v="2023-03-07T00:00:00"/>
    <n v="71104"/>
    <n v="86481.424593999996"/>
    <n v="42575.360000000001"/>
    <n v="43906.064593999996"/>
    <n v="0.61749078243136812"/>
    <s v="SODIC"/>
    <x v="1191"/>
    <d v="2023-02-25T00:00:00"/>
    <n v="4894.3440000000001"/>
  </r>
  <r>
    <d v="2023-03-07T00:00:00"/>
    <n v="27000"/>
    <n v="100800"/>
    <n v="0"/>
    <n v="100800"/>
    <n v="3.7333333333333334"/>
    <s v="GOLDEN PEARL "/>
    <x v="1192"/>
    <d v="2023-02-21T00:00:00"/>
    <n v="0"/>
  </r>
  <r>
    <d v="2023-03-07T00:00:00"/>
    <n v="27000"/>
    <n v="65466"/>
    <n v="0"/>
    <n v="65466"/>
    <n v="2.4246666666666665"/>
    <s v="GOLDEN PEARL "/>
    <x v="1193"/>
    <d v="2023-02-21T00:00:00"/>
    <n v="0"/>
  </r>
  <r>
    <d v="2023-03-13T00:00:00"/>
    <n v="39900"/>
    <n v="100959"/>
    <n v="0"/>
    <n v="100959"/>
    <n v="2.5303007518796994"/>
    <s v="SCIT"/>
    <x v="1194"/>
    <d v="2023-03-03T00:00:00"/>
    <n v="0"/>
  </r>
  <r>
    <d v="2023-03-13T00:00:00"/>
    <n v="20700"/>
    <n v="85858.636291000003"/>
    <n v="2098.6999999999998"/>
    <n v="83759.936291000005"/>
    <n v="4.0463737338647343"/>
    <s v="DAVIS TRADING"/>
    <x v="1195"/>
    <d v="2023-03-07T00:00:00"/>
    <n v="0"/>
  </r>
  <r>
    <d v="2023-03-13T00:00:00"/>
    <n v="33600"/>
    <n v="92160.499199999991"/>
    <n v="0"/>
    <n v="92160.499199999991"/>
    <n v="2.7428719999999998"/>
    <s v="AL WAFA"/>
    <x v="1196"/>
    <d v="2023-03-07T00:00:00"/>
    <n v="0"/>
  </r>
  <r>
    <d v="2023-03-14T00:00:00"/>
    <n v="70080"/>
    <n v="178427.81471999999"/>
    <n v="0"/>
    <n v="178427.81471999999"/>
    <n v="2.5460590000000001"/>
    <s v="MAYAN"/>
    <x v="1197"/>
    <d v="2023-03-07T00:00:00"/>
    <n v="0"/>
  </r>
  <r>
    <d v="2023-03-16T00:00:00"/>
    <n v="27300"/>
    <n v="100975.3382"/>
    <n v="13462.13"/>
    <n v="87513.208199999994"/>
    <n v="3.2056120219780215"/>
    <s v="SODIFRAM"/>
    <x v="1198"/>
    <d v="2023-03-10T00:00:00"/>
    <n v="3552.75"/>
  </r>
  <r>
    <d v="2023-03-16T00:00:00"/>
    <n v="27228"/>
    <n v="100742.645432"/>
    <n v="13463.43"/>
    <n v="87279.215431999997"/>
    <n v="3.2054949108270896"/>
    <s v="SODIFRAM"/>
    <x v="1199"/>
    <d v="2023-03-10T00:00:00"/>
    <n v="3552.75"/>
  </r>
  <r>
    <d v="2023-03-17T00:00:00"/>
    <n v="280224"/>
    <n v="749859.56812800001"/>
    <n v="100832.284"/>
    <n v="649027.28412800003"/>
    <n v="2.3161017048075827"/>
    <s v="SEYAL TCHAD"/>
    <x v="1200"/>
    <d v="2023-03-07T00:00:00"/>
    <n v="25806.430199999999"/>
  </r>
  <r>
    <d v="2023-03-17T00:00:00"/>
    <n v="48000"/>
    <n v="216599.66399999999"/>
    <n v="0"/>
    <n v="216599.66399999999"/>
    <n v="4.5124930000000001"/>
    <s v="AL MAGEMOUA"/>
    <x v="1201"/>
    <d v="2023-03-10T00:00:00"/>
    <n v="0"/>
  </r>
  <r>
    <d v="2023-03-18T00:00:00"/>
    <n v="96000"/>
    <n v="254400"/>
    <n v="0"/>
    <n v="254400"/>
    <n v="2.65"/>
    <s v="SCIT"/>
    <x v="1202"/>
    <d v="2023-03-11T00:00:00"/>
    <n v="0"/>
  </r>
  <r>
    <d v="2023-03-21T00:00:00"/>
    <n v="20150"/>
    <n v="61418.862374999997"/>
    <n v="3409.78"/>
    <n v="58009.082374999998"/>
    <n v="2.8788626488833744"/>
    <s v="ANGSTREM"/>
    <x v="1203"/>
    <d v="2023-03-04T00:00:00"/>
    <n v="0"/>
  </r>
  <r>
    <d v="2023-03-28T00:00:00"/>
    <n v="25424"/>
    <n v="103419.617792"/>
    <n v="26524.7"/>
    <n v="76894.917792000007"/>
    <n v="3.0245011718061678"/>
    <s v="SAFA FOOD"/>
    <x v="1204"/>
    <d v="2023-02-25T00:00:00"/>
    <n v="4464.72"/>
  </r>
  <r>
    <d v="2023-03-29T00:00:00"/>
    <n v="305195"/>
    <n v="751771.70650800003"/>
    <n v="104261.75999999999"/>
    <n v="647509.94650800002"/>
    <n v="2.1216269811366506"/>
    <s v="SAWABA"/>
    <x v="1205"/>
    <d v="2023-03-11T00:00:00"/>
    <n v="26081.088"/>
  </r>
  <r>
    <d v="2023-03-30T00:00:00"/>
    <n v="100003"/>
    <n v="226007.23199999999"/>
    <n v="0"/>
    <n v="226007.23199999999"/>
    <n v="2.2600045198644039"/>
    <s v="EASY TRADE"/>
    <x v="1206"/>
    <d v="2023-01-26T00:00:00"/>
    <n v="0"/>
  </r>
  <r>
    <d v="2023-03-31T00:00:00"/>
    <n v="96000"/>
    <n v="273124.78200000001"/>
    <n v="29950.665000000001"/>
    <n v="243174.117"/>
    <n v="2.5330637187499998"/>
    <s v="LAMP FALL"/>
    <x v="1207"/>
    <d v="2023-03-22T00:00:00"/>
    <n v="6763.4624999999996"/>
  </r>
  <r>
    <d v="2023-03-31T00:00:00"/>
    <n v="170544"/>
    <n v="416782.24896000006"/>
    <n v="0"/>
    <n v="416782.24896000006"/>
    <n v="2.4438400000000002"/>
    <s v="AL JAWDA RAEDA"/>
    <x v="1208"/>
    <d v="2023-03-22T00:00:00"/>
    <n v="0"/>
  </r>
  <r>
    <d v="2023-04-04T00:00:00"/>
    <n v="477456"/>
    <n v="1166826.0710400003"/>
    <n v="0"/>
    <n v="1166826.0710400003"/>
    <n v="2.4438400000000007"/>
    <s v="AL JAWDA RAEDA"/>
    <x v="1208"/>
    <d v="2023-03-22T00:00:00"/>
    <n v="0"/>
  </r>
  <r>
    <d v="2023-04-04T00:00:00"/>
    <n v="20000"/>
    <n v="61000"/>
    <n v="0"/>
    <n v="61000"/>
    <n v="3.05"/>
    <s v="ARCADIA"/>
    <x v="1209"/>
    <d v="2023-04-01T00:00:00"/>
    <n v="0"/>
  </r>
  <r>
    <d v="2023-04-07T00:00:00"/>
    <n v="56040"/>
    <n v="159306.34922999999"/>
    <n v="12221.6"/>
    <n v="147084.74922999999"/>
    <n v="2.6246386372234114"/>
    <s v="EASB "/>
    <x v="1210"/>
    <d v="2023-03-17T00:00:00"/>
    <n v="2978.7"/>
  </r>
  <r>
    <d v="2023-04-10T00:00:00"/>
    <n v="21600"/>
    <n v="52704"/>
    <n v="0"/>
    <n v="52704"/>
    <n v="2.44"/>
    <s v="SAHEL"/>
    <x v="1211"/>
    <d v="2023-03-28T00:00:00"/>
    <n v="0"/>
  </r>
  <r>
    <d v="2023-04-10T00:00:00"/>
    <n v="20000"/>
    <n v="61000"/>
    <n v="0"/>
    <n v="61000"/>
    <n v="3.05"/>
    <s v="ARCADIA"/>
    <x v="1212"/>
    <d v="2023-04-03T00:00:00"/>
    <n v="0"/>
  </r>
  <r>
    <d v="2023-04-12T00:00:00"/>
    <n v="20000"/>
    <n v="49000"/>
    <n v="0"/>
    <n v="49000"/>
    <n v="2.4500000000000002"/>
    <s v="ARCADIA"/>
    <x v="1213"/>
    <d v="2023-04-05T00:00:00"/>
    <n v="0"/>
  </r>
  <r>
    <d v="2023-04-12T00:00:00"/>
    <n v="20000"/>
    <n v="49000"/>
    <n v="0"/>
    <n v="49000"/>
    <n v="2.4500000000000002"/>
    <s v="ARCADIA"/>
    <x v="1214"/>
    <d v="2023-04-05T00:00:00"/>
    <n v="0"/>
  </r>
  <r>
    <d v="2023-04-14T00:00:00"/>
    <n v="20080"/>
    <n v="30339.293122999999"/>
    <n v="12849.347"/>
    <n v="17489.946123000002"/>
    <n v="0.87101325313745026"/>
    <s v="SODIC"/>
    <x v="1215"/>
    <d v="2023-04-03T00:00:00"/>
    <n v="2182.8243600000001"/>
  </r>
  <r>
    <d v="2023-04-15T00:00:00"/>
    <n v="173032"/>
    <n v="419197.44"/>
    <n v="0"/>
    <n v="419197.44"/>
    <n v="2.4226584677978642"/>
    <s v="SCIT"/>
    <x v="1216"/>
    <d v="2023-04-03T00:00:00"/>
    <n v="0"/>
  </r>
  <r>
    <d v="2023-04-17T00:00:00"/>
    <n v="21200"/>
    <n v="85907.847436999989"/>
    <n v="2157.2199999999998"/>
    <n v="83750.627436999988"/>
    <n v="3.9505012941981126"/>
    <s v="DAVIS TRADING"/>
    <x v="1217"/>
    <d v="2023-04-10T00:00:00"/>
    <n v="0"/>
  </r>
  <r>
    <d v="2023-04-17T00:00:00"/>
    <n v="20000"/>
    <n v="61000"/>
    <n v="0"/>
    <n v="61000"/>
    <n v="3.05"/>
    <s v="ARCADIA"/>
    <x v="1218"/>
    <d v="2023-04-12T00:00:00"/>
    <n v="0"/>
  </r>
  <r>
    <d v="2023-04-17T00:00:00"/>
    <n v="21600"/>
    <n v="52704"/>
    <n v="0"/>
    <n v="52704"/>
    <n v="2.44"/>
    <s v="SAHEL"/>
    <x v="1219"/>
    <d v="2023-04-13T00:00:00"/>
    <n v="0"/>
  </r>
  <r>
    <d v="2023-04-17T00:00:00"/>
    <n v="44016"/>
    <n v="106518.72"/>
    <n v="0"/>
    <n v="106518.72"/>
    <n v="2.42"/>
    <s v="SAHEL"/>
    <x v="1220"/>
    <d v="2023-04-13T00:00:00"/>
    <n v="0"/>
  </r>
  <r>
    <d v="2023-04-19T00:00:00"/>
    <n v="36080"/>
    <n v="107914.68119999999"/>
    <n v="22249.119999999999"/>
    <n v="85665.561199999996"/>
    <n v="2.3743226496674055"/>
    <s v="RNK "/>
    <x v="1221"/>
    <d v="2023-04-11T00:00:00"/>
    <n v="5795.76"/>
  </r>
  <r>
    <d v="2023-04-24T00:00:00"/>
    <n v="20000"/>
    <n v="52000"/>
    <n v="0"/>
    <n v="52000"/>
    <n v="2.6"/>
    <s v="ARCADIA"/>
    <x v="1222"/>
    <d v="2023-04-05T00:00:00"/>
    <n v="0"/>
  </r>
  <r>
    <d v="2023-04-25T00:00:00"/>
    <n v="61500"/>
    <n v="180810"/>
    <n v="0"/>
    <n v="180810"/>
    <n v="2.94"/>
    <s v="MIDCOM"/>
    <x v="1223"/>
    <d v="2023-04-10T00:00:00"/>
    <n v="0"/>
  </r>
  <r>
    <d v="2023-04-26T00:00:00"/>
    <n v="322416"/>
    <n v="812784.13668"/>
    <n v="0"/>
    <n v="812784.13668"/>
    <n v="2.5209174999999999"/>
    <s v="AL MAGEMOUA"/>
    <x v="1224"/>
    <d v="2023-04-20T00:00:00"/>
    <n v="0"/>
  </r>
  <r>
    <d v="2023-04-27T00:00:00"/>
    <n v="20150"/>
    <n v="59915.375162499993"/>
    <n v="1838.9649999999999"/>
    <n v="58076.410162499997"/>
    <n v="2.882203978287841"/>
    <s v="ANGSTREM"/>
    <x v="1225"/>
    <d v="2023-04-15T00:00:00"/>
    <n v="0"/>
  </r>
  <r>
    <d v="2023-04-27T00:00:00"/>
    <n v="57600"/>
    <n v="144000"/>
    <n v="0"/>
    <n v="144000"/>
    <n v="2.5"/>
    <s v="MARCOM"/>
    <x v="1226"/>
    <d v="2023-04-11T00:00:00"/>
    <n v="0"/>
  </r>
  <r>
    <d v="2023-04-27T00:00:00"/>
    <n v="105750"/>
    <n v="225705"/>
    <n v="0"/>
    <n v="225705"/>
    <n v="2.1343262411347519"/>
    <s v="TAB"/>
    <x v="1227"/>
    <d v="2023-04-24T00:00:00"/>
    <n v="0"/>
  </r>
  <r>
    <d v="2023-04-28T00:00:00"/>
    <n v="76800"/>
    <n v="188160"/>
    <n v="0"/>
    <n v="188160"/>
    <n v="2.4500000000000002"/>
    <s v="MARCOM"/>
    <x v="1228"/>
    <d v="2023-04-11T00:00:00"/>
    <n v="0"/>
  </r>
  <r>
    <d v="2023-04-28T00:00:00"/>
    <n v="57600"/>
    <n v="166709.96580000001"/>
    <n v="18691.134999999998"/>
    <n v="148018.8308"/>
    <n v="2.5697713680555556"/>
    <s v="LAMP FALL"/>
    <x v="1229"/>
    <d v="2023-04-24T00:00:00"/>
    <n v="4158.2460000000001"/>
  </r>
  <r>
    <d v="2023-04-29T00:00:00"/>
    <n v="267490"/>
    <n v="667617.86877599999"/>
    <n v="82369.5"/>
    <n v="585248.36877599999"/>
    <n v="2.1879261608882574"/>
    <s v="SAWABA"/>
    <x v="1230"/>
    <d v="2023-04-24T00:00:00"/>
    <n v="20331.899999999998"/>
  </r>
  <r>
    <d v="2023-04-29T00:00:00"/>
    <n v="21100"/>
    <n v="88103.068767999997"/>
    <n v="2318.2199999999998"/>
    <n v="85784.848767999996"/>
    <n v="4.0656326430331751"/>
    <s v="DAVIS TRADING"/>
    <x v="1231"/>
    <d v="2023-04-24T00:00:00"/>
    <n v="0"/>
  </r>
  <r>
    <d v="2023-04-29T00:00:00"/>
    <n v="44016"/>
    <n v="90232.8"/>
    <n v="0"/>
    <n v="90232.8"/>
    <n v="2.0500000000000003"/>
    <s v="TAB"/>
    <x v="1232"/>
    <d v="2023-04-24T00:00:00"/>
    <n v="0"/>
  </r>
  <r>
    <d v="2023-04-29T00:00:00"/>
    <n v="675"/>
    <n v="4657.5"/>
    <n v="0"/>
    <n v="4657.5"/>
    <n v="6.9"/>
    <s v="TAB"/>
    <x v="1233"/>
    <d v="2023-04-28T00:00:00"/>
    <n v="0"/>
  </r>
  <r>
    <d v="2023-05-02T00:00:00"/>
    <n v="20750"/>
    <n v="49800"/>
    <n v="0"/>
    <n v="49800"/>
    <n v="2.4"/>
    <s v="SAHEL"/>
    <x v="1234"/>
    <d v="2023-04-24T00:00:00"/>
    <n v="0"/>
  </r>
  <r>
    <d v="2023-05-03T00:00:00"/>
    <n v="19200"/>
    <n v="47424"/>
    <n v="0"/>
    <n v="47424"/>
    <n v="2.4700000000000002"/>
    <s v="SAHEL"/>
    <x v="1235"/>
    <d v="2023-04-24T00:00:00"/>
    <n v="0"/>
  </r>
  <r>
    <d v="2023-05-03T00:00:00"/>
    <n v="51840"/>
    <n v="113616"/>
    <n v="0"/>
    <n v="113616"/>
    <n v="2.1916666666666669"/>
    <s v="SAHEL"/>
    <x v="1236"/>
    <d v="2023-04-24T00:00:00"/>
    <n v="0"/>
  </r>
  <r>
    <d v="2023-05-05T00:00:00"/>
    <n v="100003"/>
    <n v="226007.23199999999"/>
    <n v="0"/>
    <n v="226007.23199999999"/>
    <n v="2.2600045198644039"/>
    <s v="EASY TRADE"/>
    <x v="1237"/>
    <d v="2023-05-02T00:00:00"/>
    <n v="0"/>
  </r>
  <r>
    <d v="2023-05-08T00:00:00"/>
    <n v="19200"/>
    <n v="47424"/>
    <n v="0"/>
    <n v="47424"/>
    <n v="2.4700000000000002"/>
    <s v="SAHEL"/>
    <x v="1238"/>
    <d v="2023-05-03T00:00:00"/>
    <n v="0"/>
  </r>
  <r>
    <d v="2023-05-08T00:00:00"/>
    <n v="27720"/>
    <n v="61815.6"/>
    <n v="0"/>
    <n v="61815.6"/>
    <n v="2.23"/>
    <s v="SAHEL"/>
    <x v="1239"/>
    <d v="2023-05-03T00:00:00"/>
    <n v="0"/>
  </r>
  <r>
    <d v="2023-05-12T00:00:00"/>
    <n v="71016"/>
    <n v="168648.72"/>
    <n v="0"/>
    <n v="168648.72"/>
    <n v="2.3747989185535654"/>
    <s v="TAB"/>
    <x v="1240"/>
    <d v="2023-04-24T00:00:00"/>
    <n v="0"/>
  </r>
  <r>
    <d v="2023-05-16T00:00:00"/>
    <n v="28032"/>
    <n v="94274.832456000004"/>
    <n v="13279.955"/>
    <n v="80994.877456000002"/>
    <n v="2.8893720553652971"/>
    <s v="SODIFRAM"/>
    <x v="1241"/>
    <d v="2023-05-09T00:00:00"/>
    <n v="3421.8449999999998"/>
  </r>
  <r>
    <d v="2023-05-16T00:00:00"/>
    <n v="27972"/>
    <n v="94100.372226000007"/>
    <n v="13279.955"/>
    <n v="80820.417226000005"/>
    <n v="2.8893328051623053"/>
    <s v="SODIFRAM"/>
    <x v="1242"/>
    <d v="2023-05-09T00:00:00"/>
    <n v="3421.8449999999998"/>
  </r>
  <r>
    <d v="2023-05-16T00:00:00"/>
    <n v="27984"/>
    <n v="94135.264272000015"/>
    <n v="13285.955"/>
    <n v="80849.309272000013"/>
    <n v="2.8891262604345345"/>
    <s v="SODIFRAM"/>
    <x v="1243"/>
    <d v="2023-05-09T00:00:00"/>
    <n v="3421.8449999999998"/>
  </r>
  <r>
    <d v="2023-05-18T00:00:00"/>
    <n v="55800"/>
    <n v="131382"/>
    <n v="0"/>
    <n v="131382"/>
    <n v="2.354516129032258"/>
    <s v="SAHEL"/>
    <x v="1244"/>
    <d v="2023-05-09T00:00:00"/>
    <n v="0"/>
  </r>
  <r>
    <d v="2023-05-18T00:00:00"/>
    <n v="55800"/>
    <n v="131382"/>
    <n v="0"/>
    <n v="131382"/>
    <n v="2.354516129032258"/>
    <s v="SAHEL"/>
    <x v="1245"/>
    <d v="2023-05-09T00:00:00"/>
    <n v="0"/>
  </r>
  <r>
    <d v="2023-05-25T00:00:00"/>
    <n v="38400"/>
    <n v="103733.87199999999"/>
    <n v="11800.105"/>
    <n v="91933.766999999993"/>
    <n v="2.3941085156249997"/>
    <s v="LAMP FALL"/>
    <x v="1246"/>
    <d v="2023-05-19T00:00:00"/>
    <n v="2606.7509999999997"/>
  </r>
  <r>
    <d v="2023-05-26T00:00:00"/>
    <n v="15100"/>
    <n v="57412.931250000001"/>
    <n v="6576.6"/>
    <n v="50836.331250000003"/>
    <n v="3.3666444536423845"/>
    <s v="DEBENHAM"/>
    <x v="1247"/>
    <d v="2023-05-22T00:00:00"/>
    <n v="1524"/>
  </r>
  <r>
    <d v="2023-05-26T00:00:00"/>
    <n v="82000"/>
    <n v="209100"/>
    <n v="0"/>
    <n v="209100"/>
    <n v="2.5499999999999998"/>
    <s v="MIDCOM"/>
    <x v="1248"/>
    <d v="2023-05-09T00:00:00"/>
    <n v="0"/>
  </r>
  <r>
    <d v="2023-05-27T00:00:00"/>
    <n v="41500"/>
    <n v="103436.03423999999"/>
    <n v="11105.376"/>
    <n v="92330.65823999999"/>
    <n v="2.224835138313253"/>
    <s v="DUABUV Krupyaniy "/>
    <x v="1249"/>
    <d v="2023-05-22T00:00:00"/>
    <n v="1470.4156799999998"/>
  </r>
  <r>
    <d v="2023-05-29T00:00:00"/>
    <n v="21600"/>
    <n v="49488"/>
    <n v="0"/>
    <n v="49488"/>
    <n v="2.2911111111111113"/>
    <s v="SAHEL"/>
    <x v="1250"/>
    <d v="2023-05-23T00:00:00"/>
    <n v="0"/>
  </r>
  <r>
    <d v="2023-05-29T00:00:00"/>
    <n v="38400"/>
    <n v="89472"/>
    <n v="0"/>
    <n v="89472"/>
    <n v="2.33"/>
    <s v="SAHEL"/>
    <x v="1251"/>
    <d v="2023-05-23T00:00:00"/>
    <n v="0"/>
  </r>
  <r>
    <d v="2023-05-29T00:00:00"/>
    <n v="20150"/>
    <n v="53802.958299999998"/>
    <n v="1988.9649999999999"/>
    <n v="51813.993300000002"/>
    <n v="2.5714140595533501"/>
    <s v="ANGSTREM"/>
    <x v="1252"/>
    <d v="2023-05-24T00:00:00"/>
    <n v="0"/>
  </r>
  <r>
    <d v="2023-05-30T00:00:00"/>
    <n v="44400"/>
    <n v="117755.572"/>
    <n v="17795.48"/>
    <n v="99960.092000000004"/>
    <n v="2.2513534234234234"/>
    <s v="SALIOU "/>
    <x v="1253"/>
    <d v="2023-05-20T00:00:00"/>
    <n v="4384.8"/>
  </r>
  <r>
    <d v="2023-05-30T00:00:00"/>
    <n v="146899"/>
    <n v="322486.08"/>
    <n v="0"/>
    <n v="322486.08"/>
    <n v="2.1952911864614464"/>
    <s v="SCIT"/>
    <x v="1254"/>
    <d v="2023-05-23T00:00:00"/>
    <n v="0"/>
  </r>
  <r>
    <d v="2023-05-31T00:00:00"/>
    <n v="41280"/>
    <n v="113269.60799999999"/>
    <n v="16772.3"/>
    <n v="96497.30799999999"/>
    <n v="2.3376285852713177"/>
    <s v="DEBENHAM"/>
    <x v="1255"/>
    <d v="2023-05-22T00:00:00"/>
    <n v="3992.9399999999996"/>
  </r>
  <r>
    <d v="2023-05-31T00:00:00"/>
    <n v="25200"/>
    <n v="53160"/>
    <n v="0"/>
    <n v="53160"/>
    <n v="2.1095238095238096"/>
    <s v="PUNIC"/>
    <x v="1256"/>
    <d v="2023-05-19T00:00:00"/>
    <n v="0"/>
  </r>
  <r>
    <d v="2023-06-05T00:00:00"/>
    <n v="20750"/>
    <n v="46895"/>
    <n v="0"/>
    <n v="46895"/>
    <n v="2.2599999999999998"/>
    <s v="SAHEL"/>
    <x v="1257"/>
    <d v="2023-05-31T00:00:00"/>
    <n v="0"/>
  </r>
  <r>
    <d v="2023-06-05T00:00:00"/>
    <n v="21600"/>
    <n v="49579.92"/>
    <n v="0"/>
    <n v="49579.92"/>
    <n v="2.2953666666666668"/>
    <s v="SAHEL"/>
    <x v="1258"/>
    <d v="2023-05-31T00:00:00"/>
    <n v="0"/>
  </r>
  <r>
    <d v="2023-06-06T00:00:00"/>
    <n v="76800"/>
    <n v="178944"/>
    <n v="0"/>
    <n v="178944"/>
    <n v="2.33"/>
    <s v="SCIT"/>
    <x v="1259"/>
    <d v="2023-05-23T00:00:00"/>
    <n v="0"/>
  </r>
  <r>
    <d v="2023-06-09T00:00:00"/>
    <n v="16896"/>
    <n v="20823.206399999999"/>
    <n v="9716"/>
    <n v="11107.206399999999"/>
    <n v="0.65738674242424233"/>
    <s v="SODIC"/>
    <x v="1260"/>
    <d v="2023-06-06T00:00:00"/>
    <n v="1245.1949999999999"/>
  </r>
  <r>
    <d v="2023-06-13T00:00:00"/>
    <n v="99200"/>
    <n v="199121.18400000001"/>
    <n v="33674.951999999997"/>
    <n v="165446.23200000002"/>
    <n v="1.6678047580645163"/>
    <s v="KASSO"/>
    <x v="1261"/>
    <d v="2023-06-08T00:00:00"/>
    <n v="8347.7855999999992"/>
  </r>
  <r>
    <d v="2023-06-14T00:00:00"/>
    <n v="110000"/>
    <n v="206079.72"/>
    <n v="23830.092000000001"/>
    <n v="182249.628"/>
    <n v="1.6568148"/>
    <s v="KASSO"/>
    <x v="1262"/>
    <d v="2023-06-06T00:00:00"/>
    <n v="5481.3275999999996"/>
  </r>
  <r>
    <d v="2023-06-15T00:00:00"/>
    <n v="110000"/>
    <n v="206147.48"/>
    <n v="23754.912"/>
    <n v="182392.568"/>
    <n v="1.6581142545454546"/>
    <s v="KASSO"/>
    <x v="1263"/>
    <d v="2023-06-06T00:00:00"/>
    <n v="5481.3275999999996"/>
  </r>
  <r>
    <d v="2023-06-15T00:00:00"/>
    <n v="38400"/>
    <n v="98185.544000000009"/>
    <n v="12597.39"/>
    <n v="85588.15400000001"/>
    <n v="2.2288581770833336"/>
    <s v="MATMATA TRADING"/>
    <x v="1264"/>
    <d v="2023-05-24T00:00:00"/>
    <n v="2804.01"/>
  </r>
  <r>
    <d v="2023-06-16T00:00:00"/>
    <n v="110000"/>
    <n v="206147.48"/>
    <n v="23800.691999999999"/>
    <n v="182346.788"/>
    <n v="1.6576980727272728"/>
    <s v="KASSO"/>
    <x v="1265"/>
    <d v="2023-06-06T00:00:00"/>
    <n v="5481.3275999999996"/>
  </r>
  <r>
    <d v="2023-06-17T00:00:00"/>
    <n v="99200"/>
    <n v="199850.304"/>
    <n v="34223.008000000002"/>
    <n v="165627.296"/>
    <n v="1.6696299999999999"/>
    <s v="KASSO"/>
    <x v="1266"/>
    <d v="2023-06-12T00:00:00"/>
    <n v="8362.3583999999992"/>
  </r>
  <r>
    <d v="2023-06-19T00:00:00"/>
    <n v="22008"/>
    <n v="47317.2"/>
    <n v="0"/>
    <n v="47317.2"/>
    <n v="2.15"/>
    <s v="SAHEL"/>
    <x v="1267"/>
    <d v="2023-06-09T00:00:00"/>
    <n v="0"/>
  </r>
  <r>
    <d v="2023-06-20T00:00:00"/>
    <n v="220080"/>
    <n v="407148"/>
    <n v="0"/>
    <n v="407148"/>
    <n v="1.85"/>
    <s v="TAB"/>
    <x v="1268"/>
    <d v="2023-06-14T00:00:00"/>
    <n v="0"/>
  </r>
  <r>
    <d v="2023-06-20T00:00:00"/>
    <n v="110000"/>
    <n v="206834.32"/>
    <n v="24396.974999999999"/>
    <n v="182437.345"/>
    <n v="1.6585213181818181"/>
    <s v="KASSO"/>
    <x v="1269"/>
    <d v="2023-06-12T00:00:00"/>
    <n v="5490.8964000000005"/>
  </r>
  <r>
    <d v="2023-06-21T00:00:00"/>
    <n v="110000"/>
    <n v="207662.84"/>
    <n v="24434.315999999999"/>
    <n v="183228.524"/>
    <n v="1.6657138545454546"/>
    <s v="KASSO"/>
    <x v="1270"/>
    <d v="2023-06-12T00:00:00"/>
    <n v="5490.8964000000005"/>
  </r>
  <r>
    <d v="2023-06-22T00:00:00"/>
    <n v="110000"/>
    <n v="207610.47999999998"/>
    <n v="24361.536"/>
    <n v="183248.94399999999"/>
    <n v="1.6658994909090907"/>
    <s v="KASSO"/>
    <x v="1271"/>
    <d v="2023-06-12T00:00:00"/>
    <n v="5490.8964000000005"/>
  </r>
  <r>
    <d v="2023-06-22T00:00:00"/>
    <n v="20150"/>
    <n v="48566.053899999999"/>
    <n v="1838.9649999999999"/>
    <n v="46727.088900000002"/>
    <n v="2.3189622282878415"/>
    <s v="ANGSTREM"/>
    <x v="1272"/>
    <d v="2023-05-24T00:00:00"/>
    <n v="0"/>
  </r>
  <r>
    <d v="2023-06-22T00:00:00"/>
    <n v="20150"/>
    <n v="49703.601999999999"/>
    <n v="1929.645"/>
    <n v="47773.957000000002"/>
    <n v="2.3709159801488835"/>
    <s v="ANGSTREM"/>
    <x v="1273"/>
    <d v="2023-06-20T00:00:00"/>
    <n v="0"/>
  </r>
  <r>
    <d v="2023-06-22T00:00:00"/>
    <n v="18360"/>
    <n v="56062.70304"/>
    <n v="8183.45"/>
    <n v="47879.253040000003"/>
    <n v="2.6078024531590414"/>
    <s v="ABOURA FOODS"/>
    <x v="1274"/>
    <d v="2023-06-12T00:00:00"/>
    <n v="1169.73"/>
  </r>
  <r>
    <d v="2023-06-22T00:00:00"/>
    <n v="100506"/>
    <n v="213458"/>
    <n v="0"/>
    <n v="213458"/>
    <n v="2.1238334029809165"/>
    <s v="TAB"/>
    <x v="1275"/>
    <d v="2023-06-14T00:00:00"/>
    <n v="0"/>
  </r>
  <r>
    <d v="2023-06-23T00:00:00"/>
    <n v="19200"/>
    <n v="42240"/>
    <n v="0"/>
    <n v="42240"/>
    <n v="2.2000000000000002"/>
    <s v="SAHEL"/>
    <x v="1276"/>
    <d v="2023-06-09T00:00:00"/>
    <n v="0"/>
  </r>
  <r>
    <d v="2023-06-24T00:00:00"/>
    <n v="52867"/>
    <n v="179908.641906"/>
    <n v="42099.040000000001"/>
    <n v="137809.601906"/>
    <n v="2.6067225661754971"/>
    <s v="GREENWORLD"/>
    <x v="1277"/>
    <d v="2023-06-12T00:00:00"/>
    <n v="6731.7120000000004"/>
  </r>
  <r>
    <d v="2023-06-24T00:00:00"/>
    <n v="66024"/>
    <n v="169638.43203199998"/>
    <n v="22958.13"/>
    <n v="146680.30203199998"/>
    <n v="2.2216209565006659"/>
    <s v="JPB"/>
    <x v="1278"/>
    <d v="2023-06-12T00:00:00"/>
    <n v="5563.3499999999995"/>
  </r>
  <r>
    <d v="2023-06-26T00:00:00"/>
    <n v="277730"/>
    <n v="643495.83558000007"/>
    <n v="75089.100000000006"/>
    <n v="568406.7355800001"/>
    <n v="2.046616266085767"/>
    <s v="SAWABA"/>
    <x v="1279"/>
    <d v="2023-06-15T00:00:00"/>
    <n v="17711.43"/>
  </r>
  <r>
    <d v="2023-06-26T00:00:00"/>
    <n v="42664"/>
    <n v="55442.863140000001"/>
    <n v="25803.004000000001"/>
    <n v="29639.85914"/>
    <n v="0.69472761906994185"/>
    <s v="SODIC"/>
    <x v="1280"/>
    <d v="2023-06-13T00:00:00"/>
    <n v="4383.54"/>
  </r>
  <r>
    <d v="2023-06-26T00:00:00"/>
    <n v="27000"/>
    <n v="57450"/>
    <n v="0"/>
    <n v="57450"/>
    <n v="2.1277777777777778"/>
    <s v="PUNIC"/>
    <x v="1281"/>
    <d v="2023-06-19T00:00:00"/>
    <n v="0"/>
  </r>
  <r>
    <d v="2023-06-26T00:00:00"/>
    <n v="44202"/>
    <n v="149967"/>
    <n v="0"/>
    <n v="149967"/>
    <n v="3.3927650332564139"/>
    <s v="GOLDEN PEARL"/>
    <x v="1282"/>
    <d v="2023-06-12T00:00:00"/>
    <n v="0"/>
  </r>
  <r>
    <d v="2023-06-30T00:00:00"/>
    <n v="49440"/>
    <n v="123503.16816"/>
    <n v="12984.503000000001"/>
    <n v="110518.66516"/>
    <n v="2.2354098940129452"/>
    <s v="EASB"/>
    <x v="1283"/>
    <d v="2023-06-12T00:00:00"/>
    <n v="3065.7384000000002"/>
  </r>
  <r>
    <d v="2023-06-30T00:00:00"/>
    <n v="67500"/>
    <n v="198858.03750000001"/>
    <n v="3525.1"/>
    <n v="195332.9375"/>
    <n v="2.8938212962962964"/>
    <s v="HARVEST"/>
    <x v="1284"/>
    <d v="2023-06-01T00:00:00"/>
    <n v="0"/>
  </r>
  <r>
    <d v="2023-06-30T00:00:00"/>
    <n v="54480"/>
    <n v="142578.65448000003"/>
    <n v="13222.298000000001"/>
    <n v="129356.35648000003"/>
    <n v="2.374382461086638"/>
    <s v="EASB"/>
    <x v="1285"/>
    <d v="2023-06-21T00:00:00"/>
    <n v="3141.4823999999999"/>
  </r>
  <r>
    <d v="2023-07-03T00:00:00"/>
    <n v="57600"/>
    <n v="126720"/>
    <n v="0"/>
    <n v="126720"/>
    <n v="2.2000000000000002"/>
    <s v="MARCOM"/>
    <x v="1286"/>
    <d v="2023-06-19T00:00:00"/>
    <n v="0"/>
  </r>
  <r>
    <d v="2023-07-12T00:00:00"/>
    <n v="21600"/>
    <n v="46812"/>
    <n v="0"/>
    <n v="46812"/>
    <n v="2.1672222222222222"/>
    <s v="SAHEL"/>
    <x v="1287"/>
    <d v="2023-07-04T00:00:00"/>
    <n v="0"/>
  </r>
  <r>
    <d v="2023-07-12T00:00:00"/>
    <n v="19200"/>
    <n v="42240"/>
    <n v="0"/>
    <n v="42240"/>
    <n v="2.2000000000000002"/>
    <s v="SAHEL"/>
    <x v="1288"/>
    <d v="2023-07-04T00:00:00"/>
    <n v="0"/>
  </r>
  <r>
    <d v="2023-07-13T00:00:00"/>
    <n v="99840"/>
    <n v="209664"/>
    <n v="0"/>
    <n v="209664"/>
    <n v="2.1"/>
    <s v="EASY TRADE"/>
    <x v="1289"/>
    <d v="2023-06-21T00:00:00"/>
    <n v="0"/>
  </r>
  <r>
    <d v="2023-07-13T00:00:00"/>
    <n v="25333.759999999998"/>
    <n v="100586.905314"/>
    <n v="20069.14"/>
    <n v="80517.765314000004"/>
    <n v="3.1782793124273701"/>
    <s v="SAFA FOOD"/>
    <x v="1290"/>
    <d v="2023-07-01T00:00:00"/>
    <n v="3324.096"/>
  </r>
  <r>
    <d v="2023-07-14T00:00:00"/>
    <n v="66024"/>
    <n v="170350.69096000001"/>
    <n v="22492.026000000002"/>
    <n v="147858.66495999999"/>
    <n v="2.2394684502605111"/>
    <s v="JPB"/>
    <x v="1291"/>
    <d v="2023-07-07T00:00:00"/>
    <n v="5468.579999999999"/>
  </r>
  <r>
    <d v="2023-07-15T00:00:00"/>
    <n v="110000"/>
    <n v="209375.32"/>
    <n v="24308.437999999998"/>
    <n v="185066.88200000001"/>
    <n v="1.6824262000000001"/>
    <s v="KASSO"/>
    <x v="1292"/>
    <d v="2023-07-08T00:00:00"/>
    <n v="5546.7143999999998"/>
  </r>
  <r>
    <d v="2023-07-17T00:00:00"/>
    <n v="110000"/>
    <n v="209972.84000000003"/>
    <n v="24308.437999999998"/>
    <n v="185664.40200000003"/>
    <n v="1.6878582000000002"/>
    <s v="KASSO"/>
    <x v="1293"/>
    <d v="2023-07-08T00:00:00"/>
    <n v="5546.7143999999998"/>
  </r>
  <r>
    <d v="2023-07-18T00:00:00"/>
    <n v="318000"/>
    <n v="733462.54800000007"/>
    <n v="0"/>
    <n v="733462.54800000007"/>
    <n v="2.306486"/>
    <s v="AL MAGEMOUA"/>
    <x v="1294"/>
    <d v="2023-07-05T00:00:00"/>
    <n v="0"/>
  </r>
  <r>
    <d v="2023-07-22T00:00:00"/>
    <n v="220080"/>
    <n v="407148"/>
    <n v="0"/>
    <n v="407148"/>
    <n v="1.85"/>
    <s v="TAB"/>
    <x v="1295"/>
    <d v="2023-07-08T00:00:00"/>
    <n v="0"/>
  </r>
  <r>
    <d v="2023-07-22T00:00:00"/>
    <n v="21500"/>
    <n v="94628.23943999999"/>
    <n v="2158.2199999999998"/>
    <n v="92470.019439999989"/>
    <n v="4.3009311367441851"/>
    <s v="DAVIS TRADING"/>
    <x v="1296"/>
    <d v="2023-07-13T00:00:00"/>
    <n v="0"/>
  </r>
  <r>
    <d v="2023-07-26T00:00:00"/>
    <n v="83840"/>
    <n v="165332"/>
    <n v="0"/>
    <n v="165332"/>
    <n v="1.9719942748091603"/>
    <s v="TAB"/>
    <x v="1297"/>
    <d v="2023-07-15T00:00:00"/>
    <n v="0"/>
  </r>
  <r>
    <d v="2023-07-27T00:00:00"/>
    <n v="192000"/>
    <n v="493794.63099999999"/>
    <n v="56715.02"/>
    <n v="437079.61099999998"/>
    <n v="2.2764563072916664"/>
    <s v="LAMP FALL"/>
    <x v="1298"/>
    <d v="2023-07-11T00:00:00"/>
    <n v="12543.659999999998"/>
  </r>
  <r>
    <d v="2023-07-31T00:00:00"/>
    <n v="277730"/>
    <n v="591781.78026000003"/>
    <n v="78056.566000000006"/>
    <n v="513725.21426000004"/>
    <n v="1.8497289247110504"/>
    <s v="SAWABA"/>
    <x v="1299"/>
    <d v="2023-07-24T00:00:00"/>
    <n v="18905.174999999999"/>
  </r>
  <r>
    <d v="2023-07-31T00:00:00"/>
    <n v="20000"/>
    <n v="43400"/>
    <n v="0"/>
    <n v="43400"/>
    <n v="2.17"/>
    <s v="ARCADIA"/>
    <x v="1300"/>
    <d v="2023-07-21T00:00:00"/>
    <n v="0"/>
  </r>
  <r>
    <d v="2023-07-31T00:00:00"/>
    <n v="20000"/>
    <n v="43400"/>
    <n v="0"/>
    <n v="43400"/>
    <n v="2.17"/>
    <s v="ARCADIA"/>
    <x v="1301"/>
    <d v="2023-07-21T00:00:00"/>
    <n v="0"/>
  </r>
  <r>
    <d v="2023-07-31T00:00:00"/>
    <n v="20000"/>
    <n v="43400"/>
    <n v="0"/>
    <n v="43400"/>
    <n v="2.17"/>
    <s v="ARCADIA"/>
    <x v="1302"/>
    <d v="2023-07-21T00:00:00"/>
    <n v="0"/>
  </r>
  <r>
    <d v="2023-08-02T00:00:00"/>
    <n v="56040"/>
    <n v="116772"/>
    <n v="0"/>
    <n v="116772"/>
    <n v="2.0837259100642398"/>
    <s v="SAHEL"/>
    <x v="1303"/>
    <d v="2023-07-14T00:00:00"/>
    <n v="0"/>
  </r>
  <r>
    <d v="2023-08-02T00:00:00"/>
    <n v="19200"/>
    <n v="41664"/>
    <n v="0"/>
    <n v="41664"/>
    <n v="2.17"/>
    <s v="SAHEL"/>
    <x v="1304"/>
    <d v="2023-07-27T00:00:00"/>
    <n v="0"/>
  </r>
  <r>
    <d v="2023-08-04T00:00:00"/>
    <n v="41000"/>
    <n v="86100"/>
    <n v="0"/>
    <n v="86100"/>
    <n v="2.1"/>
    <s v="ARCADIA"/>
    <x v="1305"/>
    <d v="2023-07-30T00:00:00"/>
    <n v="0"/>
  </r>
  <r>
    <d v="2023-08-07T00:00:00"/>
    <n v="25200"/>
    <n v="58399.267500000002"/>
    <n v="8502.19"/>
    <n v="49897.077499999999"/>
    <n v="1.9800427579365079"/>
    <s v="SALIOU BAH"/>
    <x v="1306"/>
    <d v="2023-07-26T00:00:00"/>
    <n v="2034.33"/>
  </r>
  <r>
    <d v="2023-08-14T00:00:00"/>
    <n v="22008"/>
    <n v="47037.120000000003"/>
    <n v="0"/>
    <n v="47037.120000000003"/>
    <n v="2.1372737186477644"/>
    <s v="SAHEL"/>
    <x v="1307"/>
    <d v="2023-08-09T00:00:00"/>
    <n v="0"/>
  </r>
  <r>
    <d v="2023-08-16T00:00:00"/>
    <n v="20150"/>
    <n v="50617.626149999996"/>
    <n v="1838.5450000000001"/>
    <n v="48779.081149999998"/>
    <n v="2.4207980719602977"/>
    <s v="ANGSTREM"/>
    <x v="1308"/>
    <d v="2023-07-10T00:00:00"/>
    <n v="0"/>
  </r>
  <r>
    <d v="2023-08-16T00:00:00"/>
    <n v="20150"/>
    <n v="45487.461337499997"/>
    <n v="1838.5450000000001"/>
    <n v="43648.916337499999"/>
    <n v="2.1661993219602977"/>
    <s v="ANGSTREM"/>
    <x v="1309"/>
    <d v="2023-07-10T00:00:00"/>
    <n v="0"/>
  </r>
  <r>
    <d v="2023-08-16T00:00:00"/>
    <n v="56000"/>
    <n v="107660"/>
    <n v="0"/>
    <n v="107660"/>
    <n v="1.9225000000000001"/>
    <s v="TAB"/>
    <x v="1310"/>
    <d v="2023-08-01T00:00:00"/>
    <n v="0"/>
  </r>
  <r>
    <d v="2023-08-17T00:00:00"/>
    <n v="20750"/>
    <n v="46895"/>
    <n v="0"/>
    <n v="46895"/>
    <n v="2.2599999999999998"/>
    <s v="SCIT"/>
    <x v="1311"/>
    <d v="2023-08-09T00:00:00"/>
    <n v="0"/>
  </r>
  <r>
    <d v="2023-08-18T00:00:00"/>
    <n v="115200"/>
    <n v="294580.51260000002"/>
    <n v="34091.760000000002"/>
    <n v="260488.75260000001"/>
    <n v="2.2611870885416669"/>
    <s v="LAMP FALL"/>
    <x v="1312"/>
    <d v="2023-08-04T00:00:00"/>
    <n v="7591.0769999999993"/>
  </r>
  <r>
    <d v="2023-08-18T00:00:00"/>
    <n v="52000"/>
    <n v="99730"/>
    <n v="0"/>
    <n v="99730"/>
    <n v="1.9178846153846154"/>
    <s v="SAHEL"/>
    <x v="1313"/>
    <d v="2023-08-14T00:00:00"/>
    <n v="0"/>
  </r>
  <r>
    <d v="2023-08-21T00:00:00"/>
    <n v="40339"/>
    <n v="95425.571448000002"/>
    <n v="3705.2420000000002"/>
    <n v="91720.329448000004"/>
    <n v="2.2737383040729817"/>
    <s v="DEBENHAM"/>
    <x v="1314"/>
    <d v="2023-08-11T00:00:00"/>
    <n v="0"/>
  </r>
  <r>
    <d v="2023-08-22T00:00:00"/>
    <n v="21000"/>
    <n v="43050"/>
    <n v="0"/>
    <n v="43050"/>
    <n v="2.0499999999999998"/>
    <s v="SCIT"/>
    <x v="1315"/>
    <d v="2023-08-14T00:00:00"/>
    <n v="0"/>
  </r>
  <r>
    <d v="2023-08-22T00:00:00"/>
    <n v="21600"/>
    <n v="44280"/>
    <n v="0"/>
    <n v="44280"/>
    <n v="2.0499999999999998"/>
    <s v="SCIT"/>
    <x v="1316"/>
    <d v="2023-08-14T00:00:00"/>
    <n v="0"/>
  </r>
  <r>
    <d v="2023-08-22T00:00:00"/>
    <n v="26868"/>
    <n v="78314.938519999996"/>
    <n v="13112.745000000001"/>
    <n v="65202.193519999993"/>
    <n v="2.4267602173589395"/>
    <s v="SODIFRAM"/>
    <x v="1317"/>
    <d v="2023-08-14T00:00:00"/>
    <n v="3420.36"/>
  </r>
  <r>
    <d v="2023-08-22T00:00:00"/>
    <n v="35600"/>
    <n v="96052.574400000012"/>
    <n v="21778.845000000001"/>
    <n v="74273.729400000011"/>
    <n v="2.0863407134831462"/>
    <s v="RNK DISRIBUTION"/>
    <x v="1318"/>
    <d v="2023-08-14T00:00:00"/>
    <n v="5640.99"/>
  </r>
  <r>
    <d v="2023-08-26T00:00:00"/>
    <n v="23608"/>
    <n v="85860.762499999997"/>
    <n v="19640.544999999998"/>
    <n v="66220.217499999999"/>
    <n v="2.8049905752287358"/>
    <s v="SAFA FOOD"/>
    <x v="1319"/>
    <d v="2023-08-15T00:00:00"/>
    <n v="3269.8620000000001"/>
  </r>
  <r>
    <d v="2023-08-28T00:00:00"/>
    <n v="36000"/>
    <n v="79920"/>
    <n v="0"/>
    <n v="79920"/>
    <n v="2.2200000000000002"/>
    <s v="SAHEL"/>
    <x v="1320"/>
    <d v="2023-08-22T00:00:00"/>
    <n v="0"/>
  </r>
  <r>
    <d v="2023-08-29T00:00:00"/>
    <n v="26016"/>
    <n v="76303.928736000002"/>
    <n v="12869.91"/>
    <n v="63434.018735999998"/>
    <n v="2.4382694778597784"/>
    <s v="SODIFRAM"/>
    <x v="1321"/>
    <d v="2023-08-14T00:00:00"/>
    <n v="3419.28"/>
  </r>
  <r>
    <d v="2023-08-29T00:00:00"/>
    <n v="96000"/>
    <n v="211200"/>
    <n v="0"/>
    <n v="211200"/>
    <n v="2.2000000000000002"/>
    <s v="SCIT"/>
    <x v="1322"/>
    <d v="2023-08-24T00:00:00"/>
    <n v="0"/>
  </r>
  <r>
    <d v="2023-08-31T00:00:00"/>
    <n v="57600"/>
    <n v="133038.2856"/>
    <n v="18118.86"/>
    <n v="114919.4256"/>
    <n v="1.9951289166666668"/>
    <s v="MATMATA"/>
    <x v="1323"/>
    <d v="2023-08-24T00:00:00"/>
    <n v="4126.41"/>
  </r>
  <r>
    <d v="2023-08-31T00:00:00"/>
    <n v="13903.68"/>
    <n v="63456.516207499997"/>
    <n v="18989.59"/>
    <n v="44466.926207500001"/>
    <n v="3.1982127183234943"/>
    <s v="SAFA FOOD"/>
    <x v="1324"/>
    <d v="2023-08-04T00:00:00"/>
    <n v="3133.3139999999999"/>
  </r>
  <r>
    <d v="2023-09-05T00:00:00"/>
    <n v="40300"/>
    <n v="100623.90130000001"/>
    <n v="3536.89"/>
    <n v="97087.011300000013"/>
    <n v="2.4091069801488838"/>
    <s v="ANGSTREM"/>
    <x v="1325"/>
    <d v="2023-08-14T00:00:00"/>
    <n v="0"/>
  </r>
  <r>
    <d v="2023-09-06T00:00:00"/>
    <n v="20150"/>
    <n v="45212.766462500003"/>
    <n v="1828.4449999999999"/>
    <n v="43384.321462500004"/>
    <n v="2.1530680626550871"/>
    <s v="ANGSTREM"/>
    <x v="1326"/>
    <d v="2023-08-22T00:00:00"/>
    <n v="0"/>
  </r>
  <r>
    <d v="2023-09-07T00:00:00"/>
    <n v="408200"/>
    <n v="959563.04299999995"/>
    <n v="0"/>
    <n v="959563.04299999995"/>
    <n v="2.3507178907398334"/>
    <s v="AL MAGEMOUA"/>
    <x v="1327"/>
    <d v="2023-08-31T00:00:00"/>
    <n v="0"/>
  </r>
  <r>
    <d v="2023-09-08T00:00:00"/>
    <n v="56004"/>
    <n v="115978.2"/>
    <n v="0"/>
    <n v="115978.2"/>
    <n v="2.0708913649025069"/>
    <s v="SAHEL"/>
    <x v="1328"/>
    <d v="2023-08-04T00:00:00"/>
    <n v="0"/>
  </r>
  <r>
    <d v="2023-09-09T00:00:00"/>
    <n v="21624"/>
    <n v="60588.651409999999"/>
    <n v="29120.044000000002"/>
    <n v="31468.607409999997"/>
    <n v="1.4552630137809839"/>
    <s v="SODIC"/>
    <x v="1329"/>
    <d v="2023-09-04T00:00:00"/>
    <n v="2191.77"/>
  </r>
  <r>
    <d v="2023-09-11T00:00:00"/>
    <n v="29000"/>
    <n v="162288.579"/>
    <n v="0"/>
    <n v="162288.579"/>
    <n v="5.5961578965517242"/>
    <s v="AL SAHL LOUTAQADEM"/>
    <x v="1330"/>
    <d v="2023-09-04T00:00:00"/>
    <n v="0"/>
  </r>
  <r>
    <d v="2023-09-15T00:00:00"/>
    <n v="22008"/>
    <n v="44016"/>
    <n v="0"/>
    <n v="44016"/>
    <n v="2"/>
    <s v="MEDILIFE"/>
    <x v="1331"/>
    <d v="2023-09-04T00:00:00"/>
    <n v="0"/>
  </r>
  <r>
    <d v="2023-09-18T00:00:00"/>
    <n v="18000"/>
    <n v="37440"/>
    <n v="0"/>
    <n v="37440"/>
    <n v="2.08"/>
    <s v="SAHEL"/>
    <x v="1332"/>
    <d v="2023-09-12T00:00:00"/>
    <n v="0"/>
  </r>
  <r>
    <d v="2023-09-18T00:00:00"/>
    <n v="22008"/>
    <n v="42475.44"/>
    <n v="0"/>
    <n v="42475.44"/>
    <n v="1.9300000000000002"/>
    <s v="SAHEL"/>
    <x v="1333"/>
    <d v="2023-09-12T00:00:00"/>
    <n v="0"/>
  </r>
  <r>
    <d v="2023-09-18T00:00:00"/>
    <n v="19856"/>
    <n v="93842.801906000008"/>
    <n v="27313.311000000002"/>
    <n v="66529.490906000006"/>
    <n v="3.3505988570709109"/>
    <s v="SODIC"/>
    <x v="1334"/>
    <d v="2023-09-15T00:00:00"/>
    <n v="2190.4919999999997"/>
  </r>
  <r>
    <d v="2023-09-19T00:00:00"/>
    <n v="52000"/>
    <n v="109838.326"/>
    <n v="16324.556"/>
    <n v="93513.77"/>
    <n v="1.7983417307692309"/>
    <s v="RAMAS"/>
    <x v="1335"/>
    <d v="2023-09-13T00:00:00"/>
    <n v="3930.2567999999997"/>
  </r>
  <r>
    <d v="2023-09-19T00:00:00"/>
    <n v="26000"/>
    <n v="50001.029000000002"/>
    <n v="5034.7060000000001"/>
    <n v="44966.323000000004"/>
    <n v="1.7294739615384618"/>
    <s v="RAMAS"/>
    <x v="1336"/>
    <d v="2023-09-13T00:00:00"/>
    <n v="1008.8568"/>
  </r>
  <r>
    <d v="2023-09-20T00:00:00"/>
    <n v="19200"/>
    <n v="38016"/>
    <n v="0"/>
    <n v="38016"/>
    <n v="1.98"/>
    <s v="SAHEL"/>
    <x v="1337"/>
    <d v="2023-09-14T00:00:00"/>
    <n v="0"/>
  </r>
  <r>
    <d v="2023-09-20T00:00:00"/>
    <n v="110040"/>
    <n v="245255.30623999998"/>
    <n v="38494.949999999997"/>
    <n v="206760.35623999999"/>
    <n v="1.8789563453289713"/>
    <s v="JPB"/>
    <x v="1338"/>
    <d v="2023-09-04T00:00:00"/>
    <n v="2925"/>
  </r>
  <r>
    <d v="2023-09-21T00:00:00"/>
    <n v="191482"/>
    <n v="367931.28699400002"/>
    <n v="53642.701999999997"/>
    <n v="314288.58499400003"/>
    <n v="1.6413479334558865"/>
    <s v="SEYAL TCHAD"/>
    <x v="1339"/>
    <d v="2023-09-08T00:00:00"/>
    <n v="12792.810599999999"/>
  </r>
  <r>
    <d v="2023-09-22T00:00:00"/>
    <n v="130000"/>
    <n v="229825"/>
    <n v="0"/>
    <n v="229825"/>
    <n v="1.7678846153846153"/>
    <s v="SAHEL"/>
    <x v="1340"/>
    <d v="2023-09-14T00:00:00"/>
    <n v="0"/>
  </r>
  <r>
    <d v="2023-09-22T00:00:00"/>
    <n v="220080"/>
    <n v="371935.2"/>
    <n v="0"/>
    <n v="371935.2"/>
    <n v="1.69"/>
    <s v="TAB"/>
    <x v="1341"/>
    <d v="2023-09-15T00:00:00"/>
    <n v="0"/>
  </r>
  <r>
    <d v="2023-09-23T00:00:00"/>
    <n v="19464"/>
    <n v="69656.775463999991"/>
    <n v="27382.482"/>
    <n v="42274.293463999988"/>
    <n v="2.1719221878339492"/>
    <s v="SODIC"/>
    <x v="1342"/>
    <d v="2023-09-20T00:00:00"/>
    <n v="2193.0479999999998"/>
  </r>
  <r>
    <d v="2023-09-26T00:00:00"/>
    <n v="134400"/>
    <n v="324530.02399999998"/>
    <n v="39812.9"/>
    <n v="284717.12399999995"/>
    <n v="2.1184309821428569"/>
    <s v="LAMPFALL"/>
    <x v="1343"/>
    <d v="2023-09-20T00:00:00"/>
    <n v="9027.27"/>
  </r>
  <r>
    <d v="2023-09-29T00:00:00"/>
    <n v="278594"/>
    <n v="620178.28047"/>
    <n v="77714.899999999994"/>
    <n v="542463.38046999997"/>
    <n v="1.9471466739053962"/>
    <s v="SAWABA"/>
    <x v="1344"/>
    <d v="2023-09-19T00:00:00"/>
    <n v="18768.84"/>
  </r>
  <r>
    <d v="2023-09-29T00:00:00"/>
    <n v="134400"/>
    <n v="324023.609"/>
    <n v="40278.480000000003"/>
    <n v="283745.12900000002"/>
    <n v="2.1111988764880953"/>
    <s v="LAMPFALL"/>
    <x v="1345"/>
    <d v="2023-09-25T00:00:00"/>
    <n v="9002.0384999999987"/>
  </r>
  <r>
    <d v="2023-09-30T00:00:00"/>
    <n v="23710"/>
    <n v="78204.672315000003"/>
    <n v="8100.9"/>
    <n v="70103.772315000009"/>
    <n v="2.956717516448756"/>
    <s v="ABOURA FOODS"/>
    <x v="1346"/>
    <d v="2023-09-13T00:00:00"/>
    <n v="1185.2280000000001"/>
  </r>
  <r>
    <d v="2023-09-30T00:00:00"/>
    <n v="17241.36"/>
    <n v="66387.294049999997"/>
    <n v="19038.37"/>
    <n v="47348.924050000001"/>
    <n v="2.7462406706895512"/>
    <s v="SAFA FOOD"/>
    <x v="1347"/>
    <d v="2023-09-20T00:00:00"/>
    <n v="3092.9039999999995"/>
  </r>
  <r>
    <d v="2023-09-30T00:00:00"/>
    <n v="111965"/>
    <n v="200266.5"/>
    <n v="0"/>
    <n v="200266.5"/>
    <n v="1.7886527039699907"/>
    <s v="TAB"/>
    <x v="1348"/>
    <d v="2023-09-20T00:00:00"/>
    <n v="0"/>
  </r>
  <r>
    <d v="2023-09-30T00:00:00"/>
    <n v="17900"/>
    <n v="61636.4"/>
    <n v="0"/>
    <n v="61636.4"/>
    <n v="3.4433743016759779"/>
    <s v="ARCADIA"/>
    <x v="1349"/>
    <d v="2023-09-20T00:00:00"/>
    <n v="0"/>
  </r>
  <r>
    <d v="2023-09-30T00:00:00"/>
    <n v="699984"/>
    <n v="1310026.705848"/>
    <n v="0"/>
    <n v="1310026.705848"/>
    <n v="1.8715094999999999"/>
    <s v="AL RAEDA"/>
    <x v="1350"/>
    <d v="2023-09-20T00:00:00"/>
    <n v="0"/>
  </r>
  <r>
    <d v="2023-10-02T00:00:00"/>
    <n v="21600"/>
    <n v="42120"/>
    <n v="0"/>
    <n v="42120"/>
    <n v="1.95"/>
    <s v="SAHEL"/>
    <x v="1351"/>
    <d v="2023-09-20T00:00:00"/>
    <n v="0"/>
  </r>
  <r>
    <d v="2023-10-02T00:00:00"/>
    <n v="21600"/>
    <n v="42120"/>
    <n v="0"/>
    <n v="42120"/>
    <n v="1.95"/>
    <s v="SAHEL"/>
    <x v="1352"/>
    <d v="2023-09-20T00:00:00"/>
    <n v="0"/>
  </r>
  <r>
    <d v="2023-10-02T00:00:00"/>
    <n v="44016"/>
    <n v="84950.88"/>
    <n v="0"/>
    <n v="84950.88"/>
    <n v="1.9300000000000002"/>
    <s v="SAHEL"/>
    <x v="1353"/>
    <d v="2023-09-20T00:00:00"/>
    <n v="0"/>
  </r>
  <r>
    <d v="2023-10-04T00:00:00"/>
    <n v="52000"/>
    <n v="109838.326"/>
    <n v="15959.696"/>
    <n v="93878.63"/>
    <n v="1.8053582692307693"/>
    <s v="RAMAS"/>
    <x v="1354"/>
    <d v="2023-09-13T00:00:00"/>
    <n v="3948.4187999999999"/>
  </r>
  <r>
    <d v="2023-10-05T00:00:00"/>
    <n v="14970"/>
    <n v="42736.162319999996"/>
    <n v="0"/>
    <n v="42736.162319999996"/>
    <n v="2.8547870621242484"/>
    <s v="ACS Distrubution"/>
    <x v="1355"/>
    <d v="2023-09-29T00:00:00"/>
    <n v="0"/>
  </r>
  <r>
    <d v="2023-10-06T00:00:00"/>
    <n v="23400"/>
    <n v="55470"/>
    <n v="0"/>
    <n v="55470"/>
    <n v="2.3705128205128205"/>
    <s v="GOLDEN PEARL"/>
    <x v="1356"/>
    <d v="2023-09-15T00:00:00"/>
    <n v="0"/>
  </r>
  <r>
    <d v="2023-10-06T00:00:00"/>
    <n v="24600"/>
    <n v="62730"/>
    <n v="0"/>
    <n v="62730"/>
    <n v="2.5499999999999998"/>
    <s v="GOLDEN PEARL"/>
    <x v="1357"/>
    <d v="2023-09-15T00:00:00"/>
    <n v="0"/>
  </r>
  <r>
    <d v="2023-10-09T00:00:00"/>
    <n v="76800"/>
    <n v="152064"/>
    <n v="0"/>
    <n v="152064"/>
    <n v="1.98"/>
    <s v="SCIT"/>
    <x v="1358"/>
    <d v="2023-09-20T00:00:00"/>
    <n v="0"/>
  </r>
  <r>
    <d v="2023-10-09T00:00:00"/>
    <n v="56022"/>
    <n v="105271.2"/>
    <n v="0"/>
    <n v="105271.2"/>
    <n v="1.8791046374638534"/>
    <s v="SAHEL"/>
    <x v="1359"/>
    <d v="2023-09-20T00:00:00"/>
    <n v="0"/>
  </r>
  <r>
    <d v="2023-10-10T00:00:00"/>
    <n v="56022"/>
    <n v="105271.2"/>
    <n v="0"/>
    <n v="105271.2"/>
    <n v="1.8791046374638534"/>
    <s v="SAHEL"/>
    <x v="1360"/>
    <d v="2023-09-20T00:00:00"/>
    <n v="0"/>
  </r>
  <r>
    <d v="2023-10-11T00:00:00"/>
    <n v="27228"/>
    <n v="78654.542824000004"/>
    <n v="13186.34"/>
    <n v="65468.202824000007"/>
    <n v="2.404444058469223"/>
    <s v="SODIFRAM"/>
    <x v="1361"/>
    <d v="2023-10-02T00:00:00"/>
    <n v="3470.0399999999995"/>
  </r>
  <r>
    <d v="2023-10-12T00:00:00"/>
    <n v="50320"/>
    <n v="175682.42156799999"/>
    <n v="62974.080999999998"/>
    <n v="112708.34056799999"/>
    <n v="2.2398318872813987"/>
    <s v="SODIC"/>
    <x v="1362"/>
    <d v="2023-10-09T00:00:00"/>
    <n v="4365.6479999999992"/>
  </r>
  <r>
    <d v="2023-10-12T00:00:00"/>
    <n v="21500"/>
    <n v="77834.392590999996"/>
    <n v="25892.16"/>
    <n v="51942.232590999993"/>
    <n v="2.4159177949302322"/>
    <s v="SODIC"/>
    <x v="1363"/>
    <d v="2023-10-09T00:00:00"/>
    <n v="1960.47"/>
  </r>
  <r>
    <d v="2023-10-16T00:00:00"/>
    <n v="15716"/>
    <n v="59346.516606000005"/>
    <n v="23105.125"/>
    <n v="36241.391606000005"/>
    <n v="2.3060188092389926"/>
    <s v="SODIC"/>
    <x v="1364"/>
    <d v="2023-10-09T00:00:00"/>
    <n v="1955.3183999999999"/>
  </r>
  <r>
    <d v="2023-10-16T00:00:00"/>
    <n v="40300"/>
    <n v="86018.627175000001"/>
    <n v="3536.89"/>
    <n v="82481.737175000002"/>
    <n v="2.0466932301488834"/>
    <s v="ANGSTREM"/>
    <x v="1365"/>
    <d v="2023-10-02T00:00:00"/>
    <n v="0"/>
  </r>
  <r>
    <d v="2023-10-18T00:00:00"/>
    <n v="20992"/>
    <n v="78987.614505000005"/>
    <n v="26626.228999999999"/>
    <n v="52361.385505000006"/>
    <n v="2.4943495381573935"/>
    <s v="SODIC"/>
    <x v="1366"/>
    <d v="2023-10-09T00:00:00"/>
    <n v="2453.3712"/>
  </r>
  <r>
    <d v="2023-10-18T00:00:00"/>
    <n v="4540"/>
    <n v="11613.2973"/>
    <n v="0"/>
    <n v="11613.2973"/>
    <n v="2.557995"/>
    <s v="SAFA FOOD"/>
    <x v="1367"/>
    <d v="2023-09-30T00:00:00"/>
    <n v="0"/>
  </r>
  <r>
    <d v="2023-10-20T00:00:00"/>
    <n v="27576"/>
    <n v="79837.576840000009"/>
    <n v="14508.044"/>
    <n v="65329.532840000007"/>
    <n v="2.3690721221351905"/>
    <s v="SODIFRAM"/>
    <x v="1368"/>
    <d v="2023-10-02T00:00:00"/>
    <n v="3486.24"/>
  </r>
  <r>
    <d v="2023-10-21T00:00:00"/>
    <n v="23264"/>
    <n v="82469.745090000011"/>
    <n v="26704.61"/>
    <n v="55765.135090000011"/>
    <n v="2.3970570447902344"/>
    <s v="SODIC"/>
    <x v="1369"/>
    <d v="2023-10-09T00:00:00"/>
    <n v="1589.1768"/>
  </r>
  <r>
    <d v="2023-10-24T00:00:00"/>
    <n v="28070"/>
    <n v="91078.951337499995"/>
    <n v="7529.7449999999999"/>
    <n v="83549.2063375"/>
    <n v="2.9764590786426792"/>
    <s v="ETS ELEMINE"/>
    <x v="1370"/>
    <d v="2023-10-18T00:00:00"/>
    <n v="1823.0625"/>
  </r>
  <r>
    <d v="2023-10-24T00:00:00"/>
    <n v="40300"/>
    <n v="96175.446250000008"/>
    <n v="3846.846"/>
    <n v="92328.600250000003"/>
    <n v="2.2910322642679901"/>
    <s v="ANGSTREM"/>
    <x v="1371"/>
    <d v="2023-10-17T00:00:00"/>
    <n v="0"/>
  </r>
  <r>
    <d v="2023-10-24T00:00:00"/>
    <n v="22008"/>
    <n v="40714.800000000003"/>
    <n v="0"/>
    <n v="40714.800000000003"/>
    <n v="1.85"/>
    <s v="MARCOM"/>
    <x v="1372"/>
    <d v="2023-10-17T00:00:00"/>
    <n v="0"/>
  </r>
  <r>
    <d v="2023-10-24T00:00:00"/>
    <n v="41000"/>
    <n v="96350"/>
    <n v="0"/>
    <n v="96350"/>
    <n v="2.35"/>
    <s v="ARCADIA"/>
    <x v="1373"/>
    <d v="2023-10-13T00:00:00"/>
    <n v="0"/>
  </r>
  <r>
    <d v="2023-10-24T00:00:00"/>
    <n v="15000"/>
    <n v="35250"/>
    <n v="0"/>
    <n v="35250"/>
    <n v="2.35"/>
    <s v="ARCADIA"/>
    <x v="1374"/>
    <d v="2023-10-16T00:00:00"/>
    <n v="0"/>
  </r>
  <r>
    <d v="2023-10-25T00:00:00"/>
    <n v="18830.96"/>
    <n v="71820.792549000005"/>
    <n v="17526.18"/>
    <n v="54294.612549000005"/>
    <n v="2.8832631235476049"/>
    <s v="SAFA FOOD "/>
    <x v="1375"/>
    <d v="2023-10-18T00:00:00"/>
    <n v="2818.0439999999999"/>
  </r>
  <r>
    <d v="2023-10-25T00:00:00"/>
    <n v="22200"/>
    <n v="39960"/>
    <n v="0"/>
    <n v="39960"/>
    <n v="1.8"/>
    <s v="SCIT"/>
    <x v="1376"/>
    <d v="2023-09-15T00:00:00"/>
    <n v="0"/>
  </r>
  <r>
    <d v="2023-10-26T00:00:00"/>
    <n v="269882"/>
    <n v="611697.98855000001"/>
    <n v="82142.053"/>
    <n v="529555.93555000005"/>
    <n v="1.9621758233227857"/>
    <s v="SAWABA"/>
    <x v="1377"/>
    <d v="2023-10-19T00:00:00"/>
    <n v="19852.610999999997"/>
  </r>
  <r>
    <d v="2023-10-27T00:00:00"/>
    <n v="102400"/>
    <n v="181060"/>
    <n v="0"/>
    <n v="181060"/>
    <n v="1.7681640624999999"/>
    <s v="SAHEL"/>
    <x v="1378"/>
    <d v="2023-10-19T00:00:00"/>
    <n v="0"/>
  </r>
  <r>
    <d v="2023-10-27T00:00:00"/>
    <n v="64800"/>
    <n v="126360"/>
    <n v="0"/>
    <n v="126360"/>
    <n v="1.95"/>
    <s v="SAHEL"/>
    <x v="1379"/>
    <d v="2023-10-23T00:00:00"/>
    <n v="0"/>
  </r>
  <r>
    <d v="2023-10-27T00:00:00"/>
    <n v="19200"/>
    <n v="36864"/>
    <n v="0"/>
    <n v="36864"/>
    <n v="1.92"/>
    <s v="MARCOM"/>
    <x v="1380"/>
    <d v="2023-10-09T00:00:00"/>
    <n v="0"/>
  </r>
  <r>
    <d v="2023-10-27T00:00:00"/>
    <n v="19800"/>
    <n v="89366.555810000005"/>
    <n v="2683.0569999999998"/>
    <n v="86683.498810000005"/>
    <n v="4.3779544853535359"/>
    <s v="DAVIS TRADING"/>
    <x v="1381"/>
    <d v="2023-10-19T00:00:00"/>
    <n v="0"/>
  </r>
  <r>
    <d v="2023-10-28T00:00:00"/>
    <n v="25500"/>
    <n v="47175"/>
    <n v="0"/>
    <n v="47175"/>
    <n v="1.85"/>
    <s v="SCIT"/>
    <x v="1382"/>
    <d v="2023-09-15T00:00:00"/>
    <n v="0"/>
  </r>
  <r>
    <d v="2023-10-28T00:00:00"/>
    <n v="272640"/>
    <n v="523624.88640000008"/>
    <n v="0"/>
    <n v="523624.88640000008"/>
    <n v="1.9205725000000002"/>
    <s v="AL JAWDA RAEDA"/>
    <x v="1383"/>
    <d v="2023-10-16T00:00:00"/>
    <n v="0"/>
  </r>
  <r>
    <d v="2023-10-28T00:00:00"/>
    <n v="110040"/>
    <n v="244602.20531999998"/>
    <n v="37952.449999999997"/>
    <n v="206649.75532"/>
    <n v="1.877951247909851"/>
    <s v="JPB"/>
    <x v="1384"/>
    <d v="2023-10-16T00:00:00"/>
    <n v="9021.5249999999996"/>
  </r>
  <r>
    <d v="2023-10-28T00:00:00"/>
    <n v="27500"/>
    <n v="168086.16"/>
    <n v="6358.4539999999997"/>
    <n v="161727.70600000001"/>
    <n v="5.8810074909090915"/>
    <s v="VALENCIA"/>
    <x v="1385"/>
    <d v="2023-10-19T00:00:00"/>
    <n v="0"/>
  </r>
  <r>
    <d v="2023-10-30T00:00:00"/>
    <n v="19200"/>
    <n v="38016"/>
    <n v="0"/>
    <n v="38016"/>
    <n v="1.98"/>
    <s v="SAHEL"/>
    <x v="1386"/>
    <d v="2023-10-23T00:00:00"/>
    <n v="0"/>
  </r>
  <r>
    <d v="2023-10-31T00:00:00"/>
    <n v="176064"/>
    <n v="301069.44"/>
    <n v="0"/>
    <n v="301069.44"/>
    <n v="1.71"/>
    <s v="TAB"/>
    <x v="1387"/>
    <d v="2023-10-16T00:00:00"/>
    <n v="0"/>
  </r>
  <r>
    <d v="2023-10-31T00:00:00"/>
    <n v="104976"/>
    <n v="195418.88636400001"/>
    <n v="0"/>
    <n v="195418.88636400001"/>
    <n v="1.86155775"/>
    <s v="MAYAN"/>
    <x v="1388"/>
    <d v="2023-10-27T00:00:00"/>
    <n v="0"/>
  </r>
  <r>
    <d v="2023-10-31T00:00:00"/>
    <n v="102400"/>
    <n v="181060"/>
    <n v="0"/>
    <n v="181060"/>
    <n v="1.7681640624999999"/>
    <s v="SAHEL"/>
    <x v="1389"/>
    <d v="2023-10-19T00:00:00"/>
    <n v="0"/>
  </r>
  <r>
    <d v="2023-11-07T00:00:00"/>
    <n v="8626"/>
    <n v="21996.3"/>
    <n v="0"/>
    <n v="21996.3"/>
    <n v="2.5499999999999998"/>
    <s v="ARCADIA"/>
    <x v="1390"/>
    <d v="2023-09-19T00:00:00"/>
    <n v="0"/>
  </r>
  <r>
    <d v="2023-11-07T00:00:00"/>
    <n v="137472"/>
    <n v="263525.76000000001"/>
    <n v="0"/>
    <n v="263525.76000000001"/>
    <n v="1.916941340782123"/>
    <s v="SCIT"/>
    <x v="1391"/>
    <d v="2023-10-27T00:00:00"/>
    <n v="0"/>
  </r>
  <r>
    <d v="2023-11-07T00:00:00"/>
    <n v="27228"/>
    <n v="79258.873693999994"/>
    <n v="13186.34"/>
    <n v="66072.533693999998"/>
    <n v="2.426639257161745"/>
    <s v="SODIFRAM"/>
    <x v="1392"/>
    <d v="2023-10-27T00:00:00"/>
    <n v="3470.0399999999995"/>
  </r>
  <r>
    <d v="2023-11-07T00:00:00"/>
    <n v="285400"/>
    <n v="807622.30462499999"/>
    <n v="0"/>
    <n v="807622.30462499999"/>
    <n v="2.8297908361072177"/>
    <s v="AL MAGEMOUA"/>
    <x v="1393"/>
    <d v="2023-11-01T00:00:00"/>
    <n v="0"/>
  </r>
  <r>
    <d v="2023-11-08T00:00:00"/>
    <n v="64800"/>
    <n v="126360"/>
    <n v="0"/>
    <n v="126360"/>
    <n v="1.95"/>
    <s v="SAHEL"/>
    <x v="1394"/>
    <d v="2023-11-02T00:00:00"/>
    <n v="0"/>
  </r>
  <r>
    <d v="2023-11-08T00:00:00"/>
    <n v="19200"/>
    <n v="34176"/>
    <n v="0"/>
    <n v="34176"/>
    <n v="1.78"/>
    <s v="MARCOM"/>
    <x v="1395"/>
    <d v="2023-10-27T00:00:00"/>
    <n v="0"/>
  </r>
  <r>
    <d v="2023-11-08T00:00:00"/>
    <n v="13888"/>
    <n v="37312.878479999999"/>
    <n v="0"/>
    <n v="37312.878479999999"/>
    <n v="2.6866991993087557"/>
    <s v="SODIC"/>
    <x v="1396"/>
    <d v="2023-10-09T00:00:00"/>
    <n v="0"/>
  </r>
  <r>
    <d v="2023-11-10T00:00:00"/>
    <n v="25140"/>
    <n v="78245.396250000005"/>
    <n v="6694.9769999999999"/>
    <n v="71550.419250000006"/>
    <n v="2.8460787291169454"/>
    <s v="ABOURA FOODS"/>
    <x v="1397"/>
    <d v="2023-11-06T00:00:00"/>
    <n v="856.7684999999999"/>
  </r>
  <r>
    <d v="2023-11-10T00:00:00"/>
    <n v="40300"/>
    <n v="96481.605349999998"/>
    <n v="3483.5839999999998"/>
    <n v="92998.021349999995"/>
    <n v="2.3076432096774191"/>
    <s v="ANGSTREM"/>
    <x v="1398"/>
    <d v="2023-11-06T00:00:00"/>
    <n v="0"/>
  </r>
  <r>
    <d v="2023-11-13T00:00:00"/>
    <n v="19200"/>
    <n v="38016"/>
    <n v="0"/>
    <n v="38016"/>
    <n v="1.98"/>
    <s v="SAHEL"/>
    <x v="1399"/>
    <d v="2023-11-03T00:00:00"/>
    <n v="0"/>
  </r>
  <r>
    <d v="2023-11-13T00:00:00"/>
    <n v="20688"/>
    <n v="80489.540191000007"/>
    <n v="24316.55"/>
    <n v="56172.990191000004"/>
    <n v="2.7152450788379738"/>
    <s v="SODIC"/>
    <x v="1400"/>
    <d v="2023-11-10T00:00:00"/>
    <n v="1201.068"/>
  </r>
  <r>
    <d v="2023-11-13T00:00:00"/>
    <n v="23182"/>
    <n v="82883.201839000001"/>
    <n v="25226.99"/>
    <n v="57656.211838999996"/>
    <n v="2.4871112000258822"/>
    <s v="SODIC"/>
    <x v="1401"/>
    <d v="2023-11-10T00:00:00"/>
    <n v="1086.1559999999999"/>
  </r>
  <r>
    <d v="2023-11-14T00:00:00"/>
    <n v="41500"/>
    <n v="83000"/>
    <n v="0"/>
    <n v="83000"/>
    <n v="2"/>
    <s v="MARCOM"/>
    <x v="1402"/>
    <d v="2023-11-06T00:00:00"/>
    <n v="0"/>
  </r>
  <r>
    <d v="2023-11-14T00:00:00"/>
    <n v="154056"/>
    <n v="285003.59999999998"/>
    <n v="0"/>
    <n v="285003.59999999998"/>
    <n v="1.8499999999999999"/>
    <s v="TAB"/>
    <x v="1403"/>
    <d v="2023-11-07T00:00:00"/>
    <n v="0"/>
  </r>
  <r>
    <d v="2023-11-15T00:00:00"/>
    <n v="106800"/>
    <n v="183384"/>
    <n v="0"/>
    <n v="183384"/>
    <n v="1.7170786516853933"/>
    <s v="SCIT"/>
    <x v="1404"/>
    <d v="2023-11-07T00:00:00"/>
    <n v="0"/>
  </r>
  <r>
    <d v="2023-11-15T00:00:00"/>
    <n v="19200"/>
    <n v="38016"/>
    <n v="0"/>
    <n v="38016"/>
    <n v="1.98"/>
    <s v="SAHEL"/>
    <x v="1405"/>
    <d v="2023-11-10T00:00:00"/>
    <n v="0"/>
  </r>
  <r>
    <d v="2023-11-17T00:00:00"/>
    <n v="72000"/>
    <n v="133200"/>
    <n v="0"/>
    <n v="133200"/>
    <n v="1.85"/>
    <s v="SAHEL"/>
    <x v="1406"/>
    <d v="2023-10-23T00:00:00"/>
    <n v="0"/>
  </r>
  <r>
    <d v="2023-11-17T00:00:00"/>
    <n v="49412"/>
    <n v="66002.844599999997"/>
    <n v="22104.799999999999"/>
    <n v="43898.044599999994"/>
    <n v="0.88840857686391961"/>
    <s v="SODIC"/>
    <x v="1407"/>
    <d v="2023-11-15T00:00:00"/>
    <n v="1525.5"/>
  </r>
  <r>
    <d v="2023-11-20T00:00:00"/>
    <n v="24348"/>
    <n v="88125.547587000008"/>
    <n v="26660.959999999999"/>
    <n v="61464.587587000009"/>
    <n v="2.5244203871775919"/>
    <s v="SODIC"/>
    <x v="1408"/>
    <d v="2023-11-14T00:00:00"/>
    <n v="1153.278"/>
  </r>
  <r>
    <d v="2023-11-20T00:00:00"/>
    <n v="21888"/>
    <n v="80854.531334500003"/>
    <n v="28572.92"/>
    <n v="52281.611334500005"/>
    <n v="2.3885970090688966"/>
    <s v="SODIC"/>
    <x v="1409"/>
    <d v="2023-11-15T00:00:00"/>
    <n v="1855.008"/>
  </r>
  <r>
    <d v="2023-11-22T00:00:00"/>
    <n v="11250"/>
    <n v="59329.574999999997"/>
    <n v="0"/>
    <n v="59329.574999999997"/>
    <n v="5.2737400000000001"/>
    <s v="AL SAH MOUTAQADEM"/>
    <x v="1410"/>
    <d v="2023-11-21T00:00:00"/>
    <n v="0"/>
  </r>
  <r>
    <d v="2023-11-24T00:00:00"/>
    <n v="15000"/>
    <n v="35250"/>
    <n v="0"/>
    <n v="35250"/>
    <n v="2.35"/>
    <s v="ARCADIA"/>
    <x v="1411"/>
    <d v="2023-11-20T00:00:00"/>
    <n v="0"/>
  </r>
  <r>
    <d v="2023-11-24T00:00:00"/>
    <n v="50008"/>
    <n v="87535.84"/>
    <n v="0"/>
    <n v="87535.84"/>
    <n v="1.7504367301231802"/>
    <s v="TAB"/>
    <x v="1412"/>
    <d v="2023-11-06T00:00:00"/>
    <n v="0"/>
  </r>
  <r>
    <d v="2023-11-24T00:00:00"/>
    <n v="104000"/>
    <n v="180960"/>
    <n v="0"/>
    <n v="180960"/>
    <n v="1.74"/>
    <s v="MARCOM"/>
    <x v="1413"/>
    <d v="2023-11-17T00:00:00"/>
    <n v="0"/>
  </r>
  <r>
    <d v="2023-11-24T00:00:00"/>
    <n v="27840"/>
    <n v="51133.2"/>
    <n v="0"/>
    <n v="51133.2"/>
    <n v="1.8366810344827584"/>
    <s v="SCIT"/>
    <x v="1414"/>
    <d v="2023-11-21T00:00:00"/>
    <n v="0"/>
  </r>
  <r>
    <d v="2023-11-27T00:00:00"/>
    <n v="139680"/>
    <n v="246774.39999999999"/>
    <n v="0"/>
    <n v="246774.39999999999"/>
    <n v="1.7667124856815577"/>
    <s v="TAB"/>
    <x v="1415"/>
    <d v="2023-11-17T00:00:00"/>
    <n v="0"/>
  </r>
  <r>
    <d v="2023-11-27T00:00:00"/>
    <n v="47676"/>
    <n v="86695.44"/>
    <n v="0"/>
    <n v="86695.44"/>
    <n v="1.8184293984394664"/>
    <s v="TAB"/>
    <x v="1416"/>
    <d v="2023-11-21T00:00:00"/>
    <n v="0"/>
  </r>
  <r>
    <d v="2023-11-27T00:00:00"/>
    <n v="280080"/>
    <n v="537753.59999999998"/>
    <n v="1488.5"/>
    <n v="536265.1"/>
    <n v="1.9146854470151384"/>
    <s v="MARCOM"/>
    <x v="1417"/>
    <d v="2023-11-17T00:00:00"/>
    <n v="0"/>
  </r>
  <r>
    <d v="2023-11-28T00:00:00"/>
    <n v="22000"/>
    <n v="50371.301749999999"/>
    <n v="4331.8"/>
    <n v="46039.501749999996"/>
    <n v="2.0927046249999997"/>
    <s v="FONTANA"/>
    <x v="1418"/>
    <d v="2023-11-21T00:00:00"/>
    <n v="900.6"/>
  </r>
  <r>
    <d v="2023-11-29T00:00:00"/>
    <n v="231440"/>
    <n v="434343.2"/>
    <n v="0"/>
    <n v="434343.2"/>
    <n v="1.876698928447978"/>
    <s v="SCIT"/>
    <x v="1419"/>
    <d v="2023-11-21T00:00:00"/>
    <n v="0"/>
  </r>
  <r>
    <d v="2023-11-29T00:00:00"/>
    <n v="21600"/>
    <n v="51352.576000000001"/>
    <n v="12160.44"/>
    <n v="39192.135999999999"/>
    <n v="1.8144507407407406"/>
    <s v="RNK Disribution"/>
    <x v="1420"/>
    <d v="2023-11-20T00:00:00"/>
    <n v="3132.36"/>
  </r>
  <r>
    <d v="2023-11-29T00:00:00"/>
    <n v="61500"/>
    <n v="126075"/>
    <n v="0"/>
    <n v="126075"/>
    <n v="2.0499999999999998"/>
    <s v="ARCADIA"/>
    <x v="1421"/>
    <d v="2023-11-21T00:00:00"/>
    <n v="0"/>
  </r>
  <r>
    <d v="2023-11-29T00:00:00"/>
    <n v="11641.28"/>
    <n v="44058.288879999993"/>
    <n v="14849.84"/>
    <n v="29208.448879999993"/>
    <n v="2.5090410058000487"/>
    <s v="SAFA FOOD"/>
    <x v="1422"/>
    <d v="2023-11-20T00:00:00"/>
    <n v="2363.5079999999998"/>
  </r>
  <r>
    <d v="2023-11-29T00:00:00"/>
    <n v="25080"/>
    <n v="89108.421501000004"/>
    <n v="29418.799999999999"/>
    <n v="59689.621501000001"/>
    <n v="2.3799689593700162"/>
    <s v="SODIC"/>
    <x v="1423"/>
    <d v="2023-11-27T00:00:00"/>
    <n v="1457.1719999999998"/>
  </r>
  <r>
    <d v="2023-11-30T00:00:00"/>
    <n v="83000"/>
    <n v="170150"/>
    <n v="0"/>
    <n v="170150"/>
    <n v="2.0499999999999998"/>
    <s v="ARCADIA"/>
    <x v="1424"/>
    <d v="2023-11-21T00:00:00"/>
    <n v="0"/>
  </r>
  <r>
    <d v="2023-11-30T00:00:00"/>
    <n v="38400"/>
    <n v="76032"/>
    <n v="0"/>
    <n v="76032"/>
    <n v="1.98"/>
    <s v="SCIT"/>
    <x v="1425"/>
    <d v="2023-11-07T00:00:00"/>
    <n v="0"/>
  </r>
  <r>
    <d v="2023-12-04T00:00:00"/>
    <n v="57600"/>
    <n v="114048"/>
    <n v="0"/>
    <n v="114048"/>
    <n v="1.98"/>
    <s v="SCIT"/>
    <x v="1425"/>
    <d v="2023-11-07T00:00:00"/>
    <n v="0"/>
  </r>
  <r>
    <d v="2023-12-08T00:00:00"/>
    <n v="457060"/>
    <n v="820729.8"/>
    <n v="0"/>
    <n v="820729.8"/>
    <n v="1.7956719030324246"/>
    <s v="TAB"/>
    <x v="1426"/>
    <d v="2023-11-28T00:00:00"/>
    <n v="0"/>
  </r>
  <r>
    <d v="2023-12-08T00:00:00"/>
    <n v="72000"/>
    <n v="131040"/>
    <n v="0"/>
    <n v="131040"/>
    <n v="1.82"/>
    <s v="BTC Trading "/>
    <x v="1427"/>
    <d v="2023-10-31T00:00:00"/>
    <n v="0"/>
  </r>
  <r>
    <d v="2023-12-12T00:00:00"/>
    <n v="193920"/>
    <n v="335941.76559999998"/>
    <n v="45614.487999999998"/>
    <n v="290327.27759999997"/>
    <n v="1.4971497400990097"/>
    <s v="SEYAL TCHAD"/>
    <x v="1428"/>
    <d v="2023-12-07T00:00:00"/>
    <n v="9771.0524999999998"/>
  </r>
  <r>
    <d v="2023-12-12T00:00:00"/>
    <n v="25920"/>
    <n v="76845.018800000005"/>
    <n v="6838.4"/>
    <n v="70006.618800000011"/>
    <n v="2.7008726388888893"/>
    <s v="ABOURA FOODS"/>
    <x v="1429"/>
    <d v="2023-12-07T00:00:00"/>
    <n v="921.88800000000003"/>
  </r>
  <r>
    <d v="2023-12-12T00:00:00"/>
    <n v="19552"/>
    <n v="61225.036355999997"/>
    <n v="5906.85"/>
    <n v="55318.186355999998"/>
    <n v="2.829285308715221"/>
    <s v="DEBENHAM"/>
    <x v="1430"/>
    <d v="2023-12-04T00:00:00"/>
    <n v="1300.4550000000002"/>
  </r>
  <r>
    <d v="2023-12-12T00:00:00"/>
    <n v="23971.200000000001"/>
    <n v="79333.071765999994"/>
    <n v="16084.75"/>
    <n v="63248.321765999994"/>
    <n v="2.6385129557969562"/>
    <s v="GREENWORLD"/>
    <x v="1431"/>
    <d v="2023-12-04T00:00:00"/>
    <n v="2585.52"/>
  </r>
  <r>
    <d v="2023-12-13T00:00:00"/>
    <n v="21150"/>
    <n v="95943.209151999996"/>
    <n v="2296.69"/>
    <n v="93646.519151999993"/>
    <n v="4.4277314019858149"/>
    <s v="DAVIS TRADING"/>
    <x v="1432"/>
    <d v="2023-11-27T00:00:00"/>
    <n v="0"/>
  </r>
  <r>
    <d v="2023-12-13T00:00:00"/>
    <n v="408000"/>
    <n v="899824.21199999994"/>
    <n v="0"/>
    <n v="899824.21199999994"/>
    <n v="2.2054514999999997"/>
    <s v="AL MAGEMOUA"/>
    <x v="1433"/>
    <d v="2023-12-12T00:00:00"/>
    <n v="0"/>
  </r>
  <r>
    <d v="2023-12-14T00:00:00"/>
    <n v="23496"/>
    <n v="83962.17895999999"/>
    <n v="24875.84"/>
    <n v="59086.338959999994"/>
    <n v="2.5147403370786514"/>
    <s v="SODIC"/>
    <x v="1434"/>
    <d v="2023-12-13T00:00:00"/>
    <n v="2200.0769999999998"/>
  </r>
  <r>
    <d v="2023-12-15T00:00:00"/>
    <n v="20750"/>
    <n v="39425"/>
    <n v="0"/>
    <n v="39425"/>
    <n v="1.9"/>
    <s v="SAHEL"/>
    <x v="1435"/>
    <d v="2023-11-21T00:00:00"/>
    <n v="0"/>
  </r>
  <r>
    <d v="2023-12-15T00:00:00"/>
    <n v="115200"/>
    <n v="271815.63299999997"/>
    <n v="32155.1"/>
    <n v="239660.53299999997"/>
    <n v="2.0803865711805551"/>
    <s v="LAMPFALL"/>
    <x v="1436"/>
    <d v="2023-10-12T00:00:00"/>
    <n v="6974.0999999999995"/>
  </r>
  <r>
    <d v="2023-12-15T00:00:00"/>
    <n v="19300"/>
    <n v="47116.9"/>
    <n v="7274.97"/>
    <n v="39841.93"/>
    <n v="2.0643487046632125"/>
    <s v="HK Entreprise"/>
    <x v="1437"/>
    <d v="2023-12-09T00:00:00"/>
    <n v="1728.54"/>
  </r>
  <r>
    <d v="2023-12-15T00:00:00"/>
    <n v="48300"/>
    <n v="96969"/>
    <n v="0"/>
    <n v="96969"/>
    <n v="2.0076397515527948"/>
    <s v="GOLDEN PEARL"/>
    <x v="1438"/>
    <d v="2023-12-09T00:00:00"/>
    <n v="0"/>
  </r>
  <r>
    <d v="2023-12-15T00:00:00"/>
    <n v="27192"/>
    <n v="75045.600000000006"/>
    <n v="0"/>
    <n v="75045.600000000006"/>
    <n v="2.7598411297440424"/>
    <s v="GOLDEN PEARL"/>
    <x v="1439"/>
    <d v="2023-12-07T00:00:00"/>
    <n v="0"/>
  </r>
  <r>
    <d v="2023-12-18T00:00:00"/>
    <n v="17510"/>
    <n v="60880.552430000003"/>
    <n v="6923.53"/>
    <n v="53957.022430000005"/>
    <n v="3.0814975688178188"/>
    <s v="ABOURA FOODS"/>
    <x v="1440"/>
    <d v="2023-12-17T00:00:00"/>
    <n v="911.80799999999999"/>
  </r>
  <r>
    <d v="2023-12-19T00:00:00"/>
    <n v="23960"/>
    <n v="93065.301459000009"/>
    <n v="30449.554"/>
    <n v="62615.747459000006"/>
    <n v="2.6133450525459101"/>
    <s v="SODIC"/>
    <x v="1441"/>
    <d v="2023-12-15T00:00:00"/>
    <n v="2199.4380000000001"/>
  </r>
  <r>
    <d v="2023-12-19T00:00:00"/>
    <n v="123600"/>
    <n v="356756.29120000004"/>
    <n v="32911.4"/>
    <n v="323844.89120000001"/>
    <n v="2.6201042977346281"/>
    <s v="MAMADOU TD"/>
    <x v="1442"/>
    <d v="2023-12-12T00:00:00"/>
    <n v="5888.76"/>
  </r>
  <r>
    <d v="2023-12-19T00:00:00"/>
    <n v="157500"/>
    <n v="257175"/>
    <n v="0"/>
    <n v="257175"/>
    <n v="1.6328571428571428"/>
    <s v="TAB"/>
    <x v="1443"/>
    <d v="2023-12-12T00:00:00"/>
    <n v="0"/>
  </r>
  <r>
    <d v="2023-12-20T00:00:00"/>
    <n v="84000"/>
    <n v="135240"/>
    <n v="0"/>
    <n v="135240"/>
    <n v="1.61"/>
    <s v="TAB"/>
    <x v="1444"/>
    <d v="2023-12-13T00:00:00"/>
    <n v="0"/>
  </r>
  <r>
    <d v="2023-12-20T00:00:00"/>
    <n v="25392"/>
    <n v="76297.500500000009"/>
    <n v="11825.3"/>
    <n v="64472.200500000006"/>
    <n v="2.5390753189981097"/>
    <s v="SODISCOUNT"/>
    <x v="1445"/>
    <d v="2023-12-12T00:00:00"/>
    <n v="3033.6"/>
  </r>
  <r>
    <d v="2023-12-20T00:00:00"/>
    <n v="19200"/>
    <n v="38016"/>
    <n v="0"/>
    <n v="38016"/>
    <n v="1.98"/>
    <s v="SAHEL"/>
    <x v="1446"/>
    <d v="2023-12-12T00:00:00"/>
    <n v="0"/>
  </r>
  <r>
    <d v="2023-12-21T00:00:00"/>
    <n v="44016"/>
    <n v="87151.679999999993"/>
    <n v="0"/>
    <n v="87151.679999999993"/>
    <n v="1.9799999999999998"/>
    <s v="SAHEL"/>
    <x v="1447"/>
    <d v="2023-12-18T00:00:00"/>
    <n v="0"/>
  </r>
  <r>
    <d v="2023-12-21T00:00:00"/>
    <n v="27588"/>
    <n v="81540.816097000003"/>
    <n v="11982.1"/>
    <n v="69558.716096999997"/>
    <n v="2.521339571444106"/>
    <s v="SODIFRAM"/>
    <x v="1448"/>
    <d v="2023-12-12T00:00:00"/>
    <n v="3033.6"/>
  </r>
  <r>
    <d v="2023-12-21T00:00:00"/>
    <n v="23976"/>
    <n v="72932.453466000006"/>
    <n v="11833.3"/>
    <n v="61099.153466000003"/>
    <n v="2.5483464074908242"/>
    <s v="SODIFRAM"/>
    <x v="1449"/>
    <d v="2023-12-12T00:00:00"/>
    <n v="3033.6"/>
  </r>
  <r>
    <d v="2023-12-22T00:00:00"/>
    <n v="104000"/>
    <n v="168480"/>
    <n v="0"/>
    <n v="168480"/>
    <n v="1.62"/>
    <s v="MARCOM"/>
    <x v="1450"/>
    <d v="2023-12-09T00:00:00"/>
    <n v="0"/>
  </r>
  <r>
    <d v="2023-12-22T00:00:00"/>
    <n v="40000"/>
    <n v="78000"/>
    <n v="0"/>
    <n v="78000"/>
    <n v="1.95"/>
    <s v="MIDCOM"/>
    <x v="1451"/>
    <d v="2023-12-09T00:00:00"/>
    <n v="0"/>
  </r>
  <r>
    <d v="2023-12-22T00:00:00"/>
    <n v="38400"/>
    <n v="76032"/>
    <n v="0"/>
    <n v="76032"/>
    <n v="1.98"/>
    <s v="SCIT"/>
    <x v="1452"/>
    <d v="2023-12-12T00:00:00"/>
    <n v="0"/>
  </r>
  <r>
    <d v="2023-12-22T00:00:00"/>
    <n v="38400"/>
    <n v="79296"/>
    <n v="0"/>
    <n v="79296"/>
    <n v="2.0649999999999999"/>
    <s v="SCIT"/>
    <x v="1453"/>
    <d v="2023-12-12T00:00:00"/>
    <n v="0"/>
  </r>
  <r>
    <d v="2023-12-22T00:00:00"/>
    <n v="45200"/>
    <n v="98494.996800000008"/>
    <n v="13681.66"/>
    <n v="84813.336800000005"/>
    <n v="1.8764012566371682"/>
    <s v="SALIOU BAH"/>
    <x v="1454"/>
    <d v="2023-12-09T00:00:00"/>
    <n v="3103.2"/>
  </r>
  <r>
    <d v="2023-12-25T00:00:00"/>
    <n v="23280"/>
    <n v="41731.199999999997"/>
    <n v="0"/>
    <n v="41731.199999999997"/>
    <n v="1.7925773195876287"/>
    <s v="SCIT"/>
    <x v="1455"/>
    <d v="2023-12-12T00:00:00"/>
    <n v="0"/>
  </r>
  <r>
    <d v="2023-12-25T00:00:00"/>
    <n v="22260"/>
    <n v="38021.760000000002"/>
    <n v="0"/>
    <n v="38021.760000000002"/>
    <n v="1.7080754716981132"/>
    <s v="SCIT"/>
    <x v="1456"/>
    <d v="2023-12-12T00:00:00"/>
    <n v="0"/>
  </r>
  <r>
    <d v="2023-12-25T00:00:00"/>
    <n v="83000"/>
    <n v="168490"/>
    <n v="0"/>
    <n v="168490"/>
    <n v="2.0299999999999998"/>
    <s v="MARCOM"/>
    <x v="1457"/>
    <d v="2023-12-18T00:00:00"/>
    <n v="0"/>
  </r>
  <r>
    <d v="2023-12-26T00:00:00"/>
    <n v="24496"/>
    <n v="93999.743348999997"/>
    <n v="29537.205000000002"/>
    <n v="64462.538348999995"/>
    <n v="2.6315536556580663"/>
    <s v="SODIC"/>
    <x v="1458"/>
    <d v="2023-12-20T00:00:00"/>
    <n v="1981.6487999999999"/>
  </r>
  <r>
    <d v="2023-12-26T00:00:00"/>
    <n v="101040"/>
    <n v="173217.6"/>
    <n v="0"/>
    <n v="173217.6"/>
    <n v="1.7143467933491687"/>
    <s v="BTC Trading "/>
    <x v="1459"/>
    <d v="2023-12-12T00:00:00"/>
    <n v="0"/>
  </r>
  <r>
    <d v="2023-12-26T00:00:00"/>
    <n v="424560"/>
    <n v="1063472.4273600001"/>
    <n v="0"/>
    <n v="1063472.4273600001"/>
    <n v="2.5048813533069532"/>
    <s v="AL MAGEMOUA"/>
    <x v="1460"/>
    <d v="2023-12-20T00:00:00"/>
    <n v="0"/>
  </r>
  <r>
    <d v="2023-12-27T00:00:00"/>
    <n v="45012"/>
    <n v="170164.71804000001"/>
    <n v="58885.271999999997"/>
    <n v="111279.44604000001"/>
    <n v="2.4722173207144764"/>
    <s v="SODIC"/>
    <x v="1461"/>
    <d v="2023-12-20T00:00:00"/>
    <n v="4424.4359999999997"/>
  </r>
  <r>
    <d v="2023-12-27T00:00:00"/>
    <n v="16824"/>
    <n v="61466.949907000009"/>
    <n v="9692.9279999999999"/>
    <n v="51774.021907000009"/>
    <n v="3.0773907457798391"/>
    <s v="SODIC"/>
    <x v="1462"/>
    <d v="2023-12-20T00:00:00"/>
    <n v="1472.6930399999999"/>
  </r>
  <r>
    <d v="2023-12-28T00:00:00"/>
    <n v="21600"/>
    <n v="39744"/>
    <n v="0"/>
    <n v="39744"/>
    <n v="1.84"/>
    <s v="SAHEL"/>
    <x v="1463"/>
    <d v="2023-12-22T00:00:00"/>
    <n v="0"/>
  </r>
  <r>
    <d v="2023-12-28T00:00:00"/>
    <n v="19200"/>
    <n v="38976"/>
    <n v="0"/>
    <n v="38976"/>
    <n v="2.0299999999999998"/>
    <s v="SAHEL"/>
    <x v="1464"/>
    <d v="2023-12-22T00:00:00"/>
    <n v="0"/>
  </r>
  <r>
    <d v="2023-12-28T00:00:00"/>
    <n v="43200"/>
    <n v="87696"/>
    <n v="0"/>
    <n v="87696"/>
    <n v="2.0299999999999998"/>
    <s v="SAHEL"/>
    <x v="1465"/>
    <d v="2023-12-12T00:00:00"/>
    <n v="0"/>
  </r>
  <r>
    <d v="2023-12-28T00:00:00"/>
    <n v="102500"/>
    <n v="246000"/>
    <n v="0"/>
    <n v="246000"/>
    <n v="2.4"/>
    <s v="ARCADIA"/>
    <x v="1466"/>
    <d v="2023-12-21T00:00:00"/>
    <n v="0"/>
  </r>
  <r>
    <d v="2023-12-28T00:00:00"/>
    <n v="24000"/>
    <n v="60240"/>
    <n v="0"/>
    <n v="60240"/>
    <n v="2.5099999999999998"/>
    <s v="GOLDEN PEARL"/>
    <x v="1467"/>
    <d v="2023-12-07T00:00:00"/>
    <n v="0"/>
  </r>
  <r>
    <d v="2023-12-29T00:00:00"/>
    <n v="66000"/>
    <n v="122760"/>
    <n v="0"/>
    <n v="122760"/>
    <n v="1.86"/>
    <s v="BTC Trading "/>
    <x v="1468"/>
    <d v="2023-12-21T00:00:00"/>
    <n v="0"/>
  </r>
  <r>
    <d v="2024-01-09T00:00:00"/>
    <n v="110040"/>
    <n v="246593.91983999999"/>
    <n v="38578.834999999999"/>
    <n v="208015.08484"/>
    <n v="1.8903588226099599"/>
    <s v="JPB"/>
    <x v="1469"/>
    <d v="2024-01-06T00:00:00"/>
    <n v="7579.1790000000001"/>
  </r>
  <r>
    <d v="2024-01-12T00:00:00"/>
    <n v="157500"/>
    <n v="257175"/>
    <n v="0"/>
    <n v="257175"/>
    <n v="1.6328571428571428"/>
    <s v="TAB"/>
    <x v="1470"/>
    <d v="2024-01-05T00:00:00"/>
    <n v="0"/>
  </r>
  <r>
    <d v="2024-01-12T00:00:00"/>
    <n v="35000"/>
    <n v="154435.29999999999"/>
    <n v="0"/>
    <n v="154435.29999999999"/>
    <n v="4.4124371428571427"/>
    <s v="AL MAGEMOUA"/>
    <x v="1471"/>
    <d v="2024-01-08T00:00:00"/>
    <n v="0"/>
  </r>
  <r>
    <d v="2024-01-15T00:00:00"/>
    <n v="55836"/>
    <n v="105510.6"/>
    <n v="0"/>
    <n v="105510.6"/>
    <n v="1.889651837524178"/>
    <s v="SAHEL"/>
    <x v="1472"/>
    <d v="2024-01-06T00:00:00"/>
    <n v="0"/>
  </r>
  <r>
    <d v="2024-01-15T00:00:00"/>
    <n v="55848"/>
    <n v="105534.96"/>
    <n v="0"/>
    <n v="105534.96"/>
    <n v="1.88968199398367"/>
    <s v="SAHEL"/>
    <x v="1473"/>
    <d v="2024-01-06T00:00:00"/>
    <n v="0"/>
  </r>
  <r>
    <d v="2024-01-16T00:00:00"/>
    <n v="22864"/>
    <n v="82512.932138000004"/>
    <n v="11273.321"/>
    <n v="71239.611138000007"/>
    <n v="3.1157982478131565"/>
    <s v="SODIC"/>
    <x v="1474"/>
    <d v="2024-01-10T00:00:00"/>
    <n v="1360.6560000000002"/>
  </r>
  <r>
    <d v="2024-01-17T00:00:00"/>
    <n v="40800"/>
    <n v="91470.715500000006"/>
    <n v="15057.66"/>
    <n v="76413.055500000002"/>
    <n v="1.8728690073529413"/>
    <s v="SALIOU BAH"/>
    <x v="1475"/>
    <d v="2024-01-08T00:00:00"/>
    <n v="2965.22"/>
  </r>
  <r>
    <d v="2024-01-17T00:00:00"/>
    <n v="83840"/>
    <n v="145927.20000000001"/>
    <n v="0"/>
    <n v="145927.20000000001"/>
    <n v="1.7405438931297712"/>
    <s v="TAB"/>
    <x v="1476"/>
    <d v="2024-01-09T00:00:00"/>
    <n v="0"/>
  </r>
  <r>
    <d v="2024-01-18T00:00:00"/>
    <n v="19200"/>
    <n v="38976"/>
    <n v="0"/>
    <n v="38976"/>
    <n v="2.0299999999999998"/>
    <s v="SAHEL"/>
    <x v="1477"/>
    <d v="2024-01-11T00:00:00"/>
    <n v="0"/>
  </r>
  <r>
    <d v="2024-01-18T00:00:00"/>
    <n v="25200"/>
    <n v="46368"/>
    <n v="0"/>
    <n v="46368"/>
    <n v="1.84"/>
    <s v="SAHEL"/>
    <x v="1478"/>
    <d v="2024-01-11T00:00:00"/>
    <n v="0"/>
  </r>
  <r>
    <d v="2024-01-18T00:00:00"/>
    <n v="20750"/>
    <n v="39425"/>
    <n v="0"/>
    <n v="39425"/>
    <n v="1.9"/>
    <s v="SAHEL"/>
    <x v="1479"/>
    <d v="2024-01-09T00:00:00"/>
    <n v="0"/>
  </r>
  <r>
    <d v="2024-01-18T00:00:00"/>
    <n v="23976"/>
    <n v="75384.702533999996"/>
    <n v="14025.295"/>
    <n v="61359.407533999998"/>
    <n v="2.5592011817650984"/>
    <s v="SODIFRAM"/>
    <x v="1480"/>
    <d v="2024-01-09T00:00:00"/>
    <n v="3078.0749999999998"/>
  </r>
  <r>
    <d v="2024-01-19T00:00:00"/>
    <n v="22008"/>
    <n v="43575.839999999997"/>
    <n v="0"/>
    <n v="43575.839999999997"/>
    <n v="1.9799999999999998"/>
    <s v="TAB"/>
    <x v="1481"/>
    <d v="2024-01-16T00:00:00"/>
    <n v="0"/>
  </r>
  <r>
    <d v="2024-01-23T00:00:00"/>
    <n v="27900"/>
    <n v="85056.646124999999"/>
    <n v="14173.42"/>
    <n v="70883.226125000001"/>
    <n v="2.5406174238351253"/>
    <s v="SODIFRAM"/>
    <x v="1482"/>
    <d v="2024-01-16T00:00:00"/>
    <n v="3073.2"/>
  </r>
  <r>
    <d v="2024-01-23T00:00:00"/>
    <n v="8000"/>
    <n v="19600"/>
    <n v="0"/>
    <n v="19600"/>
    <n v="2.4500000000000002"/>
    <s v="ARCADIA"/>
    <x v="1483"/>
    <d v="2024-01-13T00:00:00"/>
    <n v="0"/>
  </r>
  <r>
    <d v="2024-01-23T00:00:00"/>
    <n v="21004.799999999999"/>
    <n v="57638.806776000005"/>
    <n v="8764.06"/>
    <n v="48874.746776000007"/>
    <n v="2.3268370456276664"/>
    <s v="MASBAH DAHDAH"/>
    <x v="1484"/>
    <d v="2024-01-09T00:00:00"/>
    <n v="1773"/>
  </r>
  <r>
    <d v="2024-01-23T00:00:00"/>
    <n v="6000"/>
    <n v="22494.68"/>
    <n v="7479.3"/>
    <n v="15015.380000000001"/>
    <n v="2.5025633333333337"/>
    <s v="STE WAEL"/>
    <x v="1485"/>
    <d v="2024-01-11T00:00:00"/>
    <n v="353.02499999999998"/>
  </r>
  <r>
    <d v="2024-01-24T00:00:00"/>
    <n v="23228"/>
    <n v="89781.270592000001"/>
    <n v="29965.946"/>
    <n v="59815.324592000004"/>
    <n v="2.575138823488893"/>
    <s v="SODIC"/>
    <x v="1486"/>
    <d v="2024-01-23T00:00:00"/>
    <n v="1858.9694999999997"/>
  </r>
  <r>
    <d v="2024-01-25T00:00:00"/>
    <n v="165000"/>
    <n v="296070.72000000003"/>
    <n v="29893"/>
    <n v="266177.72000000003"/>
    <n v="1.6131983030303032"/>
    <s v="KASSO"/>
    <x v="1487"/>
    <d v="2024-01-13T00:00:00"/>
    <n v="5000.55"/>
  </r>
  <r>
    <d v="2024-01-26T00:00:00"/>
    <n v="157500"/>
    <n v="258300"/>
    <n v="0"/>
    <n v="258300"/>
    <n v="1.64"/>
    <s v="TAB"/>
    <x v="1488"/>
    <d v="2024-01-22T00:00:00"/>
    <n v="0"/>
  </r>
  <r>
    <d v="2024-01-26T00:00:00"/>
    <n v="21720"/>
    <n v="96192.656839999996"/>
    <n v="2281.92"/>
    <n v="93910.736839999998"/>
    <n v="4.3236987495395951"/>
    <s v="DAVIS TRADING"/>
    <x v="1489"/>
    <d v="2024-01-10T00:00:00"/>
    <n v="0"/>
  </r>
  <r>
    <d v="2024-01-26T00:00:00"/>
    <n v="23478"/>
    <n v="74142.583200000008"/>
    <n v="16267.775"/>
    <n v="57874.808200000007"/>
    <n v="2.4650655166538891"/>
    <s v="GREENWORLD"/>
    <x v="1490"/>
    <d v="2024-01-23T00:00:00"/>
    <n v="2178.54"/>
  </r>
  <r>
    <d v="2024-01-26T00:00:00"/>
    <n v="19932"/>
    <n v="72019.724174999996"/>
    <n v="14979.29"/>
    <n v="57040.434174999995"/>
    <n v="2.8617516644089904"/>
    <s v="SAFA FOOD"/>
    <x v="1491"/>
    <d v="2024-01-23T00:00:00"/>
    <n v="1797.78"/>
  </r>
  <r>
    <d v="2024-01-26T00:00:00"/>
    <n v="27168"/>
    <n v="83122.951679999998"/>
    <n v="14209.19"/>
    <n v="68913.761679999996"/>
    <n v="2.5365783892815075"/>
    <s v="SODIFRAM"/>
    <x v="1492"/>
    <d v="2024-01-16T00:00:00"/>
    <n v="3075.15"/>
  </r>
  <r>
    <d v="2024-01-26T00:00:00"/>
    <n v="130000"/>
    <n v="224694.91449999998"/>
    <n v="37300.285000000003"/>
    <n v="187394.62949999998"/>
    <n v="1.4414971499999998"/>
    <s v="MAMADOU TD"/>
    <x v="1493"/>
    <d v="2024-01-23T00:00:00"/>
    <n v="7397.4662500000004"/>
  </r>
  <r>
    <d v="2024-01-27T00:00:00"/>
    <n v="4720"/>
    <n v="22519.554700000001"/>
    <n v="5780.2449999999999"/>
    <n v="16739.309700000002"/>
    <n v="3.5464639194915257"/>
    <s v="SAFA FOOD"/>
    <x v="1494"/>
    <d v="2024-01-08T00:00:00"/>
    <n v="733.30499999999995"/>
  </r>
  <r>
    <d v="2024-01-27T00:00:00"/>
    <n v="76800"/>
    <n v="155136"/>
    <n v="0"/>
    <n v="155136"/>
    <n v="2.02"/>
    <s v="SCIT"/>
    <x v="1495"/>
    <d v="2024-01-23T00:00:00"/>
    <n v="0"/>
  </r>
  <r>
    <d v="2024-01-29T00:00:00"/>
    <n v="80000"/>
    <n v="359417.69500000001"/>
    <n v="0"/>
    <n v="359417.69500000001"/>
    <n v="4.4927211874999999"/>
    <s v="AL MAGEMOUA"/>
    <x v="1496"/>
    <d v="2024-01-23T00:00:00"/>
    <n v="0"/>
  </r>
  <r>
    <d v="2024-01-29T00:00:00"/>
    <n v="15660"/>
    <n v="51255.61641200001"/>
    <n v="10426.75"/>
    <n v="40828.86641200001"/>
    <n v="2.6072073060025551"/>
    <s v="ABOURA"/>
    <x v="1497"/>
    <d v="2024-01-23T00:00:00"/>
    <n v="545.61749999999995"/>
  </r>
  <r>
    <d v="2024-01-30T00:00:00"/>
    <n v="165000"/>
    <n v="295174.35749999998"/>
    <n v="30925.1"/>
    <n v="264249.25750000001"/>
    <n v="1.6015106515151516"/>
    <s v="KASSO"/>
    <x v="1498"/>
    <d v="2024-01-13T00:00:00"/>
    <n v="5060.97"/>
  </r>
  <r>
    <d v="2024-01-31T00:00:00"/>
    <n v="56160"/>
    <n v="110128.8"/>
    <n v="0"/>
    <n v="110128.8"/>
    <n v="1.960982905982906"/>
    <s v="SAHEL"/>
    <x v="1499"/>
    <d v="2024-01-11T00:00:00"/>
    <n v="0"/>
  </r>
  <r>
    <d v="2024-01-31T00:00:00"/>
    <n v="28000"/>
    <n v="50301.398000000001"/>
    <n v="6133.95"/>
    <n v="44167.448000000004"/>
    <n v="1.5774088571428573"/>
    <s v="FONTANA"/>
    <x v="1500"/>
    <d v="2024-01-13T00:00:00"/>
    <n v="1071.875"/>
  </r>
  <r>
    <d v="2024-01-31T00:00:00"/>
    <n v="269882"/>
    <n v="597837.78973099997"/>
    <n v="84659.66"/>
    <n v="513178.12973099994"/>
    <n v="1.9014907616328616"/>
    <s v="SAWABA"/>
    <x v="1501"/>
    <d v="2024-01-23T00:00:00"/>
    <n v="17542.79"/>
  </r>
  <r>
    <d v="2024-01-31T00:00:00"/>
    <n v="322000"/>
    <n v="565380"/>
    <n v="0"/>
    <n v="565380"/>
    <n v="1.7558385093167701"/>
    <s v="MARCOM"/>
    <x v="1502"/>
    <d v="2024-01-23T00:00:00"/>
    <n v="0"/>
  </r>
  <r>
    <d v="2024-01-31T00:00:00"/>
    <n v="22216"/>
    <n v="84437.636052000002"/>
    <n v="29467.816999999999"/>
    <n v="54969.819052000006"/>
    <n v="2.4743346710478935"/>
    <s v="SODIC"/>
    <x v="1503"/>
    <d v="2024-01-29T00:00:00"/>
    <n v="1855.7204999999999"/>
  </r>
  <r>
    <d v="2024-01-31T00:00:00"/>
    <n v="74200"/>
    <n v="117897.408"/>
    <n v="27393.665000000001"/>
    <n v="90503.742999999988"/>
    <n v="1.2197269946091642"/>
    <s v="MAMADOU TD"/>
    <x v="1504"/>
    <d v="2024-01-29T00:00:00"/>
    <n v="5406.6112499999999"/>
  </r>
  <r>
    <d v="2024-01-31T00:00:00"/>
    <n v="23750"/>
    <n v="57475"/>
    <n v="0"/>
    <n v="57475"/>
    <n v="2.42"/>
    <s v="ARCADIA"/>
    <x v="1505"/>
    <d v="2024-01-13T00:00:00"/>
    <n v="0"/>
  </r>
  <r>
    <d v="2024-02-01T00:00:00"/>
    <n v="46000"/>
    <n v="81340"/>
    <n v="0"/>
    <n v="81340"/>
    <n v="1.7682608695652173"/>
    <s v="MARCOM"/>
    <x v="1502"/>
    <d v="2024-01-23T00:00:00"/>
    <n v="0"/>
  </r>
  <r>
    <d v="2024-02-05T00:00:00"/>
    <n v="24012"/>
    <n v="92184.060192000004"/>
    <n v="30486.423999999999"/>
    <n v="61697.636192000005"/>
    <n v="2.5694501162751959"/>
    <s v="SODIC"/>
    <x v="1506"/>
    <d v="2024-02-01T00:00:00"/>
    <n v="1853.5545"/>
  </r>
  <r>
    <d v="2024-02-08T00:00:00"/>
    <n v="63204"/>
    <n v="101688.473348"/>
    <n v="24769.769"/>
    <n v="76918.704347999999"/>
    <n v="1.2169910820201253"/>
    <s v="TEDOUNGAL"/>
    <x v="1507"/>
    <d v="2024-01-29T00:00:00"/>
    <n v="4951.9522500000003"/>
  </r>
  <r>
    <d v="2024-02-09T00:00:00"/>
    <n v="115200"/>
    <n v="232704"/>
    <n v="0"/>
    <n v="232704"/>
    <n v="2.02"/>
    <s v="SCIT"/>
    <x v="1508"/>
    <d v="2024-02-01T00:00:00"/>
    <n v="0"/>
  </r>
  <r>
    <d v="2024-02-13T00:00:00"/>
    <n v="234992"/>
    <n v="441901.76"/>
    <n v="0"/>
    <n v="441901.76"/>
    <n v="1.8804970381970449"/>
    <s v="SCIT"/>
    <x v="1509"/>
    <d v="2024-02-01T00:00:00"/>
    <n v="0"/>
  </r>
  <r>
    <d v="2024-02-14T00:00:00"/>
    <n v="22008"/>
    <n v="44295.839999999997"/>
    <n v="0"/>
    <n v="44295.839999999997"/>
    <n v="2.0127153762268266"/>
    <s v="SAHEL"/>
    <x v="1510"/>
    <d v="2024-02-07T00:00:00"/>
    <n v="0"/>
  </r>
  <r>
    <d v="2024-02-16T00:00:00"/>
    <n v="157500"/>
    <n v="254925"/>
    <n v="0"/>
    <n v="254925"/>
    <n v="1.6185714285714285"/>
    <s v="TAB"/>
    <x v="1511"/>
    <d v="2024-02-08T00:00:00"/>
    <n v="0"/>
  </r>
  <r>
    <d v="2024-02-19T00:00:00"/>
    <n v="43608"/>
    <n v="85599.84"/>
    <n v="0"/>
    <n v="85599.84"/>
    <n v="1.9629389102916894"/>
    <s v="TAB"/>
    <x v="1512"/>
    <d v="2024-02-07T00:00:00"/>
    <n v="0"/>
  </r>
  <r>
    <d v="2024-02-19T00:00:00"/>
    <n v="38400"/>
    <n v="77952"/>
    <n v="0"/>
    <n v="77952"/>
    <n v="2.0299999999999998"/>
    <s v="MARCOM"/>
    <x v="1513"/>
    <d v="2024-02-14T00:00:00"/>
    <n v="0"/>
  </r>
  <r>
    <d v="2024-02-19T00:00:00"/>
    <n v="23936"/>
    <n v="86844.928258"/>
    <n v="28796.416000000001"/>
    <n v="58048.512258000002"/>
    <n v="2.4251550909926474"/>
    <s v="SODIC"/>
    <x v="1514"/>
    <d v="2024-02-13T00:00:00"/>
    <n v="1550.451"/>
  </r>
  <r>
    <d v="2024-02-19T00:00:00"/>
    <n v="24456"/>
    <n v="94623.11731799999"/>
    <n v="30893.56"/>
    <n v="63729.557317999992"/>
    <n v="2.6058863803565582"/>
    <s v="SODIC"/>
    <x v="1515"/>
    <d v="2024-02-16T00:00:00"/>
    <n v="18359.510999999999"/>
  </r>
  <r>
    <d v="2024-02-20T00:00:00"/>
    <n v="56064"/>
    <n v="127414.27008"/>
    <n v="18474.823"/>
    <n v="108939.44708"/>
    <n v="1.9431265532248858"/>
    <s v="NOUI AMADJRASS "/>
    <x v="1516"/>
    <d v="2024-02-06T00:00:00"/>
    <n v="3145.3874999999998"/>
  </r>
  <r>
    <d v="2024-02-20T00:00:00"/>
    <n v="40304"/>
    <n v="109131.523688"/>
    <n v="14133.78"/>
    <n v="94997.743688000002"/>
    <n v="2.3570301629614927"/>
    <s v="ANGSTREM"/>
    <x v="1517"/>
    <d v="2024-01-19T00:00:00"/>
    <n v="1747.14"/>
  </r>
  <r>
    <d v="2024-02-21T00:00:00"/>
    <n v="40300"/>
    <n v="99659.361100000009"/>
    <n v="13748.98"/>
    <n v="85910.381100000013"/>
    <n v="2.1317712431761788"/>
    <s v="ANGSTREM"/>
    <x v="1518"/>
    <d v="2024-01-19T00:00:00"/>
    <n v="1747.14"/>
  </r>
  <r>
    <d v="2024-02-21T00:00:00"/>
    <n v="24508"/>
    <n v="91861.58415000001"/>
    <n v="27386.615000000002"/>
    <n v="64474.969150000004"/>
    <n v="2.6307723661661502"/>
    <s v="SODIC"/>
    <x v="1519"/>
    <d v="2024-02-17T00:00:00"/>
    <n v="1359.864"/>
  </r>
  <r>
    <d v="2024-02-21T00:00:00"/>
    <n v="23816"/>
    <n v="87884.9844075"/>
    <n v="30757.962"/>
    <n v="57127.022407500001"/>
    <n v="2.398682499475143"/>
    <s v="SODIC"/>
    <x v="1520"/>
    <d v="2024-02-17T00:00:00"/>
    <n v="1859.511"/>
  </r>
  <r>
    <d v="2024-02-22T00:00:00"/>
    <n v="23608"/>
    <n v="78206.648148000007"/>
    <n v="14312.725"/>
    <n v="63893.923148000009"/>
    <n v="2.7064521834971198"/>
    <s v="SAFA FOOD"/>
    <x v="1521"/>
    <d v="2024-02-08T00:00:00"/>
    <n v="1933.5749999999998"/>
  </r>
  <r>
    <d v="2024-02-22T00:00:00"/>
    <n v="23608"/>
    <n v="77858.820648000008"/>
    <n v="16414.325000000001"/>
    <n v="61444.495648000011"/>
    <n v="2.602698053541173"/>
    <s v="SAFA FOOD"/>
    <x v="1522"/>
    <d v="2024-02-08T00:00:00"/>
    <n v="2238.375"/>
  </r>
  <r>
    <d v="2024-02-24T00:00:00"/>
    <n v="25000"/>
    <n v="102006.531216"/>
    <n v="31518.547999999999"/>
    <n v="70487.983216000008"/>
    <n v="2.8195193286400002"/>
    <s v="SODIC"/>
    <x v="1523"/>
    <d v="2024-02-22T00:00:00"/>
    <n v="1859.511"/>
  </r>
  <r>
    <d v="2024-02-26T00:00:00"/>
    <n v="23960"/>
    <n v="82946.977820000015"/>
    <n v="9960.15"/>
    <n v="72986.82782000002"/>
    <n v="3.0461948171953264"/>
    <s v="ABOURA"/>
    <x v="1524"/>
    <d v="2024-02-15T00:00:00"/>
    <n v="1267.6275000000001"/>
  </r>
  <r>
    <d v="2024-02-27T00:00:00"/>
    <n v="138624"/>
    <n v="261568.44595199998"/>
    <n v="42822.476999999999"/>
    <n v="218745.96895199997"/>
    <n v="1.5779805008656507"/>
    <s v="SEYAL TCHAD"/>
    <x v="1525"/>
    <d v="2024-02-20T00:00:00"/>
    <n v="7837.61625"/>
  </r>
  <r>
    <d v="2024-02-27T00:00:00"/>
    <n v="20500"/>
    <n v="49610"/>
    <n v="0"/>
    <n v="49610"/>
    <n v="2.42"/>
    <s v="ARCADIA"/>
    <x v="1526"/>
    <d v="2024-02-20T00:00:00"/>
    <n v="0"/>
  </r>
  <r>
    <d v="2024-02-28T00:00:00"/>
    <n v="26000"/>
    <n v="47420"/>
    <n v="0"/>
    <n v="47420"/>
    <n v="1.8238461538461539"/>
    <s v="TAB"/>
    <x v="1527"/>
    <d v="2024-02-22T00:00:00"/>
    <n v="0"/>
  </r>
  <r>
    <d v="2024-08-28T00:00:00"/>
    <n v="43000"/>
    <n v="101973.7828"/>
    <n v="22503.78"/>
    <n v="79470.002800000002"/>
    <n v="1.8481396000000001"/>
    <s v="RNK Disribution"/>
    <x v="1528"/>
    <d v="2024-02-26T00:00:00"/>
    <n v="4879.3999999999996"/>
  </r>
  <r>
    <d v="2024-02-28T00:00:00"/>
    <n v="24768"/>
    <n v="88221.635075999991"/>
    <n v="31354.107"/>
    <n v="56867.528075999988"/>
    <n v="2.2960080780038754"/>
    <s v="SODIC"/>
    <x v="1529"/>
    <d v="2024-02-26T00:00:00"/>
    <n v="1860.0525"/>
  </r>
  <r>
    <d v="2024-02-29T00:00:00"/>
    <n v="44016"/>
    <n v="87151.679999999993"/>
    <n v="0"/>
    <n v="87151.679999999993"/>
    <n v="1.9799999999999998"/>
    <s v="SAHEL"/>
    <x v="1530"/>
    <d v="2024-02-20T00:00:00"/>
    <n v="0"/>
  </r>
  <r>
    <d v="2024-02-29T00:00:00"/>
    <n v="135000"/>
    <n v="221400"/>
    <n v="0"/>
    <n v="221400"/>
    <n v="1.64"/>
    <s v="TAB"/>
    <x v="1531"/>
    <d v="2024-02-24T00:00:00"/>
    <n v="0"/>
  </r>
  <r>
    <d v="2024-02-29T00:00:00"/>
    <n v="142493"/>
    <n v="310965.32376"/>
    <n v="0"/>
    <n v="310965.32376"/>
    <n v="2.1823199999999998"/>
    <s v="AL MAGEMOUA"/>
    <x v="1532"/>
    <d v="2024-02-28T00:00:00"/>
    <n v="0"/>
  </r>
  <r>
    <d v="2024-03-01T00:00:00"/>
    <n v="111907"/>
    <n v="244216.88399999999"/>
    <n v="0"/>
    <n v="244216.88399999999"/>
    <n v="2.182319997855362"/>
    <s v="AL MAGEMOUA"/>
    <x v="1532"/>
    <d v="2024-02-28T00:00:00"/>
    <n v="0"/>
  </r>
  <r>
    <d v="2024-03-04T00:00:00"/>
    <n v="24000"/>
    <n v="77933.920500000007"/>
    <n v="33943.523999999998"/>
    <n v="43990.39650000001"/>
    <n v="1.8329331875000003"/>
    <s v="SODIC"/>
    <x v="1533"/>
    <d v="2024-02-28T00:00:00"/>
    <n v="1927.9259999999999"/>
  </r>
  <r>
    <d v="2024-03-05T00:00:00"/>
    <n v="21600"/>
    <n v="54240"/>
    <n v="0"/>
    <n v="54240"/>
    <n v="2.5111111111111111"/>
    <s v="GOLDEN PEARL"/>
    <x v="1534"/>
    <d v="2024-02-15T00:00:00"/>
    <n v="0"/>
  </r>
  <r>
    <d v="2024-03-07T00:00:00"/>
    <n v="20848"/>
    <n v="80720.434845000011"/>
    <n v="26089.870999999999"/>
    <n v="54630.563845000011"/>
    <n v="2.6204222872697627"/>
    <s v="SODIC"/>
    <x v="1535"/>
    <d v="2024-02-28T00:00:00"/>
    <n v="1552.2569999999998"/>
  </r>
  <r>
    <d v="2024-03-07T00:00:00"/>
    <n v="19820"/>
    <n v="81142.527982"/>
    <n v="2526.37"/>
    <n v="78616.157982000004"/>
    <n v="3.9665064572149347"/>
    <s v="DAVIS TRADING"/>
    <x v="1536"/>
    <d v="2024-03-04T00:00:00"/>
    <n v="0"/>
  </r>
  <r>
    <d v="2024-03-07T00:00:00"/>
    <n v="24028"/>
    <n v="87678.046216499992"/>
    <n v="30850.469000000001"/>
    <n v="56827.577216499994"/>
    <n v="2.3650564847885795"/>
    <s v="SODIC"/>
    <x v="1537"/>
    <d v="2024-03-05T00:00:00"/>
    <n v="1861.6769999999999"/>
  </r>
  <r>
    <d v="2024-03-12T00:00:00"/>
    <n v="50960"/>
    <n v="153458"/>
    <n v="0"/>
    <n v="153458"/>
    <n v="3.0113422291993719"/>
    <s v="GOLDEN PEARL"/>
    <x v="1538"/>
    <d v="2024-02-15T00:00:00"/>
    <n v="0"/>
  </r>
  <r>
    <d v="2024-03-13T00:00:00"/>
    <n v="19400"/>
    <n v="33960"/>
    <n v="0"/>
    <n v="33960"/>
    <n v="1.7505154639175258"/>
    <s v="PUNIC"/>
    <x v="1539"/>
    <d v="2024-02-20T00:00:00"/>
    <n v="0"/>
  </r>
  <r>
    <d v="2024-03-13T00:00:00"/>
    <n v="23704"/>
    <n v="91393.356444999998"/>
    <n v="29344.921999999999"/>
    <n v="62048.434444999999"/>
    <n v="2.6176356077033414"/>
    <s v="SODIC"/>
    <x v="1540"/>
    <d v="2024-03-06T00:00:00"/>
    <n v="1356.7466999999999"/>
  </r>
  <r>
    <d v="2024-03-13T00:00:00"/>
    <n v="19200"/>
    <n v="38976"/>
    <n v="0"/>
    <n v="38976"/>
    <n v="2.0299999999999998"/>
    <s v="SAHEL"/>
    <x v="1541"/>
    <d v="2024-03-08T00:00:00"/>
    <n v="0"/>
  </r>
  <r>
    <d v="2024-03-13T00:00:00"/>
    <n v="19200"/>
    <n v="38976"/>
    <n v="0"/>
    <n v="38976"/>
    <n v="2.0299999999999998"/>
    <s v="SAHEL"/>
    <x v="1542"/>
    <d v="2024-03-08T00:00:00"/>
    <n v="0"/>
  </r>
  <r>
    <d v="2024-03-15T00:00:00"/>
    <n v="21600"/>
    <n v="39744"/>
    <n v="0"/>
    <n v="39744"/>
    <n v="1.84"/>
    <s v="TAB"/>
    <x v="1543"/>
    <d v="2024-03-08T00:00:00"/>
    <n v="0"/>
  </r>
  <r>
    <d v="2024-03-16T00:00:00"/>
    <n v="272042"/>
    <n v="590698.02088199998"/>
    <n v="78342.600000000006"/>
    <n v="512355.42088200001"/>
    <n v="1.8833688212923005"/>
    <s v="SAWABA"/>
    <x v="1544"/>
    <d v="2024-03-06T00:00:00"/>
    <n v="16153.125"/>
  </r>
  <r>
    <d v="2024-03-18T00:00:00"/>
    <n v="38400"/>
    <n v="77952"/>
    <n v="0"/>
    <n v="77952"/>
    <n v="2.0299999999999998"/>
    <s v="MARCOM"/>
    <x v="1545"/>
    <d v="2024-03-11T00:00:00"/>
    <n v="0"/>
  </r>
  <r>
    <d v="2024-03-18T00:00:00"/>
    <n v="93360"/>
    <n v="309443.51660000003"/>
    <n v="36245.228000000003"/>
    <n v="273198.28860000003"/>
    <n v="2.9262884383033421"/>
    <s v="ABOURA"/>
    <x v="1546"/>
    <d v="2024-03-06T00:00:00"/>
    <n v="4503.4092000000001"/>
  </r>
  <r>
    <d v="2024-03-19T00:00:00"/>
    <n v="222734"/>
    <n v="441876.42"/>
    <n v="0"/>
    <n v="441876.42"/>
    <n v="1.9838750258155466"/>
    <s v="SCIT"/>
    <x v="1547"/>
    <d v="2024-03-08T00:00:00"/>
    <n v="0"/>
  </r>
  <r>
    <d v="2024-03-19T00:00:00"/>
    <n v="71200"/>
    <n v="118680"/>
    <n v="0"/>
    <n v="118680"/>
    <n v="1.6668539325842697"/>
    <s v="MARCOM"/>
    <x v="1548"/>
    <d v="2024-03-11T00:00:00"/>
    <n v="0"/>
  </r>
  <r>
    <d v="2024-03-19T00:00:00"/>
    <n v="24928"/>
    <n v="95007.496031999995"/>
    <n v="30675.587"/>
    <n v="64331.909031999996"/>
    <n v="2.580708802631579"/>
    <s v="SODIC"/>
    <x v="1549"/>
    <d v="2024-03-12T00:00:00"/>
    <n v="1343.6390999999999"/>
  </r>
  <r>
    <d v="2024-03-21T00:00:00"/>
    <n v="43200"/>
    <n v="79488"/>
    <n v="0"/>
    <n v="79488"/>
    <n v="1.84"/>
    <s v="SAHEL"/>
    <x v="1550"/>
    <d v="2024-03-12T00:00:00"/>
    <n v="0"/>
  </r>
  <r>
    <d v="2024-03-23T00:00:00"/>
    <n v="24440"/>
    <n v="85607.1444815"/>
    <n v="27828.609"/>
    <n v="57778.535481500003"/>
    <n v="2.3640971964607203"/>
    <s v="SODIC"/>
    <x v="1551"/>
    <d v="2024-03-18T00:00:00"/>
    <n v="1357.8839999999998"/>
  </r>
  <r>
    <d v="2024-03-23T00:00:00"/>
    <n v="22872"/>
    <n v="87346.598866500004"/>
    <n v="30217.646000000001"/>
    <n v="57128.952866500003"/>
    <n v="2.4977681386192727"/>
    <s v="SODIC"/>
    <x v="1552"/>
    <d v="2024-03-22T00:00:00"/>
    <n v="1856.8035"/>
  </r>
  <r>
    <d v="2024-03-25T00:00:00"/>
    <n v="233280"/>
    <n v="506429.8848"/>
    <n v="0"/>
    <n v="506429.8848"/>
    <n v="2.1709100000000001"/>
    <s v="AL MAGEMOUA"/>
    <x v="1553"/>
    <d v="2024-03-19T00:00:00"/>
    <n v="0"/>
  </r>
  <r>
    <d v="2024-03-25T00:00:00"/>
    <n v="54000"/>
    <n v="115020"/>
    <n v="0"/>
    <n v="115020"/>
    <n v="2.13"/>
    <s v="SAHEL"/>
    <x v="1554"/>
    <d v="2024-03-19T00:00:00"/>
    <n v="0"/>
  </r>
  <r>
    <d v="2024-03-25T00:00:00"/>
    <n v="76800"/>
    <n v="157056"/>
    <n v="0"/>
    <n v="157056"/>
    <n v="2.0449999999999999"/>
    <s v="SCIT"/>
    <x v="1555"/>
    <d v="2024-03-19T00:00:00"/>
    <n v="0"/>
  </r>
  <r>
    <d v="2024-03-26T00:00:00"/>
    <n v="27804"/>
    <n v="85916.729213000013"/>
    <n v="16368.41"/>
    <n v="69548.31921300001"/>
    <n v="2.5013781906560211"/>
    <s v="SODIFRAM"/>
    <x v="1556"/>
    <d v="2024-03-12T00:00:00"/>
    <n v="3767.05"/>
  </r>
  <r>
    <d v="2024-03-26T00:00:00"/>
    <n v="28044"/>
    <n v="86334.317993000004"/>
    <n v="16378.41"/>
    <n v="69955.907993000001"/>
    <n v="2.4945053484880901"/>
    <s v="SODIFRAM"/>
    <x v="1557"/>
    <d v="2024-03-12T00:00:00"/>
    <n v="3767.05"/>
  </r>
  <r>
    <d v="2024-03-26T00:00:00"/>
    <n v="23624"/>
    <n v="85687.764879500013"/>
    <n v="29053.05"/>
    <n v="56634.71487950001"/>
    <n v="2.397338083283949"/>
    <s v="SODIC"/>
    <x v="1558"/>
    <d v="2024-03-22T00:00:00"/>
    <n v="1342.2085500000001"/>
  </r>
  <r>
    <d v="2024-03-26T00:00:00"/>
    <n v="24880"/>
    <n v="91769.729233000005"/>
    <n v="31277.975999999999"/>
    <n v="60491.75323300001"/>
    <n v="2.4313405640273316"/>
    <s v="SODIC"/>
    <x v="1559"/>
    <d v="2024-03-18T00:00:00"/>
    <n v="1342.2085500000001"/>
  </r>
  <r>
    <d v="2024-03-27T00:00:00"/>
    <n v="40300"/>
    <n v="108698.89289999999"/>
    <n v="15175.06"/>
    <n v="93523.832899999994"/>
    <n v="2.3206906426799008"/>
    <s v="ANGSTREM"/>
    <x v="1560"/>
    <d v="2024-03-19T00:00:00"/>
    <n v="1773.78"/>
  </r>
  <r>
    <d v="2024-03-28T00:00:00"/>
    <n v="40300"/>
    <n v="99372.828099999999"/>
    <n v="14703.86"/>
    <n v="84668.968099999998"/>
    <n v="2.1009669503722086"/>
    <s v="ANGSTREM"/>
    <x v="1561"/>
    <d v="2024-03-19T00:00:00"/>
    <n v="1773.78"/>
  </r>
  <r>
    <d v="2024-03-28T00:00:00"/>
    <n v="20500"/>
    <n v="50225"/>
    <n v="0"/>
    <n v="50225"/>
    <n v="2.4500000000000002"/>
    <s v="ARRCADIA"/>
    <x v="1562"/>
    <d v="2024-03-12T00:00:00"/>
    <n v="0"/>
  </r>
  <r>
    <d v="2024-03-28T00:00:00"/>
    <n v="1680"/>
    <n v="8181.7270920000001"/>
    <n v="0"/>
    <n v="8181.7270920000001"/>
    <n v="4.8700756500000004"/>
    <s v="SODIC"/>
    <x v="1563"/>
    <d v="2024-03-19T00:00:00"/>
    <n v="0"/>
  </r>
  <r>
    <d v="2024-03-29T00:00:00"/>
    <n v="28000"/>
    <n v="87922.326300000001"/>
    <n v="6248.8059999999996"/>
    <n v="81673.520300000004"/>
    <n v="2.9169114392857143"/>
    <s v="ETS ELEMINE"/>
    <x v="1564"/>
    <d v="2024-02-27T00:00:00"/>
    <n v="1167.664"/>
  </r>
  <r>
    <d v="2024-03-29T00:00:00"/>
    <n v="55900"/>
    <n v="164120"/>
    <n v="0"/>
    <n v="164120"/>
    <n v="2.9359570661896242"/>
    <s v="GOLDEN PEARL"/>
    <x v="1565"/>
    <d v="2024-03-26T00:00:00"/>
    <n v="0"/>
  </r>
  <r>
    <d v="2024-03-29T00:00:00"/>
    <n v="27840"/>
    <n v="70992"/>
    <n v="0"/>
    <n v="70992"/>
    <n v="2.5499999999999998"/>
    <s v="GOLDEN PEARL"/>
    <x v="1566"/>
    <d v="2024-03-27T00:00:00"/>
    <n v="0"/>
  </r>
  <r>
    <d v="2024-04-03T00:00:00"/>
    <n v="109800"/>
    <n v="191394"/>
    <n v="0"/>
    <n v="191394"/>
    <n v="1.7431147540983607"/>
    <s v="TAB"/>
    <x v="1567"/>
    <d v="2024-03-19T00:00:00"/>
    <n v="0"/>
  </r>
  <r>
    <d v="2024-04-05T00:00:00"/>
    <n v="22500"/>
    <n v="57713.90625"/>
    <n v="7683.0749999999998"/>
    <n v="50030.831250000003"/>
    <n v="2.2235925000000001"/>
    <s v="SALIOU BAH"/>
    <x v="1568"/>
    <d v="2024-03-29T00:00:00"/>
    <n v="1547.8125"/>
  </r>
  <r>
    <d v="2024-04-05T00:00:00"/>
    <n v="18600"/>
    <n v="82909.6875"/>
    <n v="14264.875"/>
    <n v="68644.8125"/>
    <n v="3.6905813172043009"/>
    <s v="SAFA FOOD"/>
    <x v="1569"/>
    <d v="2024-04-02T00:00:00"/>
    <n v="1881.1875"/>
  </r>
  <r>
    <d v="2024-04-18T00:00:00"/>
    <n v="280090"/>
    <n v="618137.60210999998"/>
    <n v="79556"/>
    <n v="538581.60210999998"/>
    <n v="1.9228876507908172"/>
    <s v="SAWABA"/>
    <x v="1570"/>
    <d v="2024-04-15T00:00:00"/>
    <n v="16068.75"/>
  </r>
  <r>
    <d v="2024-04-19T00:00:00"/>
    <n v="57600"/>
    <n v="116352"/>
    <n v="0"/>
    <n v="116352"/>
    <n v="2.02"/>
    <s v="SCIT"/>
    <x v="1571"/>
    <d v="2024-04-15T00:00:00"/>
    <n v="0"/>
  </r>
  <r>
    <d v="2024-04-19T00:00:00"/>
    <n v="25860"/>
    <n v="80440.961130000011"/>
    <n v="16755.145"/>
    <n v="63685.816130000007"/>
    <n v="2.4627152409126065"/>
    <s v="SODIFRAM"/>
    <x v="1572"/>
    <d v="2024-04-15T00:00:00"/>
    <n v="3744.7249999999999"/>
  </r>
  <r>
    <d v="2024-04-19T00:00:00"/>
    <n v="25860"/>
    <n v="80440.961130000011"/>
    <n v="16755.145"/>
    <n v="63685.816130000007"/>
    <n v="2.4627152409126065"/>
    <s v="SODIFRAM"/>
    <x v="1573"/>
    <d v="2024-04-15T00:00:00"/>
    <n v="3744.7249999999999"/>
  </r>
  <r>
    <d v="2024-04-19T00:00:00"/>
    <n v="172128"/>
    <n v="290724.47999999998"/>
    <n v="0"/>
    <n v="290724.47999999998"/>
    <n v="1.6890016731734523"/>
    <s v="BTC Trading"/>
    <x v="1574"/>
    <d v="2024-03-26T00:00:00"/>
    <n v="0"/>
  </r>
  <r>
    <d v="2024-04-22T00:00:00"/>
    <n v="49560"/>
    <n v="111203.38223999999"/>
    <n v="18138.46"/>
    <n v="93064.922239999985"/>
    <n v="1.877823289749798"/>
    <s v="MATMATA"/>
    <x v="1575"/>
    <d v="2024-04-15T00:00:00"/>
    <n v="3835.2"/>
  </r>
  <r>
    <d v="2024-04-22T00:00:00"/>
    <n v="40300"/>
    <n v="110046.212575"/>
    <n v="15106.004999999999"/>
    <n v="94940.207574999993"/>
    <n v="2.3558364162531014"/>
    <s v="ANGSTREM"/>
    <x v="1576"/>
    <d v="2024-04-16T00:00:00"/>
    <n v="1777.665"/>
  </r>
  <r>
    <d v="2024-04-24T00:00:00"/>
    <n v="280090"/>
    <n v="617013.75109749998"/>
    <n v="80432.850000000006"/>
    <n v="536580.9010975"/>
    <n v="1.9157445860169946"/>
    <s v="SAWABA"/>
    <x v="1577"/>
    <d v="2024-04-15T00:00:00"/>
    <n v="16101.5625"/>
  </r>
  <r>
    <d v="2024-04-24T00:00:00"/>
    <n v="19200"/>
    <n v="41856"/>
    <n v="0"/>
    <n v="41856"/>
    <n v="2.1800000000000002"/>
    <s v="MARCOM"/>
    <x v="1578"/>
    <d v="2024-04-16T00:00:00"/>
    <n v="0"/>
  </r>
  <r>
    <d v="2024-04-24T00:00:00"/>
    <n v="19200"/>
    <n v="41856"/>
    <n v="0"/>
    <n v="41856"/>
    <n v="2.1800000000000002"/>
    <s v="MARCOM"/>
    <x v="1579"/>
    <d v="2024-04-16T00:00:00"/>
    <n v="0"/>
  </r>
  <r>
    <d v="2024-04-24T00:00:00"/>
    <n v="21000"/>
    <n v="44700"/>
    <n v="0"/>
    <n v="44700"/>
    <n v="2.1285714285714286"/>
    <s v="MARCOM"/>
    <x v="1580"/>
    <d v="2024-04-16T00:00:00"/>
    <n v="0"/>
  </r>
  <r>
    <d v="2024-04-29T00:00:00"/>
    <n v="488250"/>
    <n v="871395"/>
    <n v="0"/>
    <n v="871395"/>
    <n v="1.7847311827956989"/>
    <s v="MARCOM"/>
    <x v="1581"/>
    <d v="2024-04-16T00:00:00"/>
    <n v="0"/>
  </r>
  <r>
    <d v="2024-04-30T00:00:00"/>
    <n v="26000"/>
    <n v="43430"/>
    <n v="0"/>
    <n v="43430"/>
    <n v="1.6703846153846154"/>
    <s v="MARCOM"/>
    <x v="1582"/>
    <d v="2024-04-26T00:00:00"/>
    <n v="0"/>
  </r>
  <r>
    <d v="2024-04-30T00:00:00"/>
    <n v="44016"/>
    <n v="88472.16"/>
    <n v="0"/>
    <n v="88472.16"/>
    <n v="2.0100000000000002"/>
    <s v="TAB"/>
    <x v="1583"/>
    <d v="2024-04-26T00:00:00"/>
    <n v="0"/>
  </r>
  <r>
    <d v="2024-04-30T00:00:00"/>
    <n v="16276"/>
    <n v="51613.599999999999"/>
    <n v="0"/>
    <n v="51613.599999999999"/>
    <n v="3.1711477021381174"/>
    <s v="ARCADIA"/>
    <x v="1584"/>
    <d v="2024-01-13T00:00:00"/>
    <n v="0"/>
  </r>
  <r>
    <d v="2024-05-02T00:00:00"/>
    <n v="43200"/>
    <n v="87696"/>
    <n v="0"/>
    <n v="87696"/>
    <n v="2.0299999999999998"/>
    <s v="SAHEL"/>
    <x v="1585"/>
    <d v="2024-04-26T00:00:00"/>
    <n v="0"/>
  </r>
  <r>
    <d v="2024-05-02T00:00:00"/>
    <n v="40800"/>
    <n v="90351.1829"/>
    <n v="11180.4"/>
    <n v="79170.782900000006"/>
    <n v="1.9404603651960786"/>
    <s v="SALIOU BAH"/>
    <x v="1586"/>
    <d v="2024-04-23T00:00:00"/>
    <n v="2134.35"/>
  </r>
  <r>
    <d v="2024-05-03T00:00:00"/>
    <n v="22008"/>
    <n v="44622.48"/>
    <n v="0"/>
    <n v="44622.48"/>
    <n v="2.0275572519083971"/>
    <s v="SCIT"/>
    <x v="1587"/>
    <d v="2024-04-26T00:00:00"/>
    <n v="0"/>
  </r>
  <r>
    <d v="2024-05-03T00:00:00"/>
    <n v="19184"/>
    <n v="60252.800000000003"/>
    <n v="0"/>
    <n v="60252.800000000003"/>
    <n v="3.1407839866555465"/>
    <s v="ARCADIA"/>
    <x v="1588"/>
    <d v="2024-04-25T00:00:00"/>
    <n v="0"/>
  </r>
  <r>
    <d v="2024-05-06T00:00:00"/>
    <n v="32400"/>
    <n v="81540"/>
    <n v="0"/>
    <n v="81540"/>
    <n v="2.5166666666666666"/>
    <s v="GOLDEN PEARL"/>
    <x v="1589"/>
    <d v="2024-04-15T00:00:00"/>
    <n v="0"/>
  </r>
  <r>
    <d v="2024-05-07T00:00:00"/>
    <n v="20608"/>
    <n v="89321.490730999998"/>
    <n v="2274.37"/>
    <n v="87047.120731000003"/>
    <n v="4.2239480168381212"/>
    <s v="DAVIS TRADING"/>
    <x v="1590"/>
    <d v="2024-04-25T00:00:00"/>
    <n v="0"/>
  </r>
  <r>
    <d v="2024-05-08T00:00:00"/>
    <n v="26000"/>
    <n v="43420"/>
    <n v="0"/>
    <n v="43420"/>
    <n v="1.67"/>
    <s v="SCIT"/>
    <x v="1591"/>
    <d v="2024-05-03T00:00:00"/>
    <n v="0"/>
  </r>
  <r>
    <d v="2024-05-09T00:00:00"/>
    <n v="38400"/>
    <n v="78720"/>
    <n v="0"/>
    <n v="78720"/>
    <n v="2.0499999999999998"/>
    <s v="SCIT"/>
    <x v="1592"/>
    <d v="2024-05-03T00:00:00"/>
    <n v="0"/>
  </r>
  <r>
    <d v="2024-05-10T00:00:00"/>
    <n v="20150"/>
    <n v="49978.518524999999"/>
    <n v="7624.835"/>
    <n v="42353.683525"/>
    <n v="2.1019197779156329"/>
    <s v="ANGSTREM"/>
    <x v="1593"/>
    <d v="2024-05-08T00:00:00"/>
    <n v="879.95249999999999"/>
  </r>
  <r>
    <d v="2024-05-13T00:00:00"/>
    <n v="88000"/>
    <n v="391653.68075"/>
    <n v="0"/>
    <n v="391653.68075"/>
    <n v="4.4506100085227276"/>
    <s v="AL MAGEMOUA"/>
    <x v="1594"/>
    <d v="2024-05-07T00:00:00"/>
    <n v="0"/>
  </r>
  <r>
    <d v="2024-05-13T00:00:00"/>
    <n v="109800"/>
    <n v="191394"/>
    <n v="0"/>
    <n v="191394"/>
    <n v="1.7431147540983607"/>
    <s v="TAB"/>
    <x v="1595"/>
    <d v="2024-05-07T00:00:00"/>
    <n v="0"/>
  </r>
  <r>
    <d v="2024-05-14T00:00:00"/>
    <n v="19200"/>
    <n v="45425.412900000003"/>
    <n v="5300.34"/>
    <n v="40125.072899999999"/>
    <n v="2.0898475468749997"/>
    <s v="MATMATA"/>
    <x v="1596"/>
    <d v="2024-05-08T00:00:00"/>
    <n v="1043.46"/>
  </r>
  <r>
    <d v="2024-05-14T00:00:00"/>
    <n v="40800"/>
    <n v="91701.665999999997"/>
    <n v="14328.915000000001"/>
    <n v="77372.750999999989"/>
    <n v="1.8963909558823526"/>
    <s v="SALIOU BAH"/>
    <x v="1597"/>
    <d v="2024-05-08T00:00:00"/>
    <n v="2908.12"/>
  </r>
  <r>
    <d v="2024-05-15T00:00:00"/>
    <n v="19200"/>
    <n v="38976"/>
    <n v="0"/>
    <n v="38976"/>
    <n v="2.0299999999999998"/>
    <s v="SAHEL"/>
    <x v="1598"/>
    <d v="2024-05-03T00:00:00"/>
    <n v="0"/>
  </r>
  <r>
    <d v="2024-05-15T00:00:00"/>
    <n v="56100"/>
    <n v="110064"/>
    <n v="0"/>
    <n v="110064"/>
    <n v="1.9619251336898396"/>
    <s v="SAHEL"/>
    <x v="1599"/>
    <d v="2024-05-09T00:00:00"/>
    <n v="0"/>
  </r>
  <r>
    <d v="2024-05-15T00:00:00"/>
    <n v="56100"/>
    <n v="110064"/>
    <n v="0"/>
    <n v="110064"/>
    <n v="1.9619251336898396"/>
    <s v="SAHEL"/>
    <x v="1600"/>
    <d v="2024-05-09T00:00:00"/>
    <n v="0"/>
  </r>
  <r>
    <d v="2024-05-16T00:00:00"/>
    <n v="60020"/>
    <n v="131439.20000000001"/>
    <n v="0"/>
    <n v="131439.20000000001"/>
    <n v="2.1899233588803733"/>
    <s v="SCIT"/>
    <x v="1601"/>
    <d v="2024-05-10T00:00:00"/>
    <n v="0"/>
  </r>
  <r>
    <d v="2024-05-17T00:00:00"/>
    <n v="23971"/>
    <n v="74603.482358000008"/>
    <n v="16178.61"/>
    <n v="58424.872358000008"/>
    <n v="2.4373147702640696"/>
    <s v="GREENWORLD"/>
    <x v="1602"/>
    <d v="2024-05-08T00:00:00"/>
    <n v="1744.8719999999998"/>
  </r>
  <r>
    <d v="2024-05-17T00:00:00"/>
    <n v="20750"/>
    <n v="39632.5"/>
    <n v="0"/>
    <n v="39632.5"/>
    <n v="1.91"/>
    <s v="SAHEL"/>
    <x v="1603"/>
    <d v="2024-05-14T00:00:00"/>
    <n v="0"/>
  </r>
  <r>
    <d v="2024-05-17T00:00:00"/>
    <n v="138624"/>
    <n v="264108.86275199999"/>
    <n v="41951.453000000001"/>
    <n v="222157.40975199998"/>
    <n v="1.6025898094990765"/>
    <s v="SEYAL TCHAD"/>
    <x v="1604"/>
    <d v="2024-05-07T00:00:00"/>
    <n v="7842.1637499999997"/>
  </r>
  <r>
    <d v="2024-05-17T00:00:00"/>
    <n v="21531"/>
    <n v="90753.731315000012"/>
    <n v="14006.61"/>
    <n v="76747.121315000011"/>
    <n v="3.5644940464911063"/>
    <s v="SAFA FOOD"/>
    <x v="1605"/>
    <d v="2024-05-08T00:00:00"/>
    <n v="1828.365"/>
  </r>
  <r>
    <d v="2024-05-17T00:00:00"/>
    <n v="20032"/>
    <n v="43205.440000000002"/>
    <n v="0"/>
    <n v="43205.440000000002"/>
    <n v="2.156821086261981"/>
    <s v="SCIT"/>
    <x v="1606"/>
    <d v="2024-05-10T00:00:00"/>
    <n v="0"/>
  </r>
  <r>
    <d v="2024-05-20T00:00:00"/>
    <n v="20506"/>
    <n v="57405.196800000005"/>
    <n v="0"/>
    <n v="57405.196800000005"/>
    <n v="2.7994341558568228"/>
    <s v="AL WAFA "/>
    <x v="1607"/>
    <d v="2024-05-09T00:00:00"/>
    <n v="0"/>
  </r>
  <r>
    <d v="2024-05-20T00:00:00"/>
    <n v="20496"/>
    <n v="57432.084480000005"/>
    <n v="0"/>
    <n v="57432.084480000005"/>
    <n v="2.8021118501170963"/>
    <s v="AL WAFA "/>
    <x v="1608"/>
    <d v="2024-05-09T00:00:00"/>
    <n v="0"/>
  </r>
  <r>
    <d v="2024-05-21T00:00:00"/>
    <n v="239282"/>
    <n v="478039.32"/>
    <n v="0"/>
    <n v="478039.32"/>
    <n v="1.9978072734263339"/>
    <s v="SCIT"/>
    <x v="1609"/>
    <d v="2024-05-10T00:00:00"/>
    <n v="0"/>
  </r>
  <r>
    <d v="2024-05-22T00:00:00"/>
    <n v="96000"/>
    <n v="194880"/>
    <n v="0"/>
    <n v="194880"/>
    <n v="2.0299999999999998"/>
    <s v="MARCOM"/>
    <x v="1610"/>
    <d v="2024-05-14T00:00:00"/>
    <n v="0"/>
  </r>
  <r>
    <d v="2024-05-23T00:00:00"/>
    <n v="40300"/>
    <n v="114897.25455"/>
    <n v="14123.36"/>
    <n v="100773.89455"/>
    <n v="2.5005929168734489"/>
    <s v="ANGSTREM"/>
    <x v="1611"/>
    <d v="2024-05-08T00:00:00"/>
    <n v="1762.68"/>
  </r>
  <r>
    <d v="2024-05-23T00:00:00"/>
    <n v="65616"/>
    <n v="129175.67999999999"/>
    <n v="0"/>
    <n v="129175.67999999999"/>
    <n v="1.9686613021214336"/>
    <s v="TAB"/>
    <x v="1612"/>
    <d v="2024-04-16T00:00:00"/>
    <n v="0"/>
  </r>
  <r>
    <d v="2024-05-23T00:00:00"/>
    <n v="57600"/>
    <n v="118656"/>
    <n v="0"/>
    <n v="118656"/>
    <n v="2.06"/>
    <s v="MARCOM"/>
    <x v="1613"/>
    <d v="2024-05-20T00:00:00"/>
    <n v="0"/>
  </r>
  <r>
    <d v="2024-05-24T00:00:00"/>
    <n v="40500"/>
    <n v="86540.534249999997"/>
    <n v="8058.8"/>
    <n v="78481.734249999994"/>
    <n v="1.937820598765432"/>
    <s v="JPB"/>
    <x v="1614"/>
    <d v="2024-05-09T00:00:00"/>
    <n v="1455.2"/>
  </r>
  <r>
    <d v="2024-05-27T00:00:00"/>
    <n v="20750"/>
    <n v="39632.5"/>
    <n v="0"/>
    <n v="39632.5"/>
    <n v="1.91"/>
    <s v="SAHEL"/>
    <x v="1615"/>
    <d v="2024-05-21T00:00:00"/>
    <n v="0"/>
  </r>
  <r>
    <d v="2024-05-28T00:00:00"/>
    <n v="20100"/>
    <n v="80052.730889999992"/>
    <n v="2276.9699999999998"/>
    <n v="77775.76088999999"/>
    <n v="3.8694408402985068"/>
    <s v="DAVIS TRADING"/>
    <x v="1616"/>
    <d v="2024-05-20T00:00:00"/>
    <n v="0"/>
  </r>
  <r>
    <d v="2024-05-29T00:00:00"/>
    <n v="280000"/>
    <n v="493700"/>
    <n v="0"/>
    <n v="493700"/>
    <n v="1.7632142857142856"/>
    <s v="MARCOM"/>
    <x v="1617"/>
    <d v="2024-05-20T00:00:00"/>
    <n v="0"/>
  </r>
  <r>
    <d v="2024-05-30T00:00:00"/>
    <n v="43200"/>
    <n v="87696"/>
    <n v="0"/>
    <n v="87696"/>
    <n v="2.0299999999999998"/>
    <s v="SAHEL"/>
    <x v="1618"/>
    <d v="2024-05-21T00:00:00"/>
    <n v="0"/>
  </r>
  <r>
    <d v="2024-05-30T00:00:00"/>
    <n v="38400"/>
    <n v="87539.961599999995"/>
    <n v="9235.25"/>
    <n v="78304.711599999995"/>
    <n v="2.0391851979166664"/>
    <s v="EASB NAFA"/>
    <x v="1619"/>
    <d v="2024-05-27T00:00:00"/>
    <n v="1617.0374999999999"/>
  </r>
  <r>
    <d v="2024-05-30T00:00:00"/>
    <n v="24996"/>
    <n v="78722.930660999991"/>
    <n v="16659.919999999998"/>
    <n v="62063.010660999993"/>
    <n v="2.4829176932709229"/>
    <s v="SODIFRAM"/>
    <x v="1620"/>
    <d v="2024-05-20T00:00:00"/>
    <n v="3727.1"/>
  </r>
  <r>
    <d v="2024-05-31T00:00:00"/>
    <n v="8136"/>
    <n v="4752.3139154999999"/>
    <n v="0"/>
    <n v="4752.3139154999999"/>
    <n v="0.58410937997787604"/>
    <s v="SODIC"/>
    <x v="1621"/>
    <d v="2024-05-14T00:00:00"/>
    <n v="0"/>
  </r>
  <r>
    <d v="2024-05-31T00:00:00"/>
    <n v="8504"/>
    <n v="27222.250735499998"/>
    <n v="25390.6"/>
    <n v="1831.6507354999994"/>
    <n v="0.21538696325258694"/>
    <s v="SODIC"/>
    <x v="1622"/>
    <d v="2024-05-14T00:00:00"/>
    <n v="1857.3449999999998"/>
  </r>
  <r>
    <d v="2024-05-31T00:00:00"/>
    <n v="57600"/>
    <n v="129176.0901"/>
    <n v="36962.925000000003"/>
    <n v="92213.165099999998"/>
    <n v="1.6009230052083332"/>
    <s v="LAMPFALL"/>
    <x v="1623"/>
    <d v="2024-04-22T00:00:00"/>
    <n v="6666.375"/>
  </r>
  <r>
    <d v="2024-06-03T00:00:00"/>
    <n v="76800"/>
    <n v="172234.78700000001"/>
    <n v="36962.925000000003"/>
    <n v="135271.86200000002"/>
    <n v="1.7613523697916669"/>
    <s v="LAMP FALL"/>
    <x v="1623"/>
    <d v="2024-04-22T00:00:00"/>
    <n v="6556.375"/>
  </r>
  <r>
    <d v="2024-06-03T00:00:00"/>
    <n v="77840"/>
    <n v="214072"/>
    <n v="0"/>
    <n v="214072"/>
    <n v="2.7501541623843782"/>
    <s v="GOLDEN PEARL"/>
    <x v="1624"/>
    <d v="2024-05-28T00:00:00"/>
    <n v="0"/>
  </r>
  <r>
    <d v="2024-06-07T00:00:00"/>
    <n v="26540"/>
    <n v="53217.233"/>
    <n v="2059.56"/>
    <n v="51157.673000000003"/>
    <n v="1.9275686887716654"/>
    <s v="BISO NA BISO "/>
    <x v="1625"/>
    <d v="2024-04-23T00:00:00"/>
    <n v="0"/>
  </r>
  <r>
    <d v="2024-06-07T00:00:00"/>
    <n v="39000"/>
    <n v="94633.987800000003"/>
    <n v="22932.125"/>
    <n v="71701.862800000003"/>
    <n v="1.8385093025641026"/>
    <s v="RNK"/>
    <x v="1626"/>
    <d v="2024-05-28T00:00:00"/>
    <n v="4921.25"/>
  </r>
  <r>
    <d v="2024-06-10T00:00:00"/>
    <n v="57600"/>
    <n v="119808"/>
    <n v="0"/>
    <n v="119808"/>
    <n v="2.08"/>
    <s v="SCIT"/>
    <x v="1627"/>
    <d v="2024-06-03T00:00:00"/>
    <n v="0"/>
  </r>
  <r>
    <d v="2024-06-11T00:00:00"/>
    <n v="280354"/>
    <n v="524291.30527500005"/>
    <n v="79105.600000000006"/>
    <n v="445185.70527500007"/>
    <n v="1.587941335864657"/>
    <s v="SAWABA"/>
    <x v="1628"/>
    <d v="2024-06-04T00:00:00"/>
    <n v="16170.375"/>
  </r>
  <r>
    <d v="2024-06-11T00:00:00"/>
    <n v="160032"/>
    <n v="297659.52000000002"/>
    <n v="0"/>
    <n v="297659.52000000002"/>
    <n v="1.86"/>
    <s v="BTC TRADING"/>
    <x v="1629"/>
    <d v="2024-05-15T00:00:00"/>
    <n v="0"/>
  </r>
  <r>
    <d v="2024-06-11T00:00:00"/>
    <n v="19200"/>
    <n v="39552"/>
    <n v="0"/>
    <n v="39552"/>
    <n v="2.06"/>
    <s v="SCIT"/>
    <x v="1630"/>
    <d v="2024-06-03T00:00:00"/>
    <n v="0"/>
  </r>
  <r>
    <d v="2024-06-12T00:00:00"/>
    <n v="45800"/>
    <n v="102452.22975"/>
    <n v="13947.11"/>
    <n v="88505.119749999998"/>
    <n v="1.9324261954148472"/>
    <s v="SALIOU BAH"/>
    <x v="1631"/>
    <d v="2024-06-04T00:00:00"/>
    <n v="2669.52"/>
  </r>
  <r>
    <d v="2024-06-13T00:00:00"/>
    <n v="76800"/>
    <n v="174055.20200000002"/>
    <n v="21219.99"/>
    <n v="152835.21200000003"/>
    <n v="1.990041822916667"/>
    <s v="LAMP FALL"/>
    <x v="1632"/>
    <d v="2024-06-10T00:00:00"/>
    <n v="3750.04"/>
  </r>
  <r>
    <d v="2024-06-13T00:00:00"/>
    <n v="27750"/>
    <n v="62954.124749999995"/>
    <n v="8714.34"/>
    <n v="54239.784749999992"/>
    <n v="1.9545868378378375"/>
    <s v="EASB NAFA "/>
    <x v="1633"/>
    <d v="2024-06-03T00:00:00"/>
    <n v="1742.51"/>
  </r>
  <r>
    <d v="2024-06-13T00:00:00"/>
    <n v="22500"/>
    <n v="139065.58575"/>
    <n v="0"/>
    <n v="139065.58575"/>
    <n v="6.1806926999999998"/>
    <s v="AL SAHL"/>
    <x v="1634"/>
    <d v="2024-06-04T00:00:00"/>
    <n v="0"/>
  </r>
  <r>
    <d v="2024-06-14T00:00:00"/>
    <n v="25212"/>
    <n v="79029.892549000011"/>
    <n v="16224.08"/>
    <n v="62805.812549000009"/>
    <n v="2.4911079069094084"/>
    <s v="SODIFRAM"/>
    <x v="1635"/>
    <d v="2024-06-04T00:00:00"/>
    <n v="3769.4"/>
  </r>
  <r>
    <d v="2024-06-14T00:00:00"/>
    <n v="163170"/>
    <n v="294012.5"/>
    <n v="0"/>
    <n v="294012.5"/>
    <n v="1.8018784090212661"/>
    <s v="TAB"/>
    <x v="1636"/>
    <d v="2024-06-05T00:00:00"/>
    <n v="0"/>
  </r>
  <r>
    <d v="2024-06-19T00:00:00"/>
    <n v="20500"/>
    <n v="51250"/>
    <n v="0"/>
    <n v="51250"/>
    <n v="2.5"/>
    <s v="ARCADIA"/>
    <x v="1637"/>
    <d v="2024-06-10T00:00:00"/>
    <n v="0"/>
  </r>
  <r>
    <d v="2024-06-21T00:00:00"/>
    <n v="23712"/>
    <n v="75079.677607999998"/>
    <n v="16704.595000000001"/>
    <n v="58375.082607999997"/>
    <n v="2.4618371545209174"/>
    <s v="SODIFRAM"/>
    <x v="1638"/>
    <d v="2024-06-19T00:00:00"/>
    <n v="3732.9749999999999"/>
  </r>
  <r>
    <d v="2024-06-24T00:00:00"/>
    <n v="20500"/>
    <n v="50225"/>
    <n v="0"/>
    <n v="50225"/>
    <n v="2.4500000000000002"/>
    <s v="ARCADIA"/>
    <x v="1639"/>
    <d v="2024-06-19T00:00:00"/>
    <n v="0"/>
  </r>
  <r>
    <d v="2024-06-24T00:00:00"/>
    <n v="106640"/>
    <n v="287752"/>
    <n v="0"/>
    <n v="287752"/>
    <n v="2.6983495873968493"/>
    <s v="GOLDEN PEARL"/>
    <x v="1640"/>
    <d v="2024-06-19T00:00:00"/>
    <n v="0"/>
  </r>
  <r>
    <d v="2024-06-24T00:00:00"/>
    <n v="26000"/>
    <n v="48272.679000000004"/>
    <n v="6469.05"/>
    <n v="41803.629000000001"/>
    <n v="1.6078318846153847"/>
    <s v="RAMMAS"/>
    <x v="1641"/>
    <d v="2024-06-10T00:00:00"/>
    <n v="1184.425"/>
  </r>
  <r>
    <d v="2024-06-24T00:00:00"/>
    <n v="38400"/>
    <n v="79104"/>
    <n v="0"/>
    <n v="79104"/>
    <n v="2.06"/>
    <s v="SCIT"/>
    <x v="1642"/>
    <d v="2024-06-19T00:00:00"/>
    <n v="0"/>
  </r>
  <r>
    <d v="2024-06-25T00:00:00"/>
    <n v="21600"/>
    <n v="58256"/>
    <n v="0"/>
    <n v="58256"/>
    <n v="2.6970370370370369"/>
    <s v="MARCOM"/>
    <x v="1643"/>
    <d v="2024-06-13T00:00:00"/>
    <n v="0"/>
  </r>
  <r>
    <d v="2024-06-25T00:00:00"/>
    <n v="54000"/>
    <n v="138540"/>
    <n v="0"/>
    <n v="138540"/>
    <n v="2.5655555555555556"/>
    <s v="GOLDEN PEARL"/>
    <x v="1644"/>
    <d v="2024-06-19T00:00:00"/>
    <n v="0"/>
  </r>
  <r>
    <d v="2024-06-25T00:00:00"/>
    <n v="45000"/>
    <n v="104908.5275"/>
    <n v="15197.145"/>
    <n v="89711.382499999992"/>
    <n v="1.9935862777777775"/>
    <s v="SALIOU BAH"/>
    <x v="1645"/>
    <d v="2024-06-19T00:00:00"/>
    <n v="2946.76"/>
  </r>
  <r>
    <d v="2024-06-25T00:00:00"/>
    <n v="90000"/>
    <n v="143550"/>
    <n v="0"/>
    <n v="143550"/>
    <n v="1.595"/>
    <s v="TAB"/>
    <x v="1646"/>
    <d v="2024-06-19T00:00:00"/>
    <n v="0"/>
  </r>
  <r>
    <d v="2024-06-26T00:00:00"/>
    <n v="139200"/>
    <n v="260443.65391200001"/>
    <n v="41734.777999999998"/>
    <n v="218708.87591200002"/>
    <n v="1.5711844533908048"/>
    <s v="SEYAL TCHAD"/>
    <x v="1647"/>
    <d v="2024-06-19T00:00:00"/>
    <n v="8129.9949999999999"/>
  </r>
  <r>
    <d v="2024-06-26T00:00:00"/>
    <n v="13621"/>
    <n v="37420.160000000003"/>
    <n v="0"/>
    <n v="37420.160000000003"/>
    <n v="2.7472402907275533"/>
    <s v="ARCADIA"/>
    <x v="1648"/>
    <d v="2024-05-28T00:00:00"/>
    <n v="0"/>
  </r>
  <r>
    <d v="2024-06-28T00:00:00"/>
    <n v="280090"/>
    <n v="613642.19806000008"/>
    <n v="84154.52"/>
    <n v="529487.67806000006"/>
    <n v="1.8904197867114143"/>
    <s v="SAWABA"/>
    <x v="1649"/>
    <d v="2024-06-19T00:00:00"/>
    <n v="17298.775000000001"/>
  </r>
  <r>
    <d v="2024-06-28T00:00:00"/>
    <n v="134050"/>
    <n v="253767.49299999999"/>
    <n v="33161.25"/>
    <n v="220606.24299999999"/>
    <n v="1.6457011786646774"/>
    <s v="STE CHEMA"/>
    <x v="1650"/>
    <d v="2024-06-19T00:00:00"/>
    <n v="8138.4375"/>
  </r>
  <r>
    <d v="2024-06-29T00:00:00"/>
    <n v="341520"/>
    <n v="617555"/>
    <n v="0"/>
    <n v="617555"/>
    <n v="1.8082542750058561"/>
    <s v="MARCOM"/>
    <x v="1651"/>
    <d v="2024-06-13T00:00:00"/>
    <n v="0"/>
  </r>
  <r>
    <d v="2024-07-01T00:00:00"/>
    <n v="113480"/>
    <n v="199530"/>
    <n v="0"/>
    <n v="199530"/>
    <n v="1.758283397955587"/>
    <s v="MARCOM"/>
    <x v="1651"/>
    <d v="2024-06-13T00:00:00"/>
    <n v="0"/>
  </r>
  <r>
    <d v="2024-07-10T00:00:00"/>
    <n v="100003"/>
    <n v="215562.90404000002"/>
    <n v="0"/>
    <n v="215562.90404000002"/>
    <n v="2.1555643734687964"/>
    <s v="AL AKIL"/>
    <x v="1652"/>
    <d v="2024-07-02T00:00:00"/>
    <n v="0"/>
  </r>
  <r>
    <d v="2024-07-11T00:00:00"/>
    <n v="40300"/>
    <n v="115166.43840000001"/>
    <n v="14658.7"/>
    <n v="100507.73840000002"/>
    <n v="2.4939885459057076"/>
    <s v="ANGSTREM"/>
    <x v="1653"/>
    <d v="2024-06-24T00:00:00"/>
    <n v="1742.7"/>
  </r>
  <r>
    <d v="2024-07-11T00:00:00"/>
    <n v="38400"/>
    <n v="86611.107400000008"/>
    <n v="8916.7950000000001"/>
    <n v="77694.31240000001"/>
    <n v="2.0232893854166671"/>
    <s v="LAMPFALL"/>
    <x v="1654"/>
    <d v="2024-07-02T00:00:00"/>
    <n v="1411.9849999999999"/>
  </r>
  <r>
    <d v="2024-07-11T00:00:00"/>
    <n v="21920"/>
    <n v="87353.350480000008"/>
    <n v="2455.4699999999998"/>
    <n v="84897.880480000007"/>
    <n v="3.8730784890510952"/>
    <s v="DAVIS TRADING"/>
    <x v="1655"/>
    <d v="2024-07-08T00:00:00"/>
    <n v="0"/>
  </r>
  <r>
    <d v="2024-07-12T00:00:00"/>
    <n v="25212"/>
    <n v="79286.639169999995"/>
    <n v="16533.95"/>
    <n v="62752.689169999998"/>
    <n v="2.4890008396795178"/>
    <s v="SODIFRAM"/>
    <x v="1656"/>
    <d v="2024-07-09T00:00:00"/>
    <n v="3701.25"/>
  </r>
  <r>
    <d v="2024-07-12T00:00:00"/>
    <n v="25212"/>
    <n v="79285.466811000006"/>
    <n v="16566.75"/>
    <n v="62718.716811000006"/>
    <n v="2.48765337184674"/>
    <s v="SODIFRAM"/>
    <x v="1657"/>
    <d v="2024-07-09T00:00:00"/>
    <n v="3701.25"/>
  </r>
  <r>
    <d v="2024-07-12T00:00:00"/>
    <n v="84000"/>
    <n v="143080"/>
    <n v="0"/>
    <n v="143080"/>
    <n v="1.7033333333333334"/>
    <s v="TAB"/>
    <x v="1658"/>
    <d v="2024-07-02T00:00:00"/>
    <n v="0"/>
  </r>
  <r>
    <d v="2024-07-12T00:00:00"/>
    <n v="137500"/>
    <n v="237127.6875"/>
    <n v="26049.5"/>
    <n v="211078.1875"/>
    <n v="1.535114090909091"/>
    <s v="KASSO"/>
    <x v="1659"/>
    <d v="2024-07-09T00:00:00"/>
    <n v="4312.5"/>
  </r>
  <r>
    <d v="2024-05-15T00:00:00"/>
    <n v="21600"/>
    <n v="44136"/>
    <n v="0"/>
    <n v="44136"/>
    <n v="2.0433333333333334"/>
    <s v="SAHEL"/>
    <x v="1660"/>
    <d v="2024-06-19T00:00:00"/>
    <n v="0"/>
  </r>
  <r>
    <d v="2024-05-15T00:00:00"/>
    <n v="22008"/>
    <n v="44716.08"/>
    <n v="0"/>
    <n v="44716.08"/>
    <n v="2.0318102508178844"/>
    <s v="SAHEL"/>
    <x v="1661"/>
    <d v="2024-06-24T00:00:00"/>
    <n v="0"/>
  </r>
  <r>
    <d v="2024-07-16T00:00:00"/>
    <n v="137500"/>
    <n v="237127.6875"/>
    <n v="25322.62"/>
    <n v="211805.0675"/>
    <n v="1.5404004909090909"/>
    <s v="KASSO"/>
    <x v="1662"/>
    <d v="2024-07-09T00:00:00"/>
    <n v="4312.5"/>
  </r>
  <r>
    <d v="2024-07-17T00:00:00"/>
    <n v="19200"/>
    <n v="38976"/>
    <n v="0"/>
    <n v="38976"/>
    <n v="2.0299999999999998"/>
    <s v="SAHEL"/>
    <x v="1663"/>
    <d v="2024-07-10T00:00:00"/>
    <n v="0"/>
  </r>
  <r>
    <d v="2024-07-18T00:00:00"/>
    <n v="125000"/>
    <n v="228322.125"/>
    <n v="34230.370000000003"/>
    <n v="194091.755"/>
    <n v="1.55273404"/>
    <s v="KASSO"/>
    <x v="1664"/>
    <d v="2024-07-10T00:00:00"/>
    <n v="6497.1925000000001"/>
  </r>
  <r>
    <d v="2024-07-18T00:00:00"/>
    <n v="22500"/>
    <n v="92680.583864999993"/>
    <n v="2455.4699999999998"/>
    <n v="90225.113864999992"/>
    <n v="4.010005060666666"/>
    <s v="DAVIS TRADING"/>
    <x v="1665"/>
    <d v="2024-07-08T00:00:00"/>
    <n v="0"/>
  </r>
  <r>
    <d v="2024-07-18T00:00:00"/>
    <n v="20750"/>
    <n v="68681.023263999989"/>
    <n v="2455.4699999999998"/>
    <n v="66225.553263999987"/>
    <n v="3.1915929283855418"/>
    <s v="DAVIS TRADING"/>
    <x v="1666"/>
    <d v="2024-07-08T00:00:00"/>
    <n v="0"/>
  </r>
  <r>
    <d v="2024-07-19T00:00:00"/>
    <n v="24616"/>
    <n v="92720.023217499998"/>
    <n v="30947.107"/>
    <n v="61772.916217499995"/>
    <n v="2.5094619847863178"/>
    <s v="FOODMED"/>
    <x v="1667"/>
    <d v="2024-07-17T00:00:00"/>
    <n v="1855.7204999999999"/>
  </r>
  <r>
    <d v="2024-07-19T00:00:00"/>
    <n v="38400"/>
    <n v="86731.559000000008"/>
    <n v="8892.4549999999999"/>
    <n v="77839.104000000007"/>
    <n v="2.0270600000000001"/>
    <s v="LAMPFALL"/>
    <x v="1668"/>
    <d v="2024-07-17T00:00:00"/>
    <n v="1395.9649999999999"/>
  </r>
  <r>
    <d v="2024-07-22T00:00:00"/>
    <n v="365213"/>
    <n v="792537.34089599992"/>
    <n v="0"/>
    <n v="792537.34089599992"/>
    <n v="2.1700688116140441"/>
    <s v="AL MAGEMOUA"/>
    <x v="1669"/>
    <d v="2024-07-16T00:00:00"/>
    <n v="0"/>
  </r>
  <r>
    <d v="2024-07-23T00:00:00"/>
    <n v="62250"/>
    <n v="119831.25"/>
    <n v="0"/>
    <n v="119831.25"/>
    <n v="1.925"/>
    <s v="ARCADIA"/>
    <x v="1670"/>
    <d v="2024-07-12T00:00:00"/>
    <n v="0"/>
  </r>
  <r>
    <d v="2024-07-23T00:00:00"/>
    <n v="81000"/>
    <n v="186786.10725"/>
    <n v="20498.794999999998"/>
    <n v="166287.31225000002"/>
    <n v="2.0529297808641975"/>
    <s v="ACS Distribution"/>
    <x v="1671"/>
    <d v="2024-07-05T00:00:00"/>
    <n v="3919.1624999999999"/>
  </r>
  <r>
    <d v="2024-07-24T00:00:00"/>
    <n v="41000"/>
    <n v="78925"/>
    <n v="0"/>
    <n v="78925"/>
    <n v="1.925"/>
    <s v="ARCADIA"/>
    <x v="1672"/>
    <d v="2024-07-12T00:00:00"/>
    <n v="0"/>
  </r>
  <r>
    <d v="2024-07-24T00:00:00"/>
    <n v="20500"/>
    <n v="39462.5"/>
    <n v="0"/>
    <n v="39462.5"/>
    <n v="1.925"/>
    <s v="ARCADIA"/>
    <x v="1673"/>
    <d v="2024-07-12T00:00:00"/>
    <n v="0"/>
  </r>
  <r>
    <d v="2024-07-26T00:00:00"/>
    <n v="20150"/>
    <n v="49549.514949999997"/>
    <n v="7275.9"/>
    <n v="42273.614949999996"/>
    <n v="2.0979461513647641"/>
    <s v="ANGSTREM"/>
    <x v="1674"/>
    <d v="2024-06-19T00:00:00"/>
    <n v="871.35"/>
  </r>
  <r>
    <d v="2024-07-29T00:00:00"/>
    <n v="560000"/>
    <n v="879200"/>
    <n v="0"/>
    <n v="879200"/>
    <n v="1.57"/>
    <s v="SCIT"/>
    <x v="1675"/>
    <d v="2024-07-09T00:00:00"/>
    <n v="0"/>
  </r>
  <r>
    <d v="2024-07-29T00:00:00"/>
    <n v="52928"/>
    <n v="95729.2"/>
    <n v="0"/>
    <n v="95729.2"/>
    <n v="1.8086683796856107"/>
    <s v="TAB"/>
    <x v="1676"/>
    <d v="2024-07-24T00:00:00"/>
    <n v="0"/>
  </r>
  <r>
    <d v="2024-07-30T00:00:00"/>
    <n v="139008"/>
    <n v="292602.00847"/>
    <n v="0"/>
    <n v="292602.00847"/>
    <n v="2.1049292736389273"/>
    <s v="AL AKIL"/>
    <x v="1677"/>
    <d v="2024-07-13T00:00:00"/>
    <n v="0"/>
  </r>
  <r>
    <d v="2024-07-30T00:00:00"/>
    <n v="38400"/>
    <n v="79104"/>
    <n v="0"/>
    <n v="79104"/>
    <n v="2.06"/>
    <s v="SCIT"/>
    <x v="1678"/>
    <d v="2024-07-24T00:00:00"/>
    <n v="0"/>
  </r>
  <r>
    <d v="2024-07-31T00:00:00"/>
    <n v="133500"/>
    <n v="217897.5"/>
    <n v="0"/>
    <n v="217897.5"/>
    <n v="1.632191011235955"/>
    <s v="OMEGA"/>
    <x v="1679"/>
    <d v="2024-07-24T00:00:00"/>
    <n v="0"/>
  </r>
  <r>
    <s v="31//07/2024"/>
    <n v="75200"/>
    <n v="166144.42019999999"/>
    <n v="24810.53"/>
    <n v="141333.89019999999"/>
    <n v="1.8794400292553191"/>
    <s v="MATAMATA"/>
    <x v="1680"/>
    <d v="2024-07-23T00:00:00"/>
    <n v="4942.3500000000004"/>
  </r>
  <r>
    <d v="2024-07-31T00:00:00"/>
    <n v="54000"/>
    <n v="139440"/>
    <n v="0"/>
    <n v="139440"/>
    <n v="2.5822222222222222"/>
    <s v="GOLDEN PEARL"/>
    <x v="1681"/>
    <d v="2024-07-17T00:00:00"/>
    <n v="0"/>
  </r>
  <r>
    <d v="2024-07-31T00:00:00"/>
    <n v="43200"/>
    <n v="88992"/>
    <n v="0"/>
    <n v="88992"/>
    <n v="2.06"/>
    <s v="SAHEL"/>
    <x v="1682"/>
    <d v="2024-07-26T00:00:00"/>
    <n v="0"/>
  </r>
  <r>
    <d v="2024-07-31T00:00:00"/>
    <n v="44016"/>
    <n v="88472.16"/>
    <n v="0"/>
    <n v="88472.16"/>
    <n v="2.0100000000000002"/>
    <s v="SAHEL"/>
    <x v="1683"/>
    <d v="2024-04-26T00:00:00"/>
    <n v="0"/>
  </r>
  <r>
    <d v="2024-08-01T00:00:00"/>
    <n v="52000"/>
    <n v="79300"/>
    <n v="0"/>
    <n v="79300"/>
    <n v="1.5249999999999999"/>
    <s v="SCCI"/>
    <x v="1684"/>
    <d v="2024-07-17T00:00:00"/>
    <n v="0"/>
  </r>
  <r>
    <d v="2024-08-08T00:00:00"/>
    <n v="43200"/>
    <n v="88992"/>
    <n v="0"/>
    <n v="88992"/>
    <n v="2.06"/>
    <s v="SAHEL"/>
    <x v="1685"/>
    <d v="2024-08-05T00:00:00"/>
    <n v="0"/>
  </r>
  <r>
    <d v="2024-08-09T00:00:00"/>
    <n v="60000"/>
    <n v="126000"/>
    <n v="0"/>
    <n v="126000"/>
    <n v="2.1"/>
    <s v="MIDCOM"/>
    <x v="1686"/>
    <d v="2024-07-31T00:00:00"/>
    <n v="0"/>
  </r>
  <r>
    <d v="2024-08-14T00:00:00"/>
    <n v="40300"/>
    <n v="113879.51835"/>
    <n v="13786.93"/>
    <n v="100092.58835000001"/>
    <n v="2.4836870558312656"/>
    <s v="ANGSTREM"/>
    <x v="1687"/>
    <d v="2024-08-05T00:00:00"/>
    <n v="2884.15"/>
  </r>
  <r>
    <d v="2024-08-14T00:00:00"/>
    <n v="20150"/>
    <n v="49161.10355"/>
    <n v="7292.53"/>
    <n v="41868.573550000001"/>
    <n v="2.0778448411910668"/>
    <s v="ANGSTREM"/>
    <x v="1688"/>
    <d v="2024-08-05T00:00:00"/>
    <n v="865.245"/>
  </r>
  <r>
    <d v="2024-08-16T00:00:00"/>
    <n v="266534"/>
    <n v="573594.02284799994"/>
    <n v="0"/>
    <n v="573594.02284799994"/>
    <n v="2.1520482296742629"/>
    <s v="AL MAGEMOUA"/>
    <x v="1689"/>
    <d v="2024-08-02T00:00:00"/>
    <n v="0"/>
  </r>
  <r>
    <d v="2024-08-21T00:00:00"/>
    <n v="96000"/>
    <n v="197760"/>
    <n v="0"/>
    <n v="197760"/>
    <n v="2.06"/>
    <s v="SCIT"/>
    <x v="1690"/>
    <d v="2024-08-14T00:00:00"/>
    <n v="0"/>
  </r>
  <r>
    <d v="2024-08-21T00:00:00"/>
    <n v="280000"/>
    <n v="417200"/>
    <n v="0"/>
    <n v="417200"/>
    <n v="1.49"/>
    <s v="OMEGA"/>
    <x v="1691"/>
    <d v="2024-08-09T00:00:00"/>
    <n v="0"/>
  </r>
  <r>
    <d v="2024-08-22T00:00:00"/>
    <n v="22070"/>
    <n v="98519.184175999995"/>
    <n v="2455.4699999999998"/>
    <n v="96063.714175999994"/>
    <n v="4.3526830165835975"/>
    <s v="DAVIS TRADING"/>
    <x v="1692"/>
    <d v="2024-08-14T00:00:00"/>
    <n v="0"/>
  </r>
  <r>
    <d v="2024-08-22T00:00:00"/>
    <n v="27600"/>
    <n v="56856"/>
    <n v="0"/>
    <n v="56856"/>
    <n v="2.06"/>
    <s v="MARCOM"/>
    <x v="1693"/>
    <d v="2024-08-14T00:00:00"/>
    <n v="0"/>
  </r>
  <r>
    <d v="2024-08-22T00:00:00"/>
    <n v="84000"/>
    <n v="132720"/>
    <n v="0"/>
    <n v="132720"/>
    <n v="1.58"/>
    <s v="SCIT"/>
    <x v="1694"/>
    <d v="2024-08-09T00:00:00"/>
    <n v="0"/>
  </r>
  <r>
    <d v="2024-08-22T00:00:00"/>
    <n v="43200"/>
    <n v="88992"/>
    <n v="0"/>
    <n v="88992"/>
    <n v="2.06"/>
    <s v="SAHEL"/>
    <x v="1695"/>
    <d v="2024-08-14T00:00:00"/>
    <n v="0"/>
  </r>
  <r>
    <d v="2024-08-23T00:00:00"/>
    <n v="134400"/>
    <n v="299489.1361"/>
    <n v="31322.63"/>
    <n v="268166.5061"/>
    <n v="1.9952865037202381"/>
    <s v="LAMPFALL"/>
    <x v="1696"/>
    <d v="2024-08-14T00:00:00"/>
    <n v="5150.4250000000002"/>
  </r>
  <r>
    <d v="2024-08-23T00:00:00"/>
    <n v="22152"/>
    <n v="76041.015224999996"/>
    <n v="34889.784"/>
    <n v="41151.231224999996"/>
    <n v="1.8576756602112674"/>
    <s v="FOODMED"/>
    <x v="1697"/>
    <d v="2024-08-20T00:00:00"/>
    <n v="1863.3015"/>
  </r>
  <r>
    <d v="2024-08-23T00:00:00"/>
    <n v="22444"/>
    <n v="86139.506017499996"/>
    <n v="35887.332000000002"/>
    <n v="50252.174017499994"/>
    <n v="2.2390025849893065"/>
    <s v="FOODMED"/>
    <x v="1698"/>
    <d v="2024-08-20T00:00:00"/>
    <n v="1863.3015"/>
  </r>
  <r>
    <d v="2024-08-27T00:00:00"/>
    <n v="54000"/>
    <n v="124873.9565"/>
    <n v="13637.43"/>
    <n v="111236.52650000001"/>
    <n v="2.0599356759259262"/>
    <s v="ACS Distribution"/>
    <x v="1699"/>
    <d v="2024-08-19T00:00:00"/>
    <n v="2555.85"/>
  </r>
  <r>
    <d v="2024-08-27T00:00:00"/>
    <n v="56000"/>
    <n v="88480"/>
    <n v="0"/>
    <n v="88480"/>
    <n v="1.58"/>
    <s v="SAHEL"/>
    <x v="1700"/>
    <d v="2024-08-19T00:00:00"/>
    <n v="0"/>
  </r>
  <r>
    <d v="2024-08-28T00:00:00"/>
    <n v="25212"/>
    <n v="79587.935433000006"/>
    <n v="16990.68"/>
    <n v="62597.255433000006"/>
    <n v="2.4828357699904808"/>
    <s v="SODIFRAM"/>
    <x v="1701"/>
    <d v="2024-08-14T00:00:00"/>
    <n v="3729.6"/>
  </r>
  <r>
    <d v="2024-08-28T00:00:00"/>
    <n v="24792"/>
    <n v="78497.330778000003"/>
    <n v="16994.88"/>
    <n v="61502.450777999999"/>
    <n v="2.4807377693610841"/>
    <s v="SODIFRAM"/>
    <x v="1702"/>
    <d v="2024-08-22T00:00:00"/>
    <n v="3729.6"/>
  </r>
  <r>
    <d v="2024-08-28T00:00:00"/>
    <n v="23868"/>
    <n v="76199.831037000011"/>
    <n v="16974.88"/>
    <n v="59224.951037000006"/>
    <n v="2.4813537387715772"/>
    <s v="SODIFRAM"/>
    <x v="1703"/>
    <d v="2024-08-22T00:00:00"/>
    <n v="3729.6"/>
  </r>
  <r>
    <d v="2024-08-28T00:00:00"/>
    <n v="52040"/>
    <n v="91240.4"/>
    <n v="0"/>
    <n v="91240.4"/>
    <n v="1.7532744043043811"/>
    <s v="SAHEL"/>
    <x v="1704"/>
    <d v="2024-08-26T00:00:00"/>
    <n v="0"/>
  </r>
  <r>
    <d v="2024-08-29T00:00:00"/>
    <n v="57600"/>
    <n v="138466.70730000001"/>
    <n v="32359"/>
    <n v="106107.70730000001"/>
    <n v="1.8421476961805556"/>
    <s v="RNK Disribution"/>
    <x v="1705"/>
    <d v="2024-08-21T00:00:00"/>
    <n v="6858.75"/>
  </r>
  <r>
    <d v="2024-08-29T00:00:00"/>
    <n v="165000"/>
    <n v="278336.7"/>
    <n v="32319.526000000002"/>
    <n v="246017.174"/>
    <n v="1.4910131757575757"/>
    <s v="KASSO"/>
    <x v="1706"/>
    <d v="2024-08-26T00:00:00"/>
    <n v="4652.2124999999996"/>
  </r>
  <r>
    <d v="2024-08-30T00:00:00"/>
    <n v="96000"/>
    <n v="216832.101"/>
    <n v="22813.4"/>
    <n v="194018.701"/>
    <n v="2.0210281354166666"/>
    <s v="LAMPFALL"/>
    <x v="1707"/>
    <d v="2024-08-26T00:00:00"/>
    <n v="3681.25"/>
  </r>
  <r>
    <d v="2024-08-30T00:00:00"/>
    <n v="272160"/>
    <n v="506351.60700000002"/>
    <n v="41734.777999999998"/>
    <n v="464616.82900000003"/>
    <n v="1.7071459031452088"/>
    <s v="SEYAL TCHAD"/>
    <x v="1708"/>
    <d v="2024-08-26T00:00:00"/>
    <n v="11598.721250000001"/>
  </r>
  <r>
    <d v="2024-08-31T00:00:00"/>
    <n v="165000"/>
    <n v="277512.60000000003"/>
    <n v="32319.526000000002"/>
    <n v="245193.07400000002"/>
    <n v="1.4860186303030305"/>
    <s v="KASSO"/>
    <x v="1709"/>
    <d v="2024-08-26T00:00:00"/>
    <n v="4652.2124999999996"/>
  </r>
  <r>
    <d v="2024-08-31T00:00:00"/>
    <n v="134050"/>
    <n v="252074.50904999999"/>
    <n v="33826.618999999999"/>
    <n v="218247.89004999999"/>
    <n v="1.628108094367773"/>
    <s v="STE CHEMA"/>
    <x v="1710"/>
    <d v="2024-08-14T00:00:00"/>
    <n v="6330.19"/>
  </r>
  <r>
    <d v="2024-08-31T00:00:00"/>
    <n v="23608"/>
    <n v="73499.162506000008"/>
    <n v="14687.2"/>
    <n v="58811.962506000011"/>
    <n v="2.4911878391223317"/>
    <s v="SAFA FOOD"/>
    <x v="1711"/>
    <d v="2024-08-26T00:00:00"/>
    <n v="1943.6999999999998"/>
  </r>
  <r>
    <d v="2024-08-31T00:00:00"/>
    <n v="25370"/>
    <n v="82792.037559000004"/>
    <n v="13090.4"/>
    <n v="69701.63755900001"/>
    <n v="2.7474039242806469"/>
    <s v="SAFA FOOD"/>
    <x v="1712"/>
    <d v="2024-08-26T00:00:00"/>
    <n v="1664.7"/>
  </r>
  <r>
    <d v="2024-08-31T00:00:00"/>
    <n v="69509"/>
    <n v="147126.24"/>
    <n v="0"/>
    <n v="147126.24"/>
    <n v="2.1166502179573867"/>
    <s v="AL AKIL"/>
    <x v="1713"/>
    <d v="2024-08-26T00:00:00"/>
    <n v="0"/>
  </r>
  <r>
    <d v="2024-08-31T00:00:00"/>
    <n v="55824"/>
    <n v="119223.31680000002"/>
    <n v="0"/>
    <n v="119223.31680000002"/>
    <n v="2.1357000000000004"/>
    <s v="AL MAGEMOUA"/>
    <x v="1714"/>
    <d v="2024-08-28T00:00:00"/>
    <n v="0"/>
  </r>
  <r>
    <d v="2024-09-03T00:00:00"/>
    <n v="135000"/>
    <n v="222075"/>
    <n v="0"/>
    <n v="222075"/>
    <n v="1.645"/>
    <s v="TAB"/>
    <x v="1715"/>
    <d v="2024-08-14T00:00:00"/>
    <n v="0"/>
  </r>
  <r>
    <d v="2024-09-03T00:00:00"/>
    <n v="19160"/>
    <n v="42639.613305000006"/>
    <n v="7020.64"/>
    <n v="35618.973305000007"/>
    <n v="1.8590278342901883"/>
    <s v="HK ENTREPRISE"/>
    <x v="1716"/>
    <d v="2024-08-14T00:00:00"/>
    <n v="1448.01"/>
  </r>
  <r>
    <d v="2024-09-03T00:00:00"/>
    <n v="57600"/>
    <n v="115200"/>
    <n v="0"/>
    <n v="115200"/>
    <n v="2"/>
    <s v="OMEGA"/>
    <x v="1717"/>
    <d v="2024-08-21T00:00:00"/>
    <n v="0"/>
  </r>
  <r>
    <d v="2024-09-05T00:00:00"/>
    <n v="330000"/>
    <n v="478500"/>
    <n v="0"/>
    <n v="478500"/>
    <n v="1.45"/>
    <s v="OMEGA"/>
    <x v="1718"/>
    <d v="2024-08-30T00:00:00"/>
    <n v="0"/>
  </r>
  <r>
    <d v="2024-09-05T00:00:00"/>
    <n v="19200"/>
    <n v="39552"/>
    <n v="0"/>
    <n v="39552"/>
    <n v="2.06"/>
    <s v="SAHEL"/>
    <x v="1719"/>
    <d v="2024-09-03T00:00:00"/>
    <n v="0"/>
  </r>
  <r>
    <d v="2024-09-05T00:00:00"/>
    <n v="63808"/>
    <n v="118127.08"/>
    <n v="0"/>
    <n v="118127.08"/>
    <n v="1.8512894934804414"/>
    <s v="SCIT"/>
    <x v="1720"/>
    <d v="2024-08-21T00:00:00"/>
    <n v="0"/>
  </r>
  <r>
    <d v="2024-09-06T00:00:00"/>
    <n v="55000"/>
    <n v="111780.44074999999"/>
    <n v="14634.26"/>
    <n v="97146.18075"/>
    <n v="1.7662941954545455"/>
    <s v="ACS Distribution"/>
    <x v="1721"/>
    <d v="2024-09-02T00:00:00"/>
    <n v="2648.6"/>
  </r>
  <r>
    <d v="2024-09-06T00:00:00"/>
    <n v="22800"/>
    <n v="42408"/>
    <n v="0"/>
    <n v="42408"/>
    <n v="1.86"/>
    <s v="TAB"/>
    <x v="1722"/>
    <d v="2024-08-28T00:00:00"/>
    <n v="0"/>
  </r>
  <r>
    <d v="2024-09-07T00:00:00"/>
    <n v="24008"/>
    <n v="65946.267276999992"/>
    <n v="13642.495999999999"/>
    <n v="52303.771276999993"/>
    <n v="2.1785976040069972"/>
    <s v="SODIC"/>
    <x v="1723"/>
    <d v="2024-09-06T00:00:00"/>
    <n v="1858.4279999999999"/>
  </r>
  <r>
    <d v="2024-09-07T00:00:00"/>
    <n v="23832"/>
    <n v="72638.955091999989"/>
    <n v="13642.495999999999"/>
    <n v="58996.45909199999"/>
    <n v="2.4755143962739168"/>
    <s v="SODIC"/>
    <x v="1724"/>
    <d v="2024-09-06T00:00:00"/>
    <n v="1858.4279999999999"/>
  </r>
  <r>
    <d v="2024-09-10T00:00:00"/>
    <n v="22456"/>
    <n v="80719.1821605"/>
    <n v="27369.210999999999"/>
    <n v="53349.971160500005"/>
    <n v="2.3757557517144638"/>
    <s v="FOODMED"/>
    <x v="1725"/>
    <d v="2024-09-03T00:00:00"/>
    <n v="10303.23"/>
  </r>
  <r>
    <d v="2024-09-11T00:00:00"/>
    <n v="16500"/>
    <n v="60600"/>
    <n v="0"/>
    <n v="60600"/>
    <n v="3.6727272727272728"/>
    <s v="ARCADIA"/>
    <x v="1726"/>
    <d v="2024-08-28T00:00:00"/>
    <n v="0"/>
  </r>
  <r>
    <d v="2024-09-12T00:00:00"/>
    <n v="275000"/>
    <n v="404250"/>
    <n v="0"/>
    <n v="404250"/>
    <n v="1.47"/>
    <s v="OMEGA"/>
    <x v="1727"/>
    <d v="2024-09-06T00:00:00"/>
    <n v="0"/>
  </r>
  <r>
    <d v="2024-09-13T00:00:00"/>
    <n v="57600"/>
    <n v="129695.61960000001"/>
    <n v="14956.254999999999"/>
    <n v="114739.3646"/>
    <n v="1.9920028576388888"/>
    <s v="LAMPFALL"/>
    <x v="1728"/>
    <d v="2024-09-11T00:00:00"/>
    <n v="2551.7249999999999"/>
  </r>
  <r>
    <d v="2024-09-13T00:00:00"/>
    <n v="24792"/>
    <n v="78022.093944000007"/>
    <n v="16390.52"/>
    <n v="61631.573944000003"/>
    <n v="2.4859460287189417"/>
    <s v="SODIFRAM"/>
    <x v="1729"/>
    <d v="2024-09-11T00:00:00"/>
    <n v="3710.4"/>
  </r>
  <r>
    <d v="2024-09-18T00:00:00"/>
    <n v="28020"/>
    <n v="60108.481984999999"/>
    <n v="8592.76"/>
    <n v="51515.721984999996"/>
    <n v="1.8385339751962881"/>
    <s v="EASB "/>
    <x v="1730"/>
    <d v="2024-09-11T00:00:00"/>
    <n v="1744.365"/>
  </r>
  <r>
    <d v="2024-09-19T00:00:00"/>
    <n v="38400"/>
    <n v="76416"/>
    <n v="0"/>
    <n v="76416"/>
    <n v="1.99"/>
    <s v="SAHEL"/>
    <x v="1731"/>
    <d v="2024-09-12T00:00:00"/>
    <n v="0"/>
  </r>
  <r>
    <d v="2024-09-21T00:00:00"/>
    <n v="112500"/>
    <n v="180000"/>
    <n v="0"/>
    <n v="180000"/>
    <n v="1.6"/>
    <s v="TAB"/>
    <x v="1732"/>
    <d v="2024-09-11T00:00:00"/>
    <n v="0"/>
  </r>
  <r>
    <d v="2024-09-23T00:00:00"/>
    <n v="104000"/>
    <n v="185529.61799999999"/>
    <n v="19793.419999999998"/>
    <n v="165736.19799999997"/>
    <n v="1.5936172884615383"/>
    <s v="ACS Distribution"/>
    <x v="1733"/>
    <d v="2024-07-12T00:00:00"/>
    <n v="3401.2"/>
  </r>
  <r>
    <d v="2024-09-24T00:00:00"/>
    <n v="38400"/>
    <n v="71808"/>
    <n v="0"/>
    <n v="71808"/>
    <n v="1.87"/>
    <s v="RIVEXIA"/>
    <x v="1734"/>
    <d v="2024-09-19T00:00:00"/>
    <n v="0"/>
  </r>
  <r>
    <d v="2024-09-24T00:00:00"/>
    <n v="112000"/>
    <n v="229600"/>
    <n v="0"/>
    <n v="229600"/>
    <n v="2.0499999999999998"/>
    <s v="MARCOM"/>
    <x v="1735"/>
    <d v="2024-09-11T00:00:00"/>
    <n v="0"/>
  </r>
  <r>
    <d v="2024-09-25T00:00:00"/>
    <n v="23112"/>
    <n v="63195.295346999999"/>
    <n v="12186.28"/>
    <n v="51009.015347"/>
    <n v="2.2070359703617171"/>
    <s v="SODIC"/>
    <x v="1736"/>
    <d v="2024-09-19T00:00:00"/>
    <n v="1827.7920000000001"/>
  </r>
  <r>
    <d v="2024-09-25T00:00:00"/>
    <n v="55840"/>
    <n v="101024.4"/>
    <n v="0"/>
    <n v="101024.4"/>
    <n v="1.8091762177650428"/>
    <s v="SAHEL"/>
    <x v="1737"/>
    <d v="2024-09-20T00:00:00"/>
    <n v="0"/>
  </r>
  <r>
    <d v="2024-09-25T00:00:00"/>
    <n v="100020"/>
    <n v="214042.8"/>
    <n v="0"/>
    <n v="214042.8"/>
    <n v="2.1399999999999997"/>
    <s v="AL AKIL"/>
    <x v="1738"/>
    <d v="2024-08-26T00:00:00"/>
    <n v="0"/>
  </r>
  <r>
    <d v="2024-09-26T00:00:00"/>
    <n v="44016"/>
    <n v="85391.039999999994"/>
    <n v="0"/>
    <n v="85391.039999999994"/>
    <n v="1.94"/>
    <s v="SAHEL"/>
    <x v="1739"/>
    <d v="2024-09-20T00:00:00"/>
    <n v="0"/>
  </r>
  <r>
    <d v="2024-09-26T00:00:00"/>
    <n v="22680"/>
    <n v="57402.321360000009"/>
    <n v="6755.3"/>
    <n v="50647.021360000006"/>
    <n v="2.2331138165784834"/>
    <s v="ABOURA"/>
    <x v="1740"/>
    <d v="2024-09-13T00:00:00"/>
    <n v="709.125"/>
  </r>
  <r>
    <d v="2024-09-26T00:00:00"/>
    <n v="25644"/>
    <n v="80500.456812999997"/>
    <n v="18640.810000000001"/>
    <n v="61859.646812999999"/>
    <n v="2.4122464051240056"/>
    <s v="SODIFRAM"/>
    <x v="1741"/>
    <d v="2024-09-20T00:00:00"/>
    <n v="3703.2"/>
  </r>
  <r>
    <d v="2024-09-28T00:00:00"/>
    <n v="40300"/>
    <n v="112151.94802500001"/>
    <n v="13447.91"/>
    <n v="98704.038025000002"/>
    <n v="2.4492317127791563"/>
    <s v="ANGSTREM"/>
    <x v="1742"/>
    <d v="2024-09-24T00:00:00"/>
    <n v="1723.8300000000002"/>
  </r>
  <r>
    <d v="2024-10-02T00:00:00"/>
    <n v="275000"/>
    <n v="398750"/>
    <n v="0"/>
    <n v="398750"/>
    <n v="1.45"/>
    <s v="OMEGA"/>
    <x v="1743"/>
    <d v="2024-09-25T00:00:00"/>
    <n v="0"/>
  </r>
  <r>
    <d v="2024-10-02T00:00:00"/>
    <n v="43200"/>
    <n v="76896"/>
    <n v="0"/>
    <n v="76896"/>
    <n v="1.78"/>
    <s v="SAHEL"/>
    <x v="1744"/>
    <d v="2024-09-27T00:00:00"/>
    <n v="0"/>
  </r>
  <r>
    <d v="2024-10-03T00:00:00"/>
    <n v="130000"/>
    <n v="208000"/>
    <n v="0"/>
    <n v="208000"/>
    <n v="1.6"/>
    <s v="SAHEL"/>
    <x v="1745"/>
    <d v="2024-09-27T00:00:00"/>
    <n v="0"/>
  </r>
  <r>
    <d v="2024-10-04T00:00:00"/>
    <n v="23968"/>
    <n v="71585.474887500008"/>
    <n v="12064.96"/>
    <n v="59520.514887500009"/>
    <n v="2.4833325637308081"/>
    <s v="SODIC"/>
    <x v="1746"/>
    <d v="2024-10-02T00:00:00"/>
    <n v="1809.7439999999999"/>
  </r>
  <r>
    <d v="2024-10-07T00:00:00"/>
    <n v="41000"/>
    <n v="95530"/>
    <n v="0"/>
    <n v="95530"/>
    <n v="2.33"/>
    <s v="MIDCOM"/>
    <x v="1747"/>
    <d v="2024-10-02T00:00:00"/>
    <n v="0"/>
  </r>
  <r>
    <d v="2024-10-09T00:00:00"/>
    <n v="56000"/>
    <n v="94360"/>
    <n v="0"/>
    <n v="94360"/>
    <n v="1.6850000000000001"/>
    <s v="SAHEL"/>
    <x v="1748"/>
    <d v="2024-09-27T00:00:00"/>
    <n v="0"/>
  </r>
  <r>
    <d v="2024-10-09T00:00:00"/>
    <n v="38400"/>
    <n v="76416"/>
    <n v="0"/>
    <n v="76416"/>
    <n v="1.99"/>
    <s v="SCIT"/>
    <x v="1749"/>
    <d v="2024-10-02T00:00:00"/>
    <n v="0"/>
  </r>
  <r>
    <d v="2024-10-10T00:00:00"/>
    <n v="20150"/>
    <n v="48965.306000000004"/>
    <n v="7360.8149999999996"/>
    <n v="41604.491000000002"/>
    <n v="2.0647390074441687"/>
    <s v="ANGSTREM"/>
    <x v="1750"/>
    <d v="2024-10-07T00:00:00"/>
    <n v="871.07249999999988"/>
  </r>
  <r>
    <d v="2024-10-10T00:00:00"/>
    <n v="56400"/>
    <n v="138266.21899999998"/>
    <n v="32196.115000000002"/>
    <n v="106070.10399999998"/>
    <n v="1.880675602836879"/>
    <s v="RNK Disribution"/>
    <x v="1751"/>
    <d v="2024-10-07T00:00:00"/>
    <n v="6945.0375000000004"/>
  </r>
  <r>
    <d v="2024-10-11T00:00:00"/>
    <n v="22264"/>
    <n v="61897.558045000005"/>
    <n v="12100.96"/>
    <n v="49796.598045000006"/>
    <n v="2.2366420250179666"/>
    <s v="SODIC"/>
    <x v="1752"/>
    <d v="2024-10-10T00:00:00"/>
    <n v="1815.1439999999998"/>
  </r>
  <r>
    <d v="2024-10-14T00:00:00"/>
    <n v="68400"/>
    <n v="130704"/>
    <n v="0"/>
    <n v="130704"/>
    <n v="1.9108771929824562"/>
    <s v="SCIT"/>
    <x v="1753"/>
    <d v="2024-10-02T00:00:00"/>
    <n v="0"/>
  </r>
  <r>
    <d v="2024-10-16T00:00:00"/>
    <n v="187432"/>
    <n v="857624.32504799997"/>
    <n v="0"/>
    <n v="857624.32504799997"/>
    <n v="4.5756558381066199"/>
    <s v="AL MAGEMOUA"/>
    <x v="1754"/>
    <d v="2024-10-10T00:00:00"/>
    <n v="0"/>
  </r>
  <r>
    <d v="2024-10-16T00:00:00"/>
    <n v="27600"/>
    <n v="63685.209599999995"/>
    <n v="8990.6149999999998"/>
    <n v="54694.594599999997"/>
    <n v="1.9816882101449274"/>
    <s v="MATMATA"/>
    <x v="1755"/>
    <d v="2024-10-07T00:00:00"/>
    <n v="1810.675"/>
  </r>
  <r>
    <d v="2024-10-16T00:00:00"/>
    <n v="19300"/>
    <n v="79993.457391000004"/>
    <n v="2381.37"/>
    <n v="77612.087391000008"/>
    <n v="4.0213516782901557"/>
    <s v="DAVIS TRADING"/>
    <x v="1756"/>
    <d v="2024-10-07T00:00:00"/>
    <m/>
  </r>
  <r>
    <d v="2024-10-17T00:00:00"/>
    <n v="275000"/>
    <n v="398750"/>
    <n v="0"/>
    <n v="398750"/>
    <n v="1.45"/>
    <s v="OMEGA"/>
    <x v="1757"/>
    <d v="2024-10-07T00:00:00"/>
    <n v="0"/>
  </r>
  <r>
    <d v="2024-10-17T00:00:00"/>
    <n v="19200"/>
    <n v="38208"/>
    <n v="0"/>
    <n v="38208"/>
    <n v="1.99"/>
    <s v="SAHEL"/>
    <x v="1758"/>
    <d v="2024-10-14T00:00:00"/>
    <n v="0"/>
  </r>
  <r>
    <d v="2024-10-18T00:00:00"/>
    <n v="22680"/>
    <n v="69309.00585999999"/>
    <n v="18351.61"/>
    <n v="50957.39585999999"/>
    <n v="2.2467987592592586"/>
    <s v="SODIFRAM"/>
    <x v="1759"/>
    <d v="2024-10-14T00:00:00"/>
    <n v="3796.8"/>
  </r>
  <r>
    <d v="2024-10-18T00:00:00"/>
    <n v="20912"/>
    <n v="59497.111669999998"/>
    <n v="12064.96"/>
    <n v="47432.151669999999"/>
    <n v="2.2681786376243305"/>
    <s v="SODIC "/>
    <x v="1760"/>
    <d v="2024-10-17T00:00:00"/>
    <n v="1278.2774999999999"/>
  </r>
  <r>
    <d v="2024-10-23T00:00:00"/>
    <n v="24408"/>
    <n v="16705.453603499998"/>
    <n v="0"/>
    <n v="16705.453603499998"/>
    <n v="0.68442533609881995"/>
    <s v="SODIC"/>
    <x v="1761"/>
    <d v="2024-10-18T00:00:00"/>
    <n v="0"/>
  </r>
  <r>
    <d v="2024-10-23T00:00:00"/>
    <n v="22712"/>
    <n v="17817.268549500001"/>
    <n v="0"/>
    <n v="17817.268549500001"/>
    <n v="0.78448699143624523"/>
    <s v="SODIC"/>
    <x v="1762"/>
    <d v="2024-10-18T00:00:00"/>
    <n v="0"/>
  </r>
  <r>
    <d v="2024-10-23T00:00:00"/>
    <n v="44400"/>
    <n v="75924"/>
    <n v="0"/>
    <n v="75924"/>
    <n v="1.71"/>
    <s v="SAHEL"/>
    <x v="1763"/>
    <d v="2024-10-15T00:00:00"/>
    <n v="0"/>
  </r>
  <r>
    <d v="2024-10-23T00:00:00"/>
    <n v="104000"/>
    <n v="153920"/>
    <n v="0"/>
    <n v="153920"/>
    <n v="1.48"/>
    <s v="SCCI"/>
    <x v="1764"/>
    <d v="2024-10-09T00:00:00"/>
    <n v="0"/>
  </r>
  <r>
    <d v="2024-10-23T00:00:00"/>
    <n v="112500"/>
    <n v="180000"/>
    <n v="0"/>
    <n v="180000"/>
    <n v="1.6"/>
    <s v="TAB"/>
    <x v="1765"/>
    <d v="2024-10-17T00:00:00"/>
    <n v="0"/>
  </r>
  <r>
    <d v="2024-10-24T00:00:00"/>
    <n v="23256"/>
    <n v="17510.580701999999"/>
    <n v="0"/>
    <n v="17510.580701999999"/>
    <n v="0.75294894659442724"/>
    <s v="SODIC"/>
    <x v="1766"/>
    <d v="2024-10-22T00:00:00"/>
    <n v="0"/>
  </r>
  <r>
    <d v="2024-10-24T00:00:00"/>
    <n v="46024"/>
    <n v="42391.326289500001"/>
    <n v="0"/>
    <n v="42391.326289500001"/>
    <n v="0.92107001324309057"/>
    <s v="SODIC"/>
    <x v="1767"/>
    <d v="2024-10-22T00:00:00"/>
    <n v="0"/>
  </r>
  <r>
    <d v="2024-10-24T00:00:00"/>
    <n v="20750"/>
    <n v="39632.5"/>
    <n v="0"/>
    <n v="39632.5"/>
    <n v="1.91"/>
    <s v="SAHEL"/>
    <x v="1768"/>
    <d v="2024-10-21T00:00:00"/>
    <n v="0"/>
  </r>
  <r>
    <d v="2024-10-24T00:00:00"/>
    <n v="20750"/>
    <n v="39632.5"/>
    <n v="0"/>
    <n v="39632.5"/>
    <n v="1.91"/>
    <s v="SAHEL"/>
    <x v="1769"/>
    <d v="2024-10-18T00:00:00"/>
    <n v="0"/>
  </r>
  <r>
    <d v="2024-10-24T00:00:00"/>
    <n v="40300"/>
    <n v="114454.76054999999"/>
    <n v="13645.665000000001"/>
    <n v="100809.09555"/>
    <n v="2.5014663908188584"/>
    <s v="ANGSTREM"/>
    <x v="1770"/>
    <d v="2024-10-14T00:00:00"/>
    <n v="1753.2449999999999"/>
  </r>
  <r>
    <d v="2024-10-24T00:00:00"/>
    <n v="20150"/>
    <n v="49409.432150000001"/>
    <n v="7050.915"/>
    <n v="42358.51715"/>
    <n v="2.1021596600496277"/>
    <s v="ANGSTREM"/>
    <x v="1771"/>
    <d v="2024-10-17T00:00:00"/>
    <n v="876.62249999999995"/>
  </r>
  <r>
    <d v="2024-10-25T00:00:00"/>
    <n v="56000"/>
    <n v="91160"/>
    <n v="0"/>
    <n v="91160"/>
    <n v="1.6278571428571429"/>
    <s v="TAB"/>
    <x v="1772"/>
    <d v="2024-10-18T00:00:00"/>
    <n v="0"/>
  </r>
  <r>
    <d v="2024-10-25T00:00:00"/>
    <n v="90000"/>
    <n v="139500"/>
    <n v="0"/>
    <n v="139500"/>
    <n v="1.55"/>
    <s v="TAB"/>
    <x v="1773"/>
    <d v="2024-10-15T00:00:00"/>
    <n v="0"/>
  </r>
  <r>
    <d v="2024-10-25T00:00:00"/>
    <n v="372000"/>
    <n v="644220"/>
    <n v="0"/>
    <n v="644220"/>
    <n v="1.731774193548387"/>
    <s v="MARCOM"/>
    <x v="1774"/>
    <d v="2024-10-07T00:00:00"/>
    <n v="0"/>
  </r>
  <r>
    <d v="2024-10-28T00:00:00"/>
    <n v="21200"/>
    <n v="40558"/>
    <n v="0"/>
    <n v="40558"/>
    <n v="1.9131132075471697"/>
    <s v="TAB"/>
    <x v="1775"/>
    <d v="2024-10-18T00:00:00"/>
    <n v="0"/>
  </r>
  <r>
    <d v="2024-10-29T00:00:00"/>
    <n v="23664"/>
    <n v="15809.819706"/>
    <n v="0"/>
    <n v="15809.819706"/>
    <n v="0.66809582936105483"/>
    <s v="SODIC"/>
    <x v="1776"/>
    <d v="2024-10-25T00:00:00"/>
    <n v="0"/>
  </r>
  <r>
    <d v="2024-10-29T00:00:00"/>
    <n v="22680"/>
    <n v="69253.440939999986"/>
    <n v="16305.115"/>
    <n v="52948.325939999988"/>
    <n v="2.334582272486772"/>
    <s v="SODISCOUNT"/>
    <x v="1777"/>
    <d v="2024-10-17T00:00:00"/>
    <n v="3778.8"/>
  </r>
  <r>
    <d v="2024-10-29T00:00:00"/>
    <n v="52000"/>
    <n v="88907.262999999992"/>
    <n v="11801.305"/>
    <n v="77105.957999999984"/>
    <n v="1.4828068846153843"/>
    <s v="LAMPFALL"/>
    <x v="1778"/>
    <d v="2024-09-26T00:00:00"/>
    <n v="2258.6849999999999"/>
  </r>
  <r>
    <d v="2024-10-30T00:00:00"/>
    <n v="38400"/>
    <n v="89857.73060000001"/>
    <n v="15373.945"/>
    <n v="74483.785600000003"/>
    <n v="1.9396819166666668"/>
    <s v="MATMATA"/>
    <x v="1779"/>
    <d v="2024-10-18T00:00:00"/>
    <n v="3125.3825000000002"/>
  </r>
  <r>
    <d v="2024-10-30T00:00:00"/>
    <n v="109274"/>
    <n v="206194.06"/>
    <n v="0"/>
    <n v="206194.06"/>
    <n v="1.8869452934824387"/>
    <s v="SCIT"/>
    <x v="1780"/>
    <d v="2024-10-18T00:00:00"/>
    <n v="0"/>
  </r>
  <r>
    <d v="2024-10-31T00:00:00"/>
    <n v="23608"/>
    <n v="72620.79622199999"/>
    <n v="16275.725"/>
    <n v="56345.071221999991"/>
    <n v="2.3866939690782782"/>
    <s v="SAFA FOOD"/>
    <x v="1781"/>
    <d v="2024-10-15T00:00:00"/>
    <n v="2173.7624999999998"/>
  </r>
  <r>
    <d v="2024-10-31T00:00:00"/>
    <n v="278400"/>
    <n v="487777.78022399999"/>
    <n v="72333.119999999995"/>
    <n v="415444.66022399999"/>
    <n v="1.4922581186206896"/>
    <s v="SEYAL TCHAD"/>
    <x v="1782"/>
    <d v="2024-10-15T00:00:00"/>
    <n v="13853.254999999999"/>
  </r>
  <r>
    <d v="2024-10-31T00:00:00"/>
    <n v="20500"/>
    <n v="45100"/>
    <n v="0"/>
    <n v="45100"/>
    <n v="2.2000000000000002"/>
    <s v="ARCADIA"/>
    <x v="1783"/>
    <m/>
    <n v="0"/>
  </r>
  <r>
    <d v="2024-10-31T00:00:00"/>
    <n v="19200"/>
    <n v="38208"/>
    <n v="0"/>
    <n v="38208"/>
    <n v="1.99"/>
    <s v="SAHEL"/>
    <x v="1784"/>
    <m/>
    <n v="0"/>
  </r>
  <r>
    <d v="2024-11-01T00:00:00"/>
    <n v="150000"/>
    <n v="315000"/>
    <n v="0"/>
    <n v="315000"/>
    <n v="2.1"/>
    <s v="AL AKIL"/>
    <x v="1785"/>
    <d v="2024-10-25T00:00:00"/>
    <n v="0"/>
  </r>
  <r>
    <d v="2024-11-08T00:00:00"/>
    <n v="60019.199999999997"/>
    <n v="141045.12"/>
    <n v="0"/>
    <n v="141045.12"/>
    <n v="2.35"/>
    <s v="LAMET ALIKHWA"/>
    <x v="1786"/>
    <d v="2024-11-04T00:00:00"/>
    <n v="0"/>
  </r>
  <r>
    <d v="2024-11-08T00:00:00"/>
    <n v="162750"/>
    <n v="258382.5"/>
    <n v="0"/>
    <n v="258382.5"/>
    <n v="1.5876036866359446"/>
    <s v="MARCOM"/>
    <x v="1787"/>
    <d v="2024-11-04T00:00:00"/>
    <n v="0"/>
  </r>
  <r>
    <d v="2024-11-11T00:00:00"/>
    <n v="20000"/>
    <n v="40500"/>
    <n v="0"/>
    <n v="40500"/>
    <n v="2.0249999999999999"/>
    <s v="MIDCOM"/>
    <x v="1788"/>
    <d v="2024-10-21T00:00:00"/>
    <n v="0"/>
  </r>
  <r>
    <d v="2024-11-11T00:00:00"/>
    <n v="93600"/>
    <n v="171405.42120000001"/>
    <n v="27056.400000000001"/>
    <n v="144349.02120000002"/>
    <n v="1.5421903974358977"/>
    <s v="STE Chema"/>
    <x v="1789"/>
    <d v="2024-10-29T00:00:00"/>
    <n v="4886.8"/>
  </r>
  <r>
    <d v="2024-11-13T00:00:00"/>
    <n v="23504"/>
    <n v="33804.312970499996"/>
    <n v="16286.254000000001"/>
    <n v="17518.058970499995"/>
    <n v="0.74532245449710666"/>
    <s v="SODIC"/>
    <x v="1790"/>
    <d v="2024-11-12T00:00:00"/>
    <n v="1582.14105"/>
  </r>
  <r>
    <d v="2024-11-14T00:00:00"/>
    <n v="338000"/>
    <n v="612243.821"/>
    <n v="103408.48"/>
    <n v="508835.34100000001"/>
    <n v="1.5054300029585799"/>
    <s v="LAMPFALL"/>
    <x v="1791"/>
    <d v="2024-09-26T00:00:00"/>
    <n v="20720.7"/>
  </r>
  <r>
    <d v="2024-11-14T00:00:00"/>
    <n v="52000"/>
    <n v="76960"/>
    <n v="0"/>
    <n v="76960"/>
    <n v="1.48"/>
    <s v="SCCI"/>
    <x v="1792"/>
    <d v="2024-11-12T00:00:00"/>
    <n v="0"/>
  </r>
  <r>
    <d v="2024-11-14T00:00:00"/>
    <n v="20820"/>
    <n v="76823.607426999995"/>
    <n v="2619.37"/>
    <n v="74204.237427"/>
    <n v="3.5640844105187321"/>
    <s v="DAVIS TRADING"/>
    <x v="1793"/>
    <d v="2024-10-29T00:00:00"/>
    <n v="0"/>
  </r>
  <r>
    <d v="2024-11-14T00:00:00"/>
    <n v="20150"/>
    <n v="47224.713737499995"/>
    <n v="7057.7"/>
    <n v="40167.013737499998"/>
    <n v="1.9934001854838708"/>
    <s v="ANGSTREM"/>
    <x v="1794"/>
    <d v="2024-11-08T00:00:00"/>
    <n v="893.55"/>
  </r>
  <r>
    <d v="2024-11-15T00:00:00"/>
    <n v="45436"/>
    <n v="78359.705648000003"/>
    <n v="24328.799999999999"/>
    <n v="54030.905648"/>
    <n v="1.1891651036182762"/>
    <s v="SODIC"/>
    <x v="1795"/>
    <d v="2024-11-13T00:00:00"/>
    <n v="2796.7979999999998"/>
  </r>
  <r>
    <d v="2024-11-15T00:00:00"/>
    <n v="15795"/>
    <n v="51347.653332000009"/>
    <n v="9495.91"/>
    <n v="41851.743332000013"/>
    <n v="2.6496830219689782"/>
    <s v="SAFA FOOD"/>
    <x v="1796"/>
    <d v="2024-09-20T00:00:00"/>
    <n v="1284.7199999999998"/>
  </r>
  <r>
    <d v="2024-11-15T00:00:00"/>
    <n v="38400"/>
    <n v="76416"/>
    <n v="0"/>
    <n v="76416"/>
    <n v="1.99"/>
    <s v="SCIT"/>
    <x v="1797"/>
    <d v="2024-11-08T00:00:00"/>
    <n v="0"/>
  </r>
  <r>
    <d v="2024-11-15T00:00:00"/>
    <n v="20000"/>
    <n v="43000"/>
    <n v="0"/>
    <n v="43000"/>
    <n v="2.15"/>
    <s v="ARCADIA"/>
    <x v="1798"/>
    <d v="2024-11-04T00:00:00"/>
    <n v="0"/>
  </r>
  <r>
    <d v="2024-11-18T00:00:00"/>
    <n v="26000"/>
    <n v="49765.787499999999"/>
    <n v="4587.55"/>
    <n v="45178.237499999996"/>
    <n v="1.7376245192307691"/>
    <s v="RAMMAS"/>
    <x v="1799"/>
    <d v="2024-11-04T00:00:00"/>
    <n v="1411.8125"/>
  </r>
  <r>
    <d v="2024-11-18T00:00:00"/>
    <n v="110000"/>
    <n v="180042.17"/>
    <n v="24080.75"/>
    <n v="155961.42000000001"/>
    <n v="1.417831090909091"/>
    <s v="STE Chema"/>
    <x v="1800"/>
    <d v="2024-11-12T00:00:00"/>
    <n v="4298.3"/>
  </r>
  <r>
    <d v="2024-11-19T00:00:00"/>
    <n v="57600"/>
    <n v="114048"/>
    <n v="0"/>
    <n v="114048"/>
    <n v="1.98"/>
    <s v="SCIT"/>
    <x v="1801"/>
    <d v="2024-11-13T00:00:00"/>
    <n v="0"/>
  </r>
  <r>
    <d v="2024-11-19T00:00:00"/>
    <n v="32070"/>
    <n v="142025.84340000001"/>
    <n v="0"/>
    <n v="142025.84340000001"/>
    <n v="4.4286200000000004"/>
    <s v="AL MAGEMOUA"/>
    <x v="1802"/>
    <d v="2024-11-15T00:00:00"/>
    <n v="0"/>
  </r>
  <r>
    <d v="2024-11-19T00:00:00"/>
    <n v="48216"/>
    <n v="154097.502328"/>
    <n v="35359.72"/>
    <n v="118737.782328"/>
    <n v="2.46262199950224"/>
    <s v="GREENWORLD"/>
    <x v="1803"/>
    <d v="2024-11-13T00:00:00"/>
    <n v="4799.5199999999995"/>
  </r>
  <r>
    <d v="2024-11-19T00:00:00"/>
    <n v="45611"/>
    <n v="104127.86448400001"/>
    <n v="4320.652"/>
    <n v="99807.212484000003"/>
    <n v="2.1882267980092522"/>
    <s v="DEBENHAM "/>
    <x v="1804"/>
    <d v="2024-11-04T00:00:00"/>
    <n v="375"/>
  </r>
  <r>
    <d v="2024-11-19T00:00:00"/>
    <n v="40300"/>
    <n v="110271.05635"/>
    <n v="14470.555"/>
    <n v="95800.501350000006"/>
    <n v="2.3771836563275435"/>
    <s v="ANGSTREM"/>
    <x v="1805"/>
    <d v="2024-11-08T00:00:00"/>
    <n v="1783.2149999999999"/>
  </r>
  <r>
    <d v="2024-11-20T00:00:00"/>
    <n v="20750"/>
    <n v="39632.5"/>
    <n v="0"/>
    <n v="39632.5"/>
    <n v="1.91"/>
    <s v="SAHEL"/>
    <x v="1806"/>
    <d v="2024-10-28T00:00:00"/>
    <n v="0"/>
  </r>
  <r>
    <d v="2024-11-20T00:00:00"/>
    <n v="53180"/>
    <n v="116850.4283"/>
    <n v="18250.848000000002"/>
    <n v="98599.580300000001"/>
    <n v="1.8540725893192931"/>
    <s v="EASB NAFA"/>
    <x v="1807"/>
    <d v="2024-10-29T00:00:00"/>
    <n v="3683.5619999999999"/>
  </r>
  <r>
    <d v="2024-11-22T00:00:00"/>
    <n v="156000"/>
    <n v="285654.408"/>
    <n v="37957.131999999998"/>
    <n v="247697.27600000001"/>
    <n v="1.5878030512820513"/>
    <s v="RAMMAS"/>
    <x v="1808"/>
    <d v="2024-10-29T00:00:00"/>
    <n v="6909.72"/>
  </r>
  <r>
    <d v="2024-11-22T00:00:00"/>
    <n v="180818"/>
    <n v="341911.64"/>
    <n v="0"/>
    <n v="341911.64"/>
    <n v="1.8909159486334326"/>
    <s v="SCIT"/>
    <x v="1809"/>
    <d v="2024-11-18T00:00:00"/>
    <n v="0"/>
  </r>
  <r>
    <d v="2024-11-22T00:00:00"/>
    <n v="24056"/>
    <n v="28755.305392000002"/>
    <n v="9971"/>
    <n v="18784.305392000002"/>
    <n v="0.78085739075490534"/>
    <s v="SODIC"/>
    <x v="1810"/>
    <d v="2024-11-20T00:00:00"/>
    <n v="1069.2629999999999"/>
  </r>
  <r>
    <d v="2024-11-25T00:00:00"/>
    <n v="137500"/>
    <n v="229133.4375"/>
    <n v="28803.215"/>
    <n v="200330.2225"/>
    <n v="1.4569470727272729"/>
    <s v="KASSO"/>
    <x v="1811"/>
    <d v="2024-11-18T00:00:00"/>
    <n v="4448.335"/>
  </r>
  <r>
    <d v="2024-11-25T00:00:00"/>
    <n v="23280"/>
    <n v="74389.516470000002"/>
    <n v="7415.6"/>
    <n v="66973.916469999996"/>
    <n v="2.8768864463058419"/>
    <s v="ABOURA "/>
    <x v="1812"/>
    <d v="2024-11-08T00:00:00"/>
    <n v="742.06500000000005"/>
  </r>
  <r>
    <d v="2024-11-25T00:00:00"/>
    <n v="288000"/>
    <n v="611017.48800000001"/>
    <n v="0"/>
    <n v="611017.48800000001"/>
    <n v="2.1215885000000001"/>
    <s v="AL MAGEMOUA"/>
    <x v="1813"/>
    <d v="2024-11-20T00:00:00"/>
    <n v="0"/>
  </r>
  <r>
    <d v="2024-11-26T00:00:00"/>
    <n v="137500"/>
    <n v="229133.4375"/>
    <n v="26760.44"/>
    <n v="202372.9975"/>
    <n v="1.4718036181818182"/>
    <s v="KASSO"/>
    <x v="1814"/>
    <d v="2024-11-18T00:00:00"/>
    <n v="4448.335"/>
  </r>
  <r>
    <d v="2024-11-27T00:00:00"/>
    <n v="26484"/>
    <n v="77183.662808000008"/>
    <n v="19200.62"/>
    <n v="57983.042808000013"/>
    <n v="2.1893612297236071"/>
    <s v="SODIFRAM"/>
    <x v="1815"/>
    <d v="2024-11-20T00:00:00"/>
    <n v="3856.8"/>
  </r>
  <r>
    <d v="2024-11-27T00:00:00"/>
    <n v="23664"/>
    <n v="70727.757968000005"/>
    <n v="17639.189999999999"/>
    <n v="53088.567968000003"/>
    <n v="2.2434317092630156"/>
    <s v="SODIFRAM"/>
    <x v="1816"/>
    <d v="2024-11-20T00:00:00"/>
    <n v="3856.8"/>
  </r>
  <r>
    <d v="2024-11-28T00:00:00"/>
    <n v="110000"/>
    <n v="183306.75"/>
    <n v="20906.472000000002"/>
    <n v="162400.27799999999"/>
    <n v="1.4763661636363636"/>
    <s v="KASSO"/>
    <x v="1817"/>
    <d v="2024-11-18T00:00:00"/>
    <n v="3558.6680000000001"/>
  </r>
  <r>
    <d v="2024-11-29T00:00:00"/>
    <n v="25000"/>
    <n v="90483.397349999999"/>
    <n v="15611.485000000001"/>
    <n v="74871.912349999999"/>
    <n v="2.9948764940000001"/>
    <s v="SAFA FOOD"/>
    <x v="1818"/>
    <d v="2024-11-19T00:00:00"/>
    <n v="2059.4969999999998"/>
  </r>
  <r>
    <d v="2024-11-29T00:00:00"/>
    <n v="24904"/>
    <n v="82937.586915000007"/>
    <n v="15890.885"/>
    <n v="67046.701915000012"/>
    <n v="2.6922061482091237"/>
    <s v="SAFA FOOD"/>
    <x v="1819"/>
    <d v="2024-11-20T00:00:00"/>
    <n v="2059.4969999999998"/>
  </r>
  <r>
    <d v="2024-11-30T00:00:00"/>
    <n v="315144"/>
    <n v="703168.49161999999"/>
    <n v="116565.1"/>
    <n v="586603.39162000001"/>
    <n v="1.8613820717513263"/>
    <s v="SAWABA"/>
    <x v="1820"/>
    <d v="2024-11-18T00:00:00"/>
    <n v="23404.799999999999"/>
  </r>
  <r>
    <d v="2024-12-02T00:00:00"/>
    <n v="39984"/>
    <n v="93962.4"/>
    <n v="0"/>
    <n v="93962.4"/>
    <n v="2.3499999999999996"/>
    <s v="LAMET ALIKHWA"/>
    <x v="1821"/>
    <d v="2024-11-22T00:00:00"/>
    <n v="0"/>
  </r>
  <r>
    <d v="2024-12-02T00:00:00"/>
    <n v="47820"/>
    <n v="63575.473239999992"/>
    <n v="12150"/>
    <n v="51425.473239999992"/>
    <n v="1.0753967636971977"/>
    <s v="SODIC"/>
    <x v="1822"/>
    <d v="2024-11-27T00:00:00"/>
    <n v="1335.9937499999999"/>
  </r>
  <r>
    <d v="2024-12-03T00:00:00"/>
    <n v="56000"/>
    <n v="95200"/>
    <n v="0"/>
    <n v="95200"/>
    <n v="1.7"/>
    <s v="TAB"/>
    <x v="1823"/>
    <d v="2024-11-18T00:00:00"/>
    <n v="0"/>
  </r>
  <r>
    <d v="2024-12-04T00:00:00"/>
    <n v="290400"/>
    <n v="616303.86839999992"/>
    <n v="0"/>
    <n v="616303.86839999992"/>
    <n v="2.1222584999999996"/>
    <s v="AL MAGEMOUA"/>
    <x v="1824"/>
    <d v="2024-12-02T00:00:00"/>
    <n v="0"/>
  </r>
  <r>
    <d v="2024-12-05T00:00:00"/>
    <n v="100003"/>
    <n v="210006.72"/>
    <n v="0"/>
    <n v="210006.72"/>
    <n v="2.1000041998740038"/>
    <s v="AL AKIL"/>
    <x v="1825"/>
    <d v="2024-11-29T00:00:00"/>
    <n v="0"/>
  </r>
  <r>
    <d v="2024-12-05T00:00:00"/>
    <n v="19200"/>
    <n v="39068"/>
    <n v="0"/>
    <n v="39068"/>
    <n v="2.0347916666666666"/>
    <s v="OMEGA"/>
    <x v="1826"/>
    <d v="2024-11-20T00:00:00"/>
    <n v="0"/>
  </r>
  <r>
    <d v="2024-12-09T00:00:00"/>
    <n v="19200"/>
    <n v="38208"/>
    <n v="0"/>
    <n v="38208"/>
    <n v="1.99"/>
    <s v="SAHEL"/>
    <x v="1827"/>
    <d v="2024-11-21T00:00:00"/>
    <n v="0"/>
  </r>
  <r>
    <d v="2024-12-09T00:00:00"/>
    <n v="78000"/>
    <n v="115440"/>
    <n v="0"/>
    <n v="115440"/>
    <n v="1.48"/>
    <s v="SCCI"/>
    <x v="1828"/>
    <d v="2024-11-20T00:00:00"/>
    <n v="0"/>
  </r>
  <r>
    <d v="2024-12-10T00:00:00"/>
    <n v="23704"/>
    <n v="30958.326672000003"/>
    <n v="13319.4"/>
    <n v="17638.926672000001"/>
    <n v="0.74413291731353359"/>
    <s v="SODIC"/>
    <x v="1829"/>
    <d v="2024-12-09T00:00:00"/>
    <n v="1580.625"/>
  </r>
  <r>
    <d v="2024-12-11T00:00:00"/>
    <n v="55000"/>
    <n v="91591.5"/>
    <n v="11333.912"/>
    <n v="80257.588000000003"/>
    <n v="1.4592288727272729"/>
    <s v="KASSO"/>
    <x v="1830"/>
    <d v="2024-12-05T00:00:00"/>
    <n v="1943.9280000000001"/>
  </r>
  <r>
    <d v="2024-12-11T00:00:00"/>
    <n v="39200"/>
    <n v="77078"/>
    <n v="0"/>
    <n v="77078"/>
    <n v="1.9662755102040816"/>
    <s v="OMEGA"/>
    <x v="1831"/>
    <d v="2024-11-20T00:00:00"/>
    <n v="0"/>
  </r>
  <r>
    <d v="2024-12-11T00:00:00"/>
    <n v="84000"/>
    <n v="128520"/>
    <n v="0"/>
    <n v="128520"/>
    <n v="1.53"/>
    <s v="SCIT"/>
    <x v="1832"/>
    <d v="2024-12-05T00:00:00"/>
    <n v="0"/>
  </r>
  <r>
    <d v="2024-12-11T00:00:00"/>
    <n v="19552"/>
    <n v="14632.791264"/>
    <n v="0"/>
    <n v="14632.791264"/>
    <n v="0.74840380851063826"/>
    <s v="SODIC"/>
    <x v="1833"/>
    <d v="2024-11-27T00:00:00"/>
    <n v="0"/>
  </r>
  <r>
    <d v="2024-12-12T00:00:00"/>
    <n v="27336"/>
    <n v="79188.921151999995"/>
    <n v="17088.365000000002"/>
    <n v="62100.55615199999"/>
    <n v="2.2717499323968391"/>
    <s v="SODIFRAM"/>
    <x v="1834"/>
    <d v="2024-12-05T00:00:00"/>
    <n v="3862.8"/>
  </r>
  <r>
    <d v="2024-12-12T00:00:00"/>
    <n v="27505"/>
    <n v="78163.239600000001"/>
    <n v="17290.064999999999"/>
    <n v="60873.174599999998"/>
    <n v="2.2131675913470277"/>
    <s v="SODIFRAM"/>
    <x v="1835"/>
    <d v="2024-12-05T00:00:00"/>
    <n v="3862.8"/>
  </r>
  <r>
    <d v="2024-12-16T00:00:00"/>
    <n v="23300"/>
    <n v="77585.453699999998"/>
    <n v="6930.527"/>
    <n v="70654.926699999996"/>
    <n v="3.032400287553648"/>
    <s v="ABOURA"/>
    <x v="1836"/>
    <d v="2024-12-12T00:00:00"/>
    <n v="742.9799999999999"/>
  </r>
  <r>
    <d v="2024-12-18T00:00:00"/>
    <n v="110040"/>
    <n v="226983.9184"/>
    <n v="34709"/>
    <n v="192274.9184"/>
    <n v="1.7473184151217738"/>
    <s v="JPB"/>
    <x v="1837"/>
    <d v="2024-12-05T00:00:00"/>
    <n v="3960.8999999999996"/>
  </r>
  <r>
    <d v="2024-12-18T00:00:00"/>
    <n v="6450"/>
    <n v="18480"/>
    <n v="0"/>
    <n v="18480"/>
    <n v="2.8651162790697673"/>
    <s v="ARCADIA"/>
    <x v="1838"/>
    <d v="2024-11-26T00:00:00"/>
    <n v="0"/>
  </r>
  <r>
    <d v="2024-12-18T00:00:00"/>
    <n v="43200"/>
    <n v="76464"/>
    <n v="0"/>
    <n v="76464"/>
    <n v="1.77"/>
    <s v="SAHEL"/>
    <x v="1839"/>
    <d v="2024-12-05T00:00:00"/>
    <n v="0"/>
  </r>
  <r>
    <d v="2024-12-19T00:00:00"/>
    <n v="38400"/>
    <n v="72960"/>
    <n v="0"/>
    <n v="72960"/>
    <n v="1.9"/>
    <s v="MARCOM"/>
    <x v="1840"/>
    <d v="2024-12-12T00:00:00"/>
    <n v="0"/>
  </r>
  <r>
    <d v="2024-12-19T00:00:00"/>
    <n v="272208"/>
    <n v="471849.13730400003"/>
    <n v="69015.327000000005"/>
    <n v="402833.81030400004"/>
    <n v="1.4798749864221479"/>
    <s v="SEYAL TCHAD"/>
    <x v="1841"/>
    <d v="2024-11-18T00:00:00"/>
    <n v="11722.95"/>
  </r>
  <r>
    <d v="2024-12-20T00:00:00"/>
    <n v="175000"/>
    <n v="311864.875"/>
    <n v="50342.998"/>
    <n v="261521.87700000001"/>
    <n v="1.4944107257142858"/>
    <s v="KASSO"/>
    <x v="1842"/>
    <d v="2024-11-18T00:00:00"/>
    <n v="8549.4150000000009"/>
  </r>
  <r>
    <d v="2024-12-20T00:00:00"/>
    <n v="22972"/>
    <n v="33154.843099999998"/>
    <n v="12424.6"/>
    <n v="20730.2431"/>
    <n v="0.90241350774856344"/>
    <s v="SODIC"/>
    <x v="1843"/>
    <d v="2024-12-18T00:00:00"/>
    <n v="1417.9155000000001"/>
  </r>
  <r>
    <d v="2024-12-20T00:00:00"/>
    <n v="24256"/>
    <n v="31091.151200000004"/>
    <n v="12021.64"/>
    <n v="19069.511200000004"/>
    <n v="0.78617707783641178"/>
    <s v="SODIC"/>
    <x v="1844"/>
    <d v="2024-12-18T00:00:00"/>
    <n v="1329.2643"/>
  </r>
  <r>
    <d v="2024-12-20T00:00:00"/>
    <n v="44624"/>
    <n v="60159.129750000007"/>
    <n v="19812.2"/>
    <n v="40346.92975000001"/>
    <n v="0.90415314068662622"/>
    <s v="SODIC"/>
    <x v="1845"/>
    <d v="2024-12-18T00:00:00"/>
    <n v="2064.1619999999998"/>
  </r>
  <r>
    <d v="2024-12-23T00:00:00"/>
    <n v="40300"/>
    <n v="110577.81994999999"/>
    <n v="14328.155000000001"/>
    <n v="96249.664949999991"/>
    <n v="2.3883291550868484"/>
    <s v="ANGSTREM"/>
    <x v="1846"/>
    <d v="2024-12-05T00:00:00"/>
    <n v="1805.415"/>
  </r>
  <r>
    <d v="2024-12-24T00:00:00"/>
    <n v="40300"/>
    <n v="110914.6022145"/>
    <n v="13973.355"/>
    <n v="96941.247214500007"/>
    <n v="2.4054900053225809"/>
    <s v="ANGSTREM"/>
    <x v="1847"/>
    <d v="2024-12-12T00:00:00"/>
    <n v="1805.415"/>
  </r>
  <r>
    <d v="2024-12-24T00:00:00"/>
    <n v="40300"/>
    <n v="95884.550774999996"/>
    <n v="14283.355"/>
    <n v="81601.195775"/>
    <n v="2.0248435676178662"/>
    <s v="ANGSTREM"/>
    <x v="1848"/>
    <d v="2024-12-19T00:00:00"/>
    <n v="1805.415"/>
  </r>
  <r>
    <d v="2024-12-25T00:00:00"/>
    <n v="52000"/>
    <n v="80340"/>
    <n v="0"/>
    <n v="80340"/>
    <n v="1.5449999999999999"/>
    <s v="Wonderchain"/>
    <x v="1849"/>
    <d v="2024-10-10T00:00:00"/>
    <n v="0"/>
  </r>
  <r>
    <d v="2024-12-25T00:00:00"/>
    <n v="23608"/>
    <n v="79912.201247999998"/>
    <n v="23168.445"/>
    <n v="56743.756247999998"/>
    <n v="2.4035816777363603"/>
    <s v="SAFA FOOD"/>
    <x v="1850"/>
    <d v="2024-12-19T00:00:00"/>
    <n v="3200.8409999999999"/>
  </r>
  <r>
    <d v="2024-12-26T00:00:00"/>
    <n v="275000"/>
    <n v="398750"/>
    <n v="0"/>
    <n v="398750"/>
    <n v="1.45"/>
    <s v="OMEGA"/>
    <x v="1851"/>
    <d v="2024-12-18T00:00:00"/>
    <n v="0"/>
  </r>
  <r>
    <d v="2024-12-26T00:00:00"/>
    <n v="28016"/>
    <n v="61479.885200999997"/>
    <n v="12997.584000000001"/>
    <n v="48482.301200999995"/>
    <n v="1.7305218875285548"/>
    <s v="EASB"/>
    <x v="1852"/>
    <d v="2024-12-19T00:00:00"/>
    <n v="1299.6510000000001"/>
  </r>
  <r>
    <d v="2024-12-26T00:00:00"/>
    <n v="24825"/>
    <n v="48528"/>
    <n v="0"/>
    <n v="48528"/>
    <n v="1.9548036253776435"/>
    <s v="TAB"/>
    <x v="1853"/>
    <d v="2024-12-18T00:00:00"/>
    <n v="0"/>
  </r>
  <r>
    <d v="2024-12-26T00:00:00"/>
    <n v="21958"/>
    <n v="40618.699999999997"/>
    <n v="0"/>
    <n v="40618.699999999997"/>
    <n v="1.8498360506421347"/>
    <s v="SAHEL"/>
    <x v="1854"/>
    <d v="2024-12-18T00:00:00"/>
    <n v="0"/>
  </r>
  <r>
    <d v="2024-12-26T00:00:00"/>
    <n v="20300"/>
    <n v="93432.790999999997"/>
    <n v="17683.465"/>
    <n v="75749.326000000001"/>
    <n v="3.731493891625616"/>
    <s v="SODIFRAM"/>
    <x v="1855"/>
    <d v="2024-12-23T00:00:00"/>
    <n v="3910.8"/>
  </r>
  <r>
    <d v="2024-12-27T00:00:00"/>
    <n v="100003.2"/>
    <n v="180005.76000000001"/>
    <n v="0"/>
    <n v="180005.76000000001"/>
    <n v="1.8"/>
    <s v="LAMET ALIKHWA"/>
    <x v="1856"/>
    <d v="2024-12-23T00:00:00"/>
    <n v="0"/>
  </r>
  <r>
    <d v="2024-12-27T00:00:00"/>
    <n v="39584"/>
    <n v="62177.442248999992"/>
    <n v="21012.5"/>
    <n v="41164.942248999992"/>
    <n v="1.0399389210034355"/>
    <s v="SODIC"/>
    <x v="1857"/>
    <d v="2024-12-24T00:00:00"/>
    <n v="2426.6915999999997"/>
  </r>
  <r>
    <d v="2024-12-28T00:00:00"/>
    <n v="76800"/>
    <n v="157056"/>
    <n v="0"/>
    <n v="157056"/>
    <n v="2.0449999999999999"/>
    <s v="SCIT"/>
    <x v="1858"/>
    <d v="2024-12-18T00:00:00"/>
    <n v="0"/>
  </r>
  <r>
    <d v="2024-12-28T00:00:00"/>
    <n v="418500"/>
    <n v="705716.01"/>
    <n v="0"/>
    <n v="705716.01"/>
    <n v="1.6862987096774193"/>
    <s v="MARCOM"/>
    <x v="1859"/>
    <d v="2024-12-12T00:00:00"/>
    <n v="0"/>
  </r>
  <r>
    <d v="2024-12-30T00:00:00"/>
    <n v="44848"/>
    <n v="48387.328132000002"/>
    <n v="25551.200000000001"/>
    <n v="22836.128132000002"/>
    <n v="0.50918944282911172"/>
    <s v="SODIC"/>
    <x v="1860"/>
    <d v="2024-12-24T00:00:00"/>
    <n v="2962.1471999999999"/>
  </r>
  <r>
    <d v="2024-12-30T00:00:00"/>
    <n v="49220"/>
    <n v="106350.704195"/>
    <n v="12997.584000000001"/>
    <n v="93353.120194999996"/>
    <n v="1.8966501461804144"/>
    <s v="EASB"/>
    <x v="1861"/>
    <d v="2024-12-27T00:00:00"/>
    <n v="2328.846"/>
  </r>
  <r>
    <d v="2024-12-30T00:00:00"/>
    <n v="156000"/>
    <n v="230880"/>
    <n v="0"/>
    <n v="230880"/>
    <n v="1.48"/>
    <s v="SCCI"/>
    <x v="1862"/>
    <d v="2024-12-24T00:00:00"/>
    <n v="0"/>
  </r>
  <r>
    <d v="2024-12-31T00:00:00"/>
    <n v="262620"/>
    <n v="575039.00034999999"/>
    <n v="75746.399999999994"/>
    <n v="499292.60034999996"/>
    <n v="1.9011979298987127"/>
    <s v="SAWABA"/>
    <x v="1863"/>
    <d v="2024-12-18T00:00:00"/>
    <n v="14683.1"/>
  </r>
  <r>
    <d v="2024-12-31T00:00:00"/>
    <n v="19200"/>
    <n v="38208"/>
    <n v="0"/>
    <n v="38208"/>
    <n v="1.99"/>
    <s v="SAHEL"/>
    <x v="1864"/>
    <d v="2024-12-26T00:00:00"/>
    <n v="0"/>
  </r>
  <r>
    <d v="2024-12-31T00:00:00"/>
    <n v="43200"/>
    <n v="90720"/>
    <n v="0"/>
    <n v="90720"/>
    <n v="2.1"/>
    <s v="SAHEL"/>
    <x v="1865"/>
    <d v="2024-12-26T00:00:00"/>
    <n v="0"/>
  </r>
  <r>
    <d v="2024-12-31T00:00:00"/>
    <n v="22680"/>
    <n v="68476.561040000001"/>
    <n v="17178.764999999999"/>
    <n v="51297.796040000001"/>
    <n v="2.2618075855379187"/>
    <s v="SODIFRAM"/>
    <x v="1866"/>
    <d v="2024-12-06T00:00:00"/>
    <n v="3910.8"/>
  </r>
  <r>
    <d v="2025-01-10T00:00:00"/>
    <n v="180000"/>
    <n v="288000"/>
    <n v="0"/>
    <n v="288000"/>
    <n v="1.6"/>
    <s v="TAB"/>
    <x v="1867"/>
    <d v="2025-01-06T00:00:00"/>
    <n v="0"/>
  </r>
  <r>
    <d v="2024-01-13T00:00:00"/>
    <n v="43200"/>
    <n v="90720"/>
    <n v="0"/>
    <n v="90720"/>
    <n v="2.1"/>
    <s v="SAHEL"/>
    <x v="1868"/>
    <d v="2025-01-08T00:00:00"/>
    <n v="0"/>
  </r>
  <r>
    <d v="2025-01-14T00:00:00"/>
    <n v="57600"/>
    <n v="109440"/>
    <n v="0"/>
    <n v="109440"/>
    <n v="1.9"/>
    <s v="MARCOM"/>
    <x v="1869"/>
    <d v="2025-01-08T00:00:00"/>
    <n v="0"/>
  </r>
  <r>
    <s v="15/01/205"/>
    <n v="200000"/>
    <n v="451073"/>
    <n v="0"/>
    <n v="451073"/>
    <n v="2.2553649999999998"/>
    <s v="WAHAT ALASEMA"/>
    <x v="1870"/>
    <d v="2025-01-11T00:00:00"/>
    <n v="0"/>
  </r>
  <r>
    <d v="2025-01-17T00:00:00"/>
    <n v="41000"/>
    <n v="77900"/>
    <n v="0"/>
    <n v="77900"/>
    <n v="1.9"/>
    <s v="ARCADIA"/>
    <x v="1871"/>
    <d v="2025-01-08T00:00:00"/>
    <n v="0"/>
  </r>
  <r>
    <d v="2025-01-17T00:00:00"/>
    <n v="20500"/>
    <n v="38950"/>
    <n v="0"/>
    <n v="38950"/>
    <n v="1.9"/>
    <s v="ARCADIA"/>
    <x v="1872"/>
    <d v="2025-01-10T00:00:00"/>
    <n v="0"/>
  </r>
  <r>
    <d v="2025-01-17T00:00:00"/>
    <n v="61500"/>
    <n v="116850"/>
    <n v="0"/>
    <n v="116850"/>
    <n v="1.9"/>
    <s v="ARCADIA"/>
    <x v="1873"/>
    <d v="2025-01-10T00:00:00"/>
    <n v="0"/>
  </r>
  <r>
    <d v="2025-01-17T00:00:00"/>
    <n v="46872"/>
    <n v="88059.009420000002"/>
    <n v="24469.599999999999"/>
    <n v="63589.409420000004"/>
    <n v="1.3566608939238778"/>
    <s v="SODIC"/>
    <x v="1874"/>
    <d v="2025-01-17T00:00:00"/>
    <n v="2273.7956800000002"/>
  </r>
  <r>
    <d v="2025-01-22T00:00:00"/>
    <n v="275000"/>
    <n v="398750"/>
    <n v="0"/>
    <n v="398750"/>
    <n v="1.45"/>
    <s v="OMEGA"/>
    <x v="1875"/>
    <d v="2025-01-15T00:00:00"/>
    <n v="0"/>
  </r>
  <r>
    <d v="2025-01-22T00:00:00"/>
    <n v="20500"/>
    <n v="92348.056710000004"/>
    <n v="2578.8200000000002"/>
    <n v="89769.236709999997"/>
    <n v="4.3789871565853655"/>
    <s v="DAVIS TRADING"/>
    <x v="1876"/>
    <d v="2025-01-08T00:00:00"/>
    <n v="0"/>
  </r>
  <r>
    <d v="2025-01-22T00:00:00"/>
    <n v="19700"/>
    <n v="86763.118977000006"/>
    <n v="2578.8200000000002"/>
    <n v="84184.298976999999"/>
    <n v="4.2733146688832484"/>
    <s v="DAVIS TRADING"/>
    <x v="1877"/>
    <d v="2025-01-08T00:00:00"/>
    <n v="0"/>
  </r>
  <r>
    <d v="2025-01-23T00:00:00"/>
    <n v="40300"/>
    <n v="95587.483887499999"/>
    <n v="12048.41"/>
    <n v="83539.073887499995"/>
    <n v="2.0729298731389578"/>
    <s v="ANGSTREM"/>
    <x v="1878"/>
    <d v="2025-01-15T00:00:00"/>
    <n v="1308.3980000000001"/>
  </r>
  <r>
    <d v="2025-01-24T00:00:00"/>
    <n v="40300"/>
    <n v="111398.76117500001"/>
    <n v="12529.41"/>
    <n v="98869.351175000003"/>
    <n v="2.4533337760545906"/>
    <s v="ANGSTREM"/>
    <x v="1879"/>
    <d v="2025-01-20T00:00:00"/>
    <n v="1308.1380000000001"/>
  </r>
  <r>
    <d v="2025-01-24T00:00:00"/>
    <n v="86040"/>
    <n v="187089.80711999998"/>
    <n v="29884.6"/>
    <n v="157205.20711999998"/>
    <n v="1.82711770246397"/>
    <s v="SALIOU BAH"/>
    <x v="1880"/>
    <d v="2025-01-15T00:00:00"/>
    <n v="4680"/>
  </r>
  <r>
    <d v="2025-01-24T00:00:00"/>
    <n v="76800"/>
    <n v="157056"/>
    <n v="0"/>
    <n v="157056"/>
    <n v="2.0449999999999999"/>
    <s v="SCIT"/>
    <x v="1881"/>
    <d v="2025-01-15T00:00:00"/>
    <n v="0"/>
  </r>
  <r>
    <d v="2025-01-28T00:00:00"/>
    <n v="25702"/>
    <n v="94457.560104000004"/>
    <n v="15964.754999999999"/>
    <n v="78492.805103999999"/>
    <n v="3.0539570890981245"/>
    <s v="SAFA FOOD"/>
    <x v="1882"/>
    <d v="2025-01-15T00:00:00"/>
    <n v="1606.982"/>
  </r>
  <r>
    <d v="2025-01-28T00:00:00"/>
    <n v="20750"/>
    <n v="45235"/>
    <n v="0"/>
    <n v="45235"/>
    <n v="2.1800000000000002"/>
    <s v="ARCADIA"/>
    <x v="1883"/>
    <d v="2025-01-15T00:00:00"/>
    <n v="0"/>
  </r>
  <r>
    <d v="2025-01-28T00:00:00"/>
    <n v="284786"/>
    <n v="567467.6"/>
    <n v="0"/>
    <n v="567467.6"/>
    <n v="1.9926105918127996"/>
    <s v="SCIT"/>
    <x v="1884"/>
    <d v="2025-01-16T00:00:00"/>
    <n v="0"/>
  </r>
  <r>
    <d v="2025-01-29T00:00:00"/>
    <n v="84000"/>
    <n v="140990"/>
    <n v="0"/>
    <n v="140990"/>
    <n v="1.678452380952381"/>
    <s v="SAHEL"/>
    <x v="1885"/>
    <d v="2025-01-15T00:00:00"/>
    <n v="0"/>
  </r>
  <r>
    <d v="2025-01-30T00:00:00"/>
    <n v="460000"/>
    <n v="772500"/>
    <n v="0"/>
    <n v="772500"/>
    <n v="1.6793478260869565"/>
    <s v="MARCOM"/>
    <x v="1886"/>
    <d v="2025-01-15T00:00:00"/>
    <n v="0"/>
  </r>
  <r>
    <d v="2025-01-30T00:00:00"/>
    <n v="210096"/>
    <n v="469635.24005999998"/>
    <n v="62089.62"/>
    <n v="407545.62005999999"/>
    <n v="1.9398066600982407"/>
    <s v="SAWABA"/>
    <x v="1887"/>
    <d v="2025-01-15T00:00:00"/>
    <n v="9440.264000000001"/>
  </r>
  <r>
    <d v="2025-01-31T00:00:00"/>
    <n v="157500"/>
    <n v="252000"/>
    <n v="0"/>
    <n v="252000"/>
    <n v="1.6"/>
    <s v="TAB"/>
    <x v="1888"/>
    <d v="2025-01-16T00:00:00"/>
    <n v="0"/>
  </r>
  <r>
    <d v="2025-01-31T00:00:00"/>
    <n v="312000"/>
    <n v="483600"/>
    <n v="0"/>
    <n v="483600"/>
    <n v="1.55"/>
    <s v="MARCOM"/>
    <x v="1889"/>
    <d v="2025-01-15T00:00:00"/>
    <n v="0"/>
  </r>
  <r>
    <d v="2025-01-31T00:00:00"/>
    <n v="23112"/>
    <n v="27908.279627999997"/>
    <n v="12209.25"/>
    <n v="15699.029627999997"/>
    <n v="0.67925881048805803"/>
    <s v="SODIC"/>
    <x v="1890"/>
    <d v="2025-01-28T00:00:00"/>
    <n v="1223.6679000000001"/>
  </r>
  <r>
    <d v="2025-02-03T00:00:00"/>
    <n v="43608"/>
    <n v="90476.4"/>
    <n v="0"/>
    <n v="90476.4"/>
    <n v="2.0747660979636762"/>
    <s v="SAHEL"/>
    <x v="1891"/>
    <d v="2025-01-15T00:00:00"/>
    <n v="0"/>
  </r>
  <r>
    <d v="2025-02-07T00:00:00"/>
    <n v="45640"/>
    <n v="73645.231979999997"/>
    <n v="24036.12"/>
    <n v="49609.111980000001"/>
    <n v="1.0869656437335671"/>
    <s v="SODIC"/>
    <x v="1892"/>
    <d v="2025-01-29T00:00:00"/>
    <n v="2216.0891999999999"/>
  </r>
  <r>
    <d v="2025-02-07T00:00:00"/>
    <n v="24000"/>
    <n v="32640.34144"/>
    <n v="12018.06"/>
    <n v="20622.281439999999"/>
    <n v="0.85926172666666667"/>
    <s v="SODIC"/>
    <x v="1893"/>
    <d v="2025-01-29T00:00:00"/>
    <n v="1108.0445999999999"/>
  </r>
  <r>
    <d v="2025-02-07T00:00:00"/>
    <n v="84000"/>
    <n v="139440"/>
    <n v="0"/>
    <n v="139440"/>
    <n v="1.66"/>
    <s v="TAB"/>
    <x v="1894"/>
    <d v="2025-01-08T00:00:00"/>
    <n v="0"/>
  </r>
  <r>
    <d v="2025-02-10T00:00:00"/>
    <n v="231728"/>
    <n v="384686.6"/>
    <n v="0"/>
    <n v="384686.6"/>
    <n v="1.6600781951253192"/>
    <s v="SCIT"/>
    <x v="1895"/>
    <d v="2025-02-05T00:00:00"/>
    <n v="0"/>
  </r>
  <r>
    <d v="2025-02-12T00:00:00"/>
    <n v="200006"/>
    <n v="394012.61"/>
    <n v="0"/>
    <n v="394012.61"/>
    <n v="1.9700039498815034"/>
    <s v="AL AKIL"/>
    <x v="1896"/>
    <d v="2025-02-10T00:00:00"/>
    <n v="0"/>
  </r>
  <r>
    <d v="2025-02-12T00:00:00"/>
    <n v="8452"/>
    <n v="29927.599999999999"/>
    <n v="0"/>
    <n v="29927.599999999999"/>
    <n v="3.5408897302413629"/>
    <s v="ARCADIA"/>
    <x v="1897"/>
    <d v="2025-01-31T00:00:00"/>
    <n v="0"/>
  </r>
  <r>
    <d v="2025-02-12T00:00:00"/>
    <n v="112500"/>
    <n v="206369.21249999999"/>
    <n v="28660.95"/>
    <n v="177708.26249999998"/>
    <n v="1.5796289999999999"/>
    <s v="LAMPFALL"/>
    <x v="1898"/>
    <d v="2025-01-15T00:00:00"/>
    <n v="4225"/>
  </r>
  <r>
    <d v="2025-02-13T00:00:00"/>
    <n v="12200"/>
    <n v="47475.619700000003"/>
    <n v="7055.4750000000004"/>
    <n v="40420.144700000004"/>
    <n v="3.3131266147540988"/>
    <s v="LAMPFALL"/>
    <x v="1899"/>
    <d v="2025-02-07T00:00:00"/>
    <n v="1218.75"/>
  </r>
  <r>
    <d v="2025-02-14T00:00:00"/>
    <n v="69264"/>
    <n v="98263.606392000002"/>
    <n v="36150.839999999997"/>
    <n v="62112.766392000005"/>
    <n v="0.89675396153846165"/>
    <s v="SODIC"/>
    <x v="1900"/>
    <d v="2025-02-12T00:00:00"/>
    <n v="3333.0468599999999"/>
  </r>
  <r>
    <d v="2025-02-15T00:00:00"/>
    <n v="91000"/>
    <n v="386798.53274999995"/>
    <n v="0"/>
    <n v="386798.53274999995"/>
    <n v="4.2505333269230761"/>
    <s v="AL MOSTAWRED"/>
    <x v="1901"/>
    <d v="2025-02-10T00:00:00"/>
    <n v="0"/>
  </r>
  <r>
    <s v="17/02/20255"/>
    <n v="110000"/>
    <n v="179228.28"/>
    <n v="25896.210999999999"/>
    <n v="153332.06899999999"/>
    <n v="1.3939279"/>
    <s v="CHEMA"/>
    <x v="1902"/>
    <d v="2025-02-10T00:00:00"/>
    <n v="3595.1040000000003"/>
  </r>
  <r>
    <d v="2025-02-18T00:00:00"/>
    <n v="11280"/>
    <n v="9260.3351880000009"/>
    <n v="0"/>
    <n v="9260.3351880000009"/>
    <n v="0.82095170106382986"/>
    <s v="SODIC"/>
    <x v="1903"/>
    <d v="2025-01-28T00:00:00"/>
    <n v="0"/>
  </r>
  <r>
    <d v="2025-02-18T00:00:00"/>
    <n v="268800"/>
    <n v="572137.97759999998"/>
    <n v="0"/>
    <n v="572137.97759999998"/>
    <n v="2.1284895000000001"/>
    <s v="AL MOSTAWRED"/>
    <x v="1904"/>
    <d v="2025-02-10T00:00:00"/>
    <n v="0"/>
  </r>
  <r>
    <d v="2025-02-19T00:00:00"/>
    <n v="134400"/>
    <n v="296222.11680000002"/>
    <n v="43435.05"/>
    <n v="252787.06680000003"/>
    <n v="1.8808561517857145"/>
    <s v="LAMPFALL"/>
    <x v="1905"/>
    <d v="2025-01-15T00:00:00"/>
    <n v="6371.7360000000008"/>
  </r>
  <r>
    <d v="2025-02-19T00:00:00"/>
    <n v="55000"/>
    <n v="77550"/>
    <n v="0"/>
    <n v="77550"/>
    <n v="1.41"/>
    <s v="OMEGA"/>
    <x v="1906"/>
    <d v="2025-02-10T00:00:00"/>
    <n v="0"/>
  </r>
  <r>
    <d v="2025-02-19T00:00:00"/>
    <n v="40000"/>
    <n v="206883.72"/>
    <n v="0"/>
    <n v="206883.72"/>
    <n v="5.1720930000000003"/>
    <s v="AL SAHL"/>
    <x v="1907"/>
    <d v="2025-02-06T00:00:00"/>
    <n v="0"/>
  </r>
  <r>
    <d v="2025-02-20T00:00:00"/>
    <n v="275000"/>
    <n v="398750"/>
    <n v="0"/>
    <n v="398750"/>
    <n v="1.45"/>
    <s v="OMEGA"/>
    <x v="1908"/>
    <d v="2025-02-13T00:00:00"/>
    <n v="0"/>
  </r>
  <r>
    <d v="2025-02-20T00:00:00"/>
    <n v="110040"/>
    <n v="248262.45885000002"/>
    <n v="29014.59"/>
    <n v="219247.86885000003"/>
    <n v="1.9924379212104693"/>
    <s v="JPB"/>
    <x v="1909"/>
    <d v="2025-02-14T00:00:00"/>
    <n v="5187.2000000000007"/>
  </r>
  <r>
    <d v="2025-02-20T00:00:00"/>
    <n v="60800"/>
    <n v="141032.837"/>
    <n v="22144.13"/>
    <n v="118888.70699999999"/>
    <n v="1.9554063651315789"/>
    <s v="RNK Disribution"/>
    <x v="1910"/>
    <d v="2025-01-28T00:00:00"/>
    <n v="3955.2000000000003"/>
  </r>
  <r>
    <d v="2025-02-21T00:00:00"/>
    <n v="44400"/>
    <n v="75324"/>
    <n v="0"/>
    <n v="75324"/>
    <n v="1.6964864864864866"/>
    <s v="MARCOM"/>
    <x v="1911"/>
    <d v="2025-02-10T00:00:00"/>
    <n v="0"/>
  </r>
  <r>
    <d v="2025-02-21T00:00:00"/>
    <n v="40300"/>
    <n v="95444.7065"/>
    <n v="11986.81"/>
    <n v="83457.896500000003"/>
    <n v="2.0709155459057071"/>
    <s v="ANGSTREM"/>
    <x v="1912"/>
    <d v="2025-02-13T00:00:00"/>
    <n v="1234.74"/>
  </r>
  <r>
    <d v="2025-02-21T00:00:00"/>
    <n v="24588"/>
    <n v="32757.451584000002"/>
    <n v="9245.5"/>
    <n v="23511.951584000002"/>
    <n v="0.9562368465918335"/>
    <s v="SODIC"/>
    <x v="1913"/>
    <d v="2025-02-18T00:00:00"/>
    <n v="738.19434000000001"/>
  </r>
  <r>
    <d v="2025-02-21T00:00:00"/>
    <n v="53916"/>
    <n v="91506.706720000002"/>
    <n v="31569.18"/>
    <n v="59937.526720000002"/>
    <n v="1.1116834839379777"/>
    <s v="SODIC"/>
    <x v="1914"/>
    <d v="2025-02-19T00:00:00"/>
    <n v="2915.18968"/>
  </r>
  <r>
    <d v="2025-02-24T00:00:00"/>
    <n v="19204"/>
    <n v="38265.96"/>
    <n v="0"/>
    <n v="38265.96"/>
    <n v="1.992603624244949"/>
    <s v="SAHEL"/>
    <x v="1915"/>
    <d v="2025-02-14T00:00:00"/>
    <n v="0"/>
  </r>
  <r>
    <d v="2025-02-24T00:00:00"/>
    <n v="48816"/>
    <n v="85788.479999999996"/>
    <n v="0"/>
    <n v="85788.479999999996"/>
    <n v="1.7573844641101277"/>
    <s v="SCIT"/>
    <x v="1916"/>
    <d v="2025-02-10T00:00:00"/>
    <n v="0"/>
  </r>
  <r>
    <d v="2025-02-25T00:00:00"/>
    <n v="174598"/>
    <n v="372093.2"/>
    <n v="0"/>
    <n v="372093.2"/>
    <n v="2.1311423956746354"/>
    <s v="SCIT"/>
    <x v="1917"/>
    <d v="2025-02-18T00:00:00"/>
    <n v="0"/>
  </r>
  <r>
    <d v="2025-02-25T00:00:00"/>
    <n v="408250"/>
    <n v="721670.99232800002"/>
    <n v="116227.162"/>
    <n v="605443.83032800001"/>
    <n v="1.4830222420771586"/>
    <s v="SEYAL TCHAD"/>
    <x v="1918"/>
    <d v="2025-02-10T00:00:00"/>
    <n v="16059.834000000001"/>
  </r>
  <r>
    <d v="2025-02-25T00:00:00"/>
    <n v="49600"/>
    <n v="112500.35160000001"/>
    <n v="13372.9"/>
    <n v="99127.451600000015"/>
    <n v="1.9985373306451615"/>
    <s v="MATMATA"/>
    <x v="1919"/>
    <d v="2025-02-14T00:00:00"/>
    <n v="2471.5400000000004"/>
  </r>
  <r>
    <d v="2025-02-26T00:00:00"/>
    <n v="147600"/>
    <n v="273006.37679999997"/>
    <n v="45464.358"/>
    <n v="227542.01879999996"/>
    <n v="1.5416125934959346"/>
    <s v="CHEMA"/>
    <x v="1920"/>
    <d v="2025-02-10T00:00:00"/>
    <n v="6444.9000000000005"/>
  </r>
  <r>
    <d v="2025-02-26T00:00:00"/>
    <n v="45400"/>
    <n v="77384"/>
    <n v="0"/>
    <n v="77384"/>
    <n v="1.7044933920704846"/>
    <s v="SAHEL"/>
    <x v="1921"/>
    <d v="2025-02-10T00:00:00"/>
    <n v="0"/>
  </r>
  <r>
    <d v="2025-02-27T00:00:00"/>
    <n v="336300"/>
    <n v="752748.592802"/>
    <n v="96327.96"/>
    <n v="656420.63280200004"/>
    <n v="1.9518900767231639"/>
    <s v="SAWABA"/>
    <x v="1922"/>
    <d v="2025-02-10T00:00:00"/>
    <n v="14772.492000000002"/>
  </r>
  <r>
    <d v="2025-02-28T00:00:00"/>
    <n v="182050"/>
    <n v="374636.57209849998"/>
    <n v="50077.9"/>
    <n v="324558.67209849996"/>
    <n v="1.7827996270173028"/>
    <s v="GENERIC BRANDS"/>
    <x v="1923"/>
    <d v="2025-02-14T00:00:00"/>
    <n v="7742.1399999999994"/>
  </r>
  <r>
    <d v="2025-02-28T00:00:00"/>
    <n v="23060"/>
    <n v="76695.213439999992"/>
    <n v="6916.13"/>
    <n v="69779.083439999988"/>
    <n v="3.0259793339115344"/>
    <s v="ABOURA"/>
    <x v="1924"/>
    <d v="2025-02-14T00:00:00"/>
    <n v="633.03239999999994"/>
  </r>
  <r>
    <d v="2025-02-28T00:00:00"/>
    <n v="20760"/>
    <n v="76435.113539999991"/>
    <n v="7056.13"/>
    <n v="69378.983539999987"/>
    <n v="3.3419548911368011"/>
    <s v="ABOURA"/>
    <x v="1925"/>
    <d v="2025-02-14T00:00:00"/>
    <n v="633.03239999999994"/>
  </r>
  <r>
    <d v="2025-02-28T00:00:00"/>
    <n v="22780"/>
    <n v="65913.120999999999"/>
    <n v="7056.13"/>
    <n v="58856.991000000002"/>
    <n v="2.5837133889376647"/>
    <s v="ABOURA"/>
    <x v="1926"/>
    <d v="2025-02-14T00:00:00"/>
    <n v="633.03239999999994"/>
  </r>
  <r>
    <d v="2025-02-28T00:00:00"/>
    <n v="239550"/>
    <n v="404023"/>
    <n v="0"/>
    <n v="404023"/>
    <n v="1.6865915257774995"/>
    <s v="TAB"/>
    <x v="1927"/>
    <d v="2025-02-18T00:00:00"/>
    <n v="0"/>
  </r>
  <r>
    <d v="2025-02-28T00:00:00"/>
    <n v="22500"/>
    <n v="35325"/>
    <n v="0"/>
    <n v="35325"/>
    <n v="1.57"/>
    <s v="TAB"/>
    <x v="1928"/>
    <d v="2025-02-14T00:00:00"/>
    <n v="0"/>
  </r>
  <r>
    <d v="2025-03-03T00:00:00"/>
    <n v="45000"/>
    <n v="70650"/>
    <n v="0"/>
    <n v="70650"/>
    <n v="1.57"/>
    <s v="TAB"/>
    <x v="1928"/>
    <d v="2025-02-14T00:00:00"/>
    <n v="0"/>
  </r>
  <r>
    <d v="2025-03-07T00:00:00"/>
    <n v="235200"/>
    <n v="490065.63570000004"/>
    <n v="0"/>
    <n v="490065.63570000004"/>
    <n v="2.0836123966836735"/>
    <s v="Al Mostawreed "/>
    <x v="1929"/>
    <d v="2025-03-07T00:00:00"/>
    <n v="0"/>
  </r>
  <r>
    <d v="2025-03-10T00:00:00"/>
    <n v="84000"/>
    <n v="130200"/>
    <n v="0"/>
    <n v="130200"/>
    <n v="1.55"/>
    <s v="SCIT"/>
    <x v="1930"/>
    <d v="2025-03-05T00:00:00"/>
    <n v="0"/>
  </r>
  <r>
    <d v="2025-03-11T00:00:00"/>
    <n v="84000"/>
    <n v="139440"/>
    <n v="0"/>
    <n v="139440"/>
    <n v="1.66"/>
    <s v="TAB"/>
    <x v="1931"/>
    <d v="2025-03-05T00:00:00"/>
    <n v="0"/>
  </r>
  <r>
    <d v="2025-03-11T00:00:00"/>
    <n v="166000"/>
    <n v="354805"/>
    <n v="0"/>
    <n v="354805"/>
    <n v="2.1373795180722892"/>
    <s v="MARCOM"/>
    <x v="1932"/>
    <d v="2025-03-04T00:00:00"/>
    <n v="0"/>
  </r>
  <r>
    <d v="2025-03-12T00:00:00"/>
    <n v="82500"/>
    <n v="141355.16999999998"/>
    <n v="19038.63"/>
    <n v="122316.53999999998"/>
    <n v="1.4826247272727271"/>
    <s v="KASSO"/>
    <x v="1933"/>
    <d v="2025-03-07T00:00:00"/>
    <n v="2735.076"/>
  </r>
  <r>
    <d v="2025-03-12T00:00:00"/>
    <n v="23971"/>
    <n v="76641.450335999994"/>
    <n v="18179.43"/>
    <n v="58462.020335999994"/>
    <n v="2.4388644752409157"/>
    <s v="GREENWORLD"/>
    <x v="1934"/>
    <d v="2025-03-04T00:00:00"/>
    <n v="2114.2809999999999"/>
  </r>
  <r>
    <d v="2025-03-12T00:00:00"/>
    <n v="6000"/>
    <n v="16500"/>
    <n v="0"/>
    <n v="16500"/>
    <n v="2.75"/>
    <s v="ARCADIA"/>
    <x v="1935"/>
    <d v="2025-03-04T00:00:00"/>
    <n v="0"/>
  </r>
  <r>
    <d v="2025-02-13T00:00:00"/>
    <n v="86400"/>
    <n v="185760"/>
    <n v="0"/>
    <n v="185760"/>
    <n v="2.15"/>
    <s v="SAHEL"/>
    <x v="1936"/>
    <d v="2025-03-04T00:00:00"/>
    <n v="0"/>
  </r>
  <r>
    <d v="2025-03-14T00:00:00"/>
    <n v="110000"/>
    <n v="185113.96"/>
    <n v="26315.781999999999"/>
    <n v="158798.17799999999"/>
    <n v="1.4436197999999998"/>
    <s v="KASSO"/>
    <x v="1937"/>
    <d v="2025-03-07T00:00:00"/>
    <n v="3263.8320000000003"/>
  </r>
  <r>
    <d v="2025-03-17T00:00:00"/>
    <n v="110000"/>
    <n v="185667.715"/>
    <n v="26315.781999999999"/>
    <n v="159351.93299999999"/>
    <n v="1.4486539363636364"/>
    <s v="KASSO"/>
    <x v="1938"/>
    <d v="2025-03-07T00:00:00"/>
    <n v="3263.8320000000003"/>
  </r>
  <r>
    <d v="2025-03-17T00:00:00"/>
    <n v="110000"/>
    <n v="185262.72999999998"/>
    <n v="25780.281999999999"/>
    <n v="159482.44799999997"/>
    <n v="1.4498404363636361"/>
    <s v="KASSO"/>
    <x v="1939"/>
    <d v="2025-03-07T00:00:00"/>
    <n v="3263.8320000000003"/>
  </r>
  <r>
    <d v="2025-03-19T00:00:00"/>
    <n v="19200"/>
    <n v="46469.095400000006"/>
    <n v="7292.43"/>
    <n v="39176.665400000005"/>
    <n v="2.0404513229166668"/>
    <s v="MATMATA"/>
    <x v="1940"/>
    <d v="2025-03-05T00:00:00"/>
    <n v="1140.3"/>
  </r>
  <r>
    <d v="2025-03-19T00:00:00"/>
    <n v="20500"/>
    <n v="47150"/>
    <n v="0"/>
    <n v="47150"/>
    <n v="2.2999999999999998"/>
    <s v="ARCADIA"/>
    <x v="1941"/>
    <d v="2025-03-12T00:00:00"/>
    <n v="0"/>
  </r>
  <r>
    <d v="2025-03-21T00:00:00"/>
    <n v="20000"/>
    <n v="44000"/>
    <n v="0"/>
    <n v="44000"/>
    <n v="2.2000000000000002"/>
    <s v="ARCADIA"/>
    <x v="1942"/>
    <d v="2025-02-14T00:00:00"/>
    <n v="0"/>
  </r>
  <r>
    <d v="2025-03-24T00:00:00"/>
    <n v="336300"/>
    <n v="734503.67183199991"/>
    <n v="94407.06"/>
    <n v="640096.61183199985"/>
    <n v="1.9033500203151943"/>
    <s v="SAWABA"/>
    <x v="1943"/>
    <d v="2025-03-10T00:00:00"/>
    <n v="14432.112000000001"/>
  </r>
  <r>
    <d v="2025-03-25T00:00:00"/>
    <n v="44016"/>
    <n v="90232.8"/>
    <n v="0"/>
    <n v="90232.8"/>
    <n v="2.0500000000000003"/>
    <s v="TAB"/>
    <x v="1944"/>
    <d v="2025-03-12T00:00:00"/>
    <n v="0"/>
  </r>
  <r>
    <d v="2025-03-26T00:00:00"/>
    <n v="22008"/>
    <n v="47317.2"/>
    <n v="0"/>
    <n v="47317.2"/>
    <n v="2.15"/>
    <s v="SAHEL"/>
    <x v="1945"/>
    <d v="2025-03-12T00:00:00"/>
    <n v="0"/>
  </r>
  <r>
    <d v="2025-03-26T00:00:00"/>
    <n v="336300"/>
    <n v="735502.09095999994"/>
    <n v="92902.66"/>
    <n v="642599.43095999991"/>
    <n v="1.9107922419268508"/>
    <s v="SAWABA"/>
    <x v="1946"/>
    <d v="2025-03-10T00:00:00"/>
    <n v="14432.112000000001"/>
  </r>
  <r>
    <d v="2025-03-26T00:00:00"/>
    <n v="42200"/>
    <n v="74272"/>
    <n v="0"/>
    <n v="74272"/>
    <n v="1.76"/>
    <s v="SAHEL"/>
    <x v="1947"/>
    <d v="2025-03-10T00:00:00"/>
    <n v="0"/>
  </r>
  <r>
    <d v="2025-03-28T00:00:00"/>
    <n v="275000"/>
    <n v="398750"/>
    <n v="0"/>
    <n v="398750"/>
    <n v="1.45"/>
    <s v="OMEGA"/>
    <x v="1948"/>
    <d v="2025-03-14T00:00:00"/>
    <n v="0"/>
  </r>
  <r>
    <d v="2025-03-28T00:00:00"/>
    <n v="16500"/>
    <n v="51850.640101999998"/>
    <n v="7257.61"/>
    <n v="44593.030101999997"/>
    <n v="2.7026078849696966"/>
    <s v="CHB"/>
    <x v="1949"/>
    <d v="2025-03-10T00:00:00"/>
    <n v="761.42300000000012"/>
  </r>
  <r>
    <d v="2025-03-28T00:00:00"/>
    <n v="19200"/>
    <n v="40780"/>
    <n v="0"/>
    <n v="40780"/>
    <n v="2.1239583333333334"/>
    <s v="SCIT"/>
    <x v="1950"/>
    <d v="2025-03-19T00:00:00"/>
    <n v="0"/>
  </r>
  <r>
    <d v="2025-04-02T00:00:00"/>
    <n v="44016"/>
    <n v="90232.8"/>
    <n v="0"/>
    <n v="90232.8"/>
    <n v="2.0500000000000003"/>
    <s v="SAHEL"/>
    <x v="1951"/>
    <d v="2025-03-21T00:00:00"/>
    <n v="0"/>
  </r>
  <r>
    <d v="2025-04-03T00:00:00"/>
    <n v="132750"/>
    <n v="236070"/>
    <n v="0"/>
    <n v="236070"/>
    <n v="1.7783050847457627"/>
    <s v="TAB"/>
    <x v="1952"/>
    <d v="2025-03-19T00:00:00"/>
    <n v="0"/>
  </r>
  <r>
    <d v="2025-04-04T00:00:00"/>
    <n v="27972"/>
    <n v="81325.875191999992"/>
    <n v="16559.45"/>
    <n v="64766.425191999995"/>
    <n v="2.3154020160160158"/>
    <s v="SODIFRAM"/>
    <x v="1953"/>
    <d v="2025-03-26T00:00:00"/>
    <n v="2928"/>
  </r>
  <r>
    <d v="2025-04-04T00:00:00"/>
    <n v="25980"/>
    <n v="76614.579779999985"/>
    <n v="18357.75"/>
    <n v="58256.829779999985"/>
    <n v="2.242372200923787"/>
    <s v="SODIFRAM"/>
    <x v="1954"/>
    <d v="2025-03-26T00:00:00"/>
    <n v="2928"/>
  </r>
  <r>
    <d v="2025-04-04T00:00:00"/>
    <n v="26124"/>
    <n v="76962.431363999989"/>
    <n v="16550.45"/>
    <n v="60411.981363999992"/>
    <n v="2.3125088563772773"/>
    <s v="SODIFRAM"/>
    <x v="1955"/>
    <d v="2025-03-26T00:00:00"/>
    <n v="2928"/>
  </r>
  <r>
    <d v="2025-04-07T00:00:00"/>
    <n v="27600"/>
    <n v="58756.534200000002"/>
    <n v="0"/>
    <n v="58756.534200000002"/>
    <n v="2.1288599347826089"/>
    <s v="EASB"/>
    <x v="1956"/>
    <d v="2025-04-02T00:00:00"/>
    <n v="0"/>
  </r>
  <r>
    <d v="2025-04-11T00:00:00"/>
    <n v="76800"/>
    <n v="167808"/>
    <n v="0"/>
    <n v="167808"/>
    <n v="2.1850000000000001"/>
    <s v="SCIT"/>
    <x v="1957"/>
    <d v="2025-03-17T00:00:00"/>
    <n v="0"/>
  </r>
  <r>
    <d v="2025-04-11T00:00:00"/>
    <n v="40300"/>
    <n v="103066.40370000001"/>
    <n v="11663.125"/>
    <n v="91403.27870000001"/>
    <n v="2.2680714317617867"/>
    <s v="ANGSTREM"/>
    <x v="1958"/>
    <d v="2025-03-07T00:00:00"/>
    <n v="1191.45"/>
  </r>
  <r>
    <d v="2025-04-14T00:00:00"/>
    <n v="275000"/>
    <n v="398750"/>
    <n v="0"/>
    <n v="398750"/>
    <n v="1.45"/>
    <s v="OMEGA"/>
    <x v="1959"/>
    <d v="2025-04-04T00:00:00"/>
    <n v="0"/>
  </r>
  <r>
    <d v="2025-04-15T00:00:00"/>
    <n v="110040"/>
    <n v="262039.23341999998"/>
    <n v="30980.7"/>
    <n v="231058.53341999996"/>
    <n v="2.0997685697928024"/>
    <s v="JPB"/>
    <x v="1960"/>
    <d v="2025-04-04T00:00:00"/>
    <n v="4881.6000000000004"/>
  </r>
  <r>
    <d v="2025-04-16T00:00:00"/>
    <n v="38400"/>
    <n v="77087.520000000004"/>
    <n v="0"/>
    <n v="77087.520000000004"/>
    <n v="2.0074875000000003"/>
    <s v="RIVEXIA"/>
    <x v="1961"/>
    <d v="2025-04-04T00:00:00"/>
    <n v="0"/>
  </r>
  <r>
    <d v="2025-04-16T00:00:00"/>
    <n v="52000"/>
    <n v="99176.184000000008"/>
    <n v="15582.258"/>
    <n v="83593.926000000007"/>
    <n v="1.6075755"/>
    <s v="EASB"/>
    <x v="1962"/>
    <d v="2025-04-04T00:00:00"/>
    <n v="2471.1200000000003"/>
  </r>
  <r>
    <d v="2025-04-16T00:00:00"/>
    <n v="41800"/>
    <n v="97361.547300000006"/>
    <n v="21825.606"/>
    <n v="75535.941300000006"/>
    <n v="1.8070799354066986"/>
    <s v="EASB"/>
    <x v="1963"/>
    <d v="2025-04-04T00:00:00"/>
    <n v="3713.5616000000005"/>
  </r>
  <r>
    <d v="2025-04-17T00:00:00"/>
    <n v="20480"/>
    <n v="34676.384831999996"/>
    <n v="12358.16"/>
    <n v="22318.224831999996"/>
    <n v="1.0897570718749998"/>
    <s v="SODIC"/>
    <x v="1964"/>
    <d v="2025-04-15T00:00:00"/>
    <n v="1152.4162000000001"/>
  </r>
  <r>
    <d v="2025-04-17T00:00:00"/>
    <n v="17192"/>
    <n v="24600.074063999997"/>
    <n v="4349.5200000000004"/>
    <n v="20250.554063999996"/>
    <n v="1.177905657515123"/>
    <s v="SODIC"/>
    <x v="1965"/>
    <d v="2025-04-14T00:00:00"/>
    <n v="320.63902000000002"/>
  </r>
  <r>
    <d v="2025-04-17T00:00:00"/>
    <n v="19200"/>
    <n v="47057.145799999998"/>
    <n v="6836.69"/>
    <n v="40220.455799999996"/>
    <n v="2.09481540625"/>
    <s v="MATMATA"/>
    <x v="1966"/>
    <d v="2025-04-04T00:00:00"/>
    <n v="946.74"/>
  </r>
  <r>
    <d v="2025-04-18T00:00:00"/>
    <n v="56000"/>
    <n v="107929.62179999999"/>
    <n v="19042.29"/>
    <n v="88887.331799999985"/>
    <n v="1.5872737821428569"/>
    <s v="RNK"/>
    <x v="1967"/>
    <d v="2025-04-14T00:00:00"/>
    <n v="2992.92"/>
  </r>
  <r>
    <d v="2025-04-18T00:00:00"/>
    <n v="171288"/>
    <n v="359941.08"/>
    <n v="0"/>
    <n v="359941.08"/>
    <n v="2.1013794311335294"/>
    <s v="SCIT"/>
    <x v="1968"/>
    <d v="2025-04-04T00:00:00"/>
    <n v="0"/>
  </r>
  <r>
    <d v="2025-04-23T00:00:00"/>
    <n v="56000"/>
    <n v="120980.7945"/>
    <n v="18609.36"/>
    <n v="102371.4345"/>
    <n v="1.8280613303571429"/>
    <s v="MATMATA"/>
    <x v="1969"/>
    <d v="2025-04-04T00:00:00"/>
    <n v="3117.1200000000003"/>
  </r>
  <r>
    <d v="2025-04-24T00:00:00"/>
    <n v="180000"/>
    <n v="293400"/>
    <n v="0"/>
    <n v="293400"/>
    <n v="1.63"/>
    <s v="TAB"/>
    <x v="1970"/>
    <d v="2025-04-14T00:00:00"/>
    <n v="0"/>
  </r>
  <r>
    <d v="2025-04-25T00:00:00"/>
    <n v="27500"/>
    <n v="139706.69884999999"/>
    <n v="4000"/>
    <n v="135706.69884999999"/>
    <n v="4.9347890490909085"/>
    <s v="VALENCIA"/>
    <x v="1971"/>
    <d v="2025-03-18T00:00:00"/>
    <n v="0"/>
  </r>
  <r>
    <d v="2025-04-25T00:00:00"/>
    <n v="47942"/>
    <n v="146019.09244799998"/>
    <n v="19036.16"/>
    <n v="126982.93244799998"/>
    <n v="2.6486782455467019"/>
    <s v="GREENWORLD"/>
    <x v="1972"/>
    <d v="2025-04-04T00:00:00"/>
    <n v="2045.992"/>
  </r>
  <r>
    <d v="2025-04-26T00:00:00"/>
    <n v="16700"/>
    <n v="56399.925450000002"/>
    <n v="6936.3940000000002"/>
    <n v="49463.531450000002"/>
    <n v="2.9618881107784434"/>
    <s v="UBL"/>
    <x v="1973"/>
    <d v="2025-04-04T00:00:00"/>
    <n v="496.30672000000004"/>
  </r>
  <r>
    <d v="2025-04-28T00:00:00"/>
    <n v="38400"/>
    <n v="84480"/>
    <n v="0"/>
    <n v="84480"/>
    <n v="2.2000000000000002"/>
    <s v="SAHEL"/>
    <x v="1974"/>
    <d v="2025-04-04T00:00:00"/>
    <n v="0"/>
  </r>
  <r>
    <d v="2025-04-28T00:00:00"/>
    <n v="41500"/>
    <n v="85490"/>
    <n v="0"/>
    <n v="85490"/>
    <n v="2.06"/>
    <s v="SAHEL"/>
    <x v="1975"/>
    <d v="2025-04-23T00:00:00"/>
    <n v="0"/>
  </r>
  <r>
    <d v="2025-04-28T00:00:00"/>
    <n v="192000"/>
    <n v="460697.27399999998"/>
    <n v="60395.15"/>
    <n v="400302.12399999995"/>
    <n v="2.084906895833333"/>
    <s v="LAMPFALL"/>
    <x v="1976"/>
    <d v="2025-04-14T00:00:00"/>
    <n v="8418"/>
  </r>
  <r>
    <d v="2025-04-29T00:00:00"/>
    <n v="15500"/>
    <n v="55475"/>
    <n v="0"/>
    <n v="55475"/>
    <n v="3.5790322580645162"/>
    <s v="ARCADIA"/>
    <x v="1977"/>
    <d v="2025-03-19T00:00:00"/>
    <n v="0"/>
  </r>
  <r>
    <d v="2025-04-30T00:00:00"/>
    <n v="137500"/>
    <n v="206250"/>
    <n v="0"/>
    <n v="206250"/>
    <n v="1.5"/>
    <s v="SAHEL"/>
    <x v="1978"/>
    <d v="2025-04-14T00:00:00"/>
    <n v="0"/>
  </r>
  <r>
    <d v="2025-04-30T00:00:00"/>
    <n v="76800"/>
    <n v="161280"/>
    <n v="0"/>
    <n v="161280"/>
    <n v="2.1"/>
    <s v="MARCOM"/>
    <x v="1979"/>
    <d v="2025-04-04T00:00:00"/>
    <n v="0"/>
  </r>
  <r>
    <d v="2025-04-30T00:00:00"/>
    <n v="491000"/>
    <n v="806137"/>
    <n v="0"/>
    <n v="806137"/>
    <n v="1.6418268839103869"/>
    <s v="MARCOM"/>
    <x v="1980"/>
    <d v="2025-04-14T00:00:00"/>
    <n v="0"/>
  </r>
  <r>
    <d v="2025-04-30T00:00:00"/>
    <n v="157500"/>
    <n v="256725"/>
    <n v="0"/>
    <n v="256725"/>
    <n v="1.63"/>
    <s v="TAB"/>
    <x v="1981"/>
    <d v="2025-04-23T00:00:00"/>
    <n v="0"/>
  </r>
  <r>
    <d v="2025-04-30T00:00:00"/>
    <n v="240080"/>
    <n v="530096.62160000007"/>
    <n v="0"/>
    <n v="530096.62160000007"/>
    <n v="2.2079999233588805"/>
    <s v="ALMOSTAWRED ALJADEED"/>
    <x v="1982"/>
    <d v="2025-04-25T00:00:00"/>
    <n v="0"/>
  </r>
  <r>
    <d v="2025-05-07T00:00:00"/>
    <n v="137500"/>
    <n v="206250"/>
    <n v="0"/>
    <n v="206250"/>
    <n v="1.5"/>
    <s v="SAHEL"/>
    <x v="1978"/>
    <d v="2025-04-14T00:00:00"/>
    <n v="0"/>
  </r>
  <r>
    <d v="2025-05-07T00:00:00"/>
    <n v="39200"/>
    <n v="83350"/>
    <n v="0"/>
    <n v="83350"/>
    <n v="2.1262755102040818"/>
    <s v="OMEGA"/>
    <x v="1983"/>
    <d v="2025-04-14T00:00:00"/>
    <n v="0"/>
  </r>
  <r>
    <d v="2025-05-08T00:00:00"/>
    <n v="6000"/>
    <n v="16005.315000000001"/>
    <n v="0"/>
    <n v="16005.315000000001"/>
    <n v="2.6675525000000002"/>
    <s v="BEST FOOD"/>
    <x v="1984"/>
    <d v="2025-03-17T00:00:00"/>
    <n v="0"/>
  </r>
  <r>
    <d v="2025-05-08T00:00:00"/>
    <n v="57600"/>
    <n v="126144"/>
    <n v="0"/>
    <n v="126144"/>
    <n v="2.19"/>
    <s v="SCIT"/>
    <x v="1985"/>
    <d v="2025-04-29T00:00:00"/>
    <n v="0"/>
  </r>
  <r>
    <d v="2025-05-09T00:00:00"/>
    <n v="76800"/>
    <n v="168960"/>
    <n v="0"/>
    <n v="168960"/>
    <n v="2.2000000000000002"/>
    <s v="SCIT"/>
    <x v="1986"/>
    <d v="2025-05-05T00:00:00"/>
    <n v="0"/>
  </r>
  <r>
    <d v="2025-05-15T00:00:00"/>
    <n v="275000"/>
    <n v="412500"/>
    <n v="0"/>
    <n v="412500"/>
    <n v="1.5"/>
    <s v="SAHEL"/>
    <x v="1987"/>
    <d v="2025-05-09T00:00:00"/>
    <n v="0"/>
  </r>
  <r>
    <d v="2025-05-15T00:00:00"/>
    <n v="52000"/>
    <n v="100580.47199999999"/>
    <n v="15435.2"/>
    <n v="85145.271999999997"/>
    <n v="1.6374090769230769"/>
    <s v="EASB"/>
    <x v="1988"/>
    <d v="2025-05-05T00:00:00"/>
    <n v="2436.36"/>
  </r>
  <r>
    <d v="2025-05-19T00:00:00"/>
    <n v="96000"/>
    <n v="232992.24000000002"/>
    <n v="28326.47"/>
    <n v="204665.77000000002"/>
    <n v="2.1319351041666668"/>
    <s v="LAMPFALL"/>
    <x v="1989"/>
    <d v="2025-05-09T00:00:00"/>
    <n v="4170.3599999999997"/>
  </r>
  <r>
    <d v="2025-05-19T00:00:00"/>
    <n v="62000"/>
    <n v="167484.1906"/>
    <n v="24495.34"/>
    <n v="142988.85060000001"/>
    <n v="2.3062717838709679"/>
    <s v="SALIOU"/>
    <x v="1990"/>
    <d v="2025-05-09T00:00:00"/>
    <n v="3952.56"/>
  </r>
  <r>
    <d v="2025-05-19T00:00:00"/>
    <n v="82500"/>
    <n v="138798.58624999999"/>
    <n v="19930.885999999999"/>
    <n v="118867.70024999999"/>
    <n v="1.440820609090909"/>
    <s v="KASSO"/>
    <x v="1991"/>
    <d v="2025-05-09T00:00:00"/>
    <n v="2901.4272000000001"/>
  </r>
  <r>
    <d v="2025-05-20T00:00:00"/>
    <n v="76800"/>
    <n v="168960"/>
    <n v="0"/>
    <n v="168960"/>
    <n v="2.2000000000000002"/>
    <s v="SCIT"/>
    <x v="1992"/>
    <d v="2025-05-12T00:00:00"/>
    <n v="0"/>
  </r>
  <r>
    <d v="2025-05-20T00:00:00"/>
    <n v="24720"/>
    <n v="79098.399787000002"/>
    <n v="16535.41"/>
    <n v="62562.989786999999"/>
    <n v="2.5308652826456308"/>
    <s v="SODIFRAM"/>
    <x v="1993"/>
    <d v="2025-05-13T00:00:00"/>
    <n v="2904.96"/>
  </r>
  <r>
    <d v="2025-05-20T00:00:00"/>
    <n v="110000"/>
    <n v="186191.16500000001"/>
    <n v="26514.148000000001"/>
    <n v="159677.01699999999"/>
    <n v="1.4516092454545453"/>
    <s v="KASSO"/>
    <x v="1994"/>
    <d v="2025-05-09T00:00:00"/>
    <n v="3868.5696000000007"/>
  </r>
  <r>
    <d v="2025-05-21T00:00:00"/>
    <n v="110000"/>
    <n v="186317.89499999999"/>
    <n v="25657.348000000002"/>
    <n v="160660.54699999999"/>
    <n v="1.4605504272727272"/>
    <s v="KASSO"/>
    <x v="1995"/>
    <d v="2025-05-09T00:00:00"/>
    <n v="3868.5696000000007"/>
  </r>
  <r>
    <d v="2025-05-22T00:00:00"/>
    <n v="52216"/>
    <n v="93134.36"/>
    <n v="0"/>
    <n v="93134.36"/>
    <n v="1.7836364332771564"/>
    <s v="SAHEL"/>
    <x v="1996"/>
    <d v="2025-05-13T00:00:00"/>
    <n v="0"/>
  </r>
  <r>
    <d v="2025-05-22T00:00:00"/>
    <n v="43200"/>
    <n v="92880"/>
    <n v="0"/>
    <n v="92880"/>
    <n v="2.15"/>
    <s v="SAHEL"/>
    <x v="1997"/>
    <d v="2025-05-12T00:00:00"/>
    <n v="0"/>
  </r>
  <r>
    <d v="2025-05-22T00:00:00"/>
    <n v="56000"/>
    <n v="96160"/>
    <n v="0"/>
    <n v="96160"/>
    <n v="1.7171428571428571"/>
    <s v="SAHEL"/>
    <x v="1998"/>
    <d v="2025-05-12T00:00:00"/>
    <n v="0"/>
  </r>
  <r>
    <d v="2025-05-22T00:00:00"/>
    <n v="24000"/>
    <n v="82744.462500000009"/>
    <n v="0"/>
    <n v="82744.462500000009"/>
    <n v="3.4476859375000002"/>
    <s v="ALMOSTAWRED ALJADEED"/>
    <x v="1999"/>
    <d v="2025-05-14T00:00:00"/>
    <n v="0"/>
  </r>
  <r>
    <d v="2025-05-23T00:00:00"/>
    <n v="8400"/>
    <n v="19605.549600000002"/>
    <n v="4500"/>
    <n v="15105.549600000002"/>
    <n v="1.7982797142857145"/>
    <s v="UBL"/>
    <x v="2000"/>
    <d v="2025-04-14T00:00:00"/>
    <n v="520"/>
  </r>
  <r>
    <d v="2025-05-23T00:00:00"/>
    <n v="54000"/>
    <n v="107680.9078"/>
    <n v="14219.495999999999"/>
    <n v="93461.411800000002"/>
    <n v="1.7307668851851852"/>
    <s v="EASB"/>
    <x v="2001"/>
    <d v="2025-05-09T00:00:00"/>
    <n v="2106.6491999999998"/>
  </r>
  <r>
    <d v="2025-05-23T00:00:00"/>
    <n v="19200"/>
    <n v="41531.130799999999"/>
    <n v="7010.0050000000001"/>
    <n v="34521.125800000002"/>
    <n v="1.7979753020833333"/>
    <s v="SALIOU"/>
    <x v="2002"/>
    <d v="2025-05-09T00:00:00"/>
    <n v="1017.072"/>
  </r>
  <r>
    <d v="2025-05-26T00:00:00"/>
    <n v="125100"/>
    <n v="254517.201"/>
    <n v="25710.962"/>
    <n v="228806.239"/>
    <n v="1.8289867226219025"/>
    <s v="CHEMA"/>
    <x v="2003"/>
    <d v="2025-05-09T00:00:00"/>
    <n v="3359.4"/>
  </r>
  <r>
    <d v="2025-05-26T00:00:00"/>
    <n v="111360"/>
    <n v="196256.18687999999"/>
    <n v="25710.962"/>
    <n v="170545.22487999999"/>
    <n v="1.5314765165229884"/>
    <s v="CHEMA"/>
    <x v="2004"/>
    <d v="2025-05-09T00:00:00"/>
    <n v="3359.4"/>
  </r>
  <r>
    <d v="2025-05-27T00:00:00"/>
    <n v="110040"/>
    <n v="256642.70592000001"/>
    <n v="31695.974999999999"/>
    <n v="224946.73092"/>
    <n v="2.0442269258451473"/>
    <s v="JPB"/>
    <x v="2005"/>
    <d v="2025-05-16T00:00:00"/>
    <n v="4965.4949999999999"/>
  </r>
  <r>
    <d v="2025-05-27T00:00:00"/>
    <n v="18614"/>
    <n v="60447.389788999993"/>
    <n v="16916.794999999998"/>
    <n v="43530.594788999995"/>
    <n v="2.3385943262598041"/>
    <s v="SAFA FOOD"/>
    <x v="2006"/>
    <d v="2025-05-12T00:00:00"/>
    <n v="1987.2255"/>
  </r>
  <r>
    <d v="2025-05-28T00:00:00"/>
    <n v="12368"/>
    <n v="47774.213892"/>
    <n v="13984.63"/>
    <n v="33789.583892000002"/>
    <n v="2.7320168088615784"/>
    <s v="SAFA FOOD"/>
    <x v="2007"/>
    <d v="2025-05-12T00:00:00"/>
    <n v="1570.2830000000001"/>
  </r>
  <r>
    <d v="2025-05-28T00:00:00"/>
    <n v="27840"/>
    <n v="66696.693159999995"/>
    <n v="5043.9889999999996"/>
    <n v="61652.704159999994"/>
    <n v="2.2145367873563218"/>
    <s v="UBL"/>
    <x v="2008"/>
    <d v="2025-05-16T00:00:00"/>
    <n v="387.09450000000004"/>
  </r>
  <r>
    <d v="2025-05-29T00:00:00"/>
    <n v="12418"/>
    <n v="47236.234499999999"/>
    <n v="13949.92"/>
    <n v="33286.3145"/>
    <n v="2.6804891689483008"/>
    <s v="SAFA FOOD"/>
    <x v="2009"/>
    <d v="2025-05-12T00:00:00"/>
    <n v="1567.202"/>
  </r>
  <r>
    <d v="2025-05-29T00:00:00"/>
    <n v="21600"/>
    <n v="46440"/>
    <n v="0"/>
    <n v="46440"/>
    <n v="2.15"/>
    <s v="SAHEL"/>
    <x v="2010"/>
    <d v="2025-05-12T00:00:00"/>
    <n v="0"/>
  </r>
  <r>
    <d v="2025-05-29T00:00:00"/>
    <n v="19204"/>
    <n v="42298.8"/>
    <n v="0"/>
    <n v="42298.8"/>
    <n v="2.2026036242449489"/>
    <s v="SAHEL"/>
    <x v="2011"/>
    <d v="2025-05-12T00:00:00"/>
    <n v="0"/>
  </r>
  <r>
    <d v="2025-05-29T00:00:00"/>
    <n v="19204"/>
    <n v="42298.8"/>
    <n v="0"/>
    <n v="42298.8"/>
    <n v="2.2026036242449489"/>
    <s v="SAHEL"/>
    <x v="2012"/>
    <d v="2025-05-12T00:00:00"/>
    <n v="0"/>
  </r>
  <r>
    <d v="2025-05-29T00:00:00"/>
    <n v="42422"/>
    <n v="61789.849697999998"/>
    <n v="22935.360000000001"/>
    <n v="38854.489697999998"/>
    <n v="0.91590424067700715"/>
    <s v="SODIC"/>
    <x v="2013"/>
    <d v="2025-05-26T00:00:00"/>
    <n v="2056.5038"/>
  </r>
  <r>
    <d v="2025-05-29T00:00:00"/>
    <n v="27370"/>
    <n v="113009.95077749998"/>
    <n v="2729.5639999999999"/>
    <n v="110280.38677749998"/>
    <n v="4.0292432143770549"/>
    <s v="DAVIS TRADING"/>
    <x v="2014"/>
    <d v="2025-04-04T00:00:00"/>
    <n v="0"/>
  </r>
  <r>
    <d v="2025-05-30T00:00:00"/>
    <n v="23720"/>
    <n v="76375.173343499991"/>
    <n v="16165.21"/>
    <n v="60209.963343499992"/>
    <n v="2.5383627041947721"/>
    <s v="SODIFRAM"/>
    <x v="2015"/>
    <d v="2025-05-13T00:00:00"/>
    <n v="2904.96"/>
  </r>
  <r>
    <d v="2025-05-30T00:00:00"/>
    <n v="59150"/>
    <n v="113946.0255625"/>
    <n v="12210.53"/>
    <n v="101735.4955625"/>
    <n v="1.7199576595519865"/>
    <s v="AL MOSTAFA"/>
    <x v="2016"/>
    <d v="2025-05-12T00:00:00"/>
    <n v="1214.556"/>
  </r>
  <r>
    <d v="2025-05-30T00:00:00"/>
    <n v="234066"/>
    <n v="444009.398812"/>
    <n v="56599.05"/>
    <n v="387410.34881200001"/>
    <n v="1.6551329488776669"/>
    <s v="GENERIC BRAND"/>
    <x v="2017"/>
    <d v="2025-05-09T00:00:00"/>
    <n v="7942.2300000000005"/>
  </r>
  <r>
    <d v="2025-05-31T00:00:00"/>
    <n v="20916"/>
    <n v="74053.708704000004"/>
    <n v="16175.21"/>
    <n v="57878.498704000005"/>
    <n v="2.7671877368521707"/>
    <s v="SODIFRAM"/>
    <x v="2018"/>
    <d v="2025-05-13T00:00:00"/>
    <n v="2904.96"/>
  </r>
  <r>
    <d v="2025-05-31T00:00:00"/>
    <n v="24434"/>
    <n v="75687.047045999992"/>
    <n v="16174.41"/>
    <n v="59512.637045999989"/>
    <n v="2.4356485653597439"/>
    <s v="SODIFRAM"/>
    <x v="2019"/>
    <d v="2025-05-13T00:00:00"/>
    <n v="2904.96"/>
  </r>
  <r>
    <d v="2025-05-31T00:00:00"/>
    <n v="330000"/>
    <n v="802658.91671999998"/>
    <n v="150180.42199999999"/>
    <n v="652478.49471999996"/>
    <n v="1.9772075597575756"/>
    <s v="SEYAL TCHAD"/>
    <x v="2020"/>
    <d v="2025-05-12T00:00:00"/>
    <n v="23062.978000000003"/>
  </r>
  <r>
    <d v="2025-06-16T00:00:00"/>
    <n v="23100"/>
    <n v="61272.449100000005"/>
    <n v="5526.125"/>
    <n v="55746.324100000005"/>
    <n v="2.4132607835497839"/>
    <s v="ABOURA"/>
    <x v="2021"/>
    <d v="2025-06-11T00:00:00"/>
    <n v="503.38275000000004"/>
  </r>
  <r>
    <d v="2025-06-16T00:00:00"/>
    <n v="200011"/>
    <n v="404022.38"/>
    <n v="0"/>
    <n v="404022.38"/>
    <n v="2.0200007999560023"/>
    <s v="AL AKIL"/>
    <x v="2022"/>
    <d v="2025-06-09T00:00:00"/>
    <n v="0"/>
  </r>
  <r>
    <d v="2025-06-20T00:00:00"/>
    <n v="134400"/>
    <n v="320504.81699999998"/>
    <n v="40553.285000000003"/>
    <n v="279951.53200000001"/>
    <n v="2.0829727083333336"/>
    <s v="LAMPFALL"/>
    <x v="2023"/>
    <d v="2025-06-13T00:00:00"/>
    <n v="5840.4360000000006"/>
  </r>
  <r>
    <d v="2025-06-20T00:00:00"/>
    <n v="227920"/>
    <n v="511892.36031999998"/>
    <n v="0"/>
    <n v="511892.36031999998"/>
    <n v="2.2459299768339767"/>
    <s v="ALMOSTAWRED ALJADEED"/>
    <x v="2024"/>
    <d v="2025-06-13T00:00:00"/>
    <n v="0"/>
  </r>
  <r>
    <d v="2025-06-23T00:00:00"/>
    <n v="16250"/>
    <n v="79316.1875"/>
    <n v="0"/>
    <n v="79316.1875"/>
    <n v="4.8809961538461542"/>
    <s v="ALMOSTAWRED ALJADEED"/>
    <x v="2025"/>
    <d v="2025-06-09T00:00:00"/>
    <n v="0"/>
  </r>
  <r>
    <d v="2025-06-23T00:00:00"/>
    <n v="26000"/>
    <n v="50987.42"/>
    <n v="7769.0649999999996"/>
    <n v="43218.354999999996"/>
    <n v="1.6622444230769229"/>
    <s v="MATMATA"/>
    <x v="2026"/>
    <d v="2025-06-11T00:00:00"/>
    <n v="1173.51"/>
  </r>
  <r>
    <d v="2025-06-23T00:00:00"/>
    <n v="84000"/>
    <n v="144480"/>
    <n v="0"/>
    <n v="144480"/>
    <n v="1.72"/>
    <s v="SAHEL"/>
    <x v="2027"/>
    <d v="2025-06-17T00:00:00"/>
    <n v="0"/>
  </r>
  <r>
    <d v="2025-06-24T00:00:00"/>
    <n v="20000"/>
    <n v="44000"/>
    <n v="0"/>
    <n v="44000"/>
    <n v="2.2000000000000002"/>
    <s v="ARCADIA"/>
    <x v="2028"/>
    <d v="2025-06-11T00:00:00"/>
    <n v="0"/>
  </r>
  <r>
    <d v="2025-06-24T00:00:00"/>
    <n v="21600"/>
    <n v="45684"/>
    <n v="0"/>
    <n v="45684"/>
    <n v="2.1150000000000002"/>
    <s v="SCIT"/>
    <x v="2029"/>
    <d v="2025-06-11T00:00:00"/>
    <n v="0"/>
  </r>
  <r>
    <d v="2025-06-24T00:00:00"/>
    <n v="56000"/>
    <n v="86800"/>
    <n v="0"/>
    <n v="86800"/>
    <n v="1.55"/>
    <s v="SCIT"/>
    <x v="2030"/>
    <d v="2025-06-12T00:00:00"/>
    <n v="0"/>
  </r>
  <r>
    <d v="2025-06-25T00:00:00"/>
    <n v="87600"/>
    <n v="183675.98149999999"/>
    <n v="36115.915000000001"/>
    <n v="147560.06649999999"/>
    <n v="1.6844756449771687"/>
    <s v="RNK "/>
    <x v="2031"/>
    <d v="2025-06-16T00:00:00"/>
    <n v="6018"/>
  </r>
  <r>
    <d v="2025-06-27T00:00:00"/>
    <n v="20150"/>
    <n v="44139.244375000002"/>
    <n v="6045.4"/>
    <n v="38093.844375000001"/>
    <n v="1.8905133684863524"/>
    <s v="ANGSTREM"/>
    <x v="2032"/>
    <d v="2025-06-17T00:00:00"/>
    <n v="596.70000000000005"/>
  </r>
  <r>
    <d v="2025-06-30T00:00:00"/>
    <n v="78000"/>
    <n v="120510"/>
    <n v="0"/>
    <n v="120510"/>
    <n v="1.5449999999999999"/>
    <s v="WONDERCHAINE"/>
    <x v="2033"/>
    <d v="2025-06-20T00:00:00"/>
    <n v="0"/>
  </r>
  <r>
    <d v="2025-06-30T00:00:00"/>
    <n v="156000"/>
    <n v="272220"/>
    <n v="0"/>
    <n v="272220"/>
    <n v="1.7450000000000001"/>
    <s v="SAHEL"/>
    <x v="2034"/>
    <d v="2025-06-17T00:00:00"/>
    <n v="0"/>
  </r>
  <r>
    <d v="2025-07-02T00:00:00"/>
    <n v="87600"/>
    <n v="181039.15800000002"/>
    <n v="36168.11"/>
    <n v="144871.04800000001"/>
    <n v="1.6537790867579909"/>
    <s v="RNK "/>
    <x v="2035"/>
    <d v="2025-06-23T00:00:00"/>
    <n v="5972"/>
  </r>
  <r>
    <d v="2025-07-03T00:00:00"/>
    <n v="76800"/>
    <n v="168960"/>
    <n v="0"/>
    <n v="168960"/>
    <n v="2.2000000000000002"/>
    <s v="SCIT"/>
    <x v="2036"/>
    <d v="2025-06-17T00:00:00"/>
    <n v="0"/>
  </r>
  <r>
    <d v="2025-07-03T00:00:00"/>
    <n v="45512"/>
    <n v="57453.502140000004"/>
    <n v="23991.119999999999"/>
    <n v="33462.382140000002"/>
    <n v="0.73524305985234661"/>
    <s v="SODIC"/>
    <x v="2037"/>
    <d v="2025-06-23T00:00:00"/>
    <n v="2230.69119"/>
  </r>
  <r>
    <d v="2025-07-04T00:00:00"/>
    <n v="18500"/>
    <n v="69980.968439999997"/>
    <n v="2608.1750000000002"/>
    <n v="67372.793439999994"/>
    <n v="3.6417726183783778"/>
    <s v="DAVIS TRADING"/>
    <x v="2038"/>
    <d v="2025-06-23T00:00:00"/>
    <n v="0"/>
  </r>
  <r>
    <d v="2025-07-04T00:00:00"/>
    <n v="20000"/>
    <n v="85560.502500000002"/>
    <n v="2608.1750000000002"/>
    <n v="82952.327499999999"/>
    <n v="4.1476163750000001"/>
    <s v="DAVIS TRADING"/>
    <x v="2039"/>
    <d v="2025-06-23T00:00:00"/>
    <n v="0"/>
  </r>
  <r>
    <d v="2025-07-08T00:00:00"/>
    <n v="22560"/>
    <n v="39367.199999999997"/>
    <n v="0"/>
    <n v="39367.199999999997"/>
    <n v="1.7449999999999999"/>
    <s v="SCIT"/>
    <x v="2040"/>
    <d v="2025-06-17T00:00:00"/>
    <n v="0"/>
  </r>
  <r>
    <d v="2025-07-08T00:00:00"/>
    <n v="28000"/>
    <n v="49000"/>
    <n v="0"/>
    <n v="49000"/>
    <n v="1.75"/>
    <s v="SCIT"/>
    <x v="2041"/>
    <d v="2025-07-04T00:00:00"/>
    <n v="0"/>
  </r>
  <r>
    <d v="2025-07-09T00:00:00"/>
    <n v="110400"/>
    <n v="190540"/>
    <n v="0"/>
    <n v="190540"/>
    <n v="1.7259057971014493"/>
    <s v="TAB"/>
    <x v="2042"/>
    <d v="2025-06-17T00:00:00"/>
    <n v="0"/>
  </r>
  <r>
    <d v="2025-07-09T00:00:00"/>
    <n v="48000"/>
    <n v="83880"/>
    <n v="0"/>
    <n v="83880"/>
    <n v="1.7475000000000001"/>
    <s v="SAHEL"/>
    <x v="2043"/>
    <d v="2025-06-17T00:00:00"/>
    <n v="0"/>
  </r>
  <r>
    <d v="2025-07-09T00:00:00"/>
    <n v="21600"/>
    <n v="47520"/>
    <n v="0"/>
    <n v="47520"/>
    <n v="2.2000000000000002"/>
    <s v="SAHEL"/>
    <x v="2044"/>
    <d v="2025-06-17T00:00:00"/>
    <n v="0"/>
  </r>
  <r>
    <d v="2025-07-09T00:00:00"/>
    <n v="43200"/>
    <n v="94176"/>
    <n v="0"/>
    <n v="94176"/>
    <n v="2.1800000000000002"/>
    <s v="SAHEL"/>
    <x v="2045"/>
    <d v="2025-06-17T00:00:00"/>
    <n v="0"/>
  </r>
  <r>
    <d v="2025-07-10T00:00:00"/>
    <n v="110040"/>
    <n v="259171.91424000001"/>
    <n v="30881.4"/>
    <n v="228290.51424000002"/>
    <n v="2.0746139062159217"/>
    <s v="JPB"/>
    <x v="2046"/>
    <d v="2025-07-01T00:00:00"/>
    <n v="4885.38"/>
  </r>
  <r>
    <d v="2025-07-11T00:00:00"/>
    <n v="22008"/>
    <n v="47317.2"/>
    <n v="0"/>
    <n v="47317.2"/>
    <n v="2.15"/>
    <s v="SAHEL"/>
    <x v="2047"/>
    <d v="2025-06-20T00:00:00"/>
    <n v="0"/>
  </r>
  <r>
    <d v="2025-07-11T00:00:00"/>
    <n v="17880"/>
    <n v="57683.052239999997"/>
    <n v="13778.18"/>
    <n v="43904.872239999997"/>
    <n v="2.4555297673378074"/>
    <s v="SAFA FOOD"/>
    <x v="2048"/>
    <d v="2025-07-01T00:00:00"/>
    <n v="1534.3380000000002"/>
  </r>
  <r>
    <d v="2025-07-14T00:00:00"/>
    <n v="165654"/>
    <n v="287391.03999999998"/>
    <n v="0"/>
    <n v="287391.03999999998"/>
    <n v="1.7348874159392467"/>
    <s v="TAB"/>
    <x v="2049"/>
    <d v="2025-06-17T00:00:00"/>
    <n v="0"/>
  </r>
  <r>
    <d v="2025-07-16T00:00:00"/>
    <n v="19200"/>
    <n v="46276.381800000003"/>
    <n v="7273.6450000000004"/>
    <n v="39002.736799999999"/>
    <n v="2.0313925416666665"/>
    <s v="MATMATA"/>
    <x v="2050"/>
    <d v="2025-07-07T00:00:00"/>
    <n v="1131.0899999999999"/>
  </r>
  <r>
    <d v="2025-07-17T00:00:00"/>
    <n v="188640"/>
    <n v="376926.52220000001"/>
    <n v="74420.796000000002"/>
    <n v="302505.72620000003"/>
    <n v="1.6036139005513148"/>
    <s v="SEYAL TCHAD"/>
    <x v="2051"/>
    <d v="2025-06-17T00:00:00"/>
    <n v="11576.95"/>
  </r>
  <r>
    <d v="2025-07-18T00:00:00"/>
    <n v="220000"/>
    <n v="330000"/>
    <n v="0"/>
    <n v="330000"/>
    <n v="1.5"/>
    <s v="SAHEL"/>
    <x v="2052"/>
    <d v="2025-07-11T00:00:00"/>
    <n v="0"/>
  </r>
  <r>
    <d v="2025-07-19T00:00:00"/>
    <n v="279864"/>
    <n v="591784.31999999995"/>
    <n v="0"/>
    <n v="591784.31999999995"/>
    <n v="2.1145424920675753"/>
    <s v="SCIT"/>
    <x v="2053"/>
    <d v="2025-07-07T00:00:00"/>
    <n v="0"/>
  </r>
  <r>
    <d v="2025-07-21T00:00:00"/>
    <n v="260000"/>
    <n v="416746.78500000003"/>
    <n v="20512.343000000001"/>
    <n v="396234.44200000004"/>
    <n v="1.5239786230769232"/>
    <s v="DEBENHAM"/>
    <x v="2054"/>
    <d v="2025-07-10T00:00:00"/>
    <n v="0"/>
  </r>
  <r>
    <d v="2025-07-21T00:00:00"/>
    <n v="28000"/>
    <n v="68284.930000000008"/>
    <n v="7613.61"/>
    <n v="60671.320000000007"/>
    <n v="2.1668328571428574"/>
    <s v="POWER TRADE"/>
    <x v="2055"/>
    <d v="2025-07-11T00:00:00"/>
    <n v="767.09100000000001"/>
  </r>
  <r>
    <d v="2025-07-21T00:00:00"/>
    <n v="28000"/>
    <n v="68284.930000000008"/>
    <n v="7614.41"/>
    <n v="60670.520000000004"/>
    <n v="2.166804285714286"/>
    <s v="POWER TRADE"/>
    <x v="2056"/>
    <d v="2025-07-11T00:00:00"/>
    <n v="767.09100000000001"/>
  </r>
  <r>
    <d v="2025-07-21T00:00:00"/>
    <n v="100003"/>
    <n v="207006.62"/>
    <n v="0"/>
    <n v="207006.62"/>
    <n v="2.0700040998770035"/>
    <s v="AL AKIL"/>
    <x v="2057"/>
    <d v="2025-07-10T00:00:00"/>
    <n v="0"/>
  </r>
  <r>
    <d v="2025-07-22T00:00:00"/>
    <n v="28000"/>
    <n v="68284.930000000008"/>
    <n v="7327.61"/>
    <n v="60957.320000000007"/>
    <n v="2.177047142857143"/>
    <s v="POWER TRADE"/>
    <x v="2058"/>
    <d v="2025-07-10T00:00:00"/>
    <n v="767.09100000000001"/>
  </r>
  <r>
    <d v="2025-07-22T00:00:00"/>
    <n v="28000"/>
    <n v="68284.930000000008"/>
    <n v="7617.61"/>
    <n v="60667.320000000007"/>
    <n v="2.1666900000000004"/>
    <s v="POWER TRADE"/>
    <x v="2059"/>
    <d v="2025-07-10T00:00:00"/>
    <n v="377.09100000000001"/>
  </r>
  <r>
    <d v="2025-07-22T00:00:00"/>
    <n v="28000"/>
    <n v="68284.930000000008"/>
    <n v="7624.41"/>
    <n v="60660.520000000004"/>
    <n v="2.1664471428571428"/>
    <s v="POWER TRADE"/>
    <x v="2060"/>
    <d v="2025-07-10T00:00:00"/>
    <n v="767.09100000000001"/>
  </r>
  <r>
    <d v="2025-07-23T00:00:00"/>
    <n v="16932"/>
    <n v="60678.84"/>
    <n v="0"/>
    <n v="60678.84"/>
    <n v="3.5836782423812896"/>
    <s v="ARCADIA"/>
    <x v="2061"/>
    <d v="2025-06-17T00:00:00"/>
    <n v="0"/>
  </r>
  <r>
    <d v="2025-07-23T00:00:00"/>
    <n v="38400"/>
    <n v="82752"/>
    <n v="0"/>
    <n v="82752"/>
    <n v="2.1549999999999998"/>
    <s v="MARCOM"/>
    <x v="2062"/>
    <d v="2025-07-17T00:00:00"/>
    <n v="0"/>
  </r>
  <r>
    <d v="2025-07-24T00:00:00"/>
    <n v="55904"/>
    <n v="107521.8"/>
    <n v="0"/>
    <n v="107521.8"/>
    <n v="1.9233292787635947"/>
    <s v="SAHEL"/>
    <x v="2063"/>
    <d v="2025-07-17T00:00:00"/>
    <n v="0"/>
  </r>
  <r>
    <d v="2025-07-24T00:00:00"/>
    <n v="24034"/>
    <n v="76643.01070649999"/>
    <n v="16649.71"/>
    <n v="59993.300706499991"/>
    <n v="2.4961846012523923"/>
    <s v="SODIFRAM"/>
    <x v="2064"/>
    <d v="2025-07-07T00:00:00"/>
    <n v="2935.2200000000003"/>
  </r>
  <r>
    <d v="2025-07-24T00:00:00"/>
    <n v="23408"/>
    <n v="75682.183464999995"/>
    <n v="16386.509999999998"/>
    <n v="59295.673465"/>
    <n v="2.5331371097488038"/>
    <s v="SODIFRAM"/>
    <x v="2065"/>
    <d v="2025-07-07T00:00:00"/>
    <n v="2935.2200000000003"/>
  </r>
  <r>
    <d v="2025-07-24T00:00:00"/>
    <n v="24932"/>
    <n v="79455.382110000006"/>
    <n v="16629.71"/>
    <n v="62825.672110000007"/>
    <n v="2.5198809606128671"/>
    <s v="SODIFRAM"/>
    <x v="2066"/>
    <d v="2025-07-07T00:00:00"/>
    <n v="2935.2200000000003"/>
  </r>
  <r>
    <d v="2025-07-29T00:00:00"/>
    <n v="490000"/>
    <n v="817130.4"/>
    <n v="0"/>
    <n v="817130.4"/>
    <n v="1.6676130612244899"/>
    <s v="MARCOM"/>
    <x v="2067"/>
    <d v="2025-07-17T00:00:00"/>
    <n v="0"/>
  </r>
  <r>
    <d v="2025-07-29T00:00:00"/>
    <n v="44520"/>
    <n v="80364"/>
    <n v="0"/>
    <n v="80364"/>
    <n v="1.805121293800539"/>
    <s v="SCIT"/>
    <x v="2068"/>
    <d v="2025-07-18T00:00:00"/>
    <n v="0"/>
  </r>
  <r>
    <d v="2025-07-29T00:00:00"/>
    <n v="49400"/>
    <n v="148493.04080000002"/>
    <n v="0"/>
    <n v="148493.04080000002"/>
    <n v="3.0059320000000005"/>
    <s v="ALMOSTAWRED ALJADEED"/>
    <x v="2069"/>
    <d v="2025-07-17T00:00:00"/>
    <n v="0"/>
  </r>
  <r>
    <d v="2025-07-29T00:00:00"/>
    <n v="144000"/>
    <n v="281200.60800000001"/>
    <n v="0"/>
    <n v="281200.60800000001"/>
    <n v="1.952782"/>
    <s v="ALMOSTAWRED ALJADEED"/>
    <x v="2070"/>
    <d v="2025-07-17T00:00:00"/>
    <n v="0"/>
  </r>
  <r>
    <d v="2025-07-30T00:00:00"/>
    <n v="20750"/>
    <n v="45650"/>
    <n v="0"/>
    <n v="45650"/>
    <n v="2.2000000000000002"/>
    <s v="ARCADIA"/>
    <x v="2071"/>
    <d v="2025-07-21T00:00:00"/>
    <n v="0"/>
  </r>
  <r>
    <d v="2025-07-30T00:00:00"/>
    <n v="20500"/>
    <n v="45100"/>
    <n v="0"/>
    <n v="45100"/>
    <n v="2.2000000000000002"/>
    <s v="ARCADIA"/>
    <x v="2072"/>
    <d v="2025-07-21T00:00:00"/>
    <n v="0"/>
  </r>
  <r>
    <d v="2025-07-31T00:00:00"/>
    <n v="192500"/>
    <n v="288750"/>
    <n v="0"/>
    <n v="288750"/>
    <n v="1.5"/>
    <s v="SAHEL"/>
    <x v="2073"/>
    <d v="2025-07-23T00:00:00"/>
    <n v="0"/>
  </r>
  <r>
    <d v="2025-07-31T00:00:00"/>
    <n v="51816"/>
    <n v="84271.096980000002"/>
    <n v="12000"/>
    <n v="72271.096980000002"/>
    <n v="1.3947641072255674"/>
    <s v="SODIC"/>
    <x v="2074"/>
    <d v="2025-07-24T00:00:00"/>
    <n v="1200"/>
  </r>
  <r>
    <d v="2025-07-31T00:00:00"/>
    <n v="14192"/>
    <n v="33502.978050000005"/>
    <n v="11953.8"/>
    <n v="21549.178050000006"/>
    <n v="1.5184031884160094"/>
    <s v="SODIC"/>
    <x v="2075"/>
    <d v="2025-07-28T00:00:00"/>
    <n v="1111.4636"/>
  </r>
  <r>
    <m/>
    <m/>
    <m/>
    <m/>
    <m/>
    <m/>
    <m/>
    <x v="207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eau croisé dynamique1" cacheId="2725" dataOnRows="1" autoFormatId="0" applyNumberFormats="0" applyBorderFormats="0" applyFontFormats="0" applyPatternFormats="0" applyAlignmentFormats="0" applyWidthHeightFormats="1" dataCaption="Données" updatedVersion="6" showMultipleLabel="0" showDrill="0" showMemberPropertyTips="0" useAutoFormatting="1" itemPrintTitles="1" createdVersion="1" indent="0" compactData="0" gridDropZones="1">
  <location ref="Y9:AB23" firstHeaderRow="1" firstDataRow="2" firstDataCol="1"/>
  <pivotFields count="8">
    <pivotField compact="0" outline="0" subtotalTop="0" showAll="0" topAutoShow="0" includeNewItemsInFilter="1"/>
    <pivotField compact="0" numFmtId="168" outline="0" subtotalTop="0" showAll="0" topAutoShow="0" includeNewItemsInFilter="1"/>
    <pivotField axis="axisRow" compact="0" outline="0" subtotalTop="0" showAll="0" topAutoShow="0" includeNewItemsInFilter="1">
      <items count="13">
        <item x="0"/>
        <item x="1"/>
        <item x="2"/>
        <item x="5"/>
        <item x="4"/>
        <item x="6"/>
        <item x="8"/>
        <item x="3"/>
        <item x="9"/>
        <item x="10"/>
        <item x="11"/>
        <item x="7"/>
        <item t="default"/>
      </items>
    </pivotField>
    <pivotField axis="axisCol" compact="0" outline="0" subtotalTop="0" showAll="0" topAutoShow="0" includeNewItemsInFilter="1">
      <items count="3">
        <item x="0"/>
        <item x="1"/>
        <item t="default"/>
      </items>
    </pivotField>
    <pivotField compact="0" outline="0" subtotalTop="0" showAll="0" topAutoShow="0" includeNewItemsInFilter="1"/>
    <pivotField compact="0" outline="0" subtotalTop="0" showAll="0" topAutoShow="0" includeNewItemsInFilter="1"/>
    <pivotField compact="0" numFmtId="171" outline="0" subtotalTop="0" showAll="0" topAutoShow="0" includeNewItemsInFilter="1"/>
    <pivotField dataField="1" compact="0" numFmtId="171" outline="0" subtotalTop="0" showAll="0" topAutoShow="0" includeNewItemsInFilter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omme de T.T.C" fld="7" baseField="0" baseItem="0"/>
  </dataFields>
  <pivotTableStyleInfo name="Non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A8138-69A0-46A2-9F49-A42779F07002}" name="Tableau croisé dynamique1" cacheId="2726" dataOnRows="1" autoFormatId="0" applyNumberFormats="0" applyBorderFormats="0" applyFontFormats="0" applyPatternFormats="0" applyAlignmentFormats="0" applyWidthHeightFormats="1" dataCaption="Données" updatedVersion="7" showMultipleLabel="0" showDrill="0" showMemberPropertyTips="0" useAutoFormatting="1" itemPrintTitles="1" createdVersion="1" indent="0" compactData="0" gridDropZones="1">
  <location ref="N6:O2085" firstHeaderRow="2" firstDataRow="2" firstDataCol="1"/>
  <pivotFields count="10">
    <pivotField compact="0" outline="0" subtotalTop="0" showAll="0" topAutoShow="0" includeNewItemsInFilter="1" defaultSubtotal="0"/>
    <pivotField compact="0" outline="0" subtotalTop="0" showAll="0" topAutoShow="0" includeNewItemsInFilter="1" defaultSubtotal="0"/>
    <pivotField compact="0" outline="0" subtotalTop="0" showAll="0" topAutoShow="0" includeNewItemsInFilter="1" defaultSubtotal="0"/>
    <pivotField dataField="1" compact="0" outline="0" subtotalTop="0" showAll="0" topAutoShow="0" includeNewItemsInFilter="1"/>
    <pivotField compact="0" outline="0" subtotalTop="0" showAll="0" topAutoShow="0" includeNewItemsInFilter="1"/>
    <pivotField compact="0" outline="0" subtotalTop="0" showAll="0" topAutoShow="0" includeNewItemsInFilter="1"/>
    <pivotField compact="0" outline="0" subtotalTop="0" showAll="0" topAutoShow="0" includeNewItemsInFilter="1"/>
    <pivotField axis="axisRow" compact="0" outline="0" subtotalTop="0" showAll="0" topAutoShow="0" includeNewItemsInFilter="1" sortType="ascending">
      <items count="2203">
        <item m="1" x="2139"/>
        <item m="1" x="2077"/>
        <item m="1" x="2140"/>
        <item m="1" x="2078"/>
        <item m="1" x="2141"/>
        <item m="1" x="2142"/>
        <item m="1" x="2079"/>
        <item m="1" x="2143"/>
        <item m="1" x="2080"/>
        <item m="1" x="2144"/>
        <item m="1" x="2081"/>
        <item m="1" x="2145"/>
        <item m="1" x="2082"/>
        <item m="1" x="2146"/>
        <item m="1" x="2083"/>
        <item m="1" x="2147"/>
        <item m="1" x="2084"/>
        <item m="1" x="2148"/>
        <item m="1" x="2085"/>
        <item m="1" x="2149"/>
        <item m="1" x="2086"/>
        <item m="1" x="2150"/>
        <item m="1" x="2087"/>
        <item m="1" x="2151"/>
        <item m="1" x="2088"/>
        <item m="1" x="2152"/>
        <item m="1" x="2089"/>
        <item m="1" x="2153"/>
        <item m="1" x="2090"/>
        <item m="1" x="2154"/>
        <item m="1" x="2091"/>
        <item m="1" x="2155"/>
        <item m="1" x="2092"/>
        <item m="1" x="2156"/>
        <item m="1" x="2093"/>
        <item m="1" x="2157"/>
        <item m="1" x="2094"/>
        <item m="1" x="2158"/>
        <item m="1" x="2095"/>
        <item m="1" x="2159"/>
        <item m="1" x="2096"/>
        <item m="1" x="2160"/>
        <item m="1" x="2097"/>
        <item m="1" x="2161"/>
        <item m="1" x="2098"/>
        <item m="1" x="2162"/>
        <item m="1" x="2099"/>
        <item m="1" x="2163"/>
        <item m="1" x="2100"/>
        <item m="1" x="2164"/>
        <item m="1" x="2101"/>
        <item m="1" x="2165"/>
        <item m="1" x="2102"/>
        <item m="1" x="2166"/>
        <item m="1" x="2103"/>
        <item m="1" x="2167"/>
        <item m="1" x="2104"/>
        <item m="1" x="2168"/>
        <item m="1" x="2105"/>
        <item m="1" x="2169"/>
        <item m="1" x="2106"/>
        <item m="1" x="2107"/>
        <item m="1" x="2170"/>
        <item m="1" x="2108"/>
        <item m="1" x="2171"/>
        <item m="1" x="2109"/>
        <item m="1" x="2110"/>
        <item m="1" x="2172"/>
        <item m="1" x="2111"/>
        <item m="1" x="2173"/>
        <item m="1" x="2112"/>
        <item m="1" x="2174"/>
        <item m="1" x="2113"/>
        <item m="1" x="2175"/>
        <item m="1" x="2114"/>
        <item m="1" x="2176"/>
        <item m="1" x="2115"/>
        <item m="1" x="2177"/>
        <item m="1" x="2116"/>
        <item m="1" x="2178"/>
        <item m="1" x="2117"/>
        <item m="1" x="2179"/>
        <item m="1" x="2118"/>
        <item m="1" x="2180"/>
        <item m="1" x="2119"/>
        <item m="1" x="2181"/>
        <item m="1" x="2120"/>
        <item m="1" x="2182"/>
        <item m="1" x="2121"/>
        <item m="1" x="2183"/>
        <item m="1" x="2122"/>
        <item m="1" x="2184"/>
        <item m="1" x="2123"/>
        <item m="1" x="2185"/>
        <item m="1" x="2124"/>
        <item m="1" x="2186"/>
        <item m="1" x="2125"/>
        <item m="1" x="2187"/>
        <item m="1" x="2126"/>
        <item m="1" x="2188"/>
        <item m="1" x="2127"/>
        <item m="1" x="2189"/>
        <item m="1" x="2128"/>
        <item m="1" x="2190"/>
        <item m="1" x="2129"/>
        <item m="1" x="2191"/>
        <item m="1" x="2130"/>
        <item m="1" x="2192"/>
        <item m="1" x="2131"/>
        <item m="1" x="2193"/>
        <item m="1" x="2132"/>
        <item m="1" x="2194"/>
        <item m="1" x="2133"/>
        <item m="1" x="2195"/>
        <item m="1" x="2134"/>
        <item m="1" x="2196"/>
        <item m="1" x="2135"/>
        <item m="1" x="2197"/>
        <item m="1" x="2136"/>
        <item m="1" x="2198"/>
        <item m="1" x="2137"/>
        <item m="1" x="2199"/>
        <item m="1" x="2138"/>
        <item m="1" x="2200"/>
        <item m="1" x="2201"/>
        <item x="1"/>
        <item x="0"/>
        <item x="3"/>
        <item x="4"/>
        <item x="38"/>
        <item x="5"/>
        <item x="2"/>
        <item x="6"/>
        <item x="7"/>
        <item x="16"/>
        <item x="17"/>
        <item x="18"/>
        <item x="9"/>
        <item x="8"/>
        <item x="13"/>
        <item x="10"/>
        <item x="11"/>
        <item x="12"/>
        <item x="24"/>
        <item x="14"/>
        <item x="22"/>
        <item x="23"/>
        <item x="26"/>
        <item x="15"/>
        <item x="21"/>
        <item x="19"/>
        <item x="20"/>
        <item x="32"/>
        <item x="27"/>
        <item x="30"/>
        <item x="33"/>
        <item x="35"/>
        <item x="41"/>
        <item x="31"/>
        <item x="25"/>
        <item x="60"/>
        <item x="28"/>
        <item x="37"/>
        <item x="57"/>
        <item x="29"/>
        <item x="34"/>
        <item x="36"/>
        <item x="40"/>
        <item x="39"/>
        <item x="43"/>
        <item x="45"/>
        <item x="47"/>
        <item x="48"/>
        <item x="42"/>
        <item x="46"/>
        <item x="50"/>
        <item x="44"/>
        <item x="58"/>
        <item x="54"/>
        <item x="49"/>
        <item x="56"/>
        <item x="55"/>
        <item x="51"/>
        <item x="59"/>
        <item x="53"/>
        <item x="52"/>
        <item x="62"/>
        <item x="63"/>
        <item x="75"/>
        <item x="64"/>
        <item x="61"/>
        <item x="67"/>
        <item x="81"/>
        <item x="65"/>
        <item x="66"/>
        <item x="69"/>
        <item x="68"/>
        <item x="71"/>
        <item x="72"/>
        <item x="76"/>
        <item x="70"/>
        <item x="87"/>
        <item x="73"/>
        <item x="74"/>
        <item x="82"/>
        <item x="84"/>
        <item x="98"/>
        <item x="90"/>
        <item x="79"/>
        <item x="92"/>
        <item x="78"/>
        <item x="77"/>
        <item x="83"/>
        <item x="80"/>
        <item x="85"/>
        <item x="86"/>
        <item x="88"/>
        <item x="95"/>
        <item x="89"/>
        <item x="102"/>
        <item x="96"/>
        <item x="94"/>
        <item x="91"/>
        <item x="93"/>
        <item x="129"/>
        <item x="111"/>
        <item x="99"/>
        <item x="97"/>
        <item x="105"/>
        <item x="101"/>
        <item x="117"/>
        <item x="104"/>
        <item x="107"/>
        <item x="100"/>
        <item x="106"/>
        <item x="103"/>
        <item x="108"/>
        <item x="114"/>
        <item x="109"/>
        <item x="112"/>
        <item x="113"/>
        <item x="122"/>
        <item x="116"/>
        <item x="143"/>
        <item x="110"/>
        <item x="115"/>
        <item x="118"/>
        <item x="121"/>
        <item x="127"/>
        <item x="119"/>
        <item x="120"/>
        <item x="132"/>
        <item x="124"/>
        <item x="123"/>
        <item x="130"/>
        <item x="125"/>
        <item x="126"/>
        <item x="128"/>
        <item x="131"/>
        <item x="152"/>
        <item x="157"/>
        <item x="134"/>
        <item x="162"/>
        <item x="133"/>
        <item x="137"/>
        <item x="140"/>
        <item x="141"/>
        <item x="142"/>
        <item x="138"/>
        <item x="135"/>
        <item x="136"/>
        <item x="139"/>
        <item x="146"/>
        <item x="148"/>
        <item x="151"/>
        <item x="145"/>
        <item x="147"/>
        <item x="144"/>
        <item x="160"/>
        <item x="149"/>
        <item x="150"/>
        <item x="155"/>
        <item x="168"/>
        <item x="154"/>
        <item x="153"/>
        <item x="156"/>
        <item x="158"/>
        <item x="159"/>
        <item x="175"/>
        <item x="167"/>
        <item x="169"/>
        <item x="161"/>
        <item x="163"/>
        <item x="164"/>
        <item x="173"/>
        <item x="166"/>
        <item x="165"/>
        <item x="172"/>
        <item x="174"/>
        <item x="176"/>
        <item x="183"/>
        <item x="171"/>
        <item x="170"/>
        <item x="179"/>
        <item x="182"/>
        <item x="177"/>
        <item x="178"/>
        <item x="180"/>
        <item x="187"/>
        <item x="193"/>
        <item x="184"/>
        <item x="181"/>
        <item x="195"/>
        <item x="185"/>
        <item x="190"/>
        <item x="189"/>
        <item x="202"/>
        <item x="188"/>
        <item x="186"/>
        <item x="192"/>
        <item x="205"/>
        <item x="191"/>
        <item x="194"/>
        <item x="200"/>
        <item x="196"/>
        <item x="207"/>
        <item x="212"/>
        <item x="201"/>
        <item x="197"/>
        <item x="204"/>
        <item x="198"/>
        <item x="199"/>
        <item x="203"/>
        <item x="206"/>
        <item x="208"/>
        <item x="227"/>
        <item x="211"/>
        <item x="213"/>
        <item x="218"/>
        <item x="210"/>
        <item x="209"/>
        <item x="215"/>
        <item x="216"/>
        <item x="217"/>
        <item x="214"/>
        <item x="222"/>
        <item x="219"/>
        <item x="225"/>
        <item x="224"/>
        <item x="229"/>
        <item x="223"/>
        <item x="233"/>
        <item x="234"/>
        <item x="220"/>
        <item x="230"/>
        <item x="226"/>
        <item x="231"/>
        <item x="221"/>
        <item x="228"/>
        <item x="232"/>
        <item x="235"/>
        <item x="238"/>
        <item x="239"/>
        <item x="237"/>
        <item x="236"/>
        <item x="240"/>
        <item x="245"/>
        <item x="241"/>
        <item x="244"/>
        <item x="242"/>
        <item x="243"/>
        <item x="247"/>
        <item x="259"/>
        <item x="246"/>
        <item x="253"/>
        <item x="252"/>
        <item x="248"/>
        <item x="264"/>
        <item x="249"/>
        <item x="250"/>
        <item x="251"/>
        <item x="254"/>
        <item x="255"/>
        <item x="266"/>
        <item x="263"/>
        <item x="256"/>
        <item x="257"/>
        <item x="258"/>
        <item x="267"/>
        <item x="261"/>
        <item x="260"/>
        <item x="262"/>
        <item x="265"/>
        <item x="271"/>
        <item x="272"/>
        <item x="273"/>
        <item x="275"/>
        <item x="268"/>
        <item x="278"/>
        <item x="285"/>
        <item x="269"/>
        <item x="270"/>
        <item x="280"/>
        <item x="274"/>
        <item x="277"/>
        <item x="276"/>
        <item x="282"/>
        <item x="279"/>
        <item x="284"/>
        <item x="290"/>
        <item x="281"/>
        <item x="323"/>
        <item x="283"/>
        <item x="286"/>
        <item x="287"/>
        <item x="318"/>
        <item x="297"/>
        <item x="300"/>
        <item x="298"/>
        <item x="301"/>
        <item x="303"/>
        <item x="304"/>
        <item x="289"/>
        <item x="302"/>
        <item x="293"/>
        <item x="294"/>
        <item x="291"/>
        <item x="292"/>
        <item x="296"/>
        <item x="299"/>
        <item x="288"/>
        <item x="295"/>
        <item x="307"/>
        <item x="306"/>
        <item x="313"/>
        <item x="311"/>
        <item x="317"/>
        <item x="321"/>
        <item x="309"/>
        <item x="308"/>
        <item x="305"/>
        <item x="344"/>
        <item x="314"/>
        <item x="316"/>
        <item x="312"/>
        <item x="310"/>
        <item x="319"/>
        <item x="329"/>
        <item x="320"/>
        <item x="315"/>
        <item x="331"/>
        <item x="324"/>
        <item x="333"/>
        <item x="322"/>
        <item x="326"/>
        <item x="341"/>
        <item x="327"/>
        <item x="328"/>
        <item x="330"/>
        <item x="343"/>
        <item x="325"/>
        <item x="332"/>
        <item x="334"/>
        <item x="382"/>
        <item x="355"/>
        <item x="377"/>
        <item x="378"/>
        <item x="337"/>
        <item x="347"/>
        <item x="376"/>
        <item x="335"/>
        <item x="380"/>
        <item x="338"/>
        <item x="365"/>
        <item x="366"/>
        <item x="336"/>
        <item x="339"/>
        <item x="361"/>
        <item x="340"/>
        <item x="342"/>
        <item x="346"/>
        <item x="345"/>
        <item x="348"/>
        <item x="349"/>
        <item x="350"/>
        <item x="359"/>
        <item x="351"/>
        <item x="353"/>
        <item x="358"/>
        <item x="360"/>
        <item x="379"/>
        <item x="352"/>
        <item x="362"/>
        <item x="363"/>
        <item x="364"/>
        <item x="367"/>
        <item x="354"/>
        <item x="356"/>
        <item x="357"/>
        <item x="396"/>
        <item x="368"/>
        <item x="369"/>
        <item x="372"/>
        <item x="373"/>
        <item x="371"/>
        <item x="370"/>
        <item x="374"/>
        <item x="375"/>
        <item x="381"/>
        <item x="395"/>
        <item x="386"/>
        <item x="393"/>
        <item x="399"/>
        <item x="387"/>
        <item x="389"/>
        <item x="388"/>
        <item x="383"/>
        <item x="384"/>
        <item x="385"/>
        <item x="391"/>
        <item x="392"/>
        <item x="390"/>
        <item x="419"/>
        <item x="420"/>
        <item x="394"/>
        <item x="398"/>
        <item x="397"/>
        <item x="413"/>
        <item x="406"/>
        <item x="407"/>
        <item x="401"/>
        <item x="400"/>
        <item x="403"/>
        <item x="404"/>
        <item x="408"/>
        <item x="405"/>
        <item x="412"/>
        <item x="422"/>
        <item x="409"/>
        <item x="410"/>
        <item x="402"/>
        <item x="417"/>
        <item x="430"/>
        <item x="411"/>
        <item x="423"/>
        <item x="460"/>
        <item x="416"/>
        <item x="415"/>
        <item x="418"/>
        <item x="421"/>
        <item x="414"/>
        <item x="431"/>
        <item x="427"/>
        <item x="426"/>
        <item x="424"/>
        <item x="425"/>
        <item x="437"/>
        <item x="429"/>
        <item x="428"/>
        <item x="466"/>
        <item x="433"/>
        <item x="434"/>
        <item x="435"/>
        <item x="432"/>
        <item x="440"/>
        <item x="446"/>
        <item x="436"/>
        <item x="442"/>
        <item x="438"/>
        <item x="439"/>
        <item x="447"/>
        <item x="441"/>
        <item x="449"/>
        <item x="444"/>
        <item x="443"/>
        <item x="458"/>
        <item x="457"/>
        <item x="445"/>
        <item x="456"/>
        <item x="448"/>
        <item x="450"/>
        <item x="451"/>
        <item x="453"/>
        <item x="455"/>
        <item x="452"/>
        <item x="454"/>
        <item x="505"/>
        <item x="463"/>
        <item x="468"/>
        <item x="461"/>
        <item x="462"/>
        <item x="487"/>
        <item x="459"/>
        <item x="465"/>
        <item x="477"/>
        <item x="464"/>
        <item x="472"/>
        <item x="480"/>
        <item x="467"/>
        <item x="476"/>
        <item x="469"/>
        <item x="473"/>
        <item x="470"/>
        <item x="471"/>
        <item x="474"/>
        <item x="475"/>
        <item x="478"/>
        <item x="479"/>
        <item x="483"/>
        <item x="482"/>
        <item x="513"/>
        <item x="486"/>
        <item x="494"/>
        <item x="481"/>
        <item x="489"/>
        <item x="495"/>
        <item x="492"/>
        <item x="484"/>
        <item x="485"/>
        <item x="488"/>
        <item x="490"/>
        <item x="498"/>
        <item x="491"/>
        <item x="493"/>
        <item x="496"/>
        <item x="497"/>
        <item x="499"/>
        <item x="501"/>
        <item x="516"/>
        <item x="510"/>
        <item x="502"/>
        <item x="500"/>
        <item x="520"/>
        <item x="503"/>
        <item x="504"/>
        <item x="506"/>
        <item x="508"/>
        <item x="507"/>
        <item x="514"/>
        <item x="517"/>
        <item x="511"/>
        <item x="509"/>
        <item x="512"/>
        <item x="518"/>
        <item x="523"/>
        <item x="524"/>
        <item x="530"/>
        <item x="550"/>
        <item x="515"/>
        <item x="521"/>
        <item x="531"/>
        <item x="519"/>
        <item x="522"/>
        <item x="527"/>
        <item x="526"/>
        <item x="529"/>
        <item x="528"/>
        <item x="541"/>
        <item x="549"/>
        <item x="542"/>
        <item x="525"/>
        <item x="548"/>
        <item x="567"/>
        <item x="544"/>
        <item x="545"/>
        <item x="537"/>
        <item x="547"/>
        <item x="538"/>
        <item x="540"/>
        <item x="539"/>
        <item x="561"/>
        <item x="532"/>
        <item x="533"/>
        <item x="534"/>
        <item x="535"/>
        <item x="536"/>
        <item x="546"/>
        <item x="543"/>
        <item x="560"/>
        <item x="551"/>
        <item x="555"/>
        <item x="556"/>
        <item x="554"/>
        <item x="553"/>
        <item x="552"/>
        <item x="557"/>
        <item x="569"/>
        <item x="563"/>
        <item x="562"/>
        <item x="558"/>
        <item x="566"/>
        <item x="564"/>
        <item x="559"/>
        <item x="565"/>
        <item x="570"/>
        <item x="591"/>
        <item x="568"/>
        <item x="572"/>
        <item x="574"/>
        <item x="581"/>
        <item x="571"/>
        <item x="573"/>
        <item x="576"/>
        <item x="577"/>
        <item x="585"/>
        <item x="595"/>
        <item x="584"/>
        <item x="582"/>
        <item x="589"/>
        <item x="575"/>
        <item x="579"/>
        <item x="588"/>
        <item x="587"/>
        <item x="583"/>
        <item x="580"/>
        <item x="590"/>
        <item x="578"/>
        <item x="586"/>
        <item x="597"/>
        <item x="596"/>
        <item x="594"/>
        <item x="593"/>
        <item x="592"/>
        <item x="598"/>
        <item x="605"/>
        <item x="612"/>
        <item x="619"/>
        <item x="602"/>
        <item x="603"/>
        <item x="613"/>
        <item x="630"/>
        <item x="606"/>
        <item x="620"/>
        <item x="616"/>
        <item x="601"/>
        <item x="609"/>
        <item x="610"/>
        <item x="600"/>
        <item x="608"/>
        <item x="599"/>
        <item x="604"/>
        <item x="607"/>
        <item x="614"/>
        <item x="611"/>
        <item x="617"/>
        <item x="615"/>
        <item x="622"/>
        <item x="618"/>
        <item x="624"/>
        <item x="623"/>
        <item x="625"/>
        <item x="621"/>
        <item x="631"/>
        <item x="637"/>
        <item x="626"/>
        <item x="627"/>
        <item x="641"/>
        <item x="644"/>
        <item x="634"/>
        <item x="645"/>
        <item x="628"/>
        <item x="639"/>
        <item x="633"/>
        <item x="629"/>
        <item x="632"/>
        <item x="635"/>
        <item x="636"/>
        <item x="638"/>
        <item x="648"/>
        <item x="640"/>
        <item x="642"/>
        <item x="643"/>
        <item x="659"/>
        <item x="649"/>
        <item x="657"/>
        <item x="647"/>
        <item x="646"/>
        <item x="651"/>
        <item x="653"/>
        <item x="667"/>
        <item x="665"/>
        <item x="669"/>
        <item x="666"/>
        <item x="656"/>
        <item x="674"/>
        <item x="689"/>
        <item x="654"/>
        <item x="652"/>
        <item x="650"/>
        <item x="655"/>
        <item x="658"/>
        <item x="663"/>
        <item x="662"/>
        <item x="660"/>
        <item x="661"/>
        <item x="664"/>
        <item x="671"/>
        <item x="668"/>
        <item x="678"/>
        <item x="670"/>
        <item x="675"/>
        <item x="673"/>
        <item x="677"/>
        <item x="698"/>
        <item x="680"/>
        <item x="672"/>
        <item x="685"/>
        <item x="676"/>
        <item x="730"/>
        <item x="683"/>
        <item x="684"/>
        <item x="682"/>
        <item x="681"/>
        <item x="688"/>
        <item x="679"/>
        <item x="686"/>
        <item x="703"/>
        <item x="687"/>
        <item x="692"/>
        <item x="704"/>
        <item x="705"/>
        <item x="706"/>
        <item x="696"/>
        <item x="695"/>
        <item x="690"/>
        <item x="691"/>
        <item x="693"/>
        <item x="694"/>
        <item x="708"/>
        <item x="697"/>
        <item x="699"/>
        <item x="700"/>
        <item x="701"/>
        <item x="702"/>
        <item x="717"/>
        <item x="713"/>
        <item x="716"/>
        <item x="718"/>
        <item x="714"/>
        <item x="711"/>
        <item x="722"/>
        <item x="709"/>
        <item x="712"/>
        <item x="707"/>
        <item x="724"/>
        <item x="715"/>
        <item x="710"/>
        <item x="720"/>
        <item x="719"/>
        <item x="727"/>
        <item x="721"/>
        <item x="729"/>
        <item x="723"/>
        <item x="734"/>
        <item x="753"/>
        <item x="725"/>
        <item x="740"/>
        <item x="728"/>
        <item x="737"/>
        <item x="741"/>
        <item x="726"/>
        <item x="732"/>
        <item x="739"/>
        <item x="742"/>
        <item x="735"/>
        <item x="744"/>
        <item x="738"/>
        <item x="733"/>
        <item x="745"/>
        <item x="731"/>
        <item x="736"/>
        <item x="754"/>
        <item x="743"/>
        <item x="772"/>
        <item x="747"/>
        <item x="746"/>
        <item x="750"/>
        <item x="765"/>
        <item x="751"/>
        <item x="764"/>
        <item x="748"/>
        <item x="761"/>
        <item x="749"/>
        <item x="771"/>
        <item x="763"/>
        <item x="759"/>
        <item x="752"/>
        <item x="767"/>
        <item x="762"/>
        <item x="755"/>
        <item x="756"/>
        <item x="757"/>
        <item x="758"/>
        <item x="760"/>
        <item x="768"/>
        <item x="770"/>
        <item x="766"/>
        <item x="769"/>
        <item x="774"/>
        <item x="773"/>
        <item x="776"/>
        <item x="775"/>
        <item x="786"/>
        <item x="779"/>
        <item x="781"/>
        <item x="778"/>
        <item x="780"/>
        <item x="777"/>
        <item x="787"/>
        <item x="792"/>
        <item x="784"/>
        <item x="799"/>
        <item x="788"/>
        <item x="783"/>
        <item x="782"/>
        <item x="785"/>
        <item x="798"/>
        <item x="793"/>
        <item x="794"/>
        <item x="796"/>
        <item x="797"/>
        <item x="795"/>
        <item x="789"/>
        <item x="813"/>
        <item x="802"/>
        <item x="791"/>
        <item x="790"/>
        <item x="801"/>
        <item x="800"/>
        <item x="803"/>
        <item x="806"/>
        <item x="811"/>
        <item x="805"/>
        <item x="804"/>
        <item x="807"/>
        <item x="808"/>
        <item x="823"/>
        <item x="810"/>
        <item x="809"/>
        <item x="814"/>
        <item x="812"/>
        <item x="815"/>
        <item x="826"/>
        <item x="821"/>
        <item x="817"/>
        <item x="816"/>
        <item x="828"/>
        <item x="820"/>
        <item x="829"/>
        <item x="830"/>
        <item x="818"/>
        <item x="819"/>
        <item x="822"/>
        <item x="827"/>
        <item x="824"/>
        <item x="825"/>
        <item x="831"/>
        <item x="832"/>
        <item x="835"/>
        <item x="841"/>
        <item x="833"/>
        <item x="837"/>
        <item x="834"/>
        <item x="838"/>
        <item x="836"/>
        <item x="839"/>
        <item x="840"/>
        <item x="843"/>
        <item x="845"/>
        <item x="847"/>
        <item x="849"/>
        <item x="850"/>
        <item x="848"/>
        <item x="858"/>
        <item x="846"/>
        <item x="844"/>
        <item x="842"/>
        <item x="885"/>
        <item x="852"/>
        <item x="854"/>
        <item x="851"/>
        <item x="853"/>
        <item x="886"/>
        <item x="855"/>
        <item x="859"/>
        <item x="856"/>
        <item x="857"/>
        <item x="866"/>
        <item x="860"/>
        <item x="861"/>
        <item x="867"/>
        <item x="876"/>
        <item x="863"/>
        <item x="864"/>
        <item x="865"/>
        <item x="862"/>
        <item x="868"/>
        <item x="870"/>
        <item x="869"/>
        <item x="875"/>
        <item x="881"/>
        <item x="871"/>
        <item x="874"/>
        <item x="873"/>
        <item x="878"/>
        <item x="888"/>
        <item x="872"/>
        <item x="879"/>
        <item x="877"/>
        <item x="880"/>
        <item x="887"/>
        <item x="882"/>
        <item x="884"/>
        <item x="889"/>
        <item x="883"/>
        <item x="890"/>
        <item x="893"/>
        <item x="891"/>
        <item x="892"/>
        <item x="901"/>
        <item x="896"/>
        <item x="895"/>
        <item x="899"/>
        <item x="903"/>
        <item x="894"/>
        <item x="906"/>
        <item x="910"/>
        <item x="920"/>
        <item x="905"/>
        <item x="909"/>
        <item x="897"/>
        <item x="898"/>
        <item x="900"/>
        <item x="902"/>
        <item x="904"/>
        <item x="908"/>
        <item x="929"/>
        <item x="907"/>
        <item x="913"/>
        <item x="911"/>
        <item x="912"/>
        <item x="974"/>
        <item x="914"/>
        <item x="917"/>
        <item x="923"/>
        <item x="924"/>
        <item x="916"/>
        <item x="918"/>
        <item x="921"/>
        <item x="933"/>
        <item x="962"/>
        <item x="922"/>
        <item x="950"/>
        <item x="928"/>
        <item x="915"/>
        <item x="919"/>
        <item x="925"/>
        <item x="927"/>
        <item x="936"/>
        <item x="926"/>
        <item x="930"/>
        <item x="931"/>
        <item x="932"/>
        <item x="934"/>
        <item x="935"/>
        <item x="963"/>
        <item x="938"/>
        <item x="939"/>
        <item x="937"/>
        <item x="941"/>
        <item x="951"/>
        <item x="948"/>
        <item x="940"/>
        <item x="942"/>
        <item x="944"/>
        <item x="945"/>
        <item x="943"/>
        <item x="946"/>
        <item x="947"/>
        <item x="989"/>
        <item x="949"/>
        <item x="952"/>
        <item x="955"/>
        <item x="961"/>
        <item x="975"/>
        <item x="964"/>
        <item x="965"/>
        <item x="966"/>
        <item x="956"/>
        <item x="959"/>
        <item x="967"/>
        <item x="957"/>
        <item x="958"/>
        <item x="985"/>
        <item x="953"/>
        <item x="954"/>
        <item x="960"/>
        <item x="984"/>
        <item x="971"/>
        <item x="968"/>
        <item x="969"/>
        <item x="970"/>
        <item x="973"/>
        <item x="972"/>
        <item x="979"/>
        <item x="981"/>
        <item x="976"/>
        <item x="977"/>
        <item x="982"/>
        <item x="980"/>
        <item x="983"/>
        <item x="987"/>
        <item x="978"/>
        <item x="990"/>
        <item x="986"/>
        <item x="991"/>
        <item x="993"/>
        <item x="994"/>
        <item x="996"/>
        <item x="988"/>
        <item x="992"/>
        <item x="999"/>
        <item x="997"/>
        <item x="1004"/>
        <item x="995"/>
        <item x="998"/>
        <item x="1002"/>
        <item x="1001"/>
        <item x="1006"/>
        <item x="1007"/>
        <item x="1003"/>
        <item x="1000"/>
        <item x="1005"/>
        <item x="1011"/>
        <item x="1016"/>
        <item x="1014"/>
        <item x="1025"/>
        <item x="1027"/>
        <item x="1012"/>
        <item x="1008"/>
        <item x="1009"/>
        <item x="1024"/>
        <item x="1015"/>
        <item x="1013"/>
        <item x="1020"/>
        <item x="1010"/>
        <item x="1017"/>
        <item x="1022"/>
        <item x="1026"/>
        <item x="1018"/>
        <item x="1019"/>
        <item x="1023"/>
        <item x="1021"/>
        <item x="1028"/>
        <item x="1036"/>
        <item x="1030"/>
        <item x="1029"/>
        <item x="1033"/>
        <item x="1031"/>
        <item x="1032"/>
        <item x="1034"/>
        <item x="1035"/>
        <item x="1037"/>
        <item x="1047"/>
        <item x="1039"/>
        <item x="1043"/>
        <item x="1040"/>
        <item x="1041"/>
        <item x="1038"/>
        <item x="1044"/>
        <item x="1046"/>
        <item x="1042"/>
        <item x="1048"/>
        <item x="1045"/>
        <item x="1050"/>
        <item x="1049"/>
        <item x="1051"/>
        <item x="1053"/>
        <item x="1054"/>
        <item x="1052"/>
        <item x="1058"/>
        <item x="1060"/>
        <item x="1059"/>
        <item x="1062"/>
        <item x="1055"/>
        <item x="1056"/>
        <item x="1074"/>
        <item x="1081"/>
        <item x="1057"/>
        <item x="1065"/>
        <item x="1061"/>
        <item x="1063"/>
        <item x="1064"/>
        <item x="1067"/>
        <item x="1066"/>
        <item x="1076"/>
        <item x="1068"/>
        <item x="1069"/>
        <item x="1072"/>
        <item x="1075"/>
        <item x="1070"/>
        <item x="1071"/>
        <item x="1073"/>
        <item x="1077"/>
        <item x="1101"/>
        <item x="1078"/>
        <item x="1080"/>
        <item x="1079"/>
        <item x="1097"/>
        <item x="1083"/>
        <item x="1082"/>
        <item x="1085"/>
        <item x="1090"/>
        <item x="1089"/>
        <item x="1088"/>
        <item x="1093"/>
        <item x="1086"/>
        <item x="1084"/>
        <item x="1098"/>
        <item x="1087"/>
        <item x="1092"/>
        <item x="1091"/>
        <item x="1094"/>
        <item x="1095"/>
        <item x="1096"/>
        <item x="1103"/>
        <item x="1105"/>
        <item x="1099"/>
        <item x="1100"/>
        <item x="1106"/>
        <item x="1104"/>
        <item x="1102"/>
        <item x="1107"/>
        <item x="1111"/>
        <item x="1108"/>
        <item x="1110"/>
        <item x="1113"/>
        <item x="1109"/>
        <item x="1121"/>
        <item x="1112"/>
        <item x="1119"/>
        <item x="1115"/>
        <item x="1117"/>
        <item x="1114"/>
        <item x="1118"/>
        <item x="1142"/>
        <item x="1116"/>
        <item x="1123"/>
        <item x="1120"/>
        <item x="1122"/>
        <item x="1128"/>
        <item x="1124"/>
        <item x="1126"/>
        <item x="1125"/>
        <item x="1132"/>
        <item x="1127"/>
        <item x="1140"/>
        <item x="1130"/>
        <item x="1131"/>
        <item x="1139"/>
        <item x="1141"/>
        <item x="1136"/>
        <item x="1129"/>
        <item x="1133"/>
        <item x="1138"/>
        <item x="1145"/>
        <item x="1134"/>
        <item x="1137"/>
        <item x="1135"/>
        <item x="1144"/>
        <item x="1143"/>
        <item x="1152"/>
        <item x="1146"/>
        <item x="1147"/>
        <item x="1150"/>
        <item x="1149"/>
        <item x="1148"/>
        <item x="1155"/>
        <item x="1165"/>
        <item x="1151"/>
        <item x="1153"/>
        <item x="1156"/>
        <item x="1157"/>
        <item x="1154"/>
        <item x="1160"/>
        <item x="1174"/>
        <item x="1159"/>
        <item x="1158"/>
        <item x="1161"/>
        <item x="1162"/>
        <item x="1206"/>
        <item x="1171"/>
        <item x="1167"/>
        <item x="1163"/>
        <item x="1164"/>
        <item x="1166"/>
        <item x="1172"/>
        <item x="1177"/>
        <item x="1173"/>
        <item x="1168"/>
        <item x="1169"/>
        <item x="1187"/>
        <item x="1181"/>
        <item x="1170"/>
        <item x="1176"/>
        <item x="1175"/>
        <item x="1178"/>
        <item x="1189"/>
        <item x="1182"/>
        <item x="1180"/>
        <item x="1179"/>
        <item x="1183"/>
        <item x="1193"/>
        <item x="1192"/>
        <item x="1185"/>
        <item x="1191"/>
        <item x="1186"/>
        <item x="1204"/>
        <item x="1184"/>
        <item x="1188"/>
        <item x="1190"/>
        <item x="1194"/>
        <item x="1203"/>
        <item x="1195"/>
        <item x="1200"/>
        <item x="1197"/>
        <item x="1196"/>
        <item x="1201"/>
        <item x="1198"/>
        <item x="1199"/>
        <item x="1205"/>
        <item x="1202"/>
        <item x="1210"/>
        <item x="1207"/>
        <item x="1208"/>
        <item x="1211"/>
        <item x="1209"/>
        <item x="1216"/>
        <item x="1215"/>
        <item x="1212"/>
        <item x="1222"/>
        <item x="1213"/>
        <item x="1214"/>
        <item x="1217"/>
        <item x="1223"/>
        <item x="1221"/>
        <item x="1228"/>
        <item x="1226"/>
        <item x="1218"/>
        <item x="1219"/>
        <item x="1220"/>
        <item x="1225"/>
        <item x="1224"/>
        <item x="1229"/>
        <item x="1230"/>
        <item x="1231"/>
        <item x="1235"/>
        <item x="1234"/>
        <item x="1236"/>
        <item x="1227"/>
        <item x="1240"/>
        <item x="1232"/>
        <item x="1233"/>
        <item x="1237"/>
        <item x="1238"/>
        <item x="1239"/>
        <item x="1244"/>
        <item x="1248"/>
        <item x="1245"/>
        <item x="1241"/>
        <item x="1242"/>
        <item x="1243"/>
        <item x="1256"/>
        <item x="1246"/>
        <item x="1253"/>
        <item x="1247"/>
        <item x="1255"/>
        <item x="1249"/>
        <item x="1259"/>
        <item x="1254"/>
        <item x="1250"/>
        <item x="1251"/>
        <item x="1252"/>
        <item x="1272"/>
        <item x="1264"/>
        <item x="1257"/>
        <item x="1258"/>
        <item x="1284"/>
        <item x="1262"/>
        <item x="1263"/>
        <item x="1265"/>
        <item x="1260"/>
        <item x="1261"/>
        <item x="1276"/>
        <item x="1267"/>
        <item x="1277"/>
        <item x="1274"/>
        <item x="1283"/>
        <item x="1269"/>
        <item x="1270"/>
        <item x="1271"/>
        <item x="1266"/>
        <item x="1282"/>
        <item x="1278"/>
        <item x="1280"/>
        <item x="1268"/>
        <item x="1275"/>
        <item x="1279"/>
        <item x="1281"/>
        <item x="1286"/>
        <item x="1273"/>
        <item x="1285"/>
        <item x="1289"/>
        <item x="1290"/>
        <item x="1287"/>
        <item x="1288"/>
        <item x="1294"/>
        <item x="1291"/>
        <item x="1292"/>
        <item x="1293"/>
        <item x="1295"/>
        <item x="1308"/>
        <item x="1309"/>
        <item x="1298"/>
        <item x="1296"/>
        <item x="1303"/>
        <item x="1297"/>
        <item x="1300"/>
        <item x="1301"/>
        <item x="1302"/>
        <item x="1299"/>
        <item x="1306"/>
        <item x="1304"/>
        <item x="1305"/>
        <item x="1310"/>
        <item x="1312"/>
        <item x="1328"/>
        <item x="1324"/>
        <item x="1307"/>
        <item x="1311"/>
        <item x="1314"/>
        <item x="1325"/>
        <item x="1317"/>
        <item x="1321"/>
        <item x="1313"/>
        <item x="1315"/>
        <item x="1316"/>
        <item x="1318"/>
        <item x="1319"/>
        <item x="1326"/>
        <item x="1320"/>
        <item x="1322"/>
        <item x="1323"/>
        <item x="1327"/>
        <item x="1331"/>
        <item x="1338"/>
        <item x="1329"/>
        <item x="1330"/>
        <item x="1339"/>
        <item x="1332"/>
        <item x="1333"/>
        <item x="1335"/>
        <item x="1346"/>
        <item x="1354"/>
        <item x="1336"/>
        <item x="1340"/>
        <item x="1337"/>
        <item x="1376"/>
        <item x="1382"/>
        <item x="1341"/>
        <item x="1334"/>
        <item x="1356"/>
        <item x="1357"/>
        <item x="1344"/>
        <item x="1390"/>
        <item x="1349"/>
        <item x="1343"/>
        <item x="1342"/>
        <item x="1358"/>
        <item x="1348"/>
        <item x="1347"/>
        <item x="1351"/>
        <item x="1352"/>
        <item x="1353"/>
        <item x="1359"/>
        <item x="1360"/>
        <item x="1350"/>
        <item x="1345"/>
        <item x="1355"/>
        <item x="1367"/>
        <item x="1365"/>
        <item x="1361"/>
        <item x="1368"/>
        <item x="1380"/>
        <item x="1362"/>
        <item x="1363"/>
        <item x="1364"/>
        <item x="1369"/>
        <item x="1366"/>
        <item x="1396"/>
        <item x="1436"/>
        <item x="1373"/>
        <item x="1374"/>
        <item x="1384"/>
        <item x="1387"/>
        <item x="1383"/>
        <item x="1371"/>
        <item x="1372"/>
        <item x="1370"/>
        <item x="1375"/>
        <item x="1385"/>
        <item x="1381"/>
        <item x="1377"/>
        <item x="1378"/>
        <item x="1389"/>
        <item x="1406"/>
        <item x="1379"/>
        <item x="1386"/>
        <item x="1388"/>
        <item x="1391"/>
        <item x="1392"/>
        <item x="1395"/>
        <item x="1427"/>
        <item x="1393"/>
        <item x="1394"/>
        <item x="1399"/>
        <item x="1398"/>
        <item x="1397"/>
        <item x="1402"/>
        <item x="1412"/>
        <item x="1403"/>
        <item x="1425"/>
        <item x="1404"/>
        <item x="1401"/>
        <item x="1400"/>
        <item x="1405"/>
        <item x="1408"/>
        <item x="1407"/>
        <item x="1409"/>
        <item x="1413"/>
        <item x="1415"/>
        <item x="1417"/>
        <item x="1420"/>
        <item x="1411"/>
        <item x="1422"/>
        <item x="1435"/>
        <item x="1414"/>
        <item x="1419"/>
        <item x="1418"/>
        <item x="1410"/>
        <item x="1416"/>
        <item x="1421"/>
        <item x="1424"/>
        <item x="1432"/>
        <item x="1423"/>
        <item x="1426"/>
        <item x="1431"/>
        <item x="1430"/>
        <item x="1428"/>
        <item x="1439"/>
        <item x="1467"/>
        <item x="1440"/>
        <item x="1429"/>
        <item x="1437"/>
        <item x="1454"/>
        <item x="1450"/>
        <item x="1451"/>
        <item x="1438"/>
        <item x="1433"/>
        <item x="1446"/>
        <item x="1442"/>
        <item x="1449"/>
        <item x="1448"/>
        <item x="1445"/>
        <item x="1455"/>
        <item x="1456"/>
        <item x="1443"/>
        <item x="1452"/>
        <item x="1453"/>
        <item x="1465"/>
        <item x="1459"/>
        <item x="1434"/>
        <item x="1444"/>
        <item x="1441"/>
        <item x="1447"/>
        <item x="1457"/>
        <item x="1460"/>
        <item x="1458"/>
        <item x="1461"/>
        <item x="1466"/>
        <item x="1468"/>
        <item x="1462"/>
        <item x="1464"/>
        <item x="1463"/>
        <item x="1470"/>
        <item x="1469"/>
        <item x="1472"/>
        <item x="1473"/>
        <item x="1475"/>
        <item x="1494"/>
        <item x="1471"/>
        <item x="1479"/>
        <item x="1476"/>
        <item x="1480"/>
        <item x="1484"/>
        <item x="1474"/>
        <item x="1489"/>
        <item x="1477"/>
        <item x="1478"/>
        <item x="1499"/>
        <item x="1485"/>
        <item x="1483"/>
        <item x="1584"/>
        <item x="1505"/>
        <item x="1487"/>
        <item x="1498"/>
        <item x="1500"/>
        <item x="1481"/>
        <item x="1492"/>
        <item x="1482"/>
        <item x="1517"/>
        <item x="1518"/>
        <item x="1488"/>
        <item x="1486"/>
        <item x="1490"/>
        <item x="1491"/>
        <item x="1493"/>
        <item x="1495"/>
        <item x="1501"/>
        <item x="1497"/>
        <item x="1502"/>
        <item x="1496"/>
        <item x="1503"/>
        <item x="1507"/>
        <item x="1504"/>
        <item x="1508"/>
        <item x="1509"/>
        <item x="1506"/>
        <item x="1516"/>
        <item x="1512"/>
        <item x="1510"/>
        <item x="1511"/>
        <item x="1521"/>
        <item x="1522"/>
        <item x="1514"/>
        <item x="1513"/>
        <item x="1524"/>
        <item x="1538"/>
        <item x="1534"/>
        <item x="1515"/>
        <item x="1519"/>
        <item x="1520"/>
        <item x="1530"/>
        <item x="1539"/>
        <item x="1526"/>
        <item x="1525"/>
        <item x="1523"/>
        <item x="1527"/>
        <item x="1528"/>
        <item x="1529"/>
        <item x="1531"/>
        <item x="1564"/>
        <item x="1533"/>
        <item x="1535"/>
        <item x="1532"/>
        <item x="1536"/>
        <item x="1537"/>
        <item x="1540"/>
        <item x="1546"/>
        <item x="1544"/>
        <item x="1541"/>
        <item x="1542"/>
        <item x="1547"/>
        <item x="1543"/>
        <item x="1548"/>
        <item x="1545"/>
        <item x="1562"/>
        <item x="1557"/>
        <item x="1556"/>
        <item x="1550"/>
        <item x="1549"/>
        <item x="1559"/>
        <item x="1551"/>
        <item x="1554"/>
        <item x="1555"/>
        <item x="1567"/>
        <item x="1560"/>
        <item x="1561"/>
        <item x="1563"/>
        <item x="1553"/>
        <item x="1552"/>
        <item x="1558"/>
        <item x="1565"/>
        <item x="1566"/>
        <item x="1574"/>
        <item x="1568"/>
        <item x="1569"/>
        <item x="1575"/>
        <item x="1570"/>
        <item x="1577"/>
        <item x="1572"/>
        <item x="1573"/>
        <item x="1571"/>
        <item x="1589"/>
        <item x="1612"/>
        <item x="1579"/>
        <item x="1578"/>
        <item x="1580"/>
        <item x="1581"/>
        <item x="1576"/>
        <item x="1623"/>
        <item x="1586"/>
        <item x="1625"/>
        <item x="1588"/>
        <item x="1590"/>
        <item x="1587"/>
        <item x="1583"/>
        <item x="1582"/>
        <item x="1585"/>
        <item x="1592"/>
        <item x="1591"/>
        <item x="1598"/>
        <item x="1604"/>
        <item x="1595"/>
        <item x="1594"/>
        <item x="1596"/>
        <item x="1597"/>
        <item x="1605"/>
        <item x="1611"/>
        <item x="1593"/>
        <item x="1602"/>
        <item x="1614"/>
        <item x="1607"/>
        <item x="1608"/>
        <item x="1599"/>
        <item x="1600"/>
        <item x="1609"/>
        <item x="1606"/>
        <item x="1601"/>
        <item x="1603"/>
        <item x="1610"/>
        <item x="1621"/>
        <item x="1622"/>
        <item x="1629"/>
        <item x="1617"/>
        <item x="1613"/>
        <item x="1616"/>
        <item x="1620"/>
        <item x="1618"/>
        <item x="1615"/>
        <item x="1619"/>
        <item x="1626"/>
        <item x="1648"/>
        <item x="1624"/>
        <item x="1633"/>
        <item x="1627"/>
        <item x="1630"/>
        <item x="1628"/>
        <item x="1635"/>
        <item x="1631"/>
        <item x="1634"/>
        <item x="1636"/>
        <item x="1632"/>
        <item x="1637"/>
        <item x="1641"/>
        <item x="1643"/>
        <item x="1651"/>
        <item x="1642"/>
        <item x="1647"/>
        <item x="1644"/>
        <item x="1640"/>
        <item x="1639"/>
        <item x="1649"/>
        <item x="1674"/>
        <item x="1650"/>
        <item x="1646"/>
        <item x="1660"/>
        <item x="1638"/>
        <item x="1645"/>
        <item x="1661"/>
        <item x="1653"/>
        <item x="1654"/>
        <item x="1658"/>
        <item x="1652"/>
        <item x="1671"/>
        <item x="1655"/>
        <item x="1665"/>
        <item x="1666"/>
        <item x="1656"/>
        <item x="1657"/>
        <item x="1659"/>
        <item x="1662"/>
        <item x="1675"/>
        <item x="1664"/>
        <item x="1663"/>
        <item x="1672"/>
        <item x="1673"/>
        <item x="1670"/>
        <item x="1677"/>
        <item x="1669"/>
        <item x="1667"/>
        <item x="1684"/>
        <item x="1668"/>
        <item x="1681"/>
        <item x="1680"/>
        <item x="1679"/>
        <item x="1676"/>
        <item x="1678"/>
        <item x="1682"/>
        <item x="1683"/>
        <item x="1686"/>
        <item x="1689"/>
        <item x="1685"/>
        <item x="1687"/>
        <item x="1688"/>
        <item x="1694"/>
        <item x="1691"/>
        <item x="1710"/>
        <item x="1716"/>
        <item x="1690"/>
        <item x="1692"/>
        <item x="1715"/>
        <item x="1693"/>
        <item x="1695"/>
        <item x="1701"/>
        <item x="1696"/>
        <item x="1700"/>
        <item x="1699"/>
        <item x="1697"/>
        <item x="1698"/>
        <item x="1720"/>
        <item x="1717"/>
        <item x="1705"/>
        <item x="1702"/>
        <item x="1703"/>
        <item x="1706"/>
        <item x="1713"/>
        <item x="1738"/>
        <item x="1709"/>
        <item x="1708"/>
        <item x="1711"/>
        <item x="1712"/>
        <item x="1707"/>
        <item x="1704"/>
        <item x="1726"/>
        <item x="1722"/>
        <item x="1714"/>
        <item x="1718"/>
        <item x="1721"/>
        <item x="1719"/>
        <item x="1725"/>
        <item x="1723"/>
        <item x="1724"/>
        <item x="1727"/>
        <item x="1729"/>
        <item x="1730"/>
        <item x="1732"/>
        <item x="1735"/>
        <item x="1728"/>
        <item x="1733"/>
        <item x="1731"/>
        <item x="1740"/>
        <item x="1736"/>
        <item x="1734"/>
        <item x="1741"/>
        <item x="1739"/>
        <item x="1737"/>
        <item x="1796"/>
        <item x="1742"/>
        <item x="1743"/>
        <item x="1778"/>
        <item x="1791"/>
        <item x="1748"/>
        <item x="1745"/>
        <item x="1744"/>
        <item x="1747"/>
        <item x="1749"/>
        <item x="1753"/>
        <item x="1746"/>
        <item x="1751"/>
        <item x="1750"/>
        <item x="1755"/>
        <item x="1756"/>
        <item x="1774"/>
        <item x="1757"/>
        <item x="1764"/>
        <item x="1754"/>
        <item x="1849"/>
        <item x="1752"/>
        <item x="1759"/>
        <item x="1770"/>
        <item x="1758"/>
        <item x="1773"/>
        <item x="1782"/>
        <item x="1763"/>
        <item x="1781"/>
        <item x="1777"/>
        <item x="1760"/>
        <item x="1765"/>
        <item x="1771"/>
        <item x="1779"/>
        <item x="1769"/>
        <item x="1780"/>
        <item x="1775"/>
        <item x="1772"/>
        <item x="1761"/>
        <item x="1762"/>
        <item x="1768"/>
        <item x="1788"/>
        <item x="1766"/>
        <item x="1767"/>
        <item x="1776"/>
        <item x="1785"/>
        <item x="1806"/>
        <item x="1783"/>
        <item x="1784"/>
        <item x="1808"/>
        <item x="1807"/>
        <item x="1793"/>
        <item x="1789"/>
        <item x="1799"/>
        <item x="1787"/>
        <item x="1798"/>
        <item x="1804"/>
        <item x="1786"/>
        <item x="1794"/>
        <item x="1805"/>
        <item x="1797"/>
        <item x="1790"/>
        <item x="1800"/>
        <item x="1792"/>
        <item x="1795"/>
        <item x="1803"/>
        <item x="1801"/>
        <item x="1802"/>
        <item x="1809"/>
        <item x="1823"/>
        <item x="1841"/>
        <item x="1820"/>
        <item x="1842"/>
        <item x="1811"/>
        <item x="1814"/>
        <item x="1817"/>
        <item x="1812"/>
        <item x="1818"/>
        <item x="1819"/>
        <item x="1810"/>
        <item x="1828"/>
        <item x="1826"/>
        <item x="1831"/>
        <item x="1815"/>
        <item x="1816"/>
        <item x="1813"/>
        <item x="1827"/>
        <item x="1838"/>
        <item x="1821"/>
        <item x="1833"/>
        <item x="1822"/>
        <item x="1825"/>
        <item x="1824"/>
        <item x="1846"/>
        <item x="1834"/>
        <item x="1835"/>
        <item x="1839"/>
        <item x="1837"/>
        <item x="1830"/>
        <item x="1832"/>
        <item x="1866"/>
        <item x="1829"/>
        <item x="1836"/>
        <item x="1847"/>
        <item x="1840"/>
        <item x="1859"/>
        <item x="1843"/>
        <item x="1844"/>
        <item x="1845"/>
        <item x="1853"/>
        <item x="1858"/>
        <item x="1854"/>
        <item x="1851"/>
        <item x="1850"/>
        <item x="1848"/>
        <item x="1863"/>
        <item x="1852"/>
        <item x="1855"/>
        <item x="1856"/>
        <item x="1857"/>
        <item x="1860"/>
        <item x="1864"/>
        <item x="1865"/>
        <item x="1861"/>
        <item x="1862"/>
        <item x="1867"/>
        <item x="1869"/>
        <item x="1868"/>
        <item x="1871"/>
        <item x="1894"/>
        <item x="1877"/>
        <item x="1876"/>
        <item x="1872"/>
        <item x="1873"/>
        <item x="1870"/>
        <item x="1875"/>
        <item x="1883"/>
        <item x="1881"/>
        <item x="1882"/>
        <item x="1880"/>
        <item x="1878"/>
        <item x="1905"/>
        <item x="1898"/>
        <item x="1887"/>
        <item x="1891"/>
        <item x="1885"/>
        <item x="1886"/>
        <item x="1889"/>
        <item x="1874"/>
        <item x="1888"/>
        <item x="1884"/>
        <item x="1879"/>
        <item x="1910"/>
        <item x="1890"/>
        <item x="1892"/>
        <item x="1893"/>
        <item x="1903"/>
        <item x="1897"/>
        <item x="1895"/>
        <item x="1907"/>
        <item x="1904"/>
        <item x="1901"/>
        <item x="1896"/>
        <item x="1899"/>
        <item x="1902"/>
        <item x="1920"/>
        <item x="1911"/>
        <item x="1906"/>
        <item x="1918"/>
        <item x="1922"/>
        <item x="1916"/>
        <item x="1921"/>
        <item x="1900"/>
        <item x="1908"/>
        <item x="1912"/>
        <item x="1942"/>
        <item x="1909"/>
        <item x="1915"/>
        <item x="1923"/>
        <item x="1924"/>
        <item x="1925"/>
        <item x="1926"/>
        <item x="1919"/>
        <item x="1928"/>
        <item x="1927"/>
        <item x="1917"/>
        <item x="1913"/>
        <item x="1914"/>
        <item x="1932"/>
        <item x="1935"/>
        <item x="1929"/>
        <item x="1934"/>
        <item x="1936"/>
        <item x="1930"/>
        <item x="1931"/>
        <item x="1940"/>
        <item x="1933"/>
        <item x="1937"/>
        <item x="1938"/>
        <item x="1939"/>
        <item x="1958"/>
        <item x="1949"/>
        <item x="1943"/>
        <item x="1946"/>
        <item x="1947"/>
        <item x="1945"/>
        <item x="1944"/>
        <item x="1941"/>
        <item x="1948"/>
        <item x="1957"/>
        <item x="1984"/>
        <item x="1971"/>
        <item x="1952"/>
        <item x="1950"/>
        <item x="1977"/>
        <item x="1951"/>
        <item x="1953"/>
        <item x="1954"/>
        <item x="1955"/>
        <item x="1956"/>
        <item x="2014"/>
        <item x="1961"/>
        <item x="1974"/>
        <item x="1960"/>
        <item x="1973"/>
        <item x="1959"/>
        <item x="1968"/>
        <item x="1962"/>
        <item x="1963"/>
        <item x="1972"/>
        <item x="1966"/>
        <item x="1969"/>
        <item x="1979"/>
        <item x="1980"/>
        <item x="1970"/>
        <item x="1967"/>
        <item x="1983"/>
        <item x="1978"/>
        <item x="2000"/>
        <item x="1976"/>
        <item x="1965"/>
        <item x="1964"/>
        <item x="1981"/>
        <item x="1975"/>
        <item x="1982"/>
        <item x="1985"/>
        <item x="1986"/>
        <item x="1987"/>
        <item x="1988"/>
        <item x="2001"/>
        <item x="2002"/>
        <item x="1990"/>
        <item x="1989"/>
        <item x="2017"/>
        <item x="2004"/>
        <item x="2003"/>
        <item x="1994"/>
        <item x="1991"/>
        <item x="1995"/>
        <item x="2016"/>
        <item x="2006"/>
        <item x="2009"/>
        <item x="2007"/>
        <item x="2020"/>
        <item x="1992"/>
        <item x="1997"/>
        <item x="2010"/>
        <item x="2011"/>
        <item x="2012"/>
        <item x="1998"/>
        <item x="1996"/>
        <item x="1993"/>
        <item x="2018"/>
        <item x="2019"/>
        <item x="2015"/>
        <item x="1999"/>
        <item x="2005"/>
        <item x="2008"/>
        <item x="2013"/>
        <item x="2025"/>
        <item x="2022"/>
        <item x="2026"/>
        <item x="2028"/>
        <item x="2029"/>
        <item x="2021"/>
        <item x="2030"/>
        <item x="2023"/>
        <item x="2024"/>
        <item x="2031"/>
        <item x="2032"/>
        <item x="2034"/>
        <item x="2027"/>
        <item x="2045"/>
        <item x="2044"/>
        <item x="2043"/>
        <item x="2040"/>
        <item x="2036"/>
        <item x="2049"/>
        <item x="2042"/>
        <item x="2061"/>
        <item x="2051"/>
        <item x="2033"/>
        <item x="2047"/>
        <item x="2035"/>
        <item x="2038"/>
        <item x="2039"/>
        <item x="2037"/>
        <item x="2048"/>
        <item x="2046"/>
        <item x="2041"/>
        <item x="2053"/>
        <item x="2064"/>
        <item x="2065"/>
        <item x="2066"/>
        <item x="2050"/>
        <item x="2057"/>
        <item x="2054"/>
        <item x="2052"/>
        <item x="2055"/>
        <item x="2056"/>
        <item x="2058"/>
        <item x="2059"/>
        <item x="2060"/>
        <item x="2067"/>
        <item x="2062"/>
        <item x="2063"/>
        <item x="2069"/>
        <item x="2070"/>
        <item x="2072"/>
        <item x="2068"/>
        <item x="2071"/>
        <item x="2073"/>
        <item x="2074"/>
        <item x="2075"/>
        <item x="2076"/>
        <item t="default"/>
      </items>
    </pivotField>
    <pivotField compact="0" outline="0" subtotalTop="0" showAll="0" topAutoShow="0" includeNewItemsInFilter="1" defaultSubtotal="0"/>
    <pivotField compact="0" outline="0" subtotalTop="0" showAll="0" topAutoShow="0" includeNewItemsInFilter="1" defaultSubtotal="0"/>
  </pivotFields>
  <rowFields count="1">
    <field x="7"/>
  </rowFields>
  <rowItems count="2078"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 t="grand">
      <x/>
    </i>
  </rowItems>
  <colItems count="1">
    <i/>
  </colItems>
  <dataFields count="1">
    <dataField name="Somme de Coût Transport" fld="3" baseField="0" baseItem="0" numFmtId="172"/>
  </dataFields>
  <formats count="14">
    <format dxfId="73">
      <pivotArea outline="0" fieldPosition="0">
        <references count="1">
          <reference field="7" count="1" selected="0">
            <x v="567"/>
          </reference>
        </references>
      </pivotArea>
    </format>
    <format dxfId="74">
      <pivotArea dataOnly="0" labelOnly="1" outline="0" fieldPosition="0">
        <references count="1">
          <reference field="7" count="1">
            <x v="567"/>
          </reference>
        </references>
      </pivotArea>
    </format>
    <format dxfId="75">
      <pivotArea outline="0" fieldPosition="0"/>
    </format>
    <format dxfId="76">
      <pivotArea type="topRight" dataOnly="0" labelOnly="1" outline="0" fieldPosition="0"/>
    </format>
    <format dxfId="77">
      <pivotArea type="origin" dataOnly="0" labelOnly="1" outline="0" fieldPosition="0"/>
    </format>
    <format dxfId="78">
      <pivotArea type="topRight" dataOnly="0" labelOnly="1" outline="0" fieldPosition="0"/>
    </format>
    <format dxfId="79">
      <pivotArea outline="0" fieldPosition="0">
        <references count="1">
          <reference field="7" count="247" selected="0"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6"/>
            <x v="1517"/>
            <x v="1518"/>
          </reference>
        </references>
      </pivotArea>
    </format>
    <format dxfId="80">
      <pivotArea grandRow="1" outline="0" fieldPosition="0"/>
    </format>
    <format dxfId="81">
      <pivotArea dataOnly="0" labelOnly="1" outline="0" fieldPosition="0">
        <references count="1">
          <reference field="7" count="50"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</reference>
        </references>
      </pivotArea>
    </format>
    <format dxfId="82">
      <pivotArea dataOnly="0" labelOnly="1" outline="0" fieldPosition="0">
        <references count="1">
          <reference field="7" count="50"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</reference>
        </references>
      </pivotArea>
    </format>
    <format dxfId="83">
      <pivotArea dataOnly="0" labelOnly="1" outline="0" fieldPosition="0">
        <references count="1">
          <reference field="7" count="50"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</reference>
        </references>
      </pivotArea>
    </format>
    <format dxfId="84">
      <pivotArea dataOnly="0" labelOnly="1" outline="0" fieldPosition="0">
        <references count="1">
          <reference field="7" count="50"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</reference>
        </references>
      </pivotArea>
    </format>
    <format dxfId="85">
      <pivotArea dataOnly="0" labelOnly="1" outline="0" fieldPosition="0">
        <references count="1">
          <reference field="7" count="47">
            <x v="1468"/>
            <x v="1469"/>
            <x v="1470"/>
            <x v="1471"/>
            <x v="1472"/>
            <x v="1473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6"/>
            <x v="1517"/>
            <x v="1518"/>
          </reference>
        </references>
      </pivotArea>
    </format>
    <format dxfId="86">
      <pivotArea dataOnly="0" labelOnly="1" grandRow="1" outline="0" fieldPosition="0"/>
    </format>
  </formats>
  <pivotTableStyleInfo name="Non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87D84B-C5F6-4C00-9933-ED6302A3FC9F}" name="Tableau3" displayName="Tableau3" ref="A1:XFD1048576" totalsRowShown="0">
  <autoFilter ref="A1:XFD1048576" xr:uid="{D887D84B-C5F6-4C00-9933-ED6302A3FC9F}"/>
  <tableColumns count="16384">
    <tableColumn id="1" xr3:uid="{EBB6DE91-33BA-466C-9CDB-A680CF2680BA}" name="CE0999"/>
    <tableColumn id="2" xr3:uid="{D6496131-C500-42DB-9785-29662DCD8D31}" name="A1" dataDxfId="72"/>
    <tableColumn id="3" xr3:uid="{A7C5E166-226B-4EAA-83AE-F04C4CF3AA86}" name="COMPTANT                     @"/>
    <tableColumn id="4" xr3:uid="{BE8DB12F-BE42-4A9C-98EC-2C8C7437E2F3}" name="TND"/>
    <tableColumn id="5" xr3:uid="{EDEFF4D9-9996-47C1-B784-095EFE508C4C}" name="00000000"/>
    <tableColumn id="6" xr3:uid="{B0C0FAAF-9533-4C55-9908-34DA4A11A4D5}" name="00000001"/>
    <tableColumn id="7" xr3:uid="{73841834-F145-4F90-AC1C-F9BD060B66CF}" name="VIRE"/>
    <tableColumn id="8" xr3:uid="{19BAC609-DD6B-4FF0-B9B4-B4D8F47BA008}" name="Colonne1"/>
    <tableColumn id="9" xr3:uid="{E8FBE4B8-098C-4F82-B68D-34D3F8CACBFF}" name="A définir"/>
    <tableColumn id="10" xr3:uid="{0695A325-06E8-426F-B74B-D6601DFB8141}" name="Colonne2"/>
    <tableColumn id="11" xr3:uid="{775EFF31-C6DD-46A8-A97B-07D96D11CF4A}" name="Colonne3"/>
    <tableColumn id="12" xr3:uid="{2BB2AE9F-12B4-426A-BD2D-0AFF4BBD0CED}" name="Colonne4"/>
    <tableColumn id="13" xr3:uid="{7DE9230C-6C8E-4CF4-91A3-337BE824D0BB}" name="0"/>
    <tableColumn id="14" xr3:uid="{7AAC3FB6-9A95-4724-815F-ED1C2F47BDA8}" name="1"/>
    <tableColumn id="15" xr3:uid="{AD252986-E1ED-4B2D-9AA4-A5A4B78A015B}" name="2"/>
    <tableColumn id="16" xr3:uid="{AAF35269-82BC-4D3B-BE5D-91928383E7F3}" name="3"/>
    <tableColumn id="17" xr3:uid="{02EF4A58-D9FB-484F-80E1-84B8C7C37389}" name="4"/>
    <tableColumn id="18" xr3:uid="{A33A4846-D04F-4CDF-8FC0-871E36074500}" name="5"/>
    <tableColumn id="19" xr3:uid="{53C7F7E3-FADC-4996-BCDE-AD0CDD433F3B}" name="6"/>
    <tableColumn id="20" xr3:uid="{84435057-0E78-48BE-B75D-1A5816B642E0}" name="7"/>
    <tableColumn id="21" xr3:uid="{766F0284-420F-4D7A-AD50-4DD6DC7D0E48}" name="8"/>
    <tableColumn id="22" xr3:uid="{79D9D6D7-9E74-4083-9507-626867CBE9EA}" name="9"/>
    <tableColumn id="23" xr3:uid="{4093CA00-4DCC-44CD-BF5D-C8AD317F93B7}" name="10"/>
    <tableColumn id="24" xr3:uid="{693098AA-D707-4C1F-9B0B-AFA80CE72560}" name="11"/>
    <tableColumn id="25" xr3:uid="{4FEC5188-59B4-4C9E-8B62-234ABCE6B7F1}" name="12"/>
    <tableColumn id="26" xr3:uid="{CE8DECD8-F88D-44F6-9518-A6924EFA722E}" name="13"/>
    <tableColumn id="27" xr3:uid="{EB92E3E5-0F3C-44F6-B22D-4E54DAE18769}" name="14"/>
    <tableColumn id="28" xr3:uid="{4E74858D-597B-4F6B-BAE0-101BE6248B4F}" name="15"/>
    <tableColumn id="29" xr3:uid="{3B51549F-F659-4527-879D-EF65659213BA}" name="16"/>
    <tableColumn id="30" xr3:uid="{275286AD-F933-4140-B58B-1A0CFF34C2F0}" name="17"/>
    <tableColumn id="31" xr3:uid="{51AB3687-1973-45A6-8B79-479AB49E741B}" name="18"/>
    <tableColumn id="32" xr3:uid="{C457D883-1802-4F4E-9952-54A5A1F62682}" name="19"/>
    <tableColumn id="33" xr3:uid="{DA02C318-81F1-4D2B-B91E-1279171EDD31}" name="20"/>
    <tableColumn id="34" xr3:uid="{6E392887-B370-4FE5-9128-53280C6F6C98}" name="21"/>
    <tableColumn id="35" xr3:uid="{A4A4388C-9B6B-411C-B96F-DA0177C2A800}" name="22"/>
    <tableColumn id="36" xr3:uid="{03D5D870-12BF-4816-BADB-070BF78AAEEB}" name="23"/>
    <tableColumn id="37" xr3:uid="{C81225DD-CDAB-4236-A551-4EFC697668B0}" name="24"/>
    <tableColumn id="38" xr3:uid="{147EEB38-4204-445D-80A0-F8C2A292C13C}" name="25"/>
    <tableColumn id="39" xr3:uid="{2FC6723F-869B-497D-8747-1B06E09BA3AC}" name="26"/>
    <tableColumn id="40" xr3:uid="{88751EE0-3CF6-45D6-84F3-8715195CFE2C}" name="27"/>
    <tableColumn id="41" xr3:uid="{603A7B81-7EC3-4FD2-B3E8-B2B64C14ED8C}" name="28"/>
    <tableColumn id="42" xr3:uid="{A81E3D4E-339C-480C-82A8-AD5B370012F2}" name="29"/>
    <tableColumn id="43" xr3:uid="{E9999B98-A9AB-4385-9EAF-0868E21D4E53}" name="30"/>
    <tableColumn id="44" xr3:uid="{EFBC8997-0A1D-47AC-99B0-EAE39FE8419C}" name="31"/>
    <tableColumn id="45" xr3:uid="{E2D7C917-7F59-41F5-9218-B727A0C9D594}" name="32"/>
    <tableColumn id="46" xr3:uid="{98676B34-C349-4B30-A97D-F04B7677055F}" name="33"/>
    <tableColumn id="47" xr3:uid="{2C9DD7A2-F3B0-417F-958D-359C75A368C8}" name="34"/>
    <tableColumn id="48" xr3:uid="{008680C6-AD98-48DF-9BD0-25E12734916C}" name="35"/>
    <tableColumn id="49" xr3:uid="{88D635C6-2230-47AB-A12D-554EE7C5A4EF}" name="36"/>
    <tableColumn id="50" xr3:uid="{4AF76EAA-9C93-4F55-8F1D-A04DE98FBC9F}" name="37"/>
    <tableColumn id="51" xr3:uid="{73C1CEE1-7005-45A0-83A6-24E1E2CB0F1D}" name="38"/>
    <tableColumn id="52" xr3:uid="{A5B5F72A-961D-4200-8DD8-8455C377A8DD}" name="39"/>
    <tableColumn id="53" xr3:uid="{E0F1CECD-BC0B-4F1F-AB90-2AB2E141A5C5}" name="40"/>
    <tableColumn id="54" xr3:uid="{640C864F-0AF9-4E54-B4BD-212958D16138}" name="41"/>
    <tableColumn id="55" xr3:uid="{828176BA-52A8-4FAB-8782-83526FA3375C}" name="42"/>
    <tableColumn id="56" xr3:uid="{0306079B-7628-4F2B-843D-CF8FC65A6410}" name="43"/>
    <tableColumn id="57" xr3:uid="{2A9762A4-964C-4B5B-BC16-D92F7BFB8176}" name="44"/>
    <tableColumn id="58" xr3:uid="{74740EE6-88DA-447D-B333-CA49F17CD92C}" name="45"/>
    <tableColumn id="59" xr3:uid="{8D3E9CA3-DA2B-4A2E-BC71-AA14C43A9752}" name="46"/>
    <tableColumn id="60" xr3:uid="{C367F598-41A4-472C-BDB7-CEA9EF343F6A}" name="47"/>
    <tableColumn id="61" xr3:uid="{30212172-58EA-4C53-8219-2487EE62CFA6}" name="48"/>
    <tableColumn id="62" xr3:uid="{79F89471-73DF-4C6D-8A83-761FD75E3185}" name="49"/>
    <tableColumn id="63" xr3:uid="{EA41F4B8-D57C-4A90-BA53-E255AFD06964}" name="50"/>
    <tableColumn id="64" xr3:uid="{DE44DAD2-44BC-4AE0-8B55-574ABC6FB390}" name="51"/>
    <tableColumn id="65" xr3:uid="{1F5C5B9A-5026-4A01-AE4B-57F83683377D}" name="52"/>
    <tableColumn id="66" xr3:uid="{C22C4744-AFC0-4F64-BF44-BAD62F24114C}" name="53"/>
    <tableColumn id="67" xr3:uid="{6874FACD-E267-462E-9143-7E660F43F2AC}" name="54"/>
    <tableColumn id="68" xr3:uid="{1E0D1870-E6CE-4C20-B08A-AE7EE2259B04}" name="55"/>
    <tableColumn id="69" xr3:uid="{D29EC9DC-F3BA-4B4C-8BBA-3BA7F48ED567}" name="56"/>
    <tableColumn id="70" xr3:uid="{F68F3AF4-9618-4721-ABA0-747D2F455F0B}" name="57"/>
    <tableColumn id="71" xr3:uid="{97A137D1-C511-4ED9-A226-71CFABE5219D}" name="58"/>
    <tableColumn id="72" xr3:uid="{0C322FD0-FD14-4EFA-B77E-D51A9A730E65}" name="59"/>
    <tableColumn id="73" xr3:uid="{9A3AE4A4-7F4A-4257-B666-A804794D2230}" name="60"/>
    <tableColumn id="74" xr3:uid="{B728462C-03CB-433E-86CC-DB7565766C87}" name="61"/>
    <tableColumn id="75" xr3:uid="{C3A08603-4D3E-447C-8532-72C97224EF04}" name="62"/>
    <tableColumn id="76" xr3:uid="{91569577-AC8F-4FBF-8765-622AC451423E}" name="63"/>
    <tableColumn id="77" xr3:uid="{20318A71-96B2-456D-9EB4-2FD5AF63558C}" name="64"/>
    <tableColumn id="78" xr3:uid="{4A6AA9B1-178A-4AF7-A7D2-2AC77690DC0A}" name="65"/>
    <tableColumn id="79" xr3:uid="{C741E1C6-D3E3-4191-8CF7-359F79E02BDA}" name="66"/>
    <tableColumn id="80" xr3:uid="{953BCF4C-E5C0-4734-973B-72E40CEA2FBC}" name="67"/>
    <tableColumn id="81" xr3:uid="{91AE21E8-FE6C-4898-9880-891A0CC543AB}" name="68"/>
    <tableColumn id="82" xr3:uid="{9FBA453E-7968-4C5B-B247-646E5568F5D4}" name="69"/>
    <tableColumn id="83" xr3:uid="{A5E539D2-DF02-461E-B168-2B5208A2F6C6}" name="70"/>
    <tableColumn id="84" xr3:uid="{E546C61C-D463-485A-B08C-4A4B68658C78}" name="71"/>
    <tableColumn id="85" xr3:uid="{D2350435-BA64-4C01-B1B3-64042327CA27}" name="72"/>
    <tableColumn id="86" xr3:uid="{D3E345E0-E9AE-4E4A-9A0A-27952592B862}" name="73"/>
    <tableColumn id="87" xr3:uid="{B9362C8C-3407-4B73-B269-1D41F5AB1546}" name="74"/>
    <tableColumn id="88" xr3:uid="{EAD23E1F-66CD-457B-976E-1655BEC543F7}" name="75"/>
    <tableColumn id="89" xr3:uid="{D6CC2711-5201-4BFD-B1BA-F33945F5E3A8}" name="76"/>
    <tableColumn id="90" xr3:uid="{67EAD5E0-04C8-418B-973C-0EC3E596DE06}" name="77"/>
    <tableColumn id="91" xr3:uid="{C1EE7BF9-693B-4ECA-AA16-756FD0B26F89}" name="78"/>
    <tableColumn id="92" xr3:uid="{BFE19E70-EF46-4E12-B567-1B1CC6385364}" name="79"/>
    <tableColumn id="93" xr3:uid="{BB634B84-1DAF-4EB3-9348-2A6C70F48AB6}" name="80"/>
    <tableColumn id="94" xr3:uid="{79623C06-120A-4E3B-8258-23F3A5E13B2E}" name="81"/>
    <tableColumn id="95" xr3:uid="{C4678174-F535-44E1-A91A-D7D244FE5BF2}" name="82"/>
    <tableColumn id="96" xr3:uid="{2C89DE69-ADA2-44A0-8676-01A62A8F0194}" name="83"/>
    <tableColumn id="97" xr3:uid="{29F4117C-C9AE-48D9-AA1B-0150613EA4B0}" name="84"/>
    <tableColumn id="98" xr3:uid="{12CDBDBB-78C1-4FB7-ABCF-AFCD2740FDA4}" name="85"/>
    <tableColumn id="99" xr3:uid="{1B20EA09-ED20-443C-B8E7-8AECF833ED1D}" name="86"/>
    <tableColumn id="100" xr3:uid="{E8BAD589-2730-4FE0-86D0-7B3A3F34C89C}" name="87"/>
    <tableColumn id="101" xr3:uid="{D214F71B-4238-4271-B692-A23EC0C89F1E}" name="88"/>
    <tableColumn id="102" xr3:uid="{9FD13715-73B8-423F-BA55-167F5EDC4EDD}" name="89"/>
    <tableColumn id="103" xr3:uid="{675E0275-B980-4DB5-ACDA-EF5E39EAF590}" name="90"/>
    <tableColumn id="104" xr3:uid="{B4D0E369-9FE8-4EFA-9F8D-427CEFC471A4}" name="91"/>
    <tableColumn id="105" xr3:uid="{AC1E8735-CF9A-47A1-826E-818C70D79DB7}" name="92"/>
    <tableColumn id="106" xr3:uid="{7E69FB90-2B69-4BEE-94B7-26E158C670DC}" name="93"/>
    <tableColumn id="107" xr3:uid="{87B0DCE8-83D0-468C-AAC2-6D227AE4CB59}" name="94"/>
    <tableColumn id="108" xr3:uid="{3943A467-A451-47FF-A4FE-39DBD668A2FB}" name="95"/>
    <tableColumn id="109" xr3:uid="{B0209570-E917-4529-81EA-357D50790CAF}" name="96"/>
    <tableColumn id="110" xr3:uid="{C7547FB1-5657-4E39-8B64-C0B96A5B33EE}" name="97"/>
    <tableColumn id="111" xr3:uid="{41515371-ECCF-4D25-BF6A-D071AC3B7F7A}" name="98"/>
    <tableColumn id="112" xr3:uid="{3E6EAA22-2274-4611-B4BA-2C0DC165DBDC}" name="99"/>
    <tableColumn id="113" xr3:uid="{85A6A07A-3492-4575-B22A-0104C7E160A3}" name="100"/>
    <tableColumn id="114" xr3:uid="{8CA0F0B9-C65F-4294-A283-4CDD1FCDD34E}" name="101"/>
    <tableColumn id="115" xr3:uid="{806DC5CC-010F-43CF-B617-0A40A621A201}" name="102"/>
    <tableColumn id="116" xr3:uid="{22FF3D03-15E4-4F0D-97E8-975A5628F3FA}" name="103"/>
    <tableColumn id="117" xr3:uid="{56B5486A-541E-4190-B05E-6BC4A9B3CADF}" name="104"/>
    <tableColumn id="118" xr3:uid="{525156A1-CD5E-49CD-80E8-4E211EAD4C62}" name="105"/>
    <tableColumn id="119" xr3:uid="{739C547A-7B6A-45B9-98D0-97373D6F4890}" name="106"/>
    <tableColumn id="120" xr3:uid="{B5404E13-4B97-4980-9057-5E7D61C5CE33}" name="107"/>
    <tableColumn id="121" xr3:uid="{EAFE485C-1041-4174-8F6F-2260428A6DE3}" name="108"/>
    <tableColumn id="122" xr3:uid="{9E32BF68-5A70-4B15-AC4D-11015BCECA4E}" name="109"/>
    <tableColumn id="123" xr3:uid="{9152ECF7-D6EF-4FFD-AD7C-B373B491E93F}" name="110"/>
    <tableColumn id="124" xr3:uid="{4E63E7CF-47E7-4013-96DC-265B8118A676}" name="111"/>
    <tableColumn id="125" xr3:uid="{0108F99B-5994-48AA-8A33-19BF3BA950EA}" name="112"/>
    <tableColumn id="126" xr3:uid="{E764A04B-3E2A-47E9-A693-15CF745B13F3}" name="113"/>
    <tableColumn id="127" xr3:uid="{4A81C81B-FCE4-4625-92E1-E2F2DF0B83F3}" name="114"/>
    <tableColumn id="128" xr3:uid="{78B043D6-3F18-4A8E-84FC-92FE9052E43A}" name="115"/>
    <tableColumn id="129" xr3:uid="{9E94D742-69A0-4697-A487-3C679F6B8400}" name="116"/>
    <tableColumn id="130" xr3:uid="{A7E3DE18-11FE-409F-80E7-F34453CDF0D3}" name="117"/>
    <tableColumn id="131" xr3:uid="{01E24B26-2E7B-4B83-A808-1406DE0DFBDF}" name="118"/>
    <tableColumn id="132" xr3:uid="{F4F54A04-EE90-46F1-A353-CAE2A27C0743}" name="119"/>
    <tableColumn id="133" xr3:uid="{37110E00-8B34-45A8-BC9D-B5302BDAF246}" name="120"/>
    <tableColumn id="134" xr3:uid="{67F4F753-7DC5-47B6-B944-2381B6182235}" name="121"/>
    <tableColumn id="135" xr3:uid="{FA398319-0408-421F-B7C0-6AD1F52BC2C0}" name="122"/>
    <tableColumn id="136" xr3:uid="{D64FC4FC-A915-4E7B-A3AD-795172B57E17}" name="123"/>
    <tableColumn id="137" xr3:uid="{01E069BA-14BA-430E-9DCA-D06CA0061508}" name="124"/>
    <tableColumn id="138" xr3:uid="{73637A9F-DD09-492B-B246-B33E63B007CC}" name="125"/>
    <tableColumn id="139" xr3:uid="{6197C8F6-E58B-4E47-9703-9171AB5BA051}" name="126"/>
    <tableColumn id="140" xr3:uid="{D69E3D36-F7F5-400D-B2C1-B43FD5AC1C6B}" name="127"/>
    <tableColumn id="141" xr3:uid="{05715C88-543D-48F4-8F26-CFC2C739367A}" name="128"/>
    <tableColumn id="142" xr3:uid="{DCF5BC89-0CB0-4480-A3F4-614410A4B064}" name="129"/>
    <tableColumn id="143" xr3:uid="{C5C12867-DCB2-4449-A7E4-D9040384E710}" name="130"/>
    <tableColumn id="144" xr3:uid="{AD178319-B0B8-45F8-A8F5-EB02838523D3}" name="131"/>
    <tableColumn id="145" xr3:uid="{E6408E38-D3EF-494F-8A00-625B085ED143}" name="132"/>
    <tableColumn id="146" xr3:uid="{36FD3CF1-31CC-49F6-A08E-588896ADB324}" name="133"/>
    <tableColumn id="147" xr3:uid="{19A464A5-8AB6-4399-9174-CB7129B66B5F}" name="134"/>
    <tableColumn id="148" xr3:uid="{350C932B-C907-4C16-8DC7-F561126EE1A0}" name="135"/>
    <tableColumn id="149" xr3:uid="{25CD057D-0887-4224-BE8D-185E968EADCA}" name="136"/>
    <tableColumn id="150" xr3:uid="{C6F3C821-D1E5-42B2-93F2-C7EE25D85ECD}" name="137"/>
    <tableColumn id="151" xr3:uid="{A289D030-42BD-4CFF-BD49-07308DBAA904}" name="138"/>
    <tableColumn id="152" xr3:uid="{5E608266-B4BF-4D01-B089-E7BC2ECEF209}" name="139"/>
    <tableColumn id="153" xr3:uid="{57974AB7-43CB-423F-B888-ECB0B409E7F0}" name="140"/>
    <tableColumn id="154" xr3:uid="{44E24935-48F5-4971-A0C9-380DC909400A}" name="141"/>
    <tableColumn id="155" xr3:uid="{BDA97ACF-C3B6-4033-8581-BF905E5DB4D3}" name="142"/>
    <tableColumn id="156" xr3:uid="{93600EF8-5594-4800-8023-7A348EB141B4}" name="143"/>
    <tableColumn id="157" xr3:uid="{8175FEF3-7125-401C-9BD1-6703C3A4B951}" name="144"/>
    <tableColumn id="158" xr3:uid="{29B84CC8-8E4F-4B2A-A080-26F5236EEC5B}" name="145"/>
    <tableColumn id="159" xr3:uid="{91A6679D-E21D-4349-9215-7136BF1F9F89}" name="146"/>
    <tableColumn id="160" xr3:uid="{8CCCF535-7629-4899-B312-0D9DC9409955}" name="147"/>
    <tableColumn id="161" xr3:uid="{5E4EF548-48CB-4F01-8237-379BD4E9D2F3}" name="148"/>
    <tableColumn id="162" xr3:uid="{2E59757F-CD21-4468-A5A3-D32A6CE9CCA0}" name="149"/>
    <tableColumn id="163" xr3:uid="{D10600C3-69DE-4A25-AEAA-4562A92F3C2A}" name="150"/>
    <tableColumn id="164" xr3:uid="{AF4FBEF1-D201-43F0-9B59-53B3EB6DB322}" name="151"/>
    <tableColumn id="165" xr3:uid="{AB7F756C-206E-4B74-96CC-BBC4A67FCBE6}" name="152"/>
    <tableColumn id="166" xr3:uid="{69264DD3-E699-47AE-A4A4-4ABE31988AD8}" name="153"/>
    <tableColumn id="167" xr3:uid="{EB0D2C54-D6B0-4B47-A105-FEDB042AC6E3}" name="154"/>
    <tableColumn id="168" xr3:uid="{C18F79DF-75AA-4724-A45C-51ED74AAC63B}" name="155"/>
    <tableColumn id="169" xr3:uid="{D241CFE5-00A7-49CB-985F-58024A4CCCCF}" name="156"/>
    <tableColumn id="170" xr3:uid="{7BB3BFDB-E375-4D36-97C4-F6097D217A25}" name="157"/>
    <tableColumn id="171" xr3:uid="{195789B7-A3C5-4D0B-87A5-7EFA5B2246BD}" name="158"/>
    <tableColumn id="172" xr3:uid="{F5DB07A9-F8BA-45EE-BA65-309EF1D6D2E8}" name="159"/>
    <tableColumn id="173" xr3:uid="{C839373F-0482-4CA2-9831-34F8F6E483BD}" name="160"/>
    <tableColumn id="174" xr3:uid="{A88360C4-E3F9-4BC3-B7B5-D3AC9A4BEB17}" name="161"/>
    <tableColumn id="175" xr3:uid="{3C84632D-0F1C-42F1-8A86-21D16357675E}" name="162"/>
    <tableColumn id="176" xr3:uid="{88C56833-376B-402C-B276-2CB5C3586AC3}" name="163"/>
    <tableColumn id="177" xr3:uid="{11C8FB3F-7A20-4BE6-8626-CE18AE5D4CEF}" name="164"/>
    <tableColumn id="178" xr3:uid="{97A5AE65-1C6C-4A62-961B-49EA73F7C289}" name="165"/>
    <tableColumn id="179" xr3:uid="{6DAD1A85-6C06-46FB-A9FF-D8CB43F4BAB6}" name="166"/>
    <tableColumn id="180" xr3:uid="{1491FEFE-4E9F-4E17-A19B-1A8E9A8B04B1}" name="167"/>
    <tableColumn id="181" xr3:uid="{6EDB28D6-E558-4DE2-9A5A-5453E8361F53}" name="168"/>
    <tableColumn id="182" xr3:uid="{43704E45-846B-49E2-BB3A-B2EE5DF7903D}" name="169"/>
    <tableColumn id="183" xr3:uid="{C38B788E-B6C3-49E7-9BC7-A8C0C5630A71}" name="170"/>
    <tableColumn id="184" xr3:uid="{B3215B3D-0A0E-4440-A023-845B71EC536B}" name="171"/>
    <tableColumn id="185" xr3:uid="{15FA43F7-67DE-416E-A0F6-EDECDAC138D3}" name="172"/>
    <tableColumn id="186" xr3:uid="{DBDA9F2C-3459-4969-B823-5C76B37CD298}" name="173"/>
    <tableColumn id="187" xr3:uid="{E48062DE-16C8-46F9-A84F-1AED49175103}" name="174"/>
    <tableColumn id="188" xr3:uid="{95B6C00D-DCFD-4CCC-A522-162809AED0E3}" name="175"/>
    <tableColumn id="189" xr3:uid="{5B8DAB40-B3BA-4BFB-8C13-EC92DAC5C54F}" name="176"/>
    <tableColumn id="190" xr3:uid="{5838A158-2AED-4AF9-BA88-51AD82402570}" name="177"/>
    <tableColumn id="191" xr3:uid="{AE282BC5-5486-4249-A2A9-07B1656B4089}" name="178"/>
    <tableColumn id="192" xr3:uid="{D0839662-42ED-422A-B5D5-B57129D8780C}" name="179"/>
    <tableColumn id="193" xr3:uid="{B102E3D2-7814-4615-811A-0C2B0C26F88E}" name="180"/>
    <tableColumn id="194" xr3:uid="{99B1E973-8B42-448D-9FE7-20582FA658EF}" name="181"/>
    <tableColumn id="195" xr3:uid="{C4A779C0-B47C-4BA2-821F-973D5BC2F773}" name="182"/>
    <tableColumn id="196" xr3:uid="{1BBB5B90-23B3-4629-A228-37CE67A68E3E}" name="183"/>
    <tableColumn id="197" xr3:uid="{A378F380-4F42-495C-B76B-CD60DD9EE101}" name="184"/>
    <tableColumn id="198" xr3:uid="{8804DA03-7FC8-417F-8939-3C6F1A681EF2}" name="185"/>
    <tableColumn id="199" xr3:uid="{858A6474-F8C7-436C-B8E1-8286A45982AE}" name="186"/>
    <tableColumn id="200" xr3:uid="{CC5A868A-3BAA-41AE-9F0E-6859AC8BF0D6}" name="187"/>
    <tableColumn id="201" xr3:uid="{8318E91E-1543-4CCC-94DB-69644995C947}" name="188"/>
    <tableColumn id="202" xr3:uid="{5AEFA283-9445-432C-8147-D5198D92E34E}" name="189"/>
    <tableColumn id="203" xr3:uid="{8B19CCF4-B8ED-4725-95A7-FB0AE2889881}" name="190"/>
    <tableColumn id="204" xr3:uid="{98A579F7-713E-4253-BE77-3E768C613D8A}" name="191"/>
    <tableColumn id="205" xr3:uid="{C758CFEB-1D31-400F-8577-E3AC119DA853}" name="192"/>
    <tableColumn id="206" xr3:uid="{DC6D9A34-8C8E-46AB-9E9C-49C3FC994016}" name="193"/>
    <tableColumn id="207" xr3:uid="{229F85F7-6F1A-4A31-84E4-CBECD1A8FB57}" name="194"/>
    <tableColumn id="208" xr3:uid="{5AC85CD9-9616-4607-91C3-4A54B11C960F}" name="195"/>
    <tableColumn id="209" xr3:uid="{8E0DA161-21E4-4AC1-B8EB-726ADE633943}" name="196"/>
    <tableColumn id="210" xr3:uid="{A16BDB99-F26B-4D4D-A14C-71FD468F55FA}" name="197"/>
    <tableColumn id="211" xr3:uid="{AC213226-03DE-4797-9243-1E80ED3329CF}" name="198"/>
    <tableColumn id="212" xr3:uid="{2C9B6FB0-F174-4D83-9D98-0105E2BB5A3C}" name="199"/>
    <tableColumn id="213" xr3:uid="{8D1BD66C-6ED9-4654-A334-953BB2F59832}" name="200"/>
    <tableColumn id="214" xr3:uid="{A6926D33-2D0B-4864-A299-1D612747C56A}" name="201"/>
    <tableColumn id="215" xr3:uid="{142F51D6-CEAF-48B1-8B10-D6A110AF3910}" name="202"/>
    <tableColumn id="216" xr3:uid="{E4E6A7E8-3ED4-4AB5-8F61-9D9623BBF0DD}" name="203"/>
    <tableColumn id="217" xr3:uid="{9F9D2097-FC19-4331-92B3-3B0DEBEF9429}" name="204"/>
    <tableColumn id="218" xr3:uid="{3EB4F894-B5A5-45F5-9279-306A506D455F}" name="205"/>
    <tableColumn id="219" xr3:uid="{5C1930E1-0BA9-4695-85A7-75B53534DBA1}" name="206"/>
    <tableColumn id="220" xr3:uid="{C15A7211-8AE2-4274-8695-006576AF3E54}" name="207"/>
    <tableColumn id="221" xr3:uid="{0DB04018-643C-40E9-98C0-512FF96C77C7}" name="208"/>
    <tableColumn id="222" xr3:uid="{378FCF6C-84E4-4021-B317-0EC91775A79F}" name="209"/>
    <tableColumn id="223" xr3:uid="{2077486D-BD53-4FB7-A2E0-0558C547EC9F}" name="210"/>
    <tableColumn id="224" xr3:uid="{D81D3DB4-897F-49A1-854C-92BA77BF7248}" name="211"/>
    <tableColumn id="225" xr3:uid="{363BEEA7-1F92-4716-A32D-6C37D5FC352A}" name="212"/>
    <tableColumn id="226" xr3:uid="{481C28C3-EC06-463F-A2F4-B57B62CA5714}" name="213"/>
    <tableColumn id="227" xr3:uid="{79A8AB29-7272-4AE9-906A-39D9C6BF49C0}" name="214"/>
    <tableColumn id="228" xr3:uid="{AD749C45-1753-463D-8788-9AA401F378CD}" name="215"/>
    <tableColumn id="229" xr3:uid="{7DD6D955-D0DC-4C7C-AC71-6AAB51007DF2}" name="216"/>
    <tableColumn id="230" xr3:uid="{46A016DF-853C-4716-9217-098D53979A07}" name="217"/>
    <tableColumn id="231" xr3:uid="{C2E64ED7-AF75-4F8E-8025-B5E222AE0EF3}" name="218"/>
    <tableColumn id="232" xr3:uid="{011BA776-CB34-42AF-AE17-201F35C8C649}" name="219"/>
    <tableColumn id="233" xr3:uid="{FA5A914A-F04A-43F7-AE7E-53B57F846325}" name="220"/>
    <tableColumn id="234" xr3:uid="{8D725E23-C842-4294-A30E-5754C0E5B761}" name="221"/>
    <tableColumn id="235" xr3:uid="{FACE1926-A8DF-4A55-9990-1CA11EB8FE0C}" name="222"/>
    <tableColumn id="236" xr3:uid="{077746CD-D9E4-4EA8-95E6-E3962B80808F}" name="223"/>
    <tableColumn id="237" xr3:uid="{B1EF16E7-BC9F-478F-9B42-5B6DA7DEDEE6}" name="224"/>
    <tableColumn id="238" xr3:uid="{BC7C0EFE-630A-475F-99ED-0893F1CC7A29}" name="225"/>
    <tableColumn id="239" xr3:uid="{2095860A-6D28-411F-95E5-B4E7B86704BA}" name="226"/>
    <tableColumn id="240" xr3:uid="{855FDE7A-7EEC-4D3B-B869-751463C1623E}" name="227"/>
    <tableColumn id="241" xr3:uid="{139A8624-65A2-4E15-ACA3-92306595A5B8}" name="228"/>
    <tableColumn id="242" xr3:uid="{850E1736-BC2A-495F-A1D6-9FD00DF29606}" name="229"/>
    <tableColumn id="243" xr3:uid="{E36F87DF-F64F-4EE0-BDA1-6704A2CE8EC9}" name="230"/>
    <tableColumn id="244" xr3:uid="{9CE94AF7-E6F2-473C-AD7F-DF84A31C4116}" name="231"/>
    <tableColumn id="245" xr3:uid="{46D9F143-70FD-474E-9C6D-B678E6D8CA38}" name="232"/>
    <tableColumn id="246" xr3:uid="{02778DE6-AB92-4A3D-B5E4-AAD85B9A2BCD}" name="233"/>
    <tableColumn id="247" xr3:uid="{1C739D0A-DEEE-4B1E-95E3-CE32C5630386}" name="234"/>
    <tableColumn id="248" xr3:uid="{C22957E5-949B-4538-BF30-CAA0291F5D89}" name="235"/>
    <tableColumn id="249" xr3:uid="{AD4BDCDE-9EA6-4C68-BB91-1EF43905CEA9}" name="236"/>
    <tableColumn id="250" xr3:uid="{99C44435-CE6F-451F-AAFF-668EFFAA10F9}" name="237"/>
    <tableColumn id="251" xr3:uid="{CE9D9E56-9CF9-408B-8187-3D20BF0AE710}" name="238"/>
    <tableColumn id="252" xr3:uid="{6B78E142-93B2-4619-8BBE-D616FF18F1C6}" name="239"/>
    <tableColumn id="253" xr3:uid="{9E2527F1-1F15-4EEB-8DAF-284E4A64104A}" name="240"/>
    <tableColumn id="254" xr3:uid="{51FEF259-42BD-45F3-B0C3-A673A5A5FAF4}" name="241"/>
    <tableColumn id="255" xr3:uid="{7B02D91B-1131-41A9-BC3F-60938DD3ABC1}" name="242"/>
    <tableColumn id="256" xr3:uid="{A0440ABE-9422-41D4-93CA-DA702BAA46E9}" name="243"/>
    <tableColumn id="257" xr3:uid="{9F781487-161E-4E4C-B3C7-B777F12F37AC}" name="244"/>
    <tableColumn id="258" xr3:uid="{BD5980BB-7B84-4BA0-A2FE-FAD7DFC27B4F}" name="245"/>
    <tableColumn id="259" xr3:uid="{CB302DB1-B700-442C-A680-BB8B0762F390}" name="246"/>
    <tableColumn id="260" xr3:uid="{7D3AD397-AD5D-48E9-A8A9-4AD3DE0381D1}" name="247"/>
    <tableColumn id="261" xr3:uid="{02722348-134A-4F02-B663-126F2AB5EB93}" name="248"/>
    <tableColumn id="262" xr3:uid="{F7D9F468-6DB7-4340-90D3-85C2CC6839F5}" name="249"/>
    <tableColumn id="263" xr3:uid="{BCB6C037-5E80-4E3F-B8BA-6B0052AC348B}" name="250"/>
    <tableColumn id="264" xr3:uid="{232FED61-0FD0-4FBD-A96B-E1D4D4D68CEC}" name="251"/>
    <tableColumn id="265" xr3:uid="{3BD78193-E002-4336-81EE-21C4C2FD88B0}" name="252"/>
    <tableColumn id="266" xr3:uid="{71AA2F88-A14A-430C-BF2A-197A9C1B68B5}" name="253"/>
    <tableColumn id="267" xr3:uid="{ADD4DA4B-CCA1-4961-B581-B234550323DE}" name="254"/>
    <tableColumn id="268" xr3:uid="{AD548DE6-0050-424F-B6A7-CAC354F5F05B}" name="255"/>
    <tableColumn id="269" xr3:uid="{17B59888-584E-4ECE-A3FF-16F10A0E213F}" name="256"/>
    <tableColumn id="270" xr3:uid="{2C1E9AD4-82C2-4511-96E0-775D341E63E4}" name="257"/>
    <tableColumn id="271" xr3:uid="{3703AD2B-600E-48C1-9896-0885BF0B1F65}" name="258"/>
    <tableColumn id="272" xr3:uid="{4CE7D8C7-D02E-4682-9752-85AC71FE1AAA}" name="259"/>
    <tableColumn id="273" xr3:uid="{37BE53A6-1E2F-46DE-8B2D-AB677F18485C}" name="260"/>
    <tableColumn id="274" xr3:uid="{7C19FD53-7F00-4160-ADD1-6817B3BD5B2A}" name="261"/>
    <tableColumn id="275" xr3:uid="{8B1178DA-F0EF-41DC-B5A2-EDD593E5DEBC}" name="262"/>
    <tableColumn id="276" xr3:uid="{56476EF3-09C0-4798-A50A-766F2BD47EEA}" name="263"/>
    <tableColumn id="277" xr3:uid="{35CC6313-7345-4686-9004-C395AD65670F}" name="264"/>
    <tableColumn id="278" xr3:uid="{DCF7A81F-15B4-4AE5-9817-27016C252514}" name="265"/>
    <tableColumn id="279" xr3:uid="{93A95ECA-583E-431E-B2D4-F359FDE3E657}" name="266"/>
    <tableColumn id="280" xr3:uid="{391FAA6D-C859-4C68-81AA-F5AD2ACE161E}" name="267"/>
    <tableColumn id="281" xr3:uid="{E8544E8F-04C8-49FC-B034-AABFB392827A}" name="268"/>
    <tableColumn id="282" xr3:uid="{992FDDC1-FE0B-449A-84DB-D70B4E0A9EE7}" name="269"/>
    <tableColumn id="283" xr3:uid="{488D0611-5168-4BC3-BB47-489AB8F17467}" name="270"/>
    <tableColumn id="284" xr3:uid="{7CB69C77-13CB-426D-9AE4-649D9BC1D04D}" name="271"/>
    <tableColumn id="285" xr3:uid="{F65790AE-8239-4C84-A054-FD917F914415}" name="272"/>
    <tableColumn id="286" xr3:uid="{D5C05E08-3C73-4326-A080-57E89F2D9616}" name="273"/>
    <tableColumn id="287" xr3:uid="{7805DA9F-EBAA-424B-BC82-4300CB28242F}" name="274"/>
    <tableColumn id="288" xr3:uid="{05DA63DA-C3B1-4057-B0A9-14B35F801FC0}" name="275"/>
    <tableColumn id="289" xr3:uid="{35238B57-5566-48FC-B645-8C954146790F}" name="276"/>
    <tableColumn id="290" xr3:uid="{DA668ABB-7BD9-4700-8F71-4AAA12D594FC}" name="277"/>
    <tableColumn id="291" xr3:uid="{1C5F1A2B-B371-4222-8A7A-8AB943AFBB97}" name="278"/>
    <tableColumn id="292" xr3:uid="{5A6F9655-5D51-4F14-B608-E3C9350EAD20}" name="279"/>
    <tableColumn id="293" xr3:uid="{6DAF17DD-D88E-4D6B-9D44-D6BCAE250F49}" name="280"/>
    <tableColumn id="294" xr3:uid="{9D67C07F-D229-440A-95F8-6DF1BD8FC801}" name="281"/>
    <tableColumn id="295" xr3:uid="{3292A5CF-21A2-4543-B74E-778A2C7AC005}" name="282"/>
    <tableColumn id="296" xr3:uid="{BA51B791-B460-465A-80E4-33B82AF8F47E}" name="283"/>
    <tableColumn id="297" xr3:uid="{AA4AF8C2-1DEF-45F8-B0A9-C2AF51A04B5A}" name="284"/>
    <tableColumn id="298" xr3:uid="{873FBBED-30EF-48BE-A162-98F1DC6EA142}" name="285"/>
    <tableColumn id="299" xr3:uid="{050BA73E-55C1-4DDC-9CBA-9DE3F08DA640}" name="286"/>
    <tableColumn id="300" xr3:uid="{F1D63A15-5EBF-4664-9FCF-B93C8CB11515}" name="287"/>
    <tableColumn id="301" xr3:uid="{1560DAB1-61B4-4E78-A47E-D584BE52DEB7}" name="288"/>
    <tableColumn id="302" xr3:uid="{05398C3D-3D23-4141-A54A-BD087938C448}" name="289"/>
    <tableColumn id="303" xr3:uid="{C2A02C50-2040-4D91-89C0-7DA552220810}" name="290"/>
    <tableColumn id="304" xr3:uid="{61AE2109-AD5C-49FE-B1F8-1DB2441EE839}" name="291"/>
    <tableColumn id="305" xr3:uid="{6C7F82A1-DBC1-4CC4-B581-F65373043237}" name="292"/>
    <tableColumn id="306" xr3:uid="{1C274388-7DAF-4035-BF45-50151B62FE75}" name="293"/>
    <tableColumn id="307" xr3:uid="{DEEB7A7A-1E39-4E51-8B48-8C0A7C3A1F86}" name="294"/>
    <tableColumn id="308" xr3:uid="{73ECB09F-278F-4D5B-A16D-A9E8CC399BDD}" name="295"/>
    <tableColumn id="309" xr3:uid="{CE42596A-D543-4AA8-8927-33AD17A32258}" name="296"/>
    <tableColumn id="310" xr3:uid="{2842C44A-D71E-4CB6-8A79-731921D476DB}" name="297"/>
    <tableColumn id="311" xr3:uid="{28E82BA9-5079-46E1-A0E1-4F11DF1E4367}" name="298"/>
    <tableColumn id="312" xr3:uid="{5F50990F-F8A5-4680-B411-A5C851A14B84}" name="299"/>
    <tableColumn id="313" xr3:uid="{B5965C17-491E-46A6-AC20-3FB93D03BABF}" name="300"/>
    <tableColumn id="314" xr3:uid="{3F7BDE07-9DC3-434C-98D7-6240C406C48A}" name="301"/>
    <tableColumn id="315" xr3:uid="{9F95BD55-DE07-48DC-BAED-AE374993D12E}" name="302"/>
    <tableColumn id="316" xr3:uid="{BBCCF542-855F-479B-8BA8-ACA96FF729F7}" name="303"/>
    <tableColumn id="317" xr3:uid="{02883BA5-A396-44EC-B0EC-B9010F36689A}" name="304"/>
    <tableColumn id="318" xr3:uid="{2EBCDE5F-E020-4196-A1C4-0222FE6EF1E2}" name="305"/>
    <tableColumn id="319" xr3:uid="{35181D32-BC13-40F6-BB59-59CAE8104290}" name="306"/>
    <tableColumn id="320" xr3:uid="{2F831642-CD35-4B37-9517-4D71C3E8A9C8}" name="307"/>
    <tableColumn id="321" xr3:uid="{96E6FDCD-BEF9-4EB4-A1B9-C67515C6255D}" name="308"/>
    <tableColumn id="322" xr3:uid="{0BE57477-7D2D-4481-955A-921921555B8E}" name="309"/>
    <tableColumn id="323" xr3:uid="{7EC1CE15-4FAA-4455-8D2D-EED0B5C6FB44}" name="310"/>
    <tableColumn id="324" xr3:uid="{4563167F-FE37-46A5-A355-1C340F7C3975}" name="311"/>
    <tableColumn id="325" xr3:uid="{71F56716-ACB8-404E-B476-786DFFB2B34C}" name="312"/>
    <tableColumn id="326" xr3:uid="{FAB1B4E7-8E47-4437-8569-E34E4A7D810D}" name="313"/>
    <tableColumn id="327" xr3:uid="{4F6930C8-57C2-4D75-9206-75C7FAA9E4A3}" name="314"/>
    <tableColumn id="328" xr3:uid="{A6F425AC-5508-4B6C-8BBB-BFA61A9C722A}" name="315"/>
    <tableColumn id="329" xr3:uid="{606AE76B-06E3-41CE-B684-E29D75A95F94}" name="316"/>
    <tableColumn id="330" xr3:uid="{6CA8B786-27B2-40F4-A713-04363615FA58}" name="317"/>
    <tableColumn id="331" xr3:uid="{6CC53C72-B749-448E-A59E-E32F230AA61F}" name="318"/>
    <tableColumn id="332" xr3:uid="{D2A57D0F-BBFE-45FD-8BCC-7012D85AFFA1}" name="319"/>
    <tableColumn id="333" xr3:uid="{74B82C01-E1DF-40B3-AAEA-2D232918D958}" name="320"/>
    <tableColumn id="334" xr3:uid="{48B9FDEF-150E-4B07-B1B5-07F9C7EEAC65}" name="321"/>
    <tableColumn id="335" xr3:uid="{641C6E51-9639-4EA8-BF1E-5D2B9C37212B}" name="322"/>
    <tableColumn id="336" xr3:uid="{50E5A2C5-376C-42A5-93A5-FC24B13B424E}" name="323"/>
    <tableColumn id="337" xr3:uid="{3C1D7199-A7AE-4E02-9A30-E71738384DAD}" name="324"/>
    <tableColumn id="338" xr3:uid="{7718D897-3062-48CA-AEBE-4C40B2639F59}" name="325"/>
    <tableColumn id="339" xr3:uid="{CDDF2D3A-3410-4C4D-8EA2-939F3733839C}" name="326"/>
    <tableColumn id="340" xr3:uid="{980B7437-0259-4127-81F7-4F3A948B363C}" name="327"/>
    <tableColumn id="341" xr3:uid="{F06176FB-5FF7-40CB-8B49-203AE70CE7AB}" name="328"/>
    <tableColumn id="342" xr3:uid="{C38B3DC8-B0A0-4C8A-896B-E9FEFC797BCF}" name="329"/>
    <tableColumn id="343" xr3:uid="{9A2647EB-8F1E-4209-84B4-E5694B1FAD5C}" name="330"/>
    <tableColumn id="344" xr3:uid="{D9B21E7C-7654-4A9C-9486-A4078863BA2A}" name="331"/>
    <tableColumn id="345" xr3:uid="{8A13D4C5-0EA1-4CF8-8105-ED3F0EDFC745}" name="332"/>
    <tableColumn id="346" xr3:uid="{CBF035DF-81A3-435A-9325-4EA0877E1CAE}" name="333"/>
    <tableColumn id="347" xr3:uid="{8F4F0827-F2F0-4B31-81DF-01BEC960C324}" name="334"/>
    <tableColumn id="348" xr3:uid="{6C6C79F9-4217-41CB-BAAC-D6F338B251F4}" name="335"/>
    <tableColumn id="349" xr3:uid="{1E7F79DF-4581-4065-A1C5-87D0A1191536}" name="336"/>
    <tableColumn id="350" xr3:uid="{DB68D033-9528-4725-B92D-2B65485E2283}" name="337"/>
    <tableColumn id="351" xr3:uid="{14FDFA54-CF53-4FFA-B193-CE768F8DA623}" name="338"/>
    <tableColumn id="352" xr3:uid="{95E5A556-AE7C-4F04-B014-7C432790A6B0}" name="339"/>
    <tableColumn id="353" xr3:uid="{9ECDFB43-714A-47EE-A0A9-EE1D9023D06F}" name="340"/>
    <tableColumn id="354" xr3:uid="{60308CC9-0B57-40A3-9B84-E0F66865577D}" name="341"/>
    <tableColumn id="355" xr3:uid="{6F737820-92D9-4141-9191-CF68091AD25D}" name="342"/>
    <tableColumn id="356" xr3:uid="{B1FF4BB8-012E-4898-B98A-E1560796BDE2}" name="343"/>
    <tableColumn id="357" xr3:uid="{8D938306-32FC-4F9F-AFF2-37B59C08A180}" name="344"/>
    <tableColumn id="358" xr3:uid="{52AD7DFC-BA5A-4CC6-B49F-0A9B45F2839C}" name="345"/>
    <tableColumn id="359" xr3:uid="{22243AD5-7827-49A1-A206-D7A789A5A57C}" name="346"/>
    <tableColumn id="360" xr3:uid="{70B433F0-702A-4926-9EC1-D264D50DB4EA}" name="347"/>
    <tableColumn id="361" xr3:uid="{BE647188-9A13-4E68-807B-3DB03BC15101}" name="348"/>
    <tableColumn id="362" xr3:uid="{6FF0AAE0-E9EA-43C6-90D0-970EFF59FBD7}" name="349"/>
    <tableColumn id="363" xr3:uid="{82EF5B36-3203-4D0B-9A11-3832FE2A2AB7}" name="350"/>
    <tableColumn id="364" xr3:uid="{1988E7EC-64FF-42E8-BA54-B9614BA5F883}" name="351"/>
    <tableColumn id="365" xr3:uid="{2D96A960-6852-4404-B684-5371B2D0CDBD}" name="352"/>
    <tableColumn id="366" xr3:uid="{CE48EAE4-AC44-4A84-ADAD-8B7D6946B8FF}" name="353"/>
    <tableColumn id="367" xr3:uid="{3AA5E4DB-7180-45BD-972C-A90298EC4057}" name="354"/>
    <tableColumn id="368" xr3:uid="{6DCE5545-CA01-4AD0-8096-75F96F71C50D}" name="355"/>
    <tableColumn id="369" xr3:uid="{3F1EBFEE-975D-45D1-B435-A8AB97094909}" name="356"/>
    <tableColumn id="370" xr3:uid="{6CBFA0C8-59F5-45F5-9304-219C82FA7914}" name="357"/>
    <tableColumn id="371" xr3:uid="{6C88FB67-4EA1-4FF4-BF83-9E60C36642AD}" name="358"/>
    <tableColumn id="372" xr3:uid="{4961D523-F1CB-4F58-80EE-9B61C27D6870}" name="359"/>
    <tableColumn id="373" xr3:uid="{AD8ECB98-5037-47C9-85FA-1B8D78027CE2}" name="360"/>
    <tableColumn id="374" xr3:uid="{52D7A8E5-EA58-4EA6-BB30-2C1F1BAE4D7B}" name="361"/>
    <tableColumn id="375" xr3:uid="{241D340C-A4EC-47B3-AC38-360035B73570}" name="362"/>
    <tableColumn id="376" xr3:uid="{78387257-9E03-4274-952A-53F1B8E59850}" name="363"/>
    <tableColumn id="377" xr3:uid="{82ECB2BA-C093-4887-8ADB-26DBBCF25392}" name="364"/>
    <tableColumn id="378" xr3:uid="{12F7E53B-A3BE-40B2-AEA5-BD049B83E6B2}" name="365"/>
    <tableColumn id="379" xr3:uid="{513FBBA7-AFEB-4A69-9C41-D666EF14B74C}" name="366"/>
    <tableColumn id="380" xr3:uid="{9F50A472-24A7-44D1-81CE-136AE6CC760C}" name="367"/>
    <tableColumn id="381" xr3:uid="{F35934CF-AF31-413F-B2D4-B719ABF050B5}" name="368"/>
    <tableColumn id="382" xr3:uid="{E6D64A4D-8477-41B0-A1ED-FD49933FEB83}" name="369"/>
    <tableColumn id="383" xr3:uid="{B0E93237-D3A7-42F5-A9EF-B13103B88424}" name="370"/>
    <tableColumn id="384" xr3:uid="{0468B587-F102-4F6B-A9C2-E498486BCB51}" name="371"/>
    <tableColumn id="385" xr3:uid="{03F79868-1331-4414-A9CB-C9BE50BF1F50}" name="372"/>
    <tableColumn id="386" xr3:uid="{9501B506-892C-4F03-BCDB-FFB0253790DA}" name="373"/>
    <tableColumn id="387" xr3:uid="{5D829901-85D0-40A0-9EE2-614FD9BF2F03}" name="374"/>
    <tableColumn id="388" xr3:uid="{5BC15E18-914D-4A60-8D49-60E2EBC13F73}" name="375"/>
    <tableColumn id="389" xr3:uid="{DCCD2D15-B8E6-4A76-869F-1325C2864B68}" name="376"/>
    <tableColumn id="390" xr3:uid="{E7A2838C-ADA5-4854-BFC9-B90D27ED3B01}" name="377"/>
    <tableColumn id="391" xr3:uid="{AA9FE876-173F-4D53-9451-6843CD4C6C1F}" name="378"/>
    <tableColumn id="392" xr3:uid="{8101DFEC-26F9-4145-BBB4-85A25E08287E}" name="379"/>
    <tableColumn id="393" xr3:uid="{991C21E4-BDBA-4164-8A22-58EE2EDB1F6B}" name="380"/>
    <tableColumn id="394" xr3:uid="{F5B51ACE-9029-4366-BADD-0D536D348017}" name="381"/>
    <tableColumn id="395" xr3:uid="{F006FB39-3922-4D81-967E-0546B444FEEA}" name="382"/>
    <tableColumn id="396" xr3:uid="{3FF52DE2-E4BF-4E09-81A2-0C97AFE66803}" name="383"/>
    <tableColumn id="397" xr3:uid="{F7A4C67C-61E5-4CF7-BEF1-D965DB570CFF}" name="384"/>
    <tableColumn id="398" xr3:uid="{DB654787-A2F1-4A75-B24F-5318F1255904}" name="385"/>
    <tableColumn id="399" xr3:uid="{8CCFF3D9-3905-49E6-97ED-1562826D7BC2}" name="386"/>
    <tableColumn id="400" xr3:uid="{5BD11CA8-0C1E-489A-B582-859238F0D377}" name="387"/>
    <tableColumn id="401" xr3:uid="{8E424569-E459-459B-A3BD-63BAFE30E737}" name="388"/>
    <tableColumn id="402" xr3:uid="{E5A2352E-ED1E-4798-9BA8-3F2B0F0D6D98}" name="389"/>
    <tableColumn id="403" xr3:uid="{9D813110-F6F5-4D3E-9BCF-046E29561619}" name="390"/>
    <tableColumn id="404" xr3:uid="{9BC7DBC3-5E3E-4EC7-92DF-5E6AEE811C86}" name="391"/>
    <tableColumn id="405" xr3:uid="{1D5892A1-611A-4414-AEDF-104D089DA618}" name="392"/>
    <tableColumn id="406" xr3:uid="{513409E7-B20E-4C6B-8789-3D07887E8258}" name="393"/>
    <tableColumn id="407" xr3:uid="{0D73DE13-FC81-4ED0-BD7E-EB732DFB70EC}" name="394"/>
    <tableColumn id="408" xr3:uid="{9CDFC1BD-D7B6-4F89-B688-CBF4E5BF09F5}" name="395"/>
    <tableColumn id="409" xr3:uid="{C2B56A61-A753-44A3-8956-574ED0FADA51}" name="396"/>
    <tableColumn id="410" xr3:uid="{40E32716-DC3F-487C-BBCC-0942AE7248C4}" name="397"/>
    <tableColumn id="411" xr3:uid="{F91E7EB6-2CDB-4E69-B58B-0E698273B2CD}" name="398"/>
    <tableColumn id="412" xr3:uid="{CABF8EAB-CE37-4AA0-AE54-11F8DC717BAB}" name="399"/>
    <tableColumn id="413" xr3:uid="{2BF9AF82-44F9-4B09-B019-FB2BDA29775A}" name="400"/>
    <tableColumn id="414" xr3:uid="{98609326-D04C-40EB-B1FD-214A6F4C07DA}" name="401"/>
    <tableColumn id="415" xr3:uid="{4FB4ABC3-50A6-4DF8-95B6-155F67B7FCE8}" name="402"/>
    <tableColumn id="416" xr3:uid="{DD213AC6-2268-47C1-9141-B039C07EF5F3}" name="403"/>
    <tableColumn id="417" xr3:uid="{D44AAD85-B752-4A7A-B71E-AF65613C00CB}" name="404"/>
    <tableColumn id="418" xr3:uid="{10B85F88-928A-4627-AFD1-CBA7CAC57FF6}" name="405"/>
    <tableColumn id="419" xr3:uid="{F0CC5125-94F4-45BD-8A5E-BFA4679A33F7}" name="406"/>
    <tableColumn id="420" xr3:uid="{D8BEE583-507A-4650-837C-799798738CAB}" name="407"/>
    <tableColumn id="421" xr3:uid="{EFF1F4DF-87CE-469A-89FD-CFC212ABBA3D}" name="408"/>
    <tableColumn id="422" xr3:uid="{8AC1327D-94AC-4344-B82B-B0B7889E1E5E}" name="409"/>
    <tableColumn id="423" xr3:uid="{114A6540-23BB-4FC1-934D-0B3538D01F2C}" name="410"/>
    <tableColumn id="424" xr3:uid="{A20FA61D-68A4-4E05-8B97-A14D32533D3C}" name="411"/>
    <tableColumn id="425" xr3:uid="{DEDF6D3A-6601-4338-9322-616ABA87DB9B}" name="412"/>
    <tableColumn id="426" xr3:uid="{6656CB9C-2A04-471C-BEFD-D7FEBBCF6B15}" name="413"/>
    <tableColumn id="427" xr3:uid="{40E9DE2C-BC8B-4F11-88F4-0DD410EE7B56}" name="414"/>
    <tableColumn id="428" xr3:uid="{EFE6CE0E-04E1-4601-9606-EBFF3397C9C0}" name="415"/>
    <tableColumn id="429" xr3:uid="{407B47AB-8DF6-43CF-A4AD-21EDDB936975}" name="416"/>
    <tableColumn id="430" xr3:uid="{BB27617B-1E03-450C-8CCB-776D50842177}" name="417"/>
    <tableColumn id="431" xr3:uid="{ABA4CAE8-9EBF-4DCB-86A4-EED044DB63AA}" name="418"/>
    <tableColumn id="432" xr3:uid="{DE17110F-224E-451D-9C3F-B5113745ECB7}" name="419"/>
    <tableColumn id="433" xr3:uid="{DFB8E4A1-6D69-4EC6-8E9D-0903A2AB0D97}" name="420"/>
    <tableColumn id="434" xr3:uid="{121605F4-B5EE-421F-B3E9-BA1DBF06EE7E}" name="421"/>
    <tableColumn id="435" xr3:uid="{542F60D0-52F6-4E47-97AF-F40583DC17E1}" name="422"/>
    <tableColumn id="436" xr3:uid="{80F83DF5-5E1E-4D5E-BE3D-3C187BAA2C56}" name="423"/>
    <tableColumn id="437" xr3:uid="{DDB5FC79-C7C2-4570-A706-45202BEC0EBE}" name="424"/>
    <tableColumn id="438" xr3:uid="{6A791456-0872-47FF-8005-5F9C6E0392F8}" name="425"/>
    <tableColumn id="439" xr3:uid="{464FF7D5-50D2-4837-97CF-035EECD74921}" name="426"/>
    <tableColumn id="440" xr3:uid="{34EB11F0-2BB0-4B7D-AEE2-E5B8D14675BD}" name="427"/>
    <tableColumn id="441" xr3:uid="{461C42E4-DD95-487D-A5FB-1971C30B8041}" name="428"/>
    <tableColumn id="442" xr3:uid="{172FDC04-6736-4433-951C-5216C94EE61B}" name="429"/>
    <tableColumn id="443" xr3:uid="{196D888A-17E2-4D2E-82F3-8EC99E5E5C3E}" name="430"/>
    <tableColumn id="444" xr3:uid="{3456E71B-4E45-49AC-93B4-A79FEDA71B32}" name="431"/>
    <tableColumn id="445" xr3:uid="{4F6DB443-EF39-4E42-82C4-70599ECC2C30}" name="432"/>
    <tableColumn id="446" xr3:uid="{3386A750-F0DD-4835-A8F4-BB9EF4AC1CFC}" name="433"/>
    <tableColumn id="447" xr3:uid="{492EC96B-DFDB-4A11-B4D6-646B58130215}" name="434"/>
    <tableColumn id="448" xr3:uid="{10B72B4A-65C2-4B98-B133-9BB503C61794}" name="435"/>
    <tableColumn id="449" xr3:uid="{346E9C92-5432-4830-BA58-52B597E92085}" name="436"/>
    <tableColumn id="450" xr3:uid="{774D8048-9CC6-4D3F-8BD7-93B1C5151111}" name="437"/>
    <tableColumn id="451" xr3:uid="{50D34313-EA72-4C64-8804-B5376C1E629F}" name="438"/>
    <tableColumn id="452" xr3:uid="{14ECFA93-4986-48B0-9337-9E6A1C434ACB}" name="439"/>
    <tableColumn id="453" xr3:uid="{E3A350C4-0EF1-4904-91D7-AED99D09E891}" name="440"/>
    <tableColumn id="454" xr3:uid="{3403E1C6-DF56-42BE-B5DB-D837E7E0ECF5}" name="441"/>
    <tableColumn id="455" xr3:uid="{E8EB9938-6DC5-45B3-AB89-9B5C38A974A6}" name="442"/>
    <tableColumn id="456" xr3:uid="{16BD269F-D229-416F-869D-4C1F1861728C}" name="443"/>
    <tableColumn id="457" xr3:uid="{B24E655B-4FF5-4D5A-BD32-9B406C36F343}" name="444"/>
    <tableColumn id="458" xr3:uid="{2C25001D-6559-47B3-BC5B-4FB0489C99F4}" name="445"/>
    <tableColumn id="459" xr3:uid="{E0927EA0-2518-48D9-AA69-40BEB78F07DF}" name="446"/>
    <tableColumn id="460" xr3:uid="{44B822D0-6180-4787-93E5-B67CCB8D05AE}" name="447"/>
    <tableColumn id="461" xr3:uid="{53934DDB-0271-4DD0-915F-3BAF916D9895}" name="448"/>
    <tableColumn id="462" xr3:uid="{DAA42CAE-56B4-4AD4-BE54-8F802818A6BC}" name="449"/>
    <tableColumn id="463" xr3:uid="{20A9C742-E2ED-43A1-AF93-2C82C3390982}" name="450"/>
    <tableColumn id="464" xr3:uid="{962E6CA9-852A-4A0D-8CC4-87E42E86F752}" name="451"/>
    <tableColumn id="465" xr3:uid="{83FD7CEE-8D5A-4952-AEC1-420B4F7CC3EB}" name="452"/>
    <tableColumn id="466" xr3:uid="{9FEF6B69-179F-459C-8C75-CD9B990C7A26}" name="453"/>
    <tableColumn id="467" xr3:uid="{AF2E4AD0-63C9-42B4-880C-3A2BD529490D}" name="454"/>
    <tableColumn id="468" xr3:uid="{C2B64051-F4B6-4D93-8DFB-A39B72EBE222}" name="455"/>
    <tableColumn id="469" xr3:uid="{130250D0-9B20-4B2B-82FE-F8DD245D5410}" name="456"/>
    <tableColumn id="470" xr3:uid="{23CEB3E4-78DF-4507-9267-861EEC8AD779}" name="457"/>
    <tableColumn id="471" xr3:uid="{28F063BF-8B49-4408-930D-51F140B17044}" name="458"/>
    <tableColumn id="472" xr3:uid="{CDA51698-F232-477B-B619-F0AC1AAF8672}" name="459"/>
    <tableColumn id="473" xr3:uid="{15C4CBAC-C912-4A9D-9D4D-5ACADF289E82}" name="460"/>
    <tableColumn id="474" xr3:uid="{2D858BCA-B484-4793-8BD4-CA735923EAA0}" name="461"/>
    <tableColumn id="475" xr3:uid="{008C68CC-B21F-4062-A677-017954BC51B1}" name="462"/>
    <tableColumn id="476" xr3:uid="{67751799-FAA2-43C9-9E43-F7C06156C69F}" name="463"/>
    <tableColumn id="477" xr3:uid="{479DEDE2-2775-4EA8-8304-DE25C9C6859E}" name="464"/>
    <tableColumn id="478" xr3:uid="{1C35354F-CB10-4AEF-9582-840786739FAB}" name="465"/>
    <tableColumn id="479" xr3:uid="{2F22A972-A332-41F5-8516-690A73AE2185}" name="466"/>
    <tableColumn id="480" xr3:uid="{4B0BA849-D530-41DE-B1CC-AEF9BD6A37DB}" name="467"/>
    <tableColumn id="481" xr3:uid="{F0085E4F-2D44-4BF8-A564-F5602D5B6106}" name="468"/>
    <tableColumn id="482" xr3:uid="{13C99AA3-E01D-429D-A0E8-C1579700A714}" name="469"/>
    <tableColumn id="483" xr3:uid="{4EC2A394-8254-4DF1-BF6F-440CE56FCC4F}" name="470"/>
    <tableColumn id="484" xr3:uid="{36B9A8FB-BBB0-4C47-BDE2-B012E3DA1697}" name="471"/>
    <tableColumn id="485" xr3:uid="{EC0FBFA5-F456-46CD-91B9-4C96D7659DCF}" name="472"/>
    <tableColumn id="486" xr3:uid="{111CB105-EA74-49E7-82EC-8C5F68567BBB}" name="473"/>
    <tableColumn id="487" xr3:uid="{C1D9D774-F451-4853-8ADC-6F37D40BF118}" name="474"/>
    <tableColumn id="488" xr3:uid="{106552E6-8E38-4340-B505-44EC6C7910AE}" name="475"/>
    <tableColumn id="489" xr3:uid="{BCF163BE-6213-4F29-B57B-A6AB638E1E74}" name="476"/>
    <tableColumn id="490" xr3:uid="{AD84BA35-8EC2-4E17-A670-733707516383}" name="477"/>
    <tableColumn id="491" xr3:uid="{49774680-6A05-4FD4-B74A-695017FAAC69}" name="478"/>
    <tableColumn id="492" xr3:uid="{12FF71F9-DF38-46EF-B9CB-B7D668728BDA}" name="479"/>
    <tableColumn id="493" xr3:uid="{D01ED823-1BD0-411E-BD25-B39731A6D90A}" name="480"/>
    <tableColumn id="494" xr3:uid="{F2826DC2-EBF6-47AD-AC15-61D759DD677D}" name="481"/>
    <tableColumn id="495" xr3:uid="{A95F98F6-980C-45B5-A2F9-8D7AC91AE420}" name="482"/>
    <tableColumn id="496" xr3:uid="{EB9B2E01-C5B0-43F3-9B2A-12B52567FA00}" name="483"/>
    <tableColumn id="497" xr3:uid="{59DF801F-564A-4620-9CC0-23A46C1ABAE5}" name="484"/>
    <tableColumn id="498" xr3:uid="{9A5FA320-B5C0-4507-8D9C-053FCA65E732}" name="485"/>
    <tableColumn id="499" xr3:uid="{DE2D5B95-4B58-45F6-BD76-9C3AC0F94470}" name="486"/>
    <tableColumn id="500" xr3:uid="{09F47C80-EB68-4C46-B740-016B9DC6385A}" name="487"/>
    <tableColumn id="501" xr3:uid="{552AAE52-F03E-45CF-B815-E72380671CF3}" name="488"/>
    <tableColumn id="502" xr3:uid="{4D13C275-D111-42BD-9AA3-64D81FB67448}" name="489"/>
    <tableColumn id="503" xr3:uid="{02B8B509-05FC-4A1F-AA10-6B259DDFFD40}" name="490"/>
    <tableColumn id="504" xr3:uid="{453EBB04-96F9-4CF0-99AA-14B793E39249}" name="491"/>
    <tableColumn id="505" xr3:uid="{CC8C7BFE-44F7-4884-8F23-CF8F6AA1061B}" name="492"/>
    <tableColumn id="506" xr3:uid="{8D269B11-57AF-4A41-A9F7-45AC53FC66E3}" name="493"/>
    <tableColumn id="507" xr3:uid="{658BBED1-91C1-456D-A06E-D979F15E2F7C}" name="494"/>
    <tableColumn id="508" xr3:uid="{0A467348-5A00-44BD-8BBA-268DF8A25533}" name="495"/>
    <tableColumn id="509" xr3:uid="{C83A34BD-7412-4B3F-949E-AD7F6F3067E8}" name="496"/>
    <tableColumn id="510" xr3:uid="{11AAFB8F-7B06-4015-B436-C9E8919BAC45}" name="497"/>
    <tableColumn id="511" xr3:uid="{7DBA8CA3-335C-47B0-8221-4AFFFC728F24}" name="498"/>
    <tableColumn id="512" xr3:uid="{3F2E5B42-8579-47C1-AEF1-191FCC2E5B14}" name="499"/>
    <tableColumn id="513" xr3:uid="{87DD8920-27E4-4F93-BFE9-783FA668FED3}" name="500"/>
    <tableColumn id="514" xr3:uid="{80094896-252B-4CC5-9369-22B3C5C3F08B}" name="501"/>
    <tableColumn id="515" xr3:uid="{AD2C6235-0D50-469C-8FF4-EA890722EA66}" name="502"/>
    <tableColumn id="516" xr3:uid="{362CA635-582F-4C71-9321-3FA4942DE88E}" name="503"/>
    <tableColumn id="517" xr3:uid="{962E7DB4-8053-489D-95BA-73DBAB4C66CD}" name="504"/>
    <tableColumn id="518" xr3:uid="{A7C0D86C-F005-41E6-A257-DA07820906BF}" name="505"/>
    <tableColumn id="519" xr3:uid="{6476CD2B-4623-4317-B4EF-9AC4C4EF96D0}" name="506"/>
    <tableColumn id="520" xr3:uid="{83342123-9AD7-4C6F-9A0F-685643797202}" name="507"/>
    <tableColumn id="521" xr3:uid="{9041F8F7-A367-4893-855F-8D0C569F9E83}" name="508"/>
    <tableColumn id="522" xr3:uid="{A9F78A9F-8AAC-4D9F-9092-B1757F1129F4}" name="509"/>
    <tableColumn id="523" xr3:uid="{BC691321-45FE-4C72-99A4-BF27730E46D4}" name="510"/>
    <tableColumn id="524" xr3:uid="{321884CD-044D-4FC8-A00F-D2751906BEFE}" name="511"/>
    <tableColumn id="525" xr3:uid="{E2A1CF6A-B9E2-4AC3-A96E-46635358302C}" name="512"/>
    <tableColumn id="526" xr3:uid="{91EFEAF9-8B4D-4327-9579-5DCE0292252D}" name="513"/>
    <tableColumn id="527" xr3:uid="{0ADB10B6-8280-48C1-951E-AF7EE7FF3BB3}" name="514"/>
    <tableColumn id="528" xr3:uid="{A18FA8AA-6BDE-4EAB-8786-8D84F84A3C38}" name="515"/>
    <tableColumn id="529" xr3:uid="{AEC5DA27-65CA-4A29-B6AD-A6266C2E4232}" name="516"/>
    <tableColumn id="530" xr3:uid="{D2DEB5B0-6305-4982-BA8A-732869E82278}" name="517"/>
    <tableColumn id="531" xr3:uid="{C50A3685-52C4-4DE4-85B1-91A2932451FA}" name="518"/>
    <tableColumn id="532" xr3:uid="{400AC404-C296-4601-8776-502065F9D2D5}" name="519"/>
    <tableColumn id="533" xr3:uid="{2170A094-07E9-4210-8B04-2BBD6031D5A3}" name="520"/>
    <tableColumn id="534" xr3:uid="{2AF1F435-E381-456C-9A3E-A092A1B830B9}" name="521"/>
    <tableColumn id="535" xr3:uid="{29A20424-CA41-45B3-AA3A-026440A625BA}" name="522"/>
    <tableColumn id="536" xr3:uid="{3B67452A-F62B-4253-AC7D-7D77EBAFEEE1}" name="523"/>
    <tableColumn id="537" xr3:uid="{A792B4CE-4517-4635-88C0-C4B68161745D}" name="524"/>
    <tableColumn id="538" xr3:uid="{23B7D371-3C75-42D3-B2C3-DA9FD83E7757}" name="525"/>
    <tableColumn id="539" xr3:uid="{B20D5BB1-CB26-455E-8A1F-FB3C52738BB8}" name="526"/>
    <tableColumn id="540" xr3:uid="{58F45630-8530-41BE-9061-825A40A46951}" name="527"/>
    <tableColumn id="541" xr3:uid="{A8CB0C54-E4A5-468B-AE83-A414C348FA29}" name="528"/>
    <tableColumn id="542" xr3:uid="{6A590CC3-14E8-4FDC-BA2C-F1DE0D73FDB0}" name="529"/>
    <tableColumn id="543" xr3:uid="{0667BEA5-744F-4F51-A394-25F14B9F816A}" name="530"/>
    <tableColumn id="544" xr3:uid="{2311613E-6370-476D-820D-429C88EAE17F}" name="531"/>
    <tableColumn id="545" xr3:uid="{C743B320-ADA7-47BF-86BA-B976B180B951}" name="532"/>
    <tableColumn id="546" xr3:uid="{986FC2D0-C3F5-42D5-91A4-45EDE37886FB}" name="533"/>
    <tableColumn id="547" xr3:uid="{057A9D3B-7225-4887-A009-1E49818CD056}" name="534"/>
    <tableColumn id="548" xr3:uid="{D327D08E-268E-42C2-BDB5-CD667E28D20E}" name="535"/>
    <tableColumn id="549" xr3:uid="{B70D5D28-2257-4A6D-8C42-76193F29559F}" name="536"/>
    <tableColumn id="550" xr3:uid="{71A13443-FBE4-453E-B373-5F050D66470C}" name="537"/>
    <tableColumn id="551" xr3:uid="{9F868AE7-8E3A-48EA-B84B-676B298C57F4}" name="538"/>
    <tableColumn id="552" xr3:uid="{F7460A00-B377-4CD7-BA38-50EFA7C5A1EC}" name="539"/>
    <tableColumn id="553" xr3:uid="{055B4A73-A359-43C8-A6E1-A797CF8E1BAB}" name="540"/>
    <tableColumn id="554" xr3:uid="{6BA089E7-940D-4885-BA75-0A31F7855C45}" name="541"/>
    <tableColumn id="555" xr3:uid="{0C210E01-C7EB-4E86-A86F-936D19739AA6}" name="542"/>
    <tableColumn id="556" xr3:uid="{A1539120-D784-4977-B593-CB3A61C20446}" name="543"/>
    <tableColumn id="557" xr3:uid="{85A1A8A8-E7A1-498B-9F7B-BD1C916530B4}" name="544"/>
    <tableColumn id="558" xr3:uid="{76FE44A8-5967-4215-8F6C-682A981EAE70}" name="545"/>
    <tableColumn id="559" xr3:uid="{79725398-E496-468F-9F29-0F8B0F204833}" name="546"/>
    <tableColumn id="560" xr3:uid="{FB8033B8-5F06-4579-A59E-8D2565D65B65}" name="547"/>
    <tableColumn id="561" xr3:uid="{9D418AFD-0746-47FE-B074-0B0938C5E8B3}" name="548"/>
    <tableColumn id="562" xr3:uid="{5E436701-4FAB-48BB-8DAE-849A86D4B257}" name="549"/>
    <tableColumn id="563" xr3:uid="{56AFBFF5-02C5-47E4-AF27-9FD37B6FB81C}" name="550"/>
    <tableColumn id="564" xr3:uid="{D0C14424-5D06-4802-A8F7-F8FA4B1DC6CE}" name="551"/>
    <tableColumn id="565" xr3:uid="{DD86CB1E-4AD1-445B-80C0-8BB4C77814C7}" name="552"/>
    <tableColumn id="566" xr3:uid="{993AB024-4628-4A11-AD8C-DABBCDA20BAF}" name="553"/>
    <tableColumn id="567" xr3:uid="{E475D3BD-97D5-4429-B8E3-0DD6C3C763C3}" name="554"/>
    <tableColumn id="568" xr3:uid="{2E8E6E8C-AC1A-406B-B0F6-2772663D0064}" name="555"/>
    <tableColumn id="569" xr3:uid="{2DB809F7-0F45-4911-8B66-C590DA25C1A3}" name="556"/>
    <tableColumn id="570" xr3:uid="{E76DDA13-C0E5-4A69-8754-EE48BF479A68}" name="557"/>
    <tableColumn id="571" xr3:uid="{917CE056-AAAB-4CD9-94BE-3679F686EEA9}" name="558"/>
    <tableColumn id="572" xr3:uid="{DC694721-8415-4CAE-B86E-F40A6DC2F9DB}" name="559"/>
    <tableColumn id="573" xr3:uid="{A9523E88-9F24-4C7F-8699-1246CE69E7B1}" name="560"/>
    <tableColumn id="574" xr3:uid="{D27F8E8A-DF70-4E7D-836D-305D18C2E09F}" name="561"/>
    <tableColumn id="575" xr3:uid="{90F93D33-97A3-4230-B281-1B40D20F709C}" name="562"/>
    <tableColumn id="576" xr3:uid="{C1B6A1BF-B8D5-45D2-AFA9-EE060CBC5D11}" name="563"/>
    <tableColumn id="577" xr3:uid="{53A120B0-A4E4-4DFD-8EBA-D04E2ADCCF95}" name="564"/>
    <tableColumn id="578" xr3:uid="{26DA1B19-470C-45FF-AD88-2E10D8C5C261}" name="565"/>
    <tableColumn id="579" xr3:uid="{79923B4B-6EFD-4DF1-AE96-C40866CD7C94}" name="566"/>
    <tableColumn id="580" xr3:uid="{7ABC3F58-7221-4728-A39B-630493675BF0}" name="567"/>
    <tableColumn id="581" xr3:uid="{23AE767C-1052-43D1-A1D2-B7D2391AD8B9}" name="568"/>
    <tableColumn id="582" xr3:uid="{C7AA4784-95A2-4C64-AD1A-5179B4133572}" name="569"/>
    <tableColumn id="583" xr3:uid="{10D5345C-B246-4394-B77E-27E7574057B4}" name="570"/>
    <tableColumn id="584" xr3:uid="{91AA1D1D-3E78-4E16-B8B3-A8028BD340CF}" name="571"/>
    <tableColumn id="585" xr3:uid="{16648D61-AA1D-4DE6-8D41-435B14FD58AB}" name="572"/>
    <tableColumn id="586" xr3:uid="{2F838CB6-43DE-41F8-A6EF-FE4F6E38F9CC}" name="573"/>
    <tableColumn id="587" xr3:uid="{ED655E63-2779-4D9B-8C76-BA80B6C30E5F}" name="574"/>
    <tableColumn id="588" xr3:uid="{D17931CF-E1A7-47B3-90E2-6FCA96CD0675}" name="575"/>
    <tableColumn id="589" xr3:uid="{87524672-8EBB-4D9D-AAC1-D440C6EB8148}" name="576"/>
    <tableColumn id="590" xr3:uid="{A8E620FD-8962-494C-BF32-970FBE8B6F95}" name="577"/>
    <tableColumn id="591" xr3:uid="{564E7336-5714-4811-AE23-B0B2E24E0F27}" name="578"/>
    <tableColumn id="592" xr3:uid="{46C86C03-BC86-4777-85FF-F8ABB87A05E8}" name="579"/>
    <tableColumn id="593" xr3:uid="{B6DEC4AD-B4D0-4F2E-A20E-462F84C50F16}" name="580"/>
    <tableColumn id="594" xr3:uid="{C0FB4421-1BCE-4CDC-B3A1-851377AAB00D}" name="581"/>
    <tableColumn id="595" xr3:uid="{DEA13C6E-FA12-437A-A15F-7141983122F8}" name="582"/>
    <tableColumn id="596" xr3:uid="{A551AC4C-7B22-4DC8-8F67-90E3EE883106}" name="583"/>
    <tableColumn id="597" xr3:uid="{95C44773-21C2-4EB5-8C85-09E01BFBC0BA}" name="584"/>
    <tableColumn id="598" xr3:uid="{A3241CF6-6C4F-4958-A83D-C321C908A49F}" name="585"/>
    <tableColumn id="599" xr3:uid="{523FE38B-85BD-4BE3-874A-B1A7BC2A802F}" name="586"/>
    <tableColumn id="600" xr3:uid="{E7DDBD79-6B64-4789-87A0-8E6AC8E0A87D}" name="587"/>
    <tableColumn id="601" xr3:uid="{3FE801A9-4FDD-4332-A7DE-55A89BD3F123}" name="588"/>
    <tableColumn id="602" xr3:uid="{887550A5-84E6-4B98-B927-C082E003A100}" name="589"/>
    <tableColumn id="603" xr3:uid="{8354530A-0A35-4B52-ACB5-39228EAC6F6B}" name="590"/>
    <tableColumn id="604" xr3:uid="{28378211-2257-48C0-B7FA-8E321FE51F49}" name="591"/>
    <tableColumn id="605" xr3:uid="{710F8FCD-45C3-43A9-B2AA-8776F6B22562}" name="592"/>
    <tableColumn id="606" xr3:uid="{C6445B70-E06E-47A1-A89B-EACC383B54FD}" name="593"/>
    <tableColumn id="607" xr3:uid="{B06223F9-96FF-4C04-9666-FAAC844B3268}" name="594"/>
    <tableColumn id="608" xr3:uid="{B5B0EF1F-842E-4F19-B3D9-45ED59954875}" name="595"/>
    <tableColumn id="609" xr3:uid="{65A3B149-9216-4C57-A1B9-805684531B90}" name="596"/>
    <tableColumn id="610" xr3:uid="{B361BD6C-8374-4B1F-A413-403089FC5577}" name="597"/>
    <tableColumn id="611" xr3:uid="{DD596878-909E-4977-BC75-8498DA476FFC}" name="598"/>
    <tableColumn id="612" xr3:uid="{754B79B8-7623-4A62-8C41-0C7C54447693}" name="599"/>
    <tableColumn id="613" xr3:uid="{D88BD76A-6264-4EF1-A4F5-AEB39E034DCB}" name="600"/>
    <tableColumn id="614" xr3:uid="{610B99C3-0CC3-4EE1-BCA1-19EC2BD10E4E}" name="601"/>
    <tableColumn id="615" xr3:uid="{F2BC6386-C81D-4B6F-A4E4-3701954108DA}" name="602"/>
    <tableColumn id="616" xr3:uid="{DF602954-37CE-4699-AC93-C56E97BA6592}" name="603"/>
    <tableColumn id="617" xr3:uid="{E1B7A265-0B93-49A7-BA50-6FA50B707882}" name="604"/>
    <tableColumn id="618" xr3:uid="{4E1296EF-35CB-4B95-A6A3-435AACE5D5D1}" name="605"/>
    <tableColumn id="619" xr3:uid="{C72A8E6D-3EA6-4BE1-BB9A-20B53DA42B63}" name="606"/>
    <tableColumn id="620" xr3:uid="{AE761BD8-F750-46D8-9483-6964E7C6B273}" name="607"/>
    <tableColumn id="621" xr3:uid="{C5BAFDCE-F8C2-4705-84A5-215462AAAEF8}" name="608"/>
    <tableColumn id="622" xr3:uid="{4C507CB2-7C4B-4CA9-9C68-19C247A6C0BC}" name="609"/>
    <tableColumn id="623" xr3:uid="{16926C8F-9100-41F3-BCFD-9088C0D3D90A}" name="610"/>
    <tableColumn id="624" xr3:uid="{49265D99-1534-40E8-B074-8EA565FFCF49}" name="611"/>
    <tableColumn id="625" xr3:uid="{2013786D-8A23-4FB7-9AF5-CF873461E5BE}" name="612"/>
    <tableColumn id="626" xr3:uid="{CFAFFA73-A3D0-4001-96A4-874212E6EA71}" name="613"/>
    <tableColumn id="627" xr3:uid="{CF4224B6-61E3-4628-B252-EE268A5214C1}" name="614"/>
    <tableColumn id="628" xr3:uid="{BCF5FF88-1CC0-4C87-9673-C0B699512FDD}" name="615"/>
    <tableColumn id="629" xr3:uid="{0B77F438-C0EE-494C-9E39-14420F12DB06}" name="616"/>
    <tableColumn id="630" xr3:uid="{135344DE-B725-49CF-8D1C-765E3F1BFBF1}" name="617"/>
    <tableColumn id="631" xr3:uid="{0DFDFF86-747A-478A-B4B6-92A293F202D5}" name="618"/>
    <tableColumn id="632" xr3:uid="{03537A9D-3AE9-403C-9EDA-2E43205B0F23}" name="619"/>
    <tableColumn id="633" xr3:uid="{EDDAEECE-82CD-4144-A097-E794C2A01C7B}" name="620"/>
    <tableColumn id="634" xr3:uid="{92056E76-93F2-45E6-9178-5A322CEED02D}" name="621"/>
    <tableColumn id="635" xr3:uid="{6582FE40-91A1-4904-A8B9-C059CA2DA119}" name="622"/>
    <tableColumn id="636" xr3:uid="{FC938759-03DF-4098-B43F-E0774618DD72}" name="623"/>
    <tableColumn id="637" xr3:uid="{B7F4DAF2-7466-4401-9CFB-522B36613DBC}" name="624"/>
    <tableColumn id="638" xr3:uid="{5A5B020B-9655-460F-83CB-ED26890AF905}" name="625"/>
    <tableColumn id="639" xr3:uid="{7A1F6185-DC37-42BB-9A03-9F3146FD0D2C}" name="626"/>
    <tableColumn id="640" xr3:uid="{75F3C575-FD8F-4674-B3B7-3381F074D831}" name="627"/>
    <tableColumn id="641" xr3:uid="{53426A32-E71B-41EA-B9CE-0CE2CC7E47C4}" name="628"/>
    <tableColumn id="642" xr3:uid="{5B14C701-E3A8-48EB-AC2D-0A28846FF869}" name="629"/>
    <tableColumn id="643" xr3:uid="{D90C71F4-2E36-4730-A2A1-E8344F6A1454}" name="630"/>
    <tableColumn id="644" xr3:uid="{AB6ED778-C9CD-42CC-A0E1-3A04FC3DD212}" name="631"/>
    <tableColumn id="645" xr3:uid="{05EE2447-A950-486B-A7BA-7BDBDBFEE0BC}" name="632"/>
    <tableColumn id="646" xr3:uid="{F1CE9FB6-EE29-4F07-938D-E06FE5BBA043}" name="633"/>
    <tableColumn id="647" xr3:uid="{66BACE7C-DBA0-4085-BC50-8480D7459A41}" name="634"/>
    <tableColumn id="648" xr3:uid="{8C601B4B-572E-4C6A-A510-CBD61743D34F}" name="635"/>
    <tableColumn id="649" xr3:uid="{45F17597-504D-4E67-B026-9BAD24F3D149}" name="636"/>
    <tableColumn id="650" xr3:uid="{AA4922BD-E9AC-476B-8BE6-DD6D7CAA5BD3}" name="637"/>
    <tableColumn id="651" xr3:uid="{10DF097D-487E-42AB-8BA7-8FADBDA0C9DC}" name="638"/>
    <tableColumn id="652" xr3:uid="{DE9FEE91-7EBE-47A6-93C5-D2350245B349}" name="639"/>
    <tableColumn id="653" xr3:uid="{42456D17-AD8F-4BAB-810F-CF212D98EC38}" name="640"/>
    <tableColumn id="654" xr3:uid="{60AD3963-2A27-4EAD-A8CD-05B36E47843C}" name="641"/>
    <tableColumn id="655" xr3:uid="{2A94C81E-18E1-435C-A5EA-C7EF46E80ABF}" name="642"/>
    <tableColumn id="656" xr3:uid="{37FF5AD6-47F5-42E5-A1A0-2163D1BB96F1}" name="643"/>
    <tableColumn id="657" xr3:uid="{EE47FB07-C8F7-4640-B464-0B23EF158190}" name="644"/>
    <tableColumn id="658" xr3:uid="{7AC9595C-9CE4-466E-9C9C-D0FD8EBBAA6E}" name="645"/>
    <tableColumn id="659" xr3:uid="{D9C279F2-EEA6-4AA0-8182-C74BB2CA9081}" name="646"/>
    <tableColumn id="660" xr3:uid="{C9600B63-7E63-4448-B597-89C52E6D9FAA}" name="647"/>
    <tableColumn id="661" xr3:uid="{A99DD8A3-F9E2-44D4-98F9-CEC853D0E1C9}" name="648"/>
    <tableColumn id="662" xr3:uid="{4B5F538E-A47F-4D5B-8F70-977D0DFE96CB}" name="649"/>
    <tableColumn id="663" xr3:uid="{5F140F85-02CD-4C5B-BE32-A477DEE2DEE4}" name="650"/>
    <tableColumn id="664" xr3:uid="{0B903F85-F9D5-4ABF-BBAD-8E892C666630}" name="651"/>
    <tableColumn id="665" xr3:uid="{A6F96CEC-3461-42E2-A19F-1412442C5BE8}" name="652"/>
    <tableColumn id="666" xr3:uid="{82ACFB2E-5D6E-4032-9039-49D69732DB3C}" name="653"/>
    <tableColumn id="667" xr3:uid="{12C6ABC7-3BB1-4C76-AF3D-164615D19E35}" name="654"/>
    <tableColumn id="668" xr3:uid="{FB9E706E-CC3A-43D1-B1DF-6F9625737599}" name="655"/>
    <tableColumn id="669" xr3:uid="{2BE40A48-11A5-49CD-9C22-493889D5D5DF}" name="656"/>
    <tableColumn id="670" xr3:uid="{2FADB08F-34E0-4A1C-84A4-476C8326DCA3}" name="657"/>
    <tableColumn id="671" xr3:uid="{290CB7B8-5F45-4968-96E1-975E0CF5CD09}" name="658"/>
    <tableColumn id="672" xr3:uid="{CB00A7E2-D990-4C0B-9C62-AB86287786F9}" name="659"/>
    <tableColumn id="673" xr3:uid="{E016DC96-1E6E-4420-ABF2-3F8F4466FB0F}" name="660"/>
    <tableColumn id="674" xr3:uid="{29E09553-5F1B-4F0A-A14E-CCE3A6132B43}" name="661"/>
    <tableColumn id="675" xr3:uid="{7ABEB23D-46D0-4367-B887-574A7B406DBD}" name="662"/>
    <tableColumn id="676" xr3:uid="{A88A3FF6-8917-443E-A076-8721F4F1BAFC}" name="663"/>
    <tableColumn id="677" xr3:uid="{4B244FF5-1B37-433B-B64C-C0FCE79CABFB}" name="664"/>
    <tableColumn id="678" xr3:uid="{6502D466-9DB0-4169-BD75-36078659C879}" name="665"/>
    <tableColumn id="679" xr3:uid="{75591A5E-8A11-4C4C-9ADE-93D991C6EDD1}" name="666"/>
    <tableColumn id="680" xr3:uid="{EE19C243-2856-4FD8-ADF6-4AAD93113B77}" name="667"/>
    <tableColumn id="681" xr3:uid="{2EEA3922-AE4B-4F8B-89B6-E598712FFDCD}" name="668"/>
    <tableColumn id="682" xr3:uid="{5EBEB56C-A6D3-4216-B00C-D19129708770}" name="669"/>
    <tableColumn id="683" xr3:uid="{9187FA41-BD50-4F43-8638-F74FCBA1CED4}" name="670"/>
    <tableColumn id="684" xr3:uid="{7CA1ED5A-FC30-45D6-BBB6-58EC8976E8C0}" name="671"/>
    <tableColumn id="685" xr3:uid="{D2AED93E-E709-401F-B571-8024363315D4}" name="672"/>
    <tableColumn id="686" xr3:uid="{F86D88FB-9217-4258-97C7-DE57511A3D97}" name="673"/>
    <tableColumn id="687" xr3:uid="{F28BFF8F-AB0F-4B78-94C8-DB82D1B0E4D3}" name="674"/>
    <tableColumn id="688" xr3:uid="{052D7AD9-BD8D-446F-B02F-AF76A33A0E24}" name="675"/>
    <tableColumn id="689" xr3:uid="{1EC16146-410B-408A-86C8-7B3BE7A9DCAB}" name="676"/>
    <tableColumn id="690" xr3:uid="{2A5BF8F9-73BB-4076-8B8D-EF062CF29C86}" name="677"/>
    <tableColumn id="691" xr3:uid="{C10F6C0D-AAF3-43FF-8017-18B746A7A2F1}" name="678"/>
    <tableColumn id="692" xr3:uid="{780D66BD-16AE-46F4-AB05-BF74679AE36C}" name="679"/>
    <tableColumn id="693" xr3:uid="{22E0A1EE-1BEF-494C-8608-594D0B3A99F0}" name="680"/>
    <tableColumn id="694" xr3:uid="{32298CA0-807C-40D6-91F2-4F4D290E8542}" name="681"/>
    <tableColumn id="695" xr3:uid="{EC331B52-6963-4E0D-B884-CED5354958CB}" name="682"/>
    <tableColumn id="696" xr3:uid="{D58AF6A4-6564-480C-92B8-F77B5D6DA89C}" name="683"/>
    <tableColumn id="697" xr3:uid="{F30AEE1D-DEBC-426D-91F7-D33E5654F5C0}" name="684"/>
    <tableColumn id="698" xr3:uid="{247AA805-B6AD-4B97-BD56-913BC4C5D5AE}" name="685"/>
    <tableColumn id="699" xr3:uid="{3F23A16B-241E-4C52-A726-6AA45693E361}" name="686"/>
    <tableColumn id="700" xr3:uid="{78F592B5-CB0A-4395-B7DF-36066628BC82}" name="687"/>
    <tableColumn id="701" xr3:uid="{22A3EBCC-E7EE-43AB-A90C-3BB85D0D0ADD}" name="688"/>
    <tableColumn id="702" xr3:uid="{785473CE-5D1B-4854-9D1B-0E08670246FB}" name="689"/>
    <tableColumn id="703" xr3:uid="{5A2E595B-1FD7-455B-9D78-547601D80479}" name="690"/>
    <tableColumn id="704" xr3:uid="{EAAED81C-6B7C-43A4-B3FF-CDD790D3534E}" name="691"/>
    <tableColumn id="705" xr3:uid="{E5E06EFA-B546-4654-82EC-2A9FCE06B6F7}" name="692"/>
    <tableColumn id="706" xr3:uid="{09586461-4B10-4DEE-B7E3-D42908D01D13}" name="693"/>
    <tableColumn id="707" xr3:uid="{A978B9EA-368F-41AE-BAAF-8FB2FC9DB337}" name="694"/>
    <tableColumn id="708" xr3:uid="{17121F25-8B17-47D6-AFBE-24A4E556EFEF}" name="695"/>
    <tableColumn id="709" xr3:uid="{379AA13A-320C-4698-8EE3-36BE0F64E232}" name="696"/>
    <tableColumn id="710" xr3:uid="{46360F2F-3893-438C-9E77-34613F9C0EB6}" name="697"/>
    <tableColumn id="711" xr3:uid="{3A303E50-1AFF-4BEA-8BAC-E13FF467D1EE}" name="698"/>
    <tableColumn id="712" xr3:uid="{FBB042B2-0EE8-4192-95E0-D566FE8BB8F0}" name="699"/>
    <tableColumn id="713" xr3:uid="{22F0C9F8-E5BF-483F-B61C-4B1129698EAA}" name="700"/>
    <tableColumn id="714" xr3:uid="{02928508-5B50-49EB-B182-C7646DAB68E6}" name="701"/>
    <tableColumn id="715" xr3:uid="{C14827F8-05DD-4ADC-B26A-BB103AAD4208}" name="702"/>
    <tableColumn id="716" xr3:uid="{D8EEBD95-2854-4C1B-A953-E86EA5381678}" name="703"/>
    <tableColumn id="717" xr3:uid="{979A92B8-C8AC-45EC-A41D-C1D7BE17E72A}" name="704"/>
    <tableColumn id="718" xr3:uid="{CD7A36FE-2B3E-4A76-84EF-0C7AE0BD60D2}" name="705"/>
    <tableColumn id="719" xr3:uid="{A2ADCCC8-78DE-40D4-A863-81174ECF5FAF}" name="706"/>
    <tableColumn id="720" xr3:uid="{439F701A-65B9-4B00-A6EA-2AFB003A9A1A}" name="707"/>
    <tableColumn id="721" xr3:uid="{FBF6C2A5-EB57-4D28-9909-4F5DF0CD6AA7}" name="708"/>
    <tableColumn id="722" xr3:uid="{3475B7D3-EE30-4AEC-8AAB-EBE16D4DAF1B}" name="709"/>
    <tableColumn id="723" xr3:uid="{192CCC3D-2F68-4FFC-A7EE-1AC82F86DA9A}" name="710"/>
    <tableColumn id="724" xr3:uid="{0C7434D1-0D46-4EF1-8D33-E8BC57385515}" name="711"/>
    <tableColumn id="725" xr3:uid="{3ECA8F54-C804-4DEA-BC1D-AB37A83A278E}" name="712"/>
    <tableColumn id="726" xr3:uid="{CF4253E7-3AD0-40CB-BEDF-AD06A386E4CF}" name="713"/>
    <tableColumn id="727" xr3:uid="{8C664E3A-D228-4023-8AB6-7C5BC02E2B97}" name="714"/>
    <tableColumn id="728" xr3:uid="{332DA7D6-BB72-4A0B-B79C-889372B99850}" name="715"/>
    <tableColumn id="729" xr3:uid="{AF72E430-CAF9-46CC-BAF8-2E4E85D36DA8}" name="716"/>
    <tableColumn id="730" xr3:uid="{9B9D4DDB-005D-44D5-A077-B00B84E5A259}" name="717"/>
    <tableColumn id="731" xr3:uid="{89820DF2-8442-449C-BD29-A300B488D4FB}" name="718"/>
    <tableColumn id="732" xr3:uid="{9CDFD19D-20AA-46BB-86DD-BDE1CF82E03E}" name="719"/>
    <tableColumn id="733" xr3:uid="{B64F47AE-3B04-447C-B04C-29D5A376E3B3}" name="720"/>
    <tableColumn id="734" xr3:uid="{D16E5F18-5BC8-4B93-999A-8BDB6AAB574C}" name="721"/>
    <tableColumn id="735" xr3:uid="{C3B658D8-6BF7-4900-B0BE-317B8085D1D5}" name="722"/>
    <tableColumn id="736" xr3:uid="{23FA9553-B9C9-478F-954F-27A325147BBC}" name="723"/>
    <tableColumn id="737" xr3:uid="{3BE5FA89-3FA4-495F-884A-1BBE52D0720A}" name="724"/>
    <tableColumn id="738" xr3:uid="{396B106E-993D-45D6-81D2-16EC689D8C01}" name="725"/>
    <tableColumn id="739" xr3:uid="{C38DB761-EC64-4932-981A-BCF62309D843}" name="726"/>
    <tableColumn id="740" xr3:uid="{A6FEF70C-1688-4C71-BBE0-BF95A8A5C02B}" name="727"/>
    <tableColumn id="741" xr3:uid="{2514DCFF-E7ED-4D61-89DA-05FE5C72D7EF}" name="728"/>
    <tableColumn id="742" xr3:uid="{AFCE505A-9B62-45CC-973F-8C0CFBC34EDA}" name="729"/>
    <tableColumn id="743" xr3:uid="{473A3210-DF85-489B-BBEE-2E4C080FE686}" name="730"/>
    <tableColumn id="744" xr3:uid="{86EB623D-BBC5-4EEC-B07E-35723D26BC08}" name="731"/>
    <tableColumn id="745" xr3:uid="{2531CC44-BA7A-4743-88E9-10CD76C05E2D}" name="732"/>
    <tableColumn id="746" xr3:uid="{3E4E0F90-4C70-450B-96A5-BBB691B1E1DA}" name="733"/>
    <tableColumn id="747" xr3:uid="{CD653B28-0302-4C78-B8AF-6415B1D9570C}" name="734"/>
    <tableColumn id="748" xr3:uid="{7D13C326-506B-4510-8DD7-F5D0D83F86C6}" name="735"/>
    <tableColumn id="749" xr3:uid="{A8A9042F-2B15-485F-B3F4-DC65978E3E83}" name="736"/>
    <tableColumn id="750" xr3:uid="{0B1DCF47-E1D8-4CBD-811E-AF32AFF86611}" name="737"/>
    <tableColumn id="751" xr3:uid="{6CC044DB-766A-41B8-B5E6-254AB4070908}" name="738"/>
    <tableColumn id="752" xr3:uid="{033E9837-CD82-48AC-8C38-69CD8CB6A449}" name="739"/>
    <tableColumn id="753" xr3:uid="{E466FD2F-F6FB-47EF-9845-EEFA38503E59}" name="740"/>
    <tableColumn id="754" xr3:uid="{95C1F3B2-6EF0-407C-8FE6-760B051E2BD2}" name="741"/>
    <tableColumn id="755" xr3:uid="{27A17940-9C8E-4FCD-8FBE-F394B85079C9}" name="742"/>
    <tableColumn id="756" xr3:uid="{8D50D9C4-5B2B-4300-B58D-19BD8A117D9B}" name="743"/>
    <tableColumn id="757" xr3:uid="{B64AC199-D52D-4821-A08A-9704DD79E7F3}" name="744"/>
    <tableColumn id="758" xr3:uid="{BBB17E8A-210B-4F64-B6AD-B960298C5C71}" name="745"/>
    <tableColumn id="759" xr3:uid="{579DF1AE-0A7B-4E7F-8E45-2B65396438E1}" name="746"/>
    <tableColumn id="760" xr3:uid="{E9CFA4E2-6552-4C4B-B5D7-8E6FD3840351}" name="747"/>
    <tableColumn id="761" xr3:uid="{5A3CDF69-919F-40E7-B91D-81E1BB6BC84F}" name="748"/>
    <tableColumn id="762" xr3:uid="{E2A3346D-05FD-4A59-A8C5-C433F7A35014}" name="749"/>
    <tableColumn id="763" xr3:uid="{3E6C77DE-FE0C-499C-B9EE-3C8A1753538E}" name="750"/>
    <tableColumn id="764" xr3:uid="{D5DF18EF-1BC8-4028-B5F8-B2632EADF94A}" name="751"/>
    <tableColumn id="765" xr3:uid="{E8D7822F-FB1E-471D-B8C4-6E63B1ABC5E4}" name="752"/>
    <tableColumn id="766" xr3:uid="{6F4C14A3-D2D2-4C46-B663-753403204B23}" name="753"/>
    <tableColumn id="767" xr3:uid="{591F63E1-7C64-47BA-8F95-56582B8DB546}" name="754"/>
    <tableColumn id="768" xr3:uid="{13F15CC3-8A29-4CB1-B119-45C3A9D14A56}" name="755"/>
    <tableColumn id="769" xr3:uid="{3A055615-FA8B-4E0F-B5AD-449D5D83E32E}" name="756"/>
    <tableColumn id="770" xr3:uid="{8DC3CBAE-3B23-49B6-8510-E49D364E28BE}" name="757"/>
    <tableColumn id="771" xr3:uid="{4300F06D-B279-4ADC-A4D8-89C4273ABBF2}" name="758"/>
    <tableColumn id="772" xr3:uid="{DC0C26BB-CBC8-482B-9704-6BC09A78008B}" name="759"/>
    <tableColumn id="773" xr3:uid="{D0E64979-EB6D-4C0B-A445-4FBEAD94ADB3}" name="760"/>
    <tableColumn id="774" xr3:uid="{4B740BCE-5A8B-461B-A2DB-6952D627B656}" name="761"/>
    <tableColumn id="775" xr3:uid="{164AD27F-B44C-4BFB-8EF9-4868A80E370D}" name="762"/>
    <tableColumn id="776" xr3:uid="{A81285E9-7364-4ED1-BBFA-121E223BF860}" name="763"/>
    <tableColumn id="777" xr3:uid="{30060218-A0E0-4C1F-80A4-AA1EB6E6A536}" name="764"/>
    <tableColumn id="778" xr3:uid="{65A32F52-66B6-41F3-86D6-B67A8C48EA0E}" name="765"/>
    <tableColumn id="779" xr3:uid="{E41C3BEC-AA37-4907-909B-CE36253EE321}" name="766"/>
    <tableColumn id="780" xr3:uid="{866E2CF5-2448-49B9-938D-5DEA4B06EF2D}" name="767"/>
    <tableColumn id="781" xr3:uid="{D4353261-55BF-4240-99F9-3137929ECAB4}" name="768"/>
    <tableColumn id="782" xr3:uid="{5F4DD54C-DB53-4B3B-B708-E360BAE34A9A}" name="769"/>
    <tableColumn id="783" xr3:uid="{E2E32663-44DE-45E6-AF2F-9A5374406A0F}" name="770"/>
    <tableColumn id="784" xr3:uid="{54BF2654-EF3B-4E75-85CC-2D954FB5D656}" name="771"/>
    <tableColumn id="785" xr3:uid="{5EC6975E-4C87-41DC-8C4B-25D87DD68DBB}" name="772"/>
    <tableColumn id="786" xr3:uid="{369E7F44-4772-459D-AB7A-23985F53236B}" name="773"/>
    <tableColumn id="787" xr3:uid="{7D846976-28C8-4411-833F-6D7A61B8238A}" name="774"/>
    <tableColumn id="788" xr3:uid="{56145DC3-DE65-4380-86A0-A32E424B0AE7}" name="775"/>
    <tableColumn id="789" xr3:uid="{A2648E4C-344D-441A-82B1-E8385585935F}" name="776"/>
    <tableColumn id="790" xr3:uid="{8717B539-1499-4D2A-A663-BCB4ED57601D}" name="777"/>
    <tableColumn id="791" xr3:uid="{4994CD9A-3C79-445C-9DBA-4DFF1C211182}" name="778"/>
    <tableColumn id="792" xr3:uid="{1CF7AB43-6F6E-45B2-B258-526A6CE3E891}" name="779"/>
    <tableColumn id="793" xr3:uid="{83C368B8-FA99-44BB-8386-51A27F3E6268}" name="780"/>
    <tableColumn id="794" xr3:uid="{726EAB95-31BA-41DC-B70B-BC9E04D365A8}" name="781"/>
    <tableColumn id="795" xr3:uid="{40C38CF0-8C4B-4819-918B-B76D45062017}" name="782"/>
    <tableColumn id="796" xr3:uid="{3D9414EA-AE77-424B-826E-65D75013D286}" name="783"/>
    <tableColumn id="797" xr3:uid="{B0782DED-53E1-487E-9E3B-2E9CEC981F22}" name="784"/>
    <tableColumn id="798" xr3:uid="{CD17F850-9810-48EA-8A3D-B8FE9FD63C1B}" name="785"/>
    <tableColumn id="799" xr3:uid="{AA2610E0-3C0F-4E1A-9B7E-CE360DEB2053}" name="786"/>
    <tableColumn id="800" xr3:uid="{7A3F5B54-BB1B-4D74-B25B-E5BCAA367450}" name="787"/>
    <tableColumn id="801" xr3:uid="{BCAF63E7-683D-4912-A0AA-F1E893D511EC}" name="788"/>
    <tableColumn id="802" xr3:uid="{54A1374D-32EC-41AD-8A2A-611F0F4E2B9E}" name="789"/>
    <tableColumn id="803" xr3:uid="{076E9AF1-8DDD-4341-AB8B-2F04E1DA68FC}" name="790"/>
    <tableColumn id="804" xr3:uid="{0465A8A7-6385-4D03-B94C-242DBC6CEA90}" name="791"/>
    <tableColumn id="805" xr3:uid="{F407673B-1433-4F0E-B836-D2D8E3886AFC}" name="792"/>
    <tableColumn id="806" xr3:uid="{686AE669-FF71-4356-A6E3-8162669C5AEC}" name="793"/>
    <tableColumn id="807" xr3:uid="{94E4C89F-9BFA-44DF-AAE1-B14803F0F2BB}" name="794"/>
    <tableColumn id="808" xr3:uid="{4D8A38A6-775D-4989-9832-4F14BD791204}" name="795"/>
    <tableColumn id="809" xr3:uid="{C2E21DB5-DEF6-404B-B907-FFB6104007E1}" name="796"/>
    <tableColumn id="810" xr3:uid="{87B10547-36AD-4374-9EE7-100AE0B5CF5B}" name="797"/>
    <tableColumn id="811" xr3:uid="{B6D2CFC4-D73E-48E2-80CB-D16618601AEA}" name="798"/>
    <tableColumn id="812" xr3:uid="{1687E802-F58A-4D09-9495-DD33647F3531}" name="799"/>
    <tableColumn id="813" xr3:uid="{FE8D699B-401D-4EC8-BFE2-5185E4C97D8F}" name="800"/>
    <tableColumn id="814" xr3:uid="{7A3A2BD6-53E1-4D3E-B78F-634E45DA7427}" name="801"/>
    <tableColumn id="815" xr3:uid="{745722DA-C749-4BED-A188-34225AD8568B}" name="802"/>
    <tableColumn id="816" xr3:uid="{BB308089-C391-492C-8C78-8DEB3C20D473}" name="803"/>
    <tableColumn id="817" xr3:uid="{9FA0DF63-0341-4EDC-BC97-0F5CEEC69D67}" name="804"/>
    <tableColumn id="818" xr3:uid="{ECD21932-226E-4A8B-ADA6-D07831CE4B62}" name="805"/>
    <tableColumn id="819" xr3:uid="{0403CCF5-90A7-4C15-8DAD-00513DC2F262}" name="806"/>
    <tableColumn id="820" xr3:uid="{4D850A81-725A-46EF-91BD-474168380AD7}" name="807"/>
    <tableColumn id="821" xr3:uid="{436A77EE-93BC-4DBC-BA30-A793795204BA}" name="808"/>
    <tableColumn id="822" xr3:uid="{23065FC8-72BD-4DED-9092-9A53CB25CBAF}" name="809"/>
    <tableColumn id="823" xr3:uid="{C7540387-80B4-4722-8686-323C059D122F}" name="810"/>
    <tableColumn id="824" xr3:uid="{0A8B1393-30F3-4011-933F-60AF3C740C16}" name="811"/>
    <tableColumn id="825" xr3:uid="{D092E8DF-F6DC-4E3D-BB1B-55B4E32BA839}" name="812"/>
    <tableColumn id="826" xr3:uid="{7DB2C329-CA28-49FB-B450-941FE2E8C907}" name="813"/>
    <tableColumn id="827" xr3:uid="{E51E053F-F199-494C-B5FC-BE9CEAB3EF35}" name="814"/>
    <tableColumn id="828" xr3:uid="{A5325FB6-8A4F-427E-A610-E01C65F2253D}" name="815"/>
    <tableColumn id="829" xr3:uid="{A2E5C6B1-617F-4C86-B653-16DD04F8B129}" name="816"/>
    <tableColumn id="830" xr3:uid="{18F35EDD-DFBF-48A5-B3CA-E39E1D9A63B6}" name="817"/>
    <tableColumn id="831" xr3:uid="{EBDEFF4B-5DE7-4403-A6E2-F2D13BA3C276}" name="818"/>
    <tableColumn id="832" xr3:uid="{0FF5222C-B5BD-44B9-A82A-F8D7423D8B61}" name="819"/>
    <tableColumn id="833" xr3:uid="{9BD43DD3-830D-4654-80E7-D164777901B9}" name="820"/>
    <tableColumn id="834" xr3:uid="{BFEED551-4733-4F07-9CC6-AD1AACF26B63}" name="821"/>
    <tableColumn id="835" xr3:uid="{EC826678-1690-4A09-8748-740B63A00B6F}" name="822"/>
    <tableColumn id="836" xr3:uid="{F8EF3962-3280-4B2D-B27A-3CCA59EBB9DB}" name="823"/>
    <tableColumn id="837" xr3:uid="{6EC59F01-72A2-4004-A46F-875431E53DB4}" name="824"/>
    <tableColumn id="838" xr3:uid="{546EFA80-7D31-4C16-9A21-9AE7C5DA143F}" name="825"/>
    <tableColumn id="839" xr3:uid="{C659BE85-71F5-4854-90DA-BC005A19C02E}" name="826"/>
    <tableColumn id="840" xr3:uid="{A0F664E2-56EB-4DB2-8C3E-50653EDD030F}" name="827"/>
    <tableColumn id="841" xr3:uid="{6F07F732-2DBE-4B96-A8E8-7D067FB5EE05}" name="828"/>
    <tableColumn id="842" xr3:uid="{06D32D01-146A-44CB-86FB-66C613423DBF}" name="829"/>
    <tableColumn id="843" xr3:uid="{36BD50DB-CD64-493B-BD7A-645E82712BBB}" name="830"/>
    <tableColumn id="844" xr3:uid="{B0C3C676-C49B-482B-9CDB-D8C771CEAF2F}" name="831"/>
    <tableColumn id="845" xr3:uid="{AED87130-C239-4555-9C9D-85DA6499A2E8}" name="832"/>
    <tableColumn id="846" xr3:uid="{25CA4306-6087-47E8-A5AF-8E8D02CEE5FF}" name="833"/>
    <tableColumn id="847" xr3:uid="{EB703F71-3427-41E7-89D5-85452164ABC1}" name="834"/>
    <tableColumn id="848" xr3:uid="{3DA03F96-D6B5-4A59-A1B8-F2A08CCCDB3B}" name="835"/>
    <tableColumn id="849" xr3:uid="{7B26BBE9-B5E3-4BDB-ACD3-2E8D77A24F0D}" name="836"/>
    <tableColumn id="850" xr3:uid="{3908B855-986D-4067-87EA-B1EA518CC133}" name="837"/>
    <tableColumn id="851" xr3:uid="{0E1A519C-530C-4329-87AA-AF8C04B9F00C}" name="838"/>
    <tableColumn id="852" xr3:uid="{5EB67E06-287A-4154-AC27-5039A1485E3F}" name="839"/>
    <tableColumn id="853" xr3:uid="{EB086F3F-11E2-4AB0-A98D-F0312A94B104}" name="840"/>
    <tableColumn id="854" xr3:uid="{770E7B66-1316-485C-90FC-8BE8BBABDF6D}" name="841"/>
    <tableColumn id="855" xr3:uid="{31D2BD24-BDBB-4C8D-8F0C-C428E21363D9}" name="842"/>
    <tableColumn id="856" xr3:uid="{898E50B7-ACF8-4724-812D-1F6DDA877E1B}" name="843"/>
    <tableColumn id="857" xr3:uid="{1A04A39F-5B6E-4DB2-A91B-F05F89251723}" name="844"/>
    <tableColumn id="858" xr3:uid="{D7F92BB6-8F41-4C20-B893-AE89905452AE}" name="845"/>
    <tableColumn id="859" xr3:uid="{EB83F471-4125-4317-84BC-E213F1FBD9E2}" name="846"/>
    <tableColumn id="860" xr3:uid="{5587F9FF-60AF-4C0D-8E47-672C6C7884F6}" name="847"/>
    <tableColumn id="861" xr3:uid="{69596A0C-1234-4C9D-A7A4-32541554013E}" name="848"/>
    <tableColumn id="862" xr3:uid="{A8B0A61E-2B7D-4279-945E-89A8D68C0485}" name="849"/>
    <tableColumn id="863" xr3:uid="{42F13889-890F-4797-A0E0-3E4D3A4325DB}" name="850"/>
    <tableColumn id="864" xr3:uid="{571B0A30-F1B4-4E7B-BC15-56CC200F4CA3}" name="851"/>
    <tableColumn id="865" xr3:uid="{8ECA33B5-C87E-4D3E-8966-15DE01256432}" name="852"/>
    <tableColumn id="866" xr3:uid="{A3A66C01-6A38-4A68-8EAD-42003E0F9642}" name="853"/>
    <tableColumn id="867" xr3:uid="{E97A632D-76E7-4D5E-9415-5B286A183950}" name="854"/>
    <tableColumn id="868" xr3:uid="{6CB00FAF-E4AE-4DC0-9C15-90DF81603435}" name="855"/>
    <tableColumn id="869" xr3:uid="{B97BE5E2-F4AF-45EA-AAF6-8E0ED36AF274}" name="856"/>
    <tableColumn id="870" xr3:uid="{749BC760-9E7F-43D0-B4EC-AC647BFEC484}" name="857"/>
    <tableColumn id="871" xr3:uid="{AE17352D-E334-4222-98F8-CA2F13290865}" name="858"/>
    <tableColumn id="872" xr3:uid="{0581AB32-6F0F-445E-888D-643F60D75F28}" name="859"/>
    <tableColumn id="873" xr3:uid="{1F17EFD6-1EBF-48EC-B7DD-E55A14DE0461}" name="860"/>
    <tableColumn id="874" xr3:uid="{EB2372FC-35D8-448F-96AA-9C67FBAD65D9}" name="861"/>
    <tableColumn id="875" xr3:uid="{BFA7C552-A6A8-41C6-8248-2CF95AAF651C}" name="862"/>
    <tableColumn id="876" xr3:uid="{9CD126CC-B132-49DA-B08B-D9DBB9A9B261}" name="863"/>
    <tableColumn id="877" xr3:uid="{92CF3D4B-17AB-4690-8F70-45969D1283AC}" name="864"/>
    <tableColumn id="878" xr3:uid="{04A17F2F-8230-4F65-A6A5-BA5C651174BE}" name="865"/>
    <tableColumn id="879" xr3:uid="{2693685E-3E0A-46DA-A408-86DBEB01EDDC}" name="866"/>
    <tableColumn id="880" xr3:uid="{2FB88DA0-980F-4D90-A7A2-3F05300500E4}" name="867"/>
    <tableColumn id="881" xr3:uid="{59417516-7A98-4ADC-A9EF-8CF90880A795}" name="868"/>
    <tableColumn id="882" xr3:uid="{7A97FCA4-AC39-40AB-BBB7-39D930073549}" name="869"/>
    <tableColumn id="883" xr3:uid="{3F0C0FF5-3FB7-41D6-919C-6C00AB48D6DF}" name="870"/>
    <tableColumn id="884" xr3:uid="{813F837B-FC9D-4B6B-80E9-F4B773BCFD28}" name="871"/>
    <tableColumn id="885" xr3:uid="{5DB4D13A-1BE4-4A8F-B4E3-C8C93CC0BB9D}" name="872"/>
    <tableColumn id="886" xr3:uid="{F4724BA2-CE99-4D4E-9AF8-CF23B133C534}" name="873"/>
    <tableColumn id="887" xr3:uid="{10110FC0-40A2-45A0-BDD7-5EE81E3C9A30}" name="874"/>
    <tableColumn id="888" xr3:uid="{7FD8118A-28E3-4C3D-B119-34AC6321BF7A}" name="875"/>
    <tableColumn id="889" xr3:uid="{8E0EBCD4-9B78-434C-8349-41BF66942517}" name="876"/>
    <tableColumn id="890" xr3:uid="{B59CFF47-73C2-439E-973E-223FF75A8E83}" name="877"/>
    <tableColumn id="891" xr3:uid="{4A53C373-D8D0-4822-99A1-758CE6460C83}" name="878"/>
    <tableColumn id="892" xr3:uid="{6EFFF3D1-299A-4CC1-9CE0-A9C47EC5875A}" name="879"/>
    <tableColumn id="893" xr3:uid="{1423FA4D-4C61-4242-AEBF-27C7DCEECD19}" name="880"/>
    <tableColumn id="894" xr3:uid="{595290D1-FB68-4682-89E5-4B8A473937FA}" name="881"/>
    <tableColumn id="895" xr3:uid="{0AC03E25-CCE2-4F6A-A12B-C82C7903728E}" name="882"/>
    <tableColumn id="896" xr3:uid="{B4F33384-1664-47DA-B110-5963CC6CF3E6}" name="883"/>
    <tableColumn id="897" xr3:uid="{B8365BBF-556B-469C-B8CF-9F785BDC4542}" name="884"/>
    <tableColumn id="898" xr3:uid="{4A641352-4DD6-4C25-ADFD-7B550AB4B973}" name="885"/>
    <tableColumn id="899" xr3:uid="{3876E2D3-E5B9-4F37-84EC-BD02551B780D}" name="886"/>
    <tableColumn id="900" xr3:uid="{2465F989-0E54-4AD5-9914-58EAF874CAC7}" name="887"/>
    <tableColumn id="901" xr3:uid="{71CE574B-4F48-46D7-9C02-235BBCF745A3}" name="888"/>
    <tableColumn id="902" xr3:uid="{DC1E1842-5A64-4314-800B-526EFB4C6734}" name="889"/>
    <tableColumn id="903" xr3:uid="{84772A1A-C416-4004-BD74-63E13413C4AD}" name="890"/>
    <tableColumn id="904" xr3:uid="{48B73AFB-E5F1-4690-BB14-0CD442F44D71}" name="891"/>
    <tableColumn id="905" xr3:uid="{83CD1D4D-8EBC-4FE2-A552-3B2AE5676B2F}" name="892"/>
    <tableColumn id="906" xr3:uid="{648E1983-6867-4B2B-BF69-AFC3F20A8E6E}" name="893"/>
    <tableColumn id="907" xr3:uid="{B3049672-C181-4C41-B153-83C6F86FBDE1}" name="894"/>
    <tableColumn id="908" xr3:uid="{C4495FCE-A6B9-4F08-95BB-F5054131B913}" name="895"/>
    <tableColumn id="909" xr3:uid="{E3919F0E-523D-4615-9C38-2A93C7699C37}" name="896"/>
    <tableColumn id="910" xr3:uid="{5CAE5219-2249-4164-ADFD-76BFDF0F71F3}" name="897"/>
    <tableColumn id="911" xr3:uid="{7322E526-6A3F-4791-8DBD-855DC8144BD7}" name="898"/>
    <tableColumn id="912" xr3:uid="{C652657A-8155-49F3-B91B-51710BB2DC77}" name="899"/>
    <tableColumn id="913" xr3:uid="{10C2E0A8-6107-4EBB-9783-3F60588592E0}" name="900"/>
    <tableColumn id="914" xr3:uid="{9FBA27B2-45B4-4360-A7B7-163BF93C5EAF}" name="901"/>
    <tableColumn id="915" xr3:uid="{19912C4E-2585-42F0-995A-32C5E276B967}" name="902"/>
    <tableColumn id="916" xr3:uid="{AA48DC80-BCF9-413F-A2F3-CFCE9A980AE5}" name="903"/>
    <tableColumn id="917" xr3:uid="{0E7191F2-DB58-409B-91C4-10E6FE1B0514}" name="904"/>
    <tableColumn id="918" xr3:uid="{35CC58CA-2348-4ED0-9D9A-AC888E8C0C8F}" name="905"/>
    <tableColumn id="919" xr3:uid="{EF479F3C-1F41-447B-B0BA-4E1C00D2C968}" name="906"/>
    <tableColumn id="920" xr3:uid="{177CD720-C68E-4798-AB3E-C6C2FD902BFD}" name="907"/>
    <tableColumn id="921" xr3:uid="{A33A46DF-8007-4296-95C8-166107DE209D}" name="908"/>
    <tableColumn id="922" xr3:uid="{FA9850E6-506A-4946-9A9F-5F65BFA662F4}" name="909"/>
    <tableColumn id="923" xr3:uid="{3520A2EE-6737-4286-BD7C-13C8B7127640}" name="910"/>
    <tableColumn id="924" xr3:uid="{7A78C4CA-ADD4-44D4-8E4D-800F8CBDF76F}" name="911"/>
    <tableColumn id="925" xr3:uid="{237E30DD-56FB-4C26-81E7-749849742BDC}" name="912"/>
    <tableColumn id="926" xr3:uid="{03FFEB50-B707-4B05-B622-0ADA4E905968}" name="913"/>
    <tableColumn id="927" xr3:uid="{A8AD0A45-E645-4BC1-9168-C26EA4F86BB5}" name="914"/>
    <tableColumn id="928" xr3:uid="{CAE22DC2-7F6E-4DD4-A922-5974FA8D984D}" name="915"/>
    <tableColumn id="929" xr3:uid="{FCD367A0-0F8B-4169-82B2-8159A0763A47}" name="916"/>
    <tableColumn id="930" xr3:uid="{237FA14D-3513-45C6-BCA8-DA23CF794295}" name="917"/>
    <tableColumn id="931" xr3:uid="{DF5955AA-BF8C-46BA-9DCB-672B1DE2044E}" name="918"/>
    <tableColumn id="932" xr3:uid="{E7F3BF91-1261-49BB-9B39-41AE3FC763CE}" name="919"/>
    <tableColumn id="933" xr3:uid="{D056096E-7823-46F5-ABD7-486B4C072F54}" name="920"/>
    <tableColumn id="934" xr3:uid="{3F307E35-2465-45ED-BA04-FAAFD93F4396}" name="921"/>
    <tableColumn id="935" xr3:uid="{DD2BD2E4-7102-4A14-85AF-F7044676B335}" name="922"/>
    <tableColumn id="936" xr3:uid="{31982557-B789-493C-9A01-F9420F8F8C69}" name="923"/>
    <tableColumn id="937" xr3:uid="{CF2FEBA4-9406-420E-A7EA-C4274638268C}" name="924"/>
    <tableColumn id="938" xr3:uid="{471131E7-6EBD-4ADE-9AD6-A15EB2267E8E}" name="925"/>
    <tableColumn id="939" xr3:uid="{9C2ED52C-59C3-4CC3-ABD4-DAFC8AE306DF}" name="926"/>
    <tableColumn id="940" xr3:uid="{CDF836DD-6FDB-48BE-B9E9-3579E9F3EE03}" name="927"/>
    <tableColumn id="941" xr3:uid="{E7E676E7-00A2-423F-B5EE-DA003883583F}" name="928"/>
    <tableColumn id="942" xr3:uid="{12473D11-FA32-4EE3-8C0E-75FEE8E5323F}" name="929"/>
    <tableColumn id="943" xr3:uid="{F2088571-B3BA-414D-9CA8-017B0FD7C7F7}" name="930"/>
    <tableColumn id="944" xr3:uid="{F9C321E8-210C-4C9E-938B-AF507594A7D4}" name="931"/>
    <tableColumn id="945" xr3:uid="{D1A7AC06-BD63-4C4F-B6BF-6C0B717EA6CD}" name="932"/>
    <tableColumn id="946" xr3:uid="{79471B82-6EAD-44F0-8D3C-1DF3DAB58C0E}" name="933"/>
    <tableColumn id="947" xr3:uid="{72D6CEF3-184B-410F-ADF4-B54578DF4BA4}" name="934"/>
    <tableColumn id="948" xr3:uid="{3254F6A3-4274-4FFC-9E32-246E24BB28E2}" name="935"/>
    <tableColumn id="949" xr3:uid="{6229722B-D00A-46AF-9AAE-259BB93021D4}" name="936"/>
    <tableColumn id="950" xr3:uid="{5BE41345-39C2-4466-B9C2-827E970D5C19}" name="937"/>
    <tableColumn id="951" xr3:uid="{21586B29-E33E-47C2-A715-DB4FEE232892}" name="938"/>
    <tableColumn id="952" xr3:uid="{84A2DD60-B324-4A08-A1DF-7EC9B91290A7}" name="939"/>
    <tableColumn id="953" xr3:uid="{3D548234-19FF-41D1-9E02-413DD70E00BA}" name="940"/>
    <tableColumn id="954" xr3:uid="{8134C998-BED1-4BF3-AA48-EDA66750F4EF}" name="941"/>
    <tableColumn id="955" xr3:uid="{08DD2996-76DD-4F04-8CEB-EB130D0FB175}" name="942"/>
    <tableColumn id="956" xr3:uid="{E372CD7C-878C-47E5-8BC7-B01A5ACCE0F4}" name="943"/>
    <tableColumn id="957" xr3:uid="{985B3294-F1AF-4196-8104-E8EF91D59A9C}" name="944"/>
    <tableColumn id="958" xr3:uid="{BFC6E0DE-3681-4A91-9648-A03B8EB9E3F9}" name="945"/>
    <tableColumn id="959" xr3:uid="{E3D63DD5-D993-4C6E-B302-D11C60173004}" name="946"/>
    <tableColumn id="960" xr3:uid="{386CF0CB-ADF7-48BA-B2AF-09644D0389DD}" name="947"/>
    <tableColumn id="961" xr3:uid="{03952EA8-1265-4593-A590-ED31EC5F6E15}" name="948"/>
    <tableColumn id="962" xr3:uid="{EA453583-C3D5-42D4-82F9-F3763CDA2F7F}" name="949"/>
    <tableColumn id="963" xr3:uid="{612D2B0A-A129-4255-A3A5-32258054DCF4}" name="950"/>
    <tableColumn id="964" xr3:uid="{0607E958-D133-42B1-AF07-6CA1D9CD6AF5}" name="951"/>
    <tableColumn id="965" xr3:uid="{0331A36E-1ADF-4802-8F50-0760BF63701C}" name="952"/>
    <tableColumn id="966" xr3:uid="{108221B2-DE58-44F2-A07C-C414BCF502DB}" name="953"/>
    <tableColumn id="967" xr3:uid="{6A83EE28-330C-4AC2-9BEA-1F1658893FE1}" name="954"/>
    <tableColumn id="968" xr3:uid="{84288EA5-99E3-4838-8882-FFEC20B2FBDE}" name="955"/>
    <tableColumn id="969" xr3:uid="{30974196-5BED-4613-8D84-5290C02E5512}" name="956"/>
    <tableColumn id="970" xr3:uid="{9CF683E8-CDBD-447F-94CC-1B0174EEAD2F}" name="957"/>
    <tableColumn id="971" xr3:uid="{2FB9BCAB-23DA-4978-8245-AFB622B901C5}" name="958"/>
    <tableColumn id="972" xr3:uid="{964298D5-4474-4693-97AA-6C62F7B25CB4}" name="959"/>
    <tableColumn id="973" xr3:uid="{4ECC75F1-5361-4F18-BB46-02E1F68F5CFA}" name="960"/>
    <tableColumn id="974" xr3:uid="{58B63D9C-8A52-4BDA-9C54-86B630194DFD}" name="961"/>
    <tableColumn id="975" xr3:uid="{AA4477E4-F40D-48B4-A767-99AEF24EDC32}" name="962"/>
    <tableColumn id="976" xr3:uid="{7D1FC463-C105-4C6B-9CE6-F70BE63B1C1A}" name="963"/>
    <tableColumn id="977" xr3:uid="{EE0DBB1E-7073-479D-9C88-4B3A1C6CCCD4}" name="964"/>
    <tableColumn id="978" xr3:uid="{DE5A6CD8-D902-4EFA-A634-45CC66BDCB13}" name="965"/>
    <tableColumn id="979" xr3:uid="{ECD9873C-E9D6-49C1-BC12-15381F5C8974}" name="966"/>
    <tableColumn id="980" xr3:uid="{B4734749-AFC8-419A-89E1-8FBEED4D0C73}" name="967"/>
    <tableColumn id="981" xr3:uid="{88F24544-63B7-4B16-9445-9FC5D51D56F5}" name="968"/>
    <tableColumn id="982" xr3:uid="{FD720AF9-D55B-4BC1-83B3-54875AC5197C}" name="969"/>
    <tableColumn id="983" xr3:uid="{6FA6680F-45A4-476E-9388-6FB08F58F37F}" name="970"/>
    <tableColumn id="984" xr3:uid="{2C44D88C-C8FA-4C1F-BBE6-9B6D86AC8246}" name="971"/>
    <tableColumn id="985" xr3:uid="{9B0B43F2-8EC6-499B-9E2C-72FDA11E3C4F}" name="972"/>
    <tableColumn id="986" xr3:uid="{25B52E4E-24A8-4F57-86F6-D6593DCA3707}" name="973"/>
    <tableColumn id="987" xr3:uid="{A3CBA202-1480-4AD5-8429-F49B053DA3F2}" name="974"/>
    <tableColumn id="988" xr3:uid="{6D166431-6F1A-44B9-B2FF-22BDAE5524DD}" name="975"/>
    <tableColumn id="989" xr3:uid="{8550B5D7-E81E-4801-8D34-2F2371B306D0}" name="976"/>
    <tableColumn id="990" xr3:uid="{D681F797-F07C-42E1-80E1-CF63B86B934C}" name="977"/>
    <tableColumn id="991" xr3:uid="{32432D7E-3C3C-46BF-8B5A-F79C40AF645E}" name="978"/>
    <tableColumn id="992" xr3:uid="{6C012EB5-D1FD-490F-B3A6-59DE5886F478}" name="979"/>
    <tableColumn id="993" xr3:uid="{F52380C2-6E08-4770-AF70-DF4D10AD0234}" name="980"/>
    <tableColumn id="994" xr3:uid="{77A4899C-CCAC-4BA4-B57D-6378FDB25168}" name="981"/>
    <tableColumn id="995" xr3:uid="{84C834CA-687A-48C9-AC50-6A34EF88A149}" name="982"/>
    <tableColumn id="996" xr3:uid="{DFADB581-68EC-4B2B-8116-F13C2353332C}" name="983"/>
    <tableColumn id="997" xr3:uid="{89046553-BE92-4273-A1E2-9EEFFB5466EB}" name="984"/>
    <tableColumn id="998" xr3:uid="{12AD702A-B864-474E-933A-CCA823EDAC80}" name="985"/>
    <tableColumn id="999" xr3:uid="{B1240C51-A74F-4AC8-8A41-7467559D9AB4}" name="986"/>
    <tableColumn id="1000" xr3:uid="{EBCE8E83-05A7-4752-B4EF-9316BED4EBDE}" name="987"/>
    <tableColumn id="1001" xr3:uid="{5FD60815-16E7-43C1-B048-D8B675537017}" name="988"/>
    <tableColumn id="1002" xr3:uid="{F97957BC-B4D6-4A9F-8C81-852D166A3AA7}" name="989"/>
    <tableColumn id="1003" xr3:uid="{1FF7375F-8D82-4548-B738-15235D2A51F9}" name="990"/>
    <tableColumn id="1004" xr3:uid="{1346D265-EC79-4353-BDA4-4E045FA821BA}" name="991"/>
    <tableColumn id="1005" xr3:uid="{CD2ACA85-48B5-4F4C-9903-B385FD6A4A2B}" name="992"/>
    <tableColumn id="1006" xr3:uid="{2A69F2B1-4A0D-49D1-B284-781047CDF4CC}" name="993"/>
    <tableColumn id="1007" xr3:uid="{9CB07992-352D-4C44-8E7D-0D72EB85BD8D}" name="994"/>
    <tableColumn id="1008" xr3:uid="{D6CC4E3A-75FD-4E94-9BF1-B36A68E8C769}" name="995"/>
    <tableColumn id="1009" xr3:uid="{CA6248E0-D1E1-41F0-8BE2-23C0035C2624}" name="996"/>
    <tableColumn id="1010" xr3:uid="{642C575D-FEFF-42BF-AF69-84944E216D51}" name="997"/>
    <tableColumn id="1011" xr3:uid="{2CC5E08E-6837-4712-BDED-F9FC16BBD516}" name="998"/>
    <tableColumn id="1012" xr3:uid="{16D71222-0342-449C-8CBE-9301AD752D98}" name="999"/>
    <tableColumn id="1013" xr3:uid="{DEAE35F3-1C13-498D-BE27-2E00813C19F9}" name="1000"/>
    <tableColumn id="1014" xr3:uid="{46DE4C31-A6FB-4080-8730-26FC1E0BBF70}" name="1001"/>
    <tableColumn id="1015" xr3:uid="{1BCA387D-639B-4A1B-A222-B900F93D2DA0}" name="1002"/>
    <tableColumn id="1016" xr3:uid="{96E2BA62-9A8F-47BC-BF02-B6BDE9ECC10A}" name="1003"/>
    <tableColumn id="1017" xr3:uid="{3C9070F8-C59C-412B-A92F-C7859EE91623}" name="1004"/>
    <tableColumn id="1018" xr3:uid="{33C24816-85A6-4C29-99DE-3B93ACC8BFF3}" name="1005"/>
    <tableColumn id="1019" xr3:uid="{E9D1DBFD-95BD-43AB-A891-E18D4843E015}" name="1006"/>
    <tableColumn id="1020" xr3:uid="{56C44EB4-84B3-4C1C-9240-F742773F7170}" name="1007"/>
    <tableColumn id="1021" xr3:uid="{58BA3977-28AA-46D3-8A67-17536C1683C5}" name="1008"/>
    <tableColumn id="1022" xr3:uid="{EB5C724E-FD44-43C3-AA59-FABEBC082D39}" name="1009"/>
    <tableColumn id="1023" xr3:uid="{8F004D0D-A1DD-4E74-A302-886D496CC182}" name="1010"/>
    <tableColumn id="1024" xr3:uid="{0495BFD7-2368-4436-A3C5-C8E47E981352}" name="1011"/>
    <tableColumn id="1025" xr3:uid="{2940BDF5-01ED-4A07-84C9-3FDDF727CC61}" name="1012"/>
    <tableColumn id="1026" xr3:uid="{B17EA1F3-117A-4450-BF75-044A1841B833}" name="1013"/>
    <tableColumn id="1027" xr3:uid="{CCAE5D4A-197C-48B3-A635-C5DD583A4420}" name="1014"/>
    <tableColumn id="1028" xr3:uid="{7C09C24C-1577-413E-851B-590BD84C457F}" name="1015"/>
    <tableColumn id="1029" xr3:uid="{80EE5E44-D541-47DE-BAD2-D4E723A03D4F}" name="1016"/>
    <tableColumn id="1030" xr3:uid="{93548528-9125-4274-85FE-581750996DB2}" name="1017"/>
    <tableColumn id="1031" xr3:uid="{25BBFCA1-88AB-4403-A326-7EB77C49A960}" name="1018"/>
    <tableColumn id="1032" xr3:uid="{77B21835-C1FE-45B8-8A27-A0A9750BF846}" name="1019"/>
    <tableColumn id="1033" xr3:uid="{7DB46EEE-9748-4ECD-BC95-045FC7092C0A}" name="1020"/>
    <tableColumn id="1034" xr3:uid="{BBB36C1D-D40E-4194-96E0-F28D81AEB4A5}" name="1021"/>
    <tableColumn id="1035" xr3:uid="{252DFD8B-8DD6-41F2-AE13-C36A37832294}" name="1022"/>
    <tableColumn id="1036" xr3:uid="{7D0E308A-DACA-40D4-8B47-7D4F0652F941}" name="1023"/>
    <tableColumn id="1037" xr3:uid="{0CC235C9-E7F5-4D6F-9687-79CF0958DAC2}" name="1024"/>
    <tableColumn id="1038" xr3:uid="{61862505-44DB-4E1E-AF21-06C5E0D79A1D}" name="1025"/>
    <tableColumn id="1039" xr3:uid="{9218E4CE-8013-475B-BBA2-90FD061A1F4D}" name="1026"/>
    <tableColumn id="1040" xr3:uid="{E92867F0-02A4-457E-BECF-DB7BE9E49836}" name="1027"/>
    <tableColumn id="1041" xr3:uid="{CECDB63E-609F-49BA-8530-1BEB68870DBA}" name="1028"/>
    <tableColumn id="1042" xr3:uid="{424FF410-0ABE-48A2-AEF0-5824260207AD}" name="1029"/>
    <tableColumn id="1043" xr3:uid="{FA54C2DE-633C-423F-9908-E03E29F3DE34}" name="1030"/>
    <tableColumn id="1044" xr3:uid="{96F64B33-D663-4258-8F74-477B6F062372}" name="1031"/>
    <tableColumn id="1045" xr3:uid="{44DF6D2B-0491-49BC-AC8F-52CF59DC194B}" name="1032"/>
    <tableColumn id="1046" xr3:uid="{4466DF0C-EF95-42A0-AE89-2DC304EE7CEF}" name="1033"/>
    <tableColumn id="1047" xr3:uid="{D01D05CC-DC4D-4951-A461-B26F1986E583}" name="1034"/>
    <tableColumn id="1048" xr3:uid="{A3A8E6CE-D0EF-490D-8175-FFEB07B4124C}" name="1035"/>
    <tableColumn id="1049" xr3:uid="{FC6F140F-EB27-4B95-A7D9-61882745D500}" name="1036"/>
    <tableColumn id="1050" xr3:uid="{7569B6D6-AB86-4686-A980-F3217AB5E750}" name="1037"/>
    <tableColumn id="1051" xr3:uid="{AABEA146-D1A1-4A3B-950A-FFCD4FBAA956}" name="1038"/>
    <tableColumn id="1052" xr3:uid="{D4A73E88-7742-4318-A6B4-C446B056C1E5}" name="1039"/>
    <tableColumn id="1053" xr3:uid="{74E38D07-4057-4380-8FA2-75FC8D226CF9}" name="1040"/>
    <tableColumn id="1054" xr3:uid="{2175295A-88EF-4EE2-AD98-D341902A0B88}" name="1041"/>
    <tableColumn id="1055" xr3:uid="{BE199558-C8A7-4CAC-A6F0-424F0D676ADE}" name="1042"/>
    <tableColumn id="1056" xr3:uid="{BCBC984D-25E7-4B39-BF36-1430B6B69DAC}" name="1043"/>
    <tableColumn id="1057" xr3:uid="{46EE58FB-5A39-4C4F-B1A6-B20A2B61F99E}" name="1044"/>
    <tableColumn id="1058" xr3:uid="{11A093F2-DB95-4FC8-A5B3-9F9EECE77C2B}" name="1045"/>
    <tableColumn id="1059" xr3:uid="{24577755-7A40-446C-95B8-1192BC824462}" name="1046"/>
    <tableColumn id="1060" xr3:uid="{E8F4AE8F-82C2-4FEC-A3E7-06333BD89CD0}" name="1047"/>
    <tableColumn id="1061" xr3:uid="{63EC8CFA-8FA9-4D95-B21D-4DB909CDA04C}" name="1048"/>
    <tableColumn id="1062" xr3:uid="{3662106C-C71B-4E0B-BF62-1A4DE4F21F7B}" name="1049"/>
    <tableColumn id="1063" xr3:uid="{D8B581AE-184A-40E4-AA0C-1E2C6D5DACFB}" name="1050"/>
    <tableColumn id="1064" xr3:uid="{4A2AA8FB-F639-4CB8-8A89-4A92BFCCB952}" name="1051"/>
    <tableColumn id="1065" xr3:uid="{DFBDE5B0-E95E-46C8-84D6-A9F83CCEE968}" name="1052"/>
    <tableColumn id="1066" xr3:uid="{362B0A4A-66A5-4702-A6FA-D1637981391A}" name="1053"/>
    <tableColumn id="1067" xr3:uid="{14DB3E4E-CCA2-43C6-824B-86768A93EF39}" name="1054"/>
    <tableColumn id="1068" xr3:uid="{444D0D1D-19D0-4BD0-9C8A-D64EB20873E2}" name="1055"/>
    <tableColumn id="1069" xr3:uid="{3DA5374E-2D91-419D-A056-EBA224483578}" name="1056"/>
    <tableColumn id="1070" xr3:uid="{D68966AF-B19D-4AF7-AF33-C494DB42677F}" name="1057"/>
    <tableColumn id="1071" xr3:uid="{F417C95F-DABA-483D-8816-0A8C77F83F85}" name="1058"/>
    <tableColumn id="1072" xr3:uid="{2F6345B8-0C86-461A-89DA-C77E1CB5329B}" name="1059"/>
    <tableColumn id="1073" xr3:uid="{FA8DE770-703F-4A49-B20B-87FCD1049FA4}" name="1060"/>
    <tableColumn id="1074" xr3:uid="{1E287F7B-82C4-4E08-84A9-8206EA2023EF}" name="1061"/>
    <tableColumn id="1075" xr3:uid="{094DA719-9FC5-4021-8A7D-7C9C5F71EFF4}" name="1062"/>
    <tableColumn id="1076" xr3:uid="{CCF9B51E-FAAB-4EE1-9716-DC7749C4D036}" name="1063"/>
    <tableColumn id="1077" xr3:uid="{9ADADE78-F40D-41DA-BCF5-D99582D8F3F7}" name="1064"/>
    <tableColumn id="1078" xr3:uid="{8D72F97F-0CD1-4AD9-9F4D-FF2A258B009E}" name="1065"/>
    <tableColumn id="1079" xr3:uid="{6A805E0E-788D-45C9-A5D3-1D5B5D578497}" name="1066"/>
    <tableColumn id="1080" xr3:uid="{76AEFA41-795F-4A58-947B-7D5E693E7DBF}" name="1067"/>
    <tableColumn id="1081" xr3:uid="{1EC2DBFC-DBE2-45FD-8173-79E8D2CC2BB1}" name="1068"/>
    <tableColumn id="1082" xr3:uid="{BDFC9618-65EA-4BC9-ACA0-50AB087E637D}" name="1069"/>
    <tableColumn id="1083" xr3:uid="{09D852B2-50E3-48CA-B719-B99ED184ED4E}" name="1070"/>
    <tableColumn id="1084" xr3:uid="{EE4F0478-0869-41E1-A704-139989BF8FBC}" name="1071"/>
    <tableColumn id="1085" xr3:uid="{6AC13265-0228-458E-B16A-667F8EDEC856}" name="1072"/>
    <tableColumn id="1086" xr3:uid="{0885BEC4-F440-42B0-BE58-A2A99414CF0A}" name="1073"/>
    <tableColumn id="1087" xr3:uid="{FFF4BD11-8D1C-4155-9FA1-95FDD2AD663D}" name="1074"/>
    <tableColumn id="1088" xr3:uid="{FB3C1DD7-84A6-4E4A-BA2B-C1231D609D7F}" name="1075"/>
    <tableColumn id="1089" xr3:uid="{E79576CF-86D7-4EBE-9808-2B20C5C23F7D}" name="1076"/>
    <tableColumn id="1090" xr3:uid="{0963EDCF-2615-4303-BA48-6A21847D2D1D}" name="1077"/>
    <tableColumn id="1091" xr3:uid="{5A6F3ED2-9AA0-496D-8CA4-7A2BA1C8D2CC}" name="1078"/>
    <tableColumn id="1092" xr3:uid="{253EFCE5-0A70-4481-A9E9-EB7B7EB280C3}" name="1079"/>
    <tableColumn id="1093" xr3:uid="{2391E052-B304-4F80-B2EB-8E34CAF9AAA3}" name="1080"/>
    <tableColumn id="1094" xr3:uid="{1E5D76BC-B1F6-40BE-8C1B-39B0C7A3F83A}" name="1081"/>
    <tableColumn id="1095" xr3:uid="{E2DAA3BC-A6B1-46AF-BD44-BC4794BDAA95}" name="1082"/>
    <tableColumn id="1096" xr3:uid="{968ADF62-4094-49B6-A162-ACE0000F588D}" name="1083"/>
    <tableColumn id="1097" xr3:uid="{DD1FF28D-DB39-44AC-B870-66A13F8A937C}" name="1084"/>
    <tableColumn id="1098" xr3:uid="{205B2277-A29D-472E-A7C5-CDB5531B707B}" name="1085"/>
    <tableColumn id="1099" xr3:uid="{2EDB8174-A9C4-4210-A764-72182D1BBB6F}" name="1086"/>
    <tableColumn id="1100" xr3:uid="{EBBFE586-A341-466F-9C5C-1603E01D38F6}" name="1087"/>
    <tableColumn id="1101" xr3:uid="{062A6C5A-1968-40A7-8EF2-73461D75C1B2}" name="1088"/>
    <tableColumn id="1102" xr3:uid="{63A689B6-DA80-420A-990A-4440B77EECEB}" name="1089"/>
    <tableColumn id="1103" xr3:uid="{615FF346-4F30-4B76-A079-00AAC35B472A}" name="1090"/>
    <tableColumn id="1104" xr3:uid="{63E8EC66-DE9E-4AF5-AAF0-3ACA332EACF8}" name="1091"/>
    <tableColumn id="1105" xr3:uid="{8D08E700-23FF-4F6E-ADFC-ADEB6A6E6414}" name="1092"/>
    <tableColumn id="1106" xr3:uid="{EDB7E54A-7779-460D-9A23-C9A49EBA20A7}" name="1093"/>
    <tableColumn id="1107" xr3:uid="{DD6BE304-1A65-4A92-8C8A-0919B97F69D2}" name="1094"/>
    <tableColumn id="1108" xr3:uid="{CD1413B5-DB8D-4C42-B9B6-69F7C00DC147}" name="1095"/>
    <tableColumn id="1109" xr3:uid="{D1039A32-D9BA-417B-BDD1-0D7016EA5BB5}" name="1096"/>
    <tableColumn id="1110" xr3:uid="{7B0708A8-6D08-40A2-9348-B8FE9E54A8BD}" name="1097"/>
    <tableColumn id="1111" xr3:uid="{9A302BF4-FE6F-4547-9E17-CC504D37DB63}" name="1098"/>
    <tableColumn id="1112" xr3:uid="{5F3C884F-93A6-455E-B033-E4322216C345}" name="1099"/>
    <tableColumn id="1113" xr3:uid="{A56A1A6D-7FF5-4C93-9CAD-FC897DD0F7A1}" name="1100"/>
    <tableColumn id="1114" xr3:uid="{DB9C8245-4AED-4940-9E6A-5DE20846B5FC}" name="1101"/>
    <tableColumn id="1115" xr3:uid="{489DCF72-92B9-4435-8E36-39247F53DDC5}" name="1102"/>
    <tableColumn id="1116" xr3:uid="{650FF13E-21A6-41D9-951D-401A6DB4A53B}" name="1103"/>
    <tableColumn id="1117" xr3:uid="{AB464EA4-7FEB-497B-ABD0-6505FA8CE1E1}" name="1104"/>
    <tableColumn id="1118" xr3:uid="{C373896C-92E9-4482-BBB7-B6DB82B7EDF6}" name="1105"/>
    <tableColumn id="1119" xr3:uid="{12EB5999-5EE4-4188-89FF-DBA09795DD98}" name="1106"/>
    <tableColumn id="1120" xr3:uid="{F5F9A1D4-CE69-4DF4-8D27-830E2B849654}" name="1107"/>
    <tableColumn id="1121" xr3:uid="{EF376495-76ED-4B3B-A77B-133144A8CD8D}" name="1108"/>
    <tableColumn id="1122" xr3:uid="{ED9C4CB5-0BE7-4F9D-99EF-5EE6C0A0ECAA}" name="1109"/>
    <tableColumn id="1123" xr3:uid="{829375A5-F68F-49C8-B1B3-47EF3B5150EC}" name="1110"/>
    <tableColumn id="1124" xr3:uid="{8DA4A4DD-C79B-4A96-8759-9092EBEFADC1}" name="1111"/>
    <tableColumn id="1125" xr3:uid="{892950C9-113C-4ACB-8815-B4FE27FBA0A5}" name="1112"/>
    <tableColumn id="1126" xr3:uid="{1E3E4FB5-879E-4BFA-B684-E8EA5F0E23FB}" name="1113"/>
    <tableColumn id="1127" xr3:uid="{3882E480-3E47-4B1D-9E9A-6EB5CB0FC863}" name="1114"/>
    <tableColumn id="1128" xr3:uid="{B0A86CC0-6890-4E21-ADA8-3670F9A42C61}" name="1115"/>
    <tableColumn id="1129" xr3:uid="{44273FA8-C8A7-480C-ACBE-6C440357CD50}" name="1116"/>
    <tableColumn id="1130" xr3:uid="{B89ECE94-64F8-4D56-B607-43E920B48623}" name="1117"/>
    <tableColumn id="1131" xr3:uid="{AA97A9E8-EB8A-4602-855A-76C684E6961F}" name="1118"/>
    <tableColumn id="1132" xr3:uid="{3DBA08D4-7D6C-4F6A-91CC-A18BABBD858A}" name="1119"/>
    <tableColumn id="1133" xr3:uid="{7817EBBD-E082-40C7-B72F-6B3277DA15B3}" name="1120"/>
    <tableColumn id="1134" xr3:uid="{47DA178F-9E1B-462D-9031-8B0A4034457A}" name="1121"/>
    <tableColumn id="1135" xr3:uid="{EF778C48-B1C9-47A7-9D9F-7DA986FEE47F}" name="1122"/>
    <tableColumn id="1136" xr3:uid="{95311896-E752-4DD3-AF31-7EBA0AF1779C}" name="1123"/>
    <tableColumn id="1137" xr3:uid="{ED0F5690-D85C-4E35-BBC6-69D71392FCA7}" name="1124"/>
    <tableColumn id="1138" xr3:uid="{BE0BC65B-867A-436F-9815-182FDE8784D0}" name="1125"/>
    <tableColumn id="1139" xr3:uid="{0B2B09E1-C06D-455E-A7D7-CA83B52D85C8}" name="1126"/>
    <tableColumn id="1140" xr3:uid="{DA65D2EB-32C8-46FC-96B8-3C1D81FB536F}" name="1127"/>
    <tableColumn id="1141" xr3:uid="{7EFB8E7B-C72C-4501-B82C-3A5ED796427A}" name="1128"/>
    <tableColumn id="1142" xr3:uid="{46CEBBEE-28DD-4A37-AAFC-132148F8BCF2}" name="1129"/>
    <tableColumn id="1143" xr3:uid="{0E5D5C3B-80F4-4466-8975-A10F3B9296B0}" name="1130"/>
    <tableColumn id="1144" xr3:uid="{EF5AF562-44DD-434A-B682-42417FC9E039}" name="1131"/>
    <tableColumn id="1145" xr3:uid="{55957E6F-CD22-430B-A713-5EC2BDB966AC}" name="1132"/>
    <tableColumn id="1146" xr3:uid="{AA998C71-A542-4F4B-AE89-CE9A7BC211E8}" name="1133"/>
    <tableColumn id="1147" xr3:uid="{8A86946B-117F-4D57-B234-D7BE871CA161}" name="1134"/>
    <tableColumn id="1148" xr3:uid="{DD06BDB1-5970-4B0C-A095-D1B301D38827}" name="1135"/>
    <tableColumn id="1149" xr3:uid="{28CD4924-2041-4200-9B52-29C6C7FA9589}" name="1136"/>
    <tableColumn id="1150" xr3:uid="{742AB788-5973-45AD-8C86-CB316405991C}" name="1137"/>
    <tableColumn id="1151" xr3:uid="{0C22AB7F-0CB7-44AC-8DC7-D5F768F0FF5E}" name="1138"/>
    <tableColumn id="1152" xr3:uid="{61E72927-877C-458C-BAD3-5E1550852EA5}" name="1139"/>
    <tableColumn id="1153" xr3:uid="{6C2D44C7-B6FC-4162-B28E-81E14F2EE29A}" name="1140"/>
    <tableColumn id="1154" xr3:uid="{C7D075F1-8628-405E-9BD3-305F8B133CE8}" name="1141"/>
    <tableColumn id="1155" xr3:uid="{539AC877-9DFD-405D-B0DF-BB24C5A29D16}" name="1142"/>
    <tableColumn id="1156" xr3:uid="{1938BE4C-8781-44C5-8375-F9363EB5DE7B}" name="1143"/>
    <tableColumn id="1157" xr3:uid="{53C8532B-41CD-4453-AC23-F43CA5535F97}" name="1144"/>
    <tableColumn id="1158" xr3:uid="{E5C17221-FBB4-43FA-BBA0-5486F739177C}" name="1145"/>
    <tableColumn id="1159" xr3:uid="{D8B3AF8C-77F3-4475-8341-70BF381C0D67}" name="1146"/>
    <tableColumn id="1160" xr3:uid="{A553144C-7956-4425-9311-6B7E2B92C3C7}" name="1147"/>
    <tableColumn id="1161" xr3:uid="{083B1793-CE5A-4EB6-9AFB-F0D4F602F09C}" name="1148"/>
    <tableColumn id="1162" xr3:uid="{86967572-B92C-4827-B9F5-352FF802B848}" name="1149"/>
    <tableColumn id="1163" xr3:uid="{2F874C16-DBC3-4956-825A-B529358EEEDD}" name="1150"/>
    <tableColumn id="1164" xr3:uid="{8D73CDFB-617C-4222-B073-0B2136B09FC8}" name="1151"/>
    <tableColumn id="1165" xr3:uid="{493FAC88-017A-4837-A675-C2536213435B}" name="1152"/>
    <tableColumn id="1166" xr3:uid="{56E6F5CB-B39E-4E16-B70E-539C7E49C9C6}" name="1153"/>
    <tableColumn id="1167" xr3:uid="{83E3EC56-8DE3-4DE3-9637-6E3E4BBFDAC6}" name="1154"/>
    <tableColumn id="1168" xr3:uid="{8228E9CD-C991-43D2-8D3D-3983F642A856}" name="1155"/>
    <tableColumn id="1169" xr3:uid="{DED27AEF-C3C8-4BA8-99BA-3C8482BE4262}" name="1156"/>
    <tableColumn id="1170" xr3:uid="{9D5BD51D-4CDD-4C0E-9F53-939DB7E60C9D}" name="1157"/>
    <tableColumn id="1171" xr3:uid="{676E8C6E-4151-4A30-8348-4853449A618B}" name="1158"/>
    <tableColumn id="1172" xr3:uid="{9EBE15CF-5F13-492A-90B0-85435B5BF334}" name="1159"/>
    <tableColumn id="1173" xr3:uid="{5AC03EB2-54CD-4C15-BC92-DA64790B1A14}" name="1160"/>
    <tableColumn id="1174" xr3:uid="{C0D2E607-9FBB-4CC6-A9C6-112253E052D8}" name="1161"/>
    <tableColumn id="1175" xr3:uid="{31CF2423-3B48-4704-B5E5-9E87BB402F4A}" name="1162"/>
    <tableColumn id="1176" xr3:uid="{9FB76E1D-D26C-40E7-BEF3-AB4496971748}" name="1163"/>
    <tableColumn id="1177" xr3:uid="{6034EF2B-8C1A-4489-9A53-15E71E2479A1}" name="1164"/>
    <tableColumn id="1178" xr3:uid="{4CDFFED8-289D-47B7-B522-7D0E4D91290F}" name="1165"/>
    <tableColumn id="1179" xr3:uid="{0C1A796D-9A98-4A2B-B14D-E3435E359EEE}" name="1166"/>
    <tableColumn id="1180" xr3:uid="{C2A69FB5-5633-4682-BB33-D2FA7796A05B}" name="1167"/>
    <tableColumn id="1181" xr3:uid="{DD1EF903-D664-46C6-B254-1FA74D97F03F}" name="1168"/>
    <tableColumn id="1182" xr3:uid="{19486BF3-4EFC-4273-9DBF-C5BFAE55BCDF}" name="1169"/>
    <tableColumn id="1183" xr3:uid="{DE35AF2B-1FB9-46D3-BAD5-12BCA6ED63E0}" name="1170"/>
    <tableColumn id="1184" xr3:uid="{1CE9A218-0ABC-426C-8F94-BBE37E39D0E4}" name="1171"/>
    <tableColumn id="1185" xr3:uid="{696784D7-46F6-4A1C-BEE1-E4D50F270607}" name="1172"/>
    <tableColumn id="1186" xr3:uid="{497532D4-B03C-48E5-8947-5EE5EDCA37E6}" name="1173"/>
    <tableColumn id="1187" xr3:uid="{1F135C9E-F782-4C0D-8F2F-48D3982F07F9}" name="1174"/>
    <tableColumn id="1188" xr3:uid="{0171C584-15A1-4567-B154-D101EA89DFF1}" name="1175"/>
    <tableColumn id="1189" xr3:uid="{E2DA997A-3733-42B4-B206-AC821554E504}" name="1176"/>
    <tableColumn id="1190" xr3:uid="{767B75E8-8996-4BFC-A280-184110B8EBEF}" name="1177"/>
    <tableColumn id="1191" xr3:uid="{CF6FAD9B-09C5-439D-940B-057394468050}" name="1178"/>
    <tableColumn id="1192" xr3:uid="{62838B76-0BF7-4541-846E-74858343F409}" name="1179"/>
    <tableColumn id="1193" xr3:uid="{9A8723A2-BD42-4041-8405-F9F1956A5305}" name="1180"/>
    <tableColumn id="1194" xr3:uid="{0BF31ABE-F792-4B88-855F-69C78AB69AE6}" name="1181"/>
    <tableColumn id="1195" xr3:uid="{B32ABA52-B43C-4AC7-8798-D4B108E77C2A}" name="1182"/>
    <tableColumn id="1196" xr3:uid="{5050A640-ADDB-4827-B50F-6EEBE1DC7B2D}" name="1183"/>
    <tableColumn id="1197" xr3:uid="{52D48A81-87B8-42B8-996F-E8E22F06EBCE}" name="1184"/>
    <tableColumn id="1198" xr3:uid="{385121A5-C582-4140-9167-22EED92EC9E9}" name="1185"/>
    <tableColumn id="1199" xr3:uid="{1511ECDA-5BA5-4F71-8D3B-27751E13ACB3}" name="1186"/>
    <tableColumn id="1200" xr3:uid="{E6D4A6BB-910D-434B-AB73-82EA1EC8009C}" name="1187"/>
    <tableColumn id="1201" xr3:uid="{3E618642-AEDF-4B66-943B-E00269D28E00}" name="1188"/>
    <tableColumn id="1202" xr3:uid="{60D60F2B-616A-4A41-B7B6-0B9AC033FB41}" name="1189"/>
    <tableColumn id="1203" xr3:uid="{36237149-A142-4F46-AC16-C59E27F73E4D}" name="1190"/>
    <tableColumn id="1204" xr3:uid="{9A51F346-1DB5-4382-8239-C74A4E178FEB}" name="1191"/>
    <tableColumn id="1205" xr3:uid="{1FC46B83-0B68-4BDF-B363-167D828E98C7}" name="1192"/>
    <tableColumn id="1206" xr3:uid="{4D10E8F0-F06F-43E3-A62B-5BDE8E587E75}" name="1193"/>
    <tableColumn id="1207" xr3:uid="{C997029C-6675-483F-B794-F792B1DEA721}" name="1194"/>
    <tableColumn id="1208" xr3:uid="{7E5E154E-BA75-4FCD-805D-625A41A21946}" name="1195"/>
    <tableColumn id="1209" xr3:uid="{5186424B-D8D5-4745-B80F-A903A61897C1}" name="1196"/>
    <tableColumn id="1210" xr3:uid="{D47F8E09-FFF1-43CA-9618-D5E7569DC6C3}" name="1197"/>
    <tableColumn id="1211" xr3:uid="{C112D6DE-402A-4913-B10D-1824B138F3E9}" name="1198"/>
    <tableColumn id="1212" xr3:uid="{5596BE62-C830-4864-AEF2-52049CB71A98}" name="1199"/>
    <tableColumn id="1213" xr3:uid="{E0E371B8-83C4-4429-B453-4F935F982E51}" name="1200"/>
    <tableColumn id="1214" xr3:uid="{D6475F58-2A9B-49FD-AF34-DE4464B06082}" name="1201"/>
    <tableColumn id="1215" xr3:uid="{8DC4672A-2F6B-4E93-97DD-32B1B2860C25}" name="1202"/>
    <tableColumn id="1216" xr3:uid="{2BDC01D3-012B-4601-9800-31BE2ED6BE19}" name="1203"/>
    <tableColumn id="1217" xr3:uid="{CE2E5468-B3BB-4526-9C94-783FEF9A1B88}" name="1204"/>
    <tableColumn id="1218" xr3:uid="{C96F840F-A2CE-4267-95D2-C11EFAFE6A14}" name="1205"/>
    <tableColumn id="1219" xr3:uid="{10585934-526C-4377-A9D7-98A011D1A33E}" name="1206"/>
    <tableColumn id="1220" xr3:uid="{18DF69E0-04D6-45E1-A22F-18C88578FB23}" name="1207"/>
    <tableColumn id="1221" xr3:uid="{BA5B17AB-4851-432D-BBF6-BEB40A379EAB}" name="1208"/>
    <tableColumn id="1222" xr3:uid="{DC02AD88-724E-482F-B9A6-5E898152187A}" name="1209"/>
    <tableColumn id="1223" xr3:uid="{76A6FF3C-D1E6-414F-816B-7229C74C34F9}" name="1210"/>
    <tableColumn id="1224" xr3:uid="{B02E20BD-6384-497C-8545-78B6EEDAC7F9}" name="1211"/>
    <tableColumn id="1225" xr3:uid="{D5599745-6B30-49B1-9165-3BDD6DB72A4D}" name="1212"/>
    <tableColumn id="1226" xr3:uid="{8F675DE7-E954-4AB9-8259-ED3F789F5699}" name="1213"/>
    <tableColumn id="1227" xr3:uid="{ABDB33E7-D22F-4298-AC76-C0EEFE35C151}" name="1214"/>
    <tableColumn id="1228" xr3:uid="{EEB779DD-2249-42A8-8E84-B272504EDF5A}" name="1215"/>
    <tableColumn id="1229" xr3:uid="{CB0CFBA2-7429-4494-B477-3B5900054F86}" name="1216"/>
    <tableColumn id="1230" xr3:uid="{DEB3A2F3-0710-4872-9753-75FDE5C4BA46}" name="1217"/>
    <tableColumn id="1231" xr3:uid="{5FE12B18-68B2-4EB0-9719-5E576763965A}" name="1218"/>
    <tableColumn id="1232" xr3:uid="{A8F08010-290D-4896-83B9-44B3953914E5}" name="1219"/>
    <tableColumn id="1233" xr3:uid="{56C173D4-2793-4BF0-9CD7-BDB3EC101585}" name="1220"/>
    <tableColumn id="1234" xr3:uid="{F47452E8-5689-4EC4-86E6-AE631AD4508C}" name="1221"/>
    <tableColumn id="1235" xr3:uid="{5A53092D-6297-49BE-A653-A04F2C324C75}" name="1222"/>
    <tableColumn id="1236" xr3:uid="{FC8F5CE1-319D-46EB-BBA8-2CB6B2D90363}" name="1223"/>
    <tableColumn id="1237" xr3:uid="{F04F7064-741F-4385-B954-BA70AAEAB018}" name="1224"/>
    <tableColumn id="1238" xr3:uid="{314285FB-18A7-4658-8C1E-F9BF299B32F2}" name="1225"/>
    <tableColumn id="1239" xr3:uid="{7002E2EA-0C4F-4098-ADE8-F01C7AB47FEE}" name="1226"/>
    <tableColumn id="1240" xr3:uid="{B8B628F2-7192-4FA0-ABE5-62865991BD17}" name="1227"/>
    <tableColumn id="1241" xr3:uid="{1B083B90-6DA6-42A4-989D-25DA939DB9E8}" name="1228"/>
    <tableColumn id="1242" xr3:uid="{E7C36D84-8BF7-4FD4-96B4-A39F401F0A5E}" name="1229"/>
    <tableColumn id="1243" xr3:uid="{3379DA36-F893-489C-A2EE-3DB7F0A9CD8F}" name="1230"/>
    <tableColumn id="1244" xr3:uid="{546FDA92-ECC6-4163-9047-551330E1E3C2}" name="1231"/>
    <tableColumn id="1245" xr3:uid="{E5221F62-8684-4CFB-873B-32D3E58FCCED}" name="1232"/>
    <tableColumn id="1246" xr3:uid="{CFE15DBD-F0B0-4153-B11C-8E046F199882}" name="1233"/>
    <tableColumn id="1247" xr3:uid="{3691848A-183F-48DF-B9CC-4B82F083CEDD}" name="1234"/>
    <tableColumn id="1248" xr3:uid="{C4C82763-DD54-4932-930B-FB89CB2A3BBB}" name="1235"/>
    <tableColumn id="1249" xr3:uid="{478A020D-0ED7-47BE-ABF5-9829B47A6206}" name="1236"/>
    <tableColumn id="1250" xr3:uid="{D1DD73E2-83BE-4D26-B31C-EAAD0FE5C3A2}" name="1237"/>
    <tableColumn id="1251" xr3:uid="{2D51A387-9710-4980-BCAC-D9A31AE9732A}" name="1238"/>
    <tableColumn id="1252" xr3:uid="{82AB8CB4-A334-49F9-A19C-128665EA9ADD}" name="1239"/>
    <tableColumn id="1253" xr3:uid="{7F18CFCC-A60C-4495-86AD-FEB5647948AD}" name="1240"/>
    <tableColumn id="1254" xr3:uid="{BDC658A4-3DDB-41F1-A23F-9F004021407B}" name="1241"/>
    <tableColumn id="1255" xr3:uid="{E08F2DD7-8C3A-4302-9EF5-CCFFADD40D51}" name="1242"/>
    <tableColumn id="1256" xr3:uid="{3D06E4E6-E385-44E2-A074-4C842F422651}" name="1243"/>
    <tableColumn id="1257" xr3:uid="{7DC6255A-0762-47A7-81EC-7F487F210500}" name="1244"/>
    <tableColumn id="1258" xr3:uid="{1AFBDEE4-39FF-4066-AE82-ADC1078414AE}" name="1245"/>
    <tableColumn id="1259" xr3:uid="{B94934D9-E62B-47DB-9BF7-19BCE349F595}" name="1246"/>
    <tableColumn id="1260" xr3:uid="{27EA3727-FB3F-4EE9-8668-D8E43F378662}" name="1247"/>
    <tableColumn id="1261" xr3:uid="{91DF5DD7-BA8F-4260-BAAF-A2B2A3B894B3}" name="1248"/>
    <tableColumn id="1262" xr3:uid="{E382913B-B364-4FD9-9CB0-6D7784366857}" name="1249"/>
    <tableColumn id="1263" xr3:uid="{AE19A771-0271-4886-8CE5-A3422808774E}" name="1250"/>
    <tableColumn id="1264" xr3:uid="{5429EFAE-51BC-4BF7-AEAD-EED9301C0F5C}" name="1251"/>
    <tableColumn id="1265" xr3:uid="{58678A47-1B00-4B62-8D42-D90C60F2536C}" name="1252"/>
    <tableColumn id="1266" xr3:uid="{5F3D3D04-1870-45DB-A9CF-0FDD036ACD0F}" name="1253"/>
    <tableColumn id="1267" xr3:uid="{4FE97EFC-665D-48F1-896C-B923FA2EE828}" name="1254"/>
    <tableColumn id="1268" xr3:uid="{48DBB1C0-B09B-4020-9740-FD8F03EB0032}" name="1255"/>
    <tableColumn id="1269" xr3:uid="{86A12E41-AE86-4179-8277-AF6224A30973}" name="1256"/>
    <tableColumn id="1270" xr3:uid="{87AE5300-FBC4-4C3A-8B95-F6F2F33C703A}" name="1257"/>
    <tableColumn id="1271" xr3:uid="{A7AFA7FA-6F1C-4061-A2EA-9884858BCD92}" name="1258"/>
    <tableColumn id="1272" xr3:uid="{97FB5AA0-11B1-49C7-958E-589F76A1CF62}" name="1259"/>
    <tableColumn id="1273" xr3:uid="{1A824BCC-F7C5-45FF-935A-FDB022E89B6C}" name="1260"/>
    <tableColumn id="1274" xr3:uid="{A90E2A80-39B9-4C0E-B7AB-5A9DC150BFB9}" name="1261"/>
    <tableColumn id="1275" xr3:uid="{40FC26BA-24D1-4708-9060-6EA551534572}" name="1262"/>
    <tableColumn id="1276" xr3:uid="{AEAFF54E-C440-4C5C-BFC2-D8327C6B82F9}" name="1263"/>
    <tableColumn id="1277" xr3:uid="{EC0D2EF1-D625-4B94-8106-C0F3BE1ED5D4}" name="1264"/>
    <tableColumn id="1278" xr3:uid="{149478A0-7DAD-4A6C-9D56-ED670AD80E9B}" name="1265"/>
    <tableColumn id="1279" xr3:uid="{45465911-E7EA-4BA2-9097-E6CCB48AEC2B}" name="1266"/>
    <tableColumn id="1280" xr3:uid="{01644A35-BD10-4D59-B9A2-E181F8B84E1C}" name="1267"/>
    <tableColumn id="1281" xr3:uid="{9FE012E2-8A41-4D49-AF93-751AF16EE609}" name="1268"/>
    <tableColumn id="1282" xr3:uid="{1E0D077F-A3EC-4509-B82C-470ABFD89CCD}" name="1269"/>
    <tableColumn id="1283" xr3:uid="{4B46E70F-3F25-4573-BF7F-1CBCDC4147B1}" name="1270"/>
    <tableColumn id="1284" xr3:uid="{8741BAB1-750F-42A6-98FD-9533FEEA5C78}" name="1271"/>
    <tableColumn id="1285" xr3:uid="{A2BBD254-3DCA-4098-A982-756A3A2697E4}" name="1272"/>
    <tableColumn id="1286" xr3:uid="{6D9E1D2A-E30E-4D6D-9286-05DD347C3DA1}" name="1273"/>
    <tableColumn id="1287" xr3:uid="{1D1D5C20-C01F-4617-A94C-95D4D25EFBBB}" name="1274"/>
    <tableColumn id="1288" xr3:uid="{10BB9B78-2A7B-49F1-B245-1505F74FF6A0}" name="1275"/>
    <tableColumn id="1289" xr3:uid="{896A06FC-55B8-4279-8E05-884B66D5AF8F}" name="1276"/>
    <tableColumn id="1290" xr3:uid="{05890F7F-350D-4B8C-AA8D-D20FE918C126}" name="1277"/>
    <tableColumn id="1291" xr3:uid="{DD4CECE4-C694-4FE0-8C2B-368F66A4772D}" name="1278"/>
    <tableColumn id="1292" xr3:uid="{BE34D1B3-6466-4961-B8E9-B6E74724057C}" name="1279"/>
    <tableColumn id="1293" xr3:uid="{01739CC7-3C73-4913-8C26-FC025B45AC18}" name="1280"/>
    <tableColumn id="1294" xr3:uid="{5E639BD4-D594-4F00-A8D9-9C4463B418F0}" name="1281"/>
    <tableColumn id="1295" xr3:uid="{FF643CB6-C946-4A49-B8A9-3258E7316018}" name="1282"/>
    <tableColumn id="1296" xr3:uid="{963330F6-B127-4FDE-B398-45729BF531BB}" name="1283"/>
    <tableColumn id="1297" xr3:uid="{73941A67-21C2-4EB7-9590-6DE125A97DB6}" name="1284"/>
    <tableColumn id="1298" xr3:uid="{7D54415A-9848-4651-BEA4-D3CCA8781533}" name="1285"/>
    <tableColumn id="1299" xr3:uid="{AE0BA223-A08D-45F2-B1B2-1A2E1BFFBB3D}" name="1286"/>
    <tableColumn id="1300" xr3:uid="{17E91C9D-F13C-4EE9-B8F7-09A076D36870}" name="1287"/>
    <tableColumn id="1301" xr3:uid="{48D3E75C-7CED-47B3-9C33-64AD76224BEE}" name="1288"/>
    <tableColumn id="1302" xr3:uid="{86D3E340-8FC6-49DC-872D-69F091444125}" name="1289"/>
    <tableColumn id="1303" xr3:uid="{4B0C2386-4E99-4D28-BEFB-8C988D5AB345}" name="1290"/>
    <tableColumn id="1304" xr3:uid="{2C809AE1-6269-4430-8011-C36286FA14EF}" name="1291"/>
    <tableColumn id="1305" xr3:uid="{3B81BEEC-9525-4EF4-A176-4E38297BDA6F}" name="1292"/>
    <tableColumn id="1306" xr3:uid="{555AD746-2DC5-45FB-8C67-3E33AAC3DC7F}" name="1293"/>
    <tableColumn id="1307" xr3:uid="{DE09F3AE-5D33-43F4-8201-116EC95EA113}" name="1294"/>
    <tableColumn id="1308" xr3:uid="{E8EDDFF1-7555-4A0D-BA7C-B026D520150C}" name="1295"/>
    <tableColumn id="1309" xr3:uid="{E913D48A-5E0A-4230-88AE-9090F6853144}" name="1296"/>
    <tableColumn id="1310" xr3:uid="{60EE7A8B-FB50-4B4D-9679-C50FEAFD3FA6}" name="1297"/>
    <tableColumn id="1311" xr3:uid="{0F528332-0FFC-4810-8B60-21A3F27A16A5}" name="1298"/>
    <tableColumn id="1312" xr3:uid="{B8644646-0F8E-42AA-8CEA-66FD7D57A39B}" name="1299"/>
    <tableColumn id="1313" xr3:uid="{38315EF0-7BC4-40CB-AED1-CB963B7393F4}" name="1300"/>
    <tableColumn id="1314" xr3:uid="{AF177AE6-97C0-48E1-8E25-16E101AC4D18}" name="1301"/>
    <tableColumn id="1315" xr3:uid="{CA6CE189-5680-4EA5-81A1-406F20988A0A}" name="1302"/>
    <tableColumn id="1316" xr3:uid="{36B2367B-8AB5-4012-8AB8-B5DE50F818DC}" name="1303"/>
    <tableColumn id="1317" xr3:uid="{6D6A59C2-4F26-46BD-9498-C0FA0DE787CA}" name="1304"/>
    <tableColumn id="1318" xr3:uid="{D36CABD2-34EB-43B0-85FB-B0EBA73E337B}" name="1305"/>
    <tableColumn id="1319" xr3:uid="{3E2C72C8-93B3-4227-B0B4-2891C62E80BF}" name="1306"/>
    <tableColumn id="1320" xr3:uid="{11588BFD-F274-4206-806F-9DCE0573568A}" name="1307"/>
    <tableColumn id="1321" xr3:uid="{FD697A00-72E5-4FCA-ACE3-B0BD88B167E6}" name="1308"/>
    <tableColumn id="1322" xr3:uid="{2EF69B48-6335-4F6A-A361-7590D6D775AC}" name="1309"/>
    <tableColumn id="1323" xr3:uid="{0360F9AA-7CC9-466D-8797-04A2BC223BF8}" name="1310"/>
    <tableColumn id="1324" xr3:uid="{4BAC10FB-76D1-47CA-BE92-B2B3CAD8D0DE}" name="1311"/>
    <tableColumn id="1325" xr3:uid="{4F2977B0-D5C1-4C5B-92AD-740FA4CA7E56}" name="1312"/>
    <tableColumn id="1326" xr3:uid="{3A426D3A-2571-4648-A09C-60B2C8321717}" name="1313"/>
    <tableColumn id="1327" xr3:uid="{BE45E730-CC49-40EA-B5EA-224765C30645}" name="1314"/>
    <tableColumn id="1328" xr3:uid="{A83BFCC7-F970-43A4-BD7B-7B683E13DCD5}" name="1315"/>
    <tableColumn id="1329" xr3:uid="{62616CC3-9C68-4B49-A153-611ED290EBFB}" name="1316"/>
    <tableColumn id="1330" xr3:uid="{80A1A7ED-9D27-4F67-A996-4BFC829391F2}" name="1317"/>
    <tableColumn id="1331" xr3:uid="{784BFCC5-C26F-49F6-9FA3-7ED261D288B0}" name="1318"/>
    <tableColumn id="1332" xr3:uid="{30738ECD-8655-4BD5-AA62-80F601BC87F4}" name="1319"/>
    <tableColumn id="1333" xr3:uid="{7733FCB4-760C-4630-A965-ACD913F04980}" name="1320"/>
    <tableColumn id="1334" xr3:uid="{078B8663-B933-455D-984C-9CB35BC23C2F}" name="1321"/>
    <tableColumn id="1335" xr3:uid="{34C74D82-37A2-409E-BA39-6F98C5862E56}" name="1322"/>
    <tableColumn id="1336" xr3:uid="{1158FB65-9CA8-45BB-B617-CF63FB3776E3}" name="1323"/>
    <tableColumn id="1337" xr3:uid="{5B09915B-F750-4F52-A781-D7754A7FEFC6}" name="1324"/>
    <tableColumn id="1338" xr3:uid="{B9B77C59-E0AA-4D69-9E06-C02C2A9A6F5A}" name="1325"/>
    <tableColumn id="1339" xr3:uid="{2AAE38B0-69A3-4DF5-92F2-79586A874913}" name="1326"/>
    <tableColumn id="1340" xr3:uid="{97A7B1AA-6826-4716-98A8-C1BEB5AEA986}" name="1327"/>
    <tableColumn id="1341" xr3:uid="{FA5CB3E8-C529-4BF1-B62F-2640F8F2994E}" name="1328"/>
    <tableColumn id="1342" xr3:uid="{8C8E90BF-4592-4A37-8494-28E5A701C5E0}" name="1329"/>
    <tableColumn id="1343" xr3:uid="{C4D0763F-1123-4D45-9EC7-C39854E6FDBF}" name="1330"/>
    <tableColumn id="1344" xr3:uid="{8592E26C-607F-431A-A240-93F95E769947}" name="1331"/>
    <tableColumn id="1345" xr3:uid="{6BCC4BF4-D0A6-4F10-8307-9308B276AEE1}" name="1332"/>
    <tableColumn id="1346" xr3:uid="{7F343CEC-973A-46C8-813D-1F30C6066ED6}" name="1333"/>
    <tableColumn id="1347" xr3:uid="{1A1DCFD8-6392-4F5D-9AB7-7051D3A92A73}" name="1334"/>
    <tableColumn id="1348" xr3:uid="{89FA6288-4A82-4B5C-BF26-9C5DB4B25913}" name="1335"/>
    <tableColumn id="1349" xr3:uid="{F898935F-6939-458D-9A00-E6DFB704B54C}" name="1336"/>
    <tableColumn id="1350" xr3:uid="{5B4F0487-B666-43AB-A9C0-7CE859070562}" name="1337"/>
    <tableColumn id="1351" xr3:uid="{96ECEFC8-C43D-4DA5-8998-2427256EA802}" name="1338"/>
    <tableColumn id="1352" xr3:uid="{3992D540-6A24-42DE-9B24-FCAF87ABA3AF}" name="1339"/>
    <tableColumn id="1353" xr3:uid="{FD1FC029-414C-4C1D-80E3-A8C52E0584ED}" name="1340"/>
    <tableColumn id="1354" xr3:uid="{89FA3A8C-A58D-4308-BC52-F082B5977E23}" name="1341"/>
    <tableColumn id="1355" xr3:uid="{582C5F89-649D-4C5C-9469-29E09C1847D0}" name="1342"/>
    <tableColumn id="1356" xr3:uid="{06709F7B-D947-4B2E-A9D3-2A4163CB0891}" name="1343"/>
    <tableColumn id="1357" xr3:uid="{7BFA9B72-4BEE-4C36-8CBC-73FD263D8753}" name="1344"/>
    <tableColumn id="1358" xr3:uid="{E7F72D17-5B22-4CC5-BAE4-C53CD390EEE5}" name="1345"/>
    <tableColumn id="1359" xr3:uid="{C0EE0A4B-2FE3-4CED-BAB5-C5033936AEB2}" name="1346"/>
    <tableColumn id="1360" xr3:uid="{11A7908B-2BD4-4414-BF17-3C2676029249}" name="1347"/>
    <tableColumn id="1361" xr3:uid="{7BB50AC8-2C78-41FF-A6C2-FAA94AA914BB}" name="1348"/>
    <tableColumn id="1362" xr3:uid="{97715941-FC3F-4036-A8FF-572B2CFE152D}" name="1349"/>
    <tableColumn id="1363" xr3:uid="{67D08292-6701-4CB2-9B77-AD9A34F629D6}" name="1350"/>
    <tableColumn id="1364" xr3:uid="{97789F27-9026-4D49-9601-7F1FF0736CF7}" name="1351"/>
    <tableColumn id="1365" xr3:uid="{3EE8938F-3B58-49E6-96B0-6B7DC56CBFE2}" name="1352"/>
    <tableColumn id="1366" xr3:uid="{2FC6F754-F910-440C-A231-EC547E4762D1}" name="1353"/>
    <tableColumn id="1367" xr3:uid="{4655D9A4-AE1E-4C2A-8E23-3174A1F89303}" name="1354"/>
    <tableColumn id="1368" xr3:uid="{FD48B7F1-9808-41ED-926D-C4DD7719E323}" name="1355"/>
    <tableColumn id="1369" xr3:uid="{F00DF0A0-233E-4CDF-B123-00F3E111E34E}" name="1356"/>
    <tableColumn id="1370" xr3:uid="{9DE3A9BD-5D89-4B2F-918D-B8D59BA93150}" name="1357"/>
    <tableColumn id="1371" xr3:uid="{D9EB0ED5-71A8-4241-9E20-4FAC1D0446F7}" name="1358"/>
    <tableColumn id="1372" xr3:uid="{2BEDF37C-9512-4E09-A7CE-A106711AD550}" name="1359"/>
    <tableColumn id="1373" xr3:uid="{8366227A-449F-4679-9713-AD85007CEEE8}" name="1360"/>
    <tableColumn id="1374" xr3:uid="{DDF94214-0425-4975-8CAA-2A14F4DDB357}" name="1361"/>
    <tableColumn id="1375" xr3:uid="{783AB796-5276-4039-8595-8C6618D7D7FC}" name="1362"/>
    <tableColumn id="1376" xr3:uid="{077602A1-6022-4433-A678-C84C7FEECD4C}" name="1363"/>
    <tableColumn id="1377" xr3:uid="{88AFD7ED-502A-49D8-84BC-692AE6369C6C}" name="1364"/>
    <tableColumn id="1378" xr3:uid="{5394830D-E7B9-4338-826F-AD7394233CB2}" name="1365"/>
    <tableColumn id="1379" xr3:uid="{28625A6F-80B6-44B9-BDBB-AF9614E1116D}" name="1366"/>
    <tableColumn id="1380" xr3:uid="{CD0A72BF-B64C-4FF7-BA5C-9945D4A58F47}" name="1367"/>
    <tableColumn id="1381" xr3:uid="{1A87D39A-36D6-49E1-A5E5-30455DB6815F}" name="1368"/>
    <tableColumn id="1382" xr3:uid="{FB908E16-C411-4780-8FA3-5A1713EB78CD}" name="1369"/>
    <tableColumn id="1383" xr3:uid="{C518FE25-8568-4920-A3CE-3B1061CA68B7}" name="1370"/>
    <tableColumn id="1384" xr3:uid="{816B7BA5-8D45-474D-87E7-10C2D9A6EB45}" name="1371"/>
    <tableColumn id="1385" xr3:uid="{F0E271A6-47DD-4188-A3CB-947CC2EE22A9}" name="1372"/>
    <tableColumn id="1386" xr3:uid="{C22EA7A4-9F15-41B2-A588-1624E469D5C5}" name="1373"/>
    <tableColumn id="1387" xr3:uid="{6DD2DCFF-E72C-4D09-AC95-53A01E1A8207}" name="1374"/>
    <tableColumn id="1388" xr3:uid="{89460F6B-B600-4501-8C37-C6D020A971CF}" name="1375"/>
    <tableColumn id="1389" xr3:uid="{51A50EA3-7CFD-417A-9CF2-8EBAC30D5741}" name="1376"/>
    <tableColumn id="1390" xr3:uid="{BF9D5A21-A785-422C-A29F-E96A99F77EF4}" name="1377"/>
    <tableColumn id="1391" xr3:uid="{633DA860-CC16-4679-A750-C4B48FB9887C}" name="1378"/>
    <tableColumn id="1392" xr3:uid="{45805403-AEB2-4329-A1F6-6E9CF9D49E0F}" name="1379"/>
    <tableColumn id="1393" xr3:uid="{953ACBAA-3980-427A-98A5-ED114DE096C1}" name="1380"/>
    <tableColumn id="1394" xr3:uid="{1F4B338B-FABF-4F45-B533-286906255EC7}" name="1381"/>
    <tableColumn id="1395" xr3:uid="{266ADB40-2E87-45BA-A2DE-A2986EC6F546}" name="1382"/>
    <tableColumn id="1396" xr3:uid="{91821DC3-0129-4785-8027-8D71BCCF21EE}" name="1383"/>
    <tableColumn id="1397" xr3:uid="{4ADDA201-9F3A-496E-9B08-5849E9335E85}" name="1384"/>
    <tableColumn id="1398" xr3:uid="{20351F3A-4C42-44B6-BF39-FC58399F2DA1}" name="1385"/>
    <tableColumn id="1399" xr3:uid="{899966DF-19B2-43B7-A693-31C599C96356}" name="1386"/>
    <tableColumn id="1400" xr3:uid="{0B2CDB80-00C7-469A-BBC3-57FF42F465F0}" name="1387"/>
    <tableColumn id="1401" xr3:uid="{ED1E754D-AE2D-4C5B-BB78-11B433419392}" name="1388"/>
    <tableColumn id="1402" xr3:uid="{EA347ECB-7BE4-4501-9863-AD9785CF6E95}" name="1389"/>
    <tableColumn id="1403" xr3:uid="{AD2123CF-A6A0-4D0E-946C-8D87935A4D99}" name="1390"/>
    <tableColumn id="1404" xr3:uid="{B18B18EB-D832-4B00-BCC7-C7744C536375}" name="1391"/>
    <tableColumn id="1405" xr3:uid="{1A4EC704-A524-496C-A144-43D5417B43AF}" name="1392"/>
    <tableColumn id="1406" xr3:uid="{CBE19CF3-2D65-4AA9-B7D0-450EB2D27531}" name="1393"/>
    <tableColumn id="1407" xr3:uid="{50963B65-827C-4C9D-9784-DA80A25157F6}" name="1394"/>
    <tableColumn id="1408" xr3:uid="{A0037A1C-EE06-4578-AC30-6F082089153E}" name="1395"/>
    <tableColumn id="1409" xr3:uid="{7171F91A-8A75-40C1-A061-CE867C303F24}" name="1396"/>
    <tableColumn id="1410" xr3:uid="{F3AE53BF-DD86-418C-BCA3-9B5F0D11AE8E}" name="1397"/>
    <tableColumn id="1411" xr3:uid="{9F86E3F1-AD3E-463D-9348-D69DC5034296}" name="1398"/>
    <tableColumn id="1412" xr3:uid="{731AE684-EEF4-45EC-82C2-A8A1F1D66363}" name="1399"/>
    <tableColumn id="1413" xr3:uid="{38A3938B-A49D-446A-BF8A-DD3E4C1AE720}" name="1400"/>
    <tableColumn id="1414" xr3:uid="{24AF2358-130A-4FDB-9572-FF374CCC6942}" name="1401"/>
    <tableColumn id="1415" xr3:uid="{29166B28-B3E6-4379-B320-FAE6F873BF40}" name="1402"/>
    <tableColumn id="1416" xr3:uid="{AEB12AB8-1FE2-439C-9864-D1FCD7E5D64B}" name="1403"/>
    <tableColumn id="1417" xr3:uid="{668E7091-BE0A-4AE7-A52E-13256D1F0D83}" name="1404"/>
    <tableColumn id="1418" xr3:uid="{CF3F9AB3-C1F5-45A3-B48B-120A81970746}" name="1405"/>
    <tableColumn id="1419" xr3:uid="{76D545F1-C3C7-4961-9670-8C4F88CA788B}" name="1406"/>
    <tableColumn id="1420" xr3:uid="{26848E85-625B-49B5-8803-498792B1DB5F}" name="1407"/>
    <tableColumn id="1421" xr3:uid="{EC1CF028-6C0C-4C0B-80D5-15CD12AEA06F}" name="1408"/>
    <tableColumn id="1422" xr3:uid="{7FC75A00-1A7C-408D-AC48-0AB83BB6EBF3}" name="1409"/>
    <tableColumn id="1423" xr3:uid="{13885640-CF0D-4666-9318-759EEB9113FD}" name="1410"/>
    <tableColumn id="1424" xr3:uid="{2648D289-0529-4104-8273-0E9A4956200C}" name="1411"/>
    <tableColumn id="1425" xr3:uid="{F4B4D5F3-6586-4BC2-A4F7-3863E9506449}" name="1412"/>
    <tableColumn id="1426" xr3:uid="{C21015B5-BDC7-42D1-B2B4-5C803A73A25E}" name="1413"/>
    <tableColumn id="1427" xr3:uid="{FA5E3424-6D37-41FD-9CF3-B3C1A2CC74DD}" name="1414"/>
    <tableColumn id="1428" xr3:uid="{047D399C-3E99-46D1-A498-27D4CA9A4491}" name="1415"/>
    <tableColumn id="1429" xr3:uid="{92AAF75D-AB5A-4F43-8CA6-C478098A956B}" name="1416"/>
    <tableColumn id="1430" xr3:uid="{B3117323-8DFE-4F13-B970-F2B6EE898E86}" name="1417"/>
    <tableColumn id="1431" xr3:uid="{88996238-D974-43D1-9F98-8E93FCB7FBFE}" name="1418"/>
    <tableColumn id="1432" xr3:uid="{DB42E3E2-472B-4730-B4D6-298A522CEE12}" name="1419"/>
    <tableColumn id="1433" xr3:uid="{7A289D25-8C85-4E13-A90C-9ED160A22DD6}" name="1420"/>
    <tableColumn id="1434" xr3:uid="{09A21451-9818-4F8C-AD15-2E5567B60B84}" name="1421"/>
    <tableColumn id="1435" xr3:uid="{7B928BC8-82DB-4C31-98B1-1139C93CBD26}" name="1422"/>
    <tableColumn id="1436" xr3:uid="{EDE8A9E5-A87C-4CB2-81CA-8F5344433026}" name="1423"/>
    <tableColumn id="1437" xr3:uid="{D1D0C2C9-E0BC-498B-82F9-3200EBA05F40}" name="1424"/>
    <tableColumn id="1438" xr3:uid="{18A71150-B019-4F95-8294-96D96D317554}" name="1425"/>
    <tableColumn id="1439" xr3:uid="{DA006149-55B7-4513-B0E1-5C3C3EC08674}" name="1426"/>
    <tableColumn id="1440" xr3:uid="{26656025-CA29-48CE-A436-93449AC7E7D3}" name="1427"/>
    <tableColumn id="1441" xr3:uid="{F5FAC869-835B-4588-B673-99DCAD6A7A2A}" name="1428"/>
    <tableColumn id="1442" xr3:uid="{2EC2DDF5-312C-4523-AA68-5F1EB155EB18}" name="1429"/>
    <tableColumn id="1443" xr3:uid="{12D336D1-92E0-4999-B718-45D0E415114D}" name="1430"/>
    <tableColumn id="1444" xr3:uid="{1A9230EF-6AE4-492D-B7DA-24E16FE44678}" name="1431"/>
    <tableColumn id="1445" xr3:uid="{959955C5-8260-4B5E-A9BE-7252F13D5EDE}" name="1432"/>
    <tableColumn id="1446" xr3:uid="{E2A8294F-51D1-476E-94D5-0E4CDA1A611C}" name="1433"/>
    <tableColumn id="1447" xr3:uid="{CF9210F8-3B83-42D8-9EF0-53776A319954}" name="1434"/>
    <tableColumn id="1448" xr3:uid="{7B04C11F-451F-4C9E-AD22-F2A3638C3C1D}" name="1435"/>
    <tableColumn id="1449" xr3:uid="{87B0B8D9-1F4B-4F38-BC0A-2743727FFB66}" name="1436"/>
    <tableColumn id="1450" xr3:uid="{246B89FF-B65F-4E55-98F2-279E742F553F}" name="1437"/>
    <tableColumn id="1451" xr3:uid="{A943C165-BBFB-4F2C-8CD6-AE49737BE48B}" name="1438"/>
    <tableColumn id="1452" xr3:uid="{948C0947-F5BD-4F04-9BDF-854B86FF7C06}" name="1439"/>
    <tableColumn id="1453" xr3:uid="{8FD282A6-B9B0-42E3-A195-916504F2F25A}" name="1440"/>
    <tableColumn id="1454" xr3:uid="{9BF312A1-28D0-4F58-92DC-7079604E3858}" name="1441"/>
    <tableColumn id="1455" xr3:uid="{0CF776EC-3BBA-4177-AACD-B230DFCE6D60}" name="1442"/>
    <tableColumn id="1456" xr3:uid="{D1CDD7BB-5D3D-41B8-BF05-19F02A2C8E39}" name="1443"/>
    <tableColumn id="1457" xr3:uid="{1592C68C-8C98-4957-A530-A5294A20DFE6}" name="1444"/>
    <tableColumn id="1458" xr3:uid="{4B998879-3735-4090-A435-E4F38989FB2A}" name="1445"/>
    <tableColumn id="1459" xr3:uid="{7158C088-34C4-4734-A3C4-CC901BB54B41}" name="1446"/>
    <tableColumn id="1460" xr3:uid="{03CAA34F-2548-41AF-956C-2DC2DEE9EB29}" name="1447"/>
    <tableColumn id="1461" xr3:uid="{66953867-D2E2-489C-B3C3-9009F02E2BF8}" name="1448"/>
    <tableColumn id="1462" xr3:uid="{18E0D6F3-7D7D-41C1-8414-A2DCDA208E40}" name="1449"/>
    <tableColumn id="1463" xr3:uid="{50F372D0-7696-4448-AA82-C3938338E723}" name="1450"/>
    <tableColumn id="1464" xr3:uid="{4C3A3C38-CE9E-4EC0-BAD2-3079E91933AF}" name="1451"/>
    <tableColumn id="1465" xr3:uid="{DA120AC7-BF5B-49A3-872B-368FB1487288}" name="1452"/>
    <tableColumn id="1466" xr3:uid="{EAEFCEC9-E5A1-490C-B9DF-D84AEF334768}" name="1453"/>
    <tableColumn id="1467" xr3:uid="{D5D43D9A-4D9B-4A46-BF5E-C52D90511AB5}" name="1454"/>
    <tableColumn id="1468" xr3:uid="{D37E3D24-2063-4401-A9EC-6769F0D8BCDC}" name="1455"/>
    <tableColumn id="1469" xr3:uid="{B142D394-1DF8-4455-954F-1E89D10C204C}" name="1456"/>
    <tableColumn id="1470" xr3:uid="{A99439DD-5ED1-434A-B268-C664C26D0EC4}" name="1457"/>
    <tableColumn id="1471" xr3:uid="{582E3420-9712-457A-902B-7501A44628BF}" name="1458"/>
    <tableColumn id="1472" xr3:uid="{18AF7618-FBA5-4175-A077-82E4AAC7B2E0}" name="1459"/>
    <tableColumn id="1473" xr3:uid="{BA9E35E9-8B8E-41CA-9CF9-25AD76B5F353}" name="1460"/>
    <tableColumn id="1474" xr3:uid="{4CB9A583-3321-463B-B41D-AF3C67C40A3D}" name="1461"/>
    <tableColumn id="1475" xr3:uid="{67D70004-007F-4D3E-961B-414D551ACBF5}" name="1462"/>
    <tableColumn id="1476" xr3:uid="{E537FEE1-012E-46F7-A9B3-698354A4BDCB}" name="1463"/>
    <tableColumn id="1477" xr3:uid="{9A19F030-A906-4DBD-9E38-F3CB20A3182D}" name="1464"/>
    <tableColumn id="1478" xr3:uid="{9DBDA581-CD2C-4480-9012-D3FF9E282472}" name="1465"/>
    <tableColumn id="1479" xr3:uid="{EB2937D9-7CD6-4898-A893-D1959F57FE62}" name="1466"/>
    <tableColumn id="1480" xr3:uid="{95018AD0-A795-4C5E-9CCC-C0B56717F247}" name="1467"/>
    <tableColumn id="1481" xr3:uid="{94E66320-86BC-457A-9677-274B148864C0}" name="1468"/>
    <tableColumn id="1482" xr3:uid="{869B4103-0478-45A1-9795-6E88A2413D97}" name="1469"/>
    <tableColumn id="1483" xr3:uid="{8DCCDEA7-6AD4-40C2-B107-DE5587BBB00C}" name="1470"/>
    <tableColumn id="1484" xr3:uid="{F6E1D081-E8D0-4804-AB2B-21A2414FC083}" name="1471"/>
    <tableColumn id="1485" xr3:uid="{8A6A5185-2F8C-4170-A34B-DB1B4B2DFE19}" name="1472"/>
    <tableColumn id="1486" xr3:uid="{CA488113-9DF2-47D5-B5C3-FC3E5B0D28DE}" name="1473"/>
    <tableColumn id="1487" xr3:uid="{68FBC074-DFEE-41D6-BD8C-4D85517E39BF}" name="1474"/>
    <tableColumn id="1488" xr3:uid="{7742B201-44A6-415C-9764-6E3C33CC8A18}" name="1475"/>
    <tableColumn id="1489" xr3:uid="{F9FF13A1-2641-4AFF-B7D8-94BCB5DC4331}" name="1476"/>
    <tableColumn id="1490" xr3:uid="{507071C1-5B59-4790-8795-2BCF2E240C41}" name="1477"/>
    <tableColumn id="1491" xr3:uid="{257C08E7-4737-40DA-B05C-86A714150962}" name="1478"/>
    <tableColumn id="1492" xr3:uid="{4755481B-8F15-458B-9C31-3D75C119EB41}" name="1479"/>
    <tableColumn id="1493" xr3:uid="{B4989E77-36EE-459F-B26C-AF98E0664109}" name="1480"/>
    <tableColumn id="1494" xr3:uid="{AB3B8EDE-9E43-4220-A7B6-A77FC54915CE}" name="1481"/>
    <tableColumn id="1495" xr3:uid="{D578BC88-0F61-46E7-89BE-D5CD5543038C}" name="1482"/>
    <tableColumn id="1496" xr3:uid="{F26BDF39-676D-4055-9F79-D15572A5801C}" name="1483"/>
    <tableColumn id="1497" xr3:uid="{E1E22D66-C5E5-44D4-9A3D-24CDC3FF1892}" name="1484"/>
    <tableColumn id="1498" xr3:uid="{F0EFFCE9-173F-4191-882F-E19E06CC62FE}" name="1485"/>
    <tableColumn id="1499" xr3:uid="{ECF3B691-6469-4DD8-9B59-FF6D7BCB4ADD}" name="1486"/>
    <tableColumn id="1500" xr3:uid="{C11E9B89-1BDA-42EC-B450-C0936379A605}" name="1487"/>
    <tableColumn id="1501" xr3:uid="{F372EC05-196F-4FC4-BD00-F87F0403575B}" name="1488"/>
    <tableColumn id="1502" xr3:uid="{360242B3-B305-4863-944F-04420F8322D2}" name="1489"/>
    <tableColumn id="1503" xr3:uid="{98F98E02-6251-49FA-8484-69AFC6D10F52}" name="1490"/>
    <tableColumn id="1504" xr3:uid="{DAE48FB3-23C7-4A87-9C40-DBCA73DEFA78}" name="1491"/>
    <tableColumn id="1505" xr3:uid="{E7F17999-E0F2-4673-B2B2-44ED9C65582F}" name="1492"/>
    <tableColumn id="1506" xr3:uid="{9F0FA350-20EB-47F7-9769-6EAC3D4C2F33}" name="1493"/>
    <tableColumn id="1507" xr3:uid="{5A6BA704-61AC-43CF-8AC5-09A86A46C8FE}" name="1494"/>
    <tableColumn id="1508" xr3:uid="{C294C978-41D9-4DDB-AAFF-09AC7DF4BB7F}" name="1495"/>
    <tableColumn id="1509" xr3:uid="{670B0C38-2944-4D55-B74F-7FB1DACD1811}" name="1496"/>
    <tableColumn id="1510" xr3:uid="{EEC72AE4-114C-4A3B-8AB4-F42BCA1E6149}" name="1497"/>
    <tableColumn id="1511" xr3:uid="{B94DF6B9-C784-426D-8DAD-81056F73C794}" name="1498"/>
    <tableColumn id="1512" xr3:uid="{4C6B8881-BAA4-4ED2-91F6-7108C97F14D3}" name="1499"/>
    <tableColumn id="1513" xr3:uid="{17D02696-7DEE-47F0-BD8B-34AED32FA0C6}" name="1500"/>
    <tableColumn id="1514" xr3:uid="{9E3E2E98-6B50-4FDF-9AE3-BF3AE5BD6C8C}" name="1501"/>
    <tableColumn id="1515" xr3:uid="{BC50A913-C649-4752-A07B-8B98041B6C97}" name="1502"/>
    <tableColumn id="1516" xr3:uid="{6A63E284-58D7-45F3-8247-3BF6A922E753}" name="1503"/>
    <tableColumn id="1517" xr3:uid="{BA7F5DA2-87D6-41D3-9BBE-07665AA11955}" name="1504"/>
    <tableColumn id="1518" xr3:uid="{074EBDEE-CA54-41F1-A65D-D790F42C67F3}" name="1505"/>
    <tableColumn id="1519" xr3:uid="{BF276EE2-C349-4B82-AA99-4EF48A3992A6}" name="1506"/>
    <tableColumn id="1520" xr3:uid="{CC2CD3BC-F121-48D4-96B5-9C6D027DB60C}" name="1507"/>
    <tableColumn id="1521" xr3:uid="{6EACC166-D2DD-4108-9C5C-4C028A5B7A74}" name="1508"/>
    <tableColumn id="1522" xr3:uid="{4E8B57D8-4063-4057-B1F8-3531062C1DD6}" name="1509"/>
    <tableColumn id="1523" xr3:uid="{2EC7C6EA-128A-4146-B0E4-BDAEA13C9964}" name="1510"/>
    <tableColumn id="1524" xr3:uid="{E31013E5-B6C8-4521-ABAD-229E623A33C1}" name="1511"/>
    <tableColumn id="1525" xr3:uid="{93AF0FCA-A3FD-4229-9026-87C25E3EC563}" name="1512"/>
    <tableColumn id="1526" xr3:uid="{DE19BE2A-DAB8-4B5D-9758-D1864980C697}" name="1513"/>
    <tableColumn id="1527" xr3:uid="{48D0FB4B-BA3D-4704-AB28-178782BCB23E}" name="1514"/>
    <tableColumn id="1528" xr3:uid="{1E874940-2B85-485C-BAF3-92C3362CD8C2}" name="1515"/>
    <tableColumn id="1529" xr3:uid="{DB193D03-782D-4D7C-88A1-231F5C7CCC7D}" name="1516"/>
    <tableColumn id="1530" xr3:uid="{092E0D18-14B7-437A-99FE-9CD9633880FA}" name="1517"/>
    <tableColumn id="1531" xr3:uid="{FDDEA341-3A12-476C-9CE8-25C7C73DB6C8}" name="1518"/>
    <tableColumn id="1532" xr3:uid="{9258829E-5E4D-47EC-BC42-B94BCA98FE45}" name="1519"/>
    <tableColumn id="1533" xr3:uid="{5353955D-089A-4253-A8A2-CD3A5ADB8AB1}" name="1520"/>
    <tableColumn id="1534" xr3:uid="{160C64A7-E984-4A64-82E3-4E2EBBDFACF8}" name="1521"/>
    <tableColumn id="1535" xr3:uid="{BD5B3227-FF25-4308-9D0F-D0F46B5E0A48}" name="1522"/>
    <tableColumn id="1536" xr3:uid="{B15ACF8D-55BE-4BA3-9894-79A7EFED7C0C}" name="1523"/>
    <tableColumn id="1537" xr3:uid="{BE815869-D181-4666-B65E-EB007FA65ED8}" name="1524"/>
    <tableColumn id="1538" xr3:uid="{297E9F0F-4579-42A1-9409-DD2D6E5203EB}" name="1525"/>
    <tableColumn id="1539" xr3:uid="{76CEF6C1-5707-4346-B176-B97C27E8384B}" name="1526"/>
    <tableColumn id="1540" xr3:uid="{8AA255A2-BABC-4506-A2F5-2CE4AB0AD5FC}" name="1527"/>
    <tableColumn id="1541" xr3:uid="{3A1A83F1-2652-4EE4-B334-C7C6D1A22A16}" name="1528"/>
    <tableColumn id="1542" xr3:uid="{4E6234BC-2FDA-4116-AC2B-1B1459DC3049}" name="1529"/>
    <tableColumn id="1543" xr3:uid="{5E7C83B8-72CE-416C-AC2A-6F2FF562BFFA}" name="1530"/>
    <tableColumn id="1544" xr3:uid="{112D420A-DF85-492A-9917-041775F64461}" name="1531"/>
    <tableColumn id="1545" xr3:uid="{D2213A14-71FC-462F-9119-72B1FE418F13}" name="1532"/>
    <tableColumn id="1546" xr3:uid="{0E96F83F-982E-482A-BCD5-6EA45A75F4CA}" name="1533"/>
    <tableColumn id="1547" xr3:uid="{751661D6-D319-44C8-B90E-7A40F4ACAE35}" name="1534"/>
    <tableColumn id="1548" xr3:uid="{777421E0-9127-4827-A067-D2383EFCB64B}" name="1535"/>
    <tableColumn id="1549" xr3:uid="{D56850E2-1ABF-434A-8DF9-4D9EC7ADC48D}" name="1536"/>
    <tableColumn id="1550" xr3:uid="{44900E6E-0921-429D-BE2C-4B03581AF5C4}" name="1537"/>
    <tableColumn id="1551" xr3:uid="{AC80845C-1639-4768-A25A-1F0DEBB38222}" name="1538"/>
    <tableColumn id="1552" xr3:uid="{411AFA83-D362-44CD-8EDF-59CFEBCDF92D}" name="1539"/>
    <tableColumn id="1553" xr3:uid="{2817D66F-27A7-4DE0-9544-5EE0A683E160}" name="1540"/>
    <tableColumn id="1554" xr3:uid="{B8A7F3DC-F204-4C8E-8A4E-925B16EE95F3}" name="1541"/>
    <tableColumn id="1555" xr3:uid="{A1434F75-E0E0-4AE1-9E38-161DD6426896}" name="1542"/>
    <tableColumn id="1556" xr3:uid="{68106CA5-CC00-4645-9777-3A087B401D0B}" name="1543"/>
    <tableColumn id="1557" xr3:uid="{E7B843F3-F3FF-46FF-9224-C7C13BC12278}" name="1544"/>
    <tableColumn id="1558" xr3:uid="{259648D3-CA16-4D5A-9AF0-9B1648D6B22B}" name="1545"/>
    <tableColumn id="1559" xr3:uid="{8E05564B-66BB-4F88-AB22-880CE8C6ECC2}" name="1546"/>
    <tableColumn id="1560" xr3:uid="{47338238-A1D1-411F-9FA5-9F180DE02FE2}" name="1547"/>
    <tableColumn id="1561" xr3:uid="{4AB75111-1784-4BB0-9644-8A41C1B541A0}" name="1548"/>
    <tableColumn id="1562" xr3:uid="{9881DF1C-A05C-47DC-8758-F6D3E9EC72D2}" name="1549"/>
    <tableColumn id="1563" xr3:uid="{FF44D18D-BB7B-4474-AA68-A14DB8C81C2F}" name="1550"/>
    <tableColumn id="1564" xr3:uid="{68C1F29E-E8A8-44F2-91D6-01535990A8BE}" name="1551"/>
    <tableColumn id="1565" xr3:uid="{D07529B9-461F-483F-80F5-EA28993C799E}" name="1552"/>
    <tableColumn id="1566" xr3:uid="{02D3F4D9-C344-4D13-A067-2B47D250DB08}" name="1553"/>
    <tableColumn id="1567" xr3:uid="{97F62A8A-573F-461F-89C4-95178DF72E9A}" name="1554"/>
    <tableColumn id="1568" xr3:uid="{243E906A-91F9-4A8C-81FF-BE435B31AA47}" name="1555"/>
    <tableColumn id="1569" xr3:uid="{6C86DDA9-A8C0-4249-A030-9A39BF632C2F}" name="1556"/>
    <tableColumn id="1570" xr3:uid="{34219B78-3DAF-4FA4-8AA4-61B41D03DCBB}" name="1557"/>
    <tableColumn id="1571" xr3:uid="{8B1C896B-893D-49BF-B1C1-BBBC288C38DF}" name="1558"/>
    <tableColumn id="1572" xr3:uid="{2FC4F0A0-5797-439C-A04B-0BD9E01BD3A9}" name="1559"/>
    <tableColumn id="1573" xr3:uid="{7A74D171-4751-44E2-B5DC-6B586B6C7EA9}" name="1560"/>
    <tableColumn id="1574" xr3:uid="{B42FE22D-D591-48D2-AE7A-34D1D6961D32}" name="1561"/>
    <tableColumn id="1575" xr3:uid="{92644AD2-D4E9-4E2C-B0E7-269B4CBE39E3}" name="1562"/>
    <tableColumn id="1576" xr3:uid="{6BF0F0B0-B25D-4E10-955C-BC865CBF984E}" name="1563"/>
    <tableColumn id="1577" xr3:uid="{A43CF217-CCF3-4902-BD9D-23A2E8F99691}" name="1564"/>
    <tableColumn id="1578" xr3:uid="{2D259D6C-9D43-49CD-9AF3-1A1621A72515}" name="1565"/>
    <tableColumn id="1579" xr3:uid="{27246097-D223-4492-A4EB-1A25BE0C1E94}" name="1566"/>
    <tableColumn id="1580" xr3:uid="{2BE6DEB3-154D-435D-A623-F3279837A00E}" name="1567"/>
    <tableColumn id="1581" xr3:uid="{BEB47ED2-7B55-4AB5-B46A-9624206DBD68}" name="1568"/>
    <tableColumn id="1582" xr3:uid="{41BEA7C9-7C00-48A0-A317-EF6479848112}" name="1569"/>
    <tableColumn id="1583" xr3:uid="{4240BB41-D76C-4613-B5BA-9B12067660F9}" name="1570"/>
    <tableColumn id="1584" xr3:uid="{1258708F-3B24-4F24-887B-DF0215B26667}" name="1571"/>
    <tableColumn id="1585" xr3:uid="{95EC046B-0331-40B5-B2CE-FA0962417200}" name="1572"/>
    <tableColumn id="1586" xr3:uid="{53912A34-4DDD-4738-8692-84A5D77D226C}" name="1573"/>
    <tableColumn id="1587" xr3:uid="{09A16EBB-20AA-455C-B1CE-CA0AC1A29DF4}" name="1574"/>
    <tableColumn id="1588" xr3:uid="{DC1C0B1A-DA3B-4B8B-987C-CB25B64621E6}" name="1575"/>
    <tableColumn id="1589" xr3:uid="{F4FB585F-750E-4F17-A205-3031FD618FC9}" name="1576"/>
    <tableColumn id="1590" xr3:uid="{8F613791-7001-4FB6-B9FA-B394BDAE47D6}" name="1577"/>
    <tableColumn id="1591" xr3:uid="{D8857DD0-CDDA-474F-A090-3FF4BAC9D2AF}" name="1578"/>
    <tableColumn id="1592" xr3:uid="{D709B33D-2B6F-4179-A760-501353B2EDF8}" name="1579"/>
    <tableColumn id="1593" xr3:uid="{E49A7091-4E0B-49E2-9583-A3EA11D4EA28}" name="1580"/>
    <tableColumn id="1594" xr3:uid="{D8587600-C065-4EE6-BF24-843BC310BB73}" name="1581"/>
    <tableColumn id="1595" xr3:uid="{2335E5D2-5DB5-44D3-A4EA-8A90AF4E2569}" name="1582"/>
    <tableColumn id="1596" xr3:uid="{7E7A9467-5327-49E5-B71C-A110E5F45BFA}" name="1583"/>
    <tableColumn id="1597" xr3:uid="{A4ADC867-A869-4777-AA67-8A14CB64D3D5}" name="1584"/>
    <tableColumn id="1598" xr3:uid="{9A263EE4-A996-464A-A77C-BEAB15192251}" name="1585"/>
    <tableColumn id="1599" xr3:uid="{97BD2720-6E50-4FC2-BFCD-377E8481E591}" name="1586"/>
    <tableColumn id="1600" xr3:uid="{F3BABBDB-68EC-47AA-AEDE-B3B3ABC3F3CA}" name="1587"/>
    <tableColumn id="1601" xr3:uid="{9FB318BE-F183-42ED-887E-5BF371B6E74D}" name="1588"/>
    <tableColumn id="1602" xr3:uid="{D63CEA7F-574B-46DD-9E25-16B8BE082F8D}" name="1589"/>
    <tableColumn id="1603" xr3:uid="{2D908DAC-CC7E-4D0A-9BB6-F54D85DF2EFD}" name="1590"/>
    <tableColumn id="1604" xr3:uid="{FC7E810C-B39D-4FB7-B11D-D01AAFE1120B}" name="1591"/>
    <tableColumn id="1605" xr3:uid="{D579BC05-35A7-46A3-98BB-FD327E096C78}" name="1592"/>
    <tableColumn id="1606" xr3:uid="{C694D092-733C-4746-8E2B-2975D23759D5}" name="1593"/>
    <tableColumn id="1607" xr3:uid="{E9C864A1-4D84-4F00-B76F-DC56ACFB86A4}" name="1594"/>
    <tableColumn id="1608" xr3:uid="{A5F25E1C-58EB-41E2-AD75-F2E886381883}" name="1595"/>
    <tableColumn id="1609" xr3:uid="{666DD391-E05E-4E11-9BA7-FA3F9C79BCD3}" name="1596"/>
    <tableColumn id="1610" xr3:uid="{76191897-B9A6-47DB-9C7F-34B919CC0C52}" name="1597"/>
    <tableColumn id="1611" xr3:uid="{4B74DCD9-1FE8-4647-BC5A-9DFF5E08EE3E}" name="1598"/>
    <tableColumn id="1612" xr3:uid="{F1484C59-73DB-4D07-BFC1-75EFFC21DC69}" name="1599"/>
    <tableColumn id="1613" xr3:uid="{4FA0FACA-77E4-48FE-9168-697AD34A29A2}" name="1600"/>
    <tableColumn id="1614" xr3:uid="{2DD2113E-6A2D-47E9-8EA5-C83C4596B6DF}" name="1601"/>
    <tableColumn id="1615" xr3:uid="{94EC7693-8819-4C2C-A70A-4734E69EB4C2}" name="1602"/>
    <tableColumn id="1616" xr3:uid="{1B24D8D1-CD86-4036-940F-CA56FA0C4802}" name="1603"/>
    <tableColumn id="1617" xr3:uid="{CBAC3F6B-1D15-4866-848F-6B06848BAD19}" name="1604"/>
    <tableColumn id="1618" xr3:uid="{C7A4DA7C-F8F7-4D1F-9568-EDD44226A693}" name="1605"/>
    <tableColumn id="1619" xr3:uid="{58939FF7-9751-4833-8500-29D77127CE91}" name="1606"/>
    <tableColumn id="1620" xr3:uid="{C0F0BFE3-CA5F-4194-A6AE-BC8685107710}" name="1607"/>
    <tableColumn id="1621" xr3:uid="{30963B5F-E857-4C1D-949B-B5F6D5741CC8}" name="1608"/>
    <tableColumn id="1622" xr3:uid="{01B225EC-946B-4931-87CE-D7E9ACEA8F50}" name="1609"/>
    <tableColumn id="1623" xr3:uid="{84DDDEDA-C4AA-4A98-B1C1-ED0A0D57867B}" name="1610"/>
    <tableColumn id="1624" xr3:uid="{772283C1-4E75-43BB-8FB4-370082E1AD9C}" name="1611"/>
    <tableColumn id="1625" xr3:uid="{854E44CC-FBFF-4A40-9FA7-763206AD76D5}" name="1612"/>
    <tableColumn id="1626" xr3:uid="{35D26690-AD0F-4D97-B059-6DC7EB426D37}" name="1613"/>
    <tableColumn id="1627" xr3:uid="{61E1257F-4AC3-4BCB-822C-EF810237F2FA}" name="1614"/>
    <tableColumn id="1628" xr3:uid="{7880D2B1-73EF-485F-8EAA-9F3FA9B858BE}" name="1615"/>
    <tableColumn id="1629" xr3:uid="{CC88B3E9-2ECA-4FBD-BEA3-5459D50B8B3E}" name="1616"/>
    <tableColumn id="1630" xr3:uid="{E705A82A-7B2A-4B97-A660-426E0A768C2F}" name="1617"/>
    <tableColumn id="1631" xr3:uid="{1B45F05B-582A-48C9-9177-25C971FA7291}" name="1618"/>
    <tableColumn id="1632" xr3:uid="{3423C8BE-CB4A-4FC6-8DCE-5B85A72EFD97}" name="1619"/>
    <tableColumn id="1633" xr3:uid="{8AE7A242-3660-4594-A9EE-0CF37ED6F96B}" name="1620"/>
    <tableColumn id="1634" xr3:uid="{B2BC8BE9-E2E7-4300-AB67-573D07C9818B}" name="1621"/>
    <tableColumn id="1635" xr3:uid="{D28D1602-3F75-4EC5-9378-D41781103178}" name="1622"/>
    <tableColumn id="1636" xr3:uid="{004EA10F-92EC-4114-A9A7-A6155DDBBF80}" name="1623"/>
    <tableColumn id="1637" xr3:uid="{6903CDED-B5FE-45C0-BA64-65C2A1D96482}" name="1624"/>
    <tableColumn id="1638" xr3:uid="{F200B202-AD7A-4AE0-B752-D52F6907873B}" name="1625"/>
    <tableColumn id="1639" xr3:uid="{07F4715C-034F-4AF2-AE61-0FB7E3DE34BA}" name="1626"/>
    <tableColumn id="1640" xr3:uid="{5DED42A2-FFE2-406E-9879-75C53FA84996}" name="1627"/>
    <tableColumn id="1641" xr3:uid="{60468930-795E-43B0-BCB2-A17388BFCB80}" name="1628"/>
    <tableColumn id="1642" xr3:uid="{46C6E197-36B2-4034-B215-B3259B4DF36B}" name="1629"/>
    <tableColumn id="1643" xr3:uid="{717CAD6E-ABED-4F2D-916C-369BAA864009}" name="1630"/>
    <tableColumn id="1644" xr3:uid="{3021835F-CBE2-44F5-A03F-C8FD36188787}" name="1631"/>
    <tableColumn id="1645" xr3:uid="{FDFBFC65-EE00-4B09-9F68-5E1D28328DFD}" name="1632"/>
    <tableColumn id="1646" xr3:uid="{F889807A-CAC3-4429-8D6E-67217091CFBF}" name="1633"/>
    <tableColumn id="1647" xr3:uid="{6990EAA9-EB72-4CB1-93DC-3F8B3F6BF686}" name="1634"/>
    <tableColumn id="1648" xr3:uid="{299CB4DC-6E74-4856-8050-74F4369015ED}" name="1635"/>
    <tableColumn id="1649" xr3:uid="{1600D8D1-64B1-402B-9841-84DD45F8A910}" name="1636"/>
    <tableColumn id="1650" xr3:uid="{4EF30F57-91CE-4A00-9322-BAB7418F340C}" name="1637"/>
    <tableColumn id="1651" xr3:uid="{8E6E83B7-0378-48B6-BCA1-87F2ED3AE24B}" name="1638"/>
    <tableColumn id="1652" xr3:uid="{CC92C0E4-98E8-4474-93CF-E2D04F7FFC5A}" name="1639"/>
    <tableColumn id="1653" xr3:uid="{AB892A19-B40B-44A2-B26F-216341FF7EC5}" name="1640"/>
    <tableColumn id="1654" xr3:uid="{076BA83C-EC6B-476D-981F-988264CC9304}" name="1641"/>
    <tableColumn id="1655" xr3:uid="{497C8F86-1BCE-4D3E-8B34-8BECA0C936CA}" name="1642"/>
    <tableColumn id="1656" xr3:uid="{C630E890-DCA4-405E-B5A4-6772654C9D66}" name="1643"/>
    <tableColumn id="1657" xr3:uid="{9DF9BA2E-6724-44AB-8B0D-941AEB9D0B68}" name="1644"/>
    <tableColumn id="1658" xr3:uid="{358A3383-A00D-4575-A6F2-8FF483D24B17}" name="1645"/>
    <tableColumn id="1659" xr3:uid="{35A5EC48-9605-4EA3-9064-83045D2D4580}" name="1646"/>
    <tableColumn id="1660" xr3:uid="{D051013A-FBAA-4B98-B6E6-DD70C7DDEB22}" name="1647"/>
    <tableColumn id="1661" xr3:uid="{BAECF259-7350-4751-8EAC-0ECAC332264F}" name="1648"/>
    <tableColumn id="1662" xr3:uid="{DF40EC79-57C9-4F7B-B35B-DF2E3712BC47}" name="1649"/>
    <tableColumn id="1663" xr3:uid="{195A3E3A-1F8B-46BF-97E3-874252362FCF}" name="1650"/>
    <tableColumn id="1664" xr3:uid="{0B4F7AFB-9374-45EF-AB6B-8B719F0BBF92}" name="1651"/>
    <tableColumn id="1665" xr3:uid="{632142BF-7A44-4756-B3B8-C2EC3291EC54}" name="1652"/>
    <tableColumn id="1666" xr3:uid="{E129835A-4E5C-43FD-9CC8-36E64186EBB3}" name="1653"/>
    <tableColumn id="1667" xr3:uid="{800B765D-3A61-45DC-915A-857FFF715694}" name="1654"/>
    <tableColumn id="1668" xr3:uid="{F7DD8F49-DBD2-4D0E-B912-0AB1F6BC9D77}" name="1655"/>
    <tableColumn id="1669" xr3:uid="{42334876-311B-4854-BB94-362DEF527013}" name="1656"/>
    <tableColumn id="1670" xr3:uid="{2A0D4237-E916-4051-AE08-7121B7C0FC20}" name="1657"/>
    <tableColumn id="1671" xr3:uid="{CB1A50D2-B912-467B-BC18-CF0B335BFBA1}" name="1658"/>
    <tableColumn id="1672" xr3:uid="{CCF1FD94-3735-4FE3-ACDB-97DD4F98B7A5}" name="1659"/>
    <tableColumn id="1673" xr3:uid="{4DC21482-E76A-4CF5-89C9-ADA71806EE07}" name="1660"/>
    <tableColumn id="1674" xr3:uid="{E7EBEAFD-8C33-46B9-972B-8C7FA9C9AFB3}" name="1661"/>
    <tableColumn id="1675" xr3:uid="{8532BB92-EE42-458C-B06D-9EE6E28E7991}" name="1662"/>
    <tableColumn id="1676" xr3:uid="{44D58BC4-D253-4D18-8689-D5154EB9B49F}" name="1663"/>
    <tableColumn id="1677" xr3:uid="{954834F3-EAF5-4286-A29B-E366F2AAA654}" name="1664"/>
    <tableColumn id="1678" xr3:uid="{6D6D728E-B8AB-4848-BF1F-C1BD40A75E31}" name="1665"/>
    <tableColumn id="1679" xr3:uid="{4782304D-032F-48A8-91C9-3698FD497643}" name="1666"/>
    <tableColumn id="1680" xr3:uid="{8F57CCEF-B781-43D7-B64A-A73B90D13DF5}" name="1667"/>
    <tableColumn id="1681" xr3:uid="{F68E9DDC-7C42-4655-8458-E6E3766C410C}" name="1668"/>
    <tableColumn id="1682" xr3:uid="{BBCE26A1-5685-4748-941A-AD954CFB8D2C}" name="1669"/>
    <tableColumn id="1683" xr3:uid="{8E4A000A-EE0E-4A57-BC2E-27620ACF48D4}" name="1670"/>
    <tableColumn id="1684" xr3:uid="{E616282F-4DD2-4A26-B94B-CBE443E13C8C}" name="1671"/>
    <tableColumn id="1685" xr3:uid="{A93A1857-55B3-48EA-9E19-CACAF8D08816}" name="1672"/>
    <tableColumn id="1686" xr3:uid="{7A0865DB-90ED-4DD4-84B6-8217E800221F}" name="1673"/>
    <tableColumn id="1687" xr3:uid="{2210AE82-6378-4851-AEBE-9EBF1944DE41}" name="1674"/>
    <tableColumn id="1688" xr3:uid="{19E50BDA-D7CC-4A7D-8CBA-ECC0D0AC5B63}" name="1675"/>
    <tableColumn id="1689" xr3:uid="{C794B195-D16D-4FDA-A284-36B68B81EEA6}" name="1676"/>
    <tableColumn id="1690" xr3:uid="{A50D9B1B-4BC2-4B0E-BA98-CE8A5CF96182}" name="1677"/>
    <tableColumn id="1691" xr3:uid="{9AF0AB48-4475-496F-9E0B-588607278F17}" name="1678"/>
    <tableColumn id="1692" xr3:uid="{BB70088A-C32C-4D50-A2F6-80AFC292F8B4}" name="1679"/>
    <tableColumn id="1693" xr3:uid="{34670FB5-2103-43E0-A6EE-DA235CBDF6B5}" name="1680"/>
    <tableColumn id="1694" xr3:uid="{74763ED7-2B5F-447E-BD3D-FFDCBACFA6DD}" name="1681"/>
    <tableColumn id="1695" xr3:uid="{2A6D7518-CBA0-42AA-A97B-AB0CAD2C067A}" name="1682"/>
    <tableColumn id="1696" xr3:uid="{F7A18EA8-949D-40E9-AAE2-9859BA80A7C2}" name="1683"/>
    <tableColumn id="1697" xr3:uid="{CCE1000A-1D6F-4F7E-BD73-8AADD81D23D5}" name="1684"/>
    <tableColumn id="1698" xr3:uid="{1E9D6525-FCF4-4D2D-95A7-C0789D865E1A}" name="1685"/>
    <tableColumn id="1699" xr3:uid="{7D2FEF8D-FADE-4670-AFA0-B2B70568D1A9}" name="1686"/>
    <tableColumn id="1700" xr3:uid="{12FB4A10-A485-411D-9BA7-A94A450FC4DB}" name="1687"/>
    <tableColumn id="1701" xr3:uid="{393C9215-5B69-4C34-A0F1-FC4EB616AE80}" name="1688"/>
    <tableColumn id="1702" xr3:uid="{F24888C9-7D81-47FA-A19B-1B68B3B3440B}" name="1689"/>
    <tableColumn id="1703" xr3:uid="{CFC8531C-6F25-4349-AD28-DC90863B4C1B}" name="1690"/>
    <tableColumn id="1704" xr3:uid="{EF51F9F9-58BC-4559-855D-8CFD52ADF558}" name="1691"/>
    <tableColumn id="1705" xr3:uid="{49324481-64F9-4A30-80C5-EFCE4A28A210}" name="1692"/>
    <tableColumn id="1706" xr3:uid="{21371BBB-4A88-4C80-ADC8-E0C7C3D58D7A}" name="1693"/>
    <tableColumn id="1707" xr3:uid="{05FBAD88-1CF3-4AC9-914F-459A53F54F81}" name="1694"/>
    <tableColumn id="1708" xr3:uid="{FFAF8157-14E1-437E-AD1E-800748ED2C1B}" name="1695"/>
    <tableColumn id="1709" xr3:uid="{D2767464-9F95-424F-86B1-4EE287B07479}" name="1696"/>
    <tableColumn id="1710" xr3:uid="{39C8C2D5-01F4-4ABE-B5B0-8E57D64958D1}" name="1697"/>
    <tableColumn id="1711" xr3:uid="{492B0289-A9B8-4952-87CE-7A76406811C8}" name="1698"/>
    <tableColumn id="1712" xr3:uid="{94F17FD4-4451-4575-A667-857AD28DA0DF}" name="1699"/>
    <tableColumn id="1713" xr3:uid="{396E06DC-DAF9-4388-B9E4-90E7F4855F08}" name="1700"/>
    <tableColumn id="1714" xr3:uid="{2A5AA868-437E-4AD9-8FE6-2F30407B5486}" name="1701"/>
    <tableColumn id="1715" xr3:uid="{9DF96426-9B10-4EB9-9FA5-3779EFD739FD}" name="1702"/>
    <tableColumn id="1716" xr3:uid="{6FFE9036-0914-4EB8-9157-D83C2C9C564F}" name="1703"/>
    <tableColumn id="1717" xr3:uid="{5783C247-9C30-4633-A2F8-EF380E2ACF8D}" name="1704"/>
    <tableColumn id="1718" xr3:uid="{11CC1E87-5D1F-4CAA-BAD4-1567992CFC5C}" name="1705"/>
    <tableColumn id="1719" xr3:uid="{50EE24B9-A207-45B3-B6C5-8C2A2997DD06}" name="1706"/>
    <tableColumn id="1720" xr3:uid="{65E0CB9D-16A9-44CE-AB4E-41BCA3A9DF78}" name="1707"/>
    <tableColumn id="1721" xr3:uid="{81B0C786-1D11-43DD-931C-13EC40716C8C}" name="1708"/>
    <tableColumn id="1722" xr3:uid="{3274471F-7D10-4A12-9F6D-DE16844915F6}" name="1709"/>
    <tableColumn id="1723" xr3:uid="{0963A485-1E94-4F49-A9E8-AAADD5F64410}" name="1710"/>
    <tableColumn id="1724" xr3:uid="{FB4390AC-3540-40D6-B67E-CA93952A14AB}" name="1711"/>
    <tableColumn id="1725" xr3:uid="{FCB281AA-579C-49C7-92F2-B33FD39ACABA}" name="1712"/>
    <tableColumn id="1726" xr3:uid="{A00F70EC-39A8-4291-BDB0-FD1ACE90E6E8}" name="1713"/>
    <tableColumn id="1727" xr3:uid="{6F8C7DB5-84D4-44CA-AA95-D0EDE0F7ED2E}" name="1714"/>
    <tableColumn id="1728" xr3:uid="{5C75B982-E107-47B6-A803-CC16E626A37E}" name="1715"/>
    <tableColumn id="1729" xr3:uid="{78E81398-E077-4C87-958D-774B746C10C1}" name="1716"/>
    <tableColumn id="1730" xr3:uid="{6DE5E9AB-4D40-47A5-A2C1-5E64B722F41A}" name="1717"/>
    <tableColumn id="1731" xr3:uid="{E4617FED-FFC9-4C83-8E2A-3F32993013D6}" name="1718"/>
    <tableColumn id="1732" xr3:uid="{4D8CB068-9F55-4478-BC14-47E06CDDB1DD}" name="1719"/>
    <tableColumn id="1733" xr3:uid="{F49865C7-17D5-442D-8FBB-33B29ECD5FFB}" name="1720"/>
    <tableColumn id="1734" xr3:uid="{373A3A17-020A-459B-A6DF-9CECCD1CC8F1}" name="1721"/>
    <tableColumn id="1735" xr3:uid="{8D8CE9D7-C646-4CC0-8E0D-557AB3566AD1}" name="1722"/>
    <tableColumn id="1736" xr3:uid="{1912B8D5-7EFC-4F7C-B86D-28796F02DA08}" name="1723"/>
    <tableColumn id="1737" xr3:uid="{5D771988-461E-49EA-9603-371FFDF598F1}" name="1724"/>
    <tableColumn id="1738" xr3:uid="{6AD2F387-AC2C-41C1-A253-A707E29FBF94}" name="1725"/>
    <tableColumn id="1739" xr3:uid="{C1D4F3BE-C096-40A4-9D36-BA19232BBD69}" name="1726"/>
    <tableColumn id="1740" xr3:uid="{6215C6D2-4993-4470-8839-549B0967C855}" name="1727"/>
    <tableColumn id="1741" xr3:uid="{80D849CF-0430-4F75-883F-3880F0C9962B}" name="1728"/>
    <tableColumn id="1742" xr3:uid="{ECC10265-218C-4A42-9F01-F3674DF4E25E}" name="1729"/>
    <tableColumn id="1743" xr3:uid="{5A05052B-FCF5-4C08-9AE1-F0C3FF7BE1C6}" name="1730"/>
    <tableColumn id="1744" xr3:uid="{55A0C296-6C11-4BE3-93E5-ACF72680A141}" name="1731"/>
    <tableColumn id="1745" xr3:uid="{EB857E94-7B39-4FD3-9787-7DC85E05E651}" name="1732"/>
    <tableColumn id="1746" xr3:uid="{B47028C3-7924-4E69-B750-028B8E525EF5}" name="1733"/>
    <tableColumn id="1747" xr3:uid="{2EB4B225-A1F8-4D95-902C-D78BB399F616}" name="1734"/>
    <tableColumn id="1748" xr3:uid="{443DCAD7-A1CB-4642-BFAB-D0C298619DA9}" name="1735"/>
    <tableColumn id="1749" xr3:uid="{926CF0B5-C18C-4FFC-AC46-0F70A05E2BC4}" name="1736"/>
    <tableColumn id="1750" xr3:uid="{1755D8A8-A79E-415B-A062-3E2E8799B62D}" name="1737"/>
    <tableColumn id="1751" xr3:uid="{995CE112-5E2D-415E-82E5-7BD7AF4EAA76}" name="1738"/>
    <tableColumn id="1752" xr3:uid="{11523B8B-2BEE-4184-8761-3DA849284F88}" name="1739"/>
    <tableColumn id="1753" xr3:uid="{E80FC5B4-65BC-45D5-959E-9A7B13C2CFBA}" name="1740"/>
    <tableColumn id="1754" xr3:uid="{961D11D4-81E8-44ED-9040-7D7D55BD7542}" name="1741"/>
    <tableColumn id="1755" xr3:uid="{5BF3CAE1-ACE0-4BBF-958E-ABB4133A32E7}" name="1742"/>
    <tableColumn id="1756" xr3:uid="{B01C86EC-2E7D-4BA2-801C-7FFA4A834E98}" name="1743"/>
    <tableColumn id="1757" xr3:uid="{38F791AB-0FE2-4C35-A0AC-64D115D8C242}" name="1744"/>
    <tableColumn id="1758" xr3:uid="{88BFD530-D8CF-47BE-B51A-1265EAC4D83C}" name="1745"/>
    <tableColumn id="1759" xr3:uid="{753F2F1D-CF37-4512-B306-A587AF235243}" name="1746"/>
    <tableColumn id="1760" xr3:uid="{39438333-A365-4F3D-B7F5-449845A982D4}" name="1747"/>
    <tableColumn id="1761" xr3:uid="{7F0111F9-A81D-4AE6-A1CB-D920886AE155}" name="1748"/>
    <tableColumn id="1762" xr3:uid="{AF386D96-6832-4E3A-AE4A-5844782E2C7A}" name="1749"/>
    <tableColumn id="1763" xr3:uid="{CCBE3902-82A8-485E-B72C-F321221F0372}" name="1750"/>
    <tableColumn id="1764" xr3:uid="{AD2FD4ED-80FA-4412-AE8E-9600DB5B38D5}" name="1751"/>
    <tableColumn id="1765" xr3:uid="{5F1652D1-B3A5-4FC6-89BF-5504F8C8660C}" name="1752"/>
    <tableColumn id="1766" xr3:uid="{EBDE3773-96C7-4231-A6CB-4F85AA832354}" name="1753"/>
    <tableColumn id="1767" xr3:uid="{8A4BF325-D907-4B15-AEEA-B16CE57AB4AD}" name="1754"/>
    <tableColumn id="1768" xr3:uid="{13C3DE56-4C7C-4746-B6E3-6651CD3C3028}" name="1755"/>
    <tableColumn id="1769" xr3:uid="{CDEBFBA4-4090-4B41-97A9-D28CEB4E004B}" name="1756"/>
    <tableColumn id="1770" xr3:uid="{F22A97BF-23AC-4E3E-99DD-D2B264FBB5CD}" name="1757"/>
    <tableColumn id="1771" xr3:uid="{F4799BC5-0AE7-4535-8E0D-D0D8C7E8DA20}" name="1758"/>
    <tableColumn id="1772" xr3:uid="{81A9104D-FC90-47CD-98E2-A71C51411C02}" name="1759"/>
    <tableColumn id="1773" xr3:uid="{722CFECD-3FFB-4E57-B81D-D483A251D372}" name="1760"/>
    <tableColumn id="1774" xr3:uid="{22550521-E92E-41EC-8B23-E6FB8EDC442A}" name="1761"/>
    <tableColumn id="1775" xr3:uid="{D4A2E7B5-AA32-4582-9F27-234CEE1B31B0}" name="1762"/>
    <tableColumn id="1776" xr3:uid="{B1DED738-5A56-4DD8-AE6D-4A8D396CFA24}" name="1763"/>
    <tableColumn id="1777" xr3:uid="{070349FA-DD97-4CD1-B931-9FD6B7AE17EE}" name="1764"/>
    <tableColumn id="1778" xr3:uid="{778E8013-5516-4CBA-8668-FE8BDE5E169B}" name="1765"/>
    <tableColumn id="1779" xr3:uid="{E642AE1F-CF90-416D-B608-65642A1A762B}" name="1766"/>
    <tableColumn id="1780" xr3:uid="{D200F6C4-3B3D-4F98-A70C-00612F882C97}" name="1767"/>
    <tableColumn id="1781" xr3:uid="{36CF8A2E-0A7D-41D9-B28F-DD8A4D1EA79F}" name="1768"/>
    <tableColumn id="1782" xr3:uid="{AEFAF5D9-9EB2-4FF5-A4A7-D8190B4EE2D0}" name="1769"/>
    <tableColumn id="1783" xr3:uid="{2984C05A-9143-4D9F-B963-72BDC5CC1C4D}" name="1770"/>
    <tableColumn id="1784" xr3:uid="{80A9F357-8DCF-4453-9280-32E932EE0FF4}" name="1771"/>
    <tableColumn id="1785" xr3:uid="{34E421A5-FE00-48D8-885A-10B15942899C}" name="1772"/>
    <tableColumn id="1786" xr3:uid="{9155532E-E501-4E7A-A7E3-0C8D9447E2BF}" name="1773"/>
    <tableColumn id="1787" xr3:uid="{0F6EF773-8EC6-4CC9-A7E7-5DDAFB5BA6FE}" name="1774"/>
    <tableColumn id="1788" xr3:uid="{A7130C98-36F0-4EBF-8581-711014CE1BF3}" name="1775"/>
    <tableColumn id="1789" xr3:uid="{78B19DB0-CA4C-4D39-AC85-11393844F809}" name="1776"/>
    <tableColumn id="1790" xr3:uid="{6E63D8A3-F9C4-488E-8CB9-3C1FC6B86F52}" name="1777"/>
    <tableColumn id="1791" xr3:uid="{9C2159CF-DF26-4867-8A24-21831D9BA2B7}" name="1778"/>
    <tableColumn id="1792" xr3:uid="{7425639B-64F7-4250-8416-AC469A9A563F}" name="1779"/>
    <tableColumn id="1793" xr3:uid="{1A246A57-2C07-4DC6-86AD-23EADE4576AD}" name="1780"/>
    <tableColumn id="1794" xr3:uid="{0719B58E-293A-4B93-9247-45801DB5EEE5}" name="1781"/>
    <tableColumn id="1795" xr3:uid="{A55E8147-ADD9-4640-9607-9F959EE21AD9}" name="1782"/>
    <tableColumn id="1796" xr3:uid="{C1220AD0-5E3B-423C-AA7D-8AD14A80FE92}" name="1783"/>
    <tableColumn id="1797" xr3:uid="{1B61A47A-9E11-48BE-8727-4D99F2DBE10B}" name="1784"/>
    <tableColumn id="1798" xr3:uid="{212A833C-3FD4-438F-9CEF-FBF87BDFA705}" name="1785"/>
    <tableColumn id="1799" xr3:uid="{14115CA1-9A4A-455E-A6CA-021E10A22945}" name="1786"/>
    <tableColumn id="1800" xr3:uid="{626A9EA2-E3BA-4EA8-9D59-0D14C59CFC42}" name="1787"/>
    <tableColumn id="1801" xr3:uid="{791DB59F-2A4F-409A-8082-1656F388229F}" name="1788"/>
    <tableColumn id="1802" xr3:uid="{D7A3EAD8-1072-4C53-8719-86D6D5E8B9F5}" name="1789"/>
    <tableColumn id="1803" xr3:uid="{CF63100F-C513-4B43-A5FA-415BAC7A8371}" name="1790"/>
    <tableColumn id="1804" xr3:uid="{A772915D-1806-4B69-AEE6-0402E25CBE26}" name="1791"/>
    <tableColumn id="1805" xr3:uid="{AE287D70-9A57-498C-837E-A60C7321F0C1}" name="1792"/>
    <tableColumn id="1806" xr3:uid="{B5D0DF41-54B3-4557-8627-256E6A35B188}" name="1793"/>
    <tableColumn id="1807" xr3:uid="{2DBEF976-9863-47D3-B38A-4CC04686E2E2}" name="1794"/>
    <tableColumn id="1808" xr3:uid="{2F3930B7-6754-482E-AEAF-6424C97929A7}" name="1795"/>
    <tableColumn id="1809" xr3:uid="{D5F6AAE5-BC5E-409B-B11D-EFDA38F3FADB}" name="1796"/>
    <tableColumn id="1810" xr3:uid="{F98B74B1-6D6F-4163-89EA-4454BCA7264C}" name="1797"/>
    <tableColumn id="1811" xr3:uid="{D709EFF9-E556-44D4-BFCA-61293508D5C1}" name="1798"/>
    <tableColumn id="1812" xr3:uid="{0A8FFAF0-C983-4149-A3F4-FE9C04FE4151}" name="1799"/>
    <tableColumn id="1813" xr3:uid="{F0BE0567-D1F3-4703-B664-8C680EC63F96}" name="1800"/>
    <tableColumn id="1814" xr3:uid="{603F85AE-AC1D-4E96-9F5D-66C1013C71E0}" name="1801"/>
    <tableColumn id="1815" xr3:uid="{32247D2A-26A8-4E61-B730-C1FA2B1D3D88}" name="1802"/>
    <tableColumn id="1816" xr3:uid="{5865D0F8-9827-4B35-9C39-4A24A9D6EA7A}" name="1803"/>
    <tableColumn id="1817" xr3:uid="{9A72876C-D816-48FF-BB18-7CD390B02102}" name="1804"/>
    <tableColumn id="1818" xr3:uid="{BA6D418B-85E8-4AB8-A663-29B4674BCE54}" name="1805"/>
    <tableColumn id="1819" xr3:uid="{09F20FB5-CB15-474D-8D4A-D33BBC0CEC85}" name="1806"/>
    <tableColumn id="1820" xr3:uid="{56F95892-4399-43D3-8ED8-6F863A26302B}" name="1807"/>
    <tableColumn id="1821" xr3:uid="{C19803B9-4F1B-4D0E-A743-0DB3E079B8FC}" name="1808"/>
    <tableColumn id="1822" xr3:uid="{19180073-24EB-42A9-A2CE-56ACCCD18840}" name="1809"/>
    <tableColumn id="1823" xr3:uid="{739740B1-3314-4347-B531-662747DD40BE}" name="1810"/>
    <tableColumn id="1824" xr3:uid="{B18E13B9-98B6-4AE8-83A1-64C6ED9A735D}" name="1811"/>
    <tableColumn id="1825" xr3:uid="{6EF2D05F-23AF-42B4-B947-3CB19D0854F5}" name="1812"/>
    <tableColumn id="1826" xr3:uid="{8BE775D2-3973-477D-9ACF-539987ACA009}" name="1813"/>
    <tableColumn id="1827" xr3:uid="{3EA2BAC4-0BD4-4DFC-B172-E05A74C1E4A6}" name="1814"/>
    <tableColumn id="1828" xr3:uid="{E45E5616-6BBD-488A-82D9-177299554C9F}" name="1815"/>
    <tableColumn id="1829" xr3:uid="{FEF8AF80-EFFA-494D-8207-B75B8EB76986}" name="1816"/>
    <tableColumn id="1830" xr3:uid="{49D5A6ED-8199-47BC-9CCA-F57B3BB4358B}" name="1817"/>
    <tableColumn id="1831" xr3:uid="{2D3B8CD2-FA8A-4287-BE8A-13BD8B1B4AB5}" name="1818"/>
    <tableColumn id="1832" xr3:uid="{AA197BEE-34C1-479E-A459-A6B0C214DC5F}" name="1819"/>
    <tableColumn id="1833" xr3:uid="{ED1DE5B4-FC88-4D97-AF40-8C602CDE8D6E}" name="1820"/>
    <tableColumn id="1834" xr3:uid="{F1BB3FAA-EE94-4938-965D-90299DC4D952}" name="1821"/>
    <tableColumn id="1835" xr3:uid="{7E77728C-E7C4-4BC1-8466-6229E4017A4D}" name="1822"/>
    <tableColumn id="1836" xr3:uid="{0624821B-0A20-47E0-8E76-8F8852F08CA6}" name="1823"/>
    <tableColumn id="1837" xr3:uid="{BBCCD6E8-FEBD-4E74-BD18-5C12311C89D5}" name="1824"/>
    <tableColumn id="1838" xr3:uid="{D185781F-05BD-4B09-92EF-65044231883F}" name="1825"/>
    <tableColumn id="1839" xr3:uid="{8ED76E34-8E71-4DAA-BC23-99774C153251}" name="1826"/>
    <tableColumn id="1840" xr3:uid="{0D810B22-EC4F-475B-8749-04949015985B}" name="1827"/>
    <tableColumn id="1841" xr3:uid="{198D84FD-27D7-4F30-BAC6-C0CDDB18A911}" name="1828"/>
    <tableColumn id="1842" xr3:uid="{F6A69B2B-5CC8-4E4B-A77C-1B95D26B65C9}" name="1829"/>
    <tableColumn id="1843" xr3:uid="{63BBC91C-9695-4135-8CD3-CCF13ECD1DE5}" name="1830"/>
    <tableColumn id="1844" xr3:uid="{30B69F81-0F67-4100-80AA-5385650D35E9}" name="1831"/>
    <tableColumn id="1845" xr3:uid="{F68EA6FB-AC14-4862-A028-ABE297D3B8E7}" name="1832"/>
    <tableColumn id="1846" xr3:uid="{479AF5A1-C1D3-4366-BC3E-2A2730E660E4}" name="1833"/>
    <tableColumn id="1847" xr3:uid="{2CEBF23B-FE4F-46C6-AC42-74047CC532E6}" name="1834"/>
    <tableColumn id="1848" xr3:uid="{4542063B-8EB4-42EF-AA11-850259D7DC00}" name="1835"/>
    <tableColumn id="1849" xr3:uid="{B86031CF-C37C-4E15-8426-5C961C22548F}" name="1836"/>
    <tableColumn id="1850" xr3:uid="{B9EC4C44-9494-4DF8-8259-6D1D6181250D}" name="1837"/>
    <tableColumn id="1851" xr3:uid="{725FB981-1316-45A9-8588-3F5C6DB4CCC8}" name="1838"/>
    <tableColumn id="1852" xr3:uid="{23751DBB-3C85-4EE4-8826-8D596DD88CFD}" name="1839"/>
    <tableColumn id="1853" xr3:uid="{F8533E80-3D77-44AD-97DA-D4841C006703}" name="1840"/>
    <tableColumn id="1854" xr3:uid="{10758FD0-631E-4384-A835-5CE4F2582E82}" name="1841"/>
    <tableColumn id="1855" xr3:uid="{29C522BB-3E88-4AD2-B4D4-E373223921B6}" name="1842"/>
    <tableColumn id="1856" xr3:uid="{E568B18A-E3F7-4F73-B817-180E4759826D}" name="1843"/>
    <tableColumn id="1857" xr3:uid="{E23ECB4A-A437-46B2-9878-2A21FC59BDE6}" name="1844"/>
    <tableColumn id="1858" xr3:uid="{D184CD6E-1E3E-440A-A99D-DCE255CDC7CA}" name="1845"/>
    <tableColumn id="1859" xr3:uid="{A8C9E615-4F01-41B4-9FA7-B3BF2E5472BC}" name="1846"/>
    <tableColumn id="1860" xr3:uid="{A6AF1DC4-DCAE-4917-948C-5ADFD71398DB}" name="1847"/>
    <tableColumn id="1861" xr3:uid="{6C00D548-46ED-4276-B63F-E2315E4328FE}" name="1848"/>
    <tableColumn id="1862" xr3:uid="{B36208A4-DAF2-40A8-A936-551667C4FEDE}" name="1849"/>
    <tableColumn id="1863" xr3:uid="{BC04C504-157F-4F22-B93B-A6F2B117AE4F}" name="1850"/>
    <tableColumn id="1864" xr3:uid="{050C8567-78FA-439B-B06F-53D8FB2DA1E4}" name="1851"/>
    <tableColumn id="1865" xr3:uid="{1B8CE07B-DF24-419D-BDB4-C2A389FD1452}" name="1852"/>
    <tableColumn id="1866" xr3:uid="{AB2DF7B5-EC08-41B0-BF72-B5C022E474CE}" name="1853"/>
    <tableColumn id="1867" xr3:uid="{2E186032-85CB-4DF4-829A-A33123BCE71F}" name="1854"/>
    <tableColumn id="1868" xr3:uid="{DACED809-0437-4683-9966-BE8644C5B180}" name="1855"/>
    <tableColumn id="1869" xr3:uid="{76A0E391-E636-4343-940C-62A24B48F510}" name="1856"/>
    <tableColumn id="1870" xr3:uid="{524AD849-DF6E-4D6B-B158-8E7633EB7B8C}" name="1857"/>
    <tableColumn id="1871" xr3:uid="{E3F22BEF-6A22-4289-A942-6C46DBFA1B82}" name="1858"/>
    <tableColumn id="1872" xr3:uid="{8FF86F2C-88C7-4705-987C-A96955429B86}" name="1859"/>
    <tableColumn id="1873" xr3:uid="{FC0666C7-CC5F-4579-94EC-C61E8F4EFF88}" name="1860"/>
    <tableColumn id="1874" xr3:uid="{DE28F2A7-4A00-4473-AC72-DC293253E457}" name="1861"/>
    <tableColumn id="1875" xr3:uid="{4615A6D7-5970-4501-AB75-618B8331A90D}" name="1862"/>
    <tableColumn id="1876" xr3:uid="{EB08A5F1-262D-4C95-94B8-3139E28C030A}" name="1863"/>
    <tableColumn id="1877" xr3:uid="{0D40B663-F602-42E9-8F65-98C165F7771C}" name="1864"/>
    <tableColumn id="1878" xr3:uid="{90BBD2E4-DB50-488E-801C-CF88A4614FBD}" name="1865"/>
    <tableColumn id="1879" xr3:uid="{C00306E5-ECA9-465C-B91D-5459DB3708FA}" name="1866"/>
    <tableColumn id="1880" xr3:uid="{365C53DD-3E0B-4298-B871-D427ACAEF1F4}" name="1867"/>
    <tableColumn id="1881" xr3:uid="{39A7C4CD-A3A6-4F6B-A66A-C66467549014}" name="1868"/>
    <tableColumn id="1882" xr3:uid="{2FAF775E-D1BA-4FF3-8B3A-1DC5F1984C1A}" name="1869"/>
    <tableColumn id="1883" xr3:uid="{013A8B01-F260-4A81-8D18-FE70A183D68F}" name="1870"/>
    <tableColumn id="1884" xr3:uid="{CA5E1184-C2CC-453A-A104-D8A9BAA27CCC}" name="1871"/>
    <tableColumn id="1885" xr3:uid="{1598517F-0723-44C6-8E9F-391E79BA9BBD}" name="1872"/>
    <tableColumn id="1886" xr3:uid="{AAB04DA9-683F-495E-A45C-785AC4AADB1F}" name="1873"/>
    <tableColumn id="1887" xr3:uid="{04BE6156-BFCB-4190-AF7E-DFD03E85DA0F}" name="1874"/>
    <tableColumn id="1888" xr3:uid="{0A2C1548-B90B-47AD-B467-A3092DB7FE73}" name="1875"/>
    <tableColumn id="1889" xr3:uid="{6909EA10-054B-4D21-B958-312C52754DD5}" name="1876"/>
    <tableColumn id="1890" xr3:uid="{2F0414C2-C0A7-4963-9837-2F2A6656976C}" name="1877"/>
    <tableColumn id="1891" xr3:uid="{1CBFCE80-FD9C-4C07-9F55-36E14034E049}" name="1878"/>
    <tableColumn id="1892" xr3:uid="{01DF1545-E99D-4295-AC48-62C79313F9BC}" name="1879"/>
    <tableColumn id="1893" xr3:uid="{ABA471CE-6E08-441A-B7DC-65EC9401FACF}" name="1880"/>
    <tableColumn id="1894" xr3:uid="{15E18700-032C-4B54-8FA4-12907A993011}" name="1881"/>
    <tableColumn id="1895" xr3:uid="{E5FCD886-77B3-49B7-AB22-88F29D0B4926}" name="1882"/>
    <tableColumn id="1896" xr3:uid="{924BEA23-238B-4516-8EE9-304ECEB15D90}" name="1883"/>
    <tableColumn id="1897" xr3:uid="{3C3AAD45-936F-43B1-AD77-7C48E35122F2}" name="1884"/>
    <tableColumn id="1898" xr3:uid="{AC601A82-0935-44E8-B4C9-AD68E7F457FC}" name="1885"/>
    <tableColumn id="1899" xr3:uid="{7A842304-017F-4375-BE2E-BBA1B26C5A2C}" name="1886"/>
    <tableColumn id="1900" xr3:uid="{0C15E4C1-0B0D-4781-B9E3-228194D0AEC6}" name="1887"/>
    <tableColumn id="1901" xr3:uid="{86329ABC-71B2-4825-9824-33B4E98F9989}" name="1888"/>
    <tableColumn id="1902" xr3:uid="{FE1320D9-2AB6-4DDE-99F7-517308055165}" name="1889"/>
    <tableColumn id="1903" xr3:uid="{DC1224AE-B5D0-4B12-99BF-A99C3C1B8B52}" name="1890"/>
    <tableColumn id="1904" xr3:uid="{788AB2C3-62C9-44C8-8E87-1F50611B1CDD}" name="1891"/>
    <tableColumn id="1905" xr3:uid="{9A813FA6-CE6B-46E7-B856-65DD31334248}" name="1892"/>
    <tableColumn id="1906" xr3:uid="{60C8498F-BE28-495F-8DFB-2052F3D000F1}" name="1893"/>
    <tableColumn id="1907" xr3:uid="{2954D05C-3B0F-45E1-B005-EB308ED14E1B}" name="1894"/>
    <tableColumn id="1908" xr3:uid="{E39BFF37-6F96-4148-9956-C377F4690FBB}" name="1895"/>
    <tableColumn id="1909" xr3:uid="{939EEE86-E7E0-48FE-BA7A-0C9986C99AC5}" name="1896"/>
    <tableColumn id="1910" xr3:uid="{6CB5F252-F7B1-48C6-9677-1A88AE04DCFE}" name="1897"/>
    <tableColumn id="1911" xr3:uid="{B60B388B-14E6-4372-B7B8-349FA7902C7F}" name="1898"/>
    <tableColumn id="1912" xr3:uid="{02B26C4B-FCA7-4321-8450-235635F81C82}" name="1899"/>
    <tableColumn id="1913" xr3:uid="{0A701948-93BB-4848-8403-B57B94BDC6AF}" name="1900"/>
    <tableColumn id="1914" xr3:uid="{8B659BAF-720B-44FD-9859-435130C0325D}" name="1901"/>
    <tableColumn id="1915" xr3:uid="{29948456-C58B-41AD-A4E3-24B6CBF0B12D}" name="1902"/>
    <tableColumn id="1916" xr3:uid="{5C9CCFCC-53BD-4113-832D-A13CD6B37B5C}" name="1903"/>
    <tableColumn id="1917" xr3:uid="{306369FD-C722-41B2-AB3B-63057D809EE1}" name="1904"/>
    <tableColumn id="1918" xr3:uid="{576E81CC-008E-4C4D-82CC-CBBFB1C1A3A0}" name="1905"/>
    <tableColumn id="1919" xr3:uid="{92B56931-F839-45A6-95AF-CEB01B5A713A}" name="1906"/>
    <tableColumn id="1920" xr3:uid="{60373842-ED23-46A6-B947-BFF2F16192AF}" name="1907"/>
    <tableColumn id="1921" xr3:uid="{50799C3C-2DE4-4BD1-B833-A0003D97A49F}" name="1908"/>
    <tableColumn id="1922" xr3:uid="{4C630214-39E7-4955-BF10-BC74E3D80E05}" name="1909"/>
    <tableColumn id="1923" xr3:uid="{493E82CB-C8FD-4FE2-94FE-3CFDC34290C2}" name="1910"/>
    <tableColumn id="1924" xr3:uid="{02CD73D2-5899-4006-ADCC-18DDAD0404B9}" name="1911"/>
    <tableColumn id="1925" xr3:uid="{C01AEC65-F5BC-451B-BA92-89BA5BA8255C}" name="1912"/>
    <tableColumn id="1926" xr3:uid="{ABAB0D32-94A4-4A94-B453-A553EE29AB15}" name="1913"/>
    <tableColumn id="1927" xr3:uid="{17F155A3-E478-4099-B331-135824C58D29}" name="1914"/>
    <tableColumn id="1928" xr3:uid="{67E2CB6B-9B6F-4FAD-B701-13D834D7FE37}" name="1915"/>
    <tableColumn id="1929" xr3:uid="{B1EDC98F-A357-4A98-BF49-308EA09DA752}" name="1916"/>
    <tableColumn id="1930" xr3:uid="{C891ADE6-8990-41AE-8C95-1C735F87C3C3}" name="1917"/>
    <tableColumn id="1931" xr3:uid="{FDD1C0FD-CF4C-4B0F-8567-DD924826D79E}" name="1918"/>
    <tableColumn id="1932" xr3:uid="{3CC6C886-E282-4F83-9741-C4B3B7D7F19B}" name="1919"/>
    <tableColumn id="1933" xr3:uid="{B417AD0F-6E40-41A1-A387-F4407A820479}" name="1920"/>
    <tableColumn id="1934" xr3:uid="{3D0C2AA3-568C-4392-90A6-1926D43F2F47}" name="1921"/>
    <tableColumn id="1935" xr3:uid="{7CF1A567-AB3F-48C0-B9D3-3E2B9E34F47C}" name="1922"/>
    <tableColumn id="1936" xr3:uid="{9027868F-2287-4479-9FEF-63883BFFA29C}" name="1923"/>
    <tableColumn id="1937" xr3:uid="{57E51B70-820A-499B-A13C-C2791BF89FED}" name="1924"/>
    <tableColumn id="1938" xr3:uid="{A3A8E3AD-FE5C-4D37-B836-D16AFA089023}" name="1925"/>
    <tableColumn id="1939" xr3:uid="{DC566FA1-8115-40BA-A691-7345BA54E235}" name="1926"/>
    <tableColumn id="1940" xr3:uid="{66A309C9-6388-46E8-9F50-1DA7FA16868B}" name="1927"/>
    <tableColumn id="1941" xr3:uid="{32F6D216-D748-40E8-933E-5EB254B5CDE5}" name="1928"/>
    <tableColumn id="1942" xr3:uid="{52BAEE3B-5584-43A7-85C9-59EBFB587A26}" name="1929"/>
    <tableColumn id="1943" xr3:uid="{CEA05A08-BEAC-4CE4-B26B-EE2758F80C6C}" name="1930"/>
    <tableColumn id="1944" xr3:uid="{E748FF50-6E7E-46D4-B638-1CB76F9F1DDE}" name="1931"/>
    <tableColumn id="1945" xr3:uid="{08D38DD6-6832-4F41-B0E4-4F29F611F98F}" name="1932"/>
    <tableColumn id="1946" xr3:uid="{D19EA40F-F49D-4775-AA46-1AD9F5493A93}" name="1933"/>
    <tableColumn id="1947" xr3:uid="{DD38693D-CAEC-46DF-BF6D-42FD4ECFC03D}" name="1934"/>
    <tableColumn id="1948" xr3:uid="{D12B9854-6A4F-4B48-9543-195AFDA2F294}" name="1935"/>
    <tableColumn id="1949" xr3:uid="{2DDE7121-BE64-4746-8CC1-626E42C49C47}" name="1936"/>
    <tableColumn id="1950" xr3:uid="{1E044395-8A6B-4449-9205-CBCD9429F608}" name="1937"/>
    <tableColumn id="1951" xr3:uid="{E4F25B34-BDA2-4EAE-9AD6-D12533210F93}" name="1938"/>
    <tableColumn id="1952" xr3:uid="{F4BFF63A-DE65-4549-99ED-91894D79B307}" name="1939"/>
    <tableColumn id="1953" xr3:uid="{3898FE00-F590-4155-A1CE-6A40B154A447}" name="1940"/>
    <tableColumn id="1954" xr3:uid="{C847FAFD-56E1-491C-92E9-F02EC1F50B47}" name="1941"/>
    <tableColumn id="1955" xr3:uid="{FEE2FBAC-3585-466B-B38D-78FAC26EDFD6}" name="1942"/>
    <tableColumn id="1956" xr3:uid="{FE5411E1-1A95-49C3-9ABC-95A6C190B5E5}" name="1943"/>
    <tableColumn id="1957" xr3:uid="{FDC2F7EF-6DB2-48A6-9467-F0FB1352A26A}" name="1944"/>
    <tableColumn id="1958" xr3:uid="{8950EAD6-2B01-4FF8-8431-66A1055D168A}" name="1945"/>
    <tableColumn id="1959" xr3:uid="{D192391B-BC91-406E-ABC4-C945722217BF}" name="1946"/>
    <tableColumn id="1960" xr3:uid="{333404A8-A95C-4E96-93B2-BC296E994777}" name="1947"/>
    <tableColumn id="1961" xr3:uid="{F29C9879-48B2-4488-ABB5-FEB91AB882E2}" name="1948"/>
    <tableColumn id="1962" xr3:uid="{3F660773-ABAA-468D-BFB3-C92424B7A314}" name="1949"/>
    <tableColumn id="1963" xr3:uid="{20496E87-C93A-458D-84A8-8849B73C2CA6}" name="1950"/>
    <tableColumn id="1964" xr3:uid="{D2C03F75-C077-4C86-8DE6-C30220BDFE12}" name="1951"/>
    <tableColumn id="1965" xr3:uid="{0BCAD902-589D-42A5-8A3B-6FAB99F0A281}" name="1952"/>
    <tableColumn id="1966" xr3:uid="{104212B9-9B39-43DA-9237-B87126D0D972}" name="1953"/>
    <tableColumn id="1967" xr3:uid="{2FE66F53-70F1-49D9-9531-669DF5ECA0B0}" name="1954"/>
    <tableColumn id="1968" xr3:uid="{1C7A5C7E-8201-4E62-BB9B-E294476B0C54}" name="1955"/>
    <tableColumn id="1969" xr3:uid="{D1468F7C-BA00-4D75-90EF-097B43838FC7}" name="1956"/>
    <tableColumn id="1970" xr3:uid="{706768C2-DF5B-4C0A-9E79-E0534D07616D}" name="1957"/>
    <tableColumn id="1971" xr3:uid="{5ABFA88A-A57B-44D4-924F-00D0A655567C}" name="1958"/>
    <tableColumn id="1972" xr3:uid="{30E51D1A-851E-4DB8-A293-24006C6C7700}" name="1959"/>
    <tableColumn id="1973" xr3:uid="{31E24EB8-0F8F-4D56-B058-2D6D4ABCC46C}" name="1960"/>
    <tableColumn id="1974" xr3:uid="{36A4BE77-AC1C-45AA-BD67-600EAB531857}" name="1961"/>
    <tableColumn id="1975" xr3:uid="{642C4476-3EFC-44CE-B98B-576216D39B25}" name="1962"/>
    <tableColumn id="1976" xr3:uid="{32336177-AC92-4D68-9952-8039651CA663}" name="1963"/>
    <tableColumn id="1977" xr3:uid="{11C1E029-74E8-4095-B133-F6DC1DA3FE72}" name="1964"/>
    <tableColumn id="1978" xr3:uid="{5EF5B527-A7BE-4D8D-A5F9-F6736433FE8F}" name="1965"/>
    <tableColumn id="1979" xr3:uid="{11360ED9-2653-45A8-80A2-45302C8838FC}" name="1966"/>
    <tableColumn id="1980" xr3:uid="{24FAFDE6-054C-4CE7-8780-AA9FDD0873B5}" name="1967"/>
    <tableColumn id="1981" xr3:uid="{000412D6-053C-4904-880A-05B016C25A87}" name="1968"/>
    <tableColumn id="1982" xr3:uid="{B25D729F-CB01-4159-853D-3734AEC0FE52}" name="1969"/>
    <tableColumn id="1983" xr3:uid="{73F14179-BE10-4964-BFA0-0386817DA2F4}" name="1970"/>
    <tableColumn id="1984" xr3:uid="{488C56FC-E29C-490F-BC4A-4EF01269DF6B}" name="1971"/>
    <tableColumn id="1985" xr3:uid="{5AEA2085-F48B-4015-A202-49B720D1DD2B}" name="1972"/>
    <tableColumn id="1986" xr3:uid="{6141EEA2-B1F2-4DB8-A0D2-367EDB03837A}" name="1973"/>
    <tableColumn id="1987" xr3:uid="{8DA1C82F-FE22-400D-B8FA-C96791C00239}" name="1974"/>
    <tableColumn id="1988" xr3:uid="{028DC02E-C21F-4D7E-92B6-3AEF5ED4B758}" name="1975"/>
    <tableColumn id="1989" xr3:uid="{EBB7F66C-ECB5-4653-85D3-DF6F4317D7E3}" name="1976"/>
    <tableColumn id="1990" xr3:uid="{BCFD02E4-4A90-4CD6-8017-6E7C516220AC}" name="1977"/>
    <tableColumn id="1991" xr3:uid="{8B2D538C-2042-4007-805C-BC58D0230BE1}" name="1978"/>
    <tableColumn id="1992" xr3:uid="{421957AC-0C26-4A1B-8291-7DE753922FF6}" name="1979"/>
    <tableColumn id="1993" xr3:uid="{46CBB9B6-D467-4DDD-AED5-9EC0A0281589}" name="1980"/>
    <tableColumn id="1994" xr3:uid="{56BCAECB-3DF6-49C3-AA54-DDE083140D56}" name="1981"/>
    <tableColumn id="1995" xr3:uid="{6B3245EA-AC47-4B72-A00D-EEFDD6DD3BC0}" name="1982"/>
    <tableColumn id="1996" xr3:uid="{724C0DB1-647C-4E29-83C9-BF3F06CC99DB}" name="1983"/>
    <tableColumn id="1997" xr3:uid="{15E341F3-8459-4C8C-A11F-DEDD9AA1A61E}" name="1984"/>
    <tableColumn id="1998" xr3:uid="{915F830D-2B60-4F6E-8E29-237BFB00ADD5}" name="1985"/>
    <tableColumn id="1999" xr3:uid="{0680B9DD-789E-49B0-AD95-83C1E8AE69A4}" name="1986"/>
    <tableColumn id="2000" xr3:uid="{B5FB8D32-C1AC-46B9-A333-62C5E9D7D422}" name="1987"/>
    <tableColumn id="2001" xr3:uid="{7523F41B-432F-459E-BFAD-1FD25E9B8ADE}" name="1988"/>
    <tableColumn id="2002" xr3:uid="{97547477-22AD-480F-A129-B67F3FB0D570}" name="1989"/>
    <tableColumn id="2003" xr3:uid="{54D58587-94BF-4D5F-B67B-7C3651E56956}" name="1990"/>
    <tableColumn id="2004" xr3:uid="{4A779466-C87C-4B0C-A6C9-1A2A36056D3E}" name="1991"/>
    <tableColumn id="2005" xr3:uid="{B22FC0B2-F010-4210-8BD5-B14C66A63EB0}" name="1992"/>
    <tableColumn id="2006" xr3:uid="{19954E2E-5A78-4D5F-9EAF-918A4C84D108}" name="1993"/>
    <tableColumn id="2007" xr3:uid="{D54569A0-16AF-4EB7-9DBB-96D01D8A981D}" name="1994"/>
    <tableColumn id="2008" xr3:uid="{B3D9E80C-9B66-4FEE-AA21-19AB718D2011}" name="1995"/>
    <tableColumn id="2009" xr3:uid="{B577F182-C388-402D-8D10-3E59BE7D54B4}" name="1996"/>
    <tableColumn id="2010" xr3:uid="{7D9C1757-F0DA-45BA-A2D8-94846C0F239F}" name="1997"/>
    <tableColumn id="2011" xr3:uid="{867F62C9-FA0F-4F3D-9CEF-EF6F2BDE5B3E}" name="1998"/>
    <tableColumn id="2012" xr3:uid="{2FED1103-F959-4A39-AA78-0D88CB992DBA}" name="1999"/>
    <tableColumn id="2013" xr3:uid="{30791B19-83D2-4922-8D0C-EE85344BD3C8}" name="2000"/>
    <tableColumn id="2014" xr3:uid="{EAD13502-3482-4F30-B3A3-3721FD46B6CE}" name="2001"/>
    <tableColumn id="2015" xr3:uid="{52E7FF8F-CB3B-4ED3-8A60-81147C607C6F}" name="2002"/>
    <tableColumn id="2016" xr3:uid="{D9738E1C-25DA-4226-BE00-F3DB6CE6ECDD}" name="2003"/>
    <tableColumn id="2017" xr3:uid="{11DC6753-384F-4D27-BACC-4D8DFB82D6B5}" name="2004"/>
    <tableColumn id="2018" xr3:uid="{F20DF0E5-33CE-4399-BA2C-784D17935384}" name="2005"/>
    <tableColumn id="2019" xr3:uid="{8EB280CD-145E-44CA-B5BD-98A89FF770C7}" name="2006"/>
    <tableColumn id="2020" xr3:uid="{54E77981-AB3F-4EF6-8674-D6471AB9427B}" name="2007"/>
    <tableColumn id="2021" xr3:uid="{DA032C11-6940-43DA-840D-9735B392E26C}" name="2008"/>
    <tableColumn id="2022" xr3:uid="{9F87B58C-9E9D-49E6-8A00-C74A1B049728}" name="2009"/>
    <tableColumn id="2023" xr3:uid="{439E55E0-F52A-4460-8EBA-EAC990B50262}" name="2010"/>
    <tableColumn id="2024" xr3:uid="{9BD104FD-BC30-463E-B677-ADC9D83EF287}" name="2011"/>
    <tableColumn id="2025" xr3:uid="{6EFD9206-24BC-4D6F-890E-45A202E32CBC}" name="2012"/>
    <tableColumn id="2026" xr3:uid="{92CC8C09-5587-43AE-8EE4-A659D5858598}" name="2013"/>
    <tableColumn id="2027" xr3:uid="{F7A894DD-F175-4583-84B1-F64FBD7FFE04}" name="2014"/>
    <tableColumn id="2028" xr3:uid="{D30E1362-BFB2-4D02-B762-E583A98E78BA}" name="2015"/>
    <tableColumn id="2029" xr3:uid="{72CDC08D-0632-4987-B13E-23DCE03A0967}" name="2016"/>
    <tableColumn id="2030" xr3:uid="{D712BBA1-4040-44DA-96C3-9F5A0148ACD1}" name="2017"/>
    <tableColumn id="2031" xr3:uid="{E482DD1C-1208-47D8-96A0-57E111020BB2}" name="2018"/>
    <tableColumn id="2032" xr3:uid="{EDF925FF-A03E-418A-8E6D-3FBC003960FF}" name="2019"/>
    <tableColumn id="2033" xr3:uid="{2230CE85-78F1-442C-BB28-7E2D688B7469}" name="2020"/>
    <tableColumn id="2034" xr3:uid="{102E0629-752C-4EAB-A14A-AE203E6F469A}" name="2021"/>
    <tableColumn id="2035" xr3:uid="{68C62ECF-2F43-4B04-87BA-F8BF41BD953E}" name="2022"/>
    <tableColumn id="2036" xr3:uid="{4516BD70-527A-46F1-A543-F2AABCF19221}" name="2023"/>
    <tableColumn id="2037" xr3:uid="{2C29C336-6DD3-408E-9FE7-8BBE8A430016}" name="2024"/>
    <tableColumn id="2038" xr3:uid="{E1A4D69D-0A51-4095-9254-BF1F92DC3BB5}" name="2025"/>
    <tableColumn id="2039" xr3:uid="{3459252A-3CE4-4ECE-A6D0-FECC0444F05C}" name="2026"/>
    <tableColumn id="2040" xr3:uid="{A601A287-E591-4E5B-8AAF-0EDFB6EE1919}" name="2027"/>
    <tableColumn id="2041" xr3:uid="{E27EAD2B-6C0F-4C03-B3B3-2F1A11AF532C}" name="2028"/>
    <tableColumn id="2042" xr3:uid="{F98942EB-169C-4A28-A19F-AE9F86D1D935}" name="2029"/>
    <tableColumn id="2043" xr3:uid="{AAA95287-38A1-41C5-852B-968145D38D2A}" name="2030"/>
    <tableColumn id="2044" xr3:uid="{03EAEC74-5537-44AD-83EB-2846AB164E64}" name="2031"/>
    <tableColumn id="2045" xr3:uid="{1B5C7BC1-15F7-41B0-8E84-2FF4E5EBFEF1}" name="2032"/>
    <tableColumn id="2046" xr3:uid="{F70931E7-2B20-4EB0-A7B0-9E9F0E1CF6E4}" name="2033"/>
    <tableColumn id="2047" xr3:uid="{9474E289-5C2C-4B88-8FC5-ED028B616369}" name="2034"/>
    <tableColumn id="2048" xr3:uid="{01A42956-925B-41A1-9014-D00CBFD5236A}" name="2035"/>
    <tableColumn id="2049" xr3:uid="{2656EDD9-5D87-4A29-A6FD-8FA94C67E21C}" name="2036"/>
    <tableColumn id="2050" xr3:uid="{E7794AEA-DEB2-48C1-A7F1-A6CB18AF6081}" name="2037"/>
    <tableColumn id="2051" xr3:uid="{D03036CA-10DC-45BF-AF13-1BA8A0BC7C92}" name="2038"/>
    <tableColumn id="2052" xr3:uid="{B3074581-CF62-46BC-8A90-62189B8EA809}" name="2039"/>
    <tableColumn id="2053" xr3:uid="{465EEF33-1119-4A21-AB4B-17E0825FD798}" name="2040"/>
    <tableColumn id="2054" xr3:uid="{514C0741-9690-44C5-9556-6B0F2B644DE3}" name="2041"/>
    <tableColumn id="2055" xr3:uid="{2D2FEAEE-F8FB-4F28-B40E-6EF482AF7583}" name="2042"/>
    <tableColumn id="2056" xr3:uid="{3853D0CF-CAE1-4EDD-BEE0-0194B3484BD3}" name="2043"/>
    <tableColumn id="2057" xr3:uid="{42E2F20C-2EA2-4CBA-A1E8-42704E1E991E}" name="2044"/>
    <tableColumn id="2058" xr3:uid="{71F563AA-0858-43EB-A4C1-40DF4108AF63}" name="2045"/>
    <tableColumn id="2059" xr3:uid="{05BD9C15-7BB1-4FD7-B42B-34AEEF6C2BD1}" name="2046"/>
    <tableColumn id="2060" xr3:uid="{5E1E010B-5F00-4B5F-ABAE-5F8F26D0C6E8}" name="2047"/>
    <tableColumn id="2061" xr3:uid="{BCD462BB-1156-4F88-A63F-626526AAB0DD}" name="2048"/>
    <tableColumn id="2062" xr3:uid="{06B95A2A-CF2A-49B1-84C5-E783F3221F4E}" name="2049"/>
    <tableColumn id="2063" xr3:uid="{639DCDAE-9A9D-4D6C-8B63-A4F20597DDF3}" name="2050"/>
    <tableColumn id="2064" xr3:uid="{866C6636-170D-461E-925C-E57EA97882EE}" name="2051"/>
    <tableColumn id="2065" xr3:uid="{61A05276-4FA9-4B5F-B7EB-F788FAC54A7C}" name="2052"/>
    <tableColumn id="2066" xr3:uid="{91CCBA1E-7245-4222-BBE8-1B13823AA02B}" name="2053"/>
    <tableColumn id="2067" xr3:uid="{06AD49A6-5F59-43B2-97D3-0037EC705B53}" name="2054"/>
    <tableColumn id="2068" xr3:uid="{31DAF69D-37E8-41D8-9C22-B5F3483FD4FF}" name="2055"/>
    <tableColumn id="2069" xr3:uid="{00077847-FBDD-4A22-8C81-447CB2A16321}" name="2056"/>
    <tableColumn id="2070" xr3:uid="{E815B671-8135-4BE7-8ED8-A87DF103B975}" name="2057"/>
    <tableColumn id="2071" xr3:uid="{7521F603-97B5-4ED9-A1E0-DEC86E569569}" name="2058"/>
    <tableColumn id="2072" xr3:uid="{49B628A1-25E3-4C70-A7E1-6A43FA617FD7}" name="2059"/>
    <tableColumn id="2073" xr3:uid="{B727749A-8A0A-4ECD-838D-BACAB7FCEC55}" name="2060"/>
    <tableColumn id="2074" xr3:uid="{01C089B9-07A7-48F1-ABE6-66E9FA030FF7}" name="2061"/>
    <tableColumn id="2075" xr3:uid="{69DE88B6-988B-43BA-A43B-8E9E236B7615}" name="2062"/>
    <tableColumn id="2076" xr3:uid="{578656DA-2315-4202-AB24-36C1F28EAB81}" name="2063"/>
    <tableColumn id="2077" xr3:uid="{8E67FF11-4770-4696-9FD2-E9E89329A2B4}" name="2064"/>
    <tableColumn id="2078" xr3:uid="{FABF53EC-3422-49F9-8A8D-2A400468173C}" name="2065"/>
    <tableColumn id="2079" xr3:uid="{1C0FB779-6FB8-4838-85DA-82D867CA2158}" name="2066"/>
    <tableColumn id="2080" xr3:uid="{3DB11E13-0613-4B2B-8BAD-1589F10A0103}" name="2067"/>
    <tableColumn id="2081" xr3:uid="{05444BC8-80C5-49AC-8B8B-ABC1715546A3}" name="2068"/>
    <tableColumn id="2082" xr3:uid="{3BF2CA45-ED92-4436-878F-8DCC9F1EF5CA}" name="2069"/>
    <tableColumn id="2083" xr3:uid="{7C759708-9832-489C-883C-60019A117F70}" name="2070"/>
    <tableColumn id="2084" xr3:uid="{4CB45EF7-3F96-44BD-BE0A-F7DFD0C0D269}" name="2071"/>
    <tableColumn id="2085" xr3:uid="{5307E126-8964-4F35-8DA6-C646D5E874C0}" name="2072"/>
    <tableColumn id="2086" xr3:uid="{C503D913-1BDF-4FF1-8FA0-22F4DE53FABD}" name="2073"/>
    <tableColumn id="2087" xr3:uid="{5C9ACB65-F097-4F57-B32E-6755DF9A70E3}" name="2074"/>
    <tableColumn id="2088" xr3:uid="{DC6AB4B2-6AB8-4A8C-BB3A-99BCE37DC3E5}" name="2075"/>
    <tableColumn id="2089" xr3:uid="{F8E1A05C-F9EF-488C-80CA-2F2929C9F6E6}" name="2076"/>
    <tableColumn id="2090" xr3:uid="{0C6467BC-1629-4C13-A224-456E2B6E8044}" name="2077"/>
    <tableColumn id="2091" xr3:uid="{A51073B2-17E2-463A-8FDB-27BA7876E2AB}" name="2078"/>
    <tableColumn id="2092" xr3:uid="{4C83AB27-2E87-42A2-9A2A-071CCA1C2520}" name="2079"/>
    <tableColumn id="2093" xr3:uid="{7E6B9FE3-CBE1-4741-AA28-2812EA2802F2}" name="2080"/>
    <tableColumn id="2094" xr3:uid="{B8C629DE-12E9-4BA3-969F-A49424855A56}" name="2081"/>
    <tableColumn id="2095" xr3:uid="{C794E2B2-A348-402D-A264-620E8379CCE8}" name="2082"/>
    <tableColumn id="2096" xr3:uid="{58B9C46A-E814-4BD3-BD01-D70D89E62D64}" name="2083"/>
    <tableColumn id="2097" xr3:uid="{B04162F1-D52A-4322-AB03-712C1DAC72F9}" name="2084"/>
    <tableColumn id="2098" xr3:uid="{C9DE3D79-CF8A-4532-8759-7670AD2557B3}" name="2085"/>
    <tableColumn id="2099" xr3:uid="{B0610F32-813F-4D4B-A24D-859551B97C20}" name="2086"/>
    <tableColumn id="2100" xr3:uid="{4759D3C9-C3E9-4DF5-8323-592013B46E1B}" name="2087"/>
    <tableColumn id="2101" xr3:uid="{05B49F2D-DF3A-4776-9663-DDFFEFF935D3}" name="2088"/>
    <tableColumn id="2102" xr3:uid="{144B58DF-4E0E-466B-9C9C-BF36157434EA}" name="2089"/>
    <tableColumn id="2103" xr3:uid="{D6ABDCAD-5AD5-4ED6-8D9B-B2A94B34B41D}" name="2090"/>
    <tableColumn id="2104" xr3:uid="{68C3DE0A-AA06-4561-B8E1-C531862F3CA0}" name="2091"/>
    <tableColumn id="2105" xr3:uid="{1917F6F2-2771-4F4A-819E-89D813657FF8}" name="2092"/>
    <tableColumn id="2106" xr3:uid="{7D5A2E52-AA71-45F0-944A-7C348E886101}" name="2093"/>
    <tableColumn id="2107" xr3:uid="{063461AE-1C93-4052-99D1-5396B07E7047}" name="2094"/>
    <tableColumn id="2108" xr3:uid="{149DB9C9-D230-4C7A-A1A9-173DFFD6614E}" name="2095"/>
    <tableColumn id="2109" xr3:uid="{CAC7310F-C542-44F2-BD3A-67BA787955FF}" name="2096"/>
    <tableColumn id="2110" xr3:uid="{5713AF15-FF8A-4541-9AB4-D6D7A0528793}" name="2097"/>
    <tableColumn id="2111" xr3:uid="{8A097A02-D06F-4407-81DA-98FE224D5D16}" name="2098"/>
    <tableColumn id="2112" xr3:uid="{F77A06D4-2953-4EF5-85E2-A876365D3361}" name="2099"/>
    <tableColumn id="2113" xr3:uid="{3EE866AB-8B85-4162-8B03-802709EE19A4}" name="2100"/>
    <tableColumn id="2114" xr3:uid="{FF57E78D-4032-4E4B-840D-1CAC434CFE13}" name="2101"/>
    <tableColumn id="2115" xr3:uid="{C934A107-C2B7-4390-9B7A-3E2BB7A55FEE}" name="2102"/>
    <tableColumn id="2116" xr3:uid="{CE30A447-8187-4022-8112-C75D6FAFBC91}" name="2103"/>
    <tableColumn id="2117" xr3:uid="{7C7A06C6-2F6A-40A1-BB1B-116A74720C04}" name="2104"/>
    <tableColumn id="2118" xr3:uid="{2B118234-2738-4872-8A79-134ECCC229F2}" name="2105"/>
    <tableColumn id="2119" xr3:uid="{B3027148-323D-47ED-AC7A-52B641B9D19D}" name="2106"/>
    <tableColumn id="2120" xr3:uid="{76238E9E-E97D-4638-8A7F-C97256F23323}" name="2107"/>
    <tableColumn id="2121" xr3:uid="{188AD1B4-2FE6-4EAF-9940-F68AFAC6FE89}" name="2108"/>
    <tableColumn id="2122" xr3:uid="{20029B41-C87E-4A2C-B174-B1778DFB3C9B}" name="2109"/>
    <tableColumn id="2123" xr3:uid="{6EC11FC9-BAB0-4F0B-8227-7FABB49A9E04}" name="2110"/>
    <tableColumn id="2124" xr3:uid="{AAA04821-2780-4851-B651-2D44E8CC1D41}" name="2111"/>
    <tableColumn id="2125" xr3:uid="{0D97BC8D-4499-4564-B906-75B03679E5A6}" name="2112"/>
    <tableColumn id="2126" xr3:uid="{E1824106-A289-40E4-A9F5-B7582121D0E3}" name="2113"/>
    <tableColumn id="2127" xr3:uid="{F5BE29F8-7DE1-4912-8CE1-D65560B595F0}" name="2114"/>
    <tableColumn id="2128" xr3:uid="{43F856E6-B184-4E5E-9E23-43DE9E4C4A0B}" name="2115"/>
    <tableColumn id="2129" xr3:uid="{DD2C1E47-C608-4E51-BB37-F69E1D726FD1}" name="2116"/>
    <tableColumn id="2130" xr3:uid="{EC298E99-1D8D-4396-B404-3717D12900DE}" name="2117"/>
    <tableColumn id="2131" xr3:uid="{87AE2740-8356-4199-BF2F-181DCEFACA5F}" name="2118"/>
    <tableColumn id="2132" xr3:uid="{E2B0C110-A569-4A1F-B0E0-595184099C08}" name="2119"/>
    <tableColumn id="2133" xr3:uid="{F697067F-6A85-44C8-8058-3E3DBDDD8CB1}" name="2120"/>
    <tableColumn id="2134" xr3:uid="{017ADC6F-2F4D-41E0-8AE3-132B2ED58B39}" name="2121"/>
    <tableColumn id="2135" xr3:uid="{04624741-CA6B-4F12-8973-C2A03C518C45}" name="2122"/>
    <tableColumn id="2136" xr3:uid="{82E44828-793A-43AF-84CA-706159681990}" name="2123"/>
    <tableColumn id="2137" xr3:uid="{E1AF2044-0DB6-4596-BB08-74CADF88A79F}" name="2124"/>
    <tableColumn id="2138" xr3:uid="{7C52E8EA-696E-4CD0-B9E4-DD146DE71739}" name="2125"/>
    <tableColumn id="2139" xr3:uid="{973921CB-14E7-4B7E-8289-D07BBED74A0F}" name="2126"/>
    <tableColumn id="2140" xr3:uid="{F1F50B42-6B40-41E1-A154-BA1B93D32572}" name="2127"/>
    <tableColumn id="2141" xr3:uid="{A540D31E-6924-4D0A-BFA1-64EC9FA4893A}" name="2128"/>
    <tableColumn id="2142" xr3:uid="{2B7E2E86-A8FD-4F1E-BB41-605A4956E426}" name="2129"/>
    <tableColumn id="2143" xr3:uid="{530032E0-8F1E-4175-9EA1-D183A366EFCC}" name="2130"/>
    <tableColumn id="2144" xr3:uid="{132203B4-008B-4BBD-93CC-388518056C7F}" name="2131"/>
    <tableColumn id="2145" xr3:uid="{721D8AAC-9C23-4325-9A85-44103B8ABFE1}" name="2132"/>
    <tableColumn id="2146" xr3:uid="{D3ED15FE-2D27-4057-B790-770525AADC20}" name="2133"/>
    <tableColumn id="2147" xr3:uid="{7F2373CB-36DD-492A-90BC-FC63B54D4756}" name="2134"/>
    <tableColumn id="2148" xr3:uid="{BD60A976-41E5-43B5-87A6-82E8EF855818}" name="2135"/>
    <tableColumn id="2149" xr3:uid="{AC1E8B36-78C0-4045-91E1-6FC45ED539B5}" name="2136"/>
    <tableColumn id="2150" xr3:uid="{48C1EC32-07DD-4A72-99AA-124424C62E5C}" name="2137"/>
    <tableColumn id="2151" xr3:uid="{12D818AD-0166-43D7-874D-934355E30297}" name="2138"/>
    <tableColumn id="2152" xr3:uid="{0ECFCC86-ECBA-4848-B1EB-9DB55D53F269}" name="2139"/>
    <tableColumn id="2153" xr3:uid="{6AE79EF6-0CA8-421C-9CB2-DA18BF8D35CF}" name="2140"/>
    <tableColumn id="2154" xr3:uid="{EA39C017-BB88-4337-AF9D-2C0391D97A8A}" name="2141"/>
    <tableColumn id="2155" xr3:uid="{A8A41B02-FC0C-424F-8C37-58960DBD2CAA}" name="2142"/>
    <tableColumn id="2156" xr3:uid="{A91DAC37-DFCB-4010-BB0B-13BD0E18E779}" name="2143"/>
    <tableColumn id="2157" xr3:uid="{476ACB44-05EC-4680-A170-B066060F332E}" name="2144"/>
    <tableColumn id="2158" xr3:uid="{142A3608-C702-4C1B-944A-85851BED6792}" name="2145"/>
    <tableColumn id="2159" xr3:uid="{8C1724EF-66B6-4E2B-88E7-2D1821590BC4}" name="2146"/>
    <tableColumn id="2160" xr3:uid="{56A186C6-4B4A-44B1-9DE5-E6300A22DF46}" name="2147"/>
    <tableColumn id="2161" xr3:uid="{E990FEDE-980F-43D2-BC42-E320BCF2A0F8}" name="2148"/>
    <tableColumn id="2162" xr3:uid="{B8579CCF-2397-40F8-9DD5-C8317445AD43}" name="2149"/>
    <tableColumn id="2163" xr3:uid="{ACA91AA1-5F2B-4720-A4E7-FF1CD010EF89}" name="2150"/>
    <tableColumn id="2164" xr3:uid="{39E4013E-80DE-4BB8-8F40-7D4DFFF3A6A2}" name="2151"/>
    <tableColumn id="2165" xr3:uid="{A39A27A3-744F-44C3-825F-69AFFBA5241E}" name="2152"/>
    <tableColumn id="2166" xr3:uid="{1A7E056B-674B-45F3-BB27-CFF7FA356A19}" name="2153"/>
    <tableColumn id="2167" xr3:uid="{3C5D90D5-12F2-450B-A015-709877686093}" name="2154"/>
    <tableColumn id="2168" xr3:uid="{523ACF1F-8EA2-43FE-A4E9-A59A4E6DCCD2}" name="2155"/>
    <tableColumn id="2169" xr3:uid="{C33F33E9-31FB-4497-B59D-8409E8CE94B7}" name="2156"/>
    <tableColumn id="2170" xr3:uid="{FF800238-496E-4DC8-9D20-0BEC99E864A2}" name="2157"/>
    <tableColumn id="2171" xr3:uid="{6A537AB9-1B9F-410D-BFCD-3C601B7E171C}" name="2158"/>
    <tableColumn id="2172" xr3:uid="{4115A031-8212-4AFC-BA85-0478468DF8B2}" name="2159"/>
    <tableColumn id="2173" xr3:uid="{4EC8F120-DC59-4D63-B682-804A9919A163}" name="2160"/>
    <tableColumn id="2174" xr3:uid="{8E56F2BA-752D-41A6-B5B3-D7DD89A6728A}" name="2161"/>
    <tableColumn id="2175" xr3:uid="{DA58989A-22FF-4E9B-B0AB-8CF3CCE89A4D}" name="2162"/>
    <tableColumn id="2176" xr3:uid="{1F71080F-1A47-44CD-A34A-59F87B012380}" name="2163"/>
    <tableColumn id="2177" xr3:uid="{43B9B811-D239-489B-99AC-782521A08D84}" name="2164"/>
    <tableColumn id="2178" xr3:uid="{BBE46336-35E2-4E34-82B1-FBF019C711A2}" name="2165"/>
    <tableColumn id="2179" xr3:uid="{2896310D-6983-433F-A463-72266CFB973C}" name="2166"/>
    <tableColumn id="2180" xr3:uid="{51E9C5FA-C7C3-4920-BB3F-AC94CF47E59D}" name="2167"/>
    <tableColumn id="2181" xr3:uid="{2EFBC85B-AFFB-4E14-9299-DFE9DF84A332}" name="2168"/>
    <tableColumn id="2182" xr3:uid="{DE1A9D47-F5A0-407B-AF27-7BD3B5657FC0}" name="2169"/>
    <tableColumn id="2183" xr3:uid="{82A75458-0CAC-4718-B829-EE161F8763DF}" name="2170"/>
    <tableColumn id="2184" xr3:uid="{DA40FF55-6EEC-46BF-AC77-123F57375C0C}" name="2171"/>
    <tableColumn id="2185" xr3:uid="{893F1471-2E86-4539-99CD-3E5E0780B6BB}" name="2172"/>
    <tableColumn id="2186" xr3:uid="{9FA9BA15-9B41-408F-B04B-C4269E08A424}" name="2173"/>
    <tableColumn id="2187" xr3:uid="{4855B9E0-8D98-4A47-9D90-4B80BFF7FBA9}" name="2174"/>
    <tableColumn id="2188" xr3:uid="{AFB91DB0-1220-4926-8934-521E4F593EAA}" name="2175"/>
    <tableColumn id="2189" xr3:uid="{20807D35-B0D6-48CA-89A5-8D84548F038D}" name="2176"/>
    <tableColumn id="2190" xr3:uid="{7F74F5AE-6A42-4C9D-AA18-C28F6C19A639}" name="2177"/>
    <tableColumn id="2191" xr3:uid="{95A4A587-7B03-4D7E-8FC3-3594E0595EAD}" name="2178"/>
    <tableColumn id="2192" xr3:uid="{8761B5E0-A1C6-4F53-8A31-F89320E57748}" name="2179"/>
    <tableColumn id="2193" xr3:uid="{1DAD9B0B-F5A4-4126-B731-85FD6A438F47}" name="2180"/>
    <tableColumn id="2194" xr3:uid="{82007AFB-A2F7-4C2F-AE51-0E00F861CAEB}" name="2181"/>
    <tableColumn id="2195" xr3:uid="{F9ABE964-760D-4879-9206-49874ABA0724}" name="2182"/>
    <tableColumn id="2196" xr3:uid="{4D107CB5-8DCB-4DA3-B41C-831FFA768B90}" name="2183"/>
    <tableColumn id="2197" xr3:uid="{BF047C56-00E4-4A89-9F64-7129067DD60E}" name="2184"/>
    <tableColumn id="2198" xr3:uid="{8E85DDB9-0A00-4ED8-91CE-ADF9D739E61C}" name="2185"/>
    <tableColumn id="2199" xr3:uid="{F805C950-D7B3-4333-B81E-A0032EDEE41C}" name="2186"/>
    <tableColumn id="2200" xr3:uid="{0BE1356D-B529-48FB-8DA0-941BA89C1772}" name="2187"/>
    <tableColumn id="2201" xr3:uid="{BBDE5B6A-AD7B-4872-80AE-C2A0EEA2CD2A}" name="2188"/>
    <tableColumn id="2202" xr3:uid="{E0009D78-C728-4F65-BBAE-7133DB3DC413}" name="2189"/>
    <tableColumn id="2203" xr3:uid="{B4B55D9E-1117-4DE5-B65C-E03132164F42}" name="2190"/>
    <tableColumn id="2204" xr3:uid="{1ACDF621-394C-401D-B7C5-AEE0510FE612}" name="2191"/>
    <tableColumn id="2205" xr3:uid="{9843D669-F35D-4F98-B0A3-AE9EAFA4A9C0}" name="2192"/>
    <tableColumn id="2206" xr3:uid="{FCF31764-47CF-4245-AA65-A9BAFD0E3234}" name="2193"/>
    <tableColumn id="2207" xr3:uid="{FAB5AA64-5905-44B5-A624-54A99B816BE7}" name="2194"/>
    <tableColumn id="2208" xr3:uid="{FCEED117-3E44-4B67-B994-E612C50CA8A3}" name="2195"/>
    <tableColumn id="2209" xr3:uid="{7A81EDF2-6C8D-4455-AC10-9B48C6C30196}" name="2196"/>
    <tableColumn id="2210" xr3:uid="{C4158489-B117-4D9F-9E53-13820E921134}" name="2197"/>
    <tableColumn id="2211" xr3:uid="{458AA971-6DB4-49D8-B6A6-5E9FA18E4BDB}" name="2198"/>
    <tableColumn id="2212" xr3:uid="{74F4BCBC-2221-4FAD-9152-F9E3B5FE0A15}" name="2199"/>
    <tableColumn id="2213" xr3:uid="{FBDE9644-95DB-4AC9-BF5A-45E2D0273986}" name="2200"/>
    <tableColumn id="2214" xr3:uid="{276C99E8-E27A-4317-9DB4-2698EBFDA188}" name="2201"/>
    <tableColumn id="2215" xr3:uid="{EDA99D42-967E-40C3-9348-6ACE9A9E4ED2}" name="2202"/>
    <tableColumn id="2216" xr3:uid="{1F581418-E42F-4676-8D6C-88AFE22E51DA}" name="2203"/>
    <tableColumn id="2217" xr3:uid="{E7037115-C9BC-4404-8727-3A40C1C53F42}" name="2204"/>
    <tableColumn id="2218" xr3:uid="{628CD41A-6954-4552-8714-24F4B551F0A7}" name="2205"/>
    <tableColumn id="2219" xr3:uid="{22EEA8EC-C5C0-49AA-BA80-72E6445BEFD5}" name="2206"/>
    <tableColumn id="2220" xr3:uid="{D9D0FC31-1DCC-4648-952D-B893E6A0C259}" name="2207"/>
    <tableColumn id="2221" xr3:uid="{884BD493-95A8-4F88-B939-AA81055B81FA}" name="2208"/>
    <tableColumn id="2222" xr3:uid="{C5338FAE-72E6-4019-9AB9-C1EF2C968A0C}" name="2209"/>
    <tableColumn id="2223" xr3:uid="{A92F03B0-0445-4569-B2FC-1C6EAC2CFA5A}" name="2210"/>
    <tableColumn id="2224" xr3:uid="{BA7A947C-93A1-4212-88B7-1FC405B36528}" name="2211"/>
    <tableColumn id="2225" xr3:uid="{6DC31CCA-25B1-48E8-B1B8-9E98216D5ED1}" name="2212"/>
    <tableColumn id="2226" xr3:uid="{D1260E12-B59E-4783-8181-900ED6859448}" name="2213"/>
    <tableColumn id="2227" xr3:uid="{6D7B6228-00DF-4E5A-936B-4E2D0C717F6E}" name="2214"/>
    <tableColumn id="2228" xr3:uid="{230006C3-389E-4BB1-8A1F-99BBC0241B48}" name="2215"/>
    <tableColumn id="2229" xr3:uid="{7D163ADB-FEED-4B9A-BFDA-7025106C5CF5}" name="2216"/>
    <tableColumn id="2230" xr3:uid="{FC501FD9-A447-4471-90B2-D894FBB751B4}" name="2217"/>
    <tableColumn id="2231" xr3:uid="{7F3FBFA7-AA3E-4881-AD08-0B2DAB5791D8}" name="2218"/>
    <tableColumn id="2232" xr3:uid="{6E161E20-3506-4B09-9E03-9A3047DBB590}" name="2219"/>
    <tableColumn id="2233" xr3:uid="{E5067185-6C68-47B4-B039-4B3D2EEED662}" name="2220"/>
    <tableColumn id="2234" xr3:uid="{7F8B0DA4-5EE1-47FD-AFF3-E9122EFDC3D7}" name="2221"/>
    <tableColumn id="2235" xr3:uid="{672D83E2-BE86-48B5-B9ED-1FB576A62F56}" name="2222"/>
    <tableColumn id="2236" xr3:uid="{C0F8FE37-1688-4DEA-9146-BDE5D4023221}" name="2223"/>
    <tableColumn id="2237" xr3:uid="{277DDC8C-4836-48AA-BE1F-05DDD5209C88}" name="2224"/>
    <tableColumn id="2238" xr3:uid="{99BA91B0-28CB-417A-8641-E765D7C75B42}" name="2225"/>
    <tableColumn id="2239" xr3:uid="{6D58635E-ED7A-4C15-A761-68B0525B3B78}" name="2226"/>
    <tableColumn id="2240" xr3:uid="{6556C16D-FACB-4A33-806B-116D47924FFA}" name="2227"/>
    <tableColumn id="2241" xr3:uid="{65441511-295D-4938-B3F8-28AA9E87A531}" name="2228"/>
    <tableColumn id="2242" xr3:uid="{08B8F334-EA06-41BF-A9EA-C8441B1DAFC4}" name="2229"/>
    <tableColumn id="2243" xr3:uid="{28802584-8614-48E4-9B6C-5A440D0D6FA1}" name="2230"/>
    <tableColumn id="2244" xr3:uid="{8EF3A46F-8ECA-4A34-B154-9308B87D587D}" name="2231"/>
    <tableColumn id="2245" xr3:uid="{2A471D4E-0782-401F-991B-8D1EBB5906AA}" name="2232"/>
    <tableColumn id="2246" xr3:uid="{E1342897-968B-4210-B28A-742C9B7F2127}" name="2233"/>
    <tableColumn id="2247" xr3:uid="{48808B91-4498-4B03-B11A-D463A293B8C8}" name="2234"/>
    <tableColumn id="2248" xr3:uid="{828771F7-69F9-4202-815F-416B5232F9B1}" name="2235"/>
    <tableColumn id="2249" xr3:uid="{F8083953-93A1-447B-B271-E45AA0446000}" name="2236"/>
    <tableColumn id="2250" xr3:uid="{E1382B44-FB6B-4720-9B63-7393003D70E0}" name="2237"/>
    <tableColumn id="2251" xr3:uid="{30176C63-5CBE-4116-9592-5BD9FA614B9C}" name="2238"/>
    <tableColumn id="2252" xr3:uid="{CEFE98CC-B041-4ED4-9F51-0BBC7134F2F7}" name="2239"/>
    <tableColumn id="2253" xr3:uid="{CD8E272E-7DB9-411C-A21F-A2BE120F9711}" name="2240"/>
    <tableColumn id="2254" xr3:uid="{03CF1DAC-03BD-48BB-89E2-9F6820C71CAC}" name="2241"/>
    <tableColumn id="2255" xr3:uid="{8F744FE7-81E7-4B76-9095-8D35139C4D1E}" name="2242"/>
    <tableColumn id="2256" xr3:uid="{F88824CD-7DD8-4474-9E48-8CA2EE7CC370}" name="2243"/>
    <tableColumn id="2257" xr3:uid="{6531E360-CF0D-4AB4-AD91-A4950748A8F4}" name="2244"/>
    <tableColumn id="2258" xr3:uid="{A68270DD-FAE8-4686-A390-0CF129EC16BF}" name="2245"/>
    <tableColumn id="2259" xr3:uid="{FAEFC1A9-1721-47BB-AE0D-73FC5743D333}" name="2246"/>
    <tableColumn id="2260" xr3:uid="{9C4C74B9-D0CC-44A7-9290-F6A0A3CFF519}" name="2247"/>
    <tableColumn id="2261" xr3:uid="{C9D4C3C1-5AA7-4B53-8401-C05791031279}" name="2248"/>
    <tableColumn id="2262" xr3:uid="{2D9D62EF-88CE-4244-8C17-C17EBFED6D9C}" name="2249"/>
    <tableColumn id="2263" xr3:uid="{8FDB5CF2-838C-4894-BE9F-21FDFEE9A3C5}" name="2250"/>
    <tableColumn id="2264" xr3:uid="{85E321D3-DC41-4AC1-927F-0F6454A70E5F}" name="2251"/>
    <tableColumn id="2265" xr3:uid="{E2CC40C7-FA88-484A-A7CA-B3B4599478AA}" name="2252"/>
    <tableColumn id="2266" xr3:uid="{224A8913-6551-4094-AE4D-22E417C3DDC3}" name="2253"/>
    <tableColumn id="2267" xr3:uid="{0FC5E8DB-64E3-419D-9D3C-378A741D4001}" name="2254"/>
    <tableColumn id="2268" xr3:uid="{C0E1D8F3-1C22-4CE3-83B2-B26DB52C17E2}" name="2255"/>
    <tableColumn id="2269" xr3:uid="{B6234C6D-93EF-439C-A569-BA3735E03DA4}" name="2256"/>
    <tableColumn id="2270" xr3:uid="{725F4BE5-BCF8-49F9-8182-7D7932094AF4}" name="2257"/>
    <tableColumn id="2271" xr3:uid="{56281116-7452-42B6-B266-C9CB2E7DADC1}" name="2258"/>
    <tableColumn id="2272" xr3:uid="{ACB0CE58-7ED0-4E8E-BD9D-C01AA4D1E355}" name="2259"/>
    <tableColumn id="2273" xr3:uid="{5CB73AC6-017E-4C24-8F0C-12F03A39C898}" name="2260"/>
    <tableColumn id="2274" xr3:uid="{6CEA1B98-D2AB-425E-BFD8-715080478FC1}" name="2261"/>
    <tableColumn id="2275" xr3:uid="{9BCB5CBB-1264-4AC6-8CF6-F6F42A51A206}" name="2262"/>
    <tableColumn id="2276" xr3:uid="{93F777D2-D7A1-4249-865B-59E509EA7722}" name="2263"/>
    <tableColumn id="2277" xr3:uid="{6AB718AE-0782-4BA7-B743-96D3656931FC}" name="2264"/>
    <tableColumn id="2278" xr3:uid="{B4D0715F-6149-41D4-B176-AD3161471C46}" name="2265"/>
    <tableColumn id="2279" xr3:uid="{78AA98FA-CE68-4C19-9BC9-5000F3D08737}" name="2266"/>
    <tableColumn id="2280" xr3:uid="{DED91FA8-07F4-4886-AD74-7082A43E7029}" name="2267"/>
    <tableColumn id="2281" xr3:uid="{99C2FF76-669D-4439-8C60-DB628F7ACB90}" name="2268"/>
    <tableColumn id="2282" xr3:uid="{B2359B6D-2473-4F81-81CF-26F680582DE9}" name="2269"/>
    <tableColumn id="2283" xr3:uid="{EA1D2B4A-7D00-4553-9B94-4B47B99FE423}" name="2270"/>
    <tableColumn id="2284" xr3:uid="{AC26C26A-0C28-4544-A1EC-3E41A182F124}" name="2271"/>
    <tableColumn id="2285" xr3:uid="{EC59B0E1-1309-4B06-92E8-E19BA9F8C941}" name="2272"/>
    <tableColumn id="2286" xr3:uid="{C59BDFAA-7560-46F8-B5B8-AA3DDF1931FF}" name="2273"/>
    <tableColumn id="2287" xr3:uid="{2F4BEDA7-EC3B-49C3-8B67-1EB7F1087E5D}" name="2274"/>
    <tableColumn id="2288" xr3:uid="{F2DC6639-D842-4D37-B32A-E2F718ACBF1A}" name="2275"/>
    <tableColumn id="2289" xr3:uid="{A10DC523-F519-4408-B17C-DB44A6BBDE3C}" name="2276"/>
    <tableColumn id="2290" xr3:uid="{75BB44F0-B794-4A4A-8AF2-3782C244FA49}" name="2277"/>
    <tableColumn id="2291" xr3:uid="{834726B5-CEE4-470A-9D1C-C16DB752B934}" name="2278"/>
    <tableColumn id="2292" xr3:uid="{BC1DF6E7-E076-42F5-964A-578E529D0649}" name="2279"/>
    <tableColumn id="2293" xr3:uid="{8BB88194-546A-4B82-AC99-6ECC0D26230F}" name="2280"/>
    <tableColumn id="2294" xr3:uid="{E09B01C9-C047-4F65-A947-08FBA527443B}" name="2281"/>
    <tableColumn id="2295" xr3:uid="{E688FB85-133F-4DCC-9447-2212CB9FA5BD}" name="2282"/>
    <tableColumn id="2296" xr3:uid="{4A3938A0-C839-492F-8562-2EC7964FA1EA}" name="2283"/>
    <tableColumn id="2297" xr3:uid="{2F6A8337-9ECE-4E1D-BC9B-674C9773A42F}" name="2284"/>
    <tableColumn id="2298" xr3:uid="{B93C5730-C58A-4AB8-BD04-F139A597A442}" name="2285"/>
    <tableColumn id="2299" xr3:uid="{F3104135-FC36-4F5C-8B61-182B722351A6}" name="2286"/>
    <tableColumn id="2300" xr3:uid="{9A0DCDC2-A243-49F1-B11A-F9979B1DB7CB}" name="2287"/>
    <tableColumn id="2301" xr3:uid="{B9190C28-4EE4-45E7-8AD2-B24F4F0263E1}" name="2288"/>
    <tableColumn id="2302" xr3:uid="{AA670AE5-56F0-4756-865E-8BD482EB83A4}" name="2289"/>
    <tableColumn id="2303" xr3:uid="{2A751AC5-420A-4982-B1CB-C3C07AA7AC85}" name="2290"/>
    <tableColumn id="2304" xr3:uid="{6AA0FFE6-92EE-4D1A-ADF8-CD0454231E17}" name="2291"/>
    <tableColumn id="2305" xr3:uid="{BF2942A0-0F5D-4F01-94CB-88DD57088661}" name="2292"/>
    <tableColumn id="2306" xr3:uid="{9F59D43B-4115-4ECB-8169-976A9988C39C}" name="2293"/>
    <tableColumn id="2307" xr3:uid="{294F74CB-B5F3-4034-AB71-28D31A808CC5}" name="2294"/>
    <tableColumn id="2308" xr3:uid="{F4B1FC02-4E8C-416D-9649-313D8F3DCFEE}" name="2295"/>
    <tableColumn id="2309" xr3:uid="{EF9598D4-3B96-40A5-B10A-14BE2D2C71E1}" name="2296"/>
    <tableColumn id="2310" xr3:uid="{84267D0E-AE6E-4D94-946A-16524B3E15D4}" name="2297"/>
    <tableColumn id="2311" xr3:uid="{CC34E466-D03C-478C-8A7D-938E7A3BD834}" name="2298"/>
    <tableColumn id="2312" xr3:uid="{CEE7C369-4F4F-4349-AA11-64C5FBDAF10D}" name="2299"/>
    <tableColumn id="2313" xr3:uid="{1C7E65ED-DB0C-4C33-8F18-9023B41C0BBF}" name="2300"/>
    <tableColumn id="2314" xr3:uid="{31201165-81D0-4050-A1D9-BAEAED1EAD34}" name="2301"/>
    <tableColumn id="2315" xr3:uid="{7AFCE592-6E44-400E-AAC1-50EDBD3F75D7}" name="2302"/>
    <tableColumn id="2316" xr3:uid="{DDBD2E10-361B-4A9E-9173-168371953384}" name="2303"/>
    <tableColumn id="2317" xr3:uid="{89491594-2C1C-408F-A57C-F555FCC01485}" name="2304"/>
    <tableColumn id="2318" xr3:uid="{86B6F2F1-6B67-4850-8C2D-8AC4C7EDFCD3}" name="2305"/>
    <tableColumn id="2319" xr3:uid="{ABA3AD56-CEDB-4449-B54C-CD18612E9FB8}" name="2306"/>
    <tableColumn id="2320" xr3:uid="{4883761C-2E7A-4F34-93BA-17ECA571F369}" name="2307"/>
    <tableColumn id="2321" xr3:uid="{FC045EF0-C3B0-495B-A412-6251DEF14B67}" name="2308"/>
    <tableColumn id="2322" xr3:uid="{B56AE5F1-77FF-486E-9B02-0186168F940E}" name="2309"/>
    <tableColumn id="2323" xr3:uid="{C6A3199F-928D-4969-9B86-CE7CC3AF489E}" name="2310"/>
    <tableColumn id="2324" xr3:uid="{04299F24-2B98-49EC-827B-615EE9951DD5}" name="2311"/>
    <tableColumn id="2325" xr3:uid="{66D24301-AC1B-4660-A41E-B90DA8821848}" name="2312"/>
    <tableColumn id="2326" xr3:uid="{0DA7FA1F-F396-40BE-B87C-5DA795C87081}" name="2313"/>
    <tableColumn id="2327" xr3:uid="{8BACD1C0-A315-4B49-AD6B-D4EBFE16344F}" name="2314"/>
    <tableColumn id="2328" xr3:uid="{F17D2761-C354-4CD5-B652-0F2D312FC5CC}" name="2315"/>
    <tableColumn id="2329" xr3:uid="{3ABE11A3-18B7-4C6A-9E5F-7932B8B4F3FD}" name="2316"/>
    <tableColumn id="2330" xr3:uid="{8984ECB8-D733-4407-B438-562EDF15C9B7}" name="2317"/>
    <tableColumn id="2331" xr3:uid="{AB8CAF89-865E-4E4C-8F32-2E8C2C45463A}" name="2318"/>
    <tableColumn id="2332" xr3:uid="{6C0860C0-B49B-49E9-999A-89148B45101A}" name="2319"/>
    <tableColumn id="2333" xr3:uid="{2E9377C0-25B8-494F-8F9C-651FBB5965F1}" name="2320"/>
    <tableColumn id="2334" xr3:uid="{7EF025A0-4A27-4477-874F-46D794B04D09}" name="2321"/>
    <tableColumn id="2335" xr3:uid="{23311BC1-BE91-4162-9972-5C02942D30AE}" name="2322"/>
    <tableColumn id="2336" xr3:uid="{E1E2433B-75DF-4F54-AD22-DCC33761DFA3}" name="2323"/>
    <tableColumn id="2337" xr3:uid="{BC44DC25-F738-4334-A77D-1883D3AD3A93}" name="2324"/>
    <tableColumn id="2338" xr3:uid="{B25AE066-70B6-4020-836F-688B6900D1AF}" name="2325"/>
    <tableColumn id="2339" xr3:uid="{31821E8B-CE94-436D-8464-B4DA48209DD6}" name="2326"/>
    <tableColumn id="2340" xr3:uid="{1B4CAA0D-300F-43AA-BFDB-B03FAA3D2D3D}" name="2327"/>
    <tableColumn id="2341" xr3:uid="{40C17DEC-1158-42BF-ADAD-6CF45064B93D}" name="2328"/>
    <tableColumn id="2342" xr3:uid="{8163C915-BE58-48B5-9D35-6BEAC2220EAA}" name="2329"/>
    <tableColumn id="2343" xr3:uid="{96381300-1C2F-4434-AAA4-8A5E61D66312}" name="2330"/>
    <tableColumn id="2344" xr3:uid="{EAB1D0A2-BA9A-46DF-BF65-0A925875AE46}" name="2331"/>
    <tableColumn id="2345" xr3:uid="{05DB7208-8B02-4C4F-863D-73E9DDC9DE08}" name="2332"/>
    <tableColumn id="2346" xr3:uid="{EB8A6407-3A60-4F29-B475-3B66304BC51B}" name="2333"/>
    <tableColumn id="2347" xr3:uid="{BE282791-E977-4E10-B94A-6428698A6FCC}" name="2334"/>
    <tableColumn id="2348" xr3:uid="{E943208D-D317-4799-B696-28370503B640}" name="2335"/>
    <tableColumn id="2349" xr3:uid="{79B5EF34-79EF-4E30-BC10-3207C9AA52CD}" name="2336"/>
    <tableColumn id="2350" xr3:uid="{730C31F9-8CF4-4C3F-872B-2CB758BB1860}" name="2337"/>
    <tableColumn id="2351" xr3:uid="{18290C3A-2128-4DCC-83E3-FFBBB6F14C5A}" name="2338"/>
    <tableColumn id="2352" xr3:uid="{94023523-A830-4EC7-B197-16B4B8EB7528}" name="2339"/>
    <tableColumn id="2353" xr3:uid="{A51E7B77-214C-4EC2-92EE-ED18BA8572A4}" name="2340"/>
    <tableColumn id="2354" xr3:uid="{64EDB0B7-917D-4A4E-BD30-9FFBC96FD9B8}" name="2341"/>
    <tableColumn id="2355" xr3:uid="{DDA08377-BDBA-483D-AAB6-72999DC8423F}" name="2342"/>
    <tableColumn id="2356" xr3:uid="{44608A82-9211-401D-A167-125CA78C0696}" name="2343"/>
    <tableColumn id="2357" xr3:uid="{1ACDD9A3-48D1-4893-962A-0452A47703A5}" name="2344"/>
    <tableColumn id="2358" xr3:uid="{AB32C180-B8EE-4E8C-B903-11A603E2D85C}" name="2345"/>
    <tableColumn id="2359" xr3:uid="{8C38DDF9-F46D-49B8-8B3B-1D508E959AB4}" name="2346"/>
    <tableColumn id="2360" xr3:uid="{70A2A3C5-9FBC-4CB5-B854-71E080D1D100}" name="2347"/>
    <tableColumn id="2361" xr3:uid="{AA946D9C-4974-4043-B7E7-9526426820BE}" name="2348"/>
    <tableColumn id="2362" xr3:uid="{42CC1F3F-3C5B-41DA-A6DF-675757DB477C}" name="2349"/>
    <tableColumn id="2363" xr3:uid="{54A69BE3-27B5-4285-BDB0-49E3B301382A}" name="2350"/>
    <tableColumn id="2364" xr3:uid="{45B91ED7-0617-4A9F-8EE8-B4EDF522903F}" name="2351"/>
    <tableColumn id="2365" xr3:uid="{D6864636-3D7C-4196-AC5F-F8A9555A0033}" name="2352"/>
    <tableColumn id="2366" xr3:uid="{36BBE5AF-5D73-4419-AABC-5F7AF4E2BA41}" name="2353"/>
    <tableColumn id="2367" xr3:uid="{29A4FC39-2CD8-46D4-A88F-A21E2273EE34}" name="2354"/>
    <tableColumn id="2368" xr3:uid="{AE88481F-9A0C-4A1A-929D-393135E6377F}" name="2355"/>
    <tableColumn id="2369" xr3:uid="{54B4BA1B-298A-4F2F-9BA8-4C520FAC4792}" name="2356"/>
    <tableColumn id="2370" xr3:uid="{CBC642CA-11D2-40F4-BB61-BA59847AE6B5}" name="2357"/>
    <tableColumn id="2371" xr3:uid="{65F42FE3-5796-451A-A06F-AF6576082D1F}" name="2358"/>
    <tableColumn id="2372" xr3:uid="{B3FE8E15-6333-4772-B4C3-A29B180368F7}" name="2359"/>
    <tableColumn id="2373" xr3:uid="{5491641C-80E8-4658-AB14-7BDF72CE219D}" name="2360"/>
    <tableColumn id="2374" xr3:uid="{EB2BFEEB-8B58-438D-8AD6-F103AEAD66FD}" name="2361"/>
    <tableColumn id="2375" xr3:uid="{732E5D98-5DE5-4A0A-B7A7-8977404A905B}" name="2362"/>
    <tableColumn id="2376" xr3:uid="{D1E95212-735E-425E-ADAE-DEDDA2E50256}" name="2363"/>
    <tableColumn id="2377" xr3:uid="{557F41BB-4485-4A46-930E-BF02A41949E5}" name="2364"/>
    <tableColumn id="2378" xr3:uid="{0397CF68-182C-4111-8715-B88C9BBC1F67}" name="2365"/>
    <tableColumn id="2379" xr3:uid="{671B1ED1-E69F-4452-9A06-252C57A90E56}" name="2366"/>
    <tableColumn id="2380" xr3:uid="{33DD4A8F-18EE-4D03-BDBA-72456AE9FE50}" name="2367"/>
    <tableColumn id="2381" xr3:uid="{B195A2D6-5F00-4C0B-9CB0-98524E8382C9}" name="2368"/>
    <tableColumn id="2382" xr3:uid="{B0A815A3-6B04-47F6-BFC9-2E219ABCA1CC}" name="2369"/>
    <tableColumn id="2383" xr3:uid="{3F1DC5D8-5016-4761-B52D-5AA2E3B2650C}" name="2370"/>
    <tableColumn id="2384" xr3:uid="{453A7C31-5E47-449D-9BEE-691B0068FE53}" name="2371"/>
    <tableColumn id="2385" xr3:uid="{EF328158-3F82-474F-983C-7288193CF629}" name="2372"/>
    <tableColumn id="2386" xr3:uid="{2BCAB283-C4F7-4ADF-9C34-8E8A56E44C32}" name="2373"/>
    <tableColumn id="2387" xr3:uid="{B2318AF7-843B-45D6-851C-321E77A7B067}" name="2374"/>
    <tableColumn id="2388" xr3:uid="{57567D47-1813-4ACF-ACF7-78E59B7CDFD0}" name="2375"/>
    <tableColumn id="2389" xr3:uid="{59BE95FD-3A43-4033-A887-A17225D9E0E2}" name="2376"/>
    <tableColumn id="2390" xr3:uid="{06742054-BF6D-41DB-B35F-454B4E0D72CC}" name="2377"/>
    <tableColumn id="2391" xr3:uid="{D0F8A189-7992-43D7-91BA-40D60819388A}" name="2378"/>
    <tableColumn id="2392" xr3:uid="{6A2B8A00-0C34-4E5A-A4F7-1E45416609D4}" name="2379"/>
    <tableColumn id="2393" xr3:uid="{440E1BD6-1606-4720-8C2F-0407B0742B09}" name="2380"/>
    <tableColumn id="2394" xr3:uid="{4C940AE9-F98E-4E1B-A843-B5D15B2AE58F}" name="2381"/>
    <tableColumn id="2395" xr3:uid="{F395B9E4-AD35-4043-9A7C-C98B0A93E27D}" name="2382"/>
    <tableColumn id="2396" xr3:uid="{CAE332EC-F77F-4321-B1CB-58EA9DA3935C}" name="2383"/>
    <tableColumn id="2397" xr3:uid="{B479424F-E67A-4D1D-AC2D-EC3BF63F77E0}" name="2384"/>
    <tableColumn id="2398" xr3:uid="{2764DC52-A275-429B-BE19-3A2CBF34D26E}" name="2385"/>
    <tableColumn id="2399" xr3:uid="{A9612C84-1B05-41B6-A017-12C40EE6C968}" name="2386"/>
    <tableColumn id="2400" xr3:uid="{E3F8715B-480D-49B9-8BD9-A1C2A76F158E}" name="2387"/>
    <tableColumn id="2401" xr3:uid="{AE81D36F-346B-40BF-9758-82A80FC38890}" name="2388"/>
    <tableColumn id="2402" xr3:uid="{9EF3FF09-ABBA-459A-97C3-67574CDC49E9}" name="2389"/>
    <tableColumn id="2403" xr3:uid="{B1D8C96A-FD56-4A7B-83AB-85FCBEF87141}" name="2390"/>
    <tableColumn id="2404" xr3:uid="{8BFA6687-1428-4B1C-ABC5-237ADD71DD5E}" name="2391"/>
    <tableColumn id="2405" xr3:uid="{7397332E-6FAB-4F25-8AA8-61B927AE17B8}" name="2392"/>
    <tableColumn id="2406" xr3:uid="{E4B93BF5-A780-43A6-9AB6-44BB52B22646}" name="2393"/>
    <tableColumn id="2407" xr3:uid="{E9CD8823-4E6E-4517-9E58-022A946731BE}" name="2394"/>
    <tableColumn id="2408" xr3:uid="{6EDFD84A-5EDF-4BEE-974F-BED5ADE989FD}" name="2395"/>
    <tableColumn id="2409" xr3:uid="{7B177047-79CC-46A7-A802-7765280AD72D}" name="2396"/>
    <tableColumn id="2410" xr3:uid="{31F1CA35-00A0-4887-9533-A224157B10A7}" name="2397"/>
    <tableColumn id="2411" xr3:uid="{009FD5C3-9757-4649-9AD7-503F17E79645}" name="2398"/>
    <tableColumn id="2412" xr3:uid="{1947DD3F-ECDC-48C4-8404-7801C3361206}" name="2399"/>
    <tableColumn id="2413" xr3:uid="{CE8C9103-0DA3-45FD-B20B-7F3D96570871}" name="2400"/>
    <tableColumn id="2414" xr3:uid="{C4603FEE-E88A-4249-AA93-B54A0EFEA393}" name="2401"/>
    <tableColumn id="2415" xr3:uid="{091A3816-00C6-47E4-942E-7EB364FD07F4}" name="2402"/>
    <tableColumn id="2416" xr3:uid="{3B5E694D-2903-4C2E-834E-A3C300E8E50D}" name="2403"/>
    <tableColumn id="2417" xr3:uid="{D7F048AA-74AD-4BF0-8085-69E8B85001A2}" name="2404"/>
    <tableColumn id="2418" xr3:uid="{E55DF179-314E-4095-9EA2-D7A755047501}" name="2405"/>
    <tableColumn id="2419" xr3:uid="{6D9DCA34-1A45-4D9F-819A-45A6502428AB}" name="2406"/>
    <tableColumn id="2420" xr3:uid="{1114D81F-C80B-4745-9AF5-4954736C65AE}" name="2407"/>
    <tableColumn id="2421" xr3:uid="{BE85759D-9FBB-4F4C-AD39-388164F32B66}" name="2408"/>
    <tableColumn id="2422" xr3:uid="{CDE774A1-E1A6-43B7-8DD9-0FDC5E6A84EC}" name="2409"/>
    <tableColumn id="2423" xr3:uid="{FA8A9636-C443-483F-8F2B-B7A60EFD7D2E}" name="2410"/>
    <tableColumn id="2424" xr3:uid="{1483574F-D359-440D-AFEA-4CB07E31CAC2}" name="2411"/>
    <tableColumn id="2425" xr3:uid="{B90BD1F6-BCD2-428C-8DAC-23B2A8877ABF}" name="2412"/>
    <tableColumn id="2426" xr3:uid="{DCCD3452-8EEC-4A38-91CA-5248E7431F4B}" name="2413"/>
    <tableColumn id="2427" xr3:uid="{AAC6A691-D8DD-488E-81DD-15B652E180F7}" name="2414"/>
    <tableColumn id="2428" xr3:uid="{51014BBB-651A-4E26-AAB2-B8C5402292D5}" name="2415"/>
    <tableColumn id="2429" xr3:uid="{B2E21A9A-0247-4474-AF5C-858B9025CC6E}" name="2416"/>
    <tableColumn id="2430" xr3:uid="{131C9FAF-6050-424E-B7D1-0DE4438CB742}" name="2417"/>
    <tableColumn id="2431" xr3:uid="{BFA57D2D-EC3B-47BF-B8AF-0080C450E013}" name="2418"/>
    <tableColumn id="2432" xr3:uid="{C271C590-3632-4E9C-878C-A41A3B68BB7B}" name="2419"/>
    <tableColumn id="2433" xr3:uid="{7B567E66-88C5-4E35-94E2-24BDC70FBFE1}" name="2420"/>
    <tableColumn id="2434" xr3:uid="{7875DBA1-4E1E-42DF-86C4-0182FB94C0DB}" name="2421"/>
    <tableColumn id="2435" xr3:uid="{075EB8E7-4F94-4891-A088-15F0FB8E6A52}" name="2422"/>
    <tableColumn id="2436" xr3:uid="{D64FD3E5-D5D7-45FC-8813-9BCF8620CB91}" name="2423"/>
    <tableColumn id="2437" xr3:uid="{E1B8AB9B-3F7A-4FAD-940F-191CAB8C74EE}" name="2424"/>
    <tableColumn id="2438" xr3:uid="{641C44D3-4D1D-4E40-811D-A2F0A2B8DBAE}" name="2425"/>
    <tableColumn id="2439" xr3:uid="{DDB04961-8B1F-4104-A9B5-CD687BA74349}" name="2426"/>
    <tableColumn id="2440" xr3:uid="{F2F99139-FDDF-4F5A-8B39-59E210751158}" name="2427"/>
    <tableColumn id="2441" xr3:uid="{407FA108-4FA8-454A-B6FE-C4A72B9DFE30}" name="2428"/>
    <tableColumn id="2442" xr3:uid="{136B503E-BF41-413A-9D19-008F4900DA4F}" name="2429"/>
    <tableColumn id="2443" xr3:uid="{EC637C74-BD56-4CE9-8252-8786067E9853}" name="2430"/>
    <tableColumn id="2444" xr3:uid="{237C47B7-3D68-452F-8058-B38DAFE4D5FB}" name="2431"/>
    <tableColumn id="2445" xr3:uid="{72E03D4A-FEFC-4B29-8AB3-6A7357437AA6}" name="2432"/>
    <tableColumn id="2446" xr3:uid="{E7F43FB0-1071-41E7-8245-68604549D74A}" name="2433"/>
    <tableColumn id="2447" xr3:uid="{0004410B-8095-48FA-8E68-B58BC187DBD3}" name="2434"/>
    <tableColumn id="2448" xr3:uid="{BC838B1A-8827-40C0-BB4A-3B0F5B16D8BF}" name="2435"/>
    <tableColumn id="2449" xr3:uid="{37FE4F39-18C3-4E93-B739-A240D66F7EEC}" name="2436"/>
    <tableColumn id="2450" xr3:uid="{718DA51E-21E6-416B-91CF-CCB9B47ACD76}" name="2437"/>
    <tableColumn id="2451" xr3:uid="{D45A2F47-CA73-47B8-8ADD-BE23280C5FE6}" name="2438"/>
    <tableColumn id="2452" xr3:uid="{E3254B11-0F99-4D25-AC62-B5B833851B76}" name="2439"/>
    <tableColumn id="2453" xr3:uid="{488923C4-68C7-4AFA-BB0D-D762A9DB6B14}" name="2440"/>
    <tableColumn id="2454" xr3:uid="{0CDCCEF8-57D2-41C8-A496-3AAD427A907F}" name="2441"/>
    <tableColumn id="2455" xr3:uid="{C5D27107-85AF-4CE5-A365-D0C360FBC83E}" name="2442"/>
    <tableColumn id="2456" xr3:uid="{3A068481-9468-4726-B527-93FB6098DA27}" name="2443"/>
    <tableColumn id="2457" xr3:uid="{7F647394-DBE6-43DD-94FF-70C37B9EC99D}" name="2444"/>
    <tableColumn id="2458" xr3:uid="{246F9669-4C59-4DC6-A436-BE95595ECF1D}" name="2445"/>
    <tableColumn id="2459" xr3:uid="{0F7CD71B-A31A-4D33-AA0A-92B4C32148DA}" name="2446"/>
    <tableColumn id="2460" xr3:uid="{30FC9B82-CF47-4A1D-ABE8-2C5FF8206422}" name="2447"/>
    <tableColumn id="2461" xr3:uid="{4BE13FA7-EB6E-40DD-AA4D-636809258C5D}" name="2448"/>
    <tableColumn id="2462" xr3:uid="{3F2C7D7E-27F2-4305-B537-A8B575BBFA9E}" name="2449"/>
    <tableColumn id="2463" xr3:uid="{F29B2F12-5F5D-4769-8B8C-2D5CD789674D}" name="2450"/>
    <tableColumn id="2464" xr3:uid="{856C549A-330F-49AD-951C-E54C41865FE9}" name="2451"/>
    <tableColumn id="2465" xr3:uid="{661E52FF-601E-43DB-BB86-EB9DF34E20C6}" name="2452"/>
    <tableColumn id="2466" xr3:uid="{51279DB7-ED6F-4B87-B901-DDA306EE4610}" name="2453"/>
    <tableColumn id="2467" xr3:uid="{80FC9DF8-F805-4E39-B371-A426B6AE1B10}" name="2454"/>
    <tableColumn id="2468" xr3:uid="{3037C33F-F1D9-4B91-910D-D5C258036F70}" name="2455"/>
    <tableColumn id="2469" xr3:uid="{FE888E52-7CFF-4F5C-9F41-E67011FBCE53}" name="2456"/>
    <tableColumn id="2470" xr3:uid="{33ED34E5-5D9F-44B3-AACC-E268C68EACCE}" name="2457"/>
    <tableColumn id="2471" xr3:uid="{49BB5978-A944-4F60-A9E7-A7A4BB619E8B}" name="2458"/>
    <tableColumn id="2472" xr3:uid="{D1BEA67F-F9D6-4A95-9C24-9CE17589D6E3}" name="2459"/>
    <tableColumn id="2473" xr3:uid="{DC283228-1F7C-4AA6-A762-EA43F20809F3}" name="2460"/>
    <tableColumn id="2474" xr3:uid="{03B783D7-7A27-40AC-B2ED-5901A4F4D87C}" name="2461"/>
    <tableColumn id="2475" xr3:uid="{64C83409-B854-4A4A-96A4-BC0A13F516D7}" name="2462"/>
    <tableColumn id="2476" xr3:uid="{BF5A3B1E-044F-49C0-87A1-280324DDCC95}" name="2463"/>
    <tableColumn id="2477" xr3:uid="{C5DE367E-D152-460C-9942-2214B654CFA8}" name="2464"/>
    <tableColumn id="2478" xr3:uid="{115301F8-57B3-4F73-866A-0F7BE16D9FCE}" name="2465"/>
    <tableColumn id="2479" xr3:uid="{BFEBF2C5-D264-4797-AB46-0EF2DDC45239}" name="2466"/>
    <tableColumn id="2480" xr3:uid="{35168B92-DF78-469B-80FE-2349F85B5502}" name="2467"/>
    <tableColumn id="2481" xr3:uid="{936D6F1B-BA23-4E41-9484-E98E13392C54}" name="2468"/>
    <tableColumn id="2482" xr3:uid="{CE55B516-8CA1-4054-91B3-74FC0D8C4628}" name="2469"/>
    <tableColumn id="2483" xr3:uid="{AA3284C7-64B8-4FF3-B2D3-5EE6CCF3CFC4}" name="2470"/>
    <tableColumn id="2484" xr3:uid="{A5351357-C9B8-42FB-A6F6-87D7DA7FA91B}" name="2471"/>
    <tableColumn id="2485" xr3:uid="{549E8A9C-BFD7-4C3F-8AD2-40F2AC6BCC99}" name="2472"/>
    <tableColumn id="2486" xr3:uid="{845B3843-C368-410B-A6DF-831D6E006341}" name="2473"/>
    <tableColumn id="2487" xr3:uid="{DD9EBCB2-058D-4437-B7FE-F0700F1B0448}" name="2474"/>
    <tableColumn id="2488" xr3:uid="{F60E2E2A-2340-4E9D-95AC-E8B9FC41FADE}" name="2475"/>
    <tableColumn id="2489" xr3:uid="{A6A89E9C-F049-431F-899E-9EEB4013510E}" name="2476"/>
    <tableColumn id="2490" xr3:uid="{BF354F2A-454D-4C8D-9A34-E29C7DB4E0B6}" name="2477"/>
    <tableColumn id="2491" xr3:uid="{27092DF5-F9DE-4B40-8653-B66628846CD9}" name="2478"/>
    <tableColumn id="2492" xr3:uid="{82FF5A61-8DEF-4F02-A69E-5F788B67880F}" name="2479"/>
    <tableColumn id="2493" xr3:uid="{5B5E175F-425A-44A3-91C8-80B3B2572E1B}" name="2480"/>
    <tableColumn id="2494" xr3:uid="{45904745-F36C-4BA9-A899-EC253FFC5395}" name="2481"/>
    <tableColumn id="2495" xr3:uid="{8C7CD1BB-1189-4D3E-842B-C1662BD5C490}" name="2482"/>
    <tableColumn id="2496" xr3:uid="{AAE34969-8611-45E1-8E1F-3D9D1842F8FE}" name="2483"/>
    <tableColumn id="2497" xr3:uid="{A1FEB662-321A-4665-8F05-0F323FCF02A0}" name="2484"/>
    <tableColumn id="2498" xr3:uid="{9B4AEF61-9E67-4320-A030-8429F785E0AB}" name="2485"/>
    <tableColumn id="2499" xr3:uid="{5A24B7C8-F987-4B12-A176-BEA06C0201B3}" name="2486"/>
    <tableColumn id="2500" xr3:uid="{3EA8365E-A73B-461A-A038-66F54B535442}" name="2487"/>
    <tableColumn id="2501" xr3:uid="{439798A9-8E75-4F6D-9EFC-80CC8CB7BB7C}" name="2488"/>
    <tableColumn id="2502" xr3:uid="{1078DF71-95C0-4D95-B265-228D2C04BF85}" name="2489"/>
    <tableColumn id="2503" xr3:uid="{DCE219F8-686E-41CD-BC39-467DE49B48D8}" name="2490"/>
    <tableColumn id="2504" xr3:uid="{72FD44BA-043C-4FE2-9AD9-58D6B355D0B9}" name="2491"/>
    <tableColumn id="2505" xr3:uid="{C6F8A57C-EC54-4FA6-8BE3-B2F371F22AF8}" name="2492"/>
    <tableColumn id="2506" xr3:uid="{673868F1-E9D5-4C6D-B20A-1B95DE5F4BE2}" name="2493"/>
    <tableColumn id="2507" xr3:uid="{6BA3A12B-D364-425F-A37C-25947B3A3D9F}" name="2494"/>
    <tableColumn id="2508" xr3:uid="{E4652E78-8A8E-4576-B2A6-2563EB21039C}" name="2495"/>
    <tableColumn id="2509" xr3:uid="{57B62915-F370-4096-BA10-DFB5830BD933}" name="2496"/>
    <tableColumn id="2510" xr3:uid="{6E054E11-4365-44A4-A55F-210741909796}" name="2497"/>
    <tableColumn id="2511" xr3:uid="{6A7A58EB-3297-4945-98FC-31D8F3F24552}" name="2498"/>
    <tableColumn id="2512" xr3:uid="{071715B5-3520-436B-AEDA-04D51DDC4493}" name="2499"/>
    <tableColumn id="2513" xr3:uid="{B2917F4D-9ACB-4FD3-A53A-E740557F7DBC}" name="2500"/>
    <tableColumn id="2514" xr3:uid="{6ABE2530-DACD-4653-81B1-5CD5CC319952}" name="2501"/>
    <tableColumn id="2515" xr3:uid="{88F1A017-1CFC-4707-8AE3-6879C8DBE3CD}" name="2502"/>
    <tableColumn id="2516" xr3:uid="{3D5A57B2-43B0-4580-8860-462F9669CBF3}" name="2503"/>
    <tableColumn id="2517" xr3:uid="{6D81CA50-A924-4B4D-9BF3-485DB98271E3}" name="2504"/>
    <tableColumn id="2518" xr3:uid="{55DF3EA6-6A99-49D5-A2EA-CBB984253430}" name="2505"/>
    <tableColumn id="2519" xr3:uid="{A282B346-B280-4AD1-9A91-64B18B3F372C}" name="2506"/>
    <tableColumn id="2520" xr3:uid="{80640DE4-9DF9-4A0A-8185-C08B8E444792}" name="2507"/>
    <tableColumn id="2521" xr3:uid="{AAEB3EF9-4D70-4879-92A9-12D8C03DAAD7}" name="2508"/>
    <tableColumn id="2522" xr3:uid="{8161D6AA-C04A-4BE7-9CE7-18D1E11C7F36}" name="2509"/>
    <tableColumn id="2523" xr3:uid="{C1897798-A637-4B4E-83AE-667FE9593380}" name="2510"/>
    <tableColumn id="2524" xr3:uid="{4BB03B77-3ABC-41DA-A393-07224AC5D48F}" name="2511"/>
    <tableColumn id="2525" xr3:uid="{C6199DF9-91F8-4B11-8339-90EF394D8E15}" name="2512"/>
    <tableColumn id="2526" xr3:uid="{DE91E021-C109-4723-A7E7-DF9971982288}" name="2513"/>
    <tableColumn id="2527" xr3:uid="{6C429AC0-9A6C-44CF-9D21-F78E41981CA6}" name="2514"/>
    <tableColumn id="2528" xr3:uid="{56AD0AA2-2F51-4AA2-AFDC-78E2A7A8C909}" name="2515"/>
    <tableColumn id="2529" xr3:uid="{BC7CA879-E73A-4019-9B7C-1D6F6CA6C1D1}" name="2516"/>
    <tableColumn id="2530" xr3:uid="{7F471F6F-9390-4039-8822-82CCF6C212DF}" name="2517"/>
    <tableColumn id="2531" xr3:uid="{F94D9D4C-2919-496D-A5EA-E6ADAD52AE7F}" name="2518"/>
    <tableColumn id="2532" xr3:uid="{061878F1-D7AC-4282-B3A5-2D31638079A6}" name="2519"/>
    <tableColumn id="2533" xr3:uid="{4B87527F-7C5B-44E3-8B6A-A457AB725CC0}" name="2520"/>
    <tableColumn id="2534" xr3:uid="{78F19C12-21A6-4637-BF2C-5718BC5099F7}" name="2521"/>
    <tableColumn id="2535" xr3:uid="{6A886693-97DA-4EFA-9794-D8F3BBE70DD0}" name="2522"/>
    <tableColumn id="2536" xr3:uid="{0A3A2A13-39B0-40A9-868E-3039BBFF8D2C}" name="2523"/>
    <tableColumn id="2537" xr3:uid="{2D57048B-D472-4E0D-A458-D2E01BA7B4B7}" name="2524"/>
    <tableColumn id="2538" xr3:uid="{A21F4460-F5D0-4242-A746-F2817541EEA4}" name="2525"/>
    <tableColumn id="2539" xr3:uid="{0D408FDF-9470-403E-B8B6-6C7C8C65673F}" name="2526"/>
    <tableColumn id="2540" xr3:uid="{48F9BCC0-FA91-4817-B5A3-2DADD0584AB9}" name="2527"/>
    <tableColumn id="2541" xr3:uid="{3B3399C5-3D3A-4481-B4A5-553D7A026CA6}" name="2528"/>
    <tableColumn id="2542" xr3:uid="{EA92CEAE-18C3-4ACE-8202-FA742C6ABBE2}" name="2529"/>
    <tableColumn id="2543" xr3:uid="{FF86587F-0F93-4649-ACD9-902A30E5B3CD}" name="2530"/>
    <tableColumn id="2544" xr3:uid="{D6E6FC62-719F-47F2-B086-B9C5791F4CF4}" name="2531"/>
    <tableColumn id="2545" xr3:uid="{8DDF1AA1-D784-40E6-B495-307EED7E5721}" name="2532"/>
    <tableColumn id="2546" xr3:uid="{C58D68D3-3CD4-4EB0-BAA9-CCD49B8CC11C}" name="2533"/>
    <tableColumn id="2547" xr3:uid="{7AC9AF51-DFFC-4920-8789-BA801EE9DF5D}" name="2534"/>
    <tableColumn id="2548" xr3:uid="{64B7B85D-CAD0-4B28-BAA9-77B1D8362988}" name="2535"/>
    <tableColumn id="2549" xr3:uid="{22DB20E7-045B-4C23-927B-C6D2FAE0C283}" name="2536"/>
    <tableColumn id="2550" xr3:uid="{BB2461B5-F973-4511-9DD9-DF155584B475}" name="2537"/>
    <tableColumn id="2551" xr3:uid="{4D05E6E5-D9BB-4B9C-A6C8-6EED43464B0D}" name="2538"/>
    <tableColumn id="2552" xr3:uid="{DD7693E6-96E1-4B5C-8387-CCA7D8045609}" name="2539"/>
    <tableColumn id="2553" xr3:uid="{3674D20E-68D8-4FF9-8C06-007D3ACF7C0E}" name="2540"/>
    <tableColumn id="2554" xr3:uid="{E243961C-F40E-4D4F-BF24-5D155DCEB0FA}" name="2541"/>
    <tableColumn id="2555" xr3:uid="{B9C9D0BC-BC30-4CB8-BCDC-45759EAC881B}" name="2542"/>
    <tableColumn id="2556" xr3:uid="{F99A1F1F-640D-42BB-8577-CD333F61CF24}" name="2543"/>
    <tableColumn id="2557" xr3:uid="{FBEF7A75-EF10-43EE-9328-0CE19E2D0C17}" name="2544"/>
    <tableColumn id="2558" xr3:uid="{CE9D3FA8-D0C3-4601-9EB0-F2A8F77AA7EA}" name="2545"/>
    <tableColumn id="2559" xr3:uid="{E1DC12F0-5E8A-4211-A829-C1A965E6BF9F}" name="2546"/>
    <tableColumn id="2560" xr3:uid="{5BB547D5-3E3B-4F49-AB2B-A231D366FC5E}" name="2547"/>
    <tableColumn id="2561" xr3:uid="{C2DD7CB0-11B6-4F7E-813B-042A693C96B1}" name="2548"/>
    <tableColumn id="2562" xr3:uid="{FA143A27-0A63-408C-90CD-8B05EE38A0DC}" name="2549"/>
    <tableColumn id="2563" xr3:uid="{328F376B-E727-484E-B836-C1B0A4F2DE30}" name="2550"/>
    <tableColumn id="2564" xr3:uid="{FA7B6503-7C64-4E27-AD25-A53744343DC6}" name="2551"/>
    <tableColumn id="2565" xr3:uid="{F95ACF8A-E4C0-4C85-8878-4E0BABEF6314}" name="2552"/>
    <tableColumn id="2566" xr3:uid="{509B7307-D4A4-4DE1-A5FF-FBDA829EFD01}" name="2553"/>
    <tableColumn id="2567" xr3:uid="{79535A7B-1DEF-4578-BAD3-A0177390C79A}" name="2554"/>
    <tableColumn id="2568" xr3:uid="{89C0AE33-5EA5-48B3-B786-9C9A0FBCC157}" name="2555"/>
    <tableColumn id="2569" xr3:uid="{1E417B99-BCA2-4822-A679-FC27DC631731}" name="2556"/>
    <tableColumn id="2570" xr3:uid="{63ECAC27-08C3-4217-B6BB-7DF920A9DA9B}" name="2557"/>
    <tableColumn id="2571" xr3:uid="{61E4BB64-7432-450D-89A5-3C394A865635}" name="2558"/>
    <tableColumn id="2572" xr3:uid="{63FAC2B6-2190-4A4E-9E59-9D736DEDB77B}" name="2559"/>
    <tableColumn id="2573" xr3:uid="{F7AA195A-E81A-4D54-A787-DC2840F84E9E}" name="2560"/>
    <tableColumn id="2574" xr3:uid="{BBD13768-06B8-452F-A1CD-6C7F95F37CE1}" name="2561"/>
    <tableColumn id="2575" xr3:uid="{08DB4A07-D962-4EE1-95D5-EE427F3A1A2E}" name="2562"/>
    <tableColumn id="2576" xr3:uid="{1E5481BB-3275-44BF-95F9-24B003C95A93}" name="2563"/>
    <tableColumn id="2577" xr3:uid="{EF1D4358-1813-457F-ACFD-3C6E98564F32}" name="2564"/>
    <tableColumn id="2578" xr3:uid="{E18913D3-EA6D-4E0F-BAAE-6D0736680E59}" name="2565"/>
    <tableColumn id="2579" xr3:uid="{ECD5EDB7-BD0C-431C-A609-F337E0ACFE05}" name="2566"/>
    <tableColumn id="2580" xr3:uid="{BDFF45A7-7C35-4684-810B-3A295A4C0A82}" name="2567"/>
    <tableColumn id="2581" xr3:uid="{4C0A2C36-336C-42AD-A359-98E38931CF9A}" name="2568"/>
    <tableColumn id="2582" xr3:uid="{E4A1813E-EC4A-4FAA-B61C-E18CE004DE08}" name="2569"/>
    <tableColumn id="2583" xr3:uid="{458EBA69-19A7-4797-8C94-F4C429644576}" name="2570"/>
    <tableColumn id="2584" xr3:uid="{D1FDEC9D-0567-4091-9A6D-7269752D2481}" name="2571"/>
    <tableColumn id="2585" xr3:uid="{64D30CF0-E487-43CD-A58D-075A6012984A}" name="2572"/>
    <tableColumn id="2586" xr3:uid="{37114881-3754-43FF-AE49-ACBDF22E8585}" name="2573"/>
    <tableColumn id="2587" xr3:uid="{2EA9E43A-9AA1-4DD6-B966-A5A4938783B6}" name="2574"/>
    <tableColumn id="2588" xr3:uid="{8C302012-8235-4C3A-8A0D-D206B60CACEF}" name="2575"/>
    <tableColumn id="2589" xr3:uid="{72525DC8-D58B-41DE-AFC3-99D43D6A6995}" name="2576"/>
    <tableColumn id="2590" xr3:uid="{391C6273-2544-4644-AA3D-087F49DAE063}" name="2577"/>
    <tableColumn id="2591" xr3:uid="{C284433E-879C-4548-BD47-5641CD4BBF83}" name="2578"/>
    <tableColumn id="2592" xr3:uid="{DDF47B8A-9BFE-4E99-A7B8-93D859C29663}" name="2579"/>
    <tableColumn id="2593" xr3:uid="{58F1AA0B-401E-49E6-BD28-6082D63BFF56}" name="2580"/>
    <tableColumn id="2594" xr3:uid="{86F16A11-39A2-4F55-A71F-4A40B17457D7}" name="2581"/>
    <tableColumn id="2595" xr3:uid="{9B11B8BB-973F-4D44-B2CC-4FBCAD9AB05F}" name="2582"/>
    <tableColumn id="2596" xr3:uid="{9C8D8F44-E27D-4D38-B4FD-36874DA9EE5E}" name="2583"/>
    <tableColumn id="2597" xr3:uid="{AFABE44B-DE23-4C52-BEAC-35815B9A49F2}" name="2584"/>
    <tableColumn id="2598" xr3:uid="{0511AC8C-9B1F-4D48-AC81-36B30A87F264}" name="2585"/>
    <tableColumn id="2599" xr3:uid="{E829B027-D6BC-4E14-9143-AAB038819734}" name="2586"/>
    <tableColumn id="2600" xr3:uid="{D57E89C9-9E98-4923-8EDD-3E4FED5E091C}" name="2587"/>
    <tableColumn id="2601" xr3:uid="{1FF34DB1-C479-476F-AA9B-81A8F8FF4E92}" name="2588"/>
    <tableColumn id="2602" xr3:uid="{06DD1BE3-44A0-43ED-8780-8DE6AD8072D0}" name="2589"/>
    <tableColumn id="2603" xr3:uid="{3F67A172-337B-4978-A1DF-42736035D2A9}" name="2590"/>
    <tableColumn id="2604" xr3:uid="{497D52BF-8623-4CBE-A005-94E1AC659511}" name="2591"/>
    <tableColumn id="2605" xr3:uid="{1FAD1D99-D8F8-47D7-8686-475929923A35}" name="2592"/>
    <tableColumn id="2606" xr3:uid="{9A264ABC-19DC-4F2C-99BA-0207C1530CE9}" name="2593"/>
    <tableColumn id="2607" xr3:uid="{9DF2C982-5BAE-48BA-AB1D-2E1EAD0A279B}" name="2594"/>
    <tableColumn id="2608" xr3:uid="{9F57F97E-70A6-456B-B814-5E0117B621B9}" name="2595"/>
    <tableColumn id="2609" xr3:uid="{97A8D727-69B6-44BB-96E6-C87D0FDC0983}" name="2596"/>
    <tableColumn id="2610" xr3:uid="{31C7C2F3-B89D-41FB-86F6-BC7E56D2CD76}" name="2597"/>
    <tableColumn id="2611" xr3:uid="{C415AFF8-7BF6-462B-990C-ED1221B93CAC}" name="2598"/>
    <tableColumn id="2612" xr3:uid="{F4535E3D-EA3B-4BF4-A19D-207178EE61DA}" name="2599"/>
    <tableColumn id="2613" xr3:uid="{DD29ED9A-DDFA-4AF1-B569-F24B0AC4EA09}" name="2600"/>
    <tableColumn id="2614" xr3:uid="{B7B0A258-1943-49F5-A295-B125FCD18646}" name="2601"/>
    <tableColumn id="2615" xr3:uid="{53D0A91B-542A-4622-9AA1-7776B4B1C9E3}" name="2602"/>
    <tableColumn id="2616" xr3:uid="{090D4288-C6C0-4C32-B59A-65D7CEE5A239}" name="2603"/>
    <tableColumn id="2617" xr3:uid="{84F5BDCB-DF45-4EC2-A4B6-23CDA81EAFC8}" name="2604"/>
    <tableColumn id="2618" xr3:uid="{788BB873-AB5A-4AC3-8806-31072036DDDC}" name="2605"/>
    <tableColumn id="2619" xr3:uid="{D12E2F53-9370-49FF-ABCD-F26378A704B1}" name="2606"/>
    <tableColumn id="2620" xr3:uid="{B7B7D070-B03E-48F1-A604-4FA5BC44C7AB}" name="2607"/>
    <tableColumn id="2621" xr3:uid="{AF9D9E9E-7D41-40AD-A680-BA52FDB50AE7}" name="2608"/>
    <tableColumn id="2622" xr3:uid="{E70E5AB3-8CE9-43B8-9AD5-950A7BAE5CB0}" name="2609"/>
    <tableColumn id="2623" xr3:uid="{D7100531-19D3-47D6-AC12-6BBECA684FB7}" name="2610"/>
    <tableColumn id="2624" xr3:uid="{916D4FB8-34A0-4070-AB61-C661FA6719F8}" name="2611"/>
    <tableColumn id="2625" xr3:uid="{5E24F541-1B87-456B-808B-1D77F0AFF364}" name="2612"/>
    <tableColumn id="2626" xr3:uid="{5ED6AFBB-D883-471F-943F-5471207AE7D4}" name="2613"/>
    <tableColumn id="2627" xr3:uid="{5809BFAF-9CD3-4652-874D-E34BC9711217}" name="2614"/>
    <tableColumn id="2628" xr3:uid="{472AAD35-6478-4E58-B618-7DC059E389B4}" name="2615"/>
    <tableColumn id="2629" xr3:uid="{B97994DD-3270-4A43-96BE-3EC30664207E}" name="2616"/>
    <tableColumn id="2630" xr3:uid="{CA2B83C3-5FAE-4FAA-A285-E35EC8A035F4}" name="2617"/>
    <tableColumn id="2631" xr3:uid="{E65ED782-2400-432C-A72D-E74C305B8169}" name="2618"/>
    <tableColumn id="2632" xr3:uid="{6EBC6313-9E2A-4192-91E8-67B36E70E5DA}" name="2619"/>
    <tableColumn id="2633" xr3:uid="{9A1DD461-97C2-4349-8CA9-9A9567E2D66D}" name="2620"/>
    <tableColumn id="2634" xr3:uid="{8C898A9E-6F8D-4E40-8DB0-4A61D2C6C6C0}" name="2621"/>
    <tableColumn id="2635" xr3:uid="{6070A097-650C-43FC-9FF2-4AF89DB605C9}" name="2622"/>
    <tableColumn id="2636" xr3:uid="{0A61A354-0720-4136-B1CD-A0C46F4D9B7E}" name="2623"/>
    <tableColumn id="2637" xr3:uid="{48E540F0-0CCE-4AED-A2B3-A140E48EA13B}" name="2624"/>
    <tableColumn id="2638" xr3:uid="{D4F58F10-7F6A-418B-96C8-F0A41F41A4CA}" name="2625"/>
    <tableColumn id="2639" xr3:uid="{D3F9E373-485E-4096-A5C6-439C2236C225}" name="2626"/>
    <tableColumn id="2640" xr3:uid="{5E6D30B4-2E46-41C7-B4BE-C9872E6499D8}" name="2627"/>
    <tableColumn id="2641" xr3:uid="{75F85B4B-0DBB-4B4A-B325-ADE7033AC636}" name="2628"/>
    <tableColumn id="2642" xr3:uid="{3814728C-2EDD-44EF-B358-32B7497A1173}" name="2629"/>
    <tableColumn id="2643" xr3:uid="{4EA4262C-05D8-4871-B9C5-6EA7DBE32286}" name="2630"/>
    <tableColumn id="2644" xr3:uid="{C0D389BD-55FF-4744-BC61-F4A6CD448134}" name="2631"/>
    <tableColumn id="2645" xr3:uid="{1853CA63-0CEF-42F6-A4A1-BDE488367C03}" name="2632"/>
    <tableColumn id="2646" xr3:uid="{AAF99977-8ACB-40DE-A993-8C03043E2288}" name="2633"/>
    <tableColumn id="2647" xr3:uid="{1C1929FF-E543-4128-98D2-2FB94C5192F9}" name="2634"/>
    <tableColumn id="2648" xr3:uid="{8723FD89-7538-4267-9988-65E88003C76A}" name="2635"/>
    <tableColumn id="2649" xr3:uid="{ED7F408C-21D1-4855-ADF6-8CFF45A7D181}" name="2636"/>
    <tableColumn id="2650" xr3:uid="{EAF8C535-2D35-4C75-8BEC-7A430A8D3179}" name="2637"/>
    <tableColumn id="2651" xr3:uid="{353B089E-5687-4C2F-8746-F3C14F8A7196}" name="2638"/>
    <tableColumn id="2652" xr3:uid="{065DBB21-09E3-4E53-9941-9BE75310A44A}" name="2639"/>
    <tableColumn id="2653" xr3:uid="{F3D521F0-EA90-4A42-8C83-96F39B30C355}" name="2640"/>
    <tableColumn id="2654" xr3:uid="{EC3E8421-FA4D-47A8-BC7E-E9BDF286DC5F}" name="2641"/>
    <tableColumn id="2655" xr3:uid="{B4895863-1627-46D7-A28B-8CCE7D715E55}" name="2642"/>
    <tableColumn id="2656" xr3:uid="{B10E4BDD-E207-4EC7-8396-FEDDCD0C5783}" name="2643"/>
    <tableColumn id="2657" xr3:uid="{70D26F87-9D3A-4845-BE2A-61FD1E17F3D3}" name="2644"/>
    <tableColumn id="2658" xr3:uid="{A013E4E2-1788-4ECE-9ECB-C5EAD61D7008}" name="2645"/>
    <tableColumn id="2659" xr3:uid="{DCC7EC2B-E918-4372-964F-56A789CD79A9}" name="2646"/>
    <tableColumn id="2660" xr3:uid="{2A4C6177-A8D8-4EA3-80B8-9220B1FB8E13}" name="2647"/>
    <tableColumn id="2661" xr3:uid="{9C03BB04-5E98-42A8-8760-F9FB742F7FA5}" name="2648"/>
    <tableColumn id="2662" xr3:uid="{B0963112-DC4D-47C0-9902-012393BBBC41}" name="2649"/>
    <tableColumn id="2663" xr3:uid="{8FCCA933-0465-4CA9-8C6C-2F2646094AFC}" name="2650"/>
    <tableColumn id="2664" xr3:uid="{C4A9D24F-0B39-40C5-B38B-C9C5E943BACB}" name="2651"/>
    <tableColumn id="2665" xr3:uid="{354A6B6E-24CE-4FA0-BCC0-BE9A8F5D3E6B}" name="2652"/>
    <tableColumn id="2666" xr3:uid="{FBEB4440-C2F9-4397-A730-A59D1E84A9D9}" name="2653"/>
    <tableColumn id="2667" xr3:uid="{76B2A194-4757-4F05-87D0-36AC39184D2B}" name="2654"/>
    <tableColumn id="2668" xr3:uid="{B8406668-35E0-47E5-9D59-8160B711207B}" name="2655"/>
    <tableColumn id="2669" xr3:uid="{05B07D7D-5EE7-49AE-91D0-96AFED2A5FAE}" name="2656"/>
    <tableColumn id="2670" xr3:uid="{C99006EA-093C-4779-B3CA-6EE734F50300}" name="2657"/>
    <tableColumn id="2671" xr3:uid="{6BA23B6C-08A2-468E-B0C3-0858B967A03D}" name="2658"/>
    <tableColumn id="2672" xr3:uid="{80BD8265-70AA-4E3A-A25F-21FF5A554A70}" name="2659"/>
    <tableColumn id="2673" xr3:uid="{20304256-8C0D-431A-A45E-A10C86C0499E}" name="2660"/>
    <tableColumn id="2674" xr3:uid="{27C97CBC-759A-4799-8CCF-9B0AE7177498}" name="2661"/>
    <tableColumn id="2675" xr3:uid="{ACF1A3A2-C339-4D40-B3CC-3804FF807326}" name="2662"/>
    <tableColumn id="2676" xr3:uid="{E13F241E-CA0E-48FB-9E32-3290669D69BC}" name="2663"/>
    <tableColumn id="2677" xr3:uid="{272448C0-0BE9-4C96-A0D5-5A3EAA9348A9}" name="2664"/>
    <tableColumn id="2678" xr3:uid="{888804C2-7B0E-4396-A623-D5EE13D4322D}" name="2665"/>
    <tableColumn id="2679" xr3:uid="{1905C58E-8D84-450F-AC23-485273F25741}" name="2666"/>
    <tableColumn id="2680" xr3:uid="{0B784B82-3DED-4ACE-8CE6-AEB3062156BF}" name="2667"/>
    <tableColumn id="2681" xr3:uid="{A2CDDF66-B878-4DD2-BACF-95A63A39CE47}" name="2668"/>
    <tableColumn id="2682" xr3:uid="{FFDF0960-0396-4334-8544-4ED89FA313A8}" name="2669"/>
    <tableColumn id="2683" xr3:uid="{87D7D3D9-402F-43F6-9468-D50B9E6C042F}" name="2670"/>
    <tableColumn id="2684" xr3:uid="{1E55C08B-0FFF-4660-BA32-8203BD0516EE}" name="2671"/>
    <tableColumn id="2685" xr3:uid="{C1530CA9-4DA8-4A0B-A365-0CA694F94EE5}" name="2672"/>
    <tableColumn id="2686" xr3:uid="{725EBD20-A294-43BD-BD20-96A4FE82E563}" name="2673"/>
    <tableColumn id="2687" xr3:uid="{D394BABB-4AE2-4051-8731-FDE9A4AC7A79}" name="2674"/>
    <tableColumn id="2688" xr3:uid="{5BE0EF42-AFC4-4962-8BFC-10868E40F6FE}" name="2675"/>
    <tableColumn id="2689" xr3:uid="{A6D93746-D4CF-44B1-BC90-C04D7BD6344E}" name="2676"/>
    <tableColumn id="2690" xr3:uid="{7B43278C-7863-4819-A001-12E6A5A9F80D}" name="2677"/>
    <tableColumn id="2691" xr3:uid="{DE07E0ED-12C5-4370-8DC1-9A65F6D58ADD}" name="2678"/>
    <tableColumn id="2692" xr3:uid="{E190F2B4-FC56-4C3D-BAE2-E7338AEDA724}" name="2679"/>
    <tableColumn id="2693" xr3:uid="{FFF5C054-89DB-40B5-8BBD-FDE04AC45206}" name="2680"/>
    <tableColumn id="2694" xr3:uid="{11B1677A-FF8E-4373-B7E2-6A49EEB6E904}" name="2681"/>
    <tableColumn id="2695" xr3:uid="{FCE7B9D3-D834-42DB-A812-F1A6060A1DF7}" name="2682"/>
    <tableColumn id="2696" xr3:uid="{59670CFD-AAEB-4F59-A188-7FB41AD84B8A}" name="2683"/>
    <tableColumn id="2697" xr3:uid="{4C5727B3-1B3B-4964-A126-E385C6D0EFDF}" name="2684"/>
    <tableColumn id="2698" xr3:uid="{C32FF9E4-8F6A-4750-ADF5-B56B4CF96E7A}" name="2685"/>
    <tableColumn id="2699" xr3:uid="{873B945A-268A-4B4D-92BB-C78B08CAA075}" name="2686"/>
    <tableColumn id="2700" xr3:uid="{F8F1DA0A-2170-4655-AFA2-3B200DCA0083}" name="2687"/>
    <tableColumn id="2701" xr3:uid="{84E4B2C7-79DC-4224-B69A-E1248CD33CB0}" name="2688"/>
    <tableColumn id="2702" xr3:uid="{01C2B924-38C7-4CD5-9F05-32A342AE9076}" name="2689"/>
    <tableColumn id="2703" xr3:uid="{A3D86E5B-9449-4E2B-BAC9-89BC4B75F235}" name="2690"/>
    <tableColumn id="2704" xr3:uid="{88F6591B-4E8B-4F08-8DD4-0AA2C960BF9D}" name="2691"/>
    <tableColumn id="2705" xr3:uid="{607B2757-77D8-4BD8-AE4D-1328B3FBAEBD}" name="2692"/>
    <tableColumn id="2706" xr3:uid="{08FD2B86-2932-427D-A2A0-0F527081920B}" name="2693"/>
    <tableColumn id="2707" xr3:uid="{777536B0-89E4-4364-BD02-95AB0CC1ED74}" name="2694"/>
    <tableColumn id="2708" xr3:uid="{57562CC2-7A4A-42D6-9BD9-27C7623A5198}" name="2695"/>
    <tableColumn id="2709" xr3:uid="{175D1D81-337B-458C-87E7-DB29A43DFA2E}" name="2696"/>
    <tableColumn id="2710" xr3:uid="{D71E04E6-FE45-4941-A464-B77D3355D4A1}" name="2697"/>
    <tableColumn id="2711" xr3:uid="{2B905ADD-14DA-4AC1-90C0-91D8992F7D18}" name="2698"/>
    <tableColumn id="2712" xr3:uid="{C8EA5925-E979-4FF3-B44A-CE390A507BFE}" name="2699"/>
    <tableColumn id="2713" xr3:uid="{5E1F0403-0C2B-4415-9A50-261DBD6E2EE9}" name="2700"/>
    <tableColumn id="2714" xr3:uid="{087CE9DD-879F-4595-BF11-1E5273D13E0F}" name="2701"/>
    <tableColumn id="2715" xr3:uid="{55CFA1CC-FC69-4BCA-860F-A0C4FE3C34A5}" name="2702"/>
    <tableColumn id="2716" xr3:uid="{71483A6F-6B67-4863-8E8F-F7B37FA78C30}" name="2703"/>
    <tableColumn id="2717" xr3:uid="{1BB605ED-41FD-4F96-97F9-A5EF8A3C1139}" name="2704"/>
    <tableColumn id="2718" xr3:uid="{58494EE3-97A2-42CA-93EE-C73C57ECC06D}" name="2705"/>
    <tableColumn id="2719" xr3:uid="{7B085137-C570-4B56-892E-47A09CF66B02}" name="2706"/>
    <tableColumn id="2720" xr3:uid="{B69A6E03-F289-4D63-8715-3984CD729877}" name="2707"/>
    <tableColumn id="2721" xr3:uid="{622D3DA8-2EC6-4AD7-9E76-3048313A7E97}" name="2708"/>
    <tableColumn id="2722" xr3:uid="{FB7F801F-FA00-4242-ABC1-B794DCF6DEA6}" name="2709"/>
    <tableColumn id="2723" xr3:uid="{7CB44ED7-EB47-4156-BD2E-A43AFF81DDEE}" name="2710"/>
    <tableColumn id="2724" xr3:uid="{B4FFECF2-EA03-41BF-87C1-C632B1B00DFF}" name="2711"/>
    <tableColumn id="2725" xr3:uid="{D2B17890-5F38-4A6A-82F5-5BEE06262F89}" name="2712"/>
    <tableColumn id="2726" xr3:uid="{513161D4-B8E0-4371-86E8-F488FDC63AF0}" name="2713"/>
    <tableColumn id="2727" xr3:uid="{556E21D2-6F00-4037-AAEB-52E5228B0CD5}" name="2714"/>
    <tableColumn id="2728" xr3:uid="{7A245150-ED70-4509-B9F8-B0956201C8FD}" name="2715"/>
    <tableColumn id="2729" xr3:uid="{504F9D81-923D-4C43-8FF5-922E3F56713C}" name="2716"/>
    <tableColumn id="2730" xr3:uid="{FE3D5C43-A6F6-4299-B0A9-FD2F634A6C21}" name="2717"/>
    <tableColumn id="2731" xr3:uid="{3E502020-725D-4ADB-B07E-F5979442D509}" name="2718"/>
    <tableColumn id="2732" xr3:uid="{3CA751BB-DDEF-4245-B5A6-440817269150}" name="2719"/>
    <tableColumn id="2733" xr3:uid="{2A872C87-32DE-41EA-AA09-327624F91631}" name="2720"/>
    <tableColumn id="2734" xr3:uid="{0B165399-B5E6-4E26-9BF6-902B5FA91020}" name="2721"/>
    <tableColumn id="2735" xr3:uid="{68C3F2B7-E796-4366-ACCE-9B2D03F28AB1}" name="2722"/>
    <tableColumn id="2736" xr3:uid="{EC78BE94-CBD1-4A30-AC41-B2661A4CCD08}" name="2723"/>
    <tableColumn id="2737" xr3:uid="{47D2A6B8-8598-4583-B299-F414723B378A}" name="2724"/>
    <tableColumn id="2738" xr3:uid="{C72E9823-17D4-46BE-B72C-EC3A47532824}" name="2725"/>
    <tableColumn id="2739" xr3:uid="{CB775C76-7EFE-4ED8-BDC1-2DA9F6649216}" name="2726"/>
    <tableColumn id="2740" xr3:uid="{288C91E8-09D4-4E7A-989B-ED163ACF6C09}" name="2727"/>
    <tableColumn id="2741" xr3:uid="{AB1E11FA-DAA7-4772-8C3A-2B9118E63B77}" name="2728"/>
    <tableColumn id="2742" xr3:uid="{A08DCF70-81EF-4CEA-9A51-C82FAE4560C5}" name="2729"/>
    <tableColumn id="2743" xr3:uid="{D43B781C-0784-48BB-89E0-195145004B50}" name="2730"/>
    <tableColumn id="2744" xr3:uid="{39097D67-EFFD-4AB0-B821-05D1E54F36B0}" name="2731"/>
    <tableColumn id="2745" xr3:uid="{5A303523-C982-4CAC-98C5-050B59762BBF}" name="2732"/>
    <tableColumn id="2746" xr3:uid="{72221EBC-5849-4004-BFFF-AC6746EB8344}" name="2733"/>
    <tableColumn id="2747" xr3:uid="{9F120FC4-DF9A-48AA-B35A-F6C551638C46}" name="2734"/>
    <tableColumn id="2748" xr3:uid="{8D1570DE-10ED-46B8-AA21-A39E8553245C}" name="2735"/>
    <tableColumn id="2749" xr3:uid="{DA2723C1-A607-41B5-8460-21C61659AA11}" name="2736"/>
    <tableColumn id="2750" xr3:uid="{FABFE7BC-DAF7-4C1F-A1D3-C7C57FDF986F}" name="2737"/>
    <tableColumn id="2751" xr3:uid="{8974015E-EF1A-4460-896C-787346973A83}" name="2738"/>
    <tableColumn id="2752" xr3:uid="{9B5E7F21-3EA6-4EF1-B0C9-8BDCF6367EA6}" name="2739"/>
    <tableColumn id="2753" xr3:uid="{9DD6FC00-7915-40F8-9DDC-A1CE2AF383BF}" name="2740"/>
    <tableColumn id="2754" xr3:uid="{3A70E6F3-EDD3-43AE-B73E-511F46ED13A7}" name="2741"/>
    <tableColumn id="2755" xr3:uid="{BEFD26A3-6A4A-4ADF-934F-44A1931B6F2D}" name="2742"/>
    <tableColumn id="2756" xr3:uid="{629132EE-3231-47F2-9667-89CA5B2E14C7}" name="2743"/>
    <tableColumn id="2757" xr3:uid="{159BDB00-E703-4DAB-B1E6-B649C2DA7C45}" name="2744"/>
    <tableColumn id="2758" xr3:uid="{7BE845CA-5038-4282-B0BB-E8C9AFF6929F}" name="2745"/>
    <tableColumn id="2759" xr3:uid="{A501E151-978A-47B1-9C08-CEF74EDEF615}" name="2746"/>
    <tableColumn id="2760" xr3:uid="{5D62830E-184F-48B3-AF47-17069E40A829}" name="2747"/>
    <tableColumn id="2761" xr3:uid="{97D305D2-9DD1-41CE-9363-E90D9FF6D90F}" name="2748"/>
    <tableColumn id="2762" xr3:uid="{9D0DECE7-057F-4240-9B1B-6A769F23A07C}" name="2749"/>
    <tableColumn id="2763" xr3:uid="{17375D85-3372-44A2-8E03-D6D58B06BD1F}" name="2750"/>
    <tableColumn id="2764" xr3:uid="{CE813D27-CB64-4A6E-8EAE-6AABAF6FDF62}" name="2751"/>
    <tableColumn id="2765" xr3:uid="{4875376F-0DD8-4099-AF3D-F7F76DBDB9C8}" name="2752"/>
    <tableColumn id="2766" xr3:uid="{6DDF6115-75B5-4B41-8667-23F19AEB7B53}" name="2753"/>
    <tableColumn id="2767" xr3:uid="{903C80E1-C695-4327-9D7E-8D4E9CCF28E1}" name="2754"/>
    <tableColumn id="2768" xr3:uid="{59B8F10C-349C-45F8-8AAD-94549C046E9F}" name="2755"/>
    <tableColumn id="2769" xr3:uid="{60E1FF76-32D0-4937-8BBE-D22EFCB8C40E}" name="2756"/>
    <tableColumn id="2770" xr3:uid="{7CEEF687-4711-4E8B-A6A1-7CC74D5F436B}" name="2757"/>
    <tableColumn id="2771" xr3:uid="{88B9E77E-4670-4EA6-891A-01226AA75B13}" name="2758"/>
    <tableColumn id="2772" xr3:uid="{9B61A0DF-4DD6-458B-9365-ACB3A5A99A13}" name="2759"/>
    <tableColumn id="2773" xr3:uid="{E2E3A0D1-AAA4-4DDC-9DEA-57A4CCEBAE34}" name="2760"/>
    <tableColumn id="2774" xr3:uid="{A0F9152D-2F88-4C40-B001-78C38074E6A9}" name="2761"/>
    <tableColumn id="2775" xr3:uid="{DDA06AFF-DDE0-4210-AF99-495D43F8EC15}" name="2762"/>
    <tableColumn id="2776" xr3:uid="{ACEA63BB-6066-485C-A892-B7F1C4BB4947}" name="2763"/>
    <tableColumn id="2777" xr3:uid="{87B31A13-0A03-48BB-B578-B2D015C91307}" name="2764"/>
    <tableColumn id="2778" xr3:uid="{D7E98A13-E422-408D-B80B-F8189DD72ECB}" name="2765"/>
    <tableColumn id="2779" xr3:uid="{10087BF9-CAE5-42AF-ADD0-6CED5BC0E0C1}" name="2766"/>
    <tableColumn id="2780" xr3:uid="{2FFC64B8-37B3-4B3C-972C-7ED683E8EBE1}" name="2767"/>
    <tableColumn id="2781" xr3:uid="{27C1F66B-218E-4C29-BECB-C7E1E8BC312B}" name="2768"/>
    <tableColumn id="2782" xr3:uid="{E9348083-C430-4954-958D-AF543FACAE73}" name="2769"/>
    <tableColumn id="2783" xr3:uid="{53719CFD-BE97-41F5-A09D-3CD3637C5957}" name="2770"/>
    <tableColumn id="2784" xr3:uid="{4B534A59-5C28-444C-9DF8-D00E51FDC5B8}" name="2771"/>
    <tableColumn id="2785" xr3:uid="{812B90C6-3993-4A66-8705-6E32C6C25C90}" name="2772"/>
    <tableColumn id="2786" xr3:uid="{5994600C-126E-4EAE-9F61-DEC50CA89F1C}" name="2773"/>
    <tableColumn id="2787" xr3:uid="{F167DB35-C428-4A50-B310-71CB35FA81E1}" name="2774"/>
    <tableColumn id="2788" xr3:uid="{57CE586E-0CC4-4BF8-89BE-2C1BE356C73F}" name="2775"/>
    <tableColumn id="2789" xr3:uid="{5D112DCA-DEFC-475B-BB34-3A7DA8C30011}" name="2776"/>
    <tableColumn id="2790" xr3:uid="{E4281F06-B94F-4181-8344-1119AB91A02F}" name="2777"/>
    <tableColumn id="2791" xr3:uid="{C8B134A7-72BB-455B-8006-41E1840FD627}" name="2778"/>
    <tableColumn id="2792" xr3:uid="{0A65A464-6F2D-4C54-8450-BE3AEF4522B9}" name="2779"/>
    <tableColumn id="2793" xr3:uid="{1613B07C-6A68-4F15-8FD7-D9425F06F9A5}" name="2780"/>
    <tableColumn id="2794" xr3:uid="{0D85C376-13B4-457F-A0A3-8C0554FC706C}" name="2781"/>
    <tableColumn id="2795" xr3:uid="{89DDFD71-2C7B-4B18-8773-2CFF077C5A54}" name="2782"/>
    <tableColumn id="2796" xr3:uid="{67305345-F92D-4F6C-AAE3-795513FB037F}" name="2783"/>
    <tableColumn id="2797" xr3:uid="{142B8173-5B28-4553-B790-D84BD449F156}" name="2784"/>
    <tableColumn id="2798" xr3:uid="{792A0C1E-2229-4073-9EE8-6CC4DBE69F7B}" name="2785"/>
    <tableColumn id="2799" xr3:uid="{62AB1ACD-C02B-4DB1-A21C-2F806FE08B1C}" name="2786"/>
    <tableColumn id="2800" xr3:uid="{53855D5B-CBD1-41FB-8E72-926DB7FC3112}" name="2787"/>
    <tableColumn id="2801" xr3:uid="{29602359-CC63-4A44-AAF4-5C9A17125E83}" name="2788"/>
    <tableColumn id="2802" xr3:uid="{8DCD7794-5BDA-4A3C-B26D-A2710446C4BA}" name="2789"/>
    <tableColumn id="2803" xr3:uid="{B3CA0577-04F1-4B9B-A2ED-6A206AAD2A03}" name="2790"/>
    <tableColumn id="2804" xr3:uid="{9182E70C-931D-406B-97D8-0FB9594837B0}" name="2791"/>
    <tableColumn id="2805" xr3:uid="{9CE15A8C-9928-4F34-8734-5FDFAC3FAFE0}" name="2792"/>
    <tableColumn id="2806" xr3:uid="{20486865-3CEC-423D-B531-5217865700BD}" name="2793"/>
    <tableColumn id="2807" xr3:uid="{93B76CDE-DE26-4C28-B9AE-50C71E41BB2B}" name="2794"/>
    <tableColumn id="2808" xr3:uid="{8C392A4D-025D-4B43-953D-2A056CC2E80E}" name="2795"/>
    <tableColumn id="2809" xr3:uid="{359E3A11-0649-40C6-8199-87DF1DF44A94}" name="2796"/>
    <tableColumn id="2810" xr3:uid="{7ABCF397-F5B1-4B76-886F-9399BBDA2759}" name="2797"/>
    <tableColumn id="2811" xr3:uid="{8D9F00E9-927C-4939-8F39-1F92535FC217}" name="2798"/>
    <tableColumn id="2812" xr3:uid="{4D7B5815-E5CA-4E02-AD2E-5E05B6ED00A3}" name="2799"/>
    <tableColumn id="2813" xr3:uid="{3D27C8F1-C00D-4A52-880D-0609CECE672D}" name="2800"/>
    <tableColumn id="2814" xr3:uid="{2A5431E2-22D6-44FC-8BBA-895444BEB6E7}" name="2801"/>
    <tableColumn id="2815" xr3:uid="{296F7F07-4973-4781-8CFC-AFDCF740504A}" name="2802"/>
    <tableColumn id="2816" xr3:uid="{807BE862-54C6-4603-A383-1B5C8A8A45EA}" name="2803"/>
    <tableColumn id="2817" xr3:uid="{37E94C13-C3C2-40C9-A212-BBC68D7789BE}" name="2804"/>
    <tableColumn id="2818" xr3:uid="{5443C4E6-526C-4E62-BB9F-A961F5CEBCF3}" name="2805"/>
    <tableColumn id="2819" xr3:uid="{027C27C6-09B4-4743-97F7-7050B20788D3}" name="2806"/>
    <tableColumn id="2820" xr3:uid="{034AE5F1-631C-4281-8B27-562224EF62BE}" name="2807"/>
    <tableColumn id="2821" xr3:uid="{A72535D5-A1F7-4E90-B34B-B74032FFF538}" name="2808"/>
    <tableColumn id="2822" xr3:uid="{4BF9354A-0223-43D0-A759-B015B63B55CF}" name="2809"/>
    <tableColumn id="2823" xr3:uid="{9A9C54E6-DC3C-41E8-A146-7D6710481C96}" name="2810"/>
    <tableColumn id="2824" xr3:uid="{1A810004-A0DF-418B-B1C6-B2D3BE17EF2F}" name="2811"/>
    <tableColumn id="2825" xr3:uid="{98785CEF-723E-4DA2-8274-74311FBDEA14}" name="2812"/>
    <tableColumn id="2826" xr3:uid="{0A266AC6-94B6-4A6E-AC4B-0492C596AC21}" name="2813"/>
    <tableColumn id="2827" xr3:uid="{9BFE8B8C-BE7A-4BA2-A3F7-E190A2097DE8}" name="2814"/>
    <tableColumn id="2828" xr3:uid="{3C046586-746B-4367-9081-58F60E15C7C6}" name="2815"/>
    <tableColumn id="2829" xr3:uid="{17CD2E1A-8AFB-4770-A29A-CE7AC497C63C}" name="2816"/>
    <tableColumn id="2830" xr3:uid="{E9E94A2F-A467-41A2-826F-A5EE1C1F8321}" name="2817"/>
    <tableColumn id="2831" xr3:uid="{864483E4-3DA9-4D43-AB08-2256AF02EE3E}" name="2818"/>
    <tableColumn id="2832" xr3:uid="{36DBF348-5CE0-48D0-83E3-9C0383FCE2A3}" name="2819"/>
    <tableColumn id="2833" xr3:uid="{4185322C-084F-4674-A8B0-BD5D97D97C30}" name="2820"/>
    <tableColumn id="2834" xr3:uid="{FC020675-9951-47E7-A15C-D303B12C65F9}" name="2821"/>
    <tableColumn id="2835" xr3:uid="{7EB40144-F80A-4A55-9E6C-4FCB54EDF0D2}" name="2822"/>
    <tableColumn id="2836" xr3:uid="{C4FA344C-8897-483C-BEA0-16214C8F5029}" name="2823"/>
    <tableColumn id="2837" xr3:uid="{8688D464-50C9-4393-8AC0-952709FCC5F5}" name="2824"/>
    <tableColumn id="2838" xr3:uid="{AF577D59-58BB-4C8A-9F0D-4E00BBCE4865}" name="2825"/>
    <tableColumn id="2839" xr3:uid="{BA1F4C91-DDC3-48D3-BB2A-0FF183E585A4}" name="2826"/>
    <tableColumn id="2840" xr3:uid="{FBBAD9D3-644D-4E9E-9721-F1796F81A3E8}" name="2827"/>
    <tableColumn id="2841" xr3:uid="{4680E9F5-7299-497B-80B3-6ECFAE09AC05}" name="2828"/>
    <tableColumn id="2842" xr3:uid="{16B05CC3-179A-437A-B0AB-97AE35B6D6E1}" name="2829"/>
    <tableColumn id="2843" xr3:uid="{9403752C-7D22-4803-82EB-0F780EE3E09B}" name="2830"/>
    <tableColumn id="2844" xr3:uid="{C3213003-BE44-4787-A346-2F859AAE0332}" name="2831"/>
    <tableColumn id="2845" xr3:uid="{497F8BD2-CB9B-4BE0-84B9-3A1EA74C9E27}" name="2832"/>
    <tableColumn id="2846" xr3:uid="{BAC5C517-C84E-41A6-9C06-8EA4351BACDF}" name="2833"/>
    <tableColumn id="2847" xr3:uid="{41F7F9D3-4650-43C0-B411-7B0DACCDB38A}" name="2834"/>
    <tableColumn id="2848" xr3:uid="{0C442A46-F76D-4217-A450-EA31F749F84F}" name="2835"/>
    <tableColumn id="2849" xr3:uid="{BF50A06E-73BD-4AC3-861A-ABC541B3A908}" name="2836"/>
    <tableColumn id="2850" xr3:uid="{72D160F9-8D87-4746-B026-BDE5CD9113A7}" name="2837"/>
    <tableColumn id="2851" xr3:uid="{E1833180-0398-4624-AB60-CAAEDFCED796}" name="2838"/>
    <tableColumn id="2852" xr3:uid="{C31D3955-AD04-460D-85E2-45BF9A835420}" name="2839"/>
    <tableColumn id="2853" xr3:uid="{BA59C74D-A048-4084-ACE2-9BF943B10DB3}" name="2840"/>
    <tableColumn id="2854" xr3:uid="{952C2B47-35DC-4209-8609-3A5CEEE7817E}" name="2841"/>
    <tableColumn id="2855" xr3:uid="{2658868C-B590-42B8-A3F9-7D43B92757A9}" name="2842"/>
    <tableColumn id="2856" xr3:uid="{8E6FE3C1-87E7-488A-8DA9-0FC8331C6D17}" name="2843"/>
    <tableColumn id="2857" xr3:uid="{28AE92C8-090C-440F-8A66-44CB9825CA56}" name="2844"/>
    <tableColumn id="2858" xr3:uid="{77A4AFCC-41B3-4A7F-BC9C-98BEBB73E9F1}" name="2845"/>
    <tableColumn id="2859" xr3:uid="{0394CCD8-8ECF-48FD-AF4D-998E750464FB}" name="2846"/>
    <tableColumn id="2860" xr3:uid="{B0BB8E21-A378-45E4-BAD5-9F1BD105D54D}" name="2847"/>
    <tableColumn id="2861" xr3:uid="{0E957B37-1CB3-418E-B0B4-D6CEDEA276C3}" name="2848"/>
    <tableColumn id="2862" xr3:uid="{14D7B1F2-31EF-4C8C-BA1C-3CE019629FA5}" name="2849"/>
    <tableColumn id="2863" xr3:uid="{6E0C2694-A5AA-40FC-98A7-10EDB71EFBCB}" name="2850"/>
    <tableColumn id="2864" xr3:uid="{BD6C1119-DED7-4BA0-AA42-7B5F69555E25}" name="2851"/>
    <tableColumn id="2865" xr3:uid="{3C26D2C8-34F1-483D-B3A1-C75BF1EFF27F}" name="2852"/>
    <tableColumn id="2866" xr3:uid="{C23CFD21-A6B7-4F0D-A214-74F2F501F60C}" name="2853"/>
    <tableColumn id="2867" xr3:uid="{868FDDF4-B6F2-4017-8F08-3AFC6FDA26F3}" name="2854"/>
    <tableColumn id="2868" xr3:uid="{DB5D3EDA-8B6C-4737-AB44-D808C20A6ABE}" name="2855"/>
    <tableColumn id="2869" xr3:uid="{23BB80C4-C1E4-4E61-8D23-71CC4886E240}" name="2856"/>
    <tableColumn id="2870" xr3:uid="{D358124E-33A5-4707-81F8-C5029E4EA89A}" name="2857"/>
    <tableColumn id="2871" xr3:uid="{407D4F29-6340-4757-88AE-794813C70596}" name="2858"/>
    <tableColumn id="2872" xr3:uid="{D12B1448-5CAD-472C-980A-194C89A1841A}" name="2859"/>
    <tableColumn id="2873" xr3:uid="{F5448937-7479-4D47-B477-AD78EDB842A9}" name="2860"/>
    <tableColumn id="2874" xr3:uid="{8594A25B-862D-4304-8138-C6A80CC0841A}" name="2861"/>
    <tableColumn id="2875" xr3:uid="{8B7BBA36-0208-4BC2-9D2B-715CCBF7C55D}" name="2862"/>
    <tableColumn id="2876" xr3:uid="{16194940-C2CE-477D-B230-44D49F1484D0}" name="2863"/>
    <tableColumn id="2877" xr3:uid="{DD64E13A-1F72-447D-BB11-49F5C5503FCD}" name="2864"/>
    <tableColumn id="2878" xr3:uid="{E02EDAEC-6C8E-4698-9ED4-BEB6A46C5BD2}" name="2865"/>
    <tableColumn id="2879" xr3:uid="{70A7FADC-8EA3-4559-9AE9-29345E605CB7}" name="2866"/>
    <tableColumn id="2880" xr3:uid="{091580D7-7134-4CE2-AB10-A4F0AAD53D78}" name="2867"/>
    <tableColumn id="2881" xr3:uid="{71A7EE46-DD73-4EC5-B0A4-C460F7E9ADA0}" name="2868"/>
    <tableColumn id="2882" xr3:uid="{93053C10-6880-4937-A5EF-9A2CF3FC23F4}" name="2869"/>
    <tableColumn id="2883" xr3:uid="{45B951BA-42A5-4191-9663-601DF2E771DC}" name="2870"/>
    <tableColumn id="2884" xr3:uid="{A1D28084-2D2C-4BAF-A560-3D9146789C24}" name="2871"/>
    <tableColumn id="2885" xr3:uid="{D85952E4-56A6-46CF-9001-D558E96289E0}" name="2872"/>
    <tableColumn id="2886" xr3:uid="{A6F5F27F-ED33-48DA-BA80-148ECB26EB26}" name="2873"/>
    <tableColumn id="2887" xr3:uid="{08AE907A-F1D9-443A-80A4-0AC872FA3C14}" name="2874"/>
    <tableColumn id="2888" xr3:uid="{F5599055-D2D1-4852-A82F-70647FE4CA05}" name="2875"/>
    <tableColumn id="2889" xr3:uid="{15B6E154-1BA0-4684-A7B0-47464FFB7E18}" name="2876"/>
    <tableColumn id="2890" xr3:uid="{68D52EB2-1628-48F9-B01C-045800FB30C8}" name="2877"/>
    <tableColumn id="2891" xr3:uid="{29CD20A5-E724-4591-B05F-4DA4F3C739F7}" name="2878"/>
    <tableColumn id="2892" xr3:uid="{AF019EE6-BCBE-4BAA-821C-D557466FDC9C}" name="2879"/>
    <tableColumn id="2893" xr3:uid="{149B15D1-9F0C-46C2-BB94-572BC32154CE}" name="2880"/>
    <tableColumn id="2894" xr3:uid="{A6B3BA5E-8096-4EF9-918A-AB57F2B8A0F4}" name="2881"/>
    <tableColumn id="2895" xr3:uid="{C581FBA9-6DFF-4FAE-A2FA-F1C1E98194DB}" name="2882"/>
    <tableColumn id="2896" xr3:uid="{FF355314-D5DD-4AAD-857D-7EEF5D6742CD}" name="2883"/>
    <tableColumn id="2897" xr3:uid="{566789FC-6B0A-4D0F-BB76-4B94C7B86BB9}" name="2884"/>
    <tableColumn id="2898" xr3:uid="{7A93F9D0-0512-4070-95C9-DD0D4F2E0822}" name="2885"/>
    <tableColumn id="2899" xr3:uid="{5BB5D3FF-B8C2-46B6-A1A0-90343E912183}" name="2886"/>
    <tableColumn id="2900" xr3:uid="{9E0744E3-E8D8-4C91-A823-D82CD8383455}" name="2887"/>
    <tableColumn id="2901" xr3:uid="{ED53F1B5-C9B4-4A4F-AD4E-7FD73776A8AB}" name="2888"/>
    <tableColumn id="2902" xr3:uid="{2DDCE6D5-4D15-45F1-BBF0-696DAE60820E}" name="2889"/>
    <tableColumn id="2903" xr3:uid="{E637A2AE-9129-418B-ADD3-F944B1A1A287}" name="2890"/>
    <tableColumn id="2904" xr3:uid="{93A8E053-9CEA-4578-A0C2-6175446BA1A0}" name="2891"/>
    <tableColumn id="2905" xr3:uid="{B866C684-5E64-4ED3-B71C-F6202B8BEE71}" name="2892"/>
    <tableColumn id="2906" xr3:uid="{0C4AD6E7-6DA0-48D0-B2EF-F2C5FE97B276}" name="2893"/>
    <tableColumn id="2907" xr3:uid="{C55FD2E7-3F6B-436E-ABDB-38E09B159F6A}" name="2894"/>
    <tableColumn id="2908" xr3:uid="{1FD157B9-35CD-47A5-BE68-B5A1902DB2D7}" name="2895"/>
    <tableColumn id="2909" xr3:uid="{35F76941-E864-4BBB-BA14-F278963CBB40}" name="2896"/>
    <tableColumn id="2910" xr3:uid="{C17EA2C9-A85B-493F-858F-F5A3F4EA3998}" name="2897"/>
    <tableColumn id="2911" xr3:uid="{33FC3614-5B61-494B-9501-0B0F35D141D6}" name="2898"/>
    <tableColumn id="2912" xr3:uid="{CC57592D-8639-4154-920C-C6A6387957A2}" name="2899"/>
    <tableColumn id="2913" xr3:uid="{1DABD834-CF6D-4DEE-831D-6A71843FD84A}" name="2900"/>
    <tableColumn id="2914" xr3:uid="{54F7C7F1-6B35-4960-BB05-F426452FE1FF}" name="2901"/>
    <tableColumn id="2915" xr3:uid="{5576CAA1-AE10-44EA-B402-F952912BEDB0}" name="2902"/>
    <tableColumn id="2916" xr3:uid="{D9EF90D3-B87B-4757-9DE4-74A64CB837BE}" name="2903"/>
    <tableColumn id="2917" xr3:uid="{A5FBBF96-0F54-4331-9A95-A6E6F1CC456D}" name="2904"/>
    <tableColumn id="2918" xr3:uid="{AA0EAF57-F8D6-4303-9990-7263464D8C64}" name="2905"/>
    <tableColumn id="2919" xr3:uid="{727AA96B-9DFA-4EDA-ABE5-28306839E569}" name="2906"/>
    <tableColumn id="2920" xr3:uid="{026D1244-F565-4850-9AAD-E9E3060E73C1}" name="2907"/>
    <tableColumn id="2921" xr3:uid="{8BCD82CC-9864-48EE-A893-A54A0916DD22}" name="2908"/>
    <tableColumn id="2922" xr3:uid="{29F30CB4-7C95-43FF-994D-BA01F306992B}" name="2909"/>
    <tableColumn id="2923" xr3:uid="{BC96EBE7-66EB-4B2C-8525-5D1D24EB5979}" name="2910"/>
    <tableColumn id="2924" xr3:uid="{6876FB52-EBA2-4F82-8C02-1F1F32D3B8E4}" name="2911"/>
    <tableColumn id="2925" xr3:uid="{3DA9A47C-4A2D-4A11-A281-5C79E7E7F4B8}" name="2912"/>
    <tableColumn id="2926" xr3:uid="{16E74682-55B2-440A-A2E4-096C10C48DD2}" name="2913"/>
    <tableColumn id="2927" xr3:uid="{6368BAD9-3F07-488B-80CE-64B70A5D1CEB}" name="2914"/>
    <tableColumn id="2928" xr3:uid="{34E24E74-3783-4617-B0AA-A5E96BA53DC6}" name="2915"/>
    <tableColumn id="2929" xr3:uid="{67A0338D-0C56-4B63-9DB6-FF13BEA33F41}" name="2916"/>
    <tableColumn id="2930" xr3:uid="{0D648396-EDAE-4ACB-B4DC-41FB8CBDE0E9}" name="2917"/>
    <tableColumn id="2931" xr3:uid="{01C6578C-A924-4937-87C2-8A22E4F3552D}" name="2918"/>
    <tableColumn id="2932" xr3:uid="{5BFE0709-0CD5-411F-8427-B13EB6D37A4D}" name="2919"/>
    <tableColumn id="2933" xr3:uid="{D31E9DD6-6BF6-4594-A4AE-C20989933FFC}" name="2920"/>
    <tableColumn id="2934" xr3:uid="{FFB40E9F-590E-403E-B88B-81A914DD5C49}" name="2921"/>
    <tableColumn id="2935" xr3:uid="{29C8B5D7-3285-498D-9BCB-8E574CB9A5E1}" name="2922"/>
    <tableColumn id="2936" xr3:uid="{878E62D4-AEDB-4AF0-A649-D18B85FA1AB8}" name="2923"/>
    <tableColumn id="2937" xr3:uid="{C2ACF8EC-5A68-4BE7-93F0-325AF640A4C5}" name="2924"/>
    <tableColumn id="2938" xr3:uid="{61F58D14-6810-443D-BF90-4DDEEF4D5030}" name="2925"/>
    <tableColumn id="2939" xr3:uid="{40AF7FF2-B04F-41D5-807A-38009EC24AEE}" name="2926"/>
    <tableColumn id="2940" xr3:uid="{BB6744A0-B7EF-4123-B274-C9EF7B2E391B}" name="2927"/>
    <tableColumn id="2941" xr3:uid="{BB2A1765-4C22-4300-8FC6-5D4C4BE88BCF}" name="2928"/>
    <tableColumn id="2942" xr3:uid="{8048FC02-637E-44FC-AFBC-5FADDB4F70D9}" name="2929"/>
    <tableColumn id="2943" xr3:uid="{6E282DB9-2E14-45A0-A5C9-D77533DBA643}" name="2930"/>
    <tableColumn id="2944" xr3:uid="{4E6AD046-6FFF-4405-8AD0-E2281E38D0EC}" name="2931"/>
    <tableColumn id="2945" xr3:uid="{AE5F59D6-E889-4841-9545-C9DE7759CCB3}" name="2932"/>
    <tableColumn id="2946" xr3:uid="{8D07C183-0FCB-46AE-A40A-E1C5DE72E91D}" name="2933"/>
    <tableColumn id="2947" xr3:uid="{EC5E646A-D028-4323-8A4D-C0E48F3643A9}" name="2934"/>
    <tableColumn id="2948" xr3:uid="{D606069F-A621-4A9D-82C0-F6F7F05AEE4B}" name="2935"/>
    <tableColumn id="2949" xr3:uid="{6009BF39-65B7-4939-B6EF-B454BD2ECCC2}" name="2936"/>
    <tableColumn id="2950" xr3:uid="{094D5F04-3546-47AE-B503-4A59B798F45D}" name="2937"/>
    <tableColumn id="2951" xr3:uid="{209BB351-321A-48E1-9B3F-6EEF8BF2BC8B}" name="2938"/>
    <tableColumn id="2952" xr3:uid="{DA2E0CA0-B28D-4A1F-96D0-9E01B85F00BE}" name="2939"/>
    <tableColumn id="2953" xr3:uid="{72B87077-E99C-4125-AE50-1F67065B67EB}" name="2940"/>
    <tableColumn id="2954" xr3:uid="{70804DF7-E72A-4D3E-94B0-D796D2F56F44}" name="2941"/>
    <tableColumn id="2955" xr3:uid="{C774327A-DAF8-4886-A6B9-D504E8F19F6F}" name="2942"/>
    <tableColumn id="2956" xr3:uid="{23A73762-E0C1-442D-A7E0-638C8D008486}" name="2943"/>
    <tableColumn id="2957" xr3:uid="{EF8EECB1-E895-4813-9485-4C18FF3804BA}" name="2944"/>
    <tableColumn id="2958" xr3:uid="{A097CC8C-2267-4FB9-8843-368274C2C9FB}" name="2945"/>
    <tableColumn id="2959" xr3:uid="{EB697050-2C86-4A87-806B-D77FFF45A9BD}" name="2946"/>
    <tableColumn id="2960" xr3:uid="{475F54D5-E883-4A15-A78C-90FFC8361698}" name="2947"/>
    <tableColumn id="2961" xr3:uid="{181CA3FF-07AB-4727-9EF3-0A8D48BC5986}" name="2948"/>
    <tableColumn id="2962" xr3:uid="{054092FF-4221-4118-A787-44A3EB72EC80}" name="2949"/>
    <tableColumn id="2963" xr3:uid="{6917A761-0968-49F0-A2ED-73E047871ADD}" name="2950"/>
    <tableColumn id="2964" xr3:uid="{AB7C39EC-C751-45C1-ABF8-13D1390BB0E0}" name="2951"/>
    <tableColumn id="2965" xr3:uid="{68DEF81C-0E66-4670-8158-76C6923C2E71}" name="2952"/>
    <tableColumn id="2966" xr3:uid="{25A50551-AAC2-476E-B8E8-72660186E8C6}" name="2953"/>
    <tableColumn id="2967" xr3:uid="{9962CC47-BF17-4F3B-835D-A6D4152287D2}" name="2954"/>
    <tableColumn id="2968" xr3:uid="{1ACF8C8F-835A-402A-8264-257C4DDC8CC8}" name="2955"/>
    <tableColumn id="2969" xr3:uid="{774C9F63-A52B-42E9-9144-EFFCF080267A}" name="2956"/>
    <tableColumn id="2970" xr3:uid="{3338C70B-2E42-43BE-88A5-C052FDD27A25}" name="2957"/>
    <tableColumn id="2971" xr3:uid="{139D9B8D-0117-4A1C-B87B-B9EFF412E5CE}" name="2958"/>
    <tableColumn id="2972" xr3:uid="{C6BCEA8B-3AAE-45A5-A0E3-8020FF1B9CB9}" name="2959"/>
    <tableColumn id="2973" xr3:uid="{38D1A5CF-F858-4978-99A2-19B321EEF2C1}" name="2960"/>
    <tableColumn id="2974" xr3:uid="{72A5306B-2781-461B-B457-946A401CD72D}" name="2961"/>
    <tableColumn id="2975" xr3:uid="{45E0FF62-1671-4D93-A68B-3B314D0DCA99}" name="2962"/>
    <tableColumn id="2976" xr3:uid="{2AF884C7-623E-43EE-B41B-4E49B155FC1F}" name="2963"/>
    <tableColumn id="2977" xr3:uid="{586CA1BA-E487-4359-BDCE-817FCE2FABBF}" name="2964"/>
    <tableColumn id="2978" xr3:uid="{1E70E04E-772E-4FBE-B60A-70559F373B5B}" name="2965"/>
    <tableColumn id="2979" xr3:uid="{B95F45E9-F02D-4FAE-B1B8-1D1CDDC5422F}" name="2966"/>
    <tableColumn id="2980" xr3:uid="{3269D9AA-B554-4498-B317-782AFB61F170}" name="2967"/>
    <tableColumn id="2981" xr3:uid="{35EAA3E1-E43B-4FDD-996A-D87C65D36FE2}" name="2968"/>
    <tableColumn id="2982" xr3:uid="{F629A6AF-5EED-462B-8EDE-4B916A700713}" name="2969"/>
    <tableColumn id="2983" xr3:uid="{08BB7C4B-788C-40D9-9650-50A598791F61}" name="2970"/>
    <tableColumn id="2984" xr3:uid="{118E8EFA-304E-4D99-9D03-780E2C6A86AF}" name="2971"/>
    <tableColumn id="2985" xr3:uid="{9D45FCBE-5AA6-4969-A7E8-5AF7C90AC568}" name="2972"/>
    <tableColumn id="2986" xr3:uid="{0B8E66A5-7926-4753-9E33-F22C5A9DA970}" name="2973"/>
    <tableColumn id="2987" xr3:uid="{AC14B3F9-6EB9-4A6D-9018-BD56105D638F}" name="2974"/>
    <tableColumn id="2988" xr3:uid="{63A99E9E-CAD2-43E8-A331-E45B27B4EC6F}" name="2975"/>
    <tableColumn id="2989" xr3:uid="{DC23EA7F-C215-4BA7-AB3C-13E6DB23C24F}" name="2976"/>
    <tableColumn id="2990" xr3:uid="{EC5E60C0-CB1C-4CEE-BA1D-BD77764F86A7}" name="2977"/>
    <tableColumn id="2991" xr3:uid="{E317E783-A019-4E58-8DB8-978826C0502F}" name="2978"/>
    <tableColumn id="2992" xr3:uid="{2BCCE7D2-57D7-40E7-8CC3-B3F528BE1271}" name="2979"/>
    <tableColumn id="2993" xr3:uid="{05E31F64-09D4-4165-9D20-36692118E065}" name="2980"/>
    <tableColumn id="2994" xr3:uid="{350B59D4-3E7B-41C1-90FE-EA6AF3CE70F4}" name="2981"/>
    <tableColumn id="2995" xr3:uid="{45E0D232-BE37-4AB3-BB93-BC630CB33C48}" name="2982"/>
    <tableColumn id="2996" xr3:uid="{F038DEAF-A9E5-48B0-A14B-5D4A0879371C}" name="2983"/>
    <tableColumn id="2997" xr3:uid="{EABC4B8F-BFD0-486B-B64F-04F29411DA36}" name="2984"/>
    <tableColumn id="2998" xr3:uid="{DE664B0F-D291-407E-9634-B4B7410C7C0B}" name="2985"/>
    <tableColumn id="2999" xr3:uid="{BA709E85-1EF4-46A7-90FE-A856254D979A}" name="2986"/>
    <tableColumn id="3000" xr3:uid="{275F2402-0C5A-4D95-8300-CFA533E80873}" name="2987"/>
    <tableColumn id="3001" xr3:uid="{2A88D4CC-0DCD-425F-ACC7-B940B91C5F6A}" name="2988"/>
    <tableColumn id="3002" xr3:uid="{5B15198D-A016-472E-8196-DD989946527B}" name="2989"/>
    <tableColumn id="3003" xr3:uid="{97BC27C1-09F3-48FA-AA07-8F8AEF15607C}" name="2990"/>
    <tableColumn id="3004" xr3:uid="{378C7ECF-F070-4A41-B9FE-679602CC3B7C}" name="2991"/>
    <tableColumn id="3005" xr3:uid="{E947F01F-07D0-4765-9B9A-2CCA54449691}" name="2992"/>
    <tableColumn id="3006" xr3:uid="{90801A1B-B6D9-45CD-A940-B4182C854470}" name="2993"/>
    <tableColumn id="3007" xr3:uid="{F099A7CF-6B3E-4EEF-AFE2-D925BFE0ECAE}" name="2994"/>
    <tableColumn id="3008" xr3:uid="{8CA47D78-1AEA-4A7C-A76F-9D1D2DB6EE30}" name="2995"/>
    <tableColumn id="3009" xr3:uid="{CB54396E-8D38-43BA-87F7-E185BC11AA52}" name="2996"/>
    <tableColumn id="3010" xr3:uid="{D0B215DA-E5B6-46A2-A2FE-B051BE47D9B8}" name="2997"/>
    <tableColumn id="3011" xr3:uid="{3BE5F718-4DCC-4910-927F-D878A3F4A864}" name="2998"/>
    <tableColumn id="3012" xr3:uid="{D6AE1299-FB9A-4005-B40E-85344C7B0C67}" name="2999"/>
    <tableColumn id="3013" xr3:uid="{3150F92B-596B-4A05-9593-37C6BC51A506}" name="3000"/>
    <tableColumn id="3014" xr3:uid="{9441D3F4-3EB1-45E2-8491-E3DA58017B54}" name="3001"/>
    <tableColumn id="3015" xr3:uid="{A9DF5891-2407-4A84-95AC-DC5565A7058B}" name="3002"/>
    <tableColumn id="3016" xr3:uid="{3068D847-3BE6-4247-8732-74CFD3F10815}" name="3003"/>
    <tableColumn id="3017" xr3:uid="{D4C91CF4-6FBE-407E-BD28-F25650C8DCE6}" name="3004"/>
    <tableColumn id="3018" xr3:uid="{A4346FEA-75E8-46FB-B7FD-16BB275C8999}" name="3005"/>
    <tableColumn id="3019" xr3:uid="{9E538D8D-656F-4E55-A0BE-6962ED39FDAE}" name="3006"/>
    <tableColumn id="3020" xr3:uid="{4A1996E8-CE1E-46F3-AE4A-3D3ACCFBE7E3}" name="3007"/>
    <tableColumn id="3021" xr3:uid="{77567A6C-15C8-45F9-AC97-864843C646A7}" name="3008"/>
    <tableColumn id="3022" xr3:uid="{02F4B3DC-542F-4F74-BA29-6E7DA6903F84}" name="3009"/>
    <tableColumn id="3023" xr3:uid="{3EC0A0FD-2AE0-40CC-8B51-0D17FD1ACFE3}" name="3010"/>
    <tableColumn id="3024" xr3:uid="{54131B8A-E54C-4EAA-9425-8AA99EED5FB5}" name="3011"/>
    <tableColumn id="3025" xr3:uid="{9385BE52-C5C6-4376-9C8E-897889D4AA55}" name="3012"/>
    <tableColumn id="3026" xr3:uid="{DD9795F9-F42B-42CF-8639-3817ECCF0A65}" name="3013"/>
    <tableColumn id="3027" xr3:uid="{F6014688-21D6-42C6-840B-BFE9CE09309F}" name="3014"/>
    <tableColumn id="3028" xr3:uid="{7DA4DA36-8400-488E-8D90-B8B294DC394B}" name="3015"/>
    <tableColumn id="3029" xr3:uid="{CC62463B-59B9-43E6-95D2-A2389D5C6C5E}" name="3016"/>
    <tableColumn id="3030" xr3:uid="{8DF91F74-CFB7-4656-8732-061080D32545}" name="3017"/>
    <tableColumn id="3031" xr3:uid="{2F838415-8A48-4D1B-B4B3-EACCA5163FF2}" name="3018"/>
    <tableColumn id="3032" xr3:uid="{60117A64-FDDC-4516-B77E-5EC4CDD08DD0}" name="3019"/>
    <tableColumn id="3033" xr3:uid="{73F0FA37-40FC-4A42-BFAC-296A1D28B21A}" name="3020"/>
    <tableColumn id="3034" xr3:uid="{225EAF7E-A2E2-4C31-8DCA-802A519F2816}" name="3021"/>
    <tableColumn id="3035" xr3:uid="{E1B930B5-10F6-41CE-9CAA-4F911975F53E}" name="3022"/>
    <tableColumn id="3036" xr3:uid="{461472AB-C335-40F9-8A3A-6BF3F48E4E66}" name="3023"/>
    <tableColumn id="3037" xr3:uid="{D9A9120D-CC86-4BAD-B1F1-8B0637AB3F5B}" name="3024"/>
    <tableColumn id="3038" xr3:uid="{EDE76852-BB6D-44EF-8018-6AE4B28BB7F4}" name="3025"/>
    <tableColumn id="3039" xr3:uid="{801E3288-AE2C-4B7D-B09F-2B0BFB09FD78}" name="3026"/>
    <tableColumn id="3040" xr3:uid="{56EEBAF2-187D-425B-A9D4-E54CFE2C883A}" name="3027"/>
    <tableColumn id="3041" xr3:uid="{F9416456-3F53-446C-A4B8-D26CF2CBDE3C}" name="3028"/>
    <tableColumn id="3042" xr3:uid="{2132AD7B-81CE-4834-AAE0-4BEDB6FDCAF1}" name="3029"/>
    <tableColumn id="3043" xr3:uid="{FDD0BFAD-56DD-4458-9843-DC57F654C2B6}" name="3030"/>
    <tableColumn id="3044" xr3:uid="{6DE7C4EF-8D0B-4588-8324-00D9CA9507B7}" name="3031"/>
    <tableColumn id="3045" xr3:uid="{377AB4CA-F426-4B03-832C-8600B9E0B717}" name="3032"/>
    <tableColumn id="3046" xr3:uid="{56BC5214-BE35-4041-92D7-992DE1F1A3F1}" name="3033"/>
    <tableColumn id="3047" xr3:uid="{DB7AF4E9-3DAD-4167-860A-951D9AA9BDC7}" name="3034"/>
    <tableColumn id="3048" xr3:uid="{AC3D8EB3-C3AA-46B1-A6D8-F5573DE95656}" name="3035"/>
    <tableColumn id="3049" xr3:uid="{14F397C7-8DDA-4763-AA0B-066F7188316D}" name="3036"/>
    <tableColumn id="3050" xr3:uid="{3BCE2B9C-CB24-4215-8AFB-5D05BC57827B}" name="3037"/>
    <tableColumn id="3051" xr3:uid="{9C718B84-438E-4F1A-A3D3-FD1D720D543C}" name="3038"/>
    <tableColumn id="3052" xr3:uid="{3DA158FF-ADE3-4ED1-A9D1-5D577AA541B1}" name="3039"/>
    <tableColumn id="3053" xr3:uid="{D71102BA-F86A-4E6E-9C8B-B8459421C870}" name="3040"/>
    <tableColumn id="3054" xr3:uid="{01AE2A75-D044-4CA4-8997-6F2CFFBA3953}" name="3041"/>
    <tableColumn id="3055" xr3:uid="{59E4EBA4-6C8E-4A93-8D8E-668F0BC70288}" name="3042"/>
    <tableColumn id="3056" xr3:uid="{EED943B6-73F5-4E15-8785-32514EBBC271}" name="3043"/>
    <tableColumn id="3057" xr3:uid="{23379301-24C1-465A-831A-DD010ED133C3}" name="3044"/>
    <tableColumn id="3058" xr3:uid="{6839D005-EECE-4E05-8004-69FDA2EADD23}" name="3045"/>
    <tableColumn id="3059" xr3:uid="{8127CE30-AC6F-4400-8D07-AC12E4A26ADA}" name="3046"/>
    <tableColumn id="3060" xr3:uid="{55FA7DFD-190C-47D5-85D6-45B06B4B440F}" name="3047"/>
    <tableColumn id="3061" xr3:uid="{FB984ACE-04D9-4035-B4B6-492969C7F916}" name="3048"/>
    <tableColumn id="3062" xr3:uid="{D15F406F-8F83-484B-9378-2C2528492A9D}" name="3049"/>
    <tableColumn id="3063" xr3:uid="{78446506-039A-4E4C-8F52-03477D955976}" name="3050"/>
    <tableColumn id="3064" xr3:uid="{6737530C-6ED4-48D0-AF85-D9FD7FA997DA}" name="3051"/>
    <tableColumn id="3065" xr3:uid="{36491914-0A05-488B-948C-65D15BD34284}" name="3052"/>
    <tableColumn id="3066" xr3:uid="{7F6AF799-0EE8-4A14-913F-38DFCDCC2F26}" name="3053"/>
    <tableColumn id="3067" xr3:uid="{8D53689C-5949-4378-96BF-C991CB47BBED}" name="3054"/>
    <tableColumn id="3068" xr3:uid="{6EA4075C-4592-416F-A362-C4BED8E64A40}" name="3055"/>
    <tableColumn id="3069" xr3:uid="{8F004D15-D7FB-48AE-A9F0-0FA75A6DA553}" name="3056"/>
    <tableColumn id="3070" xr3:uid="{48887687-7A58-48C5-B784-3111FC503671}" name="3057"/>
    <tableColumn id="3071" xr3:uid="{147253AC-E23B-46C0-8346-84B58B0DC00D}" name="3058"/>
    <tableColumn id="3072" xr3:uid="{901146A2-D058-4DA1-915A-7C17B0D4C69A}" name="3059"/>
    <tableColumn id="3073" xr3:uid="{0A21BBA8-74EB-40FD-AFD0-54C3B3D71D15}" name="3060"/>
    <tableColumn id="3074" xr3:uid="{694020EF-C352-439B-B24B-E7B2670A5334}" name="3061"/>
    <tableColumn id="3075" xr3:uid="{A1F28BE8-1744-4FBF-828A-15D841D5B9D0}" name="3062"/>
    <tableColumn id="3076" xr3:uid="{B1908D5B-9B1C-4F59-9F9D-0EB2B1C5AA0F}" name="3063"/>
    <tableColumn id="3077" xr3:uid="{E1024C1D-5FC6-4CFA-83A9-9E6EFDAEBD90}" name="3064"/>
    <tableColumn id="3078" xr3:uid="{E2ADB3A9-1F98-48AD-B2C8-E91ADC82D977}" name="3065"/>
    <tableColumn id="3079" xr3:uid="{FCE3FF2F-2D64-4BCE-BEA0-CB1D17331635}" name="3066"/>
    <tableColumn id="3080" xr3:uid="{4EB8FAF3-18BF-4CA5-8279-30C92667CB1F}" name="3067"/>
    <tableColumn id="3081" xr3:uid="{AE55F56B-5665-405C-A540-8F563B327ED0}" name="3068"/>
    <tableColumn id="3082" xr3:uid="{112E1B49-7856-4500-94A3-5890EA4D4ADE}" name="3069"/>
    <tableColumn id="3083" xr3:uid="{898784CE-0E0A-4241-8FCC-30B1625C0439}" name="3070"/>
    <tableColumn id="3084" xr3:uid="{EF8D2FDD-C77E-444F-A709-75A3A1FC94D9}" name="3071"/>
    <tableColumn id="3085" xr3:uid="{E43DAEFE-B5E1-41FD-B5DE-412A2DDBD5F7}" name="3072"/>
    <tableColumn id="3086" xr3:uid="{7F3EC18E-48F1-47F9-97C3-EE9586E5F8D0}" name="3073"/>
    <tableColumn id="3087" xr3:uid="{6A4E2D15-3A3E-4CB2-953B-ED195B6A32BC}" name="3074"/>
    <tableColumn id="3088" xr3:uid="{11D29A5B-1973-4118-8D03-47F76585F294}" name="3075"/>
    <tableColumn id="3089" xr3:uid="{C6FADBB9-91B3-42AB-99B6-B55E4349C634}" name="3076"/>
    <tableColumn id="3090" xr3:uid="{1F4311A6-6FA2-4B35-B1D5-BD2FBE501EAF}" name="3077"/>
    <tableColumn id="3091" xr3:uid="{E1BFB4F2-0D62-40F0-B242-33BB771DEDD7}" name="3078"/>
    <tableColumn id="3092" xr3:uid="{45B1D2B7-FFB0-4804-B12E-56F08083EFCD}" name="3079"/>
    <tableColumn id="3093" xr3:uid="{6BB8FAF4-C62D-4B19-8B52-B4227308DD97}" name="3080"/>
    <tableColumn id="3094" xr3:uid="{A2D67421-8870-440D-B1CC-D6C841F19445}" name="3081"/>
    <tableColumn id="3095" xr3:uid="{E62BCB76-C88F-427B-B4EE-EFC104D11CE5}" name="3082"/>
    <tableColumn id="3096" xr3:uid="{ED39B254-43C1-4B42-8338-187EB9E6AD7F}" name="3083"/>
    <tableColumn id="3097" xr3:uid="{3BFE00F1-EA0A-4A09-A1BD-99AD07C294D2}" name="3084"/>
    <tableColumn id="3098" xr3:uid="{937DB01A-67A5-44D7-BDFE-95D604734575}" name="3085"/>
    <tableColumn id="3099" xr3:uid="{39D22910-6B05-48A2-AEBA-2D262446CE22}" name="3086"/>
    <tableColumn id="3100" xr3:uid="{C6B7FD2D-2BAB-47B9-93F9-2EB24F8A3FE9}" name="3087"/>
    <tableColumn id="3101" xr3:uid="{9F2D471C-1EC8-47E3-9ED6-EBA1BD72F470}" name="3088"/>
    <tableColumn id="3102" xr3:uid="{C8DC675D-A592-4AC5-91EA-4359F8C5748E}" name="3089"/>
    <tableColumn id="3103" xr3:uid="{2B285590-9638-4274-BE2C-3CE4243CBE7D}" name="3090"/>
    <tableColumn id="3104" xr3:uid="{7D2150EB-10CD-462C-B5F6-F5B1470EC80E}" name="3091"/>
    <tableColumn id="3105" xr3:uid="{D8AFED73-BBE0-42FC-9AC2-780F83AD70F6}" name="3092"/>
    <tableColumn id="3106" xr3:uid="{AE9C70C0-D5CE-4670-9D0C-C1DAE85F0CFA}" name="3093"/>
    <tableColumn id="3107" xr3:uid="{00D7A7DA-7868-438B-9823-2C6EE6A40B32}" name="3094"/>
    <tableColumn id="3108" xr3:uid="{6E627839-D738-4E96-B60C-A42E8FF42684}" name="3095"/>
    <tableColumn id="3109" xr3:uid="{B514FE05-0626-424D-975D-5D19AEC6BB39}" name="3096"/>
    <tableColumn id="3110" xr3:uid="{63C53F5A-9CD4-40D8-A7E9-76AB4711BD79}" name="3097"/>
    <tableColumn id="3111" xr3:uid="{AB81DD3F-0383-42DD-A88F-406415C97156}" name="3098"/>
    <tableColumn id="3112" xr3:uid="{5CC06719-86A0-4429-B2DE-9A285D9BB94A}" name="3099"/>
    <tableColumn id="3113" xr3:uid="{9B070F48-7686-4BFD-A4E7-BFED537480BB}" name="3100"/>
    <tableColumn id="3114" xr3:uid="{EFCA7952-B0D7-4AE4-9A87-B08DC81B7D7D}" name="3101"/>
    <tableColumn id="3115" xr3:uid="{2BE743F0-5EBC-487C-AB63-CA228126705C}" name="3102"/>
    <tableColumn id="3116" xr3:uid="{37DBB5B1-3CAE-475A-9B8E-F4F7E8E262A5}" name="3103"/>
    <tableColumn id="3117" xr3:uid="{80428E6B-094F-4939-8D3E-491C2849CD00}" name="3104"/>
    <tableColumn id="3118" xr3:uid="{D9B85898-1627-4BDF-9D8E-7EABFF6E8B79}" name="3105"/>
    <tableColumn id="3119" xr3:uid="{21C78D23-8B98-4637-A295-34A109084031}" name="3106"/>
    <tableColumn id="3120" xr3:uid="{B82C6E6B-FB8D-4EE4-80F0-CD427A0FF894}" name="3107"/>
    <tableColumn id="3121" xr3:uid="{0F9FB70D-0944-466A-9065-781283EF01A6}" name="3108"/>
    <tableColumn id="3122" xr3:uid="{C7CBECBA-509B-463C-9445-7B3257BA5834}" name="3109"/>
    <tableColumn id="3123" xr3:uid="{53C05279-D93E-43D8-A8ED-982D0E353D99}" name="3110"/>
    <tableColumn id="3124" xr3:uid="{9D6AB8A9-C66C-4D6E-8BAF-9449F0B21349}" name="3111"/>
    <tableColumn id="3125" xr3:uid="{FF38E824-6E53-430C-BD09-D3540D01C90E}" name="3112"/>
    <tableColumn id="3126" xr3:uid="{A7127DFD-75D8-4A3B-8C87-9514CA90A404}" name="3113"/>
    <tableColumn id="3127" xr3:uid="{92CC001F-83A3-4BD4-978E-23CE5499D879}" name="3114"/>
    <tableColumn id="3128" xr3:uid="{F1F9A77C-891B-465F-948F-DBB9963064B0}" name="3115"/>
    <tableColumn id="3129" xr3:uid="{2957EA9C-DA12-42CD-A818-492CB836D98B}" name="3116"/>
    <tableColumn id="3130" xr3:uid="{F3A01A15-6877-4EBD-9AEC-18379F7FAF9B}" name="3117"/>
    <tableColumn id="3131" xr3:uid="{AF0090E8-9BEC-40A6-ADC1-B2507DEEDD6E}" name="3118"/>
    <tableColumn id="3132" xr3:uid="{C6C6F190-3E68-4624-88A7-C688B66925C9}" name="3119"/>
    <tableColumn id="3133" xr3:uid="{98E70283-FD1A-435F-BECE-5ADEB5CE4247}" name="3120"/>
    <tableColumn id="3134" xr3:uid="{71E6A706-2586-4B9B-9FA6-91761B04F175}" name="3121"/>
    <tableColumn id="3135" xr3:uid="{A9EBE547-4874-4CCD-91A1-47C78D066D75}" name="3122"/>
    <tableColumn id="3136" xr3:uid="{BF7DB212-2D3A-42A7-9770-948BAE16635B}" name="3123"/>
    <tableColumn id="3137" xr3:uid="{A66FB3A8-36A6-477A-931E-D5ED14D4E212}" name="3124"/>
    <tableColumn id="3138" xr3:uid="{18F20C7F-0ED8-424C-A22E-82BDD6E0DC87}" name="3125"/>
    <tableColumn id="3139" xr3:uid="{D702CD76-D917-4D8C-BB05-439A5A903BA2}" name="3126"/>
    <tableColumn id="3140" xr3:uid="{ADAB3DAC-71C2-4F37-A9C4-DFB4E9A062F8}" name="3127"/>
    <tableColumn id="3141" xr3:uid="{0F6DF620-301E-40D0-B47E-B3DC4E63AD9C}" name="3128"/>
    <tableColumn id="3142" xr3:uid="{FBD84ED3-DBB4-4E70-9291-056F4F60B7FE}" name="3129"/>
    <tableColumn id="3143" xr3:uid="{38DF04A9-022D-4CC3-A0EE-A1CC0EEAD63C}" name="3130"/>
    <tableColumn id="3144" xr3:uid="{71EB8D7C-2EB8-46A1-9B64-035585430B73}" name="3131"/>
    <tableColumn id="3145" xr3:uid="{343F3D46-CDB0-4EC8-967F-A0D575C2E8D9}" name="3132"/>
    <tableColumn id="3146" xr3:uid="{604F2648-D630-4E39-BB5B-2100ED9AA84A}" name="3133"/>
    <tableColumn id="3147" xr3:uid="{8290E250-98C5-43B1-A2D0-6787B55EE3CE}" name="3134"/>
    <tableColumn id="3148" xr3:uid="{0EF44DE4-1F1C-4688-AD55-2ED17EC17024}" name="3135"/>
    <tableColumn id="3149" xr3:uid="{7C4F592E-2A8F-4F27-B3CA-36FBF00CC184}" name="3136"/>
    <tableColumn id="3150" xr3:uid="{3569F117-4535-41EA-927F-E4AC4FE0359F}" name="3137"/>
    <tableColumn id="3151" xr3:uid="{AEB89763-61E9-4DDD-B8A4-6520AA1F356F}" name="3138"/>
    <tableColumn id="3152" xr3:uid="{A6631692-1F98-451A-BE90-AEE15CD5EAF4}" name="3139"/>
    <tableColumn id="3153" xr3:uid="{ECB5F560-1D2A-4D58-AD23-45B625EFB586}" name="3140"/>
    <tableColumn id="3154" xr3:uid="{4E3A462B-2009-4FE4-956A-9FA0331A709F}" name="3141"/>
    <tableColumn id="3155" xr3:uid="{0219084A-572D-495D-88F4-A5F8E0327674}" name="3142"/>
    <tableColumn id="3156" xr3:uid="{1DB5C817-A1AB-477B-B15E-694899E028AD}" name="3143"/>
    <tableColumn id="3157" xr3:uid="{4491AF39-F8EC-4D27-BD97-A4F89994106C}" name="3144"/>
    <tableColumn id="3158" xr3:uid="{AE3CB8AF-E5EC-4619-88E1-F35AE4BECDC5}" name="3145"/>
    <tableColumn id="3159" xr3:uid="{7B132F67-F635-43B8-BB91-6A5DFAB5266B}" name="3146"/>
    <tableColumn id="3160" xr3:uid="{C0D6A8DF-7C30-471C-A23C-F5626FC4320B}" name="3147"/>
    <tableColumn id="3161" xr3:uid="{CD96B42A-BF3E-4D07-A7F5-9E12BAEC61AE}" name="3148"/>
    <tableColumn id="3162" xr3:uid="{C5E1BE1A-0FCA-4E72-956C-7DF78574038E}" name="3149"/>
    <tableColumn id="3163" xr3:uid="{511C2EEF-7400-4DF1-ADD4-D9170318E07A}" name="3150"/>
    <tableColumn id="3164" xr3:uid="{6670336A-F3FB-4C67-BCA6-18E693B65BC6}" name="3151"/>
    <tableColumn id="3165" xr3:uid="{918B6730-8953-45EF-99E5-502D1D57F672}" name="3152"/>
    <tableColumn id="3166" xr3:uid="{787B4193-E750-4827-85B7-B28D13E5A4C5}" name="3153"/>
    <tableColumn id="3167" xr3:uid="{1877A59C-F05A-415D-940C-5E651F21A348}" name="3154"/>
    <tableColumn id="3168" xr3:uid="{8E53C1CF-B7E3-4330-973D-A004AEBD385B}" name="3155"/>
    <tableColumn id="3169" xr3:uid="{0BC466CF-A913-4B13-B080-705C43F735EC}" name="3156"/>
    <tableColumn id="3170" xr3:uid="{6E9DAC2A-97CA-4D9F-8942-FC0EFA902255}" name="3157"/>
    <tableColumn id="3171" xr3:uid="{06D9BF25-4784-46AF-884F-D6F4CBDC034F}" name="3158"/>
    <tableColumn id="3172" xr3:uid="{3E6172BE-EA8B-4FAC-AF57-550DD5BEFFEB}" name="3159"/>
    <tableColumn id="3173" xr3:uid="{878BE9E9-3A1C-4377-9576-9783EA6AB7F1}" name="3160"/>
    <tableColumn id="3174" xr3:uid="{D585BC5A-55A5-4E7B-B9EA-6841F058962A}" name="3161"/>
    <tableColumn id="3175" xr3:uid="{ED172FA1-5BCE-4BAF-974E-7B4CF6A8B0CF}" name="3162"/>
    <tableColumn id="3176" xr3:uid="{1A5CCF6B-D93E-4E75-8CAB-D82CD973D148}" name="3163"/>
    <tableColumn id="3177" xr3:uid="{66A31CF5-F052-4CEA-8DCD-745E01D8E89E}" name="3164"/>
    <tableColumn id="3178" xr3:uid="{67562283-0570-4B53-A62C-F55E9F5946B9}" name="3165"/>
    <tableColumn id="3179" xr3:uid="{9E7AC632-2918-4B49-A8BB-CF0A6C02D15F}" name="3166"/>
    <tableColumn id="3180" xr3:uid="{E39C232C-DACF-45D7-8BB2-C07F0DE4DAB4}" name="3167"/>
    <tableColumn id="3181" xr3:uid="{D8516E3B-C620-4E9D-8CCC-F6F02DCC4693}" name="3168"/>
    <tableColumn id="3182" xr3:uid="{A5364C24-2B93-4FCB-BF11-685FBC88403C}" name="3169"/>
    <tableColumn id="3183" xr3:uid="{72AAB62A-9FA1-4E1A-98D8-422B2D186DF0}" name="3170"/>
    <tableColumn id="3184" xr3:uid="{A57C896D-9A0F-474B-B7D0-8589897281FC}" name="3171"/>
    <tableColumn id="3185" xr3:uid="{74D6929D-3E56-4060-84ED-E7F424813804}" name="3172"/>
    <tableColumn id="3186" xr3:uid="{D7CFA1C9-7C15-43C2-8F57-C2C01D8EC721}" name="3173"/>
    <tableColumn id="3187" xr3:uid="{779C1564-AC9E-4A69-812B-093D0F1328E3}" name="3174"/>
    <tableColumn id="3188" xr3:uid="{133C8EE8-9830-4333-A49C-D95E624E7EA5}" name="3175"/>
    <tableColumn id="3189" xr3:uid="{9FC43EC1-0191-4F5C-8E38-B3B950A15438}" name="3176"/>
    <tableColumn id="3190" xr3:uid="{ED883CFF-7910-4A44-894B-12B895AFF9CD}" name="3177"/>
    <tableColumn id="3191" xr3:uid="{599BBEAC-8F41-4D65-AC18-03072A6B4319}" name="3178"/>
    <tableColumn id="3192" xr3:uid="{114C52B7-509D-45C5-A491-6A0B00262FA7}" name="3179"/>
    <tableColumn id="3193" xr3:uid="{A2005010-4729-4E8B-8F5D-279D1F8CDEF0}" name="3180"/>
    <tableColumn id="3194" xr3:uid="{99E41A1A-6A6E-40E9-9AF2-9220F8650E17}" name="3181"/>
    <tableColumn id="3195" xr3:uid="{098C9435-B4C0-47A8-B7EF-E23B08F92E2B}" name="3182"/>
    <tableColumn id="3196" xr3:uid="{B9B69A81-3F20-4F9B-9544-9E5C0B0AE682}" name="3183"/>
    <tableColumn id="3197" xr3:uid="{1FF9E75C-DE27-495D-9D91-5266A91CB24D}" name="3184"/>
    <tableColumn id="3198" xr3:uid="{E312F57B-B83A-4CC0-B62E-1037A3C478D0}" name="3185"/>
    <tableColumn id="3199" xr3:uid="{69A1B648-43CD-4F61-A580-1C55B575839B}" name="3186"/>
    <tableColumn id="3200" xr3:uid="{E75D2895-545A-4FEE-90C3-FAC069739667}" name="3187"/>
    <tableColumn id="3201" xr3:uid="{F0C51DDC-5B1A-4541-B75F-D50EABDA586D}" name="3188"/>
    <tableColumn id="3202" xr3:uid="{71C75A63-D09B-4BEA-BCDA-9B2B9FD3249E}" name="3189"/>
    <tableColumn id="3203" xr3:uid="{DB09E92A-F7CA-4EA3-AA6F-B18C9A698395}" name="3190"/>
    <tableColumn id="3204" xr3:uid="{161C906C-A617-46FE-AE9F-7BE72546346C}" name="3191"/>
    <tableColumn id="3205" xr3:uid="{95E30747-7C8B-4830-95EB-07AD5EFE417C}" name="3192"/>
    <tableColumn id="3206" xr3:uid="{6937B95E-838B-4C49-8C1A-A71A7A46126F}" name="3193"/>
    <tableColumn id="3207" xr3:uid="{07F6B92A-60FE-4BAB-82DB-113BCC7F1468}" name="3194"/>
    <tableColumn id="3208" xr3:uid="{AE710C8C-1ED7-4D2F-B239-3ADEE4A65369}" name="3195"/>
    <tableColumn id="3209" xr3:uid="{4979CC0F-D80A-4111-A9EE-739230EA85F4}" name="3196"/>
    <tableColumn id="3210" xr3:uid="{5166E56D-E48F-49E4-B5B3-2352883F51E9}" name="3197"/>
    <tableColumn id="3211" xr3:uid="{921F7B1C-F39D-4A38-8FBC-42F247ACDEDB}" name="3198"/>
    <tableColumn id="3212" xr3:uid="{6696D32C-210D-4F48-9D80-FDA08F35892F}" name="3199"/>
    <tableColumn id="3213" xr3:uid="{4D8C3653-F462-469F-9467-6C57537CD369}" name="3200"/>
    <tableColumn id="3214" xr3:uid="{A03E4ECB-EB99-4DD4-BEAC-D04B51AB88F1}" name="3201"/>
    <tableColumn id="3215" xr3:uid="{C15E9EA0-14FD-446C-8A8C-E9E9CF5C2813}" name="3202"/>
    <tableColumn id="3216" xr3:uid="{432F17A0-E83D-4E01-85E6-FA1B877DE9A7}" name="3203"/>
    <tableColumn id="3217" xr3:uid="{BEBE030B-A69A-445D-B38F-1C5C4E49D266}" name="3204"/>
    <tableColumn id="3218" xr3:uid="{2C97E763-26DE-4AB5-BD1B-BE68DFA02898}" name="3205"/>
    <tableColumn id="3219" xr3:uid="{A8AF073E-E236-421F-9BB9-7D2AE406EA74}" name="3206"/>
    <tableColumn id="3220" xr3:uid="{34DA0BF7-263C-4C0E-AF02-2EFFB3C092E8}" name="3207"/>
    <tableColumn id="3221" xr3:uid="{0EA1E40E-EDDA-4BAA-B98E-E63D0FD9CA29}" name="3208"/>
    <tableColumn id="3222" xr3:uid="{1C3DDF2E-1223-4731-A36E-4797242913F3}" name="3209"/>
    <tableColumn id="3223" xr3:uid="{0EDB835C-70CD-411C-9959-4A370EB70EB6}" name="3210"/>
    <tableColumn id="3224" xr3:uid="{DF25B2D1-A509-44C1-8D10-009CF372694B}" name="3211"/>
    <tableColumn id="3225" xr3:uid="{EF9DE0EA-2724-4F64-A296-B0FC9CD24BFB}" name="3212"/>
    <tableColumn id="3226" xr3:uid="{AD057B20-8A03-4C0E-8EA7-D4C85BFCCE5A}" name="3213"/>
    <tableColumn id="3227" xr3:uid="{8121023A-F3B0-45D1-9183-BC5BDA0BEF89}" name="3214"/>
    <tableColumn id="3228" xr3:uid="{E535FA37-979E-49AA-AB26-540206DC883A}" name="3215"/>
    <tableColumn id="3229" xr3:uid="{1B3C82C4-49AA-47C9-8AC2-B110156CC0EC}" name="3216"/>
    <tableColumn id="3230" xr3:uid="{B14B49F5-BE84-47B2-8EB8-6F38A3D2E01B}" name="3217"/>
    <tableColumn id="3231" xr3:uid="{35547B85-3EC1-425C-A81E-BDF149C7C2ED}" name="3218"/>
    <tableColumn id="3232" xr3:uid="{450C0F41-B869-4942-A065-7118BF1BFD2A}" name="3219"/>
    <tableColumn id="3233" xr3:uid="{05DB7453-9DDC-4CE4-870B-0EC15C0CBF2E}" name="3220"/>
    <tableColumn id="3234" xr3:uid="{38BB6E52-19A5-4162-96DF-5F68F8DE77B0}" name="3221"/>
    <tableColumn id="3235" xr3:uid="{30244F34-1BEF-4C5B-9716-9C17942A2658}" name="3222"/>
    <tableColumn id="3236" xr3:uid="{8C616FA1-3AC6-448A-9802-15438AB8B01B}" name="3223"/>
    <tableColumn id="3237" xr3:uid="{60691496-0464-4F2A-8CC2-13D4BA1C5431}" name="3224"/>
    <tableColumn id="3238" xr3:uid="{1181C475-0B8D-4096-A83B-7BA2F2543128}" name="3225"/>
    <tableColumn id="3239" xr3:uid="{05539F93-4624-4F86-8C2B-70FDE2BF212D}" name="3226"/>
    <tableColumn id="3240" xr3:uid="{04C25ADA-C8E9-4DF5-90CE-7463C2455F58}" name="3227"/>
    <tableColumn id="3241" xr3:uid="{013712CA-6178-4A59-B72D-FA32EB70C500}" name="3228"/>
    <tableColumn id="3242" xr3:uid="{D9A80366-F8ED-4B1E-9067-B3E91BEC353B}" name="3229"/>
    <tableColumn id="3243" xr3:uid="{C2D95C2B-3D9F-4622-9F9A-3C32BC7C6C9D}" name="3230"/>
    <tableColumn id="3244" xr3:uid="{966D9C5F-6776-45D3-B3DD-D3B87F0D700A}" name="3231"/>
    <tableColumn id="3245" xr3:uid="{D011CD54-630C-43F5-96CF-886B9E310731}" name="3232"/>
    <tableColumn id="3246" xr3:uid="{B0020E3A-FF9E-43F5-9FF3-5DD01A5DF6FB}" name="3233"/>
    <tableColumn id="3247" xr3:uid="{52903E68-433B-4597-AFCA-5F2291F16858}" name="3234"/>
    <tableColumn id="3248" xr3:uid="{CED54D5B-3B87-409B-9892-C7955324EC9C}" name="3235"/>
    <tableColumn id="3249" xr3:uid="{D8107ACD-3605-4616-87FC-2712A442F598}" name="3236"/>
    <tableColumn id="3250" xr3:uid="{69BDB0EA-1968-43D2-AE6A-E44849EC48A7}" name="3237"/>
    <tableColumn id="3251" xr3:uid="{6D13FA2C-5A94-4067-AB08-69936573121C}" name="3238"/>
    <tableColumn id="3252" xr3:uid="{9613C894-40C8-4644-B083-E8CE2292F02E}" name="3239"/>
    <tableColumn id="3253" xr3:uid="{478C7688-3F3E-4D61-957F-B9DD326ADD02}" name="3240"/>
    <tableColumn id="3254" xr3:uid="{61445AB4-FBCD-447B-B151-E1D4AF000144}" name="3241"/>
    <tableColumn id="3255" xr3:uid="{337299B6-192A-4F68-8BCA-53C0BECB24E2}" name="3242"/>
    <tableColumn id="3256" xr3:uid="{20360341-19AD-4EE8-91A4-6E8BD9215FF3}" name="3243"/>
    <tableColumn id="3257" xr3:uid="{B0424B6A-4619-4860-BDBE-F19518BCCF09}" name="3244"/>
    <tableColumn id="3258" xr3:uid="{04C0A843-257E-4830-BD95-EAAF75DD2E46}" name="3245"/>
    <tableColumn id="3259" xr3:uid="{B25605C2-F0A1-4926-A774-42CF42D6D551}" name="3246"/>
    <tableColumn id="3260" xr3:uid="{3193348A-242C-442C-8A83-1C203EB7DB4C}" name="3247"/>
    <tableColumn id="3261" xr3:uid="{67292908-8C6F-4A71-8267-5DACE24168A5}" name="3248"/>
    <tableColumn id="3262" xr3:uid="{FDC35EA4-4505-4D06-8E84-BEE1DB17C9FB}" name="3249"/>
    <tableColumn id="3263" xr3:uid="{3CA899FD-B488-47CF-A69C-B58869DC725B}" name="3250"/>
    <tableColumn id="3264" xr3:uid="{E886CB52-8A09-445D-A57B-E5277F6E4D18}" name="3251"/>
    <tableColumn id="3265" xr3:uid="{98EC34FC-5928-4704-A33E-040A58279349}" name="3252"/>
    <tableColumn id="3266" xr3:uid="{522F43FB-E08A-4F16-8579-09F8211EA8F1}" name="3253"/>
    <tableColumn id="3267" xr3:uid="{467D8DB9-3B0C-4FAD-B6B8-DD0217280C0F}" name="3254"/>
    <tableColumn id="3268" xr3:uid="{AEEEBF19-A1F9-4954-99D4-D37A5D3BB310}" name="3255"/>
    <tableColumn id="3269" xr3:uid="{AA115673-0895-4952-982D-35F0C6A2C6C4}" name="3256"/>
    <tableColumn id="3270" xr3:uid="{D2D0E612-5707-4DC5-8DC9-B6D127E1941A}" name="3257"/>
    <tableColumn id="3271" xr3:uid="{E17B9D81-A14D-4598-BD49-5C379F6B95BC}" name="3258"/>
    <tableColumn id="3272" xr3:uid="{ED181F85-17A2-4190-9B00-14EA12AF291F}" name="3259"/>
    <tableColumn id="3273" xr3:uid="{EA727DC0-124E-41F5-8E0E-A42301757DD1}" name="3260"/>
    <tableColumn id="3274" xr3:uid="{55C80C80-B122-442E-BC56-8AF83AE9F2B9}" name="3261"/>
    <tableColumn id="3275" xr3:uid="{FB6D5198-D12E-4521-AF70-EEE1B66A88EB}" name="3262"/>
    <tableColumn id="3276" xr3:uid="{C81FD3F5-FCC1-43D0-9D2B-16C227704AD5}" name="3263"/>
    <tableColumn id="3277" xr3:uid="{0BC8654E-F19B-4BFC-AC3C-55A98DF443D7}" name="3264"/>
    <tableColumn id="3278" xr3:uid="{1A61D5F6-F9D7-4B84-9EBA-8B4ABF33608B}" name="3265"/>
    <tableColumn id="3279" xr3:uid="{D68B33B6-CE00-4439-9B58-7D26E386C625}" name="3266"/>
    <tableColumn id="3280" xr3:uid="{9A8FC012-8E91-4E07-AAC8-14BFE0DC0229}" name="3267"/>
    <tableColumn id="3281" xr3:uid="{EAA16958-CF1B-4231-AC92-129E6BB12125}" name="3268"/>
    <tableColumn id="3282" xr3:uid="{3A059D46-AFF1-42CC-9380-1E2ACE7AC28D}" name="3269"/>
    <tableColumn id="3283" xr3:uid="{093B3882-B68C-4F01-9C77-B756EBA8CB2E}" name="3270"/>
    <tableColumn id="3284" xr3:uid="{2C6CADE7-92E5-475A-BE92-B4FC662FE232}" name="3271"/>
    <tableColumn id="3285" xr3:uid="{E62AA805-3D43-487E-893A-EF2F644F5094}" name="3272"/>
    <tableColumn id="3286" xr3:uid="{3E5A84CF-7DB9-4CF5-BA71-17B5E0E1A643}" name="3273"/>
    <tableColumn id="3287" xr3:uid="{9F637AC2-A06A-4551-A3E2-61D1C2B102A9}" name="3274"/>
    <tableColumn id="3288" xr3:uid="{6C03D316-9A9C-4C55-9DEC-828DA8AEF90C}" name="3275"/>
    <tableColumn id="3289" xr3:uid="{BC0576D7-4980-425D-ABCC-1790985FAAE5}" name="3276"/>
    <tableColumn id="3290" xr3:uid="{831664FF-8A02-4364-B65B-17E07590B3E0}" name="3277"/>
    <tableColumn id="3291" xr3:uid="{1948D302-9D36-47AC-8E7B-F31860642245}" name="3278"/>
    <tableColumn id="3292" xr3:uid="{E26A1E6D-1357-46F3-B4E3-48C6128D76CB}" name="3279"/>
    <tableColumn id="3293" xr3:uid="{56D47984-533B-4F36-94F2-E7B7D9BACBA2}" name="3280"/>
    <tableColumn id="3294" xr3:uid="{EAFB3AD6-9277-4B23-B228-C60AA3070FAD}" name="3281"/>
    <tableColumn id="3295" xr3:uid="{2B236DAA-5305-47AC-AB5B-711486E02210}" name="3282"/>
    <tableColumn id="3296" xr3:uid="{5BB7FD95-3EF4-4022-87E9-B9331F2A0EE2}" name="3283"/>
    <tableColumn id="3297" xr3:uid="{13BB7190-BB88-4A5E-96C4-5E58CB55C9C3}" name="3284"/>
    <tableColumn id="3298" xr3:uid="{7B888293-03F5-49EA-9725-9E960AA8A91A}" name="3285"/>
    <tableColumn id="3299" xr3:uid="{8E0259EE-B4B1-470A-AF1A-86DD61B499C4}" name="3286"/>
    <tableColumn id="3300" xr3:uid="{5CF687A0-23E4-4A77-8157-CC191CBF7B81}" name="3287"/>
    <tableColumn id="3301" xr3:uid="{9C34D73B-89F2-4F9F-B9D6-36CC56B6AC97}" name="3288"/>
    <tableColumn id="3302" xr3:uid="{48C64D0F-CA5B-408C-9106-F6057B22FDC3}" name="3289"/>
    <tableColumn id="3303" xr3:uid="{D69AD808-E508-4314-9D4E-00737E505900}" name="3290"/>
    <tableColumn id="3304" xr3:uid="{E1743B46-69DB-4FC7-A49A-244CBEB9C030}" name="3291"/>
    <tableColumn id="3305" xr3:uid="{52ED8071-4E65-4B64-8BB9-C543F80C76A2}" name="3292"/>
    <tableColumn id="3306" xr3:uid="{8F69FA86-8CB4-4D0D-B59F-38786AD649FE}" name="3293"/>
    <tableColumn id="3307" xr3:uid="{03D45646-349A-4463-AC86-BE83207B8547}" name="3294"/>
    <tableColumn id="3308" xr3:uid="{F86F3DB0-DE89-4BC4-BCFB-C1532A6586A0}" name="3295"/>
    <tableColumn id="3309" xr3:uid="{FA52AAFE-5F68-4D15-B569-5967FCD3D698}" name="3296"/>
    <tableColumn id="3310" xr3:uid="{A2182A0E-5274-494E-B9FF-FC753D4CB549}" name="3297"/>
    <tableColumn id="3311" xr3:uid="{178CD4A4-F13A-456D-AFDF-4BBB3151FA0C}" name="3298"/>
    <tableColumn id="3312" xr3:uid="{AA979E6B-258D-44F5-8CD0-75B215EACF0E}" name="3299"/>
    <tableColumn id="3313" xr3:uid="{30F1A7CE-C645-43D7-9CE1-3E06EC92AF94}" name="3300"/>
    <tableColumn id="3314" xr3:uid="{693EC042-FA3C-4215-B7FF-D9DFA00ACDE3}" name="3301"/>
    <tableColumn id="3315" xr3:uid="{E24BC6D0-C6B7-4182-A005-643FBECE2DC8}" name="3302"/>
    <tableColumn id="3316" xr3:uid="{9B2EFE94-78D4-4C5A-B1EC-DEB974FAABD2}" name="3303"/>
    <tableColumn id="3317" xr3:uid="{828F074D-D897-4F0D-8551-9F72F99BB5E7}" name="3304"/>
    <tableColumn id="3318" xr3:uid="{634A412E-4AB2-4D19-B6A9-D4C88CE9A034}" name="3305"/>
    <tableColumn id="3319" xr3:uid="{201390D5-5DBB-455E-9502-6D3C293474E0}" name="3306"/>
    <tableColumn id="3320" xr3:uid="{509AA272-711F-4E1B-B448-F802535A64E4}" name="3307"/>
    <tableColumn id="3321" xr3:uid="{D0AB48CD-2E5D-4B54-8877-57D6169F6165}" name="3308"/>
    <tableColumn id="3322" xr3:uid="{607C2573-2FC6-4EAD-8FBF-D4D6EC82E6F0}" name="3309"/>
    <tableColumn id="3323" xr3:uid="{6A804CCA-8050-4CE3-9321-876497EBA2F4}" name="3310"/>
    <tableColumn id="3324" xr3:uid="{08277D9A-C6CF-40F1-8CEA-8AFCE5A6C213}" name="3311"/>
    <tableColumn id="3325" xr3:uid="{DAD2C202-FC45-4DC0-BC64-0EC4281827F7}" name="3312"/>
    <tableColumn id="3326" xr3:uid="{C4EC7EF9-334A-4080-A381-AF935C49AA68}" name="3313"/>
    <tableColumn id="3327" xr3:uid="{2E0254A8-BBA3-4CBC-9A80-A3343DC626DF}" name="3314"/>
    <tableColumn id="3328" xr3:uid="{50FBBA9F-F037-4367-A19B-185D418236B6}" name="3315"/>
    <tableColumn id="3329" xr3:uid="{805A1752-FF18-4C6B-8A97-23C3C6EF35C5}" name="3316"/>
    <tableColumn id="3330" xr3:uid="{981DB036-35BE-439D-B595-910F9A88B16D}" name="3317"/>
    <tableColumn id="3331" xr3:uid="{99F022CF-B8A7-49B0-A944-FACF651CEC8B}" name="3318"/>
    <tableColumn id="3332" xr3:uid="{6029F63B-DE5E-4626-A4DC-A36A79B0E307}" name="3319"/>
    <tableColumn id="3333" xr3:uid="{044BA423-07DF-46A5-BFA5-6943A21DB5CB}" name="3320"/>
    <tableColumn id="3334" xr3:uid="{DB040975-431B-4CEB-B142-8BC9EC280717}" name="3321"/>
    <tableColumn id="3335" xr3:uid="{65ED9E13-83A4-4564-9A60-231E895CC3E4}" name="3322"/>
    <tableColumn id="3336" xr3:uid="{FF6792B1-4458-4DDD-9887-1FFC5E3EF0EB}" name="3323"/>
    <tableColumn id="3337" xr3:uid="{85859CDA-370E-4BC3-B13B-69289B27EAE4}" name="3324"/>
    <tableColumn id="3338" xr3:uid="{47AD84CD-A959-4E0A-A9B2-141E2CB5C63F}" name="3325"/>
    <tableColumn id="3339" xr3:uid="{46941D14-BCD5-4621-86C7-0FF86705B706}" name="3326"/>
    <tableColumn id="3340" xr3:uid="{042BEA1D-FF05-4B52-8663-2952A21DF854}" name="3327"/>
    <tableColumn id="3341" xr3:uid="{5E90B379-E19C-4174-9E39-F91748B31A75}" name="3328"/>
    <tableColumn id="3342" xr3:uid="{50FE96B5-E6A4-4EAD-AD3B-00BD0C6FE173}" name="3329"/>
    <tableColumn id="3343" xr3:uid="{62E04ECC-25C2-4204-BEA5-9767665F05B4}" name="3330"/>
    <tableColumn id="3344" xr3:uid="{B2879B65-0DD3-4EBB-BD97-C1AF285A6376}" name="3331"/>
    <tableColumn id="3345" xr3:uid="{C65F273B-82FC-4828-A41D-FCE2CB478467}" name="3332"/>
    <tableColumn id="3346" xr3:uid="{3FE985A4-0D6A-4282-81E1-A22B769CEAA2}" name="3333"/>
    <tableColumn id="3347" xr3:uid="{40BFB3D2-8F15-4CE3-A80D-09FCAE253B3F}" name="3334"/>
    <tableColumn id="3348" xr3:uid="{4FE46039-1340-484F-8B2B-67F6C43EAC92}" name="3335"/>
    <tableColumn id="3349" xr3:uid="{48EA011E-D074-4F64-AC60-D49746E63F68}" name="3336"/>
    <tableColumn id="3350" xr3:uid="{60A72B66-AD75-4D02-A88E-B10FF0C264EE}" name="3337"/>
    <tableColumn id="3351" xr3:uid="{0CD867E5-CB61-4FE9-8FE8-4F5F2422600C}" name="3338"/>
    <tableColumn id="3352" xr3:uid="{F16253A9-3A6C-4A68-85A2-4D55E321132F}" name="3339"/>
    <tableColumn id="3353" xr3:uid="{43A9DBA9-B25D-430C-A192-493C35E16CB5}" name="3340"/>
    <tableColumn id="3354" xr3:uid="{FFB0CC93-E1DF-44F4-9437-AFD4552F4A9C}" name="3341"/>
    <tableColumn id="3355" xr3:uid="{EB4EA278-F152-4265-A22A-03F0641770D2}" name="3342"/>
    <tableColumn id="3356" xr3:uid="{8068CEBD-9E79-4A6B-AE43-AD918AE5C560}" name="3343"/>
    <tableColumn id="3357" xr3:uid="{D367BE3D-40DD-4AD2-9BEC-A13850AD086E}" name="3344"/>
    <tableColumn id="3358" xr3:uid="{F53CF171-184B-4C13-ABD5-CD7F32440CBE}" name="3345"/>
    <tableColumn id="3359" xr3:uid="{C3BC6CE6-8516-4BB4-87CC-8F3CA0AECECB}" name="3346"/>
    <tableColumn id="3360" xr3:uid="{6D3AF875-7C66-4445-8046-693CA80363E3}" name="3347"/>
    <tableColumn id="3361" xr3:uid="{F9FB34E9-5E42-40BD-9097-9C4C3E85D056}" name="3348"/>
    <tableColumn id="3362" xr3:uid="{2FCF8A93-9127-48B5-AF13-50E4FB1E289D}" name="3349"/>
    <tableColumn id="3363" xr3:uid="{7843C584-17CC-47CA-BD74-2C947F47A1CE}" name="3350"/>
    <tableColumn id="3364" xr3:uid="{6E5EC819-0EC0-4BFF-A077-120C53C14FCB}" name="3351"/>
    <tableColumn id="3365" xr3:uid="{24037297-5087-4955-A6AC-B7F4862E9D8E}" name="3352"/>
    <tableColumn id="3366" xr3:uid="{68DBD837-7D68-4649-9311-2D9D857DB7D7}" name="3353"/>
    <tableColumn id="3367" xr3:uid="{7A4EF463-9A9C-4899-B2A2-DC6C8B9A1929}" name="3354"/>
    <tableColumn id="3368" xr3:uid="{51AFE07F-C038-4688-9844-C36CBCA92A49}" name="3355"/>
    <tableColumn id="3369" xr3:uid="{42CEC769-9842-4E7D-B77A-A5B84EEC9E12}" name="3356"/>
    <tableColumn id="3370" xr3:uid="{ED94013E-5FE4-49B1-BB7D-79982673ADC4}" name="3357"/>
    <tableColumn id="3371" xr3:uid="{884EA834-921F-4403-B4AC-39ECD31230DF}" name="3358"/>
    <tableColumn id="3372" xr3:uid="{6531CC42-5996-42A2-94DE-95E9B537C811}" name="3359"/>
    <tableColumn id="3373" xr3:uid="{22281B52-E09C-4ABB-86FE-DFBD61ECFBE5}" name="3360"/>
    <tableColumn id="3374" xr3:uid="{AA2F14E4-39E3-47E9-A48C-4936140D57B3}" name="3361"/>
    <tableColumn id="3375" xr3:uid="{A611BDC6-EA0B-4F2E-8E8F-9C3A4198231D}" name="3362"/>
    <tableColumn id="3376" xr3:uid="{EC9C96A8-BD37-46D6-B60B-FDF192AE8974}" name="3363"/>
    <tableColumn id="3377" xr3:uid="{CF58A1B1-E1FC-4968-83AF-9CD4E78D7845}" name="3364"/>
    <tableColumn id="3378" xr3:uid="{C13CC7D4-9D79-4A80-94BD-FA0C60D4D139}" name="3365"/>
    <tableColumn id="3379" xr3:uid="{4270CFA7-31ED-4128-941E-6A7487509FDD}" name="3366"/>
    <tableColumn id="3380" xr3:uid="{D8EBFBA2-B20D-47F0-9087-8388E85998E3}" name="3367"/>
    <tableColumn id="3381" xr3:uid="{C621F4A5-F8A4-4282-9B9B-A0D1C22A1F59}" name="3368"/>
    <tableColumn id="3382" xr3:uid="{E5A2EC28-55C9-4D9C-AC3F-E40D3AA1B552}" name="3369"/>
    <tableColumn id="3383" xr3:uid="{0A82A629-AD23-4D1D-96C4-746B26976C7A}" name="3370"/>
    <tableColumn id="3384" xr3:uid="{FF10AC55-1C0C-459B-AC50-E3B7F415F1AE}" name="3371"/>
    <tableColumn id="3385" xr3:uid="{9E9DAB3E-AD13-41D4-83EF-6967295D22E1}" name="3372"/>
    <tableColumn id="3386" xr3:uid="{768BA620-C234-4597-AF7D-56EE8A23B66B}" name="3373"/>
    <tableColumn id="3387" xr3:uid="{1056CAAD-FB95-4BF8-8C88-451FF061587B}" name="3374"/>
    <tableColumn id="3388" xr3:uid="{D8DF2BCA-27F7-4AD6-8343-E8C7EC4DAFF3}" name="3375"/>
    <tableColumn id="3389" xr3:uid="{6C9D9127-8F45-4043-B9EE-8ACBE540E9FB}" name="3376"/>
    <tableColumn id="3390" xr3:uid="{0E24C5DC-B6C5-47B3-B363-154D3280CD2D}" name="3377"/>
    <tableColumn id="3391" xr3:uid="{C6E40B83-429D-4539-B15D-5CBD1855B515}" name="3378"/>
    <tableColumn id="3392" xr3:uid="{5781439A-70C0-4F06-8DBD-829898E7C714}" name="3379"/>
    <tableColumn id="3393" xr3:uid="{C7733D8A-C7D5-4767-981C-6B480E39EF77}" name="3380"/>
    <tableColumn id="3394" xr3:uid="{020256EE-C0EB-4691-ABC9-A614DA16A499}" name="3381"/>
    <tableColumn id="3395" xr3:uid="{329A1389-DA76-4A3E-869D-608864DEF3A0}" name="3382"/>
    <tableColumn id="3396" xr3:uid="{2DD546A7-D9B1-444F-93F1-4F9DC7BECC15}" name="3383"/>
    <tableColumn id="3397" xr3:uid="{4359519E-801B-4FB7-8420-20C6F1FBC935}" name="3384"/>
    <tableColumn id="3398" xr3:uid="{060EFE6B-C65D-492B-9617-6220DBDFA2CF}" name="3385"/>
    <tableColumn id="3399" xr3:uid="{D6D59655-C368-4B8A-8C85-7A137596E9D6}" name="3386"/>
    <tableColumn id="3400" xr3:uid="{C84D153D-D239-4828-A382-98514B205BCC}" name="3387"/>
    <tableColumn id="3401" xr3:uid="{98939EAC-5163-4549-B189-3F7955D9A0C7}" name="3388"/>
    <tableColumn id="3402" xr3:uid="{7045D48B-A681-4604-959F-31A4101AD356}" name="3389"/>
    <tableColumn id="3403" xr3:uid="{45E211E0-5F7C-4CA7-B31B-35ECFB21F0DD}" name="3390"/>
    <tableColumn id="3404" xr3:uid="{7596B484-3DF3-4864-AC24-91390BC438C8}" name="3391"/>
    <tableColumn id="3405" xr3:uid="{32026B8B-9983-4F36-BE4B-F503EF4399F7}" name="3392"/>
    <tableColumn id="3406" xr3:uid="{CB2BD6D1-D0A0-4FBC-A4B8-FD8CC6D3412F}" name="3393"/>
    <tableColumn id="3407" xr3:uid="{CA9F9E32-F974-4E68-A529-87973B614ABB}" name="3394"/>
    <tableColumn id="3408" xr3:uid="{06BD9226-F892-4AC1-9746-6229FBAD9A2F}" name="3395"/>
    <tableColumn id="3409" xr3:uid="{8C18E58A-892A-42A9-95A6-0B5F9E5BF418}" name="3396"/>
    <tableColumn id="3410" xr3:uid="{8DBC989C-C6A6-4305-8C29-97EFBFBC5722}" name="3397"/>
    <tableColumn id="3411" xr3:uid="{AFBABB3A-D315-4069-85E7-6016FF4A79F0}" name="3398"/>
    <tableColumn id="3412" xr3:uid="{B2E32A4B-6680-4C69-96E6-2FDC2DFB583A}" name="3399"/>
    <tableColumn id="3413" xr3:uid="{BF6988ED-F761-4425-B898-09D779881A0C}" name="3400"/>
    <tableColumn id="3414" xr3:uid="{D8FA63D4-6DBC-4909-B519-43288E863DF2}" name="3401"/>
    <tableColumn id="3415" xr3:uid="{9B5AE6F6-76F6-4137-8A9F-4550B1062B98}" name="3402"/>
    <tableColumn id="3416" xr3:uid="{828F12F2-4F5C-4208-9713-0278317EA89A}" name="3403"/>
    <tableColumn id="3417" xr3:uid="{171092C2-F727-451A-9AD7-F93D9D1744D5}" name="3404"/>
    <tableColumn id="3418" xr3:uid="{C75E2818-5797-4967-A309-654ED65447A8}" name="3405"/>
    <tableColumn id="3419" xr3:uid="{8061CF1C-BDC7-465F-AAE1-25905D16454E}" name="3406"/>
    <tableColumn id="3420" xr3:uid="{7C1DF800-C23A-490D-BF5B-F5B551B3FF12}" name="3407"/>
    <tableColumn id="3421" xr3:uid="{57944490-5E3E-4256-BA5F-FF673A1EDC36}" name="3408"/>
    <tableColumn id="3422" xr3:uid="{3A9FFA70-CCDB-4188-AC8C-775FA2C773A6}" name="3409"/>
    <tableColumn id="3423" xr3:uid="{C1CD2C1D-4B94-46F5-AC94-8F9E5E6DEAF9}" name="3410"/>
    <tableColumn id="3424" xr3:uid="{DF28465F-F830-4771-ABDE-C8EB40FF54A9}" name="3411"/>
    <tableColumn id="3425" xr3:uid="{37517889-9DB2-4087-81AA-D7E0AC407DF6}" name="3412"/>
    <tableColumn id="3426" xr3:uid="{9DE90D52-F4F3-4FAD-A4DC-FEF1CB4AA3B4}" name="3413"/>
    <tableColumn id="3427" xr3:uid="{D51D87E1-5E08-4AD4-8C55-397A03975065}" name="3414"/>
    <tableColumn id="3428" xr3:uid="{9F3BBEBD-52BC-4588-B642-16632B761D34}" name="3415"/>
    <tableColumn id="3429" xr3:uid="{27A2430F-D4E5-41EF-9B18-F337C252C512}" name="3416"/>
    <tableColumn id="3430" xr3:uid="{DE756F98-9BDA-4425-8618-A3C9AFF989FD}" name="3417"/>
    <tableColumn id="3431" xr3:uid="{25F8D2C6-72B8-426C-873D-D2AAA2D55BCB}" name="3418"/>
    <tableColumn id="3432" xr3:uid="{78BBC9FF-A9D5-4EB7-B850-97034F79E254}" name="3419"/>
    <tableColumn id="3433" xr3:uid="{99E6B115-CF6B-4F49-9F0F-E44E651BA599}" name="3420"/>
    <tableColumn id="3434" xr3:uid="{D2081E00-E32B-41B6-A77C-1F9AA67913CF}" name="3421"/>
    <tableColumn id="3435" xr3:uid="{31BADA96-06A5-4E06-823C-69ED8F4692FB}" name="3422"/>
    <tableColumn id="3436" xr3:uid="{720471DD-4D46-4F33-ADBE-0A3DF3D29D8E}" name="3423"/>
    <tableColumn id="3437" xr3:uid="{53DED188-19D8-425F-BC28-5B36EA210C96}" name="3424"/>
    <tableColumn id="3438" xr3:uid="{CFDD7E0D-7EC8-49F1-A302-790E1407EC0E}" name="3425"/>
    <tableColumn id="3439" xr3:uid="{31DF6941-84D7-4AEF-B920-5C841633AC79}" name="3426"/>
    <tableColumn id="3440" xr3:uid="{7DAC710A-33D4-4008-8E7D-6D5DD88DCF8C}" name="3427"/>
    <tableColumn id="3441" xr3:uid="{82A8AC88-BB95-4707-A17A-8A9F129F12CC}" name="3428"/>
    <tableColumn id="3442" xr3:uid="{D3658546-00EE-4AA9-A73F-103B17EF5979}" name="3429"/>
    <tableColumn id="3443" xr3:uid="{C43A47CD-7FBB-42DF-A5C6-CD28187D87FB}" name="3430"/>
    <tableColumn id="3444" xr3:uid="{37A3BB8C-944C-4CE2-A205-358306B84E6D}" name="3431"/>
    <tableColumn id="3445" xr3:uid="{6FB36577-BD80-47ED-B038-122318EA6966}" name="3432"/>
    <tableColumn id="3446" xr3:uid="{DB445529-9A55-4461-A24C-1E58151DB439}" name="3433"/>
    <tableColumn id="3447" xr3:uid="{24464E85-A7C5-4447-8E0D-2FF8EA1513ED}" name="3434"/>
    <tableColumn id="3448" xr3:uid="{08C8D7AB-BFB3-4EE9-A0BC-9DA82492F650}" name="3435"/>
    <tableColumn id="3449" xr3:uid="{A3058B5A-B4CD-4355-8C96-12703FD4089C}" name="3436"/>
    <tableColumn id="3450" xr3:uid="{7B13F4A2-BC30-4E91-A94D-0F70DDA13285}" name="3437"/>
    <tableColumn id="3451" xr3:uid="{B41C0D2F-C73E-47C9-B1CC-351921D2EA76}" name="3438"/>
    <tableColumn id="3452" xr3:uid="{0619F9AF-8B41-4924-9BD2-3C90AF4388F2}" name="3439"/>
    <tableColumn id="3453" xr3:uid="{472A7E28-10D5-424A-A6CD-644559FD1869}" name="3440"/>
    <tableColumn id="3454" xr3:uid="{406C8241-24CF-4654-821B-B96EEAA77CA9}" name="3441"/>
    <tableColumn id="3455" xr3:uid="{F443F709-4C04-4D5B-8BDF-A86D0CB0E25B}" name="3442"/>
    <tableColumn id="3456" xr3:uid="{C0182A1D-D7AF-4B23-A665-0702522ABB85}" name="3443"/>
    <tableColumn id="3457" xr3:uid="{5BE2A30F-8B4E-4296-B0EF-45DB90A7B15F}" name="3444"/>
    <tableColumn id="3458" xr3:uid="{813EC284-3FF2-48A6-94A6-B409DDC4BCA7}" name="3445"/>
    <tableColumn id="3459" xr3:uid="{9094ED2C-DB6A-4333-B92C-355347CF3D30}" name="3446"/>
    <tableColumn id="3460" xr3:uid="{AE4303FD-4D65-4715-B63B-C0268A3661F1}" name="3447"/>
    <tableColumn id="3461" xr3:uid="{76EDFF59-2EF0-4668-902C-C1CAA311420F}" name="3448"/>
    <tableColumn id="3462" xr3:uid="{84F0BBEC-5EB4-4F74-AEF4-9F9A00EECF44}" name="3449"/>
    <tableColumn id="3463" xr3:uid="{153CF0A7-F276-46DA-B984-23501F22416A}" name="3450"/>
    <tableColumn id="3464" xr3:uid="{38B806F0-E14D-4F16-AD9B-FE21E6F65626}" name="3451"/>
    <tableColumn id="3465" xr3:uid="{C6127276-2FC8-4E00-ACC2-7FE2FE68A648}" name="3452"/>
    <tableColumn id="3466" xr3:uid="{3E975C8E-6FB1-4BE8-9840-CF09ED564EFA}" name="3453"/>
    <tableColumn id="3467" xr3:uid="{CAF8C756-1C7A-41AB-97E2-0811F96F1721}" name="3454"/>
    <tableColumn id="3468" xr3:uid="{BB48631F-2AF1-4CDE-B31C-3935D1DDE023}" name="3455"/>
    <tableColumn id="3469" xr3:uid="{1D43B7B5-947B-4CEA-A1CC-284A237A9D54}" name="3456"/>
    <tableColumn id="3470" xr3:uid="{C29A97EF-A834-40CA-8ABE-E685ACD8E728}" name="3457"/>
    <tableColumn id="3471" xr3:uid="{EAC51A97-C1B4-4323-B503-B54A2F9146C3}" name="3458"/>
    <tableColumn id="3472" xr3:uid="{01027190-F995-4D5B-A854-AB258857F905}" name="3459"/>
    <tableColumn id="3473" xr3:uid="{FBD719FA-7F70-4CCB-BCCF-80E76CF14ECB}" name="3460"/>
    <tableColumn id="3474" xr3:uid="{CD552D76-DB6A-4AC0-89D8-4A85E772FC67}" name="3461"/>
    <tableColumn id="3475" xr3:uid="{6FBFBA11-EA2D-498E-AC9B-2FBCDC5EA189}" name="3462"/>
    <tableColumn id="3476" xr3:uid="{DF3782A3-7261-4E1B-B2F9-2263CB494C75}" name="3463"/>
    <tableColumn id="3477" xr3:uid="{12C07DCC-33C2-4CCB-93C8-07511FBB6587}" name="3464"/>
    <tableColumn id="3478" xr3:uid="{9DB60C9F-4160-429F-ACB3-A198DB11FD95}" name="3465"/>
    <tableColumn id="3479" xr3:uid="{847C127E-E30E-417E-96D9-138BA4686656}" name="3466"/>
    <tableColumn id="3480" xr3:uid="{DBF439E6-0D37-428B-81D9-40BF14BABF22}" name="3467"/>
    <tableColumn id="3481" xr3:uid="{0E18F850-7667-41E4-B0BF-1318B475F7D9}" name="3468"/>
    <tableColumn id="3482" xr3:uid="{C97E9A9C-02E1-4B72-BE21-914A1704E489}" name="3469"/>
    <tableColumn id="3483" xr3:uid="{B8978E8A-D9E2-4BD0-B7EB-657823CBD75A}" name="3470"/>
    <tableColumn id="3484" xr3:uid="{6B798CED-B9FE-4F0A-8205-EE3EB2FF39DF}" name="3471"/>
    <tableColumn id="3485" xr3:uid="{8D78D602-F37D-4283-80C0-A734C77FE543}" name="3472"/>
    <tableColumn id="3486" xr3:uid="{C5132964-FCBF-4B47-8AAD-821241B11DFB}" name="3473"/>
    <tableColumn id="3487" xr3:uid="{E42D21F0-C123-46EF-9FA1-927C3FA7EF05}" name="3474"/>
    <tableColumn id="3488" xr3:uid="{2EE29C61-C899-4B71-A3BB-21AE63D3F9E7}" name="3475"/>
    <tableColumn id="3489" xr3:uid="{60C7FFC3-FFEB-4CB8-BDE8-7527C5C956BF}" name="3476"/>
    <tableColumn id="3490" xr3:uid="{15D66A19-2CD7-4DD4-BA26-7A470039968C}" name="3477"/>
    <tableColumn id="3491" xr3:uid="{58B2CD1C-0163-43E0-9AAD-CDE211D4DC0C}" name="3478"/>
    <tableColumn id="3492" xr3:uid="{7A4C96C4-ADB0-4824-9BCF-39FDE1600391}" name="3479"/>
    <tableColumn id="3493" xr3:uid="{DEEA0A90-4CE3-4C25-9232-70D26A7E9305}" name="3480"/>
    <tableColumn id="3494" xr3:uid="{39452890-1FD8-4C49-A1B2-7A18EC0E51E8}" name="3481"/>
    <tableColumn id="3495" xr3:uid="{24921E83-9F7D-49E6-9D62-090BACF84681}" name="3482"/>
    <tableColumn id="3496" xr3:uid="{9F4D3BBF-0828-400E-BD25-62C27DB4B51F}" name="3483"/>
    <tableColumn id="3497" xr3:uid="{F27C3BB8-D8EF-4D86-A7B1-C2C583006380}" name="3484"/>
    <tableColumn id="3498" xr3:uid="{FC555944-9966-40D6-A3C4-D3753069623F}" name="3485"/>
    <tableColumn id="3499" xr3:uid="{125CCF6F-9CC8-4015-9985-2CDDEA01E430}" name="3486"/>
    <tableColumn id="3500" xr3:uid="{318521C2-4B88-48DA-B7AC-34336BE97F8C}" name="3487"/>
    <tableColumn id="3501" xr3:uid="{291EA6A2-15DB-4CBD-8C0F-EF4541DFE81B}" name="3488"/>
    <tableColumn id="3502" xr3:uid="{142CF3E0-65FF-4AC9-8FA5-6C7B3F19F166}" name="3489"/>
    <tableColumn id="3503" xr3:uid="{D2E32262-A6E5-4471-B2DE-C80598F6763C}" name="3490"/>
    <tableColumn id="3504" xr3:uid="{EBFC4AAD-F4AA-4F59-88B9-9EF2C3C0AF06}" name="3491"/>
    <tableColumn id="3505" xr3:uid="{68C7CBD8-D234-48F3-96FA-B5F28E937833}" name="3492"/>
    <tableColumn id="3506" xr3:uid="{7DAC22C5-CECD-4116-A6A5-D331F7B0C00A}" name="3493"/>
    <tableColumn id="3507" xr3:uid="{7CA18D61-B631-456F-AD4B-A193FDD6C0A2}" name="3494"/>
    <tableColumn id="3508" xr3:uid="{A4B487FC-1827-43B3-A947-0679FEAA1D16}" name="3495"/>
    <tableColumn id="3509" xr3:uid="{868DB405-3F4C-41FB-B2BB-FDE525DC3FBB}" name="3496"/>
    <tableColumn id="3510" xr3:uid="{496F1FC9-46CE-4532-83A1-73075364C37E}" name="3497"/>
    <tableColumn id="3511" xr3:uid="{F5B583EF-1BC8-4CCB-AFF7-03B9EA07AC9D}" name="3498"/>
    <tableColumn id="3512" xr3:uid="{81D7F6E9-6083-4A7D-81D4-EA6CAD484787}" name="3499"/>
    <tableColumn id="3513" xr3:uid="{85ADC528-F3F6-4C61-9CCD-F216BB274DF1}" name="3500"/>
    <tableColumn id="3514" xr3:uid="{61E7C506-2F20-48BA-BB09-8D4614436347}" name="3501"/>
    <tableColumn id="3515" xr3:uid="{CB406298-52A0-4EF4-81C7-490754A33C7F}" name="3502"/>
    <tableColumn id="3516" xr3:uid="{80E1DC79-326D-4E7E-9B9E-6E07B0CBE68A}" name="3503"/>
    <tableColumn id="3517" xr3:uid="{F8D75A6F-F3BE-42C7-AFA4-02C10E2D755E}" name="3504"/>
    <tableColumn id="3518" xr3:uid="{7E98919F-ACB9-401B-BD6B-033C6383CEE7}" name="3505"/>
    <tableColumn id="3519" xr3:uid="{79CD7C0F-98EE-4F94-AC88-EBED1FD90968}" name="3506"/>
    <tableColumn id="3520" xr3:uid="{E54BD011-8714-424B-86ED-8A547A34657E}" name="3507"/>
    <tableColumn id="3521" xr3:uid="{F6A652B5-79D0-47D3-B95B-4F6BDF733B8D}" name="3508"/>
    <tableColumn id="3522" xr3:uid="{32D90BEA-D2B9-457E-B608-AE3FFB44AC5C}" name="3509"/>
    <tableColumn id="3523" xr3:uid="{C39D953C-BC00-45A0-83A1-126D7E422A97}" name="3510"/>
    <tableColumn id="3524" xr3:uid="{66C17975-510E-4D93-8242-B45FEE10572B}" name="3511"/>
    <tableColumn id="3525" xr3:uid="{9358FC94-3A6D-4952-8BC5-8D96FB1EAB89}" name="3512"/>
    <tableColumn id="3526" xr3:uid="{40A8DC6B-2692-44EA-B7ED-6E6F4D067E07}" name="3513"/>
    <tableColumn id="3527" xr3:uid="{5CD12110-7FEA-403C-B46D-21F1F72C76B3}" name="3514"/>
    <tableColumn id="3528" xr3:uid="{90C8B597-724D-4EAA-9245-470453DCC70C}" name="3515"/>
    <tableColumn id="3529" xr3:uid="{42610C86-A6F4-4EE7-95BA-8D51736207C8}" name="3516"/>
    <tableColumn id="3530" xr3:uid="{CADE5561-096C-42B8-BE8B-C76A054B4114}" name="3517"/>
    <tableColumn id="3531" xr3:uid="{C7524BBC-B785-4F88-96AD-5A6546749F62}" name="3518"/>
    <tableColumn id="3532" xr3:uid="{693EFDC9-AEB0-486D-9F17-B6E70B2803C0}" name="3519"/>
    <tableColumn id="3533" xr3:uid="{D71FA05B-0494-4634-B72B-609315141C3C}" name="3520"/>
    <tableColumn id="3534" xr3:uid="{FC6AAE0C-15A4-41FC-AB45-22C296AC6CF1}" name="3521"/>
    <tableColumn id="3535" xr3:uid="{054C6924-8903-41A5-8C00-0DBA074175EA}" name="3522"/>
    <tableColumn id="3536" xr3:uid="{F42D4663-BCEC-4DCE-B6D7-F71392EC2D0D}" name="3523"/>
    <tableColumn id="3537" xr3:uid="{AC345B9D-1146-4261-9E1B-67A2CA9A7134}" name="3524"/>
    <tableColumn id="3538" xr3:uid="{7C1BB346-4CD6-40BA-9FDE-A44220E67597}" name="3525"/>
    <tableColumn id="3539" xr3:uid="{828DB722-F01A-41AA-A2A6-4446BAFC9FD8}" name="3526"/>
    <tableColumn id="3540" xr3:uid="{CD38C213-788E-4733-98F9-FABE5793C808}" name="3527"/>
    <tableColumn id="3541" xr3:uid="{F68F4418-C1CD-4E84-9110-1915B73C87C8}" name="3528"/>
    <tableColumn id="3542" xr3:uid="{D69F2433-BB79-499A-9D76-5B05F5843F39}" name="3529"/>
    <tableColumn id="3543" xr3:uid="{FB48CC8A-DE68-4EAD-A328-AA82F7DE071E}" name="3530"/>
    <tableColumn id="3544" xr3:uid="{B02B0DA4-400F-446C-961B-4D8030D08505}" name="3531"/>
    <tableColumn id="3545" xr3:uid="{CFE45441-AAEC-4D3C-8CF9-F5538442BC89}" name="3532"/>
    <tableColumn id="3546" xr3:uid="{565474FA-6B21-45DC-B9B3-4886074F51F7}" name="3533"/>
    <tableColumn id="3547" xr3:uid="{C1B5AAE2-380F-479C-BF30-F649A9688EFC}" name="3534"/>
    <tableColumn id="3548" xr3:uid="{4460268A-2CA2-4F8D-99CD-71D3D242DABA}" name="3535"/>
    <tableColumn id="3549" xr3:uid="{7F241A1C-EE70-4CAC-8433-FC921E62EA13}" name="3536"/>
    <tableColumn id="3550" xr3:uid="{15A84DF0-304C-4BF8-B1A9-2E45CEE68698}" name="3537"/>
    <tableColumn id="3551" xr3:uid="{C86F56E6-54CD-450E-8727-553713475BE2}" name="3538"/>
    <tableColumn id="3552" xr3:uid="{EE00CC20-DA31-4424-ACF7-BC7BF890F6C8}" name="3539"/>
    <tableColumn id="3553" xr3:uid="{31E68318-5BE8-4B1F-B479-8F1CA67AEBD0}" name="3540"/>
    <tableColumn id="3554" xr3:uid="{93779ABC-51A5-4E24-8E15-BFB769DFFD8E}" name="3541"/>
    <tableColumn id="3555" xr3:uid="{E8C15014-5F0B-4E8D-91EE-23E100503A40}" name="3542"/>
    <tableColumn id="3556" xr3:uid="{75F31F80-635E-4DB1-975E-BFF58A66CF77}" name="3543"/>
    <tableColumn id="3557" xr3:uid="{C6F507A3-8469-4EC5-8EFE-C241B145F8A0}" name="3544"/>
    <tableColumn id="3558" xr3:uid="{51B2BE8A-618E-40BD-9786-CD1058821EE5}" name="3545"/>
    <tableColumn id="3559" xr3:uid="{551557C8-DDE2-4862-95DC-652DF884CF2C}" name="3546"/>
    <tableColumn id="3560" xr3:uid="{6F5D150E-A94B-45CB-8DA4-7B911542482E}" name="3547"/>
    <tableColumn id="3561" xr3:uid="{FD4917F3-3139-4D61-8260-B3E5664E727F}" name="3548"/>
    <tableColumn id="3562" xr3:uid="{FAC86707-B574-47B5-BCBB-4A468BD79F25}" name="3549"/>
    <tableColumn id="3563" xr3:uid="{81C66184-81A7-4EAB-B3BB-8A77883D88B2}" name="3550"/>
    <tableColumn id="3564" xr3:uid="{F8B18CD0-E242-42F6-9FCD-602B11B292BA}" name="3551"/>
    <tableColumn id="3565" xr3:uid="{E3D863EC-616C-44FE-8DDF-A5B3339437CB}" name="3552"/>
    <tableColumn id="3566" xr3:uid="{485066CF-37FE-4149-801C-F077AF53B9F6}" name="3553"/>
    <tableColumn id="3567" xr3:uid="{F9E78A66-1D35-433E-BD8F-A7EEDBCE1A82}" name="3554"/>
    <tableColumn id="3568" xr3:uid="{76EC08BB-E2DA-43E9-A053-E77443BDE164}" name="3555"/>
    <tableColumn id="3569" xr3:uid="{42F94B11-2000-440B-8218-E50869253062}" name="3556"/>
    <tableColumn id="3570" xr3:uid="{ED95FFF5-7D97-41A7-8B27-4B8E07A338D3}" name="3557"/>
    <tableColumn id="3571" xr3:uid="{37B6C43C-C492-4511-BF8D-7865CEF3443C}" name="3558"/>
    <tableColumn id="3572" xr3:uid="{65318138-B73A-481D-8CBA-AF2162174D81}" name="3559"/>
    <tableColumn id="3573" xr3:uid="{9157879D-A0CE-45E4-BAB2-DDD0C60F63E1}" name="3560"/>
    <tableColumn id="3574" xr3:uid="{829AE192-DC65-4788-B1C5-AAEB04776747}" name="3561"/>
    <tableColumn id="3575" xr3:uid="{137D6D4A-0F5C-47DE-8790-0F5E16001254}" name="3562"/>
    <tableColumn id="3576" xr3:uid="{4C2EC470-EA42-48E5-8392-5CC9B9DE8E42}" name="3563"/>
    <tableColumn id="3577" xr3:uid="{1B6DDD84-310B-442A-8B11-A44C63CCDCE6}" name="3564"/>
    <tableColumn id="3578" xr3:uid="{53745C26-501D-4CD1-8CF1-2BF8F51A22AA}" name="3565"/>
    <tableColumn id="3579" xr3:uid="{F4A087E6-FC08-47A7-A7C1-4835A1A377CD}" name="3566"/>
    <tableColumn id="3580" xr3:uid="{62134190-E952-4640-8033-55EBBA376A22}" name="3567"/>
    <tableColumn id="3581" xr3:uid="{C9588819-A4A2-4314-8D4C-1D12BC05BD9E}" name="3568"/>
    <tableColumn id="3582" xr3:uid="{E4DEAC78-A1CE-4FB6-BB3B-0FB48AD095A3}" name="3569"/>
    <tableColumn id="3583" xr3:uid="{98BAB6D7-A310-4AFE-92E7-478AB7ECBD08}" name="3570"/>
    <tableColumn id="3584" xr3:uid="{05700450-C3F3-4BC1-834F-F3FECF65F8D3}" name="3571"/>
    <tableColumn id="3585" xr3:uid="{88BAED44-606D-45FC-A6F0-D823781A4D9B}" name="3572"/>
    <tableColumn id="3586" xr3:uid="{F31852D8-0568-4496-9D1C-13412F927034}" name="3573"/>
    <tableColumn id="3587" xr3:uid="{EDD5D549-D894-4C3A-9148-AD7DFD4904F5}" name="3574"/>
    <tableColumn id="3588" xr3:uid="{6AED9E60-01B9-4415-B1A4-074C3838D89D}" name="3575"/>
    <tableColumn id="3589" xr3:uid="{B22BD91E-2A56-42E4-A9BB-BBB58AB1F2FB}" name="3576"/>
    <tableColumn id="3590" xr3:uid="{82CFC1D1-C733-43A4-A2AC-F430495BF91E}" name="3577"/>
    <tableColumn id="3591" xr3:uid="{7EC8051A-FAA8-4D86-A93A-B89DCCB37B83}" name="3578"/>
    <tableColumn id="3592" xr3:uid="{7B44A100-8A64-4AAC-8AD1-9BAD65C8B28B}" name="3579"/>
    <tableColumn id="3593" xr3:uid="{D3786C12-27B2-4D2B-A88D-83BEB13DCB0B}" name="3580"/>
    <tableColumn id="3594" xr3:uid="{4D001FDC-4C06-47C0-9339-3F2C0B344011}" name="3581"/>
    <tableColumn id="3595" xr3:uid="{F764C69A-5F92-477C-82D8-D674EC8F63D5}" name="3582"/>
    <tableColumn id="3596" xr3:uid="{2D118CC3-8F5B-4948-8225-56A78AA54171}" name="3583"/>
    <tableColumn id="3597" xr3:uid="{F2A9DE65-B79B-4AAA-8C9D-453A1C191971}" name="3584"/>
    <tableColumn id="3598" xr3:uid="{23A539E7-FF1D-46CF-AEAA-E2B1BA235F5A}" name="3585"/>
    <tableColumn id="3599" xr3:uid="{0759E186-85C3-4DD1-BE94-4EF7FA3F9070}" name="3586"/>
    <tableColumn id="3600" xr3:uid="{ACE735F8-0E0A-48EE-9876-51AA18D5ACBE}" name="3587"/>
    <tableColumn id="3601" xr3:uid="{CAE7D09E-07D8-4FFC-8ABE-5791D98A8AEC}" name="3588"/>
    <tableColumn id="3602" xr3:uid="{AF89E085-1AE4-43F5-BC20-0635496CDC84}" name="3589"/>
    <tableColumn id="3603" xr3:uid="{E8ACE7F1-A4A4-40FA-B55D-B7374BEFFC7A}" name="3590"/>
    <tableColumn id="3604" xr3:uid="{00DEBF36-166F-4ED8-8098-6D8FE8C34A24}" name="3591"/>
    <tableColumn id="3605" xr3:uid="{924167E0-444D-422A-84E6-B1E7B6F26D14}" name="3592"/>
    <tableColumn id="3606" xr3:uid="{6EA5406D-254B-4423-ABA6-27B8FB038FCC}" name="3593"/>
    <tableColumn id="3607" xr3:uid="{25BD1ACF-4B3E-4F36-BDCE-21FC301542A6}" name="3594"/>
    <tableColumn id="3608" xr3:uid="{C3577C1B-D782-491F-B409-55314B4FBF05}" name="3595"/>
    <tableColumn id="3609" xr3:uid="{F1FFF80E-3E70-4D8D-9D78-A203DCC3E332}" name="3596"/>
    <tableColumn id="3610" xr3:uid="{7490B2DC-F569-4BFA-83A0-E90CF90143E0}" name="3597"/>
    <tableColumn id="3611" xr3:uid="{65C69028-FD45-4A64-A2FB-EA9BE2BBB2F1}" name="3598"/>
    <tableColumn id="3612" xr3:uid="{783469D2-6610-4066-93B4-197EDACAF044}" name="3599"/>
    <tableColumn id="3613" xr3:uid="{511E37B4-77F1-461C-AAE6-01F05ACBE15B}" name="3600"/>
    <tableColumn id="3614" xr3:uid="{481E4CB4-D561-4A52-B5A1-E01D9947BA1C}" name="3601"/>
    <tableColumn id="3615" xr3:uid="{516AA1D4-5243-4BEC-9A17-EC2DFA4CF24F}" name="3602"/>
    <tableColumn id="3616" xr3:uid="{DA9A8B80-7A6C-4004-B5E6-6A275633313E}" name="3603"/>
    <tableColumn id="3617" xr3:uid="{703BF705-3C89-4E14-AF95-8A8E73F007A5}" name="3604"/>
    <tableColumn id="3618" xr3:uid="{4154A7D8-FEFE-40B6-882E-107CDAB5591B}" name="3605"/>
    <tableColumn id="3619" xr3:uid="{34C7C1E1-36B4-47D6-9EC7-66F989F26B9C}" name="3606"/>
    <tableColumn id="3620" xr3:uid="{71B640A3-7F91-4786-A757-B3F0889C5A00}" name="3607"/>
    <tableColumn id="3621" xr3:uid="{4046F738-B515-49B4-80B4-CE1FF6A83D46}" name="3608"/>
    <tableColumn id="3622" xr3:uid="{03A5FD79-08B6-49F5-8057-6A8E1B1C555B}" name="3609"/>
    <tableColumn id="3623" xr3:uid="{BC1797F9-52BD-4859-946F-FFE545B7009C}" name="3610"/>
    <tableColumn id="3624" xr3:uid="{36FFEFC1-A2B5-47F8-9FCE-AFD28C28961E}" name="3611"/>
    <tableColumn id="3625" xr3:uid="{2E40A6A9-CC82-41AE-83FE-6C55860D752B}" name="3612"/>
    <tableColumn id="3626" xr3:uid="{16DD51C1-3441-4332-8C63-E228091CB85C}" name="3613"/>
    <tableColumn id="3627" xr3:uid="{7C5092F6-0008-4E66-98CB-4A023C930A4C}" name="3614"/>
    <tableColumn id="3628" xr3:uid="{03DAB653-4985-4E74-B402-2A191703E3CC}" name="3615"/>
    <tableColumn id="3629" xr3:uid="{C85E2D81-D0BE-45BF-8453-8031995B486D}" name="3616"/>
    <tableColumn id="3630" xr3:uid="{C805C2B5-4498-43DE-945D-F3D62D75EC80}" name="3617"/>
    <tableColumn id="3631" xr3:uid="{147F7775-8A8F-4363-AE61-9199FDF66B84}" name="3618"/>
    <tableColumn id="3632" xr3:uid="{727EC93B-9472-4557-AA0C-13DB07A91532}" name="3619"/>
    <tableColumn id="3633" xr3:uid="{05813796-6007-4CE2-911B-44560FC66946}" name="3620"/>
    <tableColumn id="3634" xr3:uid="{B77DD814-A5E6-484B-A542-CC5BB9238FD4}" name="3621"/>
    <tableColumn id="3635" xr3:uid="{99547821-EA24-4FAA-B7DE-427DFADF4F90}" name="3622"/>
    <tableColumn id="3636" xr3:uid="{79E1DC05-7149-47FF-9FE5-53DFB5D6C3DD}" name="3623"/>
    <tableColumn id="3637" xr3:uid="{1264D988-4AE2-4DE7-9573-F7B89E7B8AB6}" name="3624"/>
    <tableColumn id="3638" xr3:uid="{E793B0E7-561D-46FA-816A-FF50C7D854B5}" name="3625"/>
    <tableColumn id="3639" xr3:uid="{EF0242D1-296D-42B7-8676-D4F45DE7CB39}" name="3626"/>
    <tableColumn id="3640" xr3:uid="{B715FF9D-8AB8-49CD-ADBD-C06699675A58}" name="3627"/>
    <tableColumn id="3641" xr3:uid="{FC1B426E-401F-4ECB-83AD-83DFD0276E79}" name="3628"/>
    <tableColumn id="3642" xr3:uid="{CBDAC5D4-CB21-46C9-ADDE-5F7FAFDB0DB1}" name="3629"/>
    <tableColumn id="3643" xr3:uid="{55666257-B3C2-4234-8CCB-BD11FAFC4156}" name="3630"/>
    <tableColumn id="3644" xr3:uid="{E572524D-DA13-4398-90F3-C43ADE4EB2AE}" name="3631"/>
    <tableColumn id="3645" xr3:uid="{FBCFB37A-DB08-4293-A5E2-128A954C943D}" name="3632"/>
    <tableColumn id="3646" xr3:uid="{0EB3DB5C-6F65-40AA-824E-61406B72A78F}" name="3633"/>
    <tableColumn id="3647" xr3:uid="{49278DAB-AA66-4133-93E0-6B50B5FF1A26}" name="3634"/>
    <tableColumn id="3648" xr3:uid="{CD004C96-03CC-4604-97FD-D8582B488A42}" name="3635"/>
    <tableColumn id="3649" xr3:uid="{A6D3532D-6349-4C54-BB8A-7650873B6D61}" name="3636"/>
    <tableColumn id="3650" xr3:uid="{D9A037D1-D071-4D0A-BF5D-DD719498C7BE}" name="3637"/>
    <tableColumn id="3651" xr3:uid="{8A733479-9E30-4583-9B58-B598BBBCBBEB}" name="3638"/>
    <tableColumn id="3652" xr3:uid="{2C8BC159-743A-4DC2-896A-9E4ABE8F8A4F}" name="3639"/>
    <tableColumn id="3653" xr3:uid="{7FE9DDC5-1907-46AD-972A-E3A4CDF5E643}" name="3640"/>
    <tableColumn id="3654" xr3:uid="{DEFEC4A7-1F0D-4A42-BB15-E1FE67BDB0E3}" name="3641"/>
    <tableColumn id="3655" xr3:uid="{738D5003-B6D5-432B-B1D6-5D56F3A134F7}" name="3642"/>
    <tableColumn id="3656" xr3:uid="{C470A01B-75A8-4F34-A22A-C72D6E722261}" name="3643"/>
    <tableColumn id="3657" xr3:uid="{588D1C79-72C7-4093-AC39-05A228A8BF8F}" name="3644"/>
    <tableColumn id="3658" xr3:uid="{3DC6F3CD-7559-4831-AD83-354133E3C481}" name="3645"/>
    <tableColumn id="3659" xr3:uid="{206C9F51-C729-4205-860B-697C1CA5D19F}" name="3646"/>
    <tableColumn id="3660" xr3:uid="{A01C7A70-84B3-42BB-8093-4E87F48BDDBC}" name="3647"/>
    <tableColumn id="3661" xr3:uid="{2744DD94-0A7B-4230-A423-6EAADC340860}" name="3648"/>
    <tableColumn id="3662" xr3:uid="{F5D933D7-7FFE-40D6-84A9-21524477D565}" name="3649"/>
    <tableColumn id="3663" xr3:uid="{41AFC40A-A07B-4045-8AA0-82D7584CA26D}" name="3650"/>
    <tableColumn id="3664" xr3:uid="{A0624639-4A10-4952-BEE3-D5FE16434681}" name="3651"/>
    <tableColumn id="3665" xr3:uid="{79F0C655-D692-48B6-813F-0762E6D0C5D9}" name="3652"/>
    <tableColumn id="3666" xr3:uid="{7C65CE4E-CB87-497D-B27A-D00B5DBE84F7}" name="3653"/>
    <tableColumn id="3667" xr3:uid="{D72F11B9-F876-496F-9AC5-E295DB90EE7F}" name="3654"/>
    <tableColumn id="3668" xr3:uid="{9446A0B0-0237-41B0-BC76-7AA911BE4891}" name="3655"/>
    <tableColumn id="3669" xr3:uid="{4052FCFF-17BF-4B44-AEB2-AEEAB2B82B1C}" name="3656"/>
    <tableColumn id="3670" xr3:uid="{A39D4691-737C-4CB5-963E-4F0B4D6EBB5A}" name="3657"/>
    <tableColumn id="3671" xr3:uid="{23F93E1F-6A67-4981-AA9D-2C0A60F5F487}" name="3658"/>
    <tableColumn id="3672" xr3:uid="{8D6A0E64-EC94-478C-9ECB-48B6C3B7D50F}" name="3659"/>
    <tableColumn id="3673" xr3:uid="{278311C2-D8B5-44B2-92BC-9300A6F85CE3}" name="3660"/>
    <tableColumn id="3674" xr3:uid="{7E6CF90A-0359-4751-BADA-DE9AB85FB5C4}" name="3661"/>
    <tableColumn id="3675" xr3:uid="{DBE14BE5-69F0-48B5-B5EA-C4EEF27170EF}" name="3662"/>
    <tableColumn id="3676" xr3:uid="{132FD79C-41D6-4C58-BD86-95A0BAB8CA95}" name="3663"/>
    <tableColumn id="3677" xr3:uid="{2549871B-9E3E-4F1C-BE60-8F2BD5F14CF8}" name="3664"/>
    <tableColumn id="3678" xr3:uid="{C6A1D050-A8DB-4F06-933C-222F3479CC2E}" name="3665"/>
    <tableColumn id="3679" xr3:uid="{690545B2-9418-4298-8BA4-32E1CBB02730}" name="3666"/>
    <tableColumn id="3680" xr3:uid="{C8BFDEDB-161B-4DAB-A0C2-208EAB49E9D1}" name="3667"/>
    <tableColumn id="3681" xr3:uid="{733C343F-DB2A-4FE4-839A-1CED650A3F3D}" name="3668"/>
    <tableColumn id="3682" xr3:uid="{C04C2587-EF2F-4695-8299-3F0147097D64}" name="3669"/>
    <tableColumn id="3683" xr3:uid="{A4E47372-2E73-49F4-A2E4-C7C365CBB26A}" name="3670"/>
    <tableColumn id="3684" xr3:uid="{6671A516-9FAA-4E56-9C4B-DD4B672E1654}" name="3671"/>
    <tableColumn id="3685" xr3:uid="{9E5640A8-8977-412F-9EB7-4404BFE0CC46}" name="3672"/>
    <tableColumn id="3686" xr3:uid="{229E5222-438E-45D7-8C71-AD3983ACE4AD}" name="3673"/>
    <tableColumn id="3687" xr3:uid="{B149672E-BCA7-4149-8D99-8987D64480D2}" name="3674"/>
    <tableColumn id="3688" xr3:uid="{711CCD5B-87C3-4C27-8B75-180FDA3141E5}" name="3675"/>
    <tableColumn id="3689" xr3:uid="{A36EAE2F-0151-47DE-A649-A3D2DAFDB9A2}" name="3676"/>
    <tableColumn id="3690" xr3:uid="{AD19673D-508E-439B-A729-159E13FDEBCE}" name="3677"/>
    <tableColumn id="3691" xr3:uid="{6ADA4A08-A1C9-47AC-BCB5-CD81D39EA48B}" name="3678"/>
    <tableColumn id="3692" xr3:uid="{5DCA186C-8B2A-4344-846B-1821083036E0}" name="3679"/>
    <tableColumn id="3693" xr3:uid="{2BC113E1-EF25-432F-8FF0-0C0C9997D7E9}" name="3680"/>
    <tableColumn id="3694" xr3:uid="{CC649506-AAEB-41CE-AB21-73D1CAA1E9BF}" name="3681"/>
    <tableColumn id="3695" xr3:uid="{2E244336-71F9-414D-A18C-B80B645605CC}" name="3682"/>
    <tableColumn id="3696" xr3:uid="{3300B16F-266C-472F-85BE-449123029F1D}" name="3683"/>
    <tableColumn id="3697" xr3:uid="{5E8F3E90-A423-4BF1-8697-75042157ABB2}" name="3684"/>
    <tableColumn id="3698" xr3:uid="{9E78FCB3-D8BC-4EEF-B062-26ECA01DCED3}" name="3685"/>
    <tableColumn id="3699" xr3:uid="{962AEEE4-05D0-4A45-9EAC-C9C99C2E269E}" name="3686"/>
    <tableColumn id="3700" xr3:uid="{A5C3590C-7758-4F5D-B06E-CDF7D89CFC52}" name="3687"/>
    <tableColumn id="3701" xr3:uid="{357E7DB5-14C5-45B9-9C9D-1AAF50138225}" name="3688"/>
    <tableColumn id="3702" xr3:uid="{29F3B0E7-33D4-4371-9FD9-679F348F726E}" name="3689"/>
    <tableColumn id="3703" xr3:uid="{82406135-3937-4F68-BFEF-C941B058A570}" name="3690"/>
    <tableColumn id="3704" xr3:uid="{3D664EE9-84B5-4F68-AC33-5548E591692A}" name="3691"/>
    <tableColumn id="3705" xr3:uid="{4874D02E-72DA-4692-B45D-30137248F1C1}" name="3692"/>
    <tableColumn id="3706" xr3:uid="{2E2D5BAD-7986-44B5-8100-E0DE2776C2AF}" name="3693"/>
    <tableColumn id="3707" xr3:uid="{C0FA069F-855C-495F-8911-32E421060A44}" name="3694"/>
    <tableColumn id="3708" xr3:uid="{7488F04F-4612-45EC-B73F-FF94D34F2C16}" name="3695"/>
    <tableColumn id="3709" xr3:uid="{D49B5534-8DFD-4998-9DF7-5254C87C7525}" name="3696"/>
    <tableColumn id="3710" xr3:uid="{CCA0F166-A60D-4005-A164-FFC235EA0962}" name="3697"/>
    <tableColumn id="3711" xr3:uid="{D97EE077-C007-4CA8-AFF2-0FC3B85A9D12}" name="3698"/>
    <tableColumn id="3712" xr3:uid="{79C0621A-B3F8-47E3-90D4-4C64EFA2341B}" name="3699"/>
    <tableColumn id="3713" xr3:uid="{E88B6834-FF2D-48BE-A2DE-ED147AD54495}" name="3700"/>
    <tableColumn id="3714" xr3:uid="{55BDE982-DF10-45A0-97E6-A68E4AFE8339}" name="3701"/>
    <tableColumn id="3715" xr3:uid="{C4361B30-61CC-492A-A681-F5DE33880A51}" name="3702"/>
    <tableColumn id="3716" xr3:uid="{6F3FAF7C-F542-427D-8B96-2AD4D8573CAD}" name="3703"/>
    <tableColumn id="3717" xr3:uid="{827A7AE9-FA7E-4DC1-AD18-C59B9DED1A7A}" name="3704"/>
    <tableColumn id="3718" xr3:uid="{6FD12106-21C7-4F86-9BD0-C0FF6EE929E2}" name="3705"/>
    <tableColumn id="3719" xr3:uid="{12A68341-3A61-4CBD-9571-D64996BC2C70}" name="3706"/>
    <tableColumn id="3720" xr3:uid="{1B098FB0-284D-44D8-9591-957570EF7FCC}" name="3707"/>
    <tableColumn id="3721" xr3:uid="{E20A2D4B-2F9F-4810-86AE-2E047580CC18}" name="3708"/>
    <tableColumn id="3722" xr3:uid="{12450878-7BE3-4521-802B-17056C1DECFE}" name="3709"/>
    <tableColumn id="3723" xr3:uid="{E54211FF-485A-473D-A8FC-39AD83DA98B5}" name="3710"/>
    <tableColumn id="3724" xr3:uid="{FFAF6EC6-727F-441E-BE66-535A99C8D04E}" name="3711"/>
    <tableColumn id="3725" xr3:uid="{B85663F2-9BB2-4B4D-B93F-BFC3FEC571A2}" name="3712"/>
    <tableColumn id="3726" xr3:uid="{C0BD5966-CDA4-420A-83F3-3AB4189DA198}" name="3713"/>
    <tableColumn id="3727" xr3:uid="{3F8F2A73-FAFC-4D00-B874-DE240B4B448F}" name="3714"/>
    <tableColumn id="3728" xr3:uid="{877E0F5E-DBEC-49E2-905B-8568C218E87C}" name="3715"/>
    <tableColumn id="3729" xr3:uid="{0926F10B-41BE-4C2B-A232-38E94ED7B651}" name="3716"/>
    <tableColumn id="3730" xr3:uid="{2DCF3D53-85D9-4CDF-8CA8-5B9216ABCC3A}" name="3717"/>
    <tableColumn id="3731" xr3:uid="{D5892CE6-BF34-47F1-AA43-DA41EA7CAA09}" name="3718"/>
    <tableColumn id="3732" xr3:uid="{9063B490-B5DE-4EC6-BD7E-202589E04535}" name="3719"/>
    <tableColumn id="3733" xr3:uid="{4EC6B3C5-8785-46D9-91E7-FCEDC697730E}" name="3720"/>
    <tableColumn id="3734" xr3:uid="{C1FC5B54-88BD-41F2-8E19-1A8DB5B8247D}" name="3721"/>
    <tableColumn id="3735" xr3:uid="{19BE7FFD-25D0-4394-A121-D8AA104954E9}" name="3722"/>
    <tableColumn id="3736" xr3:uid="{5EF0BB2E-0C20-4E1B-B771-F15B7D711651}" name="3723"/>
    <tableColumn id="3737" xr3:uid="{ED9625EB-5BC4-427B-BBE4-755148C857A0}" name="3724"/>
    <tableColumn id="3738" xr3:uid="{9FEFF39B-85A0-4A8F-BCC6-6773031E15FC}" name="3725"/>
    <tableColumn id="3739" xr3:uid="{EA523A8E-6907-472E-A0B1-DB224C02D190}" name="3726"/>
    <tableColumn id="3740" xr3:uid="{932CEB07-95EB-482D-8934-64385103B375}" name="3727"/>
    <tableColumn id="3741" xr3:uid="{B51ED4C3-9CE5-4BB6-9105-8122AECF42EB}" name="3728"/>
    <tableColumn id="3742" xr3:uid="{9DAC6DF3-A398-4636-8E1B-88510087C77A}" name="3729"/>
    <tableColumn id="3743" xr3:uid="{1188131B-1B9A-4149-B089-291072C0FD1C}" name="3730"/>
    <tableColumn id="3744" xr3:uid="{0C59DEF3-910B-439F-B0A6-EFB0D6B78E5D}" name="3731"/>
    <tableColumn id="3745" xr3:uid="{73FEBD8A-4775-4DCE-B636-D8E8A0326EB8}" name="3732"/>
    <tableColumn id="3746" xr3:uid="{77D6EFCA-64FF-4FBA-B37A-B8D8E37F3986}" name="3733"/>
    <tableColumn id="3747" xr3:uid="{ACDB987A-A66D-4330-B0B1-14D2128EAEB2}" name="3734"/>
    <tableColumn id="3748" xr3:uid="{6E0D99C8-76D4-499E-B376-5EFA3D2595D7}" name="3735"/>
    <tableColumn id="3749" xr3:uid="{634F7A5A-4255-456F-8933-B424CB0D9759}" name="3736"/>
    <tableColumn id="3750" xr3:uid="{71332E28-4BFA-48A7-BDD4-B19353D97340}" name="3737"/>
    <tableColumn id="3751" xr3:uid="{6A3ABDA5-0FAA-4727-A1DB-7EB6338F5492}" name="3738"/>
    <tableColumn id="3752" xr3:uid="{0E62D04D-04CF-434E-B034-317CD4EB0AD9}" name="3739"/>
    <tableColumn id="3753" xr3:uid="{0D500271-9812-4747-BA01-AFF4A395A46D}" name="3740"/>
    <tableColumn id="3754" xr3:uid="{2C82E3ED-82F3-44CC-A3FC-738ECEAEB90E}" name="3741"/>
    <tableColumn id="3755" xr3:uid="{7E1A3BA7-96F6-49B7-A593-345967CC111F}" name="3742"/>
    <tableColumn id="3756" xr3:uid="{53E77FED-D800-4486-B25A-0A7A1045E513}" name="3743"/>
    <tableColumn id="3757" xr3:uid="{D045CE31-06C9-471F-8E60-404B4E51C010}" name="3744"/>
    <tableColumn id="3758" xr3:uid="{3F5CD288-3F0F-491A-95F7-709C046930A2}" name="3745"/>
    <tableColumn id="3759" xr3:uid="{6DCB766B-3640-4A69-9CF9-28D74A8758F1}" name="3746"/>
    <tableColumn id="3760" xr3:uid="{49327BC9-1586-4CC5-A900-DED5EA264613}" name="3747"/>
    <tableColumn id="3761" xr3:uid="{2490DE05-4DED-4333-8005-C9A9BBE32E5D}" name="3748"/>
    <tableColumn id="3762" xr3:uid="{BBDDD577-4E8E-4886-85B2-626EE26FAE2C}" name="3749"/>
    <tableColumn id="3763" xr3:uid="{DFA22CB2-4E20-4E91-B64B-9F88D765A5D8}" name="3750"/>
    <tableColumn id="3764" xr3:uid="{6B67BF52-2E22-4F4D-9F84-A921AFF26D41}" name="3751"/>
    <tableColumn id="3765" xr3:uid="{174DF7CD-3225-42EE-97EC-4666457E95D2}" name="3752"/>
    <tableColumn id="3766" xr3:uid="{EBE86A9C-3B1A-43C4-B780-E7CBBE4BFD65}" name="3753"/>
    <tableColumn id="3767" xr3:uid="{FD9815A3-5B7D-424A-9B51-D6F99E841B88}" name="3754"/>
    <tableColumn id="3768" xr3:uid="{77E48611-C852-4D4B-B430-7C71D54FAF61}" name="3755"/>
    <tableColumn id="3769" xr3:uid="{3C9B85A9-0754-490D-90DA-21499F7A7B3C}" name="3756"/>
    <tableColumn id="3770" xr3:uid="{AEE01BCF-5AEC-4096-9B62-F8D933407A4F}" name="3757"/>
    <tableColumn id="3771" xr3:uid="{B9706D4B-82EF-43FB-AE00-825AB7A1C664}" name="3758"/>
    <tableColumn id="3772" xr3:uid="{7C46399E-1937-4942-A146-75D14B3AF4CF}" name="3759"/>
    <tableColumn id="3773" xr3:uid="{F6D296BB-BFEF-499E-A430-092DD987DD95}" name="3760"/>
    <tableColumn id="3774" xr3:uid="{9B7F9F9B-A465-4470-A170-235B6F49E3C8}" name="3761"/>
    <tableColumn id="3775" xr3:uid="{277CBF2C-EC35-4523-8E18-51601C7C7871}" name="3762"/>
    <tableColumn id="3776" xr3:uid="{ED1F55D1-220C-4583-9835-3C680758DBEA}" name="3763"/>
    <tableColumn id="3777" xr3:uid="{CF648573-5F4B-495C-9188-1427BAEA1CBD}" name="3764"/>
    <tableColumn id="3778" xr3:uid="{E1F33E6F-293B-4631-97FE-D6D9EF12AA4E}" name="3765"/>
    <tableColumn id="3779" xr3:uid="{382BC7B6-4419-4F16-B570-1F2B9AF53AC3}" name="3766"/>
    <tableColumn id="3780" xr3:uid="{4FF662D2-9585-4E09-BE11-E6593A2ED150}" name="3767"/>
    <tableColumn id="3781" xr3:uid="{2AEC4DE0-4134-4FC9-9B21-0F835FCB3211}" name="3768"/>
    <tableColumn id="3782" xr3:uid="{7ADDEB29-D711-4E4C-AFA1-05F479EACD91}" name="3769"/>
    <tableColumn id="3783" xr3:uid="{8B7D3B33-F211-48AA-BD89-04975F3CF7B9}" name="3770"/>
    <tableColumn id="3784" xr3:uid="{696AF768-3937-4A11-B84D-62E781639294}" name="3771"/>
    <tableColumn id="3785" xr3:uid="{95166CA4-EB48-45F0-8459-541A3CC044E8}" name="3772"/>
    <tableColumn id="3786" xr3:uid="{93FFEA2C-CB0E-41DC-9B86-E28AB1263027}" name="3773"/>
    <tableColumn id="3787" xr3:uid="{F79731F7-6F99-4758-A548-C7095607CC5A}" name="3774"/>
    <tableColumn id="3788" xr3:uid="{3A61DF90-64B9-4EE4-833B-63985852AF4E}" name="3775"/>
    <tableColumn id="3789" xr3:uid="{3E8048D1-E80E-4145-8FD3-CBDAB3410D68}" name="3776"/>
    <tableColumn id="3790" xr3:uid="{EE7D2D1A-F2D6-423B-A45A-6F7B04392832}" name="3777"/>
    <tableColumn id="3791" xr3:uid="{84F17527-3990-4F0D-96C0-FBA165278E07}" name="3778"/>
    <tableColumn id="3792" xr3:uid="{FDE788A6-898D-46F6-B46F-CA81A42F7839}" name="3779"/>
    <tableColumn id="3793" xr3:uid="{1B77BF59-9B4A-452C-ACA7-C78F61F9554F}" name="3780"/>
    <tableColumn id="3794" xr3:uid="{8C4825E1-A644-487D-B12E-74F128C1374C}" name="3781"/>
    <tableColumn id="3795" xr3:uid="{E25F66FC-4502-4F92-8FFC-3C50E61905F3}" name="3782"/>
    <tableColumn id="3796" xr3:uid="{C9F0E714-6D4D-4D31-94EA-258A39E519EF}" name="3783"/>
    <tableColumn id="3797" xr3:uid="{C61F2D3E-2AF6-441E-AD10-BDE25D494EF3}" name="3784"/>
    <tableColumn id="3798" xr3:uid="{D9C5EED8-E214-4033-8D7A-CBA9AA232C6E}" name="3785"/>
    <tableColumn id="3799" xr3:uid="{44107B78-0444-4F8A-A006-620833F5D2D0}" name="3786"/>
    <tableColumn id="3800" xr3:uid="{111C2BDE-76D3-4D64-93FC-59411DB618C7}" name="3787"/>
    <tableColumn id="3801" xr3:uid="{B14E6A7F-6DBF-416F-B617-980099695C2E}" name="3788"/>
    <tableColumn id="3802" xr3:uid="{E2505A9B-9BC1-47B6-86F2-D87617FCE979}" name="3789"/>
    <tableColumn id="3803" xr3:uid="{AEEECB27-FCA4-46A2-9B85-60B3E2483798}" name="3790"/>
    <tableColumn id="3804" xr3:uid="{8EDC7BEA-9134-4BC4-9B96-FD8EE3CEB28C}" name="3791"/>
    <tableColumn id="3805" xr3:uid="{8B5C5089-7112-4221-9B65-ADB42DA8DFEE}" name="3792"/>
    <tableColumn id="3806" xr3:uid="{5F8F637D-36AC-400E-AA39-04DC751C1A59}" name="3793"/>
    <tableColumn id="3807" xr3:uid="{77DB02C0-6F23-4494-8451-DE5593CCB31A}" name="3794"/>
    <tableColumn id="3808" xr3:uid="{87677D77-4C36-41B3-A29F-FDAB950772A1}" name="3795"/>
    <tableColumn id="3809" xr3:uid="{ABADCB71-AD07-4257-A250-AEE9AA042688}" name="3796"/>
    <tableColumn id="3810" xr3:uid="{88BAF3EA-6CEB-419D-B107-144C7187192A}" name="3797"/>
    <tableColumn id="3811" xr3:uid="{52090005-A857-4BA1-9FD9-796BB3B3278B}" name="3798"/>
    <tableColumn id="3812" xr3:uid="{CF743B4D-0515-467D-839B-C9C244EC8A9A}" name="3799"/>
    <tableColumn id="3813" xr3:uid="{36DF506D-06E6-4311-B0FF-DFC5F23857AB}" name="3800"/>
    <tableColumn id="3814" xr3:uid="{E9CF6761-BB22-4640-A2E4-0576FAE5C740}" name="3801"/>
    <tableColumn id="3815" xr3:uid="{96F44F83-1AAA-463E-BA2C-5817C717954E}" name="3802"/>
    <tableColumn id="3816" xr3:uid="{1F0667FA-4609-49B7-A437-F94D87E9108A}" name="3803"/>
    <tableColumn id="3817" xr3:uid="{437D767A-F14A-48FA-9E08-BE2BD8B85CC1}" name="3804"/>
    <tableColumn id="3818" xr3:uid="{25E7CA0B-E9E5-4192-984E-1EF6DC31EE90}" name="3805"/>
    <tableColumn id="3819" xr3:uid="{0A4643DD-1784-4E51-8C76-12B0A0DDAE33}" name="3806"/>
    <tableColumn id="3820" xr3:uid="{0FB17C19-BB1E-4144-B943-434E843B324C}" name="3807"/>
    <tableColumn id="3821" xr3:uid="{FE215979-59E8-44F9-AE9A-C88503DA36DE}" name="3808"/>
    <tableColumn id="3822" xr3:uid="{83802A99-84A5-43BD-B9A2-5780D4AB5103}" name="3809"/>
    <tableColumn id="3823" xr3:uid="{8CA0EBAA-CBC5-4C9D-87AE-D005B19CE8C3}" name="3810"/>
    <tableColumn id="3824" xr3:uid="{AAA94140-0391-485A-B383-52AB10E78B67}" name="3811"/>
    <tableColumn id="3825" xr3:uid="{F09DCA1B-EA2F-42FC-96E8-B10FFA635991}" name="3812"/>
    <tableColumn id="3826" xr3:uid="{57FC7D59-C171-4482-95CE-B56DF0E75922}" name="3813"/>
    <tableColumn id="3827" xr3:uid="{22BE1BE0-61EF-4132-B0B4-1E86043A08E7}" name="3814"/>
    <tableColumn id="3828" xr3:uid="{2E7DCFBB-5289-4F84-9BD4-7ECD42BD5C03}" name="3815"/>
    <tableColumn id="3829" xr3:uid="{0CA3EC03-AD51-4685-8DB7-9CEE912ADFC6}" name="3816"/>
    <tableColumn id="3830" xr3:uid="{E9E7FCEF-DCED-4173-88CC-6CE99AD1A98C}" name="3817"/>
    <tableColumn id="3831" xr3:uid="{7AD65AAF-E9F8-4F34-8B31-6BC24C0C48F4}" name="3818"/>
    <tableColumn id="3832" xr3:uid="{5E6A6156-6987-41A8-88FD-99831FA36CA9}" name="3819"/>
    <tableColumn id="3833" xr3:uid="{502BF028-1624-4E9F-AACA-9C48A1B97302}" name="3820"/>
    <tableColumn id="3834" xr3:uid="{0BB52316-7E13-4EF6-9F5E-E43A3884DEF3}" name="3821"/>
    <tableColumn id="3835" xr3:uid="{EFD532CE-B329-4E9A-BCA1-D1BA975A757C}" name="3822"/>
    <tableColumn id="3836" xr3:uid="{28F7259D-BD4A-4CC0-B4F0-650F3BE15208}" name="3823"/>
    <tableColumn id="3837" xr3:uid="{39752C99-F057-458E-A118-4E1C6471A11F}" name="3824"/>
    <tableColumn id="3838" xr3:uid="{E49F75BD-99DD-45C6-B5D5-6BA73771C2A9}" name="3825"/>
    <tableColumn id="3839" xr3:uid="{206267A6-CBEF-41AA-A40D-50FA5E3A1237}" name="3826"/>
    <tableColumn id="3840" xr3:uid="{57C8C94C-3B5D-45B1-97EB-F0A94FEE34A8}" name="3827"/>
    <tableColumn id="3841" xr3:uid="{49644E43-F4FA-4D11-8823-C83104A918AA}" name="3828"/>
    <tableColumn id="3842" xr3:uid="{206E93AD-8DDF-43CE-92DD-AAD218BBAC45}" name="3829"/>
    <tableColumn id="3843" xr3:uid="{383768AA-2DFA-455B-A69B-1083B4FEC2B5}" name="3830"/>
    <tableColumn id="3844" xr3:uid="{2E9B929C-FC78-4D9F-A568-21BF418388B9}" name="3831"/>
    <tableColumn id="3845" xr3:uid="{5E00068F-E218-4B6D-81B6-CB29343F96ED}" name="3832"/>
    <tableColumn id="3846" xr3:uid="{B4899215-8232-4482-BAC6-7B541417674F}" name="3833"/>
    <tableColumn id="3847" xr3:uid="{FF63A7FB-D3EB-454C-85B3-39CA8F271A07}" name="3834"/>
    <tableColumn id="3848" xr3:uid="{6E0A4E75-C23A-4377-BAD6-DA67A8349E92}" name="3835"/>
    <tableColumn id="3849" xr3:uid="{BA9BC6DC-0D73-4415-821D-A043AC80A5C5}" name="3836"/>
    <tableColumn id="3850" xr3:uid="{CC4E5F56-2326-4E91-A069-F17FACE6EFC6}" name="3837"/>
    <tableColumn id="3851" xr3:uid="{48BC1BF0-D4EE-4691-AD45-5538E6BF4E05}" name="3838"/>
    <tableColumn id="3852" xr3:uid="{2F8F281C-9588-41EF-B05C-BF40ECE2BEEB}" name="3839"/>
    <tableColumn id="3853" xr3:uid="{CC33C707-2ECA-4732-B8EC-1A51569DA962}" name="3840"/>
    <tableColumn id="3854" xr3:uid="{0733B150-55EB-4327-99EE-1D9C7FFF7585}" name="3841"/>
    <tableColumn id="3855" xr3:uid="{0E04D8C0-9484-4A0C-8DCA-916BC48FABC6}" name="3842"/>
    <tableColumn id="3856" xr3:uid="{F10018DB-E874-4FE3-9AF7-66646373814E}" name="3843"/>
    <tableColumn id="3857" xr3:uid="{0E79F8E2-937B-4CCE-A160-8C664E773D73}" name="3844"/>
    <tableColumn id="3858" xr3:uid="{52A46B04-D292-4515-9756-4126C4405575}" name="3845"/>
    <tableColumn id="3859" xr3:uid="{1EEEAB02-47AF-48DF-98B9-101736518C24}" name="3846"/>
    <tableColumn id="3860" xr3:uid="{FA7F2DA1-C2A1-4DAC-9582-1149519AD7A9}" name="3847"/>
    <tableColumn id="3861" xr3:uid="{A22B5195-3F43-4BA9-B936-1B3DF35DFC28}" name="3848"/>
    <tableColumn id="3862" xr3:uid="{9F4CBBB8-7E66-4B24-B911-DA2CDF7489A6}" name="3849"/>
    <tableColumn id="3863" xr3:uid="{E0B88FAA-E8EB-478A-BAF3-D78ADC0F594B}" name="3850"/>
    <tableColumn id="3864" xr3:uid="{82219E59-6D72-4DAF-BD9B-9C6322F2B14E}" name="3851"/>
    <tableColumn id="3865" xr3:uid="{C61C278E-3674-45DA-8726-E037710CB3C5}" name="3852"/>
    <tableColumn id="3866" xr3:uid="{862C986C-8858-4A2C-8B7D-80D3AD607431}" name="3853"/>
    <tableColumn id="3867" xr3:uid="{30FF9621-5951-4AA7-925B-37D43AABE30E}" name="3854"/>
    <tableColumn id="3868" xr3:uid="{DE9AF311-11CE-4090-A2A8-1970FFAA6660}" name="3855"/>
    <tableColumn id="3869" xr3:uid="{B485B012-DC3C-49FF-9467-795C0923689C}" name="3856"/>
    <tableColumn id="3870" xr3:uid="{0A8F85A2-C97E-46D5-A226-7B308C74B98D}" name="3857"/>
    <tableColumn id="3871" xr3:uid="{5FC7CDB0-137A-4715-8005-C4BDB9E58532}" name="3858"/>
    <tableColumn id="3872" xr3:uid="{762C236D-50F2-4004-8384-F7B0DF9E3EBC}" name="3859"/>
    <tableColumn id="3873" xr3:uid="{4974C834-5AA7-45FA-8565-3FA0120207E6}" name="3860"/>
    <tableColumn id="3874" xr3:uid="{CA08EB96-63EC-4D78-9F63-756702CBC034}" name="3861"/>
    <tableColumn id="3875" xr3:uid="{20A11F85-E7C3-4CA8-AB41-A58B7BE32A83}" name="3862"/>
    <tableColumn id="3876" xr3:uid="{7E1D5C5C-F296-4FF5-9128-11C070A04A08}" name="3863"/>
    <tableColumn id="3877" xr3:uid="{CFC88DC8-C385-473C-9DE7-5846C8D843A2}" name="3864"/>
    <tableColumn id="3878" xr3:uid="{6EAF3F72-603A-4CE7-B6DC-C36DFCE055C1}" name="3865"/>
    <tableColumn id="3879" xr3:uid="{5D4362A0-5691-48B7-AA23-052546977D1C}" name="3866"/>
    <tableColumn id="3880" xr3:uid="{B621EF98-E38F-4853-950E-B250126A65B8}" name="3867"/>
    <tableColumn id="3881" xr3:uid="{27C96C93-1C6B-45C0-8F5B-46ED7F97E4C8}" name="3868"/>
    <tableColumn id="3882" xr3:uid="{E0F8386D-56DA-4994-A326-BF04B3A1D34F}" name="3869"/>
    <tableColumn id="3883" xr3:uid="{77E786F2-C342-4F5C-9E9C-5B3A03B405CE}" name="3870"/>
    <tableColumn id="3884" xr3:uid="{1BCE0C07-F3ED-4861-827E-0984467A881C}" name="3871"/>
    <tableColumn id="3885" xr3:uid="{52D0C574-63F0-4E17-ABE5-98054F99DD02}" name="3872"/>
    <tableColumn id="3886" xr3:uid="{20CB44BD-E02F-4753-BCA5-331907F9758C}" name="3873"/>
    <tableColumn id="3887" xr3:uid="{7D318A7B-4680-406E-9C32-083D770CEAAD}" name="3874"/>
    <tableColumn id="3888" xr3:uid="{CCE32974-10A3-4D94-B7BE-C3E61760A036}" name="3875"/>
    <tableColumn id="3889" xr3:uid="{1E859BF9-B531-408E-9CFE-A819DDDDEDF4}" name="3876"/>
    <tableColumn id="3890" xr3:uid="{5ACC1989-8256-4C86-B50E-02674F0D8F58}" name="3877"/>
    <tableColumn id="3891" xr3:uid="{9D27ACB7-5A8A-44EF-A32C-48E69523C9C8}" name="3878"/>
    <tableColumn id="3892" xr3:uid="{D3B79829-738F-4C58-86F0-38E72515C270}" name="3879"/>
    <tableColumn id="3893" xr3:uid="{6802EAFF-F0C7-4D91-BF60-50C3E29FD886}" name="3880"/>
    <tableColumn id="3894" xr3:uid="{9CD25B48-DDB0-4CC4-A702-C6F3BF4997AD}" name="3881"/>
    <tableColumn id="3895" xr3:uid="{86374B49-BDC3-4AC1-A903-B6721ED4D896}" name="3882"/>
    <tableColumn id="3896" xr3:uid="{55B775F2-94BC-4D4C-BD2C-FCA8686A1E92}" name="3883"/>
    <tableColumn id="3897" xr3:uid="{4AF9A297-F220-4246-8E4D-1A71819B167A}" name="3884"/>
    <tableColumn id="3898" xr3:uid="{E936B23A-951B-4335-A9F9-11DC9FB433EF}" name="3885"/>
    <tableColumn id="3899" xr3:uid="{CD894A44-AD64-4AB7-A66E-3BB4D551E177}" name="3886"/>
    <tableColumn id="3900" xr3:uid="{3709ED59-30E5-4130-8D8B-B9E58822DA5D}" name="3887"/>
    <tableColumn id="3901" xr3:uid="{381F34B8-C022-48A8-9652-6B6D2C5CC3D6}" name="3888"/>
    <tableColumn id="3902" xr3:uid="{9752C30E-1D37-4970-83ED-FC8C8C65E21D}" name="3889"/>
    <tableColumn id="3903" xr3:uid="{5A45B8FD-7820-4DEE-A425-58FAB45A4DE7}" name="3890"/>
    <tableColumn id="3904" xr3:uid="{F7C3771C-A077-4E4C-B5DC-904727A67DC2}" name="3891"/>
    <tableColumn id="3905" xr3:uid="{907CA2AC-D096-409D-814C-5F7C1E2F190D}" name="3892"/>
    <tableColumn id="3906" xr3:uid="{C4337457-7802-45C9-A680-302FD3A0BC1A}" name="3893"/>
    <tableColumn id="3907" xr3:uid="{F9417793-5471-4AD9-AEF2-4C4BE58FF669}" name="3894"/>
    <tableColumn id="3908" xr3:uid="{6FE380BC-8A4C-4479-A57B-A76CFDCB9B31}" name="3895"/>
    <tableColumn id="3909" xr3:uid="{53FAFB9C-9E35-42CF-AB0D-3410AAAEBF25}" name="3896"/>
    <tableColumn id="3910" xr3:uid="{C61BD83E-D26E-4551-A37F-3B15A3C13642}" name="3897"/>
    <tableColumn id="3911" xr3:uid="{59FA5609-50D2-4375-B3AD-59F4889C1530}" name="3898"/>
    <tableColumn id="3912" xr3:uid="{D67AFA42-36A9-4C7E-A3FB-1E4888E0F7E7}" name="3899"/>
    <tableColumn id="3913" xr3:uid="{9E8A01D0-C142-49F3-8DD4-6E4E4E51AD25}" name="3900"/>
    <tableColumn id="3914" xr3:uid="{B927848F-B6DE-4471-88E6-4EECF830E92E}" name="3901"/>
    <tableColumn id="3915" xr3:uid="{23AA3674-C83E-4B28-AAF6-808467C23180}" name="3902"/>
    <tableColumn id="3916" xr3:uid="{49525962-D607-4DC7-8F70-CC0F5B337376}" name="3903"/>
    <tableColumn id="3917" xr3:uid="{011BCAE4-35A6-45AD-A50F-D7819B21669E}" name="3904"/>
    <tableColumn id="3918" xr3:uid="{8288BE14-945D-4636-8D12-067968039D72}" name="3905"/>
    <tableColumn id="3919" xr3:uid="{FBB62B06-FB21-4720-95F4-33B50F0A6B08}" name="3906"/>
    <tableColumn id="3920" xr3:uid="{0DD068E3-4BF6-452D-91E5-23E2C84B8C11}" name="3907"/>
    <tableColumn id="3921" xr3:uid="{5C253BC8-3192-4564-AA45-FF4962CB41B3}" name="3908"/>
    <tableColumn id="3922" xr3:uid="{E907A81C-015A-464A-95E3-3430FC5710E3}" name="3909"/>
    <tableColumn id="3923" xr3:uid="{1D90FF78-69E1-4771-8064-D4982127ECD8}" name="3910"/>
    <tableColumn id="3924" xr3:uid="{1DBE7304-922E-447E-8C26-288B292FF556}" name="3911"/>
    <tableColumn id="3925" xr3:uid="{48838AD5-B497-414F-A1F4-15A511CE9CC8}" name="3912"/>
    <tableColumn id="3926" xr3:uid="{6008D0B6-8694-4A37-A726-569A24A43ED5}" name="3913"/>
    <tableColumn id="3927" xr3:uid="{F990CBCF-3671-4F66-AF77-60EBD344FF55}" name="3914"/>
    <tableColumn id="3928" xr3:uid="{291D6266-9702-4739-8960-AB8A5D756783}" name="3915"/>
    <tableColumn id="3929" xr3:uid="{F7FBD4E2-2584-45F5-B369-11C59DD0B014}" name="3916"/>
    <tableColumn id="3930" xr3:uid="{0D6BDA87-584D-4F38-8274-B379AAE8C715}" name="3917"/>
    <tableColumn id="3931" xr3:uid="{8C34BF44-F164-440D-8C84-52B72DA96E10}" name="3918"/>
    <tableColumn id="3932" xr3:uid="{E0124204-08EF-48D5-8AE5-89E86577641E}" name="3919"/>
    <tableColumn id="3933" xr3:uid="{8E24B2B8-527F-47CE-B375-335F071AD3B6}" name="3920"/>
    <tableColumn id="3934" xr3:uid="{91F8A80F-2637-4F01-AB7E-8B0558E148EC}" name="3921"/>
    <tableColumn id="3935" xr3:uid="{72D424BD-09D7-4C9E-B168-EB310EF62E8E}" name="3922"/>
    <tableColumn id="3936" xr3:uid="{4BA87C2E-1131-4845-9706-DED7D251D5E1}" name="3923"/>
    <tableColumn id="3937" xr3:uid="{22A2890C-6956-4846-ABC0-4432F1BB6A5F}" name="3924"/>
    <tableColumn id="3938" xr3:uid="{E4965582-D9EA-4D5C-884C-17342B7CB637}" name="3925"/>
    <tableColumn id="3939" xr3:uid="{4602B0D9-2C52-4076-931F-534686174574}" name="3926"/>
    <tableColumn id="3940" xr3:uid="{C14209A8-CAFE-4BAD-8A24-526DDE63D1BD}" name="3927"/>
    <tableColumn id="3941" xr3:uid="{D92FF6C5-286F-4CF7-833E-C0754E823A91}" name="3928"/>
    <tableColumn id="3942" xr3:uid="{B7D72048-7214-4B3E-B11B-6A4BADB045B3}" name="3929"/>
    <tableColumn id="3943" xr3:uid="{90A68815-F3E2-40F8-9760-5C206EDE661A}" name="3930"/>
    <tableColumn id="3944" xr3:uid="{A84B47B2-3BB1-422C-A70C-5269346F4F7B}" name="3931"/>
    <tableColumn id="3945" xr3:uid="{BE6DDFAC-A2C1-47F4-B9AF-73BC8768DDD3}" name="3932"/>
    <tableColumn id="3946" xr3:uid="{F09564E3-219D-47E6-88C7-B0B9DCFEA137}" name="3933"/>
    <tableColumn id="3947" xr3:uid="{4959DF6F-8555-4824-A278-4444ADC4EFA9}" name="3934"/>
    <tableColumn id="3948" xr3:uid="{4685D84F-F3A8-4780-9049-CB91FD1056BD}" name="3935"/>
    <tableColumn id="3949" xr3:uid="{45DD26DD-1090-4A4F-993D-BDE374213338}" name="3936"/>
    <tableColumn id="3950" xr3:uid="{60A98EE6-1BC1-4E22-9208-E21B5D6ADD12}" name="3937"/>
    <tableColumn id="3951" xr3:uid="{BE9BE79D-DCD5-4E6F-AFB0-0D43A35107C9}" name="3938"/>
    <tableColumn id="3952" xr3:uid="{05F855F0-61C7-4DD7-805E-4AED75CA38FE}" name="3939"/>
    <tableColumn id="3953" xr3:uid="{631A986D-83FB-4C7A-9C18-156EA48C9AE4}" name="3940"/>
    <tableColumn id="3954" xr3:uid="{A5979CE2-F3F7-4A01-BC7A-BDC847EE844B}" name="3941"/>
    <tableColumn id="3955" xr3:uid="{D37BA33A-CEC4-4447-9BE4-BA1147A7B9C7}" name="3942"/>
    <tableColumn id="3956" xr3:uid="{4FA89CF4-84F0-4CD0-8F38-A20314FB82F3}" name="3943"/>
    <tableColumn id="3957" xr3:uid="{F4AEF9C1-2D70-41E6-8195-F53B10D98B73}" name="3944"/>
    <tableColumn id="3958" xr3:uid="{3CAC30A2-6C8A-4DEB-9352-E29F2D2F2D70}" name="3945"/>
    <tableColumn id="3959" xr3:uid="{D6A67886-22ED-4988-92A0-F9D3A0319FAB}" name="3946"/>
    <tableColumn id="3960" xr3:uid="{4A467A2C-E56C-4971-B332-37D7A8D030A0}" name="3947"/>
    <tableColumn id="3961" xr3:uid="{7D964458-BA02-473E-87A0-98096EA4E30E}" name="3948"/>
    <tableColumn id="3962" xr3:uid="{2E4D2C1F-6C02-4D55-BC4B-CAD0C807381E}" name="3949"/>
    <tableColumn id="3963" xr3:uid="{B89F8964-7B9C-4C13-BA32-4DBBFFE6D9C4}" name="3950"/>
    <tableColumn id="3964" xr3:uid="{EFDE13D2-9FCB-4BF6-B053-5F00F150BA24}" name="3951"/>
    <tableColumn id="3965" xr3:uid="{32B824DE-10A6-4979-8111-F175A36790E5}" name="3952"/>
    <tableColumn id="3966" xr3:uid="{B1943409-C488-49BA-9F1E-3C9A40A835C0}" name="3953"/>
    <tableColumn id="3967" xr3:uid="{8BF01EC1-8688-4256-8DEE-CA261B5BA6BB}" name="3954"/>
    <tableColumn id="3968" xr3:uid="{0D62E34F-3BEF-4A98-B1F7-506F57AB6C78}" name="3955"/>
    <tableColumn id="3969" xr3:uid="{2ED9B5AC-04FA-4502-BE2E-49E43E9A9287}" name="3956"/>
    <tableColumn id="3970" xr3:uid="{4169C24E-5B65-44F2-B579-4AD6CBDA1DEA}" name="3957"/>
    <tableColumn id="3971" xr3:uid="{9549E2DD-FB69-4724-B68D-6429838E11CF}" name="3958"/>
    <tableColumn id="3972" xr3:uid="{82085258-D8B8-424F-BBC9-F0710006DD1A}" name="3959"/>
    <tableColumn id="3973" xr3:uid="{BFD8A46C-37A9-4B76-8CA2-632634DBE23D}" name="3960"/>
    <tableColumn id="3974" xr3:uid="{96E7F851-FB24-469D-A6F4-B30629B22749}" name="3961"/>
    <tableColumn id="3975" xr3:uid="{A36418A3-ECCB-4030-A082-8224258C7EED}" name="3962"/>
    <tableColumn id="3976" xr3:uid="{03C9111F-81CD-46E4-9685-812326CE68FF}" name="3963"/>
    <tableColumn id="3977" xr3:uid="{EFFA5FDF-F38B-4153-BCFA-9385D0B9C78C}" name="3964"/>
    <tableColumn id="3978" xr3:uid="{161A43B3-9494-4043-AA49-B3DEB3B10387}" name="3965"/>
    <tableColumn id="3979" xr3:uid="{B95FDD9C-4D05-4FC9-937B-190BDC6E366D}" name="3966"/>
    <tableColumn id="3980" xr3:uid="{9E906B4C-47F5-4866-8567-763971528CBE}" name="3967"/>
    <tableColumn id="3981" xr3:uid="{35CB6C8E-4C77-4B9C-B668-B9242B28BC82}" name="3968"/>
    <tableColumn id="3982" xr3:uid="{EB0ED295-14D6-4CDC-8284-95C1D72168F4}" name="3969"/>
    <tableColumn id="3983" xr3:uid="{F7C54322-B685-4C3F-A423-F090F87BE662}" name="3970"/>
    <tableColumn id="3984" xr3:uid="{AED45EFE-311C-4665-B407-2C0AE222D181}" name="3971"/>
    <tableColumn id="3985" xr3:uid="{3982E832-9E8A-4985-9B5A-C7084051EF6D}" name="3972"/>
    <tableColumn id="3986" xr3:uid="{1330F4FA-91C7-4BB9-BF66-9ED1A9D56DE8}" name="3973"/>
    <tableColumn id="3987" xr3:uid="{06D2163A-4101-4409-AE36-6C8DDC4D9F68}" name="3974"/>
    <tableColumn id="3988" xr3:uid="{E6DEB444-4CB1-4C4B-862F-1AAAECD296DD}" name="3975"/>
    <tableColumn id="3989" xr3:uid="{219D1886-FDB2-4FCF-B6CE-ECA417ACF3F1}" name="3976"/>
    <tableColumn id="3990" xr3:uid="{0DE09FEB-6593-4122-9602-E1D2593982E8}" name="3977"/>
    <tableColumn id="3991" xr3:uid="{F3507E5C-2D50-494C-8A15-81FB3FF2099F}" name="3978"/>
    <tableColumn id="3992" xr3:uid="{2C826B07-D074-464B-AA66-00561940AC82}" name="3979"/>
    <tableColumn id="3993" xr3:uid="{0B78C9F8-5371-4E4F-91F5-2F336CC0C648}" name="3980"/>
    <tableColumn id="3994" xr3:uid="{AEF21240-DD2A-4FAB-B834-2988A7B738CE}" name="3981"/>
    <tableColumn id="3995" xr3:uid="{88BE352E-F1CF-48B4-92A5-2312D02B4A54}" name="3982"/>
    <tableColumn id="3996" xr3:uid="{444CF532-D668-4049-9A5A-A95C04319CCC}" name="3983"/>
    <tableColumn id="3997" xr3:uid="{6B486657-C67D-47AB-945D-CD8AD7F50902}" name="3984"/>
    <tableColumn id="3998" xr3:uid="{C597ACC0-1DD4-4CC9-84F4-541A03AA1ADD}" name="3985"/>
    <tableColumn id="3999" xr3:uid="{6A5AE303-CC36-40A6-91AD-4432C99A9FE1}" name="3986"/>
    <tableColumn id="4000" xr3:uid="{5E81C77C-4FC4-4D24-828C-AFF735D8CD48}" name="3987"/>
    <tableColumn id="4001" xr3:uid="{DF3A42A2-8D2C-4813-9C4A-A2FD1DCC9C2C}" name="3988"/>
    <tableColumn id="4002" xr3:uid="{389F18BE-BC61-468B-80B2-715961B4AF8B}" name="3989"/>
    <tableColumn id="4003" xr3:uid="{0644E540-FBC0-4573-86D7-0C0622AD248D}" name="3990"/>
    <tableColumn id="4004" xr3:uid="{7234C070-E3BC-4046-9AE0-9B948300288D}" name="3991"/>
    <tableColumn id="4005" xr3:uid="{A9245B55-5918-4493-9D2F-A1D371ED0081}" name="3992"/>
    <tableColumn id="4006" xr3:uid="{E9E51CC2-B3BC-45B9-A8D4-8C9648FD7575}" name="3993"/>
    <tableColumn id="4007" xr3:uid="{656566B1-184B-4C6E-A838-C208F1FD8FE1}" name="3994"/>
    <tableColumn id="4008" xr3:uid="{35697DD5-AA07-459F-8B84-096131690168}" name="3995"/>
    <tableColumn id="4009" xr3:uid="{D0C931B7-754A-46D0-816F-CE42884ADB75}" name="3996"/>
    <tableColumn id="4010" xr3:uid="{80751462-4B16-4BCA-898C-4C183DDB0458}" name="3997"/>
    <tableColumn id="4011" xr3:uid="{770DD0F0-1540-49BD-8C27-0F6E54401A60}" name="3998"/>
    <tableColumn id="4012" xr3:uid="{EF13AC79-81E9-4F46-952D-37E0EF492A16}" name="3999"/>
    <tableColumn id="4013" xr3:uid="{66F49AB8-684D-48B9-9874-89559E025C24}" name="4000"/>
    <tableColumn id="4014" xr3:uid="{DDFA489C-16CD-457D-8050-9E29FFB51846}" name="4001"/>
    <tableColumn id="4015" xr3:uid="{48F46D5E-2A80-428E-8E4D-C53A35269453}" name="4002"/>
    <tableColumn id="4016" xr3:uid="{C9D0E9DE-FA3A-41AA-BB23-FEAB3F952F6A}" name="4003"/>
    <tableColumn id="4017" xr3:uid="{9AB67C9B-1348-4F88-9F06-C56111EB6634}" name="4004"/>
    <tableColumn id="4018" xr3:uid="{ACBE4903-FA94-420D-A5A4-DD36056EBCBA}" name="4005"/>
    <tableColumn id="4019" xr3:uid="{EC22D4B3-E1DA-43A0-84E3-BDBB735743E9}" name="4006"/>
    <tableColumn id="4020" xr3:uid="{CD9CFEE2-D35E-43C1-A5E7-EF39DDFE0424}" name="4007"/>
    <tableColumn id="4021" xr3:uid="{4A032B16-EB6F-48E8-A832-4DE75EE066C0}" name="4008"/>
    <tableColumn id="4022" xr3:uid="{3BF2A9B3-828C-4702-A7B8-AA6BF7119611}" name="4009"/>
    <tableColumn id="4023" xr3:uid="{2280C3CD-279D-4D73-885F-8DBA65E26EBF}" name="4010"/>
    <tableColumn id="4024" xr3:uid="{A6A97287-0F84-433E-AFA2-776BBBF13F6C}" name="4011"/>
    <tableColumn id="4025" xr3:uid="{172A35DD-58CC-45E6-815D-2BCF825874EA}" name="4012"/>
    <tableColumn id="4026" xr3:uid="{77D9B856-A436-4FA3-96FD-DDC68B574D1A}" name="4013"/>
    <tableColumn id="4027" xr3:uid="{E4989505-579D-477A-BB87-90C822522851}" name="4014"/>
    <tableColumn id="4028" xr3:uid="{86742675-7E20-4520-964F-41D8A25F1B6A}" name="4015"/>
    <tableColumn id="4029" xr3:uid="{EF8DEFF2-C0AD-4056-8BE7-F073ECA5BA8B}" name="4016"/>
    <tableColumn id="4030" xr3:uid="{10618BFA-C06A-4EE4-B359-BA93CA7BD11D}" name="4017"/>
    <tableColumn id="4031" xr3:uid="{2E6AFD22-6B4A-4CE2-BA6D-A62385449ADC}" name="4018"/>
    <tableColumn id="4032" xr3:uid="{F18541F2-67AF-4292-9FB9-AD070BB8CEFE}" name="4019"/>
    <tableColumn id="4033" xr3:uid="{409C101D-4C38-4045-834B-184AA5B6C9C4}" name="4020"/>
    <tableColumn id="4034" xr3:uid="{51B98500-2F62-454C-91FB-01D294C839D4}" name="4021"/>
    <tableColumn id="4035" xr3:uid="{1251FC91-3783-4183-807B-855A7064FCF5}" name="4022"/>
    <tableColumn id="4036" xr3:uid="{DF2D47BE-8F0F-46A8-8348-B75A2E65924D}" name="4023"/>
    <tableColumn id="4037" xr3:uid="{DA98A4DE-B9DB-4893-9C96-D947B595821E}" name="4024"/>
    <tableColumn id="4038" xr3:uid="{1C122AA7-8D0C-426A-B59B-2765D7052904}" name="4025"/>
    <tableColumn id="4039" xr3:uid="{5817890B-690D-4368-A977-D7729A9A5478}" name="4026"/>
    <tableColumn id="4040" xr3:uid="{24FEFBAD-EFB4-4C22-84F3-FAB2869CFD93}" name="4027"/>
    <tableColumn id="4041" xr3:uid="{2B0A2FF5-57C0-43B0-9655-7547B64235F9}" name="4028"/>
    <tableColumn id="4042" xr3:uid="{2A2C0081-DA13-4239-AEB8-6240A45736FE}" name="4029"/>
    <tableColumn id="4043" xr3:uid="{AAE8B3DB-240A-4E22-B71F-96461A147219}" name="4030"/>
    <tableColumn id="4044" xr3:uid="{357B16AC-7449-43A1-9B74-5F6628BAFB4E}" name="4031"/>
    <tableColumn id="4045" xr3:uid="{933D5C56-31E2-43E4-9B91-9A7B469F212A}" name="4032"/>
    <tableColumn id="4046" xr3:uid="{2CC97A09-B5C5-4EFF-BD3C-62670C1CFE59}" name="4033"/>
    <tableColumn id="4047" xr3:uid="{847B5B4F-2909-47FB-94EF-74422030DB30}" name="4034"/>
    <tableColumn id="4048" xr3:uid="{02419F64-B746-485D-9092-488CA5D5CCE7}" name="4035"/>
    <tableColumn id="4049" xr3:uid="{16C808C9-6B1C-4866-B687-A15651514199}" name="4036"/>
    <tableColumn id="4050" xr3:uid="{48CDECF7-C707-4EEA-A921-36BF8021E079}" name="4037"/>
    <tableColumn id="4051" xr3:uid="{E092FA5D-91DB-43EB-8BFA-AB697A45A5C9}" name="4038"/>
    <tableColumn id="4052" xr3:uid="{EAE9CBFB-8CAF-4D40-8820-9A4A11BE7FEC}" name="4039"/>
    <tableColumn id="4053" xr3:uid="{46BEC34B-C9A8-41F1-8718-F8223E6E4BCF}" name="4040"/>
    <tableColumn id="4054" xr3:uid="{F042882C-CBA4-484F-BC9C-063FD4597A45}" name="4041"/>
    <tableColumn id="4055" xr3:uid="{18A0D2DE-4591-42E0-B908-EE737D9CE1BB}" name="4042"/>
    <tableColumn id="4056" xr3:uid="{829E3B4C-266C-478E-A52D-6880BD1606EC}" name="4043"/>
    <tableColumn id="4057" xr3:uid="{381A162E-984C-4F40-860A-01D2FD4ED304}" name="4044"/>
    <tableColumn id="4058" xr3:uid="{0EA5D2BD-AFD9-4B1A-9EFE-FA0D556DDB46}" name="4045"/>
    <tableColumn id="4059" xr3:uid="{C486B91B-F47F-41BD-9D97-36838A15CC35}" name="4046"/>
    <tableColumn id="4060" xr3:uid="{63266528-ECA3-4055-9375-70EFC092FF91}" name="4047"/>
    <tableColumn id="4061" xr3:uid="{C4CA69C4-2742-414A-9847-ADA1F3E90615}" name="4048"/>
    <tableColumn id="4062" xr3:uid="{F51DC96E-49C6-4579-9CDD-790D7333AABE}" name="4049"/>
    <tableColumn id="4063" xr3:uid="{67BB3C42-5F7E-406C-A7F9-800497946FD4}" name="4050"/>
    <tableColumn id="4064" xr3:uid="{1B939960-B989-49BB-934C-F7ECD6D60E8F}" name="4051"/>
    <tableColumn id="4065" xr3:uid="{E46D21BF-A0B8-4625-B789-2721200EF5C9}" name="4052"/>
    <tableColumn id="4066" xr3:uid="{4089D5CA-771B-4698-9735-978ECD6DB6E6}" name="4053"/>
    <tableColumn id="4067" xr3:uid="{73BCF96F-47D6-4DCC-AA3F-716F69AC4033}" name="4054"/>
    <tableColumn id="4068" xr3:uid="{EACF8890-1A18-4200-97CB-11158603E7D9}" name="4055"/>
    <tableColumn id="4069" xr3:uid="{4480387C-AF25-4B16-BB84-034F4E47EDFC}" name="4056"/>
    <tableColumn id="4070" xr3:uid="{0EE718FF-DCF8-4B6F-A794-AD9AF8F2CE18}" name="4057"/>
    <tableColumn id="4071" xr3:uid="{7C0961D0-97B8-433B-947C-4E03C05974B7}" name="4058"/>
    <tableColumn id="4072" xr3:uid="{A55D1C7A-255B-4E80-857F-0CC45CB3A5AF}" name="4059"/>
    <tableColumn id="4073" xr3:uid="{7101E9A8-6EC8-4796-A11C-602ABBF92E3A}" name="4060"/>
    <tableColumn id="4074" xr3:uid="{753641B3-6B8F-4803-B3AE-945D5BBB74B0}" name="4061"/>
    <tableColumn id="4075" xr3:uid="{6B30BBE9-7601-43BF-8F28-0B143CA03AB5}" name="4062"/>
    <tableColumn id="4076" xr3:uid="{6644F7B4-BF33-4DAA-A76A-604F5ED306F1}" name="4063"/>
    <tableColumn id="4077" xr3:uid="{FA07FEC8-59D5-4C8F-B854-B545BB0B8B15}" name="4064"/>
    <tableColumn id="4078" xr3:uid="{24A3DF8D-9E5E-421A-B554-2850286E3174}" name="4065"/>
    <tableColumn id="4079" xr3:uid="{FFD3B6C7-0B12-4EAF-A427-8F8E9BF17C14}" name="4066"/>
    <tableColumn id="4080" xr3:uid="{5780DAC9-A842-4235-8A50-E7BD2FD11E36}" name="4067"/>
    <tableColumn id="4081" xr3:uid="{48D1A09E-B4E5-4271-A615-0FC98F1E3C6A}" name="4068"/>
    <tableColumn id="4082" xr3:uid="{7CB4E279-F571-4CEF-9FF7-2F1EF7BB1A00}" name="4069"/>
    <tableColumn id="4083" xr3:uid="{DF21F3B5-A870-4FE5-8B37-EF57C8539539}" name="4070"/>
    <tableColumn id="4084" xr3:uid="{7864A5AF-5865-4773-AEB8-1397F54D4945}" name="4071"/>
    <tableColumn id="4085" xr3:uid="{9D41BCED-1350-4875-BF40-72438B11F2AF}" name="4072"/>
    <tableColumn id="4086" xr3:uid="{D46DCEF3-776A-4967-A39F-A5555ABE56DE}" name="4073"/>
    <tableColumn id="4087" xr3:uid="{5BA5FC3E-FC43-4EFB-B811-0FECDEE7D39A}" name="4074"/>
    <tableColumn id="4088" xr3:uid="{0AEB37A5-D9F4-441B-9076-2BF6D76E5E2A}" name="4075"/>
    <tableColumn id="4089" xr3:uid="{5436F494-118A-4FB1-AAFB-AEABCD821A30}" name="4076"/>
    <tableColumn id="4090" xr3:uid="{4BE6792B-EFE9-4B7E-A8CA-A8E3CD5DFF81}" name="4077"/>
    <tableColumn id="4091" xr3:uid="{2B4D6850-6CA1-4B6C-9C3F-442756C4ED25}" name="4078"/>
    <tableColumn id="4092" xr3:uid="{BC671A4A-41C4-48DB-A363-A01FFF3A6DA8}" name="4079"/>
    <tableColumn id="4093" xr3:uid="{6260C238-1947-4ED4-BE44-12336F71A90C}" name="4080"/>
    <tableColumn id="4094" xr3:uid="{C542E74E-E2C2-4682-9795-19B9A6171758}" name="4081"/>
    <tableColumn id="4095" xr3:uid="{158C6156-9819-4F29-866A-5EED77A77ACE}" name="4082"/>
    <tableColumn id="4096" xr3:uid="{6DDAD3AF-88B8-49C5-BA24-9587B080AE50}" name="4083"/>
    <tableColumn id="4097" xr3:uid="{5FC2FB35-2C14-4923-87F1-AE8BAE7A48DE}" name="4084"/>
    <tableColumn id="4098" xr3:uid="{B7336794-5483-43E3-B0DE-F19CC613754B}" name="4085"/>
    <tableColumn id="4099" xr3:uid="{9EB7DB23-9D69-4406-A7A1-5D775ADD54E4}" name="4086"/>
    <tableColumn id="4100" xr3:uid="{6984FA11-0A8D-4A99-8404-9686F2D77D9F}" name="4087"/>
    <tableColumn id="4101" xr3:uid="{BF1FFFB0-0FE8-4782-833D-D331D58ABDEA}" name="4088"/>
    <tableColumn id="4102" xr3:uid="{577EEF27-E6E0-44CD-8899-F9C4B9FFA66B}" name="4089"/>
    <tableColumn id="4103" xr3:uid="{1AB1EAEB-C848-4BE5-96DC-AD75BACF2595}" name="4090"/>
    <tableColumn id="4104" xr3:uid="{24F2D817-DE37-441F-BD15-51A86DC71737}" name="4091"/>
    <tableColumn id="4105" xr3:uid="{6CA3ABBD-535A-44BB-824D-58C83209FE68}" name="4092"/>
    <tableColumn id="4106" xr3:uid="{B4AC6926-1E22-49FD-9D28-FAC00C923FCD}" name="4093"/>
    <tableColumn id="4107" xr3:uid="{55F8ADC3-4EFC-482B-BB99-2CC4AC305188}" name="4094"/>
    <tableColumn id="4108" xr3:uid="{A85A8100-DE99-42A2-B41D-FD054DA04C79}" name="4095"/>
    <tableColumn id="4109" xr3:uid="{ABA6F8D8-8BCE-42F7-84B1-65FAD567D772}" name="4096"/>
    <tableColumn id="4110" xr3:uid="{0DF2DBEE-16D8-4179-BF20-423368BBD990}" name="4097"/>
    <tableColumn id="4111" xr3:uid="{A3CAE891-3D71-483E-B08A-96587FA39954}" name="4098"/>
    <tableColumn id="4112" xr3:uid="{7D5B3476-E4CB-4335-9A0F-E93B8BAC862C}" name="4099"/>
    <tableColumn id="4113" xr3:uid="{638A6243-3606-4A01-B495-D3BD60529BEC}" name="4100"/>
    <tableColumn id="4114" xr3:uid="{44A7A73C-29E9-4D85-AE56-D7385E2A7749}" name="4101"/>
    <tableColumn id="4115" xr3:uid="{A9ABDEB7-F764-4EB5-9775-2682B91C5CFC}" name="4102"/>
    <tableColumn id="4116" xr3:uid="{42838255-E3B7-4375-9575-3F37E1F2B165}" name="4103"/>
    <tableColumn id="4117" xr3:uid="{770A2C28-F9B7-4261-B153-5ECCD417F4F8}" name="4104"/>
    <tableColumn id="4118" xr3:uid="{22DA0131-D9AF-465C-9FA3-E60A38CF9F31}" name="4105"/>
    <tableColumn id="4119" xr3:uid="{71F909EE-CA6C-4879-B62E-9030B1BB1068}" name="4106"/>
    <tableColumn id="4120" xr3:uid="{050C3D13-D43D-42F8-A979-099AE53AB6A6}" name="4107"/>
    <tableColumn id="4121" xr3:uid="{9260E5EF-E325-44A0-BEC5-C47CF3E01617}" name="4108"/>
    <tableColumn id="4122" xr3:uid="{278AAC3F-F8C9-46E6-B333-0D67CF660AB1}" name="4109"/>
    <tableColumn id="4123" xr3:uid="{91ADAB4E-D78E-4771-896A-12A6B407BFB9}" name="4110"/>
    <tableColumn id="4124" xr3:uid="{0ED6D1B0-DC9A-4796-8D72-142A60417851}" name="4111"/>
    <tableColumn id="4125" xr3:uid="{7A1796D7-B325-42E6-A78F-9CF8F390D032}" name="4112"/>
    <tableColumn id="4126" xr3:uid="{6B0533A2-CC6A-41FE-B875-36E5EEE33223}" name="4113"/>
    <tableColumn id="4127" xr3:uid="{50E750E9-D354-4955-B0AD-485F7B50766F}" name="4114"/>
    <tableColumn id="4128" xr3:uid="{467E7855-DCA0-4B3B-BEAE-D95CE8BF0782}" name="4115"/>
    <tableColumn id="4129" xr3:uid="{3321A797-E903-4A29-A21F-B6ED39482067}" name="4116"/>
    <tableColumn id="4130" xr3:uid="{6EF11DB9-C2AD-45CB-91C2-9C54D4E079DF}" name="4117"/>
    <tableColumn id="4131" xr3:uid="{A9D2D081-CC59-45F2-A498-DDE7D0FD96A5}" name="4118"/>
    <tableColumn id="4132" xr3:uid="{3283DFFD-1793-4E41-BE7F-D5BA8DB51F25}" name="4119"/>
    <tableColumn id="4133" xr3:uid="{6F171E1D-41D4-4D9C-A159-58EADE6E6AFD}" name="4120"/>
    <tableColumn id="4134" xr3:uid="{0831B2F4-D78B-4216-A31D-B5291633CB0D}" name="4121"/>
    <tableColumn id="4135" xr3:uid="{8205FA4C-B4BF-482E-9722-0550DB0B3E5C}" name="4122"/>
    <tableColumn id="4136" xr3:uid="{3697D75A-D73F-40B5-B396-0AA0863D82B0}" name="4123"/>
    <tableColumn id="4137" xr3:uid="{6249A466-5798-449D-9C84-42D58F59506D}" name="4124"/>
    <tableColumn id="4138" xr3:uid="{6D8EADD5-D60C-44C6-80DB-65BD0F305630}" name="4125"/>
    <tableColumn id="4139" xr3:uid="{720BB6F0-40AC-4162-A4A8-6DBFA3D55B46}" name="4126"/>
    <tableColumn id="4140" xr3:uid="{70F9F448-EC69-4986-8911-434619001FD4}" name="4127"/>
    <tableColumn id="4141" xr3:uid="{38992A05-56CE-4461-98E9-3323185AA111}" name="4128"/>
    <tableColumn id="4142" xr3:uid="{376D2F2D-0381-413A-BA10-DA959A51A042}" name="4129"/>
    <tableColumn id="4143" xr3:uid="{F7874BE7-0FF5-4ACC-B8D8-FC1AF549EA19}" name="4130"/>
    <tableColumn id="4144" xr3:uid="{F8978D3A-D313-4E90-8897-F2087626B5A2}" name="4131"/>
    <tableColumn id="4145" xr3:uid="{8E5A8824-4DE9-4E20-8099-A1A71EE9FB38}" name="4132"/>
    <tableColumn id="4146" xr3:uid="{B65E51EE-1E1A-4113-B7CC-02355F2256B7}" name="4133"/>
    <tableColumn id="4147" xr3:uid="{6FF1A99C-08F1-4636-BABC-C4E239811F76}" name="4134"/>
    <tableColumn id="4148" xr3:uid="{D8500071-4E41-4DF4-9BB3-4F199D11B229}" name="4135"/>
    <tableColumn id="4149" xr3:uid="{C22906A0-97AA-49E4-B477-01A227B7D9B4}" name="4136"/>
    <tableColumn id="4150" xr3:uid="{7722219E-FA12-41E0-8339-FA4C19929488}" name="4137"/>
    <tableColumn id="4151" xr3:uid="{92BEECB6-CDE0-48C2-9757-6AD36FFCE214}" name="4138"/>
    <tableColumn id="4152" xr3:uid="{3CBDE27D-7307-450F-BB86-D0AEC17EDD4D}" name="4139"/>
    <tableColumn id="4153" xr3:uid="{04765944-70DA-45C6-B297-AC97682D596F}" name="4140"/>
    <tableColumn id="4154" xr3:uid="{B76D4862-8177-4FEE-B9F9-EB17A811A091}" name="4141"/>
    <tableColumn id="4155" xr3:uid="{C45AE3FB-9BD9-4A47-91A4-B832373B54B2}" name="4142"/>
    <tableColumn id="4156" xr3:uid="{313B2399-851E-409D-B846-80D996F3EDA0}" name="4143"/>
    <tableColumn id="4157" xr3:uid="{E77BC1CF-105B-41A0-8F08-2EF22547B734}" name="4144"/>
    <tableColumn id="4158" xr3:uid="{6DCC9C0D-A6A2-4E62-B3B6-E9CC17C70726}" name="4145"/>
    <tableColumn id="4159" xr3:uid="{5FC119DF-353B-4D21-8528-02CCAD087511}" name="4146"/>
    <tableColumn id="4160" xr3:uid="{196B6397-EC8E-4C4E-BAE6-0A9AD332B7B7}" name="4147"/>
    <tableColumn id="4161" xr3:uid="{995645C0-923F-4613-964E-0421769BFE9D}" name="4148"/>
    <tableColumn id="4162" xr3:uid="{B18CCA97-9F31-44FF-A0F3-031E28238B8C}" name="4149"/>
    <tableColumn id="4163" xr3:uid="{443305EF-B639-41BF-A29E-54DEDDF82BF5}" name="4150"/>
    <tableColumn id="4164" xr3:uid="{BD34EF23-1987-459F-BA4E-CAB547F72D1B}" name="4151"/>
    <tableColumn id="4165" xr3:uid="{A1758511-3795-4821-B883-2330F668F703}" name="4152"/>
    <tableColumn id="4166" xr3:uid="{71B3470F-8BB9-47E0-903B-408EA2BB82C7}" name="4153"/>
    <tableColumn id="4167" xr3:uid="{564652C8-E1D7-44A7-867D-8229DD5BC61A}" name="4154"/>
    <tableColumn id="4168" xr3:uid="{B704C025-5755-433C-89C1-2F3BFE9807C0}" name="4155"/>
    <tableColumn id="4169" xr3:uid="{DC839373-E94B-4B8B-BF28-6007EF3DB061}" name="4156"/>
    <tableColumn id="4170" xr3:uid="{54FB2561-3516-44BD-8951-E52E02A3B50B}" name="4157"/>
    <tableColumn id="4171" xr3:uid="{4ADCC67B-7461-4F4D-BB72-7962C401A017}" name="4158"/>
    <tableColumn id="4172" xr3:uid="{A52C0255-B31D-4DAB-80FB-09DA3B961606}" name="4159"/>
    <tableColumn id="4173" xr3:uid="{775C2A9C-1A38-406D-BD70-8A2151D86EE9}" name="4160"/>
    <tableColumn id="4174" xr3:uid="{9B02E728-7D9C-4B07-8C0A-35D52629AC69}" name="4161"/>
    <tableColumn id="4175" xr3:uid="{C008B07F-1FE8-4BDA-A1FC-423755915AB0}" name="4162"/>
    <tableColumn id="4176" xr3:uid="{4AF3AF05-3DCC-4530-81DD-1949EE6D05E6}" name="4163"/>
    <tableColumn id="4177" xr3:uid="{8C9000FE-18B7-4734-951B-69AEB036BE2B}" name="4164"/>
    <tableColumn id="4178" xr3:uid="{CF2041CC-DD2A-4257-86CA-4DE2C4D44C4C}" name="4165"/>
    <tableColumn id="4179" xr3:uid="{632E8BBA-B7DC-4E98-9D66-98E6FB4A3D96}" name="4166"/>
    <tableColumn id="4180" xr3:uid="{CF777F76-5E12-4F32-9C0B-1E86D91BEEF4}" name="4167"/>
    <tableColumn id="4181" xr3:uid="{7618A3CF-C440-4178-A74F-28AEBDC83F46}" name="4168"/>
    <tableColumn id="4182" xr3:uid="{C1F69EF9-77BB-4147-BB8B-6ABF7FA7A179}" name="4169"/>
    <tableColumn id="4183" xr3:uid="{C979A699-B54A-4391-A554-A7A002DA6A24}" name="4170"/>
    <tableColumn id="4184" xr3:uid="{F50FAFA8-EDDF-407B-8170-DDA2D00E9FFD}" name="4171"/>
    <tableColumn id="4185" xr3:uid="{0972B4F1-4317-4510-8370-B135A7E67992}" name="4172"/>
    <tableColumn id="4186" xr3:uid="{AA5D5D1B-2CC7-443D-A7BA-6DF6F542E559}" name="4173"/>
    <tableColumn id="4187" xr3:uid="{9D245BEA-6771-4AF1-9AAA-B0C1DD510E07}" name="4174"/>
    <tableColumn id="4188" xr3:uid="{28D90D1B-5C08-46A1-998D-A749D9655A9A}" name="4175"/>
    <tableColumn id="4189" xr3:uid="{7A266813-9DF9-404A-8FBC-B3F5C91C56CC}" name="4176"/>
    <tableColumn id="4190" xr3:uid="{F0FC167C-9917-4B85-AA76-DEE829011695}" name="4177"/>
    <tableColumn id="4191" xr3:uid="{FFA1D01D-3B5E-436F-BF10-6818A99DA774}" name="4178"/>
    <tableColumn id="4192" xr3:uid="{8CB65671-E61A-48D8-B199-D4942A92B025}" name="4179"/>
    <tableColumn id="4193" xr3:uid="{67BABFFB-CBE5-455B-A9DA-C73F270CDEC9}" name="4180"/>
    <tableColumn id="4194" xr3:uid="{6E19A47F-60F4-4027-BDFE-2C11BB053009}" name="4181"/>
    <tableColumn id="4195" xr3:uid="{6B98B551-3F04-438F-997B-2AABB96ECAF0}" name="4182"/>
    <tableColumn id="4196" xr3:uid="{785548C1-EBDE-42EA-A4C9-6BEA9E825295}" name="4183"/>
    <tableColumn id="4197" xr3:uid="{BAF2032D-B272-4310-B28C-CC62AA13CE6A}" name="4184"/>
    <tableColumn id="4198" xr3:uid="{36AFBB16-477D-4097-BB1C-458158D44188}" name="4185"/>
    <tableColumn id="4199" xr3:uid="{21BDF1AA-04DA-4834-8724-564BBEB43E95}" name="4186"/>
    <tableColumn id="4200" xr3:uid="{0FCA275F-0F77-4AB9-8D78-5E6D39E4CBE0}" name="4187"/>
    <tableColumn id="4201" xr3:uid="{E4BF5535-39B2-4DB2-B9AE-B141BE6625EE}" name="4188"/>
    <tableColumn id="4202" xr3:uid="{21CA54E2-330D-4EBF-A624-495BD1CD4C2A}" name="4189"/>
    <tableColumn id="4203" xr3:uid="{9C167A94-B5DF-4328-9B4B-B2B3BD68177F}" name="4190"/>
    <tableColumn id="4204" xr3:uid="{F3DA454B-8D74-45C7-9E4D-7DBCB1CA06D0}" name="4191"/>
    <tableColumn id="4205" xr3:uid="{3612003B-E6D3-491E-B706-6EED0A7C6363}" name="4192"/>
    <tableColumn id="4206" xr3:uid="{9AF0FB65-4D0B-43E9-855B-905E24EFC756}" name="4193"/>
    <tableColumn id="4207" xr3:uid="{A3BF241A-9CA0-4028-B43B-29E41A803F7D}" name="4194"/>
    <tableColumn id="4208" xr3:uid="{AB1397BF-07DF-4A1F-B066-89D9365CD0AC}" name="4195"/>
    <tableColumn id="4209" xr3:uid="{C9655158-0A98-4E24-8E5D-6D64592D231A}" name="4196"/>
    <tableColumn id="4210" xr3:uid="{1999E361-50C4-4E0F-A8FD-540186B6B064}" name="4197"/>
    <tableColumn id="4211" xr3:uid="{F036435F-1C43-4679-AF5D-BBEE3ABEA000}" name="4198"/>
    <tableColumn id="4212" xr3:uid="{C0DCFEB1-3694-480A-93B1-0C40046C1E57}" name="4199"/>
    <tableColumn id="4213" xr3:uid="{1E0E0D45-6E65-4180-A09F-6C556BEA5A65}" name="4200"/>
    <tableColumn id="4214" xr3:uid="{176E3C1D-380D-44C4-B940-0C6B30E9C192}" name="4201"/>
    <tableColumn id="4215" xr3:uid="{C4F323AF-93EF-454F-BD0B-B64AC9353263}" name="4202"/>
    <tableColumn id="4216" xr3:uid="{01C26E8C-D71C-4CFA-BB0E-A5CA55CE4A4A}" name="4203"/>
    <tableColumn id="4217" xr3:uid="{6BD2BBC9-9D81-4F9C-8CF3-CB1A48A96100}" name="4204"/>
    <tableColumn id="4218" xr3:uid="{667360A9-1B5D-4B04-BE46-A6DFD75EBA40}" name="4205"/>
    <tableColumn id="4219" xr3:uid="{E43A100D-D19E-4A11-BE3A-857D4101EEAD}" name="4206"/>
    <tableColumn id="4220" xr3:uid="{4498A4C5-7F16-4FB2-9A01-A12485795867}" name="4207"/>
    <tableColumn id="4221" xr3:uid="{892A419C-71AE-4F97-A8D3-7A9667CE9589}" name="4208"/>
    <tableColumn id="4222" xr3:uid="{FFFB0736-3B81-402D-B5E4-CDE530DAAC52}" name="4209"/>
    <tableColumn id="4223" xr3:uid="{080631EB-4A2A-46BF-BD94-4BE427239174}" name="4210"/>
    <tableColumn id="4224" xr3:uid="{414B70DF-1586-41C1-AEEC-4020387EC2D9}" name="4211"/>
    <tableColumn id="4225" xr3:uid="{14B92144-5ACA-4D8C-BCB8-4758A0832776}" name="4212"/>
    <tableColumn id="4226" xr3:uid="{8E4BDC71-682A-4C84-8676-1C7A9C10F356}" name="4213"/>
    <tableColumn id="4227" xr3:uid="{46B4E6BA-3932-4BE5-B8CE-3D26E3002493}" name="4214"/>
    <tableColumn id="4228" xr3:uid="{914E0629-B0A0-4725-9359-662368352DB0}" name="4215"/>
    <tableColumn id="4229" xr3:uid="{A693E66A-5765-4793-8968-6BA6BA35FA52}" name="4216"/>
    <tableColumn id="4230" xr3:uid="{5EA5DAAF-ECBE-4161-B22D-25650DF84FD0}" name="4217"/>
    <tableColumn id="4231" xr3:uid="{9C1D4877-B300-49D3-AA52-D5211C5BC633}" name="4218"/>
    <tableColumn id="4232" xr3:uid="{708D1FCC-763F-469A-96E9-08EB5F06B090}" name="4219"/>
    <tableColumn id="4233" xr3:uid="{03DFCE6E-2888-4073-84EE-BD746F03BB7E}" name="4220"/>
    <tableColumn id="4234" xr3:uid="{0729E9AF-C690-44A0-8C56-58A9CCBA5D90}" name="4221"/>
    <tableColumn id="4235" xr3:uid="{D976207C-0C5A-4C94-8B04-9BE638E4786B}" name="4222"/>
    <tableColumn id="4236" xr3:uid="{77FFFE3C-CADD-4620-890E-F53F49B2F6D6}" name="4223"/>
    <tableColumn id="4237" xr3:uid="{C85D095B-3C16-4A0F-A4B1-22E1B10E91BF}" name="4224"/>
    <tableColumn id="4238" xr3:uid="{1BD0CC35-660E-4BEF-8EFF-BC10E6BF8610}" name="4225"/>
    <tableColumn id="4239" xr3:uid="{56112F4D-2B6A-4028-A619-49216950A2FB}" name="4226"/>
    <tableColumn id="4240" xr3:uid="{E0D204C3-50CE-4B6A-A936-878DB9500523}" name="4227"/>
    <tableColumn id="4241" xr3:uid="{583BF1FC-4AC4-4B09-9151-1A34134B4A0B}" name="4228"/>
    <tableColumn id="4242" xr3:uid="{04F58F99-6FB9-41D9-8ECB-7C11E54BDBED}" name="4229"/>
    <tableColumn id="4243" xr3:uid="{CADF6C07-6FA4-4940-8AB7-00229DB27356}" name="4230"/>
    <tableColumn id="4244" xr3:uid="{5AC4E691-2F58-40E1-A4AB-D8E1180AB8A2}" name="4231"/>
    <tableColumn id="4245" xr3:uid="{2861404D-9990-4A2F-B136-1CA663D168B5}" name="4232"/>
    <tableColumn id="4246" xr3:uid="{10C89773-6942-4613-B2CF-FB6BD21C541D}" name="4233"/>
    <tableColumn id="4247" xr3:uid="{C313F693-475F-4A9C-9A18-0D2D565E2C54}" name="4234"/>
    <tableColumn id="4248" xr3:uid="{E9B5DDF2-A900-4F55-8773-AEB06D15992A}" name="4235"/>
    <tableColumn id="4249" xr3:uid="{CE633709-56A9-400B-94AF-BB16C9280B87}" name="4236"/>
    <tableColumn id="4250" xr3:uid="{D0F9BEDE-D12F-4AAA-954A-7D026BA3BE94}" name="4237"/>
    <tableColumn id="4251" xr3:uid="{AFA1D1D2-1E4D-4F69-A453-F7D99050DFC1}" name="4238"/>
    <tableColumn id="4252" xr3:uid="{07542DE3-BEB2-432C-8E15-08A01B17BE75}" name="4239"/>
    <tableColumn id="4253" xr3:uid="{4DDA4D31-C42A-4CB3-9A44-37F3BAD8DAC2}" name="4240"/>
    <tableColumn id="4254" xr3:uid="{CD8D4B64-4D99-4180-BB86-B5D9DAF0A6C7}" name="4241"/>
    <tableColumn id="4255" xr3:uid="{8A146221-0352-4204-ACEE-596BB7392F90}" name="4242"/>
    <tableColumn id="4256" xr3:uid="{BB163434-A33E-40B7-9A74-990710966E11}" name="4243"/>
    <tableColumn id="4257" xr3:uid="{65C28A9A-D089-4791-B482-9F81183A37A0}" name="4244"/>
    <tableColumn id="4258" xr3:uid="{85BE3132-28DB-420F-BC27-2DF7DD7DB04C}" name="4245"/>
    <tableColumn id="4259" xr3:uid="{B562D038-932B-4369-B91B-08398648F2CC}" name="4246"/>
    <tableColumn id="4260" xr3:uid="{5A306058-0374-4F08-9D51-B971A354F3FA}" name="4247"/>
    <tableColumn id="4261" xr3:uid="{6E16DB6B-E9D6-4455-9C50-069AD6EBBDA6}" name="4248"/>
    <tableColumn id="4262" xr3:uid="{A7094116-6512-4C20-B706-540788A34D9E}" name="4249"/>
    <tableColumn id="4263" xr3:uid="{63F44AC5-D49F-4098-B2ED-BE7C5DB84150}" name="4250"/>
    <tableColumn id="4264" xr3:uid="{EE6A5565-6800-4040-BAC3-1697D6DCDD03}" name="4251"/>
    <tableColumn id="4265" xr3:uid="{AEDBDE15-B3E5-4C71-A1DB-C77E276578D1}" name="4252"/>
    <tableColumn id="4266" xr3:uid="{DC158D07-C0D8-4BEA-99CC-56F0A3589B52}" name="4253"/>
    <tableColumn id="4267" xr3:uid="{968D72F6-0075-420D-B7C8-9E31270EFF19}" name="4254"/>
    <tableColumn id="4268" xr3:uid="{336B9C8D-0B39-406F-8BD4-CC6E1C9FDCE4}" name="4255"/>
    <tableColumn id="4269" xr3:uid="{1152867E-FF40-40A1-8A8A-F5B1247EE0C5}" name="4256"/>
    <tableColumn id="4270" xr3:uid="{108A3943-9EA7-4826-984A-4CAD29EA985F}" name="4257"/>
    <tableColumn id="4271" xr3:uid="{23F8496B-A497-43C2-BDF3-B00D228E79A6}" name="4258"/>
    <tableColumn id="4272" xr3:uid="{A51C123B-DA7E-4C65-AD41-9C3306744336}" name="4259"/>
    <tableColumn id="4273" xr3:uid="{C1B91758-D9DB-47FF-A609-EDE4C393268F}" name="4260"/>
    <tableColumn id="4274" xr3:uid="{F07E3960-F3BC-467B-91C6-AB7D62270D8F}" name="4261"/>
    <tableColumn id="4275" xr3:uid="{5DBDA1F2-AA14-4AFB-9A35-337D0A8D7B34}" name="4262"/>
    <tableColumn id="4276" xr3:uid="{91905728-83C4-4BA5-A702-8F667E9A7921}" name="4263"/>
    <tableColumn id="4277" xr3:uid="{DDFC4E91-2AA6-47ED-852B-DC87EF40DB81}" name="4264"/>
    <tableColumn id="4278" xr3:uid="{C49A5F05-FE2E-4C26-BE23-3549BEE0E50A}" name="4265"/>
    <tableColumn id="4279" xr3:uid="{64E4F79F-4A1D-483F-8C97-CC15E80E607F}" name="4266"/>
    <tableColumn id="4280" xr3:uid="{20CE4E6E-A5DE-4FB6-B080-1BC0316DA8A2}" name="4267"/>
    <tableColumn id="4281" xr3:uid="{5CF3D9A7-AAA1-4171-9189-9AF137F73480}" name="4268"/>
    <tableColumn id="4282" xr3:uid="{03D1D146-D87C-4D96-B680-21DFFC5B9842}" name="4269"/>
    <tableColumn id="4283" xr3:uid="{E6A2FCF8-14D3-49C9-93A3-96CF99631C28}" name="4270"/>
    <tableColumn id="4284" xr3:uid="{D227C0FE-33BC-4DD2-BCCF-78760E09C2AE}" name="4271"/>
    <tableColumn id="4285" xr3:uid="{F58BF690-C100-48FF-B927-182C516A22D0}" name="4272"/>
    <tableColumn id="4286" xr3:uid="{48874D51-74D9-498C-ACFF-D44BF311238D}" name="4273"/>
    <tableColumn id="4287" xr3:uid="{E6F254FE-7A74-4E04-97F5-BC57F2DECC5B}" name="4274"/>
    <tableColumn id="4288" xr3:uid="{CF2B2206-556D-4879-9991-EB48BEFE0F9A}" name="4275"/>
    <tableColumn id="4289" xr3:uid="{60E0A012-C024-40B4-846C-4E15A26547B5}" name="4276"/>
    <tableColumn id="4290" xr3:uid="{A10FE7AB-411D-4019-A453-398CE6006EF0}" name="4277"/>
    <tableColumn id="4291" xr3:uid="{4BA5740C-C2F5-4D54-A58B-8560B2EF9106}" name="4278"/>
    <tableColumn id="4292" xr3:uid="{7E311E55-9F03-4BBD-8672-72680A2A1B5C}" name="4279"/>
    <tableColumn id="4293" xr3:uid="{620E2E2F-0C3A-4716-972D-1B2120243C08}" name="4280"/>
    <tableColumn id="4294" xr3:uid="{C2979A47-F620-420F-AAB3-1559D3C5653B}" name="4281"/>
    <tableColumn id="4295" xr3:uid="{3640ED5E-B3FA-4C83-8FE9-BDF10513DADD}" name="4282"/>
    <tableColumn id="4296" xr3:uid="{95A9B047-F7B1-442F-A4C1-BE17F5D7E00F}" name="4283"/>
    <tableColumn id="4297" xr3:uid="{215BFC81-198B-4BAF-BA36-D5A76DB396AF}" name="4284"/>
    <tableColumn id="4298" xr3:uid="{9761DD15-85A7-4792-8211-B65E4010953A}" name="4285"/>
    <tableColumn id="4299" xr3:uid="{8950048B-B64B-4DCE-9F7A-F2221FCDA7BE}" name="4286"/>
    <tableColumn id="4300" xr3:uid="{0A3535AA-480A-4DED-BDEF-E7D653E5A848}" name="4287"/>
    <tableColumn id="4301" xr3:uid="{EEF3BE2E-5253-4E36-8CFF-19198764F244}" name="4288"/>
    <tableColumn id="4302" xr3:uid="{58CAD871-4733-42E2-9A3C-90BBCDE93687}" name="4289"/>
    <tableColumn id="4303" xr3:uid="{77D54948-D320-4131-BF8E-D4A5D7EF3A6E}" name="4290"/>
    <tableColumn id="4304" xr3:uid="{BB5B27C6-6296-4B0C-A12F-990EE2977E04}" name="4291"/>
    <tableColumn id="4305" xr3:uid="{13F17C7D-CB34-41C3-90A3-BDB605BDB0EC}" name="4292"/>
    <tableColumn id="4306" xr3:uid="{930703A3-F992-4DD2-BD00-586A263970B1}" name="4293"/>
    <tableColumn id="4307" xr3:uid="{23A7BEB3-867F-4DDF-82B0-9221EAC9B663}" name="4294"/>
    <tableColumn id="4308" xr3:uid="{0EBC6D08-86C6-4EBA-B0BD-8A26F46662B7}" name="4295"/>
    <tableColumn id="4309" xr3:uid="{2C3C5DBE-CA82-4CBE-A443-E99553A0DF0E}" name="4296"/>
    <tableColumn id="4310" xr3:uid="{8F2E5BEC-9003-462E-9BCB-68AD182E49CB}" name="4297"/>
    <tableColumn id="4311" xr3:uid="{32CFA478-3AC5-4E8C-8CAE-9E67927982EE}" name="4298"/>
    <tableColumn id="4312" xr3:uid="{CF884519-1A26-49D6-8DCE-EF1020A0E8A9}" name="4299"/>
    <tableColumn id="4313" xr3:uid="{E3EBFC9C-D5B1-4C90-902D-4244DD6A9343}" name="4300"/>
    <tableColumn id="4314" xr3:uid="{9CED82DD-4E33-4F82-982D-5204BA778FEB}" name="4301"/>
    <tableColumn id="4315" xr3:uid="{589661BB-C765-472C-B93D-5CE79F6287B1}" name="4302"/>
    <tableColumn id="4316" xr3:uid="{4AA03E46-1357-4275-9A28-0E89B17B562B}" name="4303"/>
    <tableColumn id="4317" xr3:uid="{C5AA845A-0A6A-4B00-9E8D-DDA019DA2937}" name="4304"/>
    <tableColumn id="4318" xr3:uid="{9D682A0B-C21D-4203-BD29-205D5190683E}" name="4305"/>
    <tableColumn id="4319" xr3:uid="{B17A36C6-2003-4B7E-A00D-FF7BE1F8019F}" name="4306"/>
    <tableColumn id="4320" xr3:uid="{452758F7-37E1-4AA5-98DF-02089A00BB3F}" name="4307"/>
    <tableColumn id="4321" xr3:uid="{4A60C4DE-C059-4CE7-A5E9-C6F7CF8202E3}" name="4308"/>
    <tableColumn id="4322" xr3:uid="{D0829BFE-CD40-4BC3-B71D-D35041D3ACD8}" name="4309"/>
    <tableColumn id="4323" xr3:uid="{83670FBD-A58B-456F-9294-4ADE952F39AB}" name="4310"/>
    <tableColumn id="4324" xr3:uid="{7012ED7D-005E-4E02-A9F2-8DB39C35E1FA}" name="4311"/>
    <tableColumn id="4325" xr3:uid="{BB174820-19BD-4007-BE3F-607D98D698C5}" name="4312"/>
    <tableColumn id="4326" xr3:uid="{B4730118-1900-4083-8984-8404EE5B992F}" name="4313"/>
    <tableColumn id="4327" xr3:uid="{AE1E62D9-FEA7-451A-A744-11CA41B1E414}" name="4314"/>
    <tableColumn id="4328" xr3:uid="{E6BDF8EF-55AD-463A-8DEF-C39FAE420DB2}" name="4315"/>
    <tableColumn id="4329" xr3:uid="{D4EAECE9-CF83-4C95-BF27-A718A8D5DB99}" name="4316"/>
    <tableColumn id="4330" xr3:uid="{AF1F4BD9-B605-4FA9-BCEC-00A499F36CFD}" name="4317"/>
    <tableColumn id="4331" xr3:uid="{B581E195-1096-40D5-9DE0-D394E0A525E0}" name="4318"/>
    <tableColumn id="4332" xr3:uid="{617FB62D-D9E8-4BCD-96EE-9DC80C39AC7E}" name="4319"/>
    <tableColumn id="4333" xr3:uid="{561F1948-FEFA-46EF-BB85-DBB7A78E0FA0}" name="4320"/>
    <tableColumn id="4334" xr3:uid="{4B611958-D893-4829-959E-5728055F5C62}" name="4321"/>
    <tableColumn id="4335" xr3:uid="{8F8D6892-D528-4F98-A03C-9C0B4A4D15CB}" name="4322"/>
    <tableColumn id="4336" xr3:uid="{989B8453-FA90-4A72-A3AF-5803E94EDB07}" name="4323"/>
    <tableColumn id="4337" xr3:uid="{F470E3A8-904F-4734-8C3F-0DB31315D945}" name="4324"/>
    <tableColumn id="4338" xr3:uid="{99035CE8-91AE-491E-91E4-01AF4271A847}" name="4325"/>
    <tableColumn id="4339" xr3:uid="{A30E33D1-C38D-472C-88BA-ADDD08B36638}" name="4326"/>
    <tableColumn id="4340" xr3:uid="{1B19B655-1B0B-4651-BA7C-C884E618DCFF}" name="4327"/>
    <tableColumn id="4341" xr3:uid="{90CAA316-D66E-466B-B96C-09629B406736}" name="4328"/>
    <tableColumn id="4342" xr3:uid="{C7AC50B7-F8EB-4A16-AA9E-A8685A3D714C}" name="4329"/>
    <tableColumn id="4343" xr3:uid="{3554ED69-D2AD-4867-AF51-059431F2617E}" name="4330"/>
    <tableColumn id="4344" xr3:uid="{A815A190-7BF8-4ECF-A37A-088EC9040E0A}" name="4331"/>
    <tableColumn id="4345" xr3:uid="{B7711A07-C1E8-4F88-9F71-A64EBB076FC1}" name="4332"/>
    <tableColumn id="4346" xr3:uid="{9BF56BD5-5706-47CB-BE9C-7A099C8C2C75}" name="4333"/>
    <tableColumn id="4347" xr3:uid="{6E0C6B91-BA18-487C-A6BC-B046B5D42EC8}" name="4334"/>
    <tableColumn id="4348" xr3:uid="{4A99E230-B843-41D4-B4B7-A1DFF59741E3}" name="4335"/>
    <tableColumn id="4349" xr3:uid="{79C9EE40-D568-4FC6-92DB-3FE438E020D9}" name="4336"/>
    <tableColumn id="4350" xr3:uid="{F6D20FC3-86D3-49FD-AA20-5D7F7E1399D2}" name="4337"/>
    <tableColumn id="4351" xr3:uid="{BC1B64C9-2157-4467-9602-D730347A2254}" name="4338"/>
    <tableColumn id="4352" xr3:uid="{D8C06C23-E1AB-4D64-AFAA-EBF063CFF9C4}" name="4339"/>
    <tableColumn id="4353" xr3:uid="{71D2EC3F-C921-4575-9FE2-3F7502C3B624}" name="4340"/>
    <tableColumn id="4354" xr3:uid="{FFF08E67-57D5-4C37-8EEB-6A6C2A90C217}" name="4341"/>
    <tableColumn id="4355" xr3:uid="{C32C819A-1146-45B1-99C0-9AC8F301BAE0}" name="4342"/>
    <tableColumn id="4356" xr3:uid="{EFD86478-1356-423D-BC67-637828FC3A34}" name="4343"/>
    <tableColumn id="4357" xr3:uid="{D3192495-EA43-49A4-8591-EB6DEFDB8722}" name="4344"/>
    <tableColumn id="4358" xr3:uid="{0E1FF157-18D1-4E0A-BAF0-627074FC41D9}" name="4345"/>
    <tableColumn id="4359" xr3:uid="{6E9F96F8-4F66-4AF5-8B92-E2EFAEFC6098}" name="4346"/>
    <tableColumn id="4360" xr3:uid="{B49ED889-D552-48FA-902F-1006CFA8710C}" name="4347"/>
    <tableColumn id="4361" xr3:uid="{1C1F0123-33BA-48B3-938E-0BF616F1F679}" name="4348"/>
    <tableColumn id="4362" xr3:uid="{7EBDE859-A889-41EE-88DD-9EB8F664C73F}" name="4349"/>
    <tableColumn id="4363" xr3:uid="{CB9B641F-CA39-4B7F-B778-F5460BBB06C0}" name="4350"/>
    <tableColumn id="4364" xr3:uid="{D9401F00-E68D-4AB6-A0EB-CA141C4DB71F}" name="4351"/>
    <tableColumn id="4365" xr3:uid="{AD8874DF-A0EA-4D37-9EA2-5937618A729C}" name="4352"/>
    <tableColumn id="4366" xr3:uid="{C54A023E-2B5C-49A9-B5F7-3534992AC47C}" name="4353"/>
    <tableColumn id="4367" xr3:uid="{F4F44E56-9428-489B-828B-B88C8E635ED7}" name="4354"/>
    <tableColumn id="4368" xr3:uid="{C47F271D-1EEE-4438-A44A-5C500B981A91}" name="4355"/>
    <tableColumn id="4369" xr3:uid="{11C49404-800F-42EE-9277-5DC4B54FCE2A}" name="4356"/>
    <tableColumn id="4370" xr3:uid="{CD1E3777-3745-4926-ABAE-307B1DE3BD0D}" name="4357"/>
    <tableColumn id="4371" xr3:uid="{19B629A8-0A4B-4102-B09F-37880A0F6E85}" name="4358"/>
    <tableColumn id="4372" xr3:uid="{A317DD12-DEA5-4353-826E-C2D7394D282F}" name="4359"/>
    <tableColumn id="4373" xr3:uid="{A9EE766C-F37A-451E-980F-06ECC4425D3C}" name="4360"/>
    <tableColumn id="4374" xr3:uid="{5146C70B-9BA5-45D4-AC7B-31235736D73C}" name="4361"/>
    <tableColumn id="4375" xr3:uid="{2BB04C9C-FDBE-4BDB-8906-35A4F420DDCA}" name="4362"/>
    <tableColumn id="4376" xr3:uid="{11BE11E0-A80A-4B42-818A-AA4FCE89F620}" name="4363"/>
    <tableColumn id="4377" xr3:uid="{626EB0DA-C095-44F6-8280-7BE31E755207}" name="4364"/>
    <tableColumn id="4378" xr3:uid="{B0A78C39-F324-47AE-ABD9-5B783D86BB0B}" name="4365"/>
    <tableColumn id="4379" xr3:uid="{1F690DAD-A817-4124-B11F-BB5995C8A42E}" name="4366"/>
    <tableColumn id="4380" xr3:uid="{2C43CB90-6EF1-41BE-AC99-565AEF98DDD0}" name="4367"/>
    <tableColumn id="4381" xr3:uid="{9947A7ED-2064-4DBF-88AD-DC8DBBCFB4AE}" name="4368"/>
    <tableColumn id="4382" xr3:uid="{F21C8212-1315-422D-B829-13CF146B5C68}" name="4369"/>
    <tableColumn id="4383" xr3:uid="{297B53C1-68F1-43E6-98C8-1A0801B77ED9}" name="4370"/>
    <tableColumn id="4384" xr3:uid="{610042E4-CD4E-4B86-A02E-B3FB414AD1CC}" name="4371"/>
    <tableColumn id="4385" xr3:uid="{A7279E63-0EC9-4273-A87E-E1AA3EE92693}" name="4372"/>
    <tableColumn id="4386" xr3:uid="{FA455473-C9C5-463B-BCBA-06B1AA945AB8}" name="4373"/>
    <tableColumn id="4387" xr3:uid="{3AD9A0DA-FAC0-44B7-9692-2C64B254A3FC}" name="4374"/>
    <tableColumn id="4388" xr3:uid="{2633A633-CBC6-49AA-AB3B-AD7C987EC71D}" name="4375"/>
    <tableColumn id="4389" xr3:uid="{4466EE8D-3202-4AE8-84F0-0AE8D4C5C080}" name="4376"/>
    <tableColumn id="4390" xr3:uid="{B55C5C6D-416B-4E31-A4A5-9C077AA49BB5}" name="4377"/>
    <tableColumn id="4391" xr3:uid="{0D8360DE-DC9C-49EB-B080-00D792843BE9}" name="4378"/>
    <tableColumn id="4392" xr3:uid="{4A32E71C-7FE1-4904-B787-DE0E6D0F3F8E}" name="4379"/>
    <tableColumn id="4393" xr3:uid="{8BE1975B-7CCE-499F-8D3D-47E9B52B0994}" name="4380"/>
    <tableColumn id="4394" xr3:uid="{3D92D009-EAE1-4241-8B1E-7E77EDC08451}" name="4381"/>
    <tableColumn id="4395" xr3:uid="{7EE738FD-3C2D-4FFC-BD8C-64DCE9FE23BC}" name="4382"/>
    <tableColumn id="4396" xr3:uid="{DB0E04C8-E1EA-4926-B351-57E2E86978F2}" name="4383"/>
    <tableColumn id="4397" xr3:uid="{BC20BCD5-BAF0-4250-B5F1-B26102296B79}" name="4384"/>
    <tableColumn id="4398" xr3:uid="{147D31F7-95DB-41BF-93DA-CC60FA955EF4}" name="4385"/>
    <tableColumn id="4399" xr3:uid="{26C8B077-568D-4AC4-AFB1-BFFD8C9BF130}" name="4386"/>
    <tableColumn id="4400" xr3:uid="{56F1D5DD-FF7D-45A7-9D15-FDDC52A6252C}" name="4387"/>
    <tableColumn id="4401" xr3:uid="{DB4FC1EE-CAAD-4477-9E0B-FB9B7A95EFED}" name="4388"/>
    <tableColumn id="4402" xr3:uid="{F44B6923-BA6B-4A80-8689-BA452B3376B1}" name="4389"/>
    <tableColumn id="4403" xr3:uid="{0DB68669-B550-4CD9-BD21-56B9E83F0C25}" name="4390"/>
    <tableColumn id="4404" xr3:uid="{D0A10BF9-3500-4A0D-AB83-ACB0B34BBC80}" name="4391"/>
    <tableColumn id="4405" xr3:uid="{F66D58FE-0948-4DA5-8773-5072E3DE8BF7}" name="4392"/>
    <tableColumn id="4406" xr3:uid="{8A1B5B01-0D9A-4AFA-AE0C-5C2A5F993D11}" name="4393"/>
    <tableColumn id="4407" xr3:uid="{CD012E11-72D3-4582-8AEA-1A7584174DB1}" name="4394"/>
    <tableColumn id="4408" xr3:uid="{5199E50F-AFED-46F4-8816-4FB661A33060}" name="4395"/>
    <tableColumn id="4409" xr3:uid="{63F1D3B5-6E21-4B7A-8FFB-57696F11942F}" name="4396"/>
    <tableColumn id="4410" xr3:uid="{18139922-D6ED-4D88-B537-F5FEE8DCC421}" name="4397"/>
    <tableColumn id="4411" xr3:uid="{FDCE777B-09F5-4AB0-B273-37139AA39E41}" name="4398"/>
    <tableColumn id="4412" xr3:uid="{472464A5-F624-4B04-8CE3-474CEFD92760}" name="4399"/>
    <tableColumn id="4413" xr3:uid="{0A605FF4-7D7E-424D-8F1B-211E505BD6DC}" name="4400"/>
    <tableColumn id="4414" xr3:uid="{6B0A96AE-7F73-4F41-A8D4-66016E554DFD}" name="4401"/>
    <tableColumn id="4415" xr3:uid="{D653AF91-558A-4FD6-8CE4-4C2BFD48FEFD}" name="4402"/>
    <tableColumn id="4416" xr3:uid="{166CE165-9B2E-4F55-8A4D-0E5A12EABBC7}" name="4403"/>
    <tableColumn id="4417" xr3:uid="{F9BF2B8B-68A2-4162-90A3-DCB3BA8F466F}" name="4404"/>
    <tableColumn id="4418" xr3:uid="{6A831358-BD1E-432B-87DB-35A952FCA154}" name="4405"/>
    <tableColumn id="4419" xr3:uid="{D1909371-CD52-454C-8DDE-9967CC895A7C}" name="4406"/>
    <tableColumn id="4420" xr3:uid="{2D6F3ECC-96C4-4269-9175-CFC889B2FC0D}" name="4407"/>
    <tableColumn id="4421" xr3:uid="{4630B2FB-4810-483D-8AD1-93E00921C303}" name="4408"/>
    <tableColumn id="4422" xr3:uid="{D19035B0-6FC5-4DFF-AAC8-980A82D20906}" name="4409"/>
    <tableColumn id="4423" xr3:uid="{A731AE48-A89D-4A88-B345-D6BAB600D7BD}" name="4410"/>
    <tableColumn id="4424" xr3:uid="{FBB299A0-0A93-48C5-B830-8C440F4C83E8}" name="4411"/>
    <tableColumn id="4425" xr3:uid="{A8C6A6EA-87DE-4AE6-AE95-965D3EF9B0B9}" name="4412"/>
    <tableColumn id="4426" xr3:uid="{C6612BF6-3F0B-497E-A283-61EF78C3BABF}" name="4413"/>
    <tableColumn id="4427" xr3:uid="{F163A7B5-A809-49D6-84DA-90ABB47848AE}" name="4414"/>
    <tableColumn id="4428" xr3:uid="{98C3D7F0-4EE2-4219-BB44-1B1D81A6902F}" name="4415"/>
    <tableColumn id="4429" xr3:uid="{AB4F213A-263E-4F65-B50E-5BEA56BB3E8C}" name="4416"/>
    <tableColumn id="4430" xr3:uid="{5CC24E32-4BA4-4357-A545-5E5A221D1A15}" name="4417"/>
    <tableColumn id="4431" xr3:uid="{351EAFFE-9365-4940-B437-722C25956D93}" name="4418"/>
    <tableColumn id="4432" xr3:uid="{96ED351A-8F1A-4829-8EA1-6C3D60E74F04}" name="4419"/>
    <tableColumn id="4433" xr3:uid="{AA864929-1E59-4395-9F63-0F926F43AD3A}" name="4420"/>
    <tableColumn id="4434" xr3:uid="{291807BB-B11E-4388-BDD7-19C6023A75DF}" name="4421"/>
    <tableColumn id="4435" xr3:uid="{8CD3CC8F-9100-4A53-8857-475A0A5C7B70}" name="4422"/>
    <tableColumn id="4436" xr3:uid="{91E45C3A-0B8A-4F0F-A5EF-882D0B161885}" name="4423"/>
    <tableColumn id="4437" xr3:uid="{5E11089B-FEB8-451C-94C8-57FB70F081F7}" name="4424"/>
    <tableColumn id="4438" xr3:uid="{BE168D84-441B-4BB2-AEF7-EDA27B8C1665}" name="4425"/>
    <tableColumn id="4439" xr3:uid="{C1E675D7-7AE4-4638-80AD-52AFDDEBF462}" name="4426"/>
    <tableColumn id="4440" xr3:uid="{4DD10B28-3763-4ACA-90F8-9A003FC514A9}" name="4427"/>
    <tableColumn id="4441" xr3:uid="{2C641F89-00B6-4A41-9ACE-EA2D07AF5142}" name="4428"/>
    <tableColumn id="4442" xr3:uid="{0ECA6720-8F96-4020-8AED-8F0B2B882349}" name="4429"/>
    <tableColumn id="4443" xr3:uid="{BA62B925-5550-45A0-8F00-E3437769543B}" name="4430"/>
    <tableColumn id="4444" xr3:uid="{8CB0A869-CC23-4051-A486-BC02060DF41D}" name="4431"/>
    <tableColumn id="4445" xr3:uid="{EF43E761-EB54-4A30-B4A1-8628F63B59B6}" name="4432"/>
    <tableColumn id="4446" xr3:uid="{827C14F4-2CE0-4805-89EB-619E7CEFEFAD}" name="4433"/>
    <tableColumn id="4447" xr3:uid="{B70493D4-9952-4AC0-BAFB-215E1204935C}" name="4434"/>
    <tableColumn id="4448" xr3:uid="{B3CF9965-2A6C-44C0-BF43-ED77F761058D}" name="4435"/>
    <tableColumn id="4449" xr3:uid="{0ADF5FC3-E271-4193-8BF6-1DB6305B4C1A}" name="4436"/>
    <tableColumn id="4450" xr3:uid="{441F9851-C700-4BF5-BC16-8266B5124620}" name="4437"/>
    <tableColumn id="4451" xr3:uid="{E106D8F4-693F-40D7-92A9-8BCF7685D7C1}" name="4438"/>
    <tableColumn id="4452" xr3:uid="{8502DB1E-3D8D-428B-9AD8-89A5F90C4A9A}" name="4439"/>
    <tableColumn id="4453" xr3:uid="{B30C9423-537A-4AD2-9F6F-7EE6DD3A9C96}" name="4440"/>
    <tableColumn id="4454" xr3:uid="{FE1DCDFA-6BC8-4B84-945C-94AD0245A368}" name="4441"/>
    <tableColumn id="4455" xr3:uid="{5D80C874-6968-4D5B-B7A5-D7F9FF76FAD1}" name="4442"/>
    <tableColumn id="4456" xr3:uid="{7DC05C0D-10FA-4F26-A717-A36AD5066A51}" name="4443"/>
    <tableColumn id="4457" xr3:uid="{C9E7D430-A98A-4BB8-B2B2-3E027CB4B62F}" name="4444"/>
    <tableColumn id="4458" xr3:uid="{EACD2B36-951F-44EC-BDB4-C3E24680F528}" name="4445"/>
    <tableColumn id="4459" xr3:uid="{5862FE91-3316-4B66-A1AE-3D09A15B0163}" name="4446"/>
    <tableColumn id="4460" xr3:uid="{3EB20C3F-A8C7-49D1-8ED6-20A52E9ED41E}" name="4447"/>
    <tableColumn id="4461" xr3:uid="{7A504139-549C-4E29-9BB6-35D2FF005F6F}" name="4448"/>
    <tableColumn id="4462" xr3:uid="{A318845E-C522-4228-8B05-9D14D500B690}" name="4449"/>
    <tableColumn id="4463" xr3:uid="{3FB22A11-0479-4EFC-ACC1-FEC77136DA73}" name="4450"/>
    <tableColumn id="4464" xr3:uid="{8108AFD4-46DB-474D-AF93-7EDC7506EA9C}" name="4451"/>
    <tableColumn id="4465" xr3:uid="{75A0A634-D426-478D-9B23-05731F55EA51}" name="4452"/>
    <tableColumn id="4466" xr3:uid="{B1AC0BAA-4D57-44A3-BF14-C339C418BB2B}" name="4453"/>
    <tableColumn id="4467" xr3:uid="{4C450A2D-FD84-4F06-9234-B2EEBCD90FA9}" name="4454"/>
    <tableColumn id="4468" xr3:uid="{1AFA3A27-E1BE-4D2D-B543-5A479F5B98A4}" name="4455"/>
    <tableColumn id="4469" xr3:uid="{CC445E1A-AE73-44E2-A3DF-D98AEBB5EA61}" name="4456"/>
    <tableColumn id="4470" xr3:uid="{E268A4B7-7DCC-48BA-B1C0-EE2832FF77E0}" name="4457"/>
    <tableColumn id="4471" xr3:uid="{C5609671-6F0E-4E4F-A637-43D006E640F7}" name="4458"/>
    <tableColumn id="4472" xr3:uid="{1F1B35B2-D0AD-4B70-931C-816CEFEB248D}" name="4459"/>
    <tableColumn id="4473" xr3:uid="{BCAC0402-68F2-4FAC-B9E1-B0F708A7ABB7}" name="4460"/>
    <tableColumn id="4474" xr3:uid="{2D697F22-6B14-43CC-828E-B92E9453775E}" name="4461"/>
    <tableColumn id="4475" xr3:uid="{23632B52-94BB-411B-9C3C-5B9FC8804B58}" name="4462"/>
    <tableColumn id="4476" xr3:uid="{0E1EF600-C97A-4A2F-BB91-6ECDA3CBA0FC}" name="4463"/>
    <tableColumn id="4477" xr3:uid="{E84C0B1C-3550-449D-84BA-9A4D5B4F617A}" name="4464"/>
    <tableColumn id="4478" xr3:uid="{1A5CD117-70D6-4DB3-8386-FB91F01FBE5C}" name="4465"/>
    <tableColumn id="4479" xr3:uid="{9A8697B8-74CC-45E5-8404-D0E52A115CD4}" name="4466"/>
    <tableColumn id="4480" xr3:uid="{63E17E00-62CB-4D7D-AA22-15031873A12F}" name="4467"/>
    <tableColumn id="4481" xr3:uid="{F45CD4F0-1AB6-4D91-B70C-4F123770D643}" name="4468"/>
    <tableColumn id="4482" xr3:uid="{88F367CB-4D49-4DE0-BF85-45E91D608A9A}" name="4469"/>
    <tableColumn id="4483" xr3:uid="{4F3C84BF-8402-482C-A555-AB96F960DDA3}" name="4470"/>
    <tableColumn id="4484" xr3:uid="{272208D4-78E7-404C-AE27-CDF49E27ADB7}" name="4471"/>
    <tableColumn id="4485" xr3:uid="{42E4D171-C249-4DA3-9A6C-77EDC5266A61}" name="4472"/>
    <tableColumn id="4486" xr3:uid="{E920ACA1-ABCE-45FE-A2A7-D4496DCE4304}" name="4473"/>
    <tableColumn id="4487" xr3:uid="{05925D87-8B78-4791-A4B2-F432DAEB233D}" name="4474"/>
    <tableColumn id="4488" xr3:uid="{9C8A3F4A-C6D3-42BE-86ED-5E73708CF857}" name="4475"/>
    <tableColumn id="4489" xr3:uid="{2353586C-2DEF-4368-9515-4AADD6F5B5D1}" name="4476"/>
    <tableColumn id="4490" xr3:uid="{637C50D5-260E-4D01-9A7C-8CE47FF70B02}" name="4477"/>
    <tableColumn id="4491" xr3:uid="{08938BD2-9097-44C4-B46D-54254373C85E}" name="4478"/>
    <tableColumn id="4492" xr3:uid="{26CDB31C-EAC4-405F-91C1-5B17BDC10546}" name="4479"/>
    <tableColumn id="4493" xr3:uid="{5890C205-6927-4543-82B2-02738FC1CFBC}" name="4480"/>
    <tableColumn id="4494" xr3:uid="{AD513C68-4F27-405C-AB88-E3636C69AAD8}" name="4481"/>
    <tableColumn id="4495" xr3:uid="{3DC76691-3E68-4C40-A6C3-A2E461F91822}" name="4482"/>
    <tableColumn id="4496" xr3:uid="{10419614-E24F-4FCA-BFAD-EB2F4635CA91}" name="4483"/>
    <tableColumn id="4497" xr3:uid="{79A31C7F-739D-4AD3-8273-FA8FE8CA3301}" name="4484"/>
    <tableColumn id="4498" xr3:uid="{564F3E82-BEF5-4634-A341-0B781E053030}" name="4485"/>
    <tableColumn id="4499" xr3:uid="{D8ADFE52-60A8-47CB-97C9-25AC0542B829}" name="4486"/>
    <tableColumn id="4500" xr3:uid="{6B6A5FE6-718F-42B1-B283-204CFA40574F}" name="4487"/>
    <tableColumn id="4501" xr3:uid="{7D1CFA5E-2040-4B58-9B7E-D3445115ADAA}" name="4488"/>
    <tableColumn id="4502" xr3:uid="{37C0CFBD-561E-4D64-9601-2BC9E36205FD}" name="4489"/>
    <tableColumn id="4503" xr3:uid="{8EEC17C9-B93E-4D57-9D9B-61C1DF42DCA4}" name="4490"/>
    <tableColumn id="4504" xr3:uid="{FE40F34F-ABC5-49E4-85A5-8CC95936F757}" name="4491"/>
    <tableColumn id="4505" xr3:uid="{E1C2F1EF-2C99-4F4E-8CA3-0A39F7A28690}" name="4492"/>
    <tableColumn id="4506" xr3:uid="{787E27D5-727A-45BE-A0C7-FD5670BC5041}" name="4493"/>
    <tableColumn id="4507" xr3:uid="{7D55EEA5-7960-45C9-B1F9-605C225D4BF2}" name="4494"/>
    <tableColumn id="4508" xr3:uid="{1E0D1584-4D05-4F06-B652-ABA35167A223}" name="4495"/>
    <tableColumn id="4509" xr3:uid="{3FDEC345-C6D0-42E8-BED8-A2D8D313DC85}" name="4496"/>
    <tableColumn id="4510" xr3:uid="{4E50474D-DAB2-4C21-956D-C1F59F92BF36}" name="4497"/>
    <tableColumn id="4511" xr3:uid="{F3711EE3-5062-4CC4-9A55-5CE1CEC07DE6}" name="4498"/>
    <tableColumn id="4512" xr3:uid="{5A113EE1-7E53-4154-9E05-516693D9641D}" name="4499"/>
    <tableColumn id="4513" xr3:uid="{31956BD2-1E78-45F3-8E15-28604F9B8A7F}" name="4500"/>
    <tableColumn id="4514" xr3:uid="{74959015-C0D1-41B2-9A4B-A46E673B6983}" name="4501"/>
    <tableColumn id="4515" xr3:uid="{DC6A6AE1-93E5-49F5-896A-D9A6DC407B03}" name="4502"/>
    <tableColumn id="4516" xr3:uid="{88C78B51-F79B-495B-80CF-57D4FB49DCDB}" name="4503"/>
    <tableColumn id="4517" xr3:uid="{4F67398D-B24F-4E3E-99F5-D98D9365B83D}" name="4504"/>
    <tableColumn id="4518" xr3:uid="{AD8D37FD-D789-46A7-BDAA-B99BE6F7606C}" name="4505"/>
    <tableColumn id="4519" xr3:uid="{9F5AB7BE-AD39-46DC-B170-8DEE89969644}" name="4506"/>
    <tableColumn id="4520" xr3:uid="{B7C0B994-5BAF-43A1-B70F-8073570A4254}" name="4507"/>
    <tableColumn id="4521" xr3:uid="{7B5BE9D8-66CF-40DE-AC01-5A3402A31ED3}" name="4508"/>
    <tableColumn id="4522" xr3:uid="{BB749120-B7D0-4851-AC96-20696B3D9843}" name="4509"/>
    <tableColumn id="4523" xr3:uid="{764980E7-0BEA-4335-B945-4DE51368D511}" name="4510"/>
    <tableColumn id="4524" xr3:uid="{19BEC749-0F53-4753-A206-6BF0C85E355F}" name="4511"/>
    <tableColumn id="4525" xr3:uid="{5014C238-DF41-4E5B-8479-78E61CF972F1}" name="4512"/>
    <tableColumn id="4526" xr3:uid="{9B3DE346-A9A9-42C0-89A2-45070DEB42BB}" name="4513"/>
    <tableColumn id="4527" xr3:uid="{74609B8C-BCFA-4F96-9657-63BB58C599D3}" name="4514"/>
    <tableColumn id="4528" xr3:uid="{B423CBA5-E1CC-411C-B594-5C926FB1C502}" name="4515"/>
    <tableColumn id="4529" xr3:uid="{7F035CBF-0CBA-4CA0-A19A-ED717C81066B}" name="4516"/>
    <tableColumn id="4530" xr3:uid="{63D79861-9026-4AA7-A143-4E0061824A31}" name="4517"/>
    <tableColumn id="4531" xr3:uid="{877FA1FC-C918-4ECC-8150-6098CC517441}" name="4518"/>
    <tableColumn id="4532" xr3:uid="{5E666842-1719-4C46-9A5F-ACAE6F524992}" name="4519"/>
    <tableColumn id="4533" xr3:uid="{441A0E05-7F60-47DF-B66F-F51C04F86A4D}" name="4520"/>
    <tableColumn id="4534" xr3:uid="{7BC40815-D705-41D9-B923-299C1DC947A6}" name="4521"/>
    <tableColumn id="4535" xr3:uid="{E6A7DBCD-2540-4539-99C4-8B65BA5E1665}" name="4522"/>
    <tableColumn id="4536" xr3:uid="{DD8F2BD9-7D32-47FE-B1F8-15BBBBA127E4}" name="4523"/>
    <tableColumn id="4537" xr3:uid="{4437F702-4951-4FF0-AFA0-68E739FC7B9E}" name="4524"/>
    <tableColumn id="4538" xr3:uid="{3FDE3396-4C67-4F4C-834F-02EC697EEFBD}" name="4525"/>
    <tableColumn id="4539" xr3:uid="{9EDE948E-139F-4B6E-9369-ABFC672AB4AE}" name="4526"/>
    <tableColumn id="4540" xr3:uid="{00F6FBE3-AF97-4E52-BF84-706A4275F3D3}" name="4527"/>
    <tableColumn id="4541" xr3:uid="{5971E9BB-7DB3-4B89-8923-F7056A2A6B89}" name="4528"/>
    <tableColumn id="4542" xr3:uid="{EC8EC9C5-5A7B-4B76-9A34-0EC7DF4CFD7A}" name="4529"/>
    <tableColumn id="4543" xr3:uid="{E5CBA023-4C02-4DE4-9C62-48302383F859}" name="4530"/>
    <tableColumn id="4544" xr3:uid="{A5BBFE0D-F722-454A-BF21-89E5EE1DEDCB}" name="4531"/>
    <tableColumn id="4545" xr3:uid="{41CAC580-A049-4044-8137-020173681C48}" name="4532"/>
    <tableColumn id="4546" xr3:uid="{FE80D7D7-DEF9-46B6-8D0F-925431931336}" name="4533"/>
    <tableColumn id="4547" xr3:uid="{4D15121E-7E8C-437C-8691-32AA2F8A0DD9}" name="4534"/>
    <tableColumn id="4548" xr3:uid="{747C67ED-DD95-43DB-A358-589C0EFF2485}" name="4535"/>
    <tableColumn id="4549" xr3:uid="{8322B13F-FAD2-4432-A786-99FA9760B36D}" name="4536"/>
    <tableColumn id="4550" xr3:uid="{50593667-76E1-4245-B755-30D7D4317563}" name="4537"/>
    <tableColumn id="4551" xr3:uid="{4746750C-CE8B-47DB-9B11-BEB87250470C}" name="4538"/>
    <tableColumn id="4552" xr3:uid="{AFAD525B-F4DB-49CC-8F15-8D6B218990CA}" name="4539"/>
    <tableColumn id="4553" xr3:uid="{584FE000-304B-4C3C-AFCA-42C3A87BD6D1}" name="4540"/>
    <tableColumn id="4554" xr3:uid="{F7000210-426A-4F62-A653-609F7A8A5C5B}" name="4541"/>
    <tableColumn id="4555" xr3:uid="{DDA24DB1-610D-4080-A88F-760CA9AD9A24}" name="4542"/>
    <tableColumn id="4556" xr3:uid="{D864218E-A027-4FF1-9B9C-0E1AAA67DF7B}" name="4543"/>
    <tableColumn id="4557" xr3:uid="{A8F3196B-5FD7-429D-B8A8-DE5916329E3F}" name="4544"/>
    <tableColumn id="4558" xr3:uid="{2E89EAB2-A972-4A94-A970-5628D84B4666}" name="4545"/>
    <tableColumn id="4559" xr3:uid="{1AA33954-D069-413C-8193-583450205763}" name="4546"/>
    <tableColumn id="4560" xr3:uid="{F4EFBF38-3A93-472C-A24A-E225924EC458}" name="4547"/>
    <tableColumn id="4561" xr3:uid="{B9669BA2-D214-4BC0-B47F-6A619F52AD36}" name="4548"/>
    <tableColumn id="4562" xr3:uid="{B6F1CD12-C3C4-4E5C-947D-1515E68D67EB}" name="4549"/>
    <tableColumn id="4563" xr3:uid="{A763335F-C7B1-4D43-92E4-6419B799F6AD}" name="4550"/>
    <tableColumn id="4564" xr3:uid="{7F071430-E928-471D-BD86-2AD52B5A3406}" name="4551"/>
    <tableColumn id="4565" xr3:uid="{6B1AEB1E-7854-4BB1-8668-24FAE3B377F2}" name="4552"/>
    <tableColumn id="4566" xr3:uid="{F57C8A21-E2B4-4EA6-8A57-FF2C14D53AEE}" name="4553"/>
    <tableColumn id="4567" xr3:uid="{74E16A68-F23D-41F5-9FF2-B6314E4CC7A0}" name="4554"/>
    <tableColumn id="4568" xr3:uid="{D3937821-B0F2-4246-A8B2-ECCEBDE207BF}" name="4555"/>
    <tableColumn id="4569" xr3:uid="{83F36F44-36EB-4752-ADD0-D280E5A0D07F}" name="4556"/>
    <tableColumn id="4570" xr3:uid="{BBEB7586-C5DD-4335-A8F0-A46B7B804AE9}" name="4557"/>
    <tableColumn id="4571" xr3:uid="{AAC8D588-B900-4DCB-B91B-E61A29FA4CCC}" name="4558"/>
    <tableColumn id="4572" xr3:uid="{3451F31B-80CB-46D3-BF85-8F1A3316CF5D}" name="4559"/>
    <tableColumn id="4573" xr3:uid="{0853AE1C-DBB9-4C5E-835F-C4D4DBCA824B}" name="4560"/>
    <tableColumn id="4574" xr3:uid="{6C5E3B9B-CACC-4DF8-A863-9F993F9DF5C8}" name="4561"/>
    <tableColumn id="4575" xr3:uid="{5D95851E-754F-4126-A9F4-B687F6251D24}" name="4562"/>
    <tableColumn id="4576" xr3:uid="{80785ADA-65CE-4167-ABC2-18C2D6E72A61}" name="4563"/>
    <tableColumn id="4577" xr3:uid="{BCFA17AB-E942-4DD1-A8B1-FB13DC5F355C}" name="4564"/>
    <tableColumn id="4578" xr3:uid="{D35E3039-5F48-47EE-B48F-965E9796DD92}" name="4565"/>
    <tableColumn id="4579" xr3:uid="{4277C7AD-AC62-406F-9F1A-A5C9CDB27CAF}" name="4566"/>
    <tableColumn id="4580" xr3:uid="{158DFA2A-A67D-47C2-8AE9-1181B9AAE916}" name="4567"/>
    <tableColumn id="4581" xr3:uid="{34C073C6-7E66-4A0A-AEDC-DD0B4C969FC5}" name="4568"/>
    <tableColumn id="4582" xr3:uid="{32D22F4F-99CA-4C16-A15C-CBF0F48ACAF3}" name="4569"/>
    <tableColumn id="4583" xr3:uid="{C87A998A-AEE6-4E44-AA81-D73420AE0E34}" name="4570"/>
    <tableColumn id="4584" xr3:uid="{264A4FFA-3E70-4FD9-85D5-99F1716B7DDF}" name="4571"/>
    <tableColumn id="4585" xr3:uid="{338E97C0-1001-480C-9D68-8F229D211773}" name="4572"/>
    <tableColumn id="4586" xr3:uid="{5F9FACEB-4E01-49EC-AE83-1DB2E5E99311}" name="4573"/>
    <tableColumn id="4587" xr3:uid="{E6E51736-115B-46AA-8C16-065CF85D9C7B}" name="4574"/>
    <tableColumn id="4588" xr3:uid="{C061A356-029C-49FC-B120-6BF5139FC6F3}" name="4575"/>
    <tableColumn id="4589" xr3:uid="{49F4FA17-8476-4471-9AC6-82DFEB70C51E}" name="4576"/>
    <tableColumn id="4590" xr3:uid="{E0B6EEEE-7B2F-4FAD-BD41-0806E62F0DF8}" name="4577"/>
    <tableColumn id="4591" xr3:uid="{5376BBB2-25D4-46DC-BA33-6F0F73DFEFA3}" name="4578"/>
    <tableColumn id="4592" xr3:uid="{8634D5B3-00E2-410B-B288-67C8BD17B3C7}" name="4579"/>
    <tableColumn id="4593" xr3:uid="{052528DA-0934-4949-AC0B-AB143EAFDA21}" name="4580"/>
    <tableColumn id="4594" xr3:uid="{60B86DC6-29BE-47CE-8E0D-E7D33E839053}" name="4581"/>
    <tableColumn id="4595" xr3:uid="{99E554DB-A2DA-406F-A911-A41B4D96B64C}" name="4582"/>
    <tableColumn id="4596" xr3:uid="{878CE248-079B-4BF4-83D9-C99219B6F24A}" name="4583"/>
    <tableColumn id="4597" xr3:uid="{BC5A4CD1-4887-423C-8DF6-3234FE714639}" name="4584"/>
    <tableColumn id="4598" xr3:uid="{98E6150B-0980-4517-B917-B143085C5829}" name="4585"/>
    <tableColumn id="4599" xr3:uid="{97A77F9C-9D4B-4ED7-BE65-1A7E9C286A62}" name="4586"/>
    <tableColumn id="4600" xr3:uid="{16F65245-6B62-4BC0-B28D-80070C3EADF1}" name="4587"/>
    <tableColumn id="4601" xr3:uid="{92F3DD79-3494-4A00-AD18-7C33EC349110}" name="4588"/>
    <tableColumn id="4602" xr3:uid="{0A6FE34D-FBBE-4E21-AE23-BEEF9C67F3AA}" name="4589"/>
    <tableColumn id="4603" xr3:uid="{1FEB9D0B-4013-4102-9D19-57FD02DF985B}" name="4590"/>
    <tableColumn id="4604" xr3:uid="{CA3B77A5-3451-4E02-96B0-B88E97B73667}" name="4591"/>
    <tableColumn id="4605" xr3:uid="{732EFCFB-B9B9-4644-94A0-0236B3DB0302}" name="4592"/>
    <tableColumn id="4606" xr3:uid="{C04BC8EC-7ACA-4272-AD80-C72E0A53830C}" name="4593"/>
    <tableColumn id="4607" xr3:uid="{34CE6D5D-B206-41B0-8D1F-DEC401EA3718}" name="4594"/>
    <tableColumn id="4608" xr3:uid="{413CD444-F4B8-4C95-81E8-B95F0496BEDB}" name="4595"/>
    <tableColumn id="4609" xr3:uid="{0471F204-9553-4583-B291-C58E89DE498D}" name="4596"/>
    <tableColumn id="4610" xr3:uid="{FF86089D-50CD-4BE1-871B-E8D4D51CCB76}" name="4597"/>
    <tableColumn id="4611" xr3:uid="{7CA059D9-1183-40CF-A365-7E12485A5851}" name="4598"/>
    <tableColumn id="4612" xr3:uid="{8F8B74CF-0824-4427-814A-D06631A4E691}" name="4599"/>
    <tableColumn id="4613" xr3:uid="{8CE8667F-BD5E-464F-A16D-9236018EF76C}" name="4600"/>
    <tableColumn id="4614" xr3:uid="{7675DAC5-438D-4D5D-A2D8-BCBD2F03125F}" name="4601"/>
    <tableColumn id="4615" xr3:uid="{9155985A-0E92-4FCA-B45F-C3328D91997C}" name="4602"/>
    <tableColumn id="4616" xr3:uid="{2875FF0D-E46E-42B5-9D2F-760D146B14B6}" name="4603"/>
    <tableColumn id="4617" xr3:uid="{4CF7B1B2-8488-4F74-B9A8-3FDF11FB53BC}" name="4604"/>
    <tableColumn id="4618" xr3:uid="{17E8007F-06E6-41B7-A916-73A46D73FE50}" name="4605"/>
    <tableColumn id="4619" xr3:uid="{15F041C0-4704-422D-BC89-DF699E6F83BE}" name="4606"/>
    <tableColumn id="4620" xr3:uid="{E75BBEC5-615F-4A6C-A53A-E99CFA09AFE1}" name="4607"/>
    <tableColumn id="4621" xr3:uid="{DB2D65D1-DB52-4729-AAF3-298CA80FDA10}" name="4608"/>
    <tableColumn id="4622" xr3:uid="{B0AEC039-D98B-41F5-854A-3E602D7ACA4B}" name="4609"/>
    <tableColumn id="4623" xr3:uid="{ADC66A5E-056E-42B9-ABD1-056204FC4949}" name="4610"/>
    <tableColumn id="4624" xr3:uid="{441F01DE-7A05-4DDB-8DCB-D83C38A5E4E6}" name="4611"/>
    <tableColumn id="4625" xr3:uid="{7AFB2B29-5EA9-4322-BC9C-AB1492CFADE5}" name="4612"/>
    <tableColumn id="4626" xr3:uid="{26DDD5D5-6D08-4456-A3A9-8DE4F14097F5}" name="4613"/>
    <tableColumn id="4627" xr3:uid="{B07DDB80-9454-43B2-AD07-4E0C1BDEFD15}" name="4614"/>
    <tableColumn id="4628" xr3:uid="{5D38E95B-57E5-43FB-B476-1B1D3BCB2F2B}" name="4615"/>
    <tableColumn id="4629" xr3:uid="{AEF85169-7492-4615-8143-8F948AF06044}" name="4616"/>
    <tableColumn id="4630" xr3:uid="{DC253DE1-BB45-4926-8C69-6E03729E7CE8}" name="4617"/>
    <tableColumn id="4631" xr3:uid="{144FD7BF-1314-41FB-B1DB-BAE972680C5A}" name="4618"/>
    <tableColumn id="4632" xr3:uid="{3BB2A68E-6086-41A7-B787-DE9CAD363FD1}" name="4619"/>
    <tableColumn id="4633" xr3:uid="{41FEFC58-6356-470F-B9A5-F1BEB015EE45}" name="4620"/>
    <tableColumn id="4634" xr3:uid="{349E6A88-A5BE-451C-991B-7543F1087F03}" name="4621"/>
    <tableColumn id="4635" xr3:uid="{5A6C049D-98F8-400C-8FA3-B32D36A2335B}" name="4622"/>
    <tableColumn id="4636" xr3:uid="{EE53D285-1163-45BD-BFAA-208045A1D3AB}" name="4623"/>
    <tableColumn id="4637" xr3:uid="{F9BD0FE3-C708-4CBA-A6FC-7388A1E5EBFC}" name="4624"/>
    <tableColumn id="4638" xr3:uid="{906F93DC-7001-45B1-8CA2-B788E468D690}" name="4625"/>
    <tableColumn id="4639" xr3:uid="{B16C871B-4041-4DB1-8C93-0DD8F97DA298}" name="4626"/>
    <tableColumn id="4640" xr3:uid="{8DCB1D64-042C-49C6-AC0C-3D4A192538FF}" name="4627"/>
    <tableColumn id="4641" xr3:uid="{72F40BDF-F76C-40CE-A431-29BC85A5BE6B}" name="4628"/>
    <tableColumn id="4642" xr3:uid="{617B2A88-1642-4F4C-94A4-59DEA957CB72}" name="4629"/>
    <tableColumn id="4643" xr3:uid="{E99F89F8-7809-4E80-8180-95AC28A924D1}" name="4630"/>
    <tableColumn id="4644" xr3:uid="{BB235E77-EE8F-4CF0-9282-F152C66E395E}" name="4631"/>
    <tableColumn id="4645" xr3:uid="{743556F8-AEEB-437B-AC52-74B967B9B47D}" name="4632"/>
    <tableColumn id="4646" xr3:uid="{3F297465-1D2E-41E6-9594-75D721CAF743}" name="4633"/>
    <tableColumn id="4647" xr3:uid="{8FAEFA06-5B32-4FE4-A521-FB7832BC0FF8}" name="4634"/>
    <tableColumn id="4648" xr3:uid="{E438D805-62C6-4E54-8482-F2CE75A78017}" name="4635"/>
    <tableColumn id="4649" xr3:uid="{2C2EC187-3A8D-4448-9D64-19E5ECFCA73E}" name="4636"/>
    <tableColumn id="4650" xr3:uid="{25FAC400-99CE-4E27-AF8E-F6D53AA27827}" name="4637"/>
    <tableColumn id="4651" xr3:uid="{8649EBD0-B91D-44FE-9C2E-101EC311103B}" name="4638"/>
    <tableColumn id="4652" xr3:uid="{C656D489-B205-4323-9E8D-363353A5CA39}" name="4639"/>
    <tableColumn id="4653" xr3:uid="{463A4B21-BE01-411B-85D1-E5B25BAC0275}" name="4640"/>
    <tableColumn id="4654" xr3:uid="{FBD847EB-52A0-4635-B3AC-B2F24C30A484}" name="4641"/>
    <tableColumn id="4655" xr3:uid="{B24C9C6F-93CD-4C27-A60A-9494CDC02A68}" name="4642"/>
    <tableColumn id="4656" xr3:uid="{FBB4A9FC-94AA-4410-9B9F-4513BD5C72B7}" name="4643"/>
    <tableColumn id="4657" xr3:uid="{D696FDC0-2624-4065-B19A-03D66232D557}" name="4644"/>
    <tableColumn id="4658" xr3:uid="{455008FE-1D8D-4DFB-A511-86C7B3AA690C}" name="4645"/>
    <tableColumn id="4659" xr3:uid="{E6FB531E-2D9D-4DE6-8EFE-E7B51028AECA}" name="4646"/>
    <tableColumn id="4660" xr3:uid="{F9CB33CB-6E7E-406E-BBC7-CE050E89B903}" name="4647"/>
    <tableColumn id="4661" xr3:uid="{31A3109D-BBC9-439C-A867-AD27754A9171}" name="4648"/>
    <tableColumn id="4662" xr3:uid="{44D296CA-175C-4E37-951A-65F02619A5E9}" name="4649"/>
    <tableColumn id="4663" xr3:uid="{211D2A16-5714-47F0-A081-ED7ADAD84B60}" name="4650"/>
    <tableColumn id="4664" xr3:uid="{AE924B3B-FD64-4C52-A416-C85D3B0BC72C}" name="4651"/>
    <tableColumn id="4665" xr3:uid="{B195058A-2680-4DC7-8F04-E8D27F67B1AC}" name="4652"/>
    <tableColumn id="4666" xr3:uid="{C80420F0-D758-4746-9934-C6BE0ABDA0CB}" name="4653"/>
    <tableColumn id="4667" xr3:uid="{AD0217AF-D513-46C4-BF0E-F9D90B25D5F3}" name="4654"/>
    <tableColumn id="4668" xr3:uid="{2F9622D2-13C7-4CD3-8366-6E043CC246AE}" name="4655"/>
    <tableColumn id="4669" xr3:uid="{83F346AC-4BBB-4774-9C6F-3A9C7D584779}" name="4656"/>
    <tableColumn id="4670" xr3:uid="{FF189E2D-8FCD-42D3-A021-A2458DE55158}" name="4657"/>
    <tableColumn id="4671" xr3:uid="{1AF6EDED-CF96-4097-9F74-90B41C509318}" name="4658"/>
    <tableColumn id="4672" xr3:uid="{9A4D92E2-CB56-4619-BB01-6BD1563C66F7}" name="4659"/>
    <tableColumn id="4673" xr3:uid="{C6EEB31F-6011-4E3F-ADE9-98B69D5EEA36}" name="4660"/>
    <tableColumn id="4674" xr3:uid="{16BD9F67-AA83-4ACC-AC78-8ED9DFFD066C}" name="4661"/>
    <tableColumn id="4675" xr3:uid="{9127E8FF-AA5E-4A3D-B9A7-D068D61937B8}" name="4662"/>
    <tableColumn id="4676" xr3:uid="{EC636A67-C5C6-45AD-B6C1-1130C876A9A8}" name="4663"/>
    <tableColumn id="4677" xr3:uid="{CBBBE257-83BF-4472-94AF-D84147C66B45}" name="4664"/>
    <tableColumn id="4678" xr3:uid="{E4CF49D7-E0F3-4C02-B825-0BE10EEE24AB}" name="4665"/>
    <tableColumn id="4679" xr3:uid="{03F556E3-B10E-4D36-82A0-D7AFCF9CEEB4}" name="4666"/>
    <tableColumn id="4680" xr3:uid="{A858AF39-9AA1-454F-BDB1-74C0FA7997D3}" name="4667"/>
    <tableColumn id="4681" xr3:uid="{56CE8014-E6EA-49B5-9FA6-5546D93C83A7}" name="4668"/>
    <tableColumn id="4682" xr3:uid="{FB1CDC53-9F6B-4FC4-9A75-20CAE974AA62}" name="4669"/>
    <tableColumn id="4683" xr3:uid="{7B6CF47D-A72C-48C6-B1C0-CD94E1D0F313}" name="4670"/>
    <tableColumn id="4684" xr3:uid="{F827DA79-4D7C-44EE-810B-E0A865C82980}" name="4671"/>
    <tableColumn id="4685" xr3:uid="{04F67C54-82EE-4309-A74C-56A3E97D9E31}" name="4672"/>
    <tableColumn id="4686" xr3:uid="{738B1E26-CB0F-4C95-A1AA-81535EFA46F6}" name="4673"/>
    <tableColumn id="4687" xr3:uid="{E3A19621-6266-454B-9F08-EE6C6E05B12A}" name="4674"/>
    <tableColumn id="4688" xr3:uid="{E0AE4469-FBA8-4479-87EA-2898D55ED303}" name="4675"/>
    <tableColumn id="4689" xr3:uid="{1F1EAB88-0CCA-4FE4-9D55-643DAB3FCE7F}" name="4676"/>
    <tableColumn id="4690" xr3:uid="{E4A166D9-2384-4B12-B58D-B4CA23984F12}" name="4677"/>
    <tableColumn id="4691" xr3:uid="{29846824-D39F-46C3-BB15-64CAD604B9C4}" name="4678"/>
    <tableColumn id="4692" xr3:uid="{25234CF5-8BE8-45BE-87B1-2F542BA47B62}" name="4679"/>
    <tableColumn id="4693" xr3:uid="{D5ABE9E1-325F-443F-95B5-A630BB240A28}" name="4680"/>
    <tableColumn id="4694" xr3:uid="{41DE4666-AF8A-42F8-85EF-440BBC888CC8}" name="4681"/>
    <tableColumn id="4695" xr3:uid="{60E75143-BA68-4B64-9F13-44CD790BB543}" name="4682"/>
    <tableColumn id="4696" xr3:uid="{F9695A49-1BEF-4045-9FB2-2D10E39C2E37}" name="4683"/>
    <tableColumn id="4697" xr3:uid="{3F2221AD-8E0C-4E42-B46F-AB9A0CDF2402}" name="4684"/>
    <tableColumn id="4698" xr3:uid="{EC91D162-8473-47D5-8981-CBBA2F0D1FC7}" name="4685"/>
    <tableColumn id="4699" xr3:uid="{ACE20DAA-EE4A-414E-9FB2-F9F145E60492}" name="4686"/>
    <tableColumn id="4700" xr3:uid="{8C509762-D5FC-4B2E-BE10-354E093EA20E}" name="4687"/>
    <tableColumn id="4701" xr3:uid="{060DB313-6911-4BBE-95FE-D44E5E87E465}" name="4688"/>
    <tableColumn id="4702" xr3:uid="{A4457C86-BED6-4932-B14B-2B49564250F6}" name="4689"/>
    <tableColumn id="4703" xr3:uid="{A1E00E3E-AECD-4E42-95B2-4A2178D470CF}" name="4690"/>
    <tableColumn id="4704" xr3:uid="{BCA00794-73CE-41A3-873A-F633A2D3EC24}" name="4691"/>
    <tableColumn id="4705" xr3:uid="{3588A82C-C72F-4DF5-A3A5-42596D6B0B32}" name="4692"/>
    <tableColumn id="4706" xr3:uid="{2D789FEB-54D0-4C09-9D7B-B605038178DF}" name="4693"/>
    <tableColumn id="4707" xr3:uid="{8D9C905A-7DF7-4D5C-990C-B863674F1960}" name="4694"/>
    <tableColumn id="4708" xr3:uid="{F67E3259-9DB5-4226-A990-BAFE43AE9418}" name="4695"/>
    <tableColumn id="4709" xr3:uid="{68E49FEC-B854-49D6-AE48-066075E84C49}" name="4696"/>
    <tableColumn id="4710" xr3:uid="{A610DCAF-6AA6-483F-B5D8-4C719E2CA26F}" name="4697"/>
    <tableColumn id="4711" xr3:uid="{079A960F-582A-4D2D-B83E-16CD04977B94}" name="4698"/>
    <tableColumn id="4712" xr3:uid="{28C6EC23-8492-4081-B6B5-FFF402371CCB}" name="4699"/>
    <tableColumn id="4713" xr3:uid="{BD12EE71-7B1F-4926-B8EC-42F3F7941D51}" name="4700"/>
    <tableColumn id="4714" xr3:uid="{BBC4354F-E85B-4617-805E-84D9EA73BBB1}" name="4701"/>
    <tableColumn id="4715" xr3:uid="{02CBFE35-0FB0-4B38-8D94-13CBAE081148}" name="4702"/>
    <tableColumn id="4716" xr3:uid="{75432972-8B37-411F-A27F-2F3834DD2E9A}" name="4703"/>
    <tableColumn id="4717" xr3:uid="{2E1C5E94-FD75-4125-9D8F-A2E9719E58E6}" name="4704"/>
    <tableColumn id="4718" xr3:uid="{50A91085-E0C2-4214-A68A-A0E1A3689663}" name="4705"/>
    <tableColumn id="4719" xr3:uid="{EA494441-E4CF-4A43-93AB-8BABB683943F}" name="4706"/>
    <tableColumn id="4720" xr3:uid="{6C709CA3-9FD7-4A94-A9E8-40C1685E3E8F}" name="4707"/>
    <tableColumn id="4721" xr3:uid="{7C0FB912-905B-4792-8D3D-5AF297BB11AD}" name="4708"/>
    <tableColumn id="4722" xr3:uid="{FD3A93E4-0180-480A-9B5C-3F2A1FC0DB4B}" name="4709"/>
    <tableColumn id="4723" xr3:uid="{8D7204CF-EF8C-4BD7-A614-29ECA78F1A51}" name="4710"/>
    <tableColumn id="4724" xr3:uid="{412DFB06-7BC1-45AD-8879-6EF259F4D260}" name="4711"/>
    <tableColumn id="4725" xr3:uid="{658F5C6D-4294-4CCA-8030-DCE4FB7A7F6E}" name="4712"/>
    <tableColumn id="4726" xr3:uid="{8C700E71-38AA-4234-BEC5-726CF0AE8B1C}" name="4713"/>
    <tableColumn id="4727" xr3:uid="{9DBDAC65-2015-4077-BD72-05FB3575E4FD}" name="4714"/>
    <tableColumn id="4728" xr3:uid="{ACB746AE-2380-4068-B781-817E26C65995}" name="4715"/>
    <tableColumn id="4729" xr3:uid="{3798E173-16B3-4EAC-92E0-5EC5F393F585}" name="4716"/>
    <tableColumn id="4730" xr3:uid="{1840A12C-1172-49F3-ADAD-750E879F01F2}" name="4717"/>
    <tableColumn id="4731" xr3:uid="{72FA03C6-CBCC-4749-B80C-05A8252B8AF6}" name="4718"/>
    <tableColumn id="4732" xr3:uid="{D0CCF705-60A0-41C1-9A51-B83BE719A901}" name="4719"/>
    <tableColumn id="4733" xr3:uid="{D8AAD2F7-15DA-47D2-A601-3490084F9DA9}" name="4720"/>
    <tableColumn id="4734" xr3:uid="{AA88812A-7266-4964-B8EA-99A35B4CA741}" name="4721"/>
    <tableColumn id="4735" xr3:uid="{E8141191-311A-427D-B170-6DCDD3BAD367}" name="4722"/>
    <tableColumn id="4736" xr3:uid="{2EC32671-CB42-4CF2-9A10-9A10AD8FD3B5}" name="4723"/>
    <tableColumn id="4737" xr3:uid="{A1A74033-9CC3-4C68-9ECF-10427E2D2E76}" name="4724"/>
    <tableColumn id="4738" xr3:uid="{269C6FC4-55B0-4179-93AE-1EF6AAC2D2F4}" name="4725"/>
    <tableColumn id="4739" xr3:uid="{E538C38C-E176-464D-BAF2-CF6731E0A512}" name="4726"/>
    <tableColumn id="4740" xr3:uid="{2A476429-3DC6-41C7-9981-9795021E75D8}" name="4727"/>
    <tableColumn id="4741" xr3:uid="{B7E81854-078D-48B4-9F56-2CE5CD414D2E}" name="4728"/>
    <tableColumn id="4742" xr3:uid="{1A7D2BA7-93CB-4E5E-AB07-380308F19832}" name="4729"/>
    <tableColumn id="4743" xr3:uid="{A39933D2-97B5-43BC-92A8-3C8E41D7F955}" name="4730"/>
    <tableColumn id="4744" xr3:uid="{DB04E1F6-D111-4A67-80F8-A887B84182AE}" name="4731"/>
    <tableColumn id="4745" xr3:uid="{EF95CD6E-AECB-485C-8FE0-9D15C62F5E9D}" name="4732"/>
    <tableColumn id="4746" xr3:uid="{552DC82D-F542-4077-863F-8728F49096DE}" name="4733"/>
    <tableColumn id="4747" xr3:uid="{B328D661-9313-4F35-905F-6A6620FB1623}" name="4734"/>
    <tableColumn id="4748" xr3:uid="{01960D83-E82C-45F3-827F-D765A20CF1A4}" name="4735"/>
    <tableColumn id="4749" xr3:uid="{24843188-1B6E-42B6-A638-E76EA2FAC501}" name="4736"/>
    <tableColumn id="4750" xr3:uid="{4C66ACDA-3814-472C-B1B5-5E49D50EFE3A}" name="4737"/>
    <tableColumn id="4751" xr3:uid="{2C2CBAC3-2E2A-4EA1-BC0C-61627D22A4E9}" name="4738"/>
    <tableColumn id="4752" xr3:uid="{6B1478EB-CBAB-46B4-8529-98B8EDBAD67D}" name="4739"/>
    <tableColumn id="4753" xr3:uid="{C7D61027-8362-4DB1-B4A5-69B0819C8772}" name="4740"/>
    <tableColumn id="4754" xr3:uid="{4DBA0368-CFAE-43F9-A569-CD19FF3931C2}" name="4741"/>
    <tableColumn id="4755" xr3:uid="{6690CD9A-1BEB-44AD-B78F-E3A1D2F64531}" name="4742"/>
    <tableColumn id="4756" xr3:uid="{0D9214E2-0D3B-49FD-85D8-CBDDD68E56F0}" name="4743"/>
    <tableColumn id="4757" xr3:uid="{F4F38A88-5940-4056-B5BE-77C7DB7FDBF0}" name="4744"/>
    <tableColumn id="4758" xr3:uid="{11640CC7-3692-43C4-8FCD-AE1BE9CA4A56}" name="4745"/>
    <tableColumn id="4759" xr3:uid="{F2D554B2-17A7-4381-B008-3889B54DF4A6}" name="4746"/>
    <tableColumn id="4760" xr3:uid="{6AEB4CA5-30AA-41C9-A4EB-3E9B09A686A5}" name="4747"/>
    <tableColumn id="4761" xr3:uid="{8DA2E5A3-0A34-43D9-938D-BCFD0CE917DA}" name="4748"/>
    <tableColumn id="4762" xr3:uid="{9B7BFFE2-59BF-4C35-9D32-C6CABAD0F3AD}" name="4749"/>
    <tableColumn id="4763" xr3:uid="{3FF86909-73C1-4A7C-B157-0104DC1BD506}" name="4750"/>
    <tableColumn id="4764" xr3:uid="{7146DA0E-996F-4EF9-BFDB-3A6B99F63344}" name="4751"/>
    <tableColumn id="4765" xr3:uid="{E06E4BB5-C3B8-4DEF-8C25-C2148CD01731}" name="4752"/>
    <tableColumn id="4766" xr3:uid="{BED12B3B-9887-4162-8A46-FB3D8FC8BEC3}" name="4753"/>
    <tableColumn id="4767" xr3:uid="{12616286-C6B8-4ACD-8FBE-2443B24AC432}" name="4754"/>
    <tableColumn id="4768" xr3:uid="{E8A73881-E591-4E90-9332-1099ADCD47F6}" name="4755"/>
    <tableColumn id="4769" xr3:uid="{C043AEB8-AE96-464C-BCDB-2E71C741EA0F}" name="4756"/>
    <tableColumn id="4770" xr3:uid="{92D97809-10BB-4D01-A4AF-2FB9E618478E}" name="4757"/>
    <tableColumn id="4771" xr3:uid="{AB6136B9-5404-41DA-8EA8-81E662D1E709}" name="4758"/>
    <tableColumn id="4772" xr3:uid="{C390D216-40F9-43DC-A721-1F277F03AA9C}" name="4759"/>
    <tableColumn id="4773" xr3:uid="{F17699FC-F4A5-4C13-8F4E-D21DC952EBFA}" name="4760"/>
    <tableColumn id="4774" xr3:uid="{70FFEC00-F8FE-4949-A506-8B66A95F36B8}" name="4761"/>
    <tableColumn id="4775" xr3:uid="{B8BB21D0-45CF-48C8-9D17-9A75D9146D91}" name="4762"/>
    <tableColumn id="4776" xr3:uid="{DE794120-9BE8-490F-9337-8BCBA17ED3D1}" name="4763"/>
    <tableColumn id="4777" xr3:uid="{CA47055D-0073-4473-AE4C-886A77C56C4C}" name="4764"/>
    <tableColumn id="4778" xr3:uid="{1D502DA2-FB39-4EDC-B713-5DEDEE2F4685}" name="4765"/>
    <tableColumn id="4779" xr3:uid="{E0634D56-1C45-43E8-B44F-550F1D953F91}" name="4766"/>
    <tableColumn id="4780" xr3:uid="{6C6EF988-E427-4D56-841D-0B8DC6A5FF6C}" name="4767"/>
    <tableColumn id="4781" xr3:uid="{6990C608-73C1-4713-BEA7-49BF8D29E120}" name="4768"/>
    <tableColumn id="4782" xr3:uid="{71D489E2-70EE-486A-A233-3D8705210D57}" name="4769"/>
    <tableColumn id="4783" xr3:uid="{AC209A2A-3BE0-45AF-83A1-71232E0BEC20}" name="4770"/>
    <tableColumn id="4784" xr3:uid="{1153C32D-F43E-4C98-8B0F-124509EE46AD}" name="4771"/>
    <tableColumn id="4785" xr3:uid="{0B03AF7E-6249-4C96-9904-FA4AC423F819}" name="4772"/>
    <tableColumn id="4786" xr3:uid="{6D40C1D9-CA8C-4F99-A98B-2A7FC99A5B64}" name="4773"/>
    <tableColumn id="4787" xr3:uid="{F490DB28-D539-4880-BFFB-D3560A540210}" name="4774"/>
    <tableColumn id="4788" xr3:uid="{8843F99D-E060-441C-9BC2-2F65A024E3E1}" name="4775"/>
    <tableColumn id="4789" xr3:uid="{621F56DD-75B3-411B-A54B-F1B0AAF815C6}" name="4776"/>
    <tableColumn id="4790" xr3:uid="{FAE61D06-1CEA-42C9-BCDF-C7BCF7BD462D}" name="4777"/>
    <tableColumn id="4791" xr3:uid="{AC019AC1-60C2-4E80-8BC8-093D36E61B57}" name="4778"/>
    <tableColumn id="4792" xr3:uid="{BCE135D3-6A4D-40ED-A3A1-C2A68F6AD841}" name="4779"/>
    <tableColumn id="4793" xr3:uid="{C4095587-8687-4D5F-BFEF-DAA5CA8ADBD6}" name="4780"/>
    <tableColumn id="4794" xr3:uid="{99981B8B-8A36-45C0-812E-B3C55ECA1D4C}" name="4781"/>
    <tableColumn id="4795" xr3:uid="{F136058B-1F64-456D-A421-3AA71033804B}" name="4782"/>
    <tableColumn id="4796" xr3:uid="{DF56DC85-44AA-4C6A-96B5-FBDADC166030}" name="4783"/>
    <tableColumn id="4797" xr3:uid="{52115E03-52DB-4CFF-AA3E-6D61DDAB40CF}" name="4784"/>
    <tableColumn id="4798" xr3:uid="{FE01D8A1-8259-4B51-8C35-25088F71C9E0}" name="4785"/>
    <tableColumn id="4799" xr3:uid="{4AE1D241-0B3E-44E1-80C3-FB2E42D14E3A}" name="4786"/>
    <tableColumn id="4800" xr3:uid="{98E03331-1A1A-445C-921A-42BD6FB1DA62}" name="4787"/>
    <tableColumn id="4801" xr3:uid="{91E793F1-3739-4C09-94AB-4E724B6985A2}" name="4788"/>
    <tableColumn id="4802" xr3:uid="{EC67F573-6AF8-4AD3-870C-B55654C03449}" name="4789"/>
    <tableColumn id="4803" xr3:uid="{9E8B9AB5-385E-4D6D-91D7-1E699640F454}" name="4790"/>
    <tableColumn id="4804" xr3:uid="{5451A00C-A26D-4061-875F-1B050DC0BC81}" name="4791"/>
    <tableColumn id="4805" xr3:uid="{A744FD14-A58B-4884-BFB1-D3C291D1687A}" name="4792"/>
    <tableColumn id="4806" xr3:uid="{66E3CCAB-D73C-41EE-A35C-FD4D8C953A55}" name="4793"/>
    <tableColumn id="4807" xr3:uid="{285958E2-1919-4DC9-BA02-E57B782779AC}" name="4794"/>
    <tableColumn id="4808" xr3:uid="{BB7136F5-0A58-47C3-8F3B-E5CFC3AE0041}" name="4795"/>
    <tableColumn id="4809" xr3:uid="{6EF7860F-C4DC-4C03-81D3-F2C17D11BF3A}" name="4796"/>
    <tableColumn id="4810" xr3:uid="{4DCF8432-5726-464B-AF8F-A83F70E4A31F}" name="4797"/>
    <tableColumn id="4811" xr3:uid="{A84EDB9A-8663-489E-8BCC-29F7EB9C7992}" name="4798"/>
    <tableColumn id="4812" xr3:uid="{B1EE173E-9870-4968-A039-A72F96E2FE7D}" name="4799"/>
    <tableColumn id="4813" xr3:uid="{0FC4FE53-946E-43AF-830C-2D2BCFBA2A05}" name="4800"/>
    <tableColumn id="4814" xr3:uid="{540B0699-72F2-452E-B3EA-E330F7B13D60}" name="4801"/>
    <tableColumn id="4815" xr3:uid="{88B0FA86-AD3A-4C4B-9FD2-8DE11C805423}" name="4802"/>
    <tableColumn id="4816" xr3:uid="{2ABF1A8C-2816-4C96-9C8D-281FDD16B3BF}" name="4803"/>
    <tableColumn id="4817" xr3:uid="{0F020B54-CED5-40F7-9BA4-6DF659EF15A9}" name="4804"/>
    <tableColumn id="4818" xr3:uid="{58C33049-EDE1-4003-9A3A-270CEFD36F83}" name="4805"/>
    <tableColumn id="4819" xr3:uid="{618F811A-D11E-4ECD-8DEB-181BBB94BE0F}" name="4806"/>
    <tableColumn id="4820" xr3:uid="{B4989123-14FB-4D91-8692-365A8BDBBF9E}" name="4807"/>
    <tableColumn id="4821" xr3:uid="{5FDA1761-AE46-4F47-97DA-8B69D45C300C}" name="4808"/>
    <tableColumn id="4822" xr3:uid="{39C1C6D2-F5A3-4419-82B4-09D56745235A}" name="4809"/>
    <tableColumn id="4823" xr3:uid="{42E51847-7193-471E-BA38-D8A9A813A9A8}" name="4810"/>
    <tableColumn id="4824" xr3:uid="{76826E89-1745-4E9A-8221-0F94003D5D00}" name="4811"/>
    <tableColumn id="4825" xr3:uid="{3E529736-0B7C-4E22-8564-3419D6172EC8}" name="4812"/>
    <tableColumn id="4826" xr3:uid="{93968759-4DD4-4B5F-91E2-FE69265DCC81}" name="4813"/>
    <tableColumn id="4827" xr3:uid="{BA621665-E48B-41CB-B2E2-AFEC553E2EE6}" name="4814"/>
    <tableColumn id="4828" xr3:uid="{8D3AF9C9-FE7B-4231-9EBF-87CB4D8515DC}" name="4815"/>
    <tableColumn id="4829" xr3:uid="{AEF794D8-373A-4360-8371-711CE799F8F8}" name="4816"/>
    <tableColumn id="4830" xr3:uid="{5DB21DD7-E3CF-457D-A815-C1CD896E18F1}" name="4817"/>
    <tableColumn id="4831" xr3:uid="{71828E0F-5F31-4033-83EE-CF9F80FFD889}" name="4818"/>
    <tableColumn id="4832" xr3:uid="{91DC8133-DF91-4C51-9051-6F6C53D8704E}" name="4819"/>
    <tableColumn id="4833" xr3:uid="{210A66D8-25C3-4616-AC3E-D7EBC4481CAF}" name="4820"/>
    <tableColumn id="4834" xr3:uid="{939FCAAF-370F-45D7-B35C-C4BE26C9AC94}" name="4821"/>
    <tableColumn id="4835" xr3:uid="{890309EB-5514-47C0-82DE-0F5CE8A9BD94}" name="4822"/>
    <tableColumn id="4836" xr3:uid="{6C797FC8-0C5E-4448-A44B-EB23F7CA9697}" name="4823"/>
    <tableColumn id="4837" xr3:uid="{0A47F04B-0D2D-4B23-B314-14D5E7EBA54D}" name="4824"/>
    <tableColumn id="4838" xr3:uid="{1A1A0515-7EB5-4BB3-82B5-95CA4C39F912}" name="4825"/>
    <tableColumn id="4839" xr3:uid="{12AA83B4-F71E-41BD-B288-FC04C5F54DDC}" name="4826"/>
    <tableColumn id="4840" xr3:uid="{EA63ED2E-E03C-499C-B102-C385718C2441}" name="4827"/>
    <tableColumn id="4841" xr3:uid="{8996F750-29AD-4466-A901-BD565B961D9D}" name="4828"/>
    <tableColumn id="4842" xr3:uid="{D41DC35B-F251-4745-B5CE-0D4585D161F0}" name="4829"/>
    <tableColumn id="4843" xr3:uid="{0219CB75-4630-4040-A8BB-1C3983DAFEB3}" name="4830"/>
    <tableColumn id="4844" xr3:uid="{FC968C9B-E61C-463E-B05A-C7F318EA7297}" name="4831"/>
    <tableColumn id="4845" xr3:uid="{A9F919B4-35AC-416E-9843-FDEED6314C29}" name="4832"/>
    <tableColumn id="4846" xr3:uid="{8382296E-4FB9-40EC-AA1E-B2B604FC65AC}" name="4833"/>
    <tableColumn id="4847" xr3:uid="{F7270CB0-8390-401B-98EC-4529508EFB96}" name="4834"/>
    <tableColumn id="4848" xr3:uid="{849FA2E1-3958-4D02-8CCA-E18F7AD65B94}" name="4835"/>
    <tableColumn id="4849" xr3:uid="{F4C0897F-DC95-462A-9746-E9FA9FBA0A6D}" name="4836"/>
    <tableColumn id="4850" xr3:uid="{AF6BEF96-F1FD-4B99-87D3-7B1DBABD6C39}" name="4837"/>
    <tableColumn id="4851" xr3:uid="{81FFFC11-879B-4273-AC62-08D70CC85EA9}" name="4838"/>
    <tableColumn id="4852" xr3:uid="{9E3CBA82-51C9-4A4A-8271-229B615ADE5A}" name="4839"/>
    <tableColumn id="4853" xr3:uid="{670DB968-E113-4AFE-8258-29340C9E6481}" name="4840"/>
    <tableColumn id="4854" xr3:uid="{B2D49780-DB4E-4683-9F93-C3EA2DBA3C9E}" name="4841"/>
    <tableColumn id="4855" xr3:uid="{61740BC2-5598-4B9E-9B1A-21A9045D21AA}" name="4842"/>
    <tableColumn id="4856" xr3:uid="{2A001DD2-534E-4480-A5B9-40A1CA2FEFD3}" name="4843"/>
    <tableColumn id="4857" xr3:uid="{26965A5C-617D-4D5C-A16F-7FDF0FDFE2D2}" name="4844"/>
    <tableColumn id="4858" xr3:uid="{7EC78C00-E640-46AC-A60D-D779764B087F}" name="4845"/>
    <tableColumn id="4859" xr3:uid="{FAAD8B25-2F56-45DD-95C9-36C4F813E5C3}" name="4846"/>
    <tableColumn id="4860" xr3:uid="{E389774A-B358-4050-B252-A518CF64EC79}" name="4847"/>
    <tableColumn id="4861" xr3:uid="{45D549CC-5015-4B72-964B-E079459E7A32}" name="4848"/>
    <tableColumn id="4862" xr3:uid="{88ACC90C-571F-4435-A0CD-BE5D72F9ABF3}" name="4849"/>
    <tableColumn id="4863" xr3:uid="{8073A11A-B3FF-4F37-A716-F32F8B119CFC}" name="4850"/>
    <tableColumn id="4864" xr3:uid="{D346B92F-EABF-4891-A06F-226D40AB2A6F}" name="4851"/>
    <tableColumn id="4865" xr3:uid="{F8614F1C-43C2-4695-B3EC-3B2E5539C810}" name="4852"/>
    <tableColumn id="4866" xr3:uid="{5A8FAE5E-F1FD-4820-A108-519F67FFF5AD}" name="4853"/>
    <tableColumn id="4867" xr3:uid="{3BB60366-113E-44DB-9D35-F0F868360980}" name="4854"/>
    <tableColumn id="4868" xr3:uid="{0F394B26-2AE9-43A1-B43C-16A1C11AECC0}" name="4855"/>
    <tableColumn id="4869" xr3:uid="{6CFF2314-A7DF-489D-B017-F98E6BC71D33}" name="4856"/>
    <tableColumn id="4870" xr3:uid="{D4AA2E90-4693-413B-9419-E1C91DDA81EC}" name="4857"/>
    <tableColumn id="4871" xr3:uid="{3E595576-C2DB-4AE3-BA6E-037010BE0F32}" name="4858"/>
    <tableColumn id="4872" xr3:uid="{5756DBBF-83E1-4DE1-978B-2C357252D60A}" name="4859"/>
    <tableColumn id="4873" xr3:uid="{25313415-9246-4068-B843-D2600D3B08F9}" name="4860"/>
    <tableColumn id="4874" xr3:uid="{4460B20A-AD7C-418F-BDC4-B465A9519CE5}" name="4861"/>
    <tableColumn id="4875" xr3:uid="{ABF6F0A1-988A-49F2-94EC-DEDDC5C484D4}" name="4862"/>
    <tableColumn id="4876" xr3:uid="{D0C7AC6D-827C-473A-B561-0C6B568328CF}" name="4863"/>
    <tableColumn id="4877" xr3:uid="{CAAEE791-E100-49F0-94CF-93DC8C2B9D0B}" name="4864"/>
    <tableColumn id="4878" xr3:uid="{1CB6AA45-3A52-4B76-BA33-91204FB23E11}" name="4865"/>
    <tableColumn id="4879" xr3:uid="{D94D0CF2-E81E-4526-83AC-DB60558A2388}" name="4866"/>
    <tableColumn id="4880" xr3:uid="{01FF9E81-2FB7-4918-8E1A-64A851DF5513}" name="4867"/>
    <tableColumn id="4881" xr3:uid="{39720C2D-59FD-4A8A-9D07-CCA3AAF278B2}" name="4868"/>
    <tableColumn id="4882" xr3:uid="{108510ED-A154-47B8-89C2-038D9E9378A5}" name="4869"/>
    <tableColumn id="4883" xr3:uid="{D73E4206-D76C-4534-93A7-382F9D512C95}" name="4870"/>
    <tableColumn id="4884" xr3:uid="{2FAE9232-0174-46FD-967D-B978F9BD3FC7}" name="4871"/>
    <tableColumn id="4885" xr3:uid="{10D74BC1-7EA9-49FF-9A5D-7EAFD9773E29}" name="4872"/>
    <tableColumn id="4886" xr3:uid="{993830E4-87FD-4AEC-A9CA-91EF1E4967FD}" name="4873"/>
    <tableColumn id="4887" xr3:uid="{CE6E04F0-4A50-4418-BD87-2563E719B753}" name="4874"/>
    <tableColumn id="4888" xr3:uid="{3A629FEA-CAA7-447F-8C6B-30B7425D8B2A}" name="4875"/>
    <tableColumn id="4889" xr3:uid="{4219F2B9-F1C9-4F87-80F0-2A7655A2C9B5}" name="4876"/>
    <tableColumn id="4890" xr3:uid="{DD7AA4F6-E996-4949-82A2-7A7BA11A2539}" name="4877"/>
    <tableColumn id="4891" xr3:uid="{1474B34B-DF09-462A-BFD0-FC29E7ED3071}" name="4878"/>
    <tableColumn id="4892" xr3:uid="{09AED0DB-B087-427B-AD63-4ECA81CAF624}" name="4879"/>
    <tableColumn id="4893" xr3:uid="{60613B18-EAF5-48D4-B929-05C7164D0E87}" name="4880"/>
    <tableColumn id="4894" xr3:uid="{8A16B248-425E-4774-BE64-10F83BDD19F5}" name="4881"/>
    <tableColumn id="4895" xr3:uid="{87B91A44-988F-4CD6-8225-37CC63BE26E0}" name="4882"/>
    <tableColumn id="4896" xr3:uid="{274C96D4-F718-4BA2-92BB-1B68DFC52118}" name="4883"/>
    <tableColumn id="4897" xr3:uid="{09F7EA50-1842-4F69-8BD7-B0C3717AAC9F}" name="4884"/>
    <tableColumn id="4898" xr3:uid="{AE92740E-F864-427A-99AF-4821CC84BA54}" name="4885"/>
    <tableColumn id="4899" xr3:uid="{F0D9C788-D389-476D-9234-D01782CBE9D7}" name="4886"/>
    <tableColumn id="4900" xr3:uid="{37FC7DE9-B4B3-4289-8F98-C16A54256AD6}" name="4887"/>
    <tableColumn id="4901" xr3:uid="{09620779-F620-4468-8CC9-2563B309B473}" name="4888"/>
    <tableColumn id="4902" xr3:uid="{9EA2E246-0FE3-4EB8-87D3-4048537CBEA1}" name="4889"/>
    <tableColumn id="4903" xr3:uid="{3241A7DF-419C-4BA0-9413-59A954241B3D}" name="4890"/>
    <tableColumn id="4904" xr3:uid="{9B7B63AE-36CF-4F09-9E92-FE4CC7785728}" name="4891"/>
    <tableColumn id="4905" xr3:uid="{DDC31C58-184A-4602-8557-1A23648BDA38}" name="4892"/>
    <tableColumn id="4906" xr3:uid="{3129B865-A6F6-48D7-9643-004659EAC6D1}" name="4893"/>
    <tableColumn id="4907" xr3:uid="{0C2172CC-8CD1-4DA3-B5E5-E706364B1607}" name="4894"/>
    <tableColumn id="4908" xr3:uid="{7CAE3E72-3EFF-435E-92AA-49A3DE349338}" name="4895"/>
    <tableColumn id="4909" xr3:uid="{59115401-900A-4302-BBED-A437C3231306}" name="4896"/>
    <tableColumn id="4910" xr3:uid="{AAC9FDE1-B852-45C9-AE7A-F0844E47B6A7}" name="4897"/>
    <tableColumn id="4911" xr3:uid="{993756C0-D215-4C46-BCAE-616745A5634F}" name="4898"/>
    <tableColumn id="4912" xr3:uid="{058FCFCE-8B58-425D-A094-2815CFFB1437}" name="4899"/>
    <tableColumn id="4913" xr3:uid="{FD0C466F-8B2A-427A-90E3-252F54126D2B}" name="4900"/>
    <tableColumn id="4914" xr3:uid="{A08CEB6C-C8A9-41B0-9D56-2948C29D21EA}" name="4901"/>
    <tableColumn id="4915" xr3:uid="{4AB0E753-0B41-4B74-BC10-2ECF4EEF7F6B}" name="4902"/>
    <tableColumn id="4916" xr3:uid="{758D2B25-5181-4818-B243-CDB22D74392F}" name="4903"/>
    <tableColumn id="4917" xr3:uid="{C38DE8A1-41B7-4412-A919-6F7DDE385477}" name="4904"/>
    <tableColumn id="4918" xr3:uid="{5B5A8A15-1A94-4240-8412-88483A23EA7F}" name="4905"/>
    <tableColumn id="4919" xr3:uid="{3068C87D-4343-4FBC-AA09-3428A171AB13}" name="4906"/>
    <tableColumn id="4920" xr3:uid="{FDBA1750-EE61-41E6-AF9E-90DCDE4D05D8}" name="4907"/>
    <tableColumn id="4921" xr3:uid="{C18A783A-8404-4CD9-ABC1-52A6E998F056}" name="4908"/>
    <tableColumn id="4922" xr3:uid="{77941E2B-78D3-47A2-BC3B-183C1A9DFC39}" name="4909"/>
    <tableColumn id="4923" xr3:uid="{CE218C48-E02C-4782-A525-AEE58692EE5F}" name="4910"/>
    <tableColumn id="4924" xr3:uid="{5813BB2A-CCF9-4E0F-9641-6C6B17E01489}" name="4911"/>
    <tableColumn id="4925" xr3:uid="{360E9CCF-CD02-4B7D-89B3-CA76701E320C}" name="4912"/>
    <tableColumn id="4926" xr3:uid="{93BBA25C-9886-4A33-88A0-8C8EA0449709}" name="4913"/>
    <tableColumn id="4927" xr3:uid="{5785EB0C-11C6-4D97-8A52-1B28BE97E291}" name="4914"/>
    <tableColumn id="4928" xr3:uid="{5D5492F0-D619-4E0A-BA1E-EDAAB279D65F}" name="4915"/>
    <tableColumn id="4929" xr3:uid="{4BC7C15B-1DA9-4BF7-AF5F-4D531EBD875B}" name="4916"/>
    <tableColumn id="4930" xr3:uid="{8E303F5B-9419-40FB-9ECE-4E528CDFD049}" name="4917"/>
    <tableColumn id="4931" xr3:uid="{1BA0F108-3F46-41BE-B306-9874E9C0342E}" name="4918"/>
    <tableColumn id="4932" xr3:uid="{FF33243E-8EEE-45A0-B11E-9B6768625BBF}" name="4919"/>
    <tableColumn id="4933" xr3:uid="{99687F66-21E9-45B6-AAC7-FC0457FCEE81}" name="4920"/>
    <tableColumn id="4934" xr3:uid="{15BCE489-20E8-4963-97A0-0F3331BC1079}" name="4921"/>
    <tableColumn id="4935" xr3:uid="{3D476D9A-95ED-40CA-BA6E-82B5375EF66A}" name="4922"/>
    <tableColumn id="4936" xr3:uid="{C6644F88-EDEC-4925-AC9A-083C06217A32}" name="4923"/>
    <tableColumn id="4937" xr3:uid="{B1BFB92E-05F7-4404-87B9-1181B44C2E9F}" name="4924"/>
    <tableColumn id="4938" xr3:uid="{47853FC2-FA3A-4879-B4DA-FE64DB30A569}" name="4925"/>
    <tableColumn id="4939" xr3:uid="{CE23CAFF-293F-4D62-8C55-0BCDB89DE3C6}" name="4926"/>
    <tableColumn id="4940" xr3:uid="{F4C14F00-4C2F-4647-A953-3BC1FA22E566}" name="4927"/>
    <tableColumn id="4941" xr3:uid="{BCB9F2C9-45D0-406B-9EEB-30850CD7805F}" name="4928"/>
    <tableColumn id="4942" xr3:uid="{2CDC6E48-8F8B-4205-B3A8-BB69357CFD50}" name="4929"/>
    <tableColumn id="4943" xr3:uid="{18BA284F-C9C7-49FE-B6EA-626F2DB0970F}" name="4930"/>
    <tableColumn id="4944" xr3:uid="{72850983-0CF5-4C2B-A0C9-1D8EB4DA694E}" name="4931"/>
    <tableColumn id="4945" xr3:uid="{17C376C9-E2E9-4D7B-9D84-AE9FFBB39091}" name="4932"/>
    <tableColumn id="4946" xr3:uid="{F9E3673F-DC08-47EA-A2BB-67FC6E91D275}" name="4933"/>
    <tableColumn id="4947" xr3:uid="{53CB53B6-B0CD-4DD2-A66F-89B82153E6B4}" name="4934"/>
    <tableColumn id="4948" xr3:uid="{56A600E7-A5C6-4FB1-9038-98E40EA2F36D}" name="4935"/>
    <tableColumn id="4949" xr3:uid="{989EF1E6-FD38-42FF-8B6C-3DB4DA678B4C}" name="4936"/>
    <tableColumn id="4950" xr3:uid="{6DAD8339-7AC5-44B4-85F7-22EB6764DE33}" name="4937"/>
    <tableColumn id="4951" xr3:uid="{E5BEB5D3-F7F9-46E8-BBC0-33C7BC7576AB}" name="4938"/>
    <tableColumn id="4952" xr3:uid="{33B5B043-0DA4-410C-9B54-3C40EC93A0D2}" name="4939"/>
    <tableColumn id="4953" xr3:uid="{24C49BDC-08A4-4871-8D63-E5F90B7B6F61}" name="4940"/>
    <tableColumn id="4954" xr3:uid="{777115FF-533D-4456-9690-3711E3F100FB}" name="4941"/>
    <tableColumn id="4955" xr3:uid="{10E06591-0444-4C9B-B08D-29007B4C1D9E}" name="4942"/>
    <tableColumn id="4956" xr3:uid="{7A8575D3-A3BB-420B-A37A-619404E0F5CA}" name="4943"/>
    <tableColumn id="4957" xr3:uid="{D1A75EF0-D2FC-4854-AC12-BE16AB0A962B}" name="4944"/>
    <tableColumn id="4958" xr3:uid="{FC95D170-A37C-43C3-8FF4-B2C5D5AF31EC}" name="4945"/>
    <tableColumn id="4959" xr3:uid="{1BB4FD97-3C2D-4537-BA80-E98BC5DAFAE9}" name="4946"/>
    <tableColumn id="4960" xr3:uid="{B29B9A5B-802E-456D-A737-7019CF141874}" name="4947"/>
    <tableColumn id="4961" xr3:uid="{09A5FEFE-F795-4B12-9D7A-25FEA522012E}" name="4948"/>
    <tableColumn id="4962" xr3:uid="{A6375C18-1E06-4BD4-8DD8-8DD92F239796}" name="4949"/>
    <tableColumn id="4963" xr3:uid="{E200B59B-4908-42E0-8493-F9036A20BF1B}" name="4950"/>
    <tableColumn id="4964" xr3:uid="{7259D8A4-DAB8-4BA3-A22C-971F42D3714F}" name="4951"/>
    <tableColumn id="4965" xr3:uid="{5019BF63-5E53-4D30-A1BE-E77DBF8605C7}" name="4952"/>
    <tableColumn id="4966" xr3:uid="{C9E65922-84C1-4049-92D0-9A10A06BFBA0}" name="4953"/>
    <tableColumn id="4967" xr3:uid="{E069B8C5-D87C-4A1A-9B19-9EF08D3C7256}" name="4954"/>
    <tableColumn id="4968" xr3:uid="{AB98AC6D-0266-4B82-8909-37A0F0B0E090}" name="4955"/>
    <tableColumn id="4969" xr3:uid="{4573E5D9-4F64-440D-989C-CE41CF5078EE}" name="4956"/>
    <tableColumn id="4970" xr3:uid="{DAB4F426-2A9A-4778-8A98-6B551D34D7C7}" name="4957"/>
    <tableColumn id="4971" xr3:uid="{DA4F17E0-0A02-4B5B-B614-4FB13E285C97}" name="4958"/>
    <tableColumn id="4972" xr3:uid="{F2A34973-DA6C-431E-912A-4B31B8FDB59C}" name="4959"/>
    <tableColumn id="4973" xr3:uid="{FA296AE9-3CF4-481D-A3B4-1F9967CA5B91}" name="4960"/>
    <tableColumn id="4974" xr3:uid="{655D7800-9E4A-4DDB-956F-16DE37FA0E44}" name="4961"/>
    <tableColumn id="4975" xr3:uid="{6BCEC981-BD6B-494C-9902-88096880F9FC}" name="4962"/>
    <tableColumn id="4976" xr3:uid="{FF358A01-99F5-48D4-B07B-60E01D9D1E75}" name="4963"/>
    <tableColumn id="4977" xr3:uid="{A969C6F6-2DA9-43C5-87A6-18BD6F92CE34}" name="4964"/>
    <tableColumn id="4978" xr3:uid="{8369D19C-8C18-4C28-AA43-15B731B1898E}" name="4965"/>
    <tableColumn id="4979" xr3:uid="{7B9AF3A1-4550-4A7E-8F39-455EC0BC6985}" name="4966"/>
    <tableColumn id="4980" xr3:uid="{21DAC87B-CA26-4C3A-A96F-8FB7E7EA1F7F}" name="4967"/>
    <tableColumn id="4981" xr3:uid="{BE5491DB-11E6-4B45-9D0C-5D3155C5A43E}" name="4968"/>
    <tableColumn id="4982" xr3:uid="{FA1197CD-F4D0-4547-B7A1-5FE5D8A20529}" name="4969"/>
    <tableColumn id="4983" xr3:uid="{C69067DA-F75B-4F0D-85DD-EF897A576ED4}" name="4970"/>
    <tableColumn id="4984" xr3:uid="{ADF261CB-79AE-4FD3-8E18-34898D5B6B14}" name="4971"/>
    <tableColumn id="4985" xr3:uid="{E43F5629-E8A8-468E-8495-F7497E38744B}" name="4972"/>
    <tableColumn id="4986" xr3:uid="{E06908FB-C892-4842-B4E5-95C9DCB4EC9D}" name="4973"/>
    <tableColumn id="4987" xr3:uid="{7DD8A4A3-F57E-494F-8DEB-764E38BE2957}" name="4974"/>
    <tableColumn id="4988" xr3:uid="{D1ABB2F5-37BD-45FA-AC6F-F6E9CC9DAD95}" name="4975"/>
    <tableColumn id="4989" xr3:uid="{1BF96D53-B9B8-44B8-AA7B-2501EE9A315A}" name="4976"/>
    <tableColumn id="4990" xr3:uid="{D69BC3E3-8256-4A5F-8C76-F7C2C1062125}" name="4977"/>
    <tableColumn id="4991" xr3:uid="{B7838E57-B349-4F89-BDF9-0AE464DFBDC5}" name="4978"/>
    <tableColumn id="4992" xr3:uid="{A4BC22FB-5C43-43EA-8EA7-260AF38C5919}" name="4979"/>
    <tableColumn id="4993" xr3:uid="{1D2ECC32-9552-4ABE-946F-42D25C882F7C}" name="4980"/>
    <tableColumn id="4994" xr3:uid="{3D666791-6980-4203-9698-9F2CCBD4934C}" name="4981"/>
    <tableColumn id="4995" xr3:uid="{8878D1C4-6E6C-4DBF-ADF0-34B5AA93F29F}" name="4982"/>
    <tableColumn id="4996" xr3:uid="{7A71B4B4-DEC7-49FA-8975-3028EE4A758A}" name="4983"/>
    <tableColumn id="4997" xr3:uid="{3E912F8D-E974-42AE-A87D-6F581A10FC18}" name="4984"/>
    <tableColumn id="4998" xr3:uid="{1796C7F6-925E-40E5-8DA7-77E93D134DDE}" name="4985"/>
    <tableColumn id="4999" xr3:uid="{73FFFF1F-D194-47E2-8578-4F5DC1634B36}" name="4986"/>
    <tableColumn id="5000" xr3:uid="{0680A948-5D34-46DC-A109-BA403E3CF7B1}" name="4987"/>
    <tableColumn id="5001" xr3:uid="{6CED080D-C648-4757-87D0-CFBBD966126F}" name="4988"/>
    <tableColumn id="5002" xr3:uid="{C6C25847-D761-4981-B673-04B44EB73E24}" name="4989"/>
    <tableColumn id="5003" xr3:uid="{7BDB5AA6-DC6C-43B4-B775-5230D82BB540}" name="4990"/>
    <tableColumn id="5004" xr3:uid="{A13525DF-2A4D-4EB9-8DB7-CCD28DB61F94}" name="4991"/>
    <tableColumn id="5005" xr3:uid="{27E7FC28-862F-4D0F-9A14-970831EF5A6C}" name="4992"/>
    <tableColumn id="5006" xr3:uid="{A7B0B67B-7C9B-4B06-BB82-4E3D7E042405}" name="4993"/>
    <tableColumn id="5007" xr3:uid="{310845F4-C3AA-4237-A8D1-35CDA14746C8}" name="4994"/>
    <tableColumn id="5008" xr3:uid="{BE4BAC42-8384-4B2C-A3DF-4ADC752542DB}" name="4995"/>
    <tableColumn id="5009" xr3:uid="{59C6250E-1ADA-4D54-9AC1-AE81D95129A4}" name="4996"/>
    <tableColumn id="5010" xr3:uid="{3D70C9AF-4A47-4D8D-9AED-C37ACA5A329C}" name="4997"/>
    <tableColumn id="5011" xr3:uid="{F601CB89-A80A-48D2-8085-CB5FE4AD98A3}" name="4998"/>
    <tableColumn id="5012" xr3:uid="{E30A140B-885E-4896-B206-F04405499F46}" name="4999"/>
    <tableColumn id="5013" xr3:uid="{8A037608-7291-439F-B02D-8A5923655F29}" name="5000"/>
    <tableColumn id="5014" xr3:uid="{AB0BEE3B-6CB7-4BC5-A15A-3773917FD5F7}" name="5001"/>
    <tableColumn id="5015" xr3:uid="{2C87D0D0-2A6C-4403-9B83-7619678C461A}" name="5002"/>
    <tableColumn id="5016" xr3:uid="{6D178AAB-9C63-4EEB-84A1-921EF581E072}" name="5003"/>
    <tableColumn id="5017" xr3:uid="{CA19FA6D-E2D3-4C26-9AE7-299A134E84EE}" name="5004"/>
    <tableColumn id="5018" xr3:uid="{2EDDB1E0-746F-4280-B633-2AEF896ACB01}" name="5005"/>
    <tableColumn id="5019" xr3:uid="{E346C57F-C9D2-4652-87B4-A8E63BA20F87}" name="5006"/>
    <tableColumn id="5020" xr3:uid="{96DFD39A-F60F-422F-926A-F8682C5EE543}" name="5007"/>
    <tableColumn id="5021" xr3:uid="{0D243760-3604-4709-9671-A042AD779670}" name="5008"/>
    <tableColumn id="5022" xr3:uid="{38BDF9E5-DE23-47AC-B91F-F8E90C13A5F1}" name="5009"/>
    <tableColumn id="5023" xr3:uid="{0245D36E-D929-4643-AEF0-703F35B3C0C6}" name="5010"/>
    <tableColumn id="5024" xr3:uid="{52493D98-8A46-4E35-975D-C24418DE60B5}" name="5011"/>
    <tableColumn id="5025" xr3:uid="{47CC3FA4-E00D-4750-B263-8076DE31ADFB}" name="5012"/>
    <tableColumn id="5026" xr3:uid="{7FFFE2F9-BA1C-49E9-8775-A958367740C6}" name="5013"/>
    <tableColumn id="5027" xr3:uid="{1E88033D-EC13-4BC3-A77B-4B17627B9736}" name="5014"/>
    <tableColumn id="5028" xr3:uid="{D2C8284B-6445-4689-901C-44468C60F16F}" name="5015"/>
    <tableColumn id="5029" xr3:uid="{0B6C4F3D-8444-4410-A611-556E0836C7F5}" name="5016"/>
    <tableColumn id="5030" xr3:uid="{E3A7A8AB-E074-4DA3-B0B1-1146E61DE192}" name="5017"/>
    <tableColumn id="5031" xr3:uid="{F032D6BD-A4F1-4DF3-9466-E435E68E00D4}" name="5018"/>
    <tableColumn id="5032" xr3:uid="{3D6FB176-9945-4216-9839-92982736EC3B}" name="5019"/>
    <tableColumn id="5033" xr3:uid="{C5E509B8-47C5-45D2-808C-0C68938470FA}" name="5020"/>
    <tableColumn id="5034" xr3:uid="{FC540713-3012-4C4A-9F40-FC5E404F7371}" name="5021"/>
    <tableColumn id="5035" xr3:uid="{A6AFD891-C02E-4B28-B1D0-8EB8B979D0C2}" name="5022"/>
    <tableColumn id="5036" xr3:uid="{B399CB4D-DBC3-4011-AAA9-9D00D6477B10}" name="5023"/>
    <tableColumn id="5037" xr3:uid="{A8463C84-016A-489A-B1F4-34D8EF3B0B8B}" name="5024"/>
    <tableColumn id="5038" xr3:uid="{5D3BBF77-37EB-4C27-BECC-A91F813D3D40}" name="5025"/>
    <tableColumn id="5039" xr3:uid="{9031E208-4F2C-4CDC-AC2F-863CAA6E6DD8}" name="5026"/>
    <tableColumn id="5040" xr3:uid="{30FF1CD6-D399-4551-8003-D36DBDEB265D}" name="5027"/>
    <tableColumn id="5041" xr3:uid="{5EE93259-5111-4744-9795-21EAC73C24BB}" name="5028"/>
    <tableColumn id="5042" xr3:uid="{F79E7995-1E42-43EC-87DE-E6BBA654D3CF}" name="5029"/>
    <tableColumn id="5043" xr3:uid="{0F92940D-D9AE-446E-94CE-22B17C966EC0}" name="5030"/>
    <tableColumn id="5044" xr3:uid="{957E7C2F-FE9B-4C7D-94ED-97F547C7C0EA}" name="5031"/>
    <tableColumn id="5045" xr3:uid="{E4CF4706-6927-4AA6-AA51-2CF8605E1CC7}" name="5032"/>
    <tableColumn id="5046" xr3:uid="{2F40FB9B-8C16-4A2B-9414-6EC96972589B}" name="5033"/>
    <tableColumn id="5047" xr3:uid="{6A649803-7F83-4D6E-A397-BE119134FA85}" name="5034"/>
    <tableColumn id="5048" xr3:uid="{2476C2B2-1699-49B7-94B6-9F1381D481E7}" name="5035"/>
    <tableColumn id="5049" xr3:uid="{F444CEA2-94CB-4AFE-839A-C0A3AB99536F}" name="5036"/>
    <tableColumn id="5050" xr3:uid="{93B9F006-D099-4FD3-BDE9-C35917F61E93}" name="5037"/>
    <tableColumn id="5051" xr3:uid="{AA0D993A-F662-4E46-8BCA-698508B4EDB4}" name="5038"/>
    <tableColumn id="5052" xr3:uid="{129F74A8-8695-4D28-B41A-C3D9EDEB12C5}" name="5039"/>
    <tableColumn id="5053" xr3:uid="{E6CF3D93-4DE1-4D28-B19E-B30A7535B258}" name="5040"/>
    <tableColumn id="5054" xr3:uid="{7FA6CDE0-F440-4761-83FA-F515E0CF46B8}" name="5041"/>
    <tableColumn id="5055" xr3:uid="{2F6BF713-1DCD-4629-88C9-5918FA4DC5AA}" name="5042"/>
    <tableColumn id="5056" xr3:uid="{D353E3D6-6105-4511-886E-E3EDB4ED2667}" name="5043"/>
    <tableColumn id="5057" xr3:uid="{73255921-D214-436C-8ADC-65C9072C9A2C}" name="5044"/>
    <tableColumn id="5058" xr3:uid="{563B6A68-618C-4A90-9557-583C14C5D9E3}" name="5045"/>
    <tableColumn id="5059" xr3:uid="{2CE3394B-827B-418C-B1D8-CE9CB596B8B0}" name="5046"/>
    <tableColumn id="5060" xr3:uid="{6016D0E6-B37C-4C5E-9696-D81F70F75A74}" name="5047"/>
    <tableColumn id="5061" xr3:uid="{24EA6F1E-7C22-4409-BEAD-93D3B44E5BAC}" name="5048"/>
    <tableColumn id="5062" xr3:uid="{DF270CD3-8E02-4D14-B2FB-B0FA89624BBD}" name="5049"/>
    <tableColumn id="5063" xr3:uid="{CEA161C9-0BFB-44FD-9693-5BEE73E2937E}" name="5050"/>
    <tableColumn id="5064" xr3:uid="{9FE1C0A8-44CA-4E2E-9D04-BD564A01D6CB}" name="5051"/>
    <tableColumn id="5065" xr3:uid="{2A03D418-1BA1-4CA9-B7A1-75EDCD6A71B6}" name="5052"/>
    <tableColumn id="5066" xr3:uid="{EB25F3E1-1965-47FC-B9A1-8889F9448086}" name="5053"/>
    <tableColumn id="5067" xr3:uid="{50291CBD-51A0-4340-A1CF-A42F38410145}" name="5054"/>
    <tableColumn id="5068" xr3:uid="{B1C232AB-DF40-45DA-A2F3-BC43AF275103}" name="5055"/>
    <tableColumn id="5069" xr3:uid="{31603194-D196-4792-AF17-F89C67367059}" name="5056"/>
    <tableColumn id="5070" xr3:uid="{1E46A886-8919-483B-8ADB-D10BF3F2E9D9}" name="5057"/>
    <tableColumn id="5071" xr3:uid="{5BE20A9A-B3B1-4D5E-84F2-F8BBC5DC1291}" name="5058"/>
    <tableColumn id="5072" xr3:uid="{AEDBA2A0-E354-480F-872D-D448B3D29DFE}" name="5059"/>
    <tableColumn id="5073" xr3:uid="{31DDE4C1-74ED-4E0F-B2B1-ACCB701341CB}" name="5060"/>
    <tableColumn id="5074" xr3:uid="{51B02016-2C2A-42DA-B09A-F1CE11E312E6}" name="5061"/>
    <tableColumn id="5075" xr3:uid="{76C313C0-9557-4D8B-8AF2-F6C0C3410C64}" name="5062"/>
    <tableColumn id="5076" xr3:uid="{E0C37322-45C3-4D39-A3D6-FB6B650E5035}" name="5063"/>
    <tableColumn id="5077" xr3:uid="{23CD68BB-F6CA-4F6F-B6F3-33AE5A00BDE5}" name="5064"/>
    <tableColumn id="5078" xr3:uid="{01E740DE-CAAD-4804-BCA4-D87ED3B3D942}" name="5065"/>
    <tableColumn id="5079" xr3:uid="{EE01D534-1B27-4BF4-8594-E5D1CCACF286}" name="5066"/>
    <tableColumn id="5080" xr3:uid="{C4DEC4CF-73D0-4E1C-A323-9F5396382463}" name="5067"/>
    <tableColumn id="5081" xr3:uid="{0373EE87-EA2D-4A64-9B8A-166B11D07803}" name="5068"/>
    <tableColumn id="5082" xr3:uid="{716FEA0C-FD48-4E3B-AE25-9D3579D2F788}" name="5069"/>
    <tableColumn id="5083" xr3:uid="{5EED6CED-C08B-4923-91F0-1B6900A54E81}" name="5070"/>
    <tableColumn id="5084" xr3:uid="{5748219C-90F8-4E1C-8C87-4D59A436DDB5}" name="5071"/>
    <tableColumn id="5085" xr3:uid="{3947D7E4-447C-4B25-9C4A-5EF940C08655}" name="5072"/>
    <tableColumn id="5086" xr3:uid="{6961CB7C-B061-4F5F-B290-E013CD895958}" name="5073"/>
    <tableColumn id="5087" xr3:uid="{87D7F2CC-2324-45D3-81F0-FEFDC00A3E78}" name="5074"/>
    <tableColumn id="5088" xr3:uid="{BCDE98AC-F169-4C44-87C7-7588B9CF9994}" name="5075"/>
    <tableColumn id="5089" xr3:uid="{AA94B2F3-6D54-49C4-A594-2DF6E7B4FE27}" name="5076"/>
    <tableColumn id="5090" xr3:uid="{5555CF1B-C1BF-47E5-80BE-DF7E4CB37EFC}" name="5077"/>
    <tableColumn id="5091" xr3:uid="{0E9B66AE-7443-42C4-A0F3-B3CE51E5ACCB}" name="5078"/>
    <tableColumn id="5092" xr3:uid="{9A174136-59C6-43AD-AF47-F1C145CEACAB}" name="5079"/>
    <tableColumn id="5093" xr3:uid="{40B55177-C6C8-49CB-A239-836F84CE296F}" name="5080"/>
    <tableColumn id="5094" xr3:uid="{56398E9C-A9BA-492D-844B-642D93CBFBBA}" name="5081"/>
    <tableColumn id="5095" xr3:uid="{9448BE03-1A1E-437A-9C29-24E5CB9D9F26}" name="5082"/>
    <tableColumn id="5096" xr3:uid="{841913AE-706E-4AB8-9C4A-39B853FCB603}" name="5083"/>
    <tableColumn id="5097" xr3:uid="{2D33A163-E5DC-4EAC-870A-1921481DBE93}" name="5084"/>
    <tableColumn id="5098" xr3:uid="{94D0819E-BD60-4602-9C31-3615FDB4335C}" name="5085"/>
    <tableColumn id="5099" xr3:uid="{25B9F43F-C1F5-4127-A3FB-EA543B3AD380}" name="5086"/>
    <tableColumn id="5100" xr3:uid="{308E251D-7D4D-40EA-AC5E-D838BA39EED6}" name="5087"/>
    <tableColumn id="5101" xr3:uid="{B43233F5-1E50-4998-9A33-30844025CDCF}" name="5088"/>
    <tableColumn id="5102" xr3:uid="{B8482AFC-E09D-4ED2-954F-4D7FF6764CF1}" name="5089"/>
    <tableColumn id="5103" xr3:uid="{58E7E64F-E232-44F6-9464-3ADFA8E86774}" name="5090"/>
    <tableColumn id="5104" xr3:uid="{4C793F88-F3BC-4009-A0B6-5F359F150769}" name="5091"/>
    <tableColumn id="5105" xr3:uid="{DB61C8D3-E11E-475B-95B2-052CCB0CC9DD}" name="5092"/>
    <tableColumn id="5106" xr3:uid="{62D864D0-3F88-4333-8021-DCC0FD1B57D1}" name="5093"/>
    <tableColumn id="5107" xr3:uid="{A7803F59-1637-4F7B-8488-5F87FD501742}" name="5094"/>
    <tableColumn id="5108" xr3:uid="{84271776-8569-4439-B771-51DC8DCBB3C4}" name="5095"/>
    <tableColumn id="5109" xr3:uid="{E812987F-F96C-48E4-BC2B-0438BDC2A6B6}" name="5096"/>
    <tableColumn id="5110" xr3:uid="{F224F92A-B04B-4B4F-A328-DF4223CB1355}" name="5097"/>
    <tableColumn id="5111" xr3:uid="{4C88FC51-AA45-4C97-B5EF-CD9033968CF5}" name="5098"/>
    <tableColumn id="5112" xr3:uid="{70C496DA-FFA1-46F6-B5C1-EF26F540CA90}" name="5099"/>
    <tableColumn id="5113" xr3:uid="{31EB81C7-8401-4659-BE41-C0FA4E19722E}" name="5100"/>
    <tableColumn id="5114" xr3:uid="{1C232C98-664D-4D33-A082-84BEAE5FA1C5}" name="5101"/>
    <tableColumn id="5115" xr3:uid="{E125E483-AACF-4E30-B7B8-6ACE15AE8B09}" name="5102"/>
    <tableColumn id="5116" xr3:uid="{DB662726-0D6D-43A9-BFFD-CEBD3BC691F1}" name="5103"/>
    <tableColumn id="5117" xr3:uid="{F89DEBCA-1498-4793-A3BD-78346FFD39A9}" name="5104"/>
    <tableColumn id="5118" xr3:uid="{48DD871E-BC47-4424-8EA6-386F436195D2}" name="5105"/>
    <tableColumn id="5119" xr3:uid="{872EA65A-E64E-488B-99C9-86D0701A3825}" name="5106"/>
    <tableColumn id="5120" xr3:uid="{1DC53D4B-C514-412D-A3AE-8E6F3BE2EBFB}" name="5107"/>
    <tableColumn id="5121" xr3:uid="{218CE1E8-A41D-43B9-B160-DA31265C8ADD}" name="5108"/>
    <tableColumn id="5122" xr3:uid="{35B95568-B165-4CD1-963E-3D56C48BC135}" name="5109"/>
    <tableColumn id="5123" xr3:uid="{CA5F8504-212B-4E97-A49A-663E270CD929}" name="5110"/>
    <tableColumn id="5124" xr3:uid="{242E1C03-BE56-4B46-86FA-588F4ABE3AF8}" name="5111"/>
    <tableColumn id="5125" xr3:uid="{30B99405-1CE9-4B18-BDBD-7B4A95FF6CAF}" name="5112"/>
    <tableColumn id="5126" xr3:uid="{7284E96D-5825-4FCE-BAE2-D009A9F97D83}" name="5113"/>
    <tableColumn id="5127" xr3:uid="{3E129D4E-7B77-4B16-8EE7-AEF43F170A43}" name="5114"/>
    <tableColumn id="5128" xr3:uid="{E5F97E6E-332A-4948-8B11-8442DB1902D2}" name="5115"/>
    <tableColumn id="5129" xr3:uid="{D672D759-DA87-49E9-AED6-848FDE4EBF69}" name="5116"/>
    <tableColumn id="5130" xr3:uid="{314058CD-0482-4FC7-9516-C996C633B5B6}" name="5117"/>
    <tableColumn id="5131" xr3:uid="{30045B7A-B3A9-4F03-9304-0C7624E8D321}" name="5118"/>
    <tableColumn id="5132" xr3:uid="{699EC102-3B5A-4126-BCC0-25D498B2E9A5}" name="5119"/>
    <tableColumn id="5133" xr3:uid="{3EA82F86-7072-44AD-A684-7DE03385E892}" name="5120"/>
    <tableColumn id="5134" xr3:uid="{E6F903D5-7BAD-4580-B74E-20F6806F4171}" name="5121"/>
    <tableColumn id="5135" xr3:uid="{8E4DC671-83C7-4DBB-87F9-71B6D443725E}" name="5122"/>
    <tableColumn id="5136" xr3:uid="{6E546A8F-21FB-4BE3-BBFB-A1C0339D7C37}" name="5123"/>
    <tableColumn id="5137" xr3:uid="{D3E7460C-14D2-4FCB-87B7-602B92BAA227}" name="5124"/>
    <tableColumn id="5138" xr3:uid="{1FFC0DD8-386A-4D9F-9718-BFFDA3FAA75E}" name="5125"/>
    <tableColumn id="5139" xr3:uid="{3D05C178-568A-4B8E-98E3-E354F372467E}" name="5126"/>
    <tableColumn id="5140" xr3:uid="{A00038EA-F343-4591-81BC-CE78D4F79364}" name="5127"/>
    <tableColumn id="5141" xr3:uid="{45A86D2D-5488-4D8A-96BB-303342F5B2D8}" name="5128"/>
    <tableColumn id="5142" xr3:uid="{0B8E1FD0-BEF2-417B-A3BB-630FAF52DDDB}" name="5129"/>
    <tableColumn id="5143" xr3:uid="{3324B03F-410A-4635-B1B2-40C283C236D9}" name="5130"/>
    <tableColumn id="5144" xr3:uid="{34D68861-DF94-4E75-B3F9-AC7937FC2B02}" name="5131"/>
    <tableColumn id="5145" xr3:uid="{1BC2D158-4309-4CE2-868E-50B813275CEF}" name="5132"/>
    <tableColumn id="5146" xr3:uid="{ED1ECFC1-8071-4147-8BC6-BC1D0B7A1C24}" name="5133"/>
    <tableColumn id="5147" xr3:uid="{1BBC4EFB-19F7-4128-A089-E1A37180F32A}" name="5134"/>
    <tableColumn id="5148" xr3:uid="{2FD3AAF3-FA32-4495-9D79-8AEA4833523D}" name="5135"/>
    <tableColumn id="5149" xr3:uid="{2A5B543B-6D7C-4D9C-A617-0741D6F9ABF2}" name="5136"/>
    <tableColumn id="5150" xr3:uid="{6B631416-57A2-4DD8-8C60-AB757DF07D09}" name="5137"/>
    <tableColumn id="5151" xr3:uid="{529B377D-C99A-4FC7-9F31-96AB9C8BE109}" name="5138"/>
    <tableColumn id="5152" xr3:uid="{52409362-3926-4E84-A642-E8C691E9C77E}" name="5139"/>
    <tableColumn id="5153" xr3:uid="{85733FB8-D0F3-46D7-A227-2D17A50A555D}" name="5140"/>
    <tableColumn id="5154" xr3:uid="{4A81C870-DC94-48F3-8064-99D2D5225B89}" name="5141"/>
    <tableColumn id="5155" xr3:uid="{D778B54A-32B6-485D-A495-807C2750369E}" name="5142"/>
    <tableColumn id="5156" xr3:uid="{1095B734-9652-4178-8868-3DCC8FFB08A4}" name="5143"/>
    <tableColumn id="5157" xr3:uid="{F0D3A9E6-1706-4CA1-B269-CBFAF95C8BDE}" name="5144"/>
    <tableColumn id="5158" xr3:uid="{CA697810-7EB8-49DB-BC67-D47B87FB2EA4}" name="5145"/>
    <tableColumn id="5159" xr3:uid="{A665E4EA-FF48-43F0-BBD4-B8145E39FCEF}" name="5146"/>
    <tableColumn id="5160" xr3:uid="{902702B3-5DA8-497D-B0EE-12D5DBA99CE4}" name="5147"/>
    <tableColumn id="5161" xr3:uid="{1895F5B2-16A1-4436-ACC6-A6518A2CCC1A}" name="5148"/>
    <tableColumn id="5162" xr3:uid="{B9D8D37B-62CE-43A0-8816-9862E5B7AF2B}" name="5149"/>
    <tableColumn id="5163" xr3:uid="{A5A84264-4A88-44AD-9FF9-A0858B00342D}" name="5150"/>
    <tableColumn id="5164" xr3:uid="{120F28CB-86D1-4CF5-AF34-86274F9CD026}" name="5151"/>
    <tableColumn id="5165" xr3:uid="{8B86B294-38BD-4EE1-A9D5-E6879ADB19C0}" name="5152"/>
    <tableColumn id="5166" xr3:uid="{AEBC2BFA-878C-4044-9556-5F55BF0C2D5A}" name="5153"/>
    <tableColumn id="5167" xr3:uid="{E9E0D9A0-447A-423E-91A1-6AA873B03CCC}" name="5154"/>
    <tableColumn id="5168" xr3:uid="{C267E82B-D172-4462-9658-2652B8E5314A}" name="5155"/>
    <tableColumn id="5169" xr3:uid="{ECDD5D48-4E57-4704-B03C-61F68AB1BF4E}" name="5156"/>
    <tableColumn id="5170" xr3:uid="{422FE2D4-0BC8-4899-90E9-90629A4DCAFE}" name="5157"/>
    <tableColumn id="5171" xr3:uid="{3758FDD7-888D-4D80-BD3E-23CE391FEBFE}" name="5158"/>
    <tableColumn id="5172" xr3:uid="{1C7A4433-F655-47A4-B17C-9DBF3539CC4B}" name="5159"/>
    <tableColumn id="5173" xr3:uid="{54D3C88F-749B-4E92-A84D-03E9F7FF66DC}" name="5160"/>
    <tableColumn id="5174" xr3:uid="{743011D1-E763-4E92-87D9-A06DB5CF69F5}" name="5161"/>
    <tableColumn id="5175" xr3:uid="{650A6D45-9506-4F54-8AB3-B98F50DE99E1}" name="5162"/>
    <tableColumn id="5176" xr3:uid="{F20A9FEE-1932-4794-A7E9-DA26D56B3323}" name="5163"/>
    <tableColumn id="5177" xr3:uid="{16F03E10-F0B5-4411-8B5D-C80876270616}" name="5164"/>
    <tableColumn id="5178" xr3:uid="{8FE955E9-B724-4C0C-AC25-FDBF8C23A72D}" name="5165"/>
    <tableColumn id="5179" xr3:uid="{8BAA4E8D-2758-410C-B677-45FA4D36C3E3}" name="5166"/>
    <tableColumn id="5180" xr3:uid="{B15833E7-9711-4CCA-A086-824961C7DC5E}" name="5167"/>
    <tableColumn id="5181" xr3:uid="{6F534311-8994-4987-9C07-AA1FB94C3494}" name="5168"/>
    <tableColumn id="5182" xr3:uid="{51F3F3E0-4E22-4735-83A1-A58A44C6B663}" name="5169"/>
    <tableColumn id="5183" xr3:uid="{CE9ECC56-9EAC-444F-B9EA-CBCE0E1D597B}" name="5170"/>
    <tableColumn id="5184" xr3:uid="{1C4B439D-9753-45AD-AC49-941AB4B91397}" name="5171"/>
    <tableColumn id="5185" xr3:uid="{29DE0D07-6345-4E61-9B6C-EF58E6A3C391}" name="5172"/>
    <tableColumn id="5186" xr3:uid="{4C082672-435E-4EB0-AC00-00C6E956C54F}" name="5173"/>
    <tableColumn id="5187" xr3:uid="{E4078A01-07CF-4237-B225-811717154C3E}" name="5174"/>
    <tableColumn id="5188" xr3:uid="{0A4A07A2-AC27-404D-B21A-D98E47D68728}" name="5175"/>
    <tableColumn id="5189" xr3:uid="{4B9B4E54-EA24-47D0-9A26-70CBDE1F9DF7}" name="5176"/>
    <tableColumn id="5190" xr3:uid="{806D1C75-6CD8-4F61-8D79-C891377D12E1}" name="5177"/>
    <tableColumn id="5191" xr3:uid="{3B2DA7F3-40EF-4D15-8786-BD00B0859440}" name="5178"/>
    <tableColumn id="5192" xr3:uid="{A0DFC80C-990C-4294-A838-A69CB4E810F7}" name="5179"/>
    <tableColumn id="5193" xr3:uid="{D4970B80-83E4-4E49-BB11-8EA563CF4899}" name="5180"/>
    <tableColumn id="5194" xr3:uid="{596A641B-95A1-4459-BF5F-62C9AC2DA1B9}" name="5181"/>
    <tableColumn id="5195" xr3:uid="{B6B52323-C572-4627-A876-6F02875A2E44}" name="5182"/>
    <tableColumn id="5196" xr3:uid="{A2A82B71-0E9D-45AB-8EDB-B98BDFA65AB5}" name="5183"/>
    <tableColumn id="5197" xr3:uid="{D7830030-2DA9-424C-8C1E-79ADB5C0C722}" name="5184"/>
    <tableColumn id="5198" xr3:uid="{FB28CA80-FFA2-47DA-9EF3-4975A9FB774E}" name="5185"/>
    <tableColumn id="5199" xr3:uid="{210CF3A6-998B-43D2-8A78-241732F2FFCA}" name="5186"/>
    <tableColumn id="5200" xr3:uid="{6299ED23-75E4-463A-BDEF-3AC308BDF943}" name="5187"/>
    <tableColumn id="5201" xr3:uid="{2BCF2D6B-1F33-4229-94CE-DB8D3AAD25B3}" name="5188"/>
    <tableColumn id="5202" xr3:uid="{F982C1A1-D8F5-4F2B-BCEF-A28DE8B4A522}" name="5189"/>
    <tableColumn id="5203" xr3:uid="{E1E5CA4F-271C-468F-B666-C5BC9100872C}" name="5190"/>
    <tableColumn id="5204" xr3:uid="{9DC89578-B659-4F6E-B507-879C573A07D9}" name="5191"/>
    <tableColumn id="5205" xr3:uid="{83CCFD49-1FF0-4F33-8F7D-ED3CD096A410}" name="5192"/>
    <tableColumn id="5206" xr3:uid="{93291185-2B06-41FB-A4C7-34781C9192ED}" name="5193"/>
    <tableColumn id="5207" xr3:uid="{0C6B5C38-5584-4024-A8B1-1F286FF95AD4}" name="5194"/>
    <tableColumn id="5208" xr3:uid="{39802494-50A0-4691-94A5-9DFCD03116FD}" name="5195"/>
    <tableColumn id="5209" xr3:uid="{8E27C32C-EE76-420E-BEBB-EB11C8CEF7CA}" name="5196"/>
    <tableColumn id="5210" xr3:uid="{E7841239-76AC-4CBF-B71B-1026D31470C1}" name="5197"/>
    <tableColumn id="5211" xr3:uid="{93E40D2D-5949-4716-9D75-B4FEF29D4AD4}" name="5198"/>
    <tableColumn id="5212" xr3:uid="{37C9511D-4F5A-40F4-907F-F8CCBD81D2B3}" name="5199"/>
    <tableColumn id="5213" xr3:uid="{82E5DC73-7608-4BE1-87E7-E781229E408D}" name="5200"/>
    <tableColumn id="5214" xr3:uid="{5442BDA3-68B4-4992-A698-AB935360AE3C}" name="5201"/>
    <tableColumn id="5215" xr3:uid="{2FABE155-D5FD-4AB4-B563-92D1216A2CA9}" name="5202"/>
    <tableColumn id="5216" xr3:uid="{9BFB8F58-B394-48A9-8A42-0047D63A8403}" name="5203"/>
    <tableColumn id="5217" xr3:uid="{F5F2F58F-55EC-4FD4-B3F2-DB035C674373}" name="5204"/>
    <tableColumn id="5218" xr3:uid="{2DD0904A-A59F-4EB7-B85A-37FB389966F2}" name="5205"/>
    <tableColumn id="5219" xr3:uid="{9B9D48BC-7496-4B78-84BB-1CE7B13E3A92}" name="5206"/>
    <tableColumn id="5220" xr3:uid="{A3EB428E-8269-4AAD-BD52-D2D8D9D0626A}" name="5207"/>
    <tableColumn id="5221" xr3:uid="{DE8B12D5-7A01-4EDC-AAE2-FB2231DF9140}" name="5208"/>
    <tableColumn id="5222" xr3:uid="{D1BFF091-DCEC-4130-B773-BEED4AECD0D8}" name="5209"/>
    <tableColumn id="5223" xr3:uid="{CB9F3901-C08D-40E3-94FD-16EBE677E82C}" name="5210"/>
    <tableColumn id="5224" xr3:uid="{35B7898C-C463-4271-8134-D02B68535EB1}" name="5211"/>
    <tableColumn id="5225" xr3:uid="{B7413756-B46D-4FFC-95C3-17C1388F1C13}" name="5212"/>
    <tableColumn id="5226" xr3:uid="{BF2D6FAA-F992-409B-8AE7-EDFE13F62EF4}" name="5213"/>
    <tableColumn id="5227" xr3:uid="{9E78C472-C9B3-4D43-9E50-285407FD83D7}" name="5214"/>
    <tableColumn id="5228" xr3:uid="{0D567062-18E8-4821-9BE4-E2735D9355E7}" name="5215"/>
    <tableColumn id="5229" xr3:uid="{07ECC501-6704-4616-B666-2FCC6EFE00FF}" name="5216"/>
    <tableColumn id="5230" xr3:uid="{0E818CEF-26D0-4601-9C8F-EACE2539CB78}" name="5217"/>
    <tableColumn id="5231" xr3:uid="{7BCC4B4F-F076-46FC-B7B0-3438C594CD80}" name="5218"/>
    <tableColumn id="5232" xr3:uid="{7CD5E088-6D4D-4737-8907-A186AF843529}" name="5219"/>
    <tableColumn id="5233" xr3:uid="{96D06E4A-0D14-4B64-8EAA-F0CACC263408}" name="5220"/>
    <tableColumn id="5234" xr3:uid="{E2404C07-082E-4FB9-983A-300CBFCD363A}" name="5221"/>
    <tableColumn id="5235" xr3:uid="{D2368C84-0345-4FEE-8B8C-1C87F0DC2011}" name="5222"/>
    <tableColumn id="5236" xr3:uid="{AC3A6BEE-B67E-4D70-AFFA-69F7AC6AD1E7}" name="5223"/>
    <tableColumn id="5237" xr3:uid="{85178750-079D-4694-9B5D-491C77BF045C}" name="5224"/>
    <tableColumn id="5238" xr3:uid="{31CABB20-C678-447E-BF79-D491E92C0798}" name="5225"/>
    <tableColumn id="5239" xr3:uid="{B72CD7DE-B788-4A14-8FEE-549D6542886D}" name="5226"/>
    <tableColumn id="5240" xr3:uid="{A1F20054-B697-43C5-A120-691157D47C91}" name="5227"/>
    <tableColumn id="5241" xr3:uid="{5F4519D3-B727-4660-A1AC-3684C3EE4E10}" name="5228"/>
    <tableColumn id="5242" xr3:uid="{3CE3C46C-E1EC-4299-9263-ABE931B28009}" name="5229"/>
    <tableColumn id="5243" xr3:uid="{BF4EC7F1-0143-4C78-B6A1-96007D36AB8F}" name="5230"/>
    <tableColumn id="5244" xr3:uid="{B6A2172B-0551-4703-ADB6-5088C47F3C16}" name="5231"/>
    <tableColumn id="5245" xr3:uid="{E4ADC182-F68B-41B2-A681-669B9FB1EE71}" name="5232"/>
    <tableColumn id="5246" xr3:uid="{B81DD390-5FBA-4221-A469-F482340F038E}" name="5233"/>
    <tableColumn id="5247" xr3:uid="{48C5DC0E-CAB1-4725-ABA9-61BFC2274670}" name="5234"/>
    <tableColumn id="5248" xr3:uid="{59309F44-792B-458F-842A-FA726DED1B3A}" name="5235"/>
    <tableColumn id="5249" xr3:uid="{C22E5989-DA49-4E53-9F56-4204E3C2A0DD}" name="5236"/>
    <tableColumn id="5250" xr3:uid="{21D9A759-A1C1-427C-800C-21921228DE9A}" name="5237"/>
    <tableColumn id="5251" xr3:uid="{E5A3965F-78F3-4933-A5F9-81F1A55CF9E0}" name="5238"/>
    <tableColumn id="5252" xr3:uid="{9E7E9C44-9240-4A9E-9253-92025300CC32}" name="5239"/>
    <tableColumn id="5253" xr3:uid="{6E83D5EE-DE73-41A7-A7CA-A5A61FCADF86}" name="5240"/>
    <tableColumn id="5254" xr3:uid="{D0B72B61-4598-4EBA-9A5D-74FDAF42FB3D}" name="5241"/>
    <tableColumn id="5255" xr3:uid="{F0AD7CA8-C884-46DE-B10F-5C3F347B5C32}" name="5242"/>
    <tableColumn id="5256" xr3:uid="{0A3C7C24-F0A6-430A-B981-5ACC2A2721B6}" name="5243"/>
    <tableColumn id="5257" xr3:uid="{0AEC131E-0BB2-4397-B819-073ABD3DD382}" name="5244"/>
    <tableColumn id="5258" xr3:uid="{1ABCBDD7-8988-46D7-8051-5589E33E4448}" name="5245"/>
    <tableColumn id="5259" xr3:uid="{38208F55-A0CC-4402-AA0C-EF7219C1406E}" name="5246"/>
    <tableColumn id="5260" xr3:uid="{D33B23EE-5C49-4D2F-B3F8-ADAB163493E7}" name="5247"/>
    <tableColumn id="5261" xr3:uid="{09F559E7-E68E-4C5B-8F0C-D4520831C959}" name="5248"/>
    <tableColumn id="5262" xr3:uid="{F02FFC6C-A79B-4AEF-9C63-A04584B98EB0}" name="5249"/>
    <tableColumn id="5263" xr3:uid="{DC930FF8-D46D-49C9-9B95-7F3383EF9DCF}" name="5250"/>
    <tableColumn id="5264" xr3:uid="{837E8447-6F1F-4845-95F0-BB586AD4F56D}" name="5251"/>
    <tableColumn id="5265" xr3:uid="{3A700333-3FEF-428A-B16A-E41495CD37D8}" name="5252"/>
    <tableColumn id="5266" xr3:uid="{D5443C7C-29C7-48E9-B820-AECD30D14A28}" name="5253"/>
    <tableColumn id="5267" xr3:uid="{0A9B1211-FBDC-449E-A83F-67B134695768}" name="5254"/>
    <tableColumn id="5268" xr3:uid="{FF40AF81-00C1-4B5F-BAC9-686CAC2C1769}" name="5255"/>
    <tableColumn id="5269" xr3:uid="{B84BB6BF-13BF-42DA-9356-675265DB680D}" name="5256"/>
    <tableColumn id="5270" xr3:uid="{6B8099A3-FEA5-49C1-986B-3C47044545B2}" name="5257"/>
    <tableColumn id="5271" xr3:uid="{6B5DA6B3-491D-4C12-9365-047AD022195E}" name="5258"/>
    <tableColumn id="5272" xr3:uid="{8E0A9403-5BDD-4482-B392-2B1CA9CC8546}" name="5259"/>
    <tableColumn id="5273" xr3:uid="{BF25C9AE-9999-4215-A824-FC653338FF43}" name="5260"/>
    <tableColumn id="5274" xr3:uid="{08731074-09F0-427F-A4A8-D76801B92CC8}" name="5261"/>
    <tableColumn id="5275" xr3:uid="{10900458-8059-499D-81B7-7FC8F19A0492}" name="5262"/>
    <tableColumn id="5276" xr3:uid="{882A5F9F-2046-4FAA-9764-B22DC35B7F63}" name="5263"/>
    <tableColumn id="5277" xr3:uid="{AA9A414B-F8F9-4EA6-AE55-27491034E1CA}" name="5264"/>
    <tableColumn id="5278" xr3:uid="{A40B56A9-D12E-4957-9713-F12F32F110C6}" name="5265"/>
    <tableColumn id="5279" xr3:uid="{2B9A9674-C92F-408C-9972-1EE3EE8FC266}" name="5266"/>
    <tableColumn id="5280" xr3:uid="{95A36362-9AAD-42A4-8633-ECF7B17F159F}" name="5267"/>
    <tableColumn id="5281" xr3:uid="{E0E0CA64-CFDD-4FAF-B7E0-EEDF7890E69A}" name="5268"/>
    <tableColumn id="5282" xr3:uid="{805108BF-0BC1-464A-ABDE-E9CCB67EC38C}" name="5269"/>
    <tableColumn id="5283" xr3:uid="{22F35A18-A150-404D-88F9-BD4E6E47C179}" name="5270"/>
    <tableColumn id="5284" xr3:uid="{DA7D376E-154D-4614-B89F-7A793B62240A}" name="5271"/>
    <tableColumn id="5285" xr3:uid="{D5AA1104-EEE4-4CE5-AE1D-F8A31A8E174A}" name="5272"/>
    <tableColumn id="5286" xr3:uid="{6EEF7BB8-63E4-45C9-814C-9470F87E39E9}" name="5273"/>
    <tableColumn id="5287" xr3:uid="{1CA7261F-95DF-4679-BC53-F0569D9CC3EE}" name="5274"/>
    <tableColumn id="5288" xr3:uid="{95D07D62-3036-42D5-A963-E46971DC8CEE}" name="5275"/>
    <tableColumn id="5289" xr3:uid="{25FDE976-42BC-4FFF-ACE9-FC1DA3289359}" name="5276"/>
    <tableColumn id="5290" xr3:uid="{11513364-7781-49C4-90FA-9241D4995763}" name="5277"/>
    <tableColumn id="5291" xr3:uid="{4AEC2BB1-859C-4121-A5DC-7EB0DF9A7387}" name="5278"/>
    <tableColumn id="5292" xr3:uid="{B82F1071-4DF6-4EFA-A0AB-5670A36DFE70}" name="5279"/>
    <tableColumn id="5293" xr3:uid="{25B385F8-1600-42B0-886C-0F51EA6C68B6}" name="5280"/>
    <tableColumn id="5294" xr3:uid="{3DC755BE-35E7-49B7-AA9C-17D4B13E4056}" name="5281"/>
    <tableColumn id="5295" xr3:uid="{4AC94EBA-B941-43C1-871D-CD557DA82603}" name="5282"/>
    <tableColumn id="5296" xr3:uid="{9B6ADE0A-0835-43AD-BB16-AA665FD85E60}" name="5283"/>
    <tableColumn id="5297" xr3:uid="{CD77243F-2190-4F34-AC71-368F6D6A6656}" name="5284"/>
    <tableColumn id="5298" xr3:uid="{81DCC6F6-2721-4EF3-9E44-EB87B596A584}" name="5285"/>
    <tableColumn id="5299" xr3:uid="{216669A0-AA97-4E4D-B4B2-C60669758B70}" name="5286"/>
    <tableColumn id="5300" xr3:uid="{EDE9528F-09C9-46BA-9284-487B704416D9}" name="5287"/>
    <tableColumn id="5301" xr3:uid="{8F31D301-2097-460A-97B9-A06FAE74B1F3}" name="5288"/>
    <tableColumn id="5302" xr3:uid="{D81CA24B-86AD-4C42-897F-1EBD5E524B29}" name="5289"/>
    <tableColumn id="5303" xr3:uid="{B76FBE39-8F4A-43A7-B2EA-A2E9C4D08CDB}" name="5290"/>
    <tableColumn id="5304" xr3:uid="{17CC8608-45F6-4B08-809B-7459152D8411}" name="5291"/>
    <tableColumn id="5305" xr3:uid="{35672A47-3A9C-43B9-BDAA-913647653B95}" name="5292"/>
    <tableColumn id="5306" xr3:uid="{191C5B43-E530-49CC-8D27-E98D95CA6DFE}" name="5293"/>
    <tableColumn id="5307" xr3:uid="{59A53D09-6FDF-4C60-81F5-CB61800486B5}" name="5294"/>
    <tableColumn id="5308" xr3:uid="{191BAF29-2D26-40CA-A242-5067F4B7BFFF}" name="5295"/>
    <tableColumn id="5309" xr3:uid="{A9CE7724-06EC-43A3-9B46-01A226FFFF4B}" name="5296"/>
    <tableColumn id="5310" xr3:uid="{B38450A5-BB98-4C94-8EF6-63191E956497}" name="5297"/>
    <tableColumn id="5311" xr3:uid="{0A1029C7-CCFA-4165-8A35-6C8E3F53CEFD}" name="5298"/>
    <tableColumn id="5312" xr3:uid="{A65263CF-B52D-40D4-A89B-230DB946AEED}" name="5299"/>
    <tableColumn id="5313" xr3:uid="{51187451-95BD-4CB5-9DDC-AEF0653391B6}" name="5300"/>
    <tableColumn id="5314" xr3:uid="{9FF348B0-3850-43CB-99E8-9DA86874EFB5}" name="5301"/>
    <tableColumn id="5315" xr3:uid="{1AA33E8C-E1A8-410C-857E-84BC95A7F219}" name="5302"/>
    <tableColumn id="5316" xr3:uid="{5EF8F6FE-63E1-4CA2-87C8-02FC0364CE6F}" name="5303"/>
    <tableColumn id="5317" xr3:uid="{37345CCC-CFDB-4BFA-869D-313682C45C73}" name="5304"/>
    <tableColumn id="5318" xr3:uid="{1D29065E-6939-43A0-9F0B-4098D9A2B833}" name="5305"/>
    <tableColumn id="5319" xr3:uid="{822798DF-39F9-411D-B24A-577590CB367D}" name="5306"/>
    <tableColumn id="5320" xr3:uid="{AEE0473E-FCCD-49A1-95F5-6189AD90AE52}" name="5307"/>
    <tableColumn id="5321" xr3:uid="{B022BCC2-7F16-4C6C-BC5A-41388BC45D21}" name="5308"/>
    <tableColumn id="5322" xr3:uid="{BE055EE3-843A-4118-AFCE-DB9F6FB0E635}" name="5309"/>
    <tableColumn id="5323" xr3:uid="{A14C7FB9-9DBD-4707-8B5E-657AA0013DAA}" name="5310"/>
    <tableColumn id="5324" xr3:uid="{DB039384-25F7-4A20-AF78-AB970634AF14}" name="5311"/>
    <tableColumn id="5325" xr3:uid="{29904530-44E8-42C4-AA26-D0AE0FE675E0}" name="5312"/>
    <tableColumn id="5326" xr3:uid="{C389B72A-E82A-4194-9977-9C9CD8DE5AC9}" name="5313"/>
    <tableColumn id="5327" xr3:uid="{CF519349-D369-4750-AE01-5B6471D179D0}" name="5314"/>
    <tableColumn id="5328" xr3:uid="{491A8BD0-0517-4A0C-B170-4231F0CE6CC2}" name="5315"/>
    <tableColumn id="5329" xr3:uid="{68260F81-C020-42D2-85B8-5B222542634F}" name="5316"/>
    <tableColumn id="5330" xr3:uid="{1C9DB237-087E-45AD-AC80-3C73E26B9D55}" name="5317"/>
    <tableColumn id="5331" xr3:uid="{6F8E60B1-6F97-480B-860A-CFA8CE8607F7}" name="5318"/>
    <tableColumn id="5332" xr3:uid="{357315CE-51C8-40F5-90DD-C83684E9ACA6}" name="5319"/>
    <tableColumn id="5333" xr3:uid="{5188E8A7-0E3F-4789-AFAF-3A39A56FF170}" name="5320"/>
    <tableColumn id="5334" xr3:uid="{4F3BFF67-5609-408E-B05E-9C169E3D6A19}" name="5321"/>
    <tableColumn id="5335" xr3:uid="{5DBD63C3-883B-451E-A782-625B7DD73ADA}" name="5322"/>
    <tableColumn id="5336" xr3:uid="{249D63DF-EA87-449F-A607-81D629C076BC}" name="5323"/>
    <tableColumn id="5337" xr3:uid="{6B60A550-08B6-48F8-84F4-866AF477E3F8}" name="5324"/>
    <tableColumn id="5338" xr3:uid="{BF7E770F-9C6B-4524-9EA4-554D55A9A047}" name="5325"/>
    <tableColumn id="5339" xr3:uid="{B075D5C8-9DA5-4FB1-AB60-512909E0C110}" name="5326"/>
    <tableColumn id="5340" xr3:uid="{A188005A-D35F-4076-B1F6-6483860A5A25}" name="5327"/>
    <tableColumn id="5341" xr3:uid="{5BF04BED-649C-4F48-8897-E738B5A88341}" name="5328"/>
    <tableColumn id="5342" xr3:uid="{0851D39B-6E7C-4CBA-AFE2-B20CED828054}" name="5329"/>
    <tableColumn id="5343" xr3:uid="{85C5FA80-EA80-49BF-BEB4-E822544E079C}" name="5330"/>
    <tableColumn id="5344" xr3:uid="{E54BBC3C-E6D0-4E85-8B9C-5BF51F387B98}" name="5331"/>
    <tableColumn id="5345" xr3:uid="{3744CFA5-ABBE-4352-B6B6-D53A78C065A7}" name="5332"/>
    <tableColumn id="5346" xr3:uid="{2FD5B65D-6DD8-41AD-9B3B-D0A0CD74E221}" name="5333"/>
    <tableColumn id="5347" xr3:uid="{2093DAB6-50F9-4A6C-B3FE-DE4FEE835A43}" name="5334"/>
    <tableColumn id="5348" xr3:uid="{41D814BE-25EB-4C14-B839-4AFA95E56041}" name="5335"/>
    <tableColumn id="5349" xr3:uid="{96A94A9A-2F13-47F1-B4A1-CB9CDC177031}" name="5336"/>
    <tableColumn id="5350" xr3:uid="{D292C950-C09B-490F-A11F-0059E6A04BE2}" name="5337"/>
    <tableColumn id="5351" xr3:uid="{2883D841-EA77-4951-8B58-A1DBAA13C94E}" name="5338"/>
    <tableColumn id="5352" xr3:uid="{2DE2D56A-712D-4034-9795-C54D4908BBE6}" name="5339"/>
    <tableColumn id="5353" xr3:uid="{A12EBD65-EC15-4AF0-A304-E16633588DEF}" name="5340"/>
    <tableColumn id="5354" xr3:uid="{15AABC25-390F-4048-8E92-CCBE7AD63EE8}" name="5341"/>
    <tableColumn id="5355" xr3:uid="{A13ECD62-45A6-46CC-8669-6753E909D2AE}" name="5342"/>
    <tableColumn id="5356" xr3:uid="{6D99316B-99E7-4392-B46B-FBBF1DD6A2D8}" name="5343"/>
    <tableColumn id="5357" xr3:uid="{8D8DD6E8-0480-4205-BB3D-806BD1F40EAA}" name="5344"/>
    <tableColumn id="5358" xr3:uid="{E9D880F3-2477-427D-83EE-CC09FCC6F022}" name="5345"/>
    <tableColumn id="5359" xr3:uid="{EE2B5BB4-C360-4001-8395-724DE91A5297}" name="5346"/>
    <tableColumn id="5360" xr3:uid="{5114AF52-782D-4D7A-A1F6-C771BF23F6EE}" name="5347"/>
    <tableColumn id="5361" xr3:uid="{E0B34278-6E9A-42DB-A81A-E1410F60BAA1}" name="5348"/>
    <tableColumn id="5362" xr3:uid="{1BF7A90F-DAD3-4FA1-A198-F8364E9B83B2}" name="5349"/>
    <tableColumn id="5363" xr3:uid="{5EFFF24F-15E2-41AD-A5DB-E76FF38D9680}" name="5350"/>
    <tableColumn id="5364" xr3:uid="{26ED78C6-1859-4D9E-822E-1BFA53AB2649}" name="5351"/>
    <tableColumn id="5365" xr3:uid="{B7220B69-B2C1-4455-AA42-F8D19757EB18}" name="5352"/>
    <tableColumn id="5366" xr3:uid="{854370BF-3A34-4656-A2D1-0E66D6B7E217}" name="5353"/>
    <tableColumn id="5367" xr3:uid="{1B3BD4A4-BF9A-4EA4-AC27-E08F9C30B9F6}" name="5354"/>
    <tableColumn id="5368" xr3:uid="{AD396B41-EFBC-4197-A086-07B5AC5B92C1}" name="5355"/>
    <tableColumn id="5369" xr3:uid="{003A388C-2B13-4E50-BD37-4562E1CE5650}" name="5356"/>
    <tableColumn id="5370" xr3:uid="{AB332D05-EE01-4610-887B-547C6E6CA9F1}" name="5357"/>
    <tableColumn id="5371" xr3:uid="{4F819D5B-2F32-4946-963D-8CEE042208D2}" name="5358"/>
    <tableColumn id="5372" xr3:uid="{864F2AE0-3E77-41D5-90DC-C72C30EC7EBD}" name="5359"/>
    <tableColumn id="5373" xr3:uid="{15976959-4DB1-4011-9CC0-C687DE73CDD4}" name="5360"/>
    <tableColumn id="5374" xr3:uid="{DE7CCEE1-E304-4F45-BE4A-87AD7F3F80E5}" name="5361"/>
    <tableColumn id="5375" xr3:uid="{4ED40E9F-B5EA-4383-96C6-4D93B3E1DBA5}" name="5362"/>
    <tableColumn id="5376" xr3:uid="{3CFAC352-7325-4A42-AB22-78552BE36533}" name="5363"/>
    <tableColumn id="5377" xr3:uid="{44E921EE-5058-4526-BF56-490550329076}" name="5364"/>
    <tableColumn id="5378" xr3:uid="{4D3B3D96-FADC-4A2A-A641-04E762992423}" name="5365"/>
    <tableColumn id="5379" xr3:uid="{3F708087-0B0E-4904-9F47-599277A0E512}" name="5366"/>
    <tableColumn id="5380" xr3:uid="{93241C37-4130-40B9-AA13-DFD8A1FBE8CD}" name="5367"/>
    <tableColumn id="5381" xr3:uid="{D83BF6D6-34C7-48AF-B9BF-5DCAEBC74E2E}" name="5368"/>
    <tableColumn id="5382" xr3:uid="{07DE3CF4-69CE-464E-8FC1-50D51CE550D6}" name="5369"/>
    <tableColumn id="5383" xr3:uid="{63922D72-795D-4042-A5D4-0C648355D987}" name="5370"/>
    <tableColumn id="5384" xr3:uid="{5EEF36F7-56A5-40C3-9363-A72E0B4CE426}" name="5371"/>
    <tableColumn id="5385" xr3:uid="{FBFA3963-0BEB-464B-936D-0EF8474B86F3}" name="5372"/>
    <tableColumn id="5386" xr3:uid="{9BE2CE2D-84AC-4DD2-9B96-CDB8831AA4E8}" name="5373"/>
    <tableColumn id="5387" xr3:uid="{1056FECC-1F7B-4B54-9ABE-55B41805AE9A}" name="5374"/>
    <tableColumn id="5388" xr3:uid="{D41FE916-3D4A-4313-9635-391D9B00500B}" name="5375"/>
    <tableColumn id="5389" xr3:uid="{88CD5876-3B6F-4BC3-BE54-2876F4FACECC}" name="5376"/>
    <tableColumn id="5390" xr3:uid="{F726549A-9089-45FE-9D61-1715EB142BE1}" name="5377"/>
    <tableColumn id="5391" xr3:uid="{EADDF3A4-9C46-4EDF-9B59-167093E76F9A}" name="5378"/>
    <tableColumn id="5392" xr3:uid="{FFE2FC48-7076-4DC5-85D4-D62CE5E3F2B7}" name="5379"/>
    <tableColumn id="5393" xr3:uid="{86CF1372-BAAC-44E7-B837-25FBEFD73B8C}" name="5380"/>
    <tableColumn id="5394" xr3:uid="{5A875083-DABD-4B6B-BF52-F2BEBCEE80A9}" name="5381"/>
    <tableColumn id="5395" xr3:uid="{E14567E7-F2D7-452D-A8F5-3356C3B3E77B}" name="5382"/>
    <tableColumn id="5396" xr3:uid="{88488709-5446-446F-A16E-9D10DD2DC52E}" name="5383"/>
    <tableColumn id="5397" xr3:uid="{305B6E6C-39E2-4BAA-BD21-D77B949FFB95}" name="5384"/>
    <tableColumn id="5398" xr3:uid="{D57ADBF3-BABF-4125-B1DB-330503993653}" name="5385"/>
    <tableColumn id="5399" xr3:uid="{F6C5540C-524A-4B77-A04C-FE60C76B22FC}" name="5386"/>
    <tableColumn id="5400" xr3:uid="{9806E7B0-9618-49EE-98EF-7AAD35C78BF6}" name="5387"/>
    <tableColumn id="5401" xr3:uid="{22901330-8A92-41B0-A787-2308197E6608}" name="5388"/>
    <tableColumn id="5402" xr3:uid="{DD90A9E8-51E1-414F-AC90-6BFD056402CD}" name="5389"/>
    <tableColumn id="5403" xr3:uid="{4F4F39F2-0A2C-4A8E-A77C-8B5ABD6423BD}" name="5390"/>
    <tableColumn id="5404" xr3:uid="{66583F86-0B9F-462D-9E5C-3D5755CC32B1}" name="5391"/>
    <tableColumn id="5405" xr3:uid="{5386E6D9-7F66-4BE0-BEA5-C53870EC8DBD}" name="5392"/>
    <tableColumn id="5406" xr3:uid="{F2634A41-A687-4792-9F5D-1CF1B6BA5637}" name="5393"/>
    <tableColumn id="5407" xr3:uid="{E09F4E1E-BCB9-416F-AF16-345C1EB42802}" name="5394"/>
    <tableColumn id="5408" xr3:uid="{9C1DE3B9-4D60-4911-8CDC-FDF1DA98D4F8}" name="5395"/>
    <tableColumn id="5409" xr3:uid="{39AB37AF-C496-4E2E-814D-44184126F89B}" name="5396"/>
    <tableColumn id="5410" xr3:uid="{654388BD-F9E4-4EF6-A8A5-436C36DC5AE3}" name="5397"/>
    <tableColumn id="5411" xr3:uid="{0BE077EF-C7C1-4E88-829F-A7FC8535DC7A}" name="5398"/>
    <tableColumn id="5412" xr3:uid="{4DCE311A-C7E6-4EAA-834A-E3FFF67A0F69}" name="5399"/>
    <tableColumn id="5413" xr3:uid="{A184E67C-F480-4ED7-BA0A-009CAD032B20}" name="5400"/>
    <tableColumn id="5414" xr3:uid="{BA871A61-E81C-412A-ADCA-A512D4FD88B2}" name="5401"/>
    <tableColumn id="5415" xr3:uid="{989A4856-31A7-429D-B690-7729CF5A715D}" name="5402"/>
    <tableColumn id="5416" xr3:uid="{422C658E-97EB-44FC-BDF8-7A2E9E42CDF2}" name="5403"/>
    <tableColumn id="5417" xr3:uid="{15B716E9-BBC1-4B1C-8AAA-8B3189DB017E}" name="5404"/>
    <tableColumn id="5418" xr3:uid="{92AB01D7-6D24-47A7-9824-C50F16285423}" name="5405"/>
    <tableColumn id="5419" xr3:uid="{A9EF9129-1320-4532-B8B7-253D4C1EAF04}" name="5406"/>
    <tableColumn id="5420" xr3:uid="{3940585D-A02F-4EC7-AEB4-BC2560ED76B6}" name="5407"/>
    <tableColumn id="5421" xr3:uid="{ABAE6DA9-F6AA-423A-8D0D-3882CF12FF22}" name="5408"/>
    <tableColumn id="5422" xr3:uid="{27344106-D7D0-4588-8331-4620E81C295F}" name="5409"/>
    <tableColumn id="5423" xr3:uid="{70F53B1B-0429-47D8-AD51-E108D5DF28F5}" name="5410"/>
    <tableColumn id="5424" xr3:uid="{047FEC11-0EE8-43D3-B243-E6943C0F7491}" name="5411"/>
    <tableColumn id="5425" xr3:uid="{F50EF261-278A-4D6B-9946-BD75942F37EF}" name="5412"/>
    <tableColumn id="5426" xr3:uid="{11997AA7-734B-4A94-8906-D29F948E4A0D}" name="5413"/>
    <tableColumn id="5427" xr3:uid="{25A3A5DC-90EB-4CE5-9824-DE0F9867A0E7}" name="5414"/>
    <tableColumn id="5428" xr3:uid="{ACD06109-6C02-4CAD-A4D1-7F366CF64ECD}" name="5415"/>
    <tableColumn id="5429" xr3:uid="{B9999DB3-917C-4E27-8517-17E4CFCF15BA}" name="5416"/>
    <tableColumn id="5430" xr3:uid="{3A3137A7-EB61-4800-A166-C35CD2C34CE0}" name="5417"/>
    <tableColumn id="5431" xr3:uid="{5502DD52-4E76-4A36-835F-C18F4C41BA79}" name="5418"/>
    <tableColumn id="5432" xr3:uid="{536C239E-1439-4FB1-BFC4-F53F37208F41}" name="5419"/>
    <tableColumn id="5433" xr3:uid="{DFEF94E6-7734-4D1C-AAAD-0A0A25C2EEC1}" name="5420"/>
    <tableColumn id="5434" xr3:uid="{B6665F41-9C87-4734-B0A4-151B8CE93E68}" name="5421"/>
    <tableColumn id="5435" xr3:uid="{EC3D1251-8FFD-494D-AE59-BE9EF822F1A3}" name="5422"/>
    <tableColumn id="5436" xr3:uid="{B8CE3F13-9BFA-49B4-967A-F32BB1E749A6}" name="5423"/>
    <tableColumn id="5437" xr3:uid="{E862FE6C-A5D8-4676-9C41-7301803150CD}" name="5424"/>
    <tableColumn id="5438" xr3:uid="{0A3C9366-C9CE-4C03-AA3D-9BE9E72CA0A8}" name="5425"/>
    <tableColumn id="5439" xr3:uid="{05DD44ED-6697-478B-B681-6D0EE65CB1D9}" name="5426"/>
    <tableColumn id="5440" xr3:uid="{C495C259-6ED6-4858-B468-105E24904844}" name="5427"/>
    <tableColumn id="5441" xr3:uid="{E7DD6B6B-020B-40F7-B6AD-8F8037F1B472}" name="5428"/>
    <tableColumn id="5442" xr3:uid="{67A5B469-37BA-4915-AE88-85A18EADA619}" name="5429"/>
    <tableColumn id="5443" xr3:uid="{C11C8DAC-3FA6-48B5-B450-71786D7671DE}" name="5430"/>
    <tableColumn id="5444" xr3:uid="{C817A5A1-1549-44F5-B1DB-EC5F7D445CD7}" name="5431"/>
    <tableColumn id="5445" xr3:uid="{606F9399-5FB9-47DF-89BF-40AAB0A1BB5C}" name="5432"/>
    <tableColumn id="5446" xr3:uid="{A6499486-84AA-43E0-8912-C9D6F639F52B}" name="5433"/>
    <tableColumn id="5447" xr3:uid="{D6868426-8995-44D4-812D-27EBAD3C7E7C}" name="5434"/>
    <tableColumn id="5448" xr3:uid="{338CB9D9-B5D8-4251-B160-8B215294AFAA}" name="5435"/>
    <tableColumn id="5449" xr3:uid="{1768FBB8-A232-45E0-A695-5633C2B85A0E}" name="5436"/>
    <tableColumn id="5450" xr3:uid="{C09440C8-C0F6-420D-B910-D38621547DCB}" name="5437"/>
    <tableColumn id="5451" xr3:uid="{62CA29F9-E318-4F15-B8D6-F199BF99A171}" name="5438"/>
    <tableColumn id="5452" xr3:uid="{411967EA-9512-4E6B-9E86-1898A09E67C7}" name="5439"/>
    <tableColumn id="5453" xr3:uid="{151DCEF7-823B-426A-BE76-264F389C6DA8}" name="5440"/>
    <tableColumn id="5454" xr3:uid="{A2E22AD8-E2D4-43B3-9954-844D20C39C5E}" name="5441"/>
    <tableColumn id="5455" xr3:uid="{95C7C612-ED66-4C90-86C3-E37D0A5A22EF}" name="5442"/>
    <tableColumn id="5456" xr3:uid="{978F54E7-1528-443D-AD76-43286BE58547}" name="5443"/>
    <tableColumn id="5457" xr3:uid="{C9BC1F1C-42D4-4F05-882B-75496353D37E}" name="5444"/>
    <tableColumn id="5458" xr3:uid="{D32C24F8-4E04-43D2-B888-F0F62F918DF0}" name="5445"/>
    <tableColumn id="5459" xr3:uid="{CE7FE017-7BE5-41B4-98AF-896B080DF515}" name="5446"/>
    <tableColumn id="5460" xr3:uid="{6616E607-3434-4029-A851-28A69E0D174E}" name="5447"/>
    <tableColumn id="5461" xr3:uid="{C5D4BB9F-DC45-4A4A-8FDF-0CD33BE0A3CF}" name="5448"/>
    <tableColumn id="5462" xr3:uid="{EFC82784-2AAE-4701-9311-57A93B44569B}" name="5449"/>
    <tableColumn id="5463" xr3:uid="{93F035E8-4F30-49BA-95D3-16A7E0826484}" name="5450"/>
    <tableColumn id="5464" xr3:uid="{D9D0D700-236C-4573-8ADD-0FE76EB833A1}" name="5451"/>
    <tableColumn id="5465" xr3:uid="{D131113B-3D6A-42CA-9469-C178E22DE2CE}" name="5452"/>
    <tableColumn id="5466" xr3:uid="{F11A6B3C-18E8-40BD-81D7-C84D3B8ED536}" name="5453"/>
    <tableColumn id="5467" xr3:uid="{40EA4C47-DEE7-405F-9195-9DBB5FD5BEF3}" name="5454"/>
    <tableColumn id="5468" xr3:uid="{97836351-D6DC-4A6F-8CF0-60BBFEF855E8}" name="5455"/>
    <tableColumn id="5469" xr3:uid="{544C25B3-0E02-4E22-B9E0-3E89AAC0829D}" name="5456"/>
    <tableColumn id="5470" xr3:uid="{F4AD3BEF-D02C-4E43-AF89-93571189E4DF}" name="5457"/>
    <tableColumn id="5471" xr3:uid="{D936DACB-2727-424B-B059-88C969DBDD1E}" name="5458"/>
    <tableColumn id="5472" xr3:uid="{D5075E8E-4CE6-460F-97F6-602E86FBC7DA}" name="5459"/>
    <tableColumn id="5473" xr3:uid="{ED04B6A3-D7A2-4502-A03A-E549708CFA49}" name="5460"/>
    <tableColumn id="5474" xr3:uid="{E4C5078C-F341-43D5-8A1E-F993EFDAECB2}" name="5461"/>
    <tableColumn id="5475" xr3:uid="{12A9E93E-6543-4069-8551-3C87E3CE9FC1}" name="5462"/>
    <tableColumn id="5476" xr3:uid="{9E98DDF2-13E4-4189-BD2A-26B46EA9C9E1}" name="5463"/>
    <tableColumn id="5477" xr3:uid="{20F15588-95E5-4BB5-8525-0A7DA77C6139}" name="5464"/>
    <tableColumn id="5478" xr3:uid="{EC0C2564-632A-4FC1-A008-795AF9215A36}" name="5465"/>
    <tableColumn id="5479" xr3:uid="{930CB871-76A6-4E6C-A4FE-4CFE08DA3436}" name="5466"/>
    <tableColumn id="5480" xr3:uid="{EFFC894C-253A-4A21-B30D-0582EFFC80D7}" name="5467"/>
    <tableColumn id="5481" xr3:uid="{75B96E92-CABC-4A80-887A-063C11D59CFA}" name="5468"/>
    <tableColumn id="5482" xr3:uid="{37E982CA-040A-4CBD-BD5A-3C66B8623DDA}" name="5469"/>
    <tableColumn id="5483" xr3:uid="{913175F1-65CB-4B00-B062-84CD8D645ABA}" name="5470"/>
    <tableColumn id="5484" xr3:uid="{126339E4-2669-460B-B526-B911A77AE5F2}" name="5471"/>
    <tableColumn id="5485" xr3:uid="{D22814E3-1EC1-4E8A-9BD5-060F042ED4FF}" name="5472"/>
    <tableColumn id="5486" xr3:uid="{A47E5074-E2FE-4172-B4B5-CDFBEE3F2EAE}" name="5473"/>
    <tableColumn id="5487" xr3:uid="{C1695915-F068-401E-B7B1-35FDCBCFDC4B}" name="5474"/>
    <tableColumn id="5488" xr3:uid="{F5D7293D-6127-4B9C-BF04-EED078C01A7F}" name="5475"/>
    <tableColumn id="5489" xr3:uid="{E462215E-ECC4-4E2B-B027-DBCD2565D69D}" name="5476"/>
    <tableColumn id="5490" xr3:uid="{D1549879-B8C0-4354-96B7-DECDB4A53435}" name="5477"/>
    <tableColumn id="5491" xr3:uid="{48E811CB-BEA3-4B00-B433-1C1B3C8DDC89}" name="5478"/>
    <tableColumn id="5492" xr3:uid="{979BEC0B-AE67-4E10-B341-E1AAB1BA718C}" name="5479"/>
    <tableColumn id="5493" xr3:uid="{FC63FFDA-2B93-4975-8BFB-91C7D3DA374D}" name="5480"/>
    <tableColumn id="5494" xr3:uid="{80868646-7E77-4B84-B46A-BEEAD83BCB96}" name="5481"/>
    <tableColumn id="5495" xr3:uid="{0E32CCCC-3BD6-455F-9E12-71FFE73FA455}" name="5482"/>
    <tableColumn id="5496" xr3:uid="{CB2C7898-4D86-4C86-8BD3-8B4D0BF19813}" name="5483"/>
    <tableColumn id="5497" xr3:uid="{FC3901EE-EA8A-4FF7-A7F0-4BC2804F8AD0}" name="5484"/>
    <tableColumn id="5498" xr3:uid="{502732A1-C462-46D2-9E45-9C2A93FE2575}" name="5485"/>
    <tableColumn id="5499" xr3:uid="{2E206FA7-5B1E-4EB2-8A9D-4849990C2EFE}" name="5486"/>
    <tableColumn id="5500" xr3:uid="{308EF99C-DD4E-4F61-9D14-0F0260CFD97B}" name="5487"/>
    <tableColumn id="5501" xr3:uid="{6B456514-A288-4D06-9A45-F494D03FBF35}" name="5488"/>
    <tableColumn id="5502" xr3:uid="{4081E9E3-067A-4926-9ADC-08CE136119BF}" name="5489"/>
    <tableColumn id="5503" xr3:uid="{AF07E357-27F2-4FBB-BF8B-EEA0D411F301}" name="5490"/>
    <tableColumn id="5504" xr3:uid="{52F383D8-AF78-4CA0-853E-68B1C3C49A53}" name="5491"/>
    <tableColumn id="5505" xr3:uid="{68AB6CE0-A7AB-4AFE-8E4E-851FD222AFA2}" name="5492"/>
    <tableColumn id="5506" xr3:uid="{59AD226D-4120-4264-9627-5B92CBCF8F30}" name="5493"/>
    <tableColumn id="5507" xr3:uid="{197992DD-89BB-436B-8DC0-C698A0A83A36}" name="5494"/>
    <tableColumn id="5508" xr3:uid="{7D147BFB-A849-4F44-A9CD-F2D2B519E98C}" name="5495"/>
    <tableColumn id="5509" xr3:uid="{C1013639-794B-459B-9C91-F6653E717EF1}" name="5496"/>
    <tableColumn id="5510" xr3:uid="{E5EEA769-1825-4EB4-B39F-4B2C14EF74D0}" name="5497"/>
    <tableColumn id="5511" xr3:uid="{16EB6EFC-CAB6-4B51-BE37-9A6AA8478E08}" name="5498"/>
    <tableColumn id="5512" xr3:uid="{8BFF2C9D-EC2B-4874-B481-32F62AFA44F4}" name="5499"/>
    <tableColumn id="5513" xr3:uid="{688CB736-52AE-48E4-825E-D2D012BF2888}" name="5500"/>
    <tableColumn id="5514" xr3:uid="{ED2A7F98-DFE7-4EB0-8B4E-61055D9CDDA6}" name="5501"/>
    <tableColumn id="5515" xr3:uid="{514C4851-68DC-4F0B-9A68-BB45854534D3}" name="5502"/>
    <tableColumn id="5516" xr3:uid="{255B1DCB-9E59-4FF1-9781-B82933CB78D4}" name="5503"/>
    <tableColumn id="5517" xr3:uid="{83F443E8-0780-4E67-B76E-31D95034C30A}" name="5504"/>
    <tableColumn id="5518" xr3:uid="{DEE57A7F-0DC9-4EC9-B704-CD64476CC03F}" name="5505"/>
    <tableColumn id="5519" xr3:uid="{D9F4CA77-E2AF-4709-9753-E4BA22FD3409}" name="5506"/>
    <tableColumn id="5520" xr3:uid="{45BC5081-F3CB-4D69-A4F9-10980591456A}" name="5507"/>
    <tableColumn id="5521" xr3:uid="{80D81A44-B435-4662-A4AA-8214BD47FE97}" name="5508"/>
    <tableColumn id="5522" xr3:uid="{C70D8184-B42C-4978-BAE5-9F4C27593927}" name="5509"/>
    <tableColumn id="5523" xr3:uid="{945CE1B4-0CA1-4743-8C11-B7F1D06D5F6E}" name="5510"/>
    <tableColumn id="5524" xr3:uid="{7A56CE26-DFA0-4283-9EAD-76093FEFBE9F}" name="5511"/>
    <tableColumn id="5525" xr3:uid="{AF02DAB7-D251-4FD5-AAAF-B4BC403A93E5}" name="5512"/>
    <tableColumn id="5526" xr3:uid="{64D12E66-30A9-4734-8430-AF860C3C3CF6}" name="5513"/>
    <tableColumn id="5527" xr3:uid="{44C6C0F1-43BA-40FE-B134-B70E94598111}" name="5514"/>
    <tableColumn id="5528" xr3:uid="{71AB70C1-4CCC-4034-98B8-199BC7DE4957}" name="5515"/>
    <tableColumn id="5529" xr3:uid="{D75105A3-5ACA-4CAA-B7A4-A479E9522A8F}" name="5516"/>
    <tableColumn id="5530" xr3:uid="{3C17A569-5831-48D5-BB96-5DC52AB171C8}" name="5517"/>
    <tableColumn id="5531" xr3:uid="{A4CB0E72-40DE-4BF1-826E-3416BC3D764E}" name="5518"/>
    <tableColumn id="5532" xr3:uid="{8A106283-2D27-4F1E-BF3E-630A3B77BA2C}" name="5519"/>
    <tableColumn id="5533" xr3:uid="{A2F07741-07F6-4DBE-820D-635499278ABF}" name="5520"/>
    <tableColumn id="5534" xr3:uid="{CAA5B017-6718-477C-B363-BB73A5BE19A8}" name="5521"/>
    <tableColumn id="5535" xr3:uid="{A0C52C35-413C-4DE5-AEC6-C4941662C9E6}" name="5522"/>
    <tableColumn id="5536" xr3:uid="{A5816C68-8432-4159-BF66-99FFE9EFE5B0}" name="5523"/>
    <tableColumn id="5537" xr3:uid="{DC29EB06-7ECB-4FA6-B82E-8E5B65B1AA35}" name="5524"/>
    <tableColumn id="5538" xr3:uid="{49344043-9D29-4769-A47B-1DF8F54F3318}" name="5525"/>
    <tableColumn id="5539" xr3:uid="{ADADFD25-F6C3-4633-97BF-662B37728631}" name="5526"/>
    <tableColumn id="5540" xr3:uid="{8C10CAB4-0B38-47C6-9841-1CBD8B6505A9}" name="5527"/>
    <tableColumn id="5541" xr3:uid="{E5B6894F-9113-4646-8A6E-1A3799DD0C89}" name="5528"/>
    <tableColumn id="5542" xr3:uid="{71F6D629-23E1-487C-916A-44CB37D2CAFD}" name="5529"/>
    <tableColumn id="5543" xr3:uid="{46BE74D7-C819-4BEF-A002-A1579D101530}" name="5530"/>
    <tableColumn id="5544" xr3:uid="{7E6F674F-0B6F-473F-AECF-7CC59A897E8D}" name="5531"/>
    <tableColumn id="5545" xr3:uid="{38BEA9F9-2B34-498A-8191-263CE01C65E5}" name="5532"/>
    <tableColumn id="5546" xr3:uid="{1E711548-EAD4-4BC8-907C-4E8DE53EE1A6}" name="5533"/>
    <tableColumn id="5547" xr3:uid="{CC4ED577-42FB-47A3-8EBA-8C7227098480}" name="5534"/>
    <tableColumn id="5548" xr3:uid="{5D661DCC-3466-49E9-9AEB-496CC196C492}" name="5535"/>
    <tableColumn id="5549" xr3:uid="{A779EB14-1EA7-4FD7-A983-01A22A4482BA}" name="5536"/>
    <tableColumn id="5550" xr3:uid="{88BE758A-C49D-4835-B971-844992B4FC13}" name="5537"/>
    <tableColumn id="5551" xr3:uid="{0B02AF55-5343-4646-BAF5-9E48CC5625AF}" name="5538"/>
    <tableColumn id="5552" xr3:uid="{4C29F5CC-640B-4B26-9F07-4C852DF64C92}" name="5539"/>
    <tableColumn id="5553" xr3:uid="{FCC79E9B-173B-42AF-8077-9A7C3EC35FD9}" name="5540"/>
    <tableColumn id="5554" xr3:uid="{18D317D1-AF89-4D12-9999-F02505C5BF43}" name="5541"/>
    <tableColumn id="5555" xr3:uid="{FB051A0A-99DE-41AB-9EA3-F35A5A2704D9}" name="5542"/>
    <tableColumn id="5556" xr3:uid="{0735DBFE-35DF-4F5D-A101-E7A3BE09FB76}" name="5543"/>
    <tableColumn id="5557" xr3:uid="{EC4DB3DF-9FA7-4C89-8E1E-C2AF00ADD10D}" name="5544"/>
    <tableColumn id="5558" xr3:uid="{9EE19CBD-DE52-4818-9283-C574C8A20849}" name="5545"/>
    <tableColumn id="5559" xr3:uid="{0AB2E42E-4041-49D7-AAB2-7B984AF94B8F}" name="5546"/>
    <tableColumn id="5560" xr3:uid="{76AB8476-F03A-48EB-B8B3-7A999EA0579B}" name="5547"/>
    <tableColumn id="5561" xr3:uid="{09979CAD-EF25-454A-ACCA-E509E69D38B0}" name="5548"/>
    <tableColumn id="5562" xr3:uid="{2B2DE548-7283-4B21-8DD6-01600F53204F}" name="5549"/>
    <tableColumn id="5563" xr3:uid="{4F235418-D2E0-4401-8C0A-0AE34613F837}" name="5550"/>
    <tableColumn id="5564" xr3:uid="{92152969-21BB-4D06-9C9A-8523E6FC4B2B}" name="5551"/>
    <tableColumn id="5565" xr3:uid="{F0F1B958-A170-4CA3-83FC-72C64B32C7A0}" name="5552"/>
    <tableColumn id="5566" xr3:uid="{FC4CC583-5690-4398-A91D-E30D962F1E4A}" name="5553"/>
    <tableColumn id="5567" xr3:uid="{C413D5C2-8C5E-46C3-9564-ACB857B4C44A}" name="5554"/>
    <tableColumn id="5568" xr3:uid="{9D4F4ECC-CA72-48A5-A27C-2BF9CC912900}" name="5555"/>
    <tableColumn id="5569" xr3:uid="{F82250FD-156C-4B2D-BA6A-4E76C500C41B}" name="5556"/>
    <tableColumn id="5570" xr3:uid="{5A9316D0-7998-459B-8626-E2751BA9B059}" name="5557"/>
    <tableColumn id="5571" xr3:uid="{BBDD8D56-0C98-4EFE-8F51-05E5469B4600}" name="5558"/>
    <tableColumn id="5572" xr3:uid="{A3CFD233-56BD-44C1-853F-EEC20C3F2F21}" name="5559"/>
    <tableColumn id="5573" xr3:uid="{4B594FE9-843A-4BF4-BC4B-B68A736CF208}" name="5560"/>
    <tableColumn id="5574" xr3:uid="{B9B4FCA3-27C5-4530-8A09-08C40DAF54F3}" name="5561"/>
    <tableColumn id="5575" xr3:uid="{078E0277-C2A6-46E4-A67C-3BC72336C075}" name="5562"/>
    <tableColumn id="5576" xr3:uid="{DF5DFC23-1C19-40D1-93A7-0C7890086D4E}" name="5563"/>
    <tableColumn id="5577" xr3:uid="{6AAE0C78-D906-458A-9293-D09F12CC08D6}" name="5564"/>
    <tableColumn id="5578" xr3:uid="{E89080D1-5DA5-44E3-A67B-CB5FE2853A5C}" name="5565"/>
    <tableColumn id="5579" xr3:uid="{94CCD185-98E5-46CF-B9ED-2C26C021D8A4}" name="5566"/>
    <tableColumn id="5580" xr3:uid="{0788F512-7A22-4EBC-AB52-AB7F5069403F}" name="5567"/>
    <tableColumn id="5581" xr3:uid="{BABDBB78-72A6-4C75-9036-DF9D98321FBA}" name="5568"/>
    <tableColumn id="5582" xr3:uid="{83927C5B-16CC-4405-A1EE-196CE67EECBF}" name="5569"/>
    <tableColumn id="5583" xr3:uid="{1D91421F-6B34-4D10-A9CF-6C3B88F272A9}" name="5570"/>
    <tableColumn id="5584" xr3:uid="{E4C888B4-12D4-4434-AAB5-3C354330D877}" name="5571"/>
    <tableColumn id="5585" xr3:uid="{C377E025-17C1-4470-B979-7D4AF8ABD759}" name="5572"/>
    <tableColumn id="5586" xr3:uid="{22592EC5-82B2-4D8A-82A2-77035C0C4AB5}" name="5573"/>
    <tableColumn id="5587" xr3:uid="{510D0124-F1E6-4AE9-8224-AF6A554DF0E0}" name="5574"/>
    <tableColumn id="5588" xr3:uid="{89D2ECC0-6568-46FB-A253-8503D3439602}" name="5575"/>
    <tableColumn id="5589" xr3:uid="{6F475FEA-30F7-4596-9EA0-2E635607E2E3}" name="5576"/>
    <tableColumn id="5590" xr3:uid="{B6C1D24A-3A02-4E7A-85ED-4BA2D9F7CFDC}" name="5577"/>
    <tableColumn id="5591" xr3:uid="{2AE8C985-E902-4516-8FB0-ED62CE07D3C5}" name="5578"/>
    <tableColumn id="5592" xr3:uid="{F732FACC-2DDF-4D0B-B1C7-B30046DB85CB}" name="5579"/>
    <tableColumn id="5593" xr3:uid="{92876920-5736-475A-B567-0C9F59C64807}" name="5580"/>
    <tableColumn id="5594" xr3:uid="{28A42E40-D260-499C-A4E5-5EB3E933C0F9}" name="5581"/>
    <tableColumn id="5595" xr3:uid="{D070E7E8-CF22-4DFD-9446-4923AB36073F}" name="5582"/>
    <tableColumn id="5596" xr3:uid="{5A805A7C-421D-4E3C-8DF1-18149A75AD0F}" name="5583"/>
    <tableColumn id="5597" xr3:uid="{060F2422-DD9E-4148-AF5F-31402A51559B}" name="5584"/>
    <tableColumn id="5598" xr3:uid="{DA77F0FE-9E93-4408-A18A-F59D9C36EEDB}" name="5585"/>
    <tableColumn id="5599" xr3:uid="{F7EE6EB2-E9DD-4794-A22D-8828FC52B80F}" name="5586"/>
    <tableColumn id="5600" xr3:uid="{C5603CED-32DC-4889-B007-C8A2C5E3E6D3}" name="5587"/>
    <tableColumn id="5601" xr3:uid="{5EA0842D-9B59-496F-8275-763EDB2BFA53}" name="5588"/>
    <tableColumn id="5602" xr3:uid="{89BA8803-AB1F-4EAB-9947-AC7824530CC4}" name="5589"/>
    <tableColumn id="5603" xr3:uid="{844FB754-2F5D-4310-8F39-F92282A2EFC5}" name="5590"/>
    <tableColumn id="5604" xr3:uid="{9830E496-E0D2-4F0D-A81C-362665851EDA}" name="5591"/>
    <tableColumn id="5605" xr3:uid="{161632AF-5DA9-4AA4-90B8-F8BCA380734D}" name="5592"/>
    <tableColumn id="5606" xr3:uid="{9B36CE9B-6C4F-4B23-B7B3-F03425AB17B0}" name="5593"/>
    <tableColumn id="5607" xr3:uid="{992E4701-66E8-4D9E-A11F-0730164FB31C}" name="5594"/>
    <tableColumn id="5608" xr3:uid="{DCCF2421-5C01-420E-84AC-ACCFC07BFAF1}" name="5595"/>
    <tableColumn id="5609" xr3:uid="{A7C5E267-2AB6-4E9C-ADBD-EB597F1C9D01}" name="5596"/>
    <tableColumn id="5610" xr3:uid="{32870524-D405-450A-82C2-FB566419ADB4}" name="5597"/>
    <tableColumn id="5611" xr3:uid="{61F3199C-DBC6-4573-B745-3862E4F3AD1A}" name="5598"/>
    <tableColumn id="5612" xr3:uid="{18B19817-A6F6-4BE7-B3B2-1F8B3A019E10}" name="5599"/>
    <tableColumn id="5613" xr3:uid="{7C1F5B63-49E7-4E19-B62C-8B0E91023F77}" name="5600"/>
    <tableColumn id="5614" xr3:uid="{3F3C3B52-CE7B-4D91-808B-AD6E0C08EC1C}" name="5601"/>
    <tableColumn id="5615" xr3:uid="{B855465C-F414-41CD-8715-497C4ED3D56A}" name="5602"/>
    <tableColumn id="5616" xr3:uid="{3EABCC2A-4F40-4AE1-B9BF-289EF9EFC3AA}" name="5603"/>
    <tableColumn id="5617" xr3:uid="{2E62F8F4-648F-407C-BFBD-A67F5B8241EE}" name="5604"/>
    <tableColumn id="5618" xr3:uid="{5006D034-74D3-40DE-A0BE-63CDF2DCCE97}" name="5605"/>
    <tableColumn id="5619" xr3:uid="{20936B74-E7EA-4C38-A12C-C4654D1DCCD6}" name="5606"/>
    <tableColumn id="5620" xr3:uid="{A1E13A76-4D4D-4180-A473-4774544AF5D5}" name="5607"/>
    <tableColumn id="5621" xr3:uid="{FAE663F9-4194-4A39-BAC5-2B3F848FC39C}" name="5608"/>
    <tableColumn id="5622" xr3:uid="{AFFAF8B7-963E-42CD-8823-8A38C27ACA34}" name="5609"/>
    <tableColumn id="5623" xr3:uid="{077E7D38-99AB-44AA-A7AA-89586DBFFC0C}" name="5610"/>
    <tableColumn id="5624" xr3:uid="{44EB3541-0BA2-46E4-BE9D-93E17609EBEE}" name="5611"/>
    <tableColumn id="5625" xr3:uid="{760140A7-BE20-4C01-8B74-B2FB117BA8D7}" name="5612"/>
    <tableColumn id="5626" xr3:uid="{825EDC58-DD2D-4CF3-8F42-EFD5B5F1D15A}" name="5613"/>
    <tableColumn id="5627" xr3:uid="{D7CBDA28-2C35-4435-A5D8-377F2140CFBA}" name="5614"/>
    <tableColumn id="5628" xr3:uid="{A5877C27-BCCD-4B8C-AB14-2D1CF70D5176}" name="5615"/>
    <tableColumn id="5629" xr3:uid="{661F37C9-1797-4596-89CB-FC11F8745E48}" name="5616"/>
    <tableColumn id="5630" xr3:uid="{1035E432-16A4-4722-A99A-118456BDE3A2}" name="5617"/>
    <tableColumn id="5631" xr3:uid="{90D401DF-9CB1-43D3-A906-2E42F8395FEE}" name="5618"/>
    <tableColumn id="5632" xr3:uid="{ADB055A2-AB2C-4A52-9343-2BEBE666DABC}" name="5619"/>
    <tableColumn id="5633" xr3:uid="{2E380B53-1025-4BA1-BE9E-9022F05B49E8}" name="5620"/>
    <tableColumn id="5634" xr3:uid="{B231921D-1FF0-4E89-830E-AE048B53F42A}" name="5621"/>
    <tableColumn id="5635" xr3:uid="{381733C3-BA47-4FAB-B132-854158B1EB32}" name="5622"/>
    <tableColumn id="5636" xr3:uid="{A1D8B959-D4DF-49F7-9A90-AA0B0E852E5D}" name="5623"/>
    <tableColumn id="5637" xr3:uid="{4E291280-7B76-41A8-89DC-25AA0189CBB1}" name="5624"/>
    <tableColumn id="5638" xr3:uid="{2C90DCB8-4400-4793-B408-8A8929C137FB}" name="5625"/>
    <tableColumn id="5639" xr3:uid="{DE6F9DFF-6BBE-48FE-9FE8-E42BE8A9D730}" name="5626"/>
    <tableColumn id="5640" xr3:uid="{9C1EF7A2-F299-4F2F-827B-29F9EA8C527C}" name="5627"/>
    <tableColumn id="5641" xr3:uid="{8FCDCAEA-7636-4DD5-BECA-E333CA8022A1}" name="5628"/>
    <tableColumn id="5642" xr3:uid="{BE448610-99DF-4889-AFE2-D970208067EE}" name="5629"/>
    <tableColumn id="5643" xr3:uid="{A3555F09-798E-4007-BC9D-FE168FD0AF2A}" name="5630"/>
    <tableColumn id="5644" xr3:uid="{D1928641-9893-4B39-914D-3264E18AED2D}" name="5631"/>
    <tableColumn id="5645" xr3:uid="{12CB73C0-1971-4429-B46A-9BAC6C19793B}" name="5632"/>
    <tableColumn id="5646" xr3:uid="{C33DDE4B-864D-437F-9AFA-53583B2AEAA3}" name="5633"/>
    <tableColumn id="5647" xr3:uid="{861D010D-7DF2-4298-B94D-51F0B9E30A85}" name="5634"/>
    <tableColumn id="5648" xr3:uid="{8892C2AD-C601-4C32-B59F-D0B64339A5BC}" name="5635"/>
    <tableColumn id="5649" xr3:uid="{E8C5CB4C-9F3D-45C8-A550-C51CB6994C12}" name="5636"/>
    <tableColumn id="5650" xr3:uid="{6F1EFFBA-E114-4C93-8A90-22A2632A99ED}" name="5637"/>
    <tableColumn id="5651" xr3:uid="{4D149B94-3E78-4428-B5C7-78505BDCCFB4}" name="5638"/>
    <tableColumn id="5652" xr3:uid="{418F86F4-409B-46A8-9D13-0FE5E6E1A0A1}" name="5639"/>
    <tableColumn id="5653" xr3:uid="{9818F71E-39E8-4990-9E25-7B5410038015}" name="5640"/>
    <tableColumn id="5654" xr3:uid="{09A1CBC5-A5AC-4792-A6A2-023E2A8F6061}" name="5641"/>
    <tableColumn id="5655" xr3:uid="{78CCA09E-4DFA-40C7-9CD7-9A6F6AA3A0D7}" name="5642"/>
    <tableColumn id="5656" xr3:uid="{F74F6667-A178-457B-A13E-212D301BDE07}" name="5643"/>
    <tableColumn id="5657" xr3:uid="{8A67DAB3-52C9-43A9-AE49-9A76849B1CFE}" name="5644"/>
    <tableColumn id="5658" xr3:uid="{DFBF13A4-958D-4CEE-B781-D51FB4468F78}" name="5645"/>
    <tableColumn id="5659" xr3:uid="{5C63429D-1FBB-40C8-BB33-61F2222D0201}" name="5646"/>
    <tableColumn id="5660" xr3:uid="{2E1ECE1F-60C8-40D5-B174-B2127B536712}" name="5647"/>
    <tableColumn id="5661" xr3:uid="{8BECF590-783C-44F9-ACED-1694758B7747}" name="5648"/>
    <tableColumn id="5662" xr3:uid="{779B84CE-1514-4798-B3BA-06CBBF5BE780}" name="5649"/>
    <tableColumn id="5663" xr3:uid="{C053F6FC-3BF2-4F70-86ED-9DC617B3C970}" name="5650"/>
    <tableColumn id="5664" xr3:uid="{818874A0-9B66-4185-BAE7-F110639406C7}" name="5651"/>
    <tableColumn id="5665" xr3:uid="{3D17ECE8-FE67-4F56-BCBA-D31C1C051BE1}" name="5652"/>
    <tableColumn id="5666" xr3:uid="{7436378C-62FA-474D-9475-91221B3C5537}" name="5653"/>
    <tableColumn id="5667" xr3:uid="{3AABEE65-2E80-4E43-BF96-8BCEA146A500}" name="5654"/>
    <tableColumn id="5668" xr3:uid="{EADF1F92-5A75-4453-A831-DE4FAA5FB3E5}" name="5655"/>
    <tableColumn id="5669" xr3:uid="{B5A60F41-50B4-4883-9B34-71527639B5B5}" name="5656"/>
    <tableColumn id="5670" xr3:uid="{5D5FD352-E4CF-4066-82C1-9107C91D5692}" name="5657"/>
    <tableColumn id="5671" xr3:uid="{0CBBBA3E-660A-4E4F-B1FB-DF882471A3ED}" name="5658"/>
    <tableColumn id="5672" xr3:uid="{8F9B44F8-0228-4BE2-9ACA-4248DE06F070}" name="5659"/>
    <tableColumn id="5673" xr3:uid="{6926D70D-367F-42A0-8364-655F4C0B7F14}" name="5660"/>
    <tableColumn id="5674" xr3:uid="{F10557C2-331F-4217-9D64-C81E0DDAC3EB}" name="5661"/>
    <tableColumn id="5675" xr3:uid="{D179581A-ABAA-460E-A34F-5B11906B2645}" name="5662"/>
    <tableColumn id="5676" xr3:uid="{EF6810B6-EAD7-4B8A-A431-2CFE2419DF19}" name="5663"/>
    <tableColumn id="5677" xr3:uid="{A4461DBA-784C-4299-8888-C1355A468699}" name="5664"/>
    <tableColumn id="5678" xr3:uid="{4A8B28DF-0564-49E3-9766-01A3D03E7482}" name="5665"/>
    <tableColumn id="5679" xr3:uid="{5C258EE6-26A0-4A09-9CC3-FF6293EA2BCF}" name="5666"/>
    <tableColumn id="5680" xr3:uid="{AB99A5FF-B4D0-4A10-A01A-5893ED24B376}" name="5667"/>
    <tableColumn id="5681" xr3:uid="{4B51B79F-6E64-4895-A801-7B73DCF17032}" name="5668"/>
    <tableColumn id="5682" xr3:uid="{DB3E44F3-C55D-479A-8DE1-A2EF1DC707EA}" name="5669"/>
    <tableColumn id="5683" xr3:uid="{75A0060C-9379-4ED1-BCA9-6A86995EFB13}" name="5670"/>
    <tableColumn id="5684" xr3:uid="{9EF1DD6D-CF1E-45B4-BD38-7FD6417F5891}" name="5671"/>
    <tableColumn id="5685" xr3:uid="{C5FECCB7-9AB1-4832-98E4-2D19419D55B2}" name="5672"/>
    <tableColumn id="5686" xr3:uid="{D6351480-A004-491F-8B07-2EB4B8B00C67}" name="5673"/>
    <tableColumn id="5687" xr3:uid="{4DF8EF77-DE79-4075-A1CA-495846EB14E0}" name="5674"/>
    <tableColumn id="5688" xr3:uid="{CC9E9281-4877-4FEE-A9EB-8AE36A45226F}" name="5675"/>
    <tableColumn id="5689" xr3:uid="{240E635F-D220-44A8-883A-C808803CB649}" name="5676"/>
    <tableColumn id="5690" xr3:uid="{DDCF869E-1327-430F-A81E-A84F29CFF4E9}" name="5677"/>
    <tableColumn id="5691" xr3:uid="{347090D4-32D6-4A4D-AEB7-159A781519CD}" name="5678"/>
    <tableColumn id="5692" xr3:uid="{4C6D1EC6-B195-44CA-A24A-911ED8299E86}" name="5679"/>
    <tableColumn id="5693" xr3:uid="{8B83F25B-C335-45BC-BE84-9DEA39EA5BBC}" name="5680"/>
    <tableColumn id="5694" xr3:uid="{9574FE8E-0BCC-4CEE-9303-C678EEC35733}" name="5681"/>
    <tableColumn id="5695" xr3:uid="{1F853EE9-A551-4C35-A6B7-14BC6EF80716}" name="5682"/>
    <tableColumn id="5696" xr3:uid="{610D3174-A834-40F7-9006-8DB59D88A1B4}" name="5683"/>
    <tableColumn id="5697" xr3:uid="{D19B4AAA-2643-49DA-9545-32E24CA73B6C}" name="5684"/>
    <tableColumn id="5698" xr3:uid="{3AAE0168-DCE7-46B9-A4D8-7EDDBEF63443}" name="5685"/>
    <tableColumn id="5699" xr3:uid="{2597DCAD-8DDF-401F-BB5C-E8EDCA18470B}" name="5686"/>
    <tableColumn id="5700" xr3:uid="{5C3220A4-9561-494E-8CDF-29B510CF937B}" name="5687"/>
    <tableColumn id="5701" xr3:uid="{82A022A8-BEF3-4AC0-B2CE-E41FE056105B}" name="5688"/>
    <tableColumn id="5702" xr3:uid="{0E24D37D-7CC8-4889-839B-28412A72F1E1}" name="5689"/>
    <tableColumn id="5703" xr3:uid="{5CB180F6-EBB7-47A0-982D-A875C65BC136}" name="5690"/>
    <tableColumn id="5704" xr3:uid="{6F3896A6-1081-43FF-AC78-E7FF81694BBF}" name="5691"/>
    <tableColumn id="5705" xr3:uid="{11DC08C5-0BB9-4E86-A242-BF6B0A03FD9C}" name="5692"/>
    <tableColumn id="5706" xr3:uid="{ACBA026C-9416-4300-87C9-081B23D1C9CE}" name="5693"/>
    <tableColumn id="5707" xr3:uid="{A05F9E1A-F6AA-44F2-A799-5FD57E9C0DEC}" name="5694"/>
    <tableColumn id="5708" xr3:uid="{8E8E258D-021B-4656-AC98-FFF8A16283C1}" name="5695"/>
    <tableColumn id="5709" xr3:uid="{752030F8-4550-46AB-8E95-C19E5060EC8F}" name="5696"/>
    <tableColumn id="5710" xr3:uid="{CCF9A524-EA4D-49C7-BFF8-58BE354F444F}" name="5697"/>
    <tableColumn id="5711" xr3:uid="{02F7F773-954C-4680-8A90-11F810F624E6}" name="5698"/>
    <tableColumn id="5712" xr3:uid="{D3D991AC-C969-4E81-A7C0-5BA4AD496CC4}" name="5699"/>
    <tableColumn id="5713" xr3:uid="{9927982D-5960-4EEE-8F17-D37574B8EA08}" name="5700"/>
    <tableColumn id="5714" xr3:uid="{21EEDA89-AA90-4108-AEB6-A232118E15A5}" name="5701"/>
    <tableColumn id="5715" xr3:uid="{DDE9C8B2-9ED0-4F0B-AF62-5505AB0985CE}" name="5702"/>
    <tableColumn id="5716" xr3:uid="{695FCBA8-7DD8-418E-96B8-AD02298B8E63}" name="5703"/>
    <tableColumn id="5717" xr3:uid="{0B01DB7B-47FA-4EA8-8660-F6FCA3E71EB5}" name="5704"/>
    <tableColumn id="5718" xr3:uid="{6AE6FFF6-0FE7-4902-A832-1AC5A4C7C021}" name="5705"/>
    <tableColumn id="5719" xr3:uid="{391B8C55-F575-4287-9D13-B803163047CD}" name="5706"/>
    <tableColumn id="5720" xr3:uid="{9861459A-4A52-4749-B3F9-B3236A73EBBD}" name="5707"/>
    <tableColumn id="5721" xr3:uid="{102E1731-BA81-4CE0-97B6-EA45325A995A}" name="5708"/>
    <tableColumn id="5722" xr3:uid="{53BC44DD-C5CD-48AD-A1D8-E2D41A8508FC}" name="5709"/>
    <tableColumn id="5723" xr3:uid="{F86D44F4-0F91-4A3C-8E6F-2F7F9A9B26E9}" name="5710"/>
    <tableColumn id="5724" xr3:uid="{23FD21BA-68B2-461E-8615-8CF9E7710E20}" name="5711"/>
    <tableColumn id="5725" xr3:uid="{57F661EA-2AA0-49AB-95A2-6023061C6B7D}" name="5712"/>
    <tableColumn id="5726" xr3:uid="{0D1D54A4-798F-4565-8B25-B1B4B1425BA0}" name="5713"/>
    <tableColumn id="5727" xr3:uid="{085B2A02-90C5-4776-BF4D-9D1652AB2503}" name="5714"/>
    <tableColumn id="5728" xr3:uid="{B706509E-FCEB-42FD-A3AA-CA20767D52CD}" name="5715"/>
    <tableColumn id="5729" xr3:uid="{4A9BD7AF-083C-4812-8C0C-CA1E78C05227}" name="5716"/>
    <tableColumn id="5730" xr3:uid="{936FB607-8443-40CC-8FF6-BB3D751DDD7F}" name="5717"/>
    <tableColumn id="5731" xr3:uid="{54131E93-4861-42ED-9417-286AFA6B7B3B}" name="5718"/>
    <tableColumn id="5732" xr3:uid="{BA4D4CD1-9CC2-4463-8DC1-8ACBD9AFA364}" name="5719"/>
    <tableColumn id="5733" xr3:uid="{4ECE2A03-9B73-490E-A8C9-549CA8901ED8}" name="5720"/>
    <tableColumn id="5734" xr3:uid="{11BA9E43-274D-4F60-84B2-8F379AF76868}" name="5721"/>
    <tableColumn id="5735" xr3:uid="{97C64222-B502-4ED8-ABB4-52D047521E80}" name="5722"/>
    <tableColumn id="5736" xr3:uid="{C21D681A-8640-4191-87A4-B9B3CBD84757}" name="5723"/>
    <tableColumn id="5737" xr3:uid="{7C4BAB33-618C-4105-987B-092AE949C79C}" name="5724"/>
    <tableColumn id="5738" xr3:uid="{6381D699-987B-4E6A-BF48-930D7E7EA611}" name="5725"/>
    <tableColumn id="5739" xr3:uid="{28796C53-CAC1-4CB5-9E0D-78EF08C99041}" name="5726"/>
    <tableColumn id="5740" xr3:uid="{CC42DBF3-0573-4672-91FA-E3692680537C}" name="5727"/>
    <tableColumn id="5741" xr3:uid="{D048BA18-D083-49D0-BA32-02FEA8E47588}" name="5728"/>
    <tableColumn id="5742" xr3:uid="{763B16EA-D720-456E-A76F-C54C7286A96A}" name="5729"/>
    <tableColumn id="5743" xr3:uid="{A00666C3-09B0-4182-AD63-1BD17BCB9586}" name="5730"/>
    <tableColumn id="5744" xr3:uid="{24931480-CA83-4C57-A7EC-A2B99BA94375}" name="5731"/>
    <tableColumn id="5745" xr3:uid="{FD20FBF1-4E16-43D8-9844-7FBB645E96ED}" name="5732"/>
    <tableColumn id="5746" xr3:uid="{2BF5EB15-F98B-4D59-BEEA-3C160CD969EC}" name="5733"/>
    <tableColumn id="5747" xr3:uid="{DF065668-C3C8-4A02-9989-D796899B7D09}" name="5734"/>
    <tableColumn id="5748" xr3:uid="{146FE09A-10E4-4B4F-BAE9-EDEB130A6096}" name="5735"/>
    <tableColumn id="5749" xr3:uid="{9A281D13-46BC-4E90-B9FA-325E0AD5F7E0}" name="5736"/>
    <tableColumn id="5750" xr3:uid="{0DA215A5-6330-49E5-B4A1-C4F3C8012113}" name="5737"/>
    <tableColumn id="5751" xr3:uid="{A2B03490-EE74-4DAB-B99F-4DECF086B8B4}" name="5738"/>
    <tableColumn id="5752" xr3:uid="{B71A3079-9508-4638-852F-4AD9EEC11EA8}" name="5739"/>
    <tableColumn id="5753" xr3:uid="{6D87739A-8EA3-442D-AD2C-522B9A092C6C}" name="5740"/>
    <tableColumn id="5754" xr3:uid="{A31027EF-31C0-4693-B1B9-AA33EC988129}" name="5741"/>
    <tableColumn id="5755" xr3:uid="{6BFD14AB-8E60-44A5-BD73-18EA60856FB8}" name="5742"/>
    <tableColumn id="5756" xr3:uid="{E52E73D6-D254-45A6-AE27-A48DE229F1AF}" name="5743"/>
    <tableColumn id="5757" xr3:uid="{7BBF2FF6-9697-444A-A888-C3ED966FD9D8}" name="5744"/>
    <tableColumn id="5758" xr3:uid="{A39E0BC4-80B4-466D-A5D6-36745EAD3EDA}" name="5745"/>
    <tableColumn id="5759" xr3:uid="{C1A7EF26-DF9C-436B-9EB3-DAA68B4B07D8}" name="5746"/>
    <tableColumn id="5760" xr3:uid="{16190A85-02FF-49FC-B4CE-F4A2A58F7AD9}" name="5747"/>
    <tableColumn id="5761" xr3:uid="{F6BBBB72-918B-4AFD-9FF2-5659BE4A42BA}" name="5748"/>
    <tableColumn id="5762" xr3:uid="{BEC9932C-FFB3-48CA-9AA9-752BF6827AF0}" name="5749"/>
    <tableColumn id="5763" xr3:uid="{56AFAF08-7E91-4A1A-B02D-F9FDEF5E6D07}" name="5750"/>
    <tableColumn id="5764" xr3:uid="{474093DF-3EDD-4AA6-935C-5A4566B392FE}" name="5751"/>
    <tableColumn id="5765" xr3:uid="{F6502D49-ABC1-4422-91C6-11816D57C516}" name="5752"/>
    <tableColumn id="5766" xr3:uid="{89A15AC0-AAE8-4A8A-AA8B-AB0F5A3407FF}" name="5753"/>
    <tableColumn id="5767" xr3:uid="{9643FEE9-0533-40E3-8E95-C880A036E44D}" name="5754"/>
    <tableColumn id="5768" xr3:uid="{DCD76A03-054D-40F4-957F-5474C2EA4574}" name="5755"/>
    <tableColumn id="5769" xr3:uid="{C6431EDE-5CEC-4DC2-B989-8C85A78EDB34}" name="5756"/>
    <tableColumn id="5770" xr3:uid="{8D948F07-D8F7-4D1A-8572-653833D8B7CB}" name="5757"/>
    <tableColumn id="5771" xr3:uid="{4BCCE89F-F777-44D3-89F8-343CB40BEBA4}" name="5758"/>
    <tableColumn id="5772" xr3:uid="{DCEB76C3-8EBC-497A-8940-200529CB7F7E}" name="5759"/>
    <tableColumn id="5773" xr3:uid="{55A38191-1A0C-47C4-AB3F-2FFD9080F588}" name="5760"/>
    <tableColumn id="5774" xr3:uid="{C259B6AE-DD5F-4CDE-AFD2-5FA264B56638}" name="5761"/>
    <tableColumn id="5775" xr3:uid="{00D18D71-128B-4C64-9197-1B912EA1E082}" name="5762"/>
    <tableColumn id="5776" xr3:uid="{30DCBBCA-D511-4295-A80A-DCED2818A7FF}" name="5763"/>
    <tableColumn id="5777" xr3:uid="{3A331231-B4B5-401C-B095-5541E8269E9D}" name="5764"/>
    <tableColumn id="5778" xr3:uid="{C36F4408-8DEB-472C-8C62-E78EFC0563E9}" name="5765"/>
    <tableColumn id="5779" xr3:uid="{0988E76F-D1B8-44BA-AD2A-A4FA725F93BA}" name="5766"/>
    <tableColumn id="5780" xr3:uid="{CE15C862-AE6A-4847-8BB7-2AE59D8CF88A}" name="5767"/>
    <tableColumn id="5781" xr3:uid="{F51E9087-DB6D-4A8A-BE37-9BE179DCC380}" name="5768"/>
    <tableColumn id="5782" xr3:uid="{53ECB726-E6AE-46F5-8DDC-0FE8F1643103}" name="5769"/>
    <tableColumn id="5783" xr3:uid="{0CD71CD0-95E0-400C-B79B-9479E27AC244}" name="5770"/>
    <tableColumn id="5784" xr3:uid="{88789A32-8B27-4A2D-8829-B26D23FAB141}" name="5771"/>
    <tableColumn id="5785" xr3:uid="{7EADBCDC-B474-4BC2-BD93-9812E3A0EB77}" name="5772"/>
    <tableColumn id="5786" xr3:uid="{364CD88E-84DE-4F85-A6DF-A6291C1F22C8}" name="5773"/>
    <tableColumn id="5787" xr3:uid="{23F69570-E8CD-4C33-BB7B-AABF78D2FC59}" name="5774"/>
    <tableColumn id="5788" xr3:uid="{DBC50784-C4B5-4457-AD1A-93ADCE0AE274}" name="5775"/>
    <tableColumn id="5789" xr3:uid="{EAE420DA-C3A3-428D-9603-23EAA114EC39}" name="5776"/>
    <tableColumn id="5790" xr3:uid="{AF3579A5-5117-4246-80E8-B5F42FED4D4C}" name="5777"/>
    <tableColumn id="5791" xr3:uid="{D7770423-9D8E-41EA-829F-099FC6DA6D2B}" name="5778"/>
    <tableColumn id="5792" xr3:uid="{01F6946D-1A4E-4867-BD64-27A8FCE9B740}" name="5779"/>
    <tableColumn id="5793" xr3:uid="{E05B0235-7B5E-444B-A375-83CC4039F840}" name="5780"/>
    <tableColumn id="5794" xr3:uid="{1AAC37E9-B3C6-4134-A7D6-C978838265BE}" name="5781"/>
    <tableColumn id="5795" xr3:uid="{E83E8FE6-3E2D-44FC-8195-CA6D9BA024E3}" name="5782"/>
    <tableColumn id="5796" xr3:uid="{8AB66B3A-13D5-41AF-B09A-5BB4F786DD9B}" name="5783"/>
    <tableColumn id="5797" xr3:uid="{0DA13C25-5686-4662-B9AA-E12A2B7F31C5}" name="5784"/>
    <tableColumn id="5798" xr3:uid="{14236EAB-BF54-460A-8C5F-9FFADA4F33A7}" name="5785"/>
    <tableColumn id="5799" xr3:uid="{C56999E4-3299-4388-A300-68DC4F431146}" name="5786"/>
    <tableColumn id="5800" xr3:uid="{197077ED-BE9F-471B-849B-4926B5EC302C}" name="5787"/>
    <tableColumn id="5801" xr3:uid="{CDFC9F00-0D03-4204-8082-B700781CEA4A}" name="5788"/>
    <tableColumn id="5802" xr3:uid="{1E927209-568A-469D-AC0E-8B485AADCF8E}" name="5789"/>
    <tableColumn id="5803" xr3:uid="{F2094EA8-1EB5-48EB-9D5B-E893401C7F69}" name="5790"/>
    <tableColumn id="5804" xr3:uid="{7A9C8AEC-5886-40C0-9E7B-EAD5FDB27DEA}" name="5791"/>
    <tableColumn id="5805" xr3:uid="{79EB559C-C708-447F-A47F-407E5659AB48}" name="5792"/>
    <tableColumn id="5806" xr3:uid="{E180EB55-41FC-44BB-B561-F1C5B6D4B90F}" name="5793"/>
    <tableColumn id="5807" xr3:uid="{9BEB8DC8-B261-4E8B-AEF7-49416163347F}" name="5794"/>
    <tableColumn id="5808" xr3:uid="{7C6A77BA-90E2-4794-8B70-F73E471D53B5}" name="5795"/>
    <tableColumn id="5809" xr3:uid="{FA1DA88C-A7D1-4FCB-B287-651A6F7058ED}" name="5796"/>
    <tableColumn id="5810" xr3:uid="{B2188C35-8784-494D-8C67-5815778B7622}" name="5797"/>
    <tableColumn id="5811" xr3:uid="{A7A9B565-6A43-4FFF-B7DC-DDCD14D8B36B}" name="5798"/>
    <tableColumn id="5812" xr3:uid="{3E131C51-A579-4E98-907A-CF01ECCD7F94}" name="5799"/>
    <tableColumn id="5813" xr3:uid="{4425F3C4-B24B-4BF0-A5AA-1D41D78DE2DA}" name="5800"/>
    <tableColumn id="5814" xr3:uid="{525B1DF5-1D99-46E8-93CE-B0362C96C459}" name="5801"/>
    <tableColumn id="5815" xr3:uid="{F36D7F9C-61FF-48D5-B48A-A1C4E181E17F}" name="5802"/>
    <tableColumn id="5816" xr3:uid="{203EF8BC-4351-4A00-B966-77341C30156D}" name="5803"/>
    <tableColumn id="5817" xr3:uid="{FD20C4E9-E713-4FDF-A973-AE2F2192B286}" name="5804"/>
    <tableColumn id="5818" xr3:uid="{205C6467-18D5-403B-B896-7EDFF77B8CC6}" name="5805"/>
    <tableColumn id="5819" xr3:uid="{C4857B16-B8AD-47EC-8DD1-2F7C247B1DCE}" name="5806"/>
    <tableColumn id="5820" xr3:uid="{C38A4C2D-4BFD-45B5-983A-CD7A26EB559C}" name="5807"/>
    <tableColumn id="5821" xr3:uid="{CA347B3F-5DA6-4F67-B3F5-F4A29C6336C0}" name="5808"/>
    <tableColumn id="5822" xr3:uid="{C2CDD676-A9FD-4A6E-9DD1-12105003015C}" name="5809"/>
    <tableColumn id="5823" xr3:uid="{65F8BB5C-4649-4E9C-83B1-7CB716D83E3D}" name="5810"/>
    <tableColumn id="5824" xr3:uid="{FB2D6F42-4030-433B-9D58-92129AD340F8}" name="5811"/>
    <tableColumn id="5825" xr3:uid="{89178E66-0F80-4810-99FB-6BFBD6382BF6}" name="5812"/>
    <tableColumn id="5826" xr3:uid="{849DEE72-B358-4917-95D5-AEE79509FA07}" name="5813"/>
    <tableColumn id="5827" xr3:uid="{EDAEA543-970B-44CA-BDD3-7C2461F46349}" name="5814"/>
    <tableColumn id="5828" xr3:uid="{73788484-F8E2-4523-A115-F134067EFB47}" name="5815"/>
    <tableColumn id="5829" xr3:uid="{08AFF57C-4041-47EF-9FE0-ACF3B276DE5A}" name="5816"/>
    <tableColumn id="5830" xr3:uid="{92DB6704-C213-4777-B32D-12258F2B7C06}" name="5817"/>
    <tableColumn id="5831" xr3:uid="{67E7CB57-D21F-48B2-8D11-0365D8491AF1}" name="5818"/>
    <tableColumn id="5832" xr3:uid="{AC344B0B-DE49-4802-BE43-13A24B0D1B84}" name="5819"/>
    <tableColumn id="5833" xr3:uid="{11120CBC-3F59-4FE5-B546-E23C9ACD86CE}" name="5820"/>
    <tableColumn id="5834" xr3:uid="{64E75D9B-C24B-4935-8902-934FC26FDBB9}" name="5821"/>
    <tableColumn id="5835" xr3:uid="{247D51BF-F6D6-4316-9962-198147F853A7}" name="5822"/>
    <tableColumn id="5836" xr3:uid="{EA80A887-F481-47C1-B19C-7B6782428400}" name="5823"/>
    <tableColumn id="5837" xr3:uid="{79159F3F-353B-4B47-8205-3CC1FC5B5435}" name="5824"/>
    <tableColumn id="5838" xr3:uid="{B524A13F-3DC1-46C8-AD9D-76F83CB3273E}" name="5825"/>
    <tableColumn id="5839" xr3:uid="{180F898F-0C87-46D3-897F-61E49DB55A54}" name="5826"/>
    <tableColumn id="5840" xr3:uid="{287AE244-E005-4A73-83AE-D66820E9B7DF}" name="5827"/>
    <tableColumn id="5841" xr3:uid="{5B66D943-46B6-4F34-A656-BD7194CFB3D6}" name="5828"/>
    <tableColumn id="5842" xr3:uid="{EE56A4A5-E608-460F-9E91-156EFD5F4DC1}" name="5829"/>
    <tableColumn id="5843" xr3:uid="{E34BD36F-7280-48EA-9E82-6CA6182E7AEA}" name="5830"/>
    <tableColumn id="5844" xr3:uid="{FC0AB7DC-85C9-4B7C-9A1A-6D3A63E7AA9C}" name="5831"/>
    <tableColumn id="5845" xr3:uid="{BE58D8A5-CFEC-46A3-8E5C-F58D7F1077AD}" name="5832"/>
    <tableColumn id="5846" xr3:uid="{798E8DB8-0953-4066-8DE3-A005361CB6A4}" name="5833"/>
    <tableColumn id="5847" xr3:uid="{D7DB38F8-6F94-4FB8-861F-6937D2253DCD}" name="5834"/>
    <tableColumn id="5848" xr3:uid="{C2CCACEB-1483-4DB9-B37D-FF05BFC64575}" name="5835"/>
    <tableColumn id="5849" xr3:uid="{6DFC4FA4-A06F-4121-98C1-120FD400FEE8}" name="5836"/>
    <tableColumn id="5850" xr3:uid="{C3C4AE4F-C9DF-47DC-9CD7-03477ACB4637}" name="5837"/>
    <tableColumn id="5851" xr3:uid="{EFCB589C-48CF-4DF8-A0F1-FF496833CA37}" name="5838"/>
    <tableColumn id="5852" xr3:uid="{63EC6633-4C41-4D6F-BF54-65B24226FFF1}" name="5839"/>
    <tableColumn id="5853" xr3:uid="{0F3A95F4-01D1-4979-B72F-2940AE1E323D}" name="5840"/>
    <tableColumn id="5854" xr3:uid="{D84ABD0A-3CE8-43FA-B4E2-08D5559310A7}" name="5841"/>
    <tableColumn id="5855" xr3:uid="{A2832CCA-F225-44BB-ABE5-074B0EEB14D3}" name="5842"/>
    <tableColumn id="5856" xr3:uid="{50EF9E7F-4A7F-46B0-B05A-97F581D1EE05}" name="5843"/>
    <tableColumn id="5857" xr3:uid="{81F0A6C6-2726-479C-82A2-FCE608F91414}" name="5844"/>
    <tableColumn id="5858" xr3:uid="{0C46E308-BBE6-4C49-841D-9A4B8669035B}" name="5845"/>
    <tableColumn id="5859" xr3:uid="{0380698F-603B-4689-AE0D-48AC68FEB03D}" name="5846"/>
    <tableColumn id="5860" xr3:uid="{F24D6563-1EF7-4449-83CA-3C0C95886336}" name="5847"/>
    <tableColumn id="5861" xr3:uid="{305E6D8E-E2C5-4337-8E0F-B4B56F3E788C}" name="5848"/>
    <tableColumn id="5862" xr3:uid="{125A2418-CC32-4440-BEEB-48329FFEB829}" name="5849"/>
    <tableColumn id="5863" xr3:uid="{C7CFC9C6-FDF7-48BF-B610-4B45E3A70625}" name="5850"/>
    <tableColumn id="5864" xr3:uid="{9A2239EC-8CE0-4718-A5DE-F32CB832A1A5}" name="5851"/>
    <tableColumn id="5865" xr3:uid="{B8FFA7CE-B0D5-4390-8AC1-221482B8D862}" name="5852"/>
    <tableColumn id="5866" xr3:uid="{9C8EB9B0-3B22-4A11-9A0B-F80FA9BBDEE5}" name="5853"/>
    <tableColumn id="5867" xr3:uid="{FFF01D45-A0F4-4E4E-88E9-5AADB1C7B1E1}" name="5854"/>
    <tableColumn id="5868" xr3:uid="{75EBD4B3-AC48-4340-ABA3-D29DD97CE0BF}" name="5855"/>
    <tableColumn id="5869" xr3:uid="{907D388B-6BA0-4B66-8FD2-208D2D25612B}" name="5856"/>
    <tableColumn id="5870" xr3:uid="{98518597-D107-4E79-B95E-CC6B52ECA148}" name="5857"/>
    <tableColumn id="5871" xr3:uid="{22C3A481-75DC-4E30-92ED-46243EFA74D3}" name="5858"/>
    <tableColumn id="5872" xr3:uid="{E2226FB7-370A-4F82-BB25-60295497581D}" name="5859"/>
    <tableColumn id="5873" xr3:uid="{EB7EF6D6-E76B-4FEF-AF84-4AF1DCD766FE}" name="5860"/>
    <tableColumn id="5874" xr3:uid="{8C0D1E3E-A94E-488E-86B3-E11ED06DFDF6}" name="5861"/>
    <tableColumn id="5875" xr3:uid="{8A46F045-C7F5-4491-B7CC-4D52E12B448D}" name="5862"/>
    <tableColumn id="5876" xr3:uid="{D90878F5-658D-4F98-A3B0-1BE1B1A08847}" name="5863"/>
    <tableColumn id="5877" xr3:uid="{E8710D6B-2DE9-49A2-ACDD-B4CFD8071360}" name="5864"/>
    <tableColumn id="5878" xr3:uid="{D8752150-E975-408C-9BDB-155810450C52}" name="5865"/>
    <tableColumn id="5879" xr3:uid="{F3010A9D-8375-459B-A3DD-B98126B9E438}" name="5866"/>
    <tableColumn id="5880" xr3:uid="{AB180DDD-DFC1-4A6C-9D69-F106AFA4F38E}" name="5867"/>
    <tableColumn id="5881" xr3:uid="{C09CB13D-2D3E-47FE-8EFE-ED668381118C}" name="5868"/>
    <tableColumn id="5882" xr3:uid="{76FC463F-A45F-4775-97CF-D71FB0EDE89C}" name="5869"/>
    <tableColumn id="5883" xr3:uid="{841C1983-3F31-4A5A-ADDA-3EC2F49D7F42}" name="5870"/>
    <tableColumn id="5884" xr3:uid="{69CD2B58-8A5C-4E71-9D66-52590AE939FF}" name="5871"/>
    <tableColumn id="5885" xr3:uid="{FECAB953-6F75-4035-B4F7-A3ECE478A325}" name="5872"/>
    <tableColumn id="5886" xr3:uid="{EC651418-3090-4495-BA8F-F8B91A3CD0DE}" name="5873"/>
    <tableColumn id="5887" xr3:uid="{F40BA5F9-3C12-4267-992C-20E7FFAF7A8D}" name="5874"/>
    <tableColumn id="5888" xr3:uid="{981FF34E-AC34-4D3C-857E-AB79030C07A2}" name="5875"/>
    <tableColumn id="5889" xr3:uid="{EE270AF6-70A8-44A9-9DED-73E5DB54AB34}" name="5876"/>
    <tableColumn id="5890" xr3:uid="{5D66B44C-859A-4DD5-9DBE-D61EC9B06CBA}" name="5877"/>
    <tableColumn id="5891" xr3:uid="{D10593D1-5E6C-4DA7-99C8-02EF72A33426}" name="5878"/>
    <tableColumn id="5892" xr3:uid="{56D42337-CC77-4530-A086-6726B38D9BCF}" name="5879"/>
    <tableColumn id="5893" xr3:uid="{9D924756-C930-4493-84A7-D81D42E3EC4B}" name="5880"/>
    <tableColumn id="5894" xr3:uid="{F85967A5-0E54-46E1-87CB-F3A2F809D645}" name="5881"/>
    <tableColumn id="5895" xr3:uid="{36C2E05A-3FD1-44F1-9149-17762D8D7D92}" name="5882"/>
    <tableColumn id="5896" xr3:uid="{80E85CAB-077E-444B-8681-454FB1CC0250}" name="5883"/>
    <tableColumn id="5897" xr3:uid="{BA9FA112-E438-4EE9-938D-71CFC63DC225}" name="5884"/>
    <tableColumn id="5898" xr3:uid="{1A02937E-9F5F-4739-9B9A-4AE4EF4D070C}" name="5885"/>
    <tableColumn id="5899" xr3:uid="{71224EAD-E144-4FF3-92F9-34554D9690F9}" name="5886"/>
    <tableColumn id="5900" xr3:uid="{ED60F90B-8A7B-43A6-84DD-81CE81E265FF}" name="5887"/>
    <tableColumn id="5901" xr3:uid="{1533FFEA-2062-4B38-AC8A-4A7DE7BAF29B}" name="5888"/>
    <tableColumn id="5902" xr3:uid="{427CC1A8-C856-4F2B-BD7D-EB9DDD06DA18}" name="5889"/>
    <tableColumn id="5903" xr3:uid="{17471FCC-1011-40DA-91D6-37673662C09B}" name="5890"/>
    <tableColumn id="5904" xr3:uid="{2DC2CDB1-27BC-4EF2-8658-04C46318E80B}" name="5891"/>
    <tableColumn id="5905" xr3:uid="{E8D5A48C-FEC6-43D0-80E2-20909180BF93}" name="5892"/>
    <tableColumn id="5906" xr3:uid="{CAFF71D5-5794-44E6-B9C3-89196C2ECF8D}" name="5893"/>
    <tableColumn id="5907" xr3:uid="{EB560356-63AF-42CD-9A04-8960BCCC0D5A}" name="5894"/>
    <tableColumn id="5908" xr3:uid="{269BF16F-843F-4FA5-9819-7F87D1BEE655}" name="5895"/>
    <tableColumn id="5909" xr3:uid="{3BE8C3BB-D835-4917-8926-B00FF614C528}" name="5896"/>
    <tableColumn id="5910" xr3:uid="{05670F2C-4198-459A-90A3-5605AC1893BF}" name="5897"/>
    <tableColumn id="5911" xr3:uid="{A94C3EED-48A9-4C01-ADD4-751AEB232FEF}" name="5898"/>
    <tableColumn id="5912" xr3:uid="{92670953-3864-483F-97A6-98D58C9B7779}" name="5899"/>
    <tableColumn id="5913" xr3:uid="{1E7562DF-BE1E-4995-BAEA-6324A46A53E4}" name="5900"/>
    <tableColumn id="5914" xr3:uid="{DEBC7644-74B2-489A-A19B-A5A9556054A6}" name="5901"/>
    <tableColumn id="5915" xr3:uid="{9DFCAE8D-1501-4598-A444-B8EC16E7ECA0}" name="5902"/>
    <tableColumn id="5916" xr3:uid="{60AA6AE0-6E06-4A95-B01D-363C819244BF}" name="5903"/>
    <tableColumn id="5917" xr3:uid="{CAD322CA-08F5-4E2C-8016-609013F7C09A}" name="5904"/>
    <tableColumn id="5918" xr3:uid="{525EF21C-A545-4C2A-92C4-0D091313717F}" name="5905"/>
    <tableColumn id="5919" xr3:uid="{5AF29CED-4957-4056-95D4-2516845A2CDC}" name="5906"/>
    <tableColumn id="5920" xr3:uid="{9974005D-8617-47C3-A191-DD50396D05CA}" name="5907"/>
    <tableColumn id="5921" xr3:uid="{63A2A010-CC04-4419-8452-38943175714F}" name="5908"/>
    <tableColumn id="5922" xr3:uid="{02D2DA99-F51D-489A-8B86-9915C190B1BA}" name="5909"/>
    <tableColumn id="5923" xr3:uid="{12EAAB6C-3D62-4DFA-ACDF-2E81B8C5FA8C}" name="5910"/>
    <tableColumn id="5924" xr3:uid="{01CF0D89-F3E8-4FE6-A05B-4F7E680EE29B}" name="5911"/>
    <tableColumn id="5925" xr3:uid="{F484C2C5-CECE-4BFF-A3E0-A0BE36324D80}" name="5912"/>
    <tableColumn id="5926" xr3:uid="{30DF1F0B-7D63-452E-94A6-DF5A94853C6A}" name="5913"/>
    <tableColumn id="5927" xr3:uid="{24E3DB45-35E3-4971-B6DF-C04EA75B6056}" name="5914"/>
    <tableColumn id="5928" xr3:uid="{C36BA883-D4D5-4EE4-B5B6-7491FB6CB707}" name="5915"/>
    <tableColumn id="5929" xr3:uid="{078A5D6D-1323-41C4-BE37-15F147D7DEC3}" name="5916"/>
    <tableColumn id="5930" xr3:uid="{84E25C2B-9233-4660-AE95-89CF446FD5FC}" name="5917"/>
    <tableColumn id="5931" xr3:uid="{F1E578D4-18EC-407A-8DCA-726EDED1F8A8}" name="5918"/>
    <tableColumn id="5932" xr3:uid="{939ED25A-28C1-4F77-B4DF-629E5BD89FE5}" name="5919"/>
    <tableColumn id="5933" xr3:uid="{06CACDC4-7BC3-4E90-A366-EC80DE593F38}" name="5920"/>
    <tableColumn id="5934" xr3:uid="{37F905A8-C79D-4F5C-A233-18149B4E41C0}" name="5921"/>
    <tableColumn id="5935" xr3:uid="{9A3E311D-3D45-4587-B099-D6FFA49947D0}" name="5922"/>
    <tableColumn id="5936" xr3:uid="{1A64A342-9EFD-4A5F-85B0-0343ADEED9A6}" name="5923"/>
    <tableColumn id="5937" xr3:uid="{38BDF00E-CD0A-4102-B03E-5266CCD02DB0}" name="5924"/>
    <tableColumn id="5938" xr3:uid="{CA83E8A9-75E3-4463-8CC9-DC5E55FEE35A}" name="5925"/>
    <tableColumn id="5939" xr3:uid="{82A5B17B-C814-4AE3-A0A5-5719E1464A26}" name="5926"/>
    <tableColumn id="5940" xr3:uid="{493E667F-24BF-42B1-B450-F7800D3F3F4D}" name="5927"/>
    <tableColumn id="5941" xr3:uid="{2B79E886-9F58-4E76-A456-A1B331C64D81}" name="5928"/>
    <tableColumn id="5942" xr3:uid="{5F70C667-A2ED-43D7-AEC8-3E645550956A}" name="5929"/>
    <tableColumn id="5943" xr3:uid="{F64E2EF5-BEB0-4619-B205-7D0C2C14F91A}" name="5930"/>
    <tableColumn id="5944" xr3:uid="{B11E646D-2AC7-4249-AB49-58771DEB341F}" name="5931"/>
    <tableColumn id="5945" xr3:uid="{0BFDAC87-2BC6-438E-A628-0C7C5C90422C}" name="5932"/>
    <tableColumn id="5946" xr3:uid="{5BBC1532-CA8A-4E30-8AA2-A6035FC8BB2B}" name="5933"/>
    <tableColumn id="5947" xr3:uid="{1607C6C5-711A-4653-9545-47BC68FA5213}" name="5934"/>
    <tableColumn id="5948" xr3:uid="{4D3E1610-7689-46FD-BEB4-AEFD2D663B99}" name="5935"/>
    <tableColumn id="5949" xr3:uid="{B7748848-FB71-4E51-902E-1C8689078D93}" name="5936"/>
    <tableColumn id="5950" xr3:uid="{0D3FC2EB-9FE9-4652-9939-45C9E06B4E07}" name="5937"/>
    <tableColumn id="5951" xr3:uid="{095099FF-3855-4EB3-8114-8C9757C3B6EC}" name="5938"/>
    <tableColumn id="5952" xr3:uid="{EAB38485-BA26-441A-8EE6-A203406885F4}" name="5939"/>
    <tableColumn id="5953" xr3:uid="{051FBF65-F94A-4B99-B827-13C0685F9A4C}" name="5940"/>
    <tableColumn id="5954" xr3:uid="{FD63F8E5-A5A9-4F57-89FC-663F2EA97E79}" name="5941"/>
    <tableColumn id="5955" xr3:uid="{092B34AE-F1F5-43A6-A760-909A590F4BC2}" name="5942"/>
    <tableColumn id="5956" xr3:uid="{CF2D03AA-AD08-40D4-BB54-A5CBA57696EB}" name="5943"/>
    <tableColumn id="5957" xr3:uid="{2925A97E-28CE-4EE4-B9EB-FD0EEC1463D5}" name="5944"/>
    <tableColumn id="5958" xr3:uid="{B9F84916-39B7-4F79-B11B-5750EE07264E}" name="5945"/>
    <tableColumn id="5959" xr3:uid="{31AB4920-9002-4B88-8DEB-950A3725E98E}" name="5946"/>
    <tableColumn id="5960" xr3:uid="{81E9619F-D1F8-4E1F-B19C-569DE1E0DF55}" name="5947"/>
    <tableColumn id="5961" xr3:uid="{F764CA1F-BFFA-4DA3-AE52-D8E49D70725E}" name="5948"/>
    <tableColumn id="5962" xr3:uid="{688166E8-137E-4D1B-800E-6C49EC94BF46}" name="5949"/>
    <tableColumn id="5963" xr3:uid="{95F071B3-8F48-48B4-8AF7-18BB65CD5777}" name="5950"/>
    <tableColumn id="5964" xr3:uid="{7C648C7E-4E46-4A77-9B04-47396280F0BB}" name="5951"/>
    <tableColumn id="5965" xr3:uid="{379DF34B-B028-4C8E-8798-5DBFAF565FBD}" name="5952"/>
    <tableColumn id="5966" xr3:uid="{AD2465C4-DBCE-45FF-913E-F0F5A6C5D3AF}" name="5953"/>
    <tableColumn id="5967" xr3:uid="{B0B9182E-CA3C-4CCF-BF28-B8528B73A091}" name="5954"/>
    <tableColumn id="5968" xr3:uid="{D0BE8E29-7170-4ECB-8469-E86F9BF63ECB}" name="5955"/>
    <tableColumn id="5969" xr3:uid="{1A8CDAD3-F177-4D2D-830F-64389CABB581}" name="5956"/>
    <tableColumn id="5970" xr3:uid="{80C6C73A-9873-427F-9B98-343BAA170A24}" name="5957"/>
    <tableColumn id="5971" xr3:uid="{F1CDCC93-64AD-469F-AAAD-1A2E42300090}" name="5958"/>
    <tableColumn id="5972" xr3:uid="{02639EA2-9138-427B-9A37-F276382EC189}" name="5959"/>
    <tableColumn id="5973" xr3:uid="{C0403193-45D8-4999-94CF-FA43FE9B5E9A}" name="5960"/>
    <tableColumn id="5974" xr3:uid="{3DE32BE1-13C9-4900-88C7-543750D3A12B}" name="5961"/>
    <tableColumn id="5975" xr3:uid="{D51DB319-9951-4767-927C-637CB55EB0D5}" name="5962"/>
    <tableColumn id="5976" xr3:uid="{A56C9622-3367-440F-BB16-740699B47AD9}" name="5963"/>
    <tableColumn id="5977" xr3:uid="{C03A3E9D-FF3B-4F29-ACE2-111E5C76359B}" name="5964"/>
    <tableColumn id="5978" xr3:uid="{E4A0374E-BBDD-4AD3-812A-4D7F34863CB6}" name="5965"/>
    <tableColumn id="5979" xr3:uid="{23BB856E-81C8-48E0-9EFA-8D664E0C8982}" name="5966"/>
    <tableColumn id="5980" xr3:uid="{53F33E79-9830-4AF9-8E0E-28E74D1C432F}" name="5967"/>
    <tableColumn id="5981" xr3:uid="{E9DB85F9-F1C9-471E-B886-9C1308FA5CAA}" name="5968"/>
    <tableColumn id="5982" xr3:uid="{0B26DD06-FEA6-4EDF-B525-8A85DAD2D077}" name="5969"/>
    <tableColumn id="5983" xr3:uid="{6122F317-8666-4F2F-AAAF-AEC134CF9DE1}" name="5970"/>
    <tableColumn id="5984" xr3:uid="{04ECA9D0-1B35-4392-9A3E-788C25091191}" name="5971"/>
    <tableColumn id="5985" xr3:uid="{7D7A35D9-777C-4D73-AF32-72E995343D1A}" name="5972"/>
    <tableColumn id="5986" xr3:uid="{C3455493-DB7A-45D3-A703-0EE97BC830C1}" name="5973"/>
    <tableColumn id="5987" xr3:uid="{2B65E2BB-A715-436D-9D09-6223B3866E93}" name="5974"/>
    <tableColumn id="5988" xr3:uid="{B3FDBC26-E5F5-4B9E-9C23-EF106EED10ED}" name="5975"/>
    <tableColumn id="5989" xr3:uid="{FE84CC68-7F2A-4F20-A219-AC25B9AE9386}" name="5976"/>
    <tableColumn id="5990" xr3:uid="{DBC131AE-D5EC-4F6C-8CEE-84A3A30E0E0B}" name="5977"/>
    <tableColumn id="5991" xr3:uid="{8E48457F-348F-40AE-8542-53EC28DF12B0}" name="5978"/>
    <tableColumn id="5992" xr3:uid="{382110E6-DF79-4A7D-B6B3-9A7FF808183D}" name="5979"/>
    <tableColumn id="5993" xr3:uid="{F59A5205-9F73-4ADB-AD67-DF05213FDBB4}" name="5980"/>
    <tableColumn id="5994" xr3:uid="{996E7A0A-221E-4746-8B04-CCFB57511EFE}" name="5981"/>
    <tableColumn id="5995" xr3:uid="{3B8381C5-8FFA-40BF-A52C-1D4579A68D6C}" name="5982"/>
    <tableColumn id="5996" xr3:uid="{F1EBD127-0FCA-42ED-B320-B9F7A22EEC15}" name="5983"/>
    <tableColumn id="5997" xr3:uid="{F20DC701-84A7-4E67-A76D-8B52E325208A}" name="5984"/>
    <tableColumn id="5998" xr3:uid="{A7EEFEA9-A2EB-451D-AD2E-7820D9CBCF50}" name="5985"/>
    <tableColumn id="5999" xr3:uid="{A96E161A-8F44-48A7-9A84-A41F08CC14E2}" name="5986"/>
    <tableColumn id="6000" xr3:uid="{273D5BEA-C735-4475-B856-96D9D08B5406}" name="5987"/>
    <tableColumn id="6001" xr3:uid="{0DFB66AA-B7D2-4C30-82F7-92C9D8981221}" name="5988"/>
    <tableColumn id="6002" xr3:uid="{018A3E8E-B33F-4934-8B1F-2A59883E7D6D}" name="5989"/>
    <tableColumn id="6003" xr3:uid="{73B1E9CC-97AB-4702-8272-131E21A07341}" name="5990"/>
    <tableColumn id="6004" xr3:uid="{1B83C556-6C6E-4456-A72C-9A12854B88F8}" name="5991"/>
    <tableColumn id="6005" xr3:uid="{F919F873-0129-443A-ABB4-DDF9F83E11D5}" name="5992"/>
    <tableColumn id="6006" xr3:uid="{A9004084-37AC-41FD-884C-FBAE04450F65}" name="5993"/>
    <tableColumn id="6007" xr3:uid="{D1475BD1-AD79-4682-B8AF-E077D7BE2CD4}" name="5994"/>
    <tableColumn id="6008" xr3:uid="{E4582453-DB7B-4158-839C-0CF7A4D3136E}" name="5995"/>
    <tableColumn id="6009" xr3:uid="{EFA70546-5856-4A2E-8F28-569298F8EDAA}" name="5996"/>
    <tableColumn id="6010" xr3:uid="{CA1F40A2-D161-44C5-9C39-A5C58E9F1CE4}" name="5997"/>
    <tableColumn id="6011" xr3:uid="{12877566-7A7E-459E-87C5-323BB115EE68}" name="5998"/>
    <tableColumn id="6012" xr3:uid="{7FCCC6BF-FFC1-4996-8D52-43F3D32320B5}" name="5999"/>
    <tableColumn id="6013" xr3:uid="{0E429575-B108-4166-95DA-3A91EEE15F36}" name="6000"/>
    <tableColumn id="6014" xr3:uid="{D09072C2-74B9-4708-B699-CCC5274BF324}" name="6001"/>
    <tableColumn id="6015" xr3:uid="{FADB9FF0-8EE4-4ED8-8D2B-D153BE076684}" name="6002"/>
    <tableColumn id="6016" xr3:uid="{107A48CC-05C9-42B0-AB88-13A81DAA8EAD}" name="6003"/>
    <tableColumn id="6017" xr3:uid="{A08DF4F1-2524-43F7-A458-C84DECA9081A}" name="6004"/>
    <tableColumn id="6018" xr3:uid="{C4CD4C7F-9A31-465D-8F88-A94D0AC37843}" name="6005"/>
    <tableColumn id="6019" xr3:uid="{C4E82C6D-5A3E-4027-BBEF-778A40BA00DF}" name="6006"/>
    <tableColumn id="6020" xr3:uid="{38FF0563-F504-40A5-B00E-40C59591D2BB}" name="6007"/>
    <tableColumn id="6021" xr3:uid="{DC7A7E2A-A1E6-4CCF-A006-D9BFFE56D3AD}" name="6008"/>
    <tableColumn id="6022" xr3:uid="{8554AF7A-12B1-47A3-BFCC-2AAF60A9F9C5}" name="6009"/>
    <tableColumn id="6023" xr3:uid="{15E3C25F-E74A-48CB-9714-1187461E7551}" name="6010"/>
    <tableColumn id="6024" xr3:uid="{E13B29B4-721D-499E-B474-F3A35520CDCF}" name="6011"/>
    <tableColumn id="6025" xr3:uid="{E7BFE664-568F-4330-85B4-0BDB087A4BFD}" name="6012"/>
    <tableColumn id="6026" xr3:uid="{314CB056-17E8-49C9-BCDA-A72370CD6723}" name="6013"/>
    <tableColumn id="6027" xr3:uid="{313802CC-CC03-4CA6-BA12-BE2ED92DA056}" name="6014"/>
    <tableColumn id="6028" xr3:uid="{7D62F058-A0AE-4E14-AE13-79D1C2870BD8}" name="6015"/>
    <tableColumn id="6029" xr3:uid="{E430BF15-FB02-40BD-B398-230183EE6236}" name="6016"/>
    <tableColumn id="6030" xr3:uid="{8AAD7871-5557-4F8E-90A1-8DD1B37F8A5C}" name="6017"/>
    <tableColumn id="6031" xr3:uid="{50127971-A82C-4354-93D0-B57C6BF10615}" name="6018"/>
    <tableColumn id="6032" xr3:uid="{C3031163-3543-478B-A291-CCD741D2E01F}" name="6019"/>
    <tableColumn id="6033" xr3:uid="{8F5409D6-EC05-4013-9254-94007A22CB00}" name="6020"/>
    <tableColumn id="6034" xr3:uid="{7BEFEDD8-8D5E-4F88-8B59-3BF22134AF8E}" name="6021"/>
    <tableColumn id="6035" xr3:uid="{12816AF2-D11B-4C76-9E35-34B0BB87E8DE}" name="6022"/>
    <tableColumn id="6036" xr3:uid="{1D26CED5-A25B-45C8-B7FF-59F594D97D26}" name="6023"/>
    <tableColumn id="6037" xr3:uid="{83E6ECFD-7E84-4E78-BB9D-AB21F44265A1}" name="6024"/>
    <tableColumn id="6038" xr3:uid="{8B6397E4-48D0-4DD3-8D24-EE981D9566EB}" name="6025"/>
    <tableColumn id="6039" xr3:uid="{BB68E16C-A7FC-4189-80C3-0D20A72F5B7A}" name="6026"/>
    <tableColumn id="6040" xr3:uid="{5D0E0296-6AA0-4B51-9F34-666CCE9425E7}" name="6027"/>
    <tableColumn id="6041" xr3:uid="{A2DBCDE3-B1EB-4EC4-BFD9-B4D5BFB5BA1B}" name="6028"/>
    <tableColumn id="6042" xr3:uid="{654839FF-CECF-4855-A92A-5EF90A749113}" name="6029"/>
    <tableColumn id="6043" xr3:uid="{09975423-BC22-4A66-B285-984734FCAFAB}" name="6030"/>
    <tableColumn id="6044" xr3:uid="{67B01D22-DC32-4D64-B7A2-1589BEF22073}" name="6031"/>
    <tableColumn id="6045" xr3:uid="{BA66EE77-7ED3-46F0-AC23-E1EB2DFA1D3A}" name="6032"/>
    <tableColumn id="6046" xr3:uid="{CBFFA136-026C-4971-B085-D21912C52E4F}" name="6033"/>
    <tableColumn id="6047" xr3:uid="{5D2C1DAB-3B70-494A-982F-DFFECE45D8F6}" name="6034"/>
    <tableColumn id="6048" xr3:uid="{D91FC705-FE75-488D-BA63-3B363D7C9CD5}" name="6035"/>
    <tableColumn id="6049" xr3:uid="{359C6FA6-D0F6-42AD-A416-7D1010704485}" name="6036"/>
    <tableColumn id="6050" xr3:uid="{B8820B7F-2405-4C92-9DBE-4DDDF32B53C4}" name="6037"/>
    <tableColumn id="6051" xr3:uid="{AAFD6C7F-EAA7-4E93-BFE1-7411F45FA19C}" name="6038"/>
    <tableColumn id="6052" xr3:uid="{D098D880-FB63-47FE-9F99-2295FE2D9A44}" name="6039"/>
    <tableColumn id="6053" xr3:uid="{3764E407-32EF-44F3-9F7D-B361EF03BCD2}" name="6040"/>
    <tableColumn id="6054" xr3:uid="{5A8242C0-0651-446A-9403-3BAD36A2F038}" name="6041"/>
    <tableColumn id="6055" xr3:uid="{09290473-3000-4FB5-B0A0-204BFD75A3EE}" name="6042"/>
    <tableColumn id="6056" xr3:uid="{2994DCED-7F41-4F6E-80CA-389E7B051582}" name="6043"/>
    <tableColumn id="6057" xr3:uid="{0AA10B60-2A52-4B97-8A99-473A25489553}" name="6044"/>
    <tableColumn id="6058" xr3:uid="{2959EFC7-4AD1-41CC-987A-4CD53D4377B8}" name="6045"/>
    <tableColumn id="6059" xr3:uid="{FFD3CB69-93F1-48BF-8B8B-FC89C12E5C8D}" name="6046"/>
    <tableColumn id="6060" xr3:uid="{7C7F0CD4-7EE2-4795-91C6-6622EF971473}" name="6047"/>
    <tableColumn id="6061" xr3:uid="{79F32520-19D1-4CED-BEC5-D70310969B45}" name="6048"/>
    <tableColumn id="6062" xr3:uid="{C2BDB54E-A16D-474F-9B91-C1C92ABCF78F}" name="6049"/>
    <tableColumn id="6063" xr3:uid="{CC7F5D32-D2FF-4A19-A84E-75BF4BCADE67}" name="6050"/>
    <tableColumn id="6064" xr3:uid="{C58C63C3-C918-45CF-9359-3BB4CFEE4B33}" name="6051"/>
    <tableColumn id="6065" xr3:uid="{E694261E-0B64-497C-A147-F6C030B6CC2C}" name="6052"/>
    <tableColumn id="6066" xr3:uid="{1339B675-1221-421C-A663-472D8149AF04}" name="6053"/>
    <tableColumn id="6067" xr3:uid="{CD4A1CBC-4E8A-4F79-B10E-E905B58F7E6F}" name="6054"/>
    <tableColumn id="6068" xr3:uid="{6C0F232B-8F35-456C-A618-020FF7600D14}" name="6055"/>
    <tableColumn id="6069" xr3:uid="{EF8AB6B3-9108-454A-9602-E1569BA8410C}" name="6056"/>
    <tableColumn id="6070" xr3:uid="{61119BE0-BBFC-41BC-B3E9-1E66B785D35C}" name="6057"/>
    <tableColumn id="6071" xr3:uid="{C892C79D-9BD3-4F69-A1CB-3E51B5826D11}" name="6058"/>
    <tableColumn id="6072" xr3:uid="{636F3EE6-5393-4CAE-AF2F-EB8535AD9398}" name="6059"/>
    <tableColumn id="6073" xr3:uid="{271B54A3-9D40-4317-B439-CE8AD5E7229D}" name="6060"/>
    <tableColumn id="6074" xr3:uid="{270E4E87-F9ED-40B4-8446-8CF1E58B7284}" name="6061"/>
    <tableColumn id="6075" xr3:uid="{AB6FE6C3-9E80-495C-86BB-DFAE9C185D7A}" name="6062"/>
    <tableColumn id="6076" xr3:uid="{2A1E6742-6416-477B-8E64-24293B6BFE58}" name="6063"/>
    <tableColumn id="6077" xr3:uid="{04BFA421-8E0B-4977-8935-A445F1CD296A}" name="6064"/>
    <tableColumn id="6078" xr3:uid="{93854945-7A19-4D40-87AF-DBF390CC618C}" name="6065"/>
    <tableColumn id="6079" xr3:uid="{01EB3851-EDF8-44EA-8FCD-AC6DF86A08EE}" name="6066"/>
    <tableColumn id="6080" xr3:uid="{7CDA5DE1-A9EC-4425-9861-B332C7077ACA}" name="6067"/>
    <tableColumn id="6081" xr3:uid="{AE26B792-B09D-4302-B2CF-1B017E68F7DD}" name="6068"/>
    <tableColumn id="6082" xr3:uid="{AA75AEBC-976E-400F-AB14-4C15C9A2CF3D}" name="6069"/>
    <tableColumn id="6083" xr3:uid="{CD1D5C3A-71D2-4489-A95D-1D2A8BD8482C}" name="6070"/>
    <tableColumn id="6084" xr3:uid="{F221E0F2-0791-4B15-B948-38E12D915658}" name="6071"/>
    <tableColumn id="6085" xr3:uid="{03B31FE1-8B44-4FA6-BBC0-3B2BA73100B5}" name="6072"/>
    <tableColumn id="6086" xr3:uid="{50DFCBB6-36B6-4651-A3A5-5DA345244289}" name="6073"/>
    <tableColumn id="6087" xr3:uid="{F357B6E0-A882-42C5-98EF-7B3D31654BD2}" name="6074"/>
    <tableColumn id="6088" xr3:uid="{B8F91CEE-50BE-4AF4-A1E2-7C178C7C5196}" name="6075"/>
    <tableColumn id="6089" xr3:uid="{810E6F62-A8DE-4621-9965-4C71F86A7FE7}" name="6076"/>
    <tableColumn id="6090" xr3:uid="{BF59921A-CCB9-43CD-B651-FBE1E7FDA0A8}" name="6077"/>
    <tableColumn id="6091" xr3:uid="{B40A796A-7BF3-42FC-86B3-26B940195596}" name="6078"/>
    <tableColumn id="6092" xr3:uid="{9086BC3A-47EB-45C0-BB66-95BE0FD2B489}" name="6079"/>
    <tableColumn id="6093" xr3:uid="{F393EE23-4BCE-4157-90AA-9C54DCFA6633}" name="6080"/>
    <tableColumn id="6094" xr3:uid="{577271C9-FF7F-415A-8A34-5DE87CC650FB}" name="6081"/>
    <tableColumn id="6095" xr3:uid="{B4A46B27-4F38-4AD5-918A-C0046284F067}" name="6082"/>
    <tableColumn id="6096" xr3:uid="{E190D60D-304E-47BA-8259-542DED771AB6}" name="6083"/>
    <tableColumn id="6097" xr3:uid="{8A0B2F2B-B283-4A28-99E1-DD27E4FDDE8C}" name="6084"/>
    <tableColumn id="6098" xr3:uid="{0A2136BB-9F61-4AEE-A5D8-E038B571EA9E}" name="6085"/>
    <tableColumn id="6099" xr3:uid="{86608609-1D79-4706-B82B-A87AC561A8D0}" name="6086"/>
    <tableColumn id="6100" xr3:uid="{600129CC-6DC8-4162-8FF7-503208973B06}" name="6087"/>
    <tableColumn id="6101" xr3:uid="{5524E371-1F4E-4B4A-B139-A907CD736B34}" name="6088"/>
    <tableColumn id="6102" xr3:uid="{2CEE616B-4D9A-4993-8FD9-E15786E95AA4}" name="6089"/>
    <tableColumn id="6103" xr3:uid="{0BEE176A-41A0-4BA1-BF72-E03A7ABB6A3F}" name="6090"/>
    <tableColumn id="6104" xr3:uid="{055BD341-582C-46FF-A8C7-319B2674CD32}" name="6091"/>
    <tableColumn id="6105" xr3:uid="{AA13627D-B808-48CD-B0E9-3F6D02BB46FF}" name="6092"/>
    <tableColumn id="6106" xr3:uid="{21575879-B650-4A06-8E4B-11061F846497}" name="6093"/>
    <tableColumn id="6107" xr3:uid="{492157F0-21EA-4FD0-9125-C504DD368F2C}" name="6094"/>
    <tableColumn id="6108" xr3:uid="{7E26AEE1-4A3B-4E49-92A7-1DDD3D83B711}" name="6095"/>
    <tableColumn id="6109" xr3:uid="{49F7526E-11D9-47DB-ABBB-620E12D8CD8D}" name="6096"/>
    <tableColumn id="6110" xr3:uid="{298353A3-7FE5-43F5-ACF2-7278A239F5F2}" name="6097"/>
    <tableColumn id="6111" xr3:uid="{DB713898-A4B7-4E71-BCB2-D2C900A325BA}" name="6098"/>
    <tableColumn id="6112" xr3:uid="{C9B78316-5691-4A7A-BF60-6A174C2F7A47}" name="6099"/>
    <tableColumn id="6113" xr3:uid="{6077CCE3-2736-413C-B0FD-2A5BD420581B}" name="6100"/>
    <tableColumn id="6114" xr3:uid="{37F431E2-4C40-410F-84EA-3E84F8E69A6C}" name="6101"/>
    <tableColumn id="6115" xr3:uid="{526E44FF-5AAF-459F-A1C1-5745F4B63A2E}" name="6102"/>
    <tableColumn id="6116" xr3:uid="{ABF40808-940F-480C-A3A8-1C528BAB75A7}" name="6103"/>
    <tableColumn id="6117" xr3:uid="{0BB60CE9-1C1E-4DDC-ABEB-6B2C164A40ED}" name="6104"/>
    <tableColumn id="6118" xr3:uid="{9D86A436-5235-4934-8DE3-BFB9A1DCED41}" name="6105"/>
    <tableColumn id="6119" xr3:uid="{22AEB6A7-BC72-4761-A6E4-F3F09DD8F682}" name="6106"/>
    <tableColumn id="6120" xr3:uid="{1C3C486A-BB76-4E0C-A6D2-3778D886C5DA}" name="6107"/>
    <tableColumn id="6121" xr3:uid="{34FBA07B-9744-43FD-8B51-A8D84236A61E}" name="6108"/>
    <tableColumn id="6122" xr3:uid="{326308A8-BBDF-420B-BAC7-E6FEFA1FE842}" name="6109"/>
    <tableColumn id="6123" xr3:uid="{91876F01-3943-4362-A9B0-ACE754348FDC}" name="6110"/>
    <tableColumn id="6124" xr3:uid="{FCAB5131-6146-4911-AF29-A8BE315ABAC2}" name="6111"/>
    <tableColumn id="6125" xr3:uid="{AB060B46-1CB4-45E4-AD8C-25E389111FC0}" name="6112"/>
    <tableColumn id="6126" xr3:uid="{F918F595-9498-4E6A-8B09-2C512CB64D4F}" name="6113"/>
    <tableColumn id="6127" xr3:uid="{EE53D6BF-B29F-4DA6-BAC6-1BF1A1E2A194}" name="6114"/>
    <tableColumn id="6128" xr3:uid="{A2C7AC44-2FB9-4715-87AA-3F9A33407387}" name="6115"/>
    <tableColumn id="6129" xr3:uid="{FA67D3B7-5F01-42C4-8A29-23B4AD6FDD8C}" name="6116"/>
    <tableColumn id="6130" xr3:uid="{1C087529-AF55-4374-8B16-275F84531200}" name="6117"/>
    <tableColumn id="6131" xr3:uid="{62F84853-DF73-47D0-8EA0-2FCB7B66B5B0}" name="6118"/>
    <tableColumn id="6132" xr3:uid="{702D07F6-6164-45FB-9B9D-4151336B6D4F}" name="6119"/>
    <tableColumn id="6133" xr3:uid="{4CA1CEC2-2B0B-4547-BA9C-91575D7A2959}" name="6120"/>
    <tableColumn id="6134" xr3:uid="{452CCA22-BBAC-48ED-952B-B332CD86CCEB}" name="6121"/>
    <tableColumn id="6135" xr3:uid="{4B9FA9BD-2D44-40C4-B867-2261C7A8CBA8}" name="6122"/>
    <tableColumn id="6136" xr3:uid="{767AF5A7-9735-4B1B-A01E-F1648C56E541}" name="6123"/>
    <tableColumn id="6137" xr3:uid="{5868EEF5-8D94-41A6-865E-9507AFEFB2AA}" name="6124"/>
    <tableColumn id="6138" xr3:uid="{3003A86A-7400-4F1D-9CC2-B78A71F2666E}" name="6125"/>
    <tableColumn id="6139" xr3:uid="{45A139BC-A55D-49D7-B09B-3AA84795D186}" name="6126"/>
    <tableColumn id="6140" xr3:uid="{20525588-A47C-4930-9D4C-EC90953BA9C1}" name="6127"/>
    <tableColumn id="6141" xr3:uid="{B31E6DA2-5D66-45B0-A150-EB818123CDA0}" name="6128"/>
    <tableColumn id="6142" xr3:uid="{D4DF59EF-1EA7-43C1-BE48-DDB1CB8D5F5E}" name="6129"/>
    <tableColumn id="6143" xr3:uid="{9BF4A7B7-0531-4B34-BCD7-F9E441AAE4C3}" name="6130"/>
    <tableColumn id="6144" xr3:uid="{7512EED7-332F-40BB-9D34-DCD7BEAD891C}" name="6131"/>
    <tableColumn id="6145" xr3:uid="{87E47900-48C3-450C-AD6C-4FED05900CEA}" name="6132"/>
    <tableColumn id="6146" xr3:uid="{C640BBC1-4052-4D7C-A6A0-E37F1DE12CD3}" name="6133"/>
    <tableColumn id="6147" xr3:uid="{AAE3044A-A13D-41E6-8B1C-18034003BC4F}" name="6134"/>
    <tableColumn id="6148" xr3:uid="{C0349C75-C9FA-48B5-A66C-A14A99955EC1}" name="6135"/>
    <tableColumn id="6149" xr3:uid="{56545521-ABBE-41F1-B6B0-522EFA048EE0}" name="6136"/>
    <tableColumn id="6150" xr3:uid="{37D7C53E-DFAD-4FA4-8A7D-17EE9549C3E5}" name="6137"/>
    <tableColumn id="6151" xr3:uid="{DAE84C8D-5E46-4519-B939-F48E52C20998}" name="6138"/>
    <tableColumn id="6152" xr3:uid="{B3F95C79-0254-4C35-9861-3D16856EE7B1}" name="6139"/>
    <tableColumn id="6153" xr3:uid="{89D180E1-4B76-427B-8E1C-501887621231}" name="6140"/>
    <tableColumn id="6154" xr3:uid="{DE9D276D-B849-4269-9DBD-02C388A1A371}" name="6141"/>
    <tableColumn id="6155" xr3:uid="{2E3280D4-48DA-4C3D-A4FE-207A6112C70B}" name="6142"/>
    <tableColumn id="6156" xr3:uid="{D8827E80-A363-47A9-83E1-506940C90C43}" name="6143"/>
    <tableColumn id="6157" xr3:uid="{B5F89347-1F55-4A7C-90EE-4F3C25D6A58C}" name="6144"/>
    <tableColumn id="6158" xr3:uid="{024AD805-8260-49CF-B5D1-9A2C4AD5EAB3}" name="6145"/>
    <tableColumn id="6159" xr3:uid="{71EBC031-857B-49C1-ACAA-181A9E303940}" name="6146"/>
    <tableColumn id="6160" xr3:uid="{EC144C10-028D-4C3C-BE6B-EBD0D1B7784A}" name="6147"/>
    <tableColumn id="6161" xr3:uid="{E908CDC6-766C-4A6C-9FC0-52E6C92D6DC1}" name="6148"/>
    <tableColumn id="6162" xr3:uid="{E74E0B90-2E8A-48BD-BE34-2E3D5BEE032E}" name="6149"/>
    <tableColumn id="6163" xr3:uid="{DBC3F4C0-D7B0-437B-A4DA-02C4258011A7}" name="6150"/>
    <tableColumn id="6164" xr3:uid="{05A61578-E4B3-4655-8DE7-01C470306A3F}" name="6151"/>
    <tableColumn id="6165" xr3:uid="{CBED6DFA-EC1D-4146-9146-1FFB22632324}" name="6152"/>
    <tableColumn id="6166" xr3:uid="{17F39FEC-D58A-47A1-9909-5056C33D18E4}" name="6153"/>
    <tableColumn id="6167" xr3:uid="{315781B9-9711-4FFF-9761-7972242E180B}" name="6154"/>
    <tableColumn id="6168" xr3:uid="{D8CA0227-B29F-4337-969B-ECA99A6CDAE7}" name="6155"/>
    <tableColumn id="6169" xr3:uid="{FE6650E0-BCBA-40BD-B948-F749D213B839}" name="6156"/>
    <tableColumn id="6170" xr3:uid="{EC847DD8-63E7-4C8D-B795-C6858549D4D5}" name="6157"/>
    <tableColumn id="6171" xr3:uid="{98652421-FE73-4B6C-A496-FCC133400D74}" name="6158"/>
    <tableColumn id="6172" xr3:uid="{107B8B9D-644A-43C7-AC9A-F614B62C3643}" name="6159"/>
    <tableColumn id="6173" xr3:uid="{6D7C4CE2-3EDF-43B1-92CB-BFD39BE76732}" name="6160"/>
    <tableColumn id="6174" xr3:uid="{51FA2378-88C1-4CE2-8AA6-0B340AB01FEE}" name="6161"/>
    <tableColumn id="6175" xr3:uid="{ABDC5F1D-3BEC-43BB-87C9-AD47768B0980}" name="6162"/>
    <tableColumn id="6176" xr3:uid="{5D2C846F-3104-4230-A785-B7EB2B7ED4A7}" name="6163"/>
    <tableColumn id="6177" xr3:uid="{C3D29E8C-45A5-4663-B613-AAE159F375D8}" name="6164"/>
    <tableColumn id="6178" xr3:uid="{802C9FFB-9EDB-4C43-BE03-4819DA802963}" name="6165"/>
    <tableColumn id="6179" xr3:uid="{67C71940-757F-4244-A405-1042D17AE8D2}" name="6166"/>
    <tableColumn id="6180" xr3:uid="{A005F348-9AAB-4455-A27B-B193DCBB6675}" name="6167"/>
    <tableColumn id="6181" xr3:uid="{F4E9E617-895B-4F75-8BB1-4C0EDA98EF76}" name="6168"/>
    <tableColumn id="6182" xr3:uid="{0497425F-EBDA-47EF-9A85-81107AD6646D}" name="6169"/>
    <tableColumn id="6183" xr3:uid="{E3E36881-C3F3-4B4E-9AEA-6EA16DCD0606}" name="6170"/>
    <tableColumn id="6184" xr3:uid="{AB1F912A-90B6-402F-A723-BBDA5189221F}" name="6171"/>
    <tableColumn id="6185" xr3:uid="{3A03B7B6-1FFD-46FC-8DCD-8AFE54778570}" name="6172"/>
    <tableColumn id="6186" xr3:uid="{057C8E99-4DCD-4E72-9274-AFA978F11219}" name="6173"/>
    <tableColumn id="6187" xr3:uid="{D819B23A-F24D-4425-A9EF-764A208774E9}" name="6174"/>
    <tableColumn id="6188" xr3:uid="{A4DBA2D5-EC37-48D8-BAEE-6B2BB29B5751}" name="6175"/>
    <tableColumn id="6189" xr3:uid="{F62EB433-C939-4BD1-8798-5FFB44855BDC}" name="6176"/>
    <tableColumn id="6190" xr3:uid="{9FC00380-8FFA-4570-B259-244872813368}" name="6177"/>
    <tableColumn id="6191" xr3:uid="{21321700-6D1D-4DFA-9468-4CFB3F684E4C}" name="6178"/>
    <tableColumn id="6192" xr3:uid="{A94AA4EC-2287-4CA5-A68E-F815928B1E34}" name="6179"/>
    <tableColumn id="6193" xr3:uid="{40C9CB83-0B23-4924-BB35-A0EBABB496C8}" name="6180"/>
    <tableColumn id="6194" xr3:uid="{61E6C596-8A8C-4AC2-AD47-601F397F508D}" name="6181"/>
    <tableColumn id="6195" xr3:uid="{A1275AD3-33E9-45AD-8611-B4319C5E2F63}" name="6182"/>
    <tableColumn id="6196" xr3:uid="{8ECBACFC-839A-4409-B8F5-2D59A59C250C}" name="6183"/>
    <tableColumn id="6197" xr3:uid="{D4E8DA68-600E-4156-B7EB-6EC21CC71E5F}" name="6184"/>
    <tableColumn id="6198" xr3:uid="{4FD26B28-29F8-4210-BEDF-7F03776F5702}" name="6185"/>
    <tableColumn id="6199" xr3:uid="{480995DD-E191-4A84-81EB-EA7911282DD3}" name="6186"/>
    <tableColumn id="6200" xr3:uid="{89406B18-76B4-4F25-8414-CD064FECB82B}" name="6187"/>
    <tableColumn id="6201" xr3:uid="{78CAEE9C-C618-41A9-8B21-8B371E12BD30}" name="6188"/>
    <tableColumn id="6202" xr3:uid="{267E4644-0715-48CD-BFE1-77A0BFBEE103}" name="6189"/>
    <tableColumn id="6203" xr3:uid="{D3E72282-AC30-4B10-A936-01BD600335F7}" name="6190"/>
    <tableColumn id="6204" xr3:uid="{50F4BE6A-AC20-46B5-89B2-FDFE1AEBE972}" name="6191"/>
    <tableColumn id="6205" xr3:uid="{136271C1-0395-4D8A-9D12-56D66BBAB360}" name="6192"/>
    <tableColumn id="6206" xr3:uid="{C6F7F4AB-7AB8-48EC-8363-6CAD84331189}" name="6193"/>
    <tableColumn id="6207" xr3:uid="{34CC2977-A810-4606-B482-5AB64B67C35C}" name="6194"/>
    <tableColumn id="6208" xr3:uid="{9E770CB6-857C-43BC-B435-380E2E486372}" name="6195"/>
    <tableColumn id="6209" xr3:uid="{B46118B0-1F6A-4B82-A625-0470E9E81355}" name="6196"/>
    <tableColumn id="6210" xr3:uid="{6A0EAC66-4B28-4A36-AB77-B1C9E0962458}" name="6197"/>
    <tableColumn id="6211" xr3:uid="{9C063373-7D74-49AD-B182-97541DFB064D}" name="6198"/>
    <tableColumn id="6212" xr3:uid="{A643EFDA-012A-4C88-B425-DC637F485F7C}" name="6199"/>
    <tableColumn id="6213" xr3:uid="{37D0A1DE-E3DF-44A7-9948-E6279C425046}" name="6200"/>
    <tableColumn id="6214" xr3:uid="{659EAF38-444E-4514-A861-8666F29E9BB2}" name="6201"/>
    <tableColumn id="6215" xr3:uid="{0B089340-7DC4-4EB2-A9D5-5CDA4286D102}" name="6202"/>
    <tableColumn id="6216" xr3:uid="{AA5D3F2D-39A7-42BD-82A5-90D08487A9B3}" name="6203"/>
    <tableColumn id="6217" xr3:uid="{2E723496-3C9D-411A-86B6-03A6126F3D50}" name="6204"/>
    <tableColumn id="6218" xr3:uid="{59763A25-0F2D-4A82-9B3E-A2D135BA0398}" name="6205"/>
    <tableColumn id="6219" xr3:uid="{9838B74C-09EA-4F3B-99F6-484B27F2A823}" name="6206"/>
    <tableColumn id="6220" xr3:uid="{5DB78EF7-BC9A-4A1B-9781-809A5C976232}" name="6207"/>
    <tableColumn id="6221" xr3:uid="{8C82D3B8-5AE4-45E4-A16C-EB28789A597C}" name="6208"/>
    <tableColumn id="6222" xr3:uid="{ACBAC76D-53F7-4F4B-A6B8-A602FB0CE2B8}" name="6209"/>
    <tableColumn id="6223" xr3:uid="{E9F2A123-5213-491B-9AA1-AA7E40F400E0}" name="6210"/>
    <tableColumn id="6224" xr3:uid="{A434D988-4447-43C3-BEA0-6E89682552F6}" name="6211"/>
    <tableColumn id="6225" xr3:uid="{82ECAF37-D104-42F8-8CE3-F11EFF651EE1}" name="6212"/>
    <tableColumn id="6226" xr3:uid="{7C8DB650-E008-477A-8ABF-092D711E472E}" name="6213"/>
    <tableColumn id="6227" xr3:uid="{5E4A5C87-41F7-4CA3-8283-48C31D0E44D1}" name="6214"/>
    <tableColumn id="6228" xr3:uid="{9D0CC576-8EC5-46BC-80E5-B10B9567AD82}" name="6215"/>
    <tableColumn id="6229" xr3:uid="{4E835A9C-17CE-4115-8793-53D30C6BC752}" name="6216"/>
    <tableColumn id="6230" xr3:uid="{35F96295-EDB6-4A48-AA66-F16CAB49BB1C}" name="6217"/>
    <tableColumn id="6231" xr3:uid="{6A5CF806-334C-4AC0-9324-B551D329A89B}" name="6218"/>
    <tableColumn id="6232" xr3:uid="{CA2AB567-377A-4241-8AD7-7439F9F5E04C}" name="6219"/>
    <tableColumn id="6233" xr3:uid="{5311A536-0E18-4B6F-A219-7A95F033CB69}" name="6220"/>
    <tableColumn id="6234" xr3:uid="{AEDBFE59-E15D-47B7-AECA-1DF74BAFF6D4}" name="6221"/>
    <tableColumn id="6235" xr3:uid="{EBF65F1A-4A61-4E7A-8D1A-E53C1A867990}" name="6222"/>
    <tableColumn id="6236" xr3:uid="{85C87114-BF03-4954-83CA-0F4677A20B9B}" name="6223"/>
    <tableColumn id="6237" xr3:uid="{41D4B8F5-F5EC-4B7A-8EB8-EB260140F01E}" name="6224"/>
    <tableColumn id="6238" xr3:uid="{7ADF8B95-0890-49B8-8ED0-327A65625EC8}" name="6225"/>
    <tableColumn id="6239" xr3:uid="{7AA910E6-3A1A-4018-9BD8-91D22168A0B4}" name="6226"/>
    <tableColumn id="6240" xr3:uid="{538B901E-85B2-42AA-8088-700189FF8241}" name="6227"/>
    <tableColumn id="6241" xr3:uid="{E0B58EE4-8941-4E72-AB79-0EA11732965D}" name="6228"/>
    <tableColumn id="6242" xr3:uid="{EAADB508-4008-49F9-A4DD-96529F67A713}" name="6229"/>
    <tableColumn id="6243" xr3:uid="{EF642642-DE01-4B28-99B9-BC9A7229CA5A}" name="6230"/>
    <tableColumn id="6244" xr3:uid="{38B734EF-5D36-4E64-98A8-E648A5209F59}" name="6231"/>
    <tableColumn id="6245" xr3:uid="{07618232-8FE6-41A1-B85E-A733117E66DC}" name="6232"/>
    <tableColumn id="6246" xr3:uid="{CAF6A8B2-E395-4FFD-A18D-26BA1BD0E4BF}" name="6233"/>
    <tableColumn id="6247" xr3:uid="{6D23DC7F-D8EB-4776-A8FB-F4E26D87D8B6}" name="6234"/>
    <tableColumn id="6248" xr3:uid="{3451BF11-A0F0-4A1B-BAF4-625538F2BF3C}" name="6235"/>
    <tableColumn id="6249" xr3:uid="{3AAD8E0E-479B-4F84-A91C-7B67CEC0FD86}" name="6236"/>
    <tableColumn id="6250" xr3:uid="{49BEC244-CD9F-4B79-8F98-141AFD0AC750}" name="6237"/>
    <tableColumn id="6251" xr3:uid="{DA727EAF-730A-404E-A016-66C2657DA094}" name="6238"/>
    <tableColumn id="6252" xr3:uid="{EFE1522E-91B2-43FE-BE17-AE82206BB0CE}" name="6239"/>
    <tableColumn id="6253" xr3:uid="{97A8E27B-7D13-4C20-B836-46A78817175A}" name="6240"/>
    <tableColumn id="6254" xr3:uid="{18E458F3-A0EB-44FF-8932-6A20F8A55643}" name="6241"/>
    <tableColumn id="6255" xr3:uid="{BDC4B5A3-F82D-4461-97D1-D67DCAB137E0}" name="6242"/>
    <tableColumn id="6256" xr3:uid="{198FFDA0-F03C-4F5A-86EA-E27D46E9CB3A}" name="6243"/>
    <tableColumn id="6257" xr3:uid="{020E270A-0B40-45C9-A1CE-2427CC114CA7}" name="6244"/>
    <tableColumn id="6258" xr3:uid="{7D0FC284-28DC-4BBF-919F-80C58B08B9CA}" name="6245"/>
    <tableColumn id="6259" xr3:uid="{AEF43EA4-02B9-4DD1-B316-DA27CBB06F31}" name="6246"/>
    <tableColumn id="6260" xr3:uid="{2B63841F-EFDD-438C-86D5-50C92EA6DE68}" name="6247"/>
    <tableColumn id="6261" xr3:uid="{077A6051-7D1C-4CE0-9B74-987489BDADD6}" name="6248"/>
    <tableColumn id="6262" xr3:uid="{80C832C0-BE6E-4E31-8805-9FBCC3772B19}" name="6249"/>
    <tableColumn id="6263" xr3:uid="{B9398740-1473-4C98-8595-A15EF53EEA51}" name="6250"/>
    <tableColumn id="6264" xr3:uid="{7AB864E6-093C-4619-8A4E-56339D6E32B8}" name="6251"/>
    <tableColumn id="6265" xr3:uid="{D0E4A3F8-1039-4374-AA24-21EFBBD9EF28}" name="6252"/>
    <tableColumn id="6266" xr3:uid="{2DE7EA96-EF13-473D-B2C7-3D5C7FB969C5}" name="6253"/>
    <tableColumn id="6267" xr3:uid="{E985D8CA-D623-4219-8F6C-42A53C2BD2A6}" name="6254"/>
    <tableColumn id="6268" xr3:uid="{39EC00FD-9450-4AFA-91E0-53A254F73471}" name="6255"/>
    <tableColumn id="6269" xr3:uid="{A02BDA90-B420-4883-858D-F7FD038C0BE9}" name="6256"/>
    <tableColumn id="6270" xr3:uid="{91C9FB83-3C80-49BD-99BA-8CCD6244357F}" name="6257"/>
    <tableColumn id="6271" xr3:uid="{260A8772-1A6A-46E8-8EEB-AE03262666F3}" name="6258"/>
    <tableColumn id="6272" xr3:uid="{ED24B3C7-4A88-4B5F-A3F6-7D0D798AEF35}" name="6259"/>
    <tableColumn id="6273" xr3:uid="{FC60895C-24BB-4D54-B50D-684A5C65CF4A}" name="6260"/>
    <tableColumn id="6274" xr3:uid="{F7B8F503-6FBF-4405-BAA5-BF7A35B012D3}" name="6261"/>
    <tableColumn id="6275" xr3:uid="{5759DDF3-9EC7-4786-BD41-AC83B427A487}" name="6262"/>
    <tableColumn id="6276" xr3:uid="{C0C01509-6608-4389-9121-27A9BCF403C1}" name="6263"/>
    <tableColumn id="6277" xr3:uid="{FB7D5111-5299-4A2E-8F81-127380AB9877}" name="6264"/>
    <tableColumn id="6278" xr3:uid="{0616C7D7-60D8-45AB-A57D-7043FD56562E}" name="6265"/>
    <tableColumn id="6279" xr3:uid="{972E187F-BB1C-4E7D-A817-0B7CD819CC36}" name="6266"/>
    <tableColumn id="6280" xr3:uid="{7AF4C1BC-04B0-434F-AF80-17BFC537315C}" name="6267"/>
    <tableColumn id="6281" xr3:uid="{FC689D92-84F5-44E8-8CD9-72CE61DFBF27}" name="6268"/>
    <tableColumn id="6282" xr3:uid="{4662B2AB-61DF-4672-89D1-7B7011F41159}" name="6269"/>
    <tableColumn id="6283" xr3:uid="{78BC64A3-6A93-43DD-9068-2B6439C49F18}" name="6270"/>
    <tableColumn id="6284" xr3:uid="{423BDFA9-D351-4A28-A5B8-F5B34D70A804}" name="6271"/>
    <tableColumn id="6285" xr3:uid="{28AA02A0-6A6B-4F7C-91D7-E47A5A397574}" name="6272"/>
    <tableColumn id="6286" xr3:uid="{49CF8F17-A6BF-4C51-B5E0-EBD28AD67364}" name="6273"/>
    <tableColumn id="6287" xr3:uid="{94A61A15-97ED-465C-A360-1B2F1E1D4B72}" name="6274"/>
    <tableColumn id="6288" xr3:uid="{7BCF8A55-5E94-49B7-8906-B062CC9A6129}" name="6275"/>
    <tableColumn id="6289" xr3:uid="{4E47B2AD-8D7A-46F8-AF2B-93647A8D9B0D}" name="6276"/>
    <tableColumn id="6290" xr3:uid="{897591EF-E058-43C7-B939-234528C327AA}" name="6277"/>
    <tableColumn id="6291" xr3:uid="{24C4BE63-C497-4C36-B90C-3497723A7A47}" name="6278"/>
    <tableColumn id="6292" xr3:uid="{03BAF5DF-F541-4D12-A9B7-EECA5760FDC5}" name="6279"/>
    <tableColumn id="6293" xr3:uid="{8A66BEB2-A2B9-410D-AD37-FB9E0545084E}" name="6280"/>
    <tableColumn id="6294" xr3:uid="{CDAAA9F4-286A-47C1-9EDF-16519383DE1C}" name="6281"/>
    <tableColumn id="6295" xr3:uid="{1FAA567E-5B68-49E3-B813-B2D74DD07E07}" name="6282"/>
    <tableColumn id="6296" xr3:uid="{F8253F13-EA9C-4A80-B240-5468AD1FBE76}" name="6283"/>
    <tableColumn id="6297" xr3:uid="{341F9C53-9544-4231-9197-4E0616919163}" name="6284"/>
    <tableColumn id="6298" xr3:uid="{EEBA8BB6-1B36-4ADE-B1B0-118F5D2F6634}" name="6285"/>
    <tableColumn id="6299" xr3:uid="{A512C97C-7ADE-4409-8843-06DA6EAFD486}" name="6286"/>
    <tableColumn id="6300" xr3:uid="{FADA2EDF-8F5E-448D-8379-C6BCD19B996E}" name="6287"/>
    <tableColumn id="6301" xr3:uid="{92EEA930-F572-427F-B00B-FB05E4AE987A}" name="6288"/>
    <tableColumn id="6302" xr3:uid="{BA3D4D46-A91C-459B-96E6-C1D94C7881B1}" name="6289"/>
    <tableColumn id="6303" xr3:uid="{CF05EE8B-0FF9-4EDC-A03C-B7FC8A3050E4}" name="6290"/>
    <tableColumn id="6304" xr3:uid="{91A1E210-1B53-4FF2-B3CC-BC73B6E128FF}" name="6291"/>
    <tableColumn id="6305" xr3:uid="{B5D74A1C-E3F2-4589-8417-53E1A3043BAD}" name="6292"/>
    <tableColumn id="6306" xr3:uid="{6B61FDF7-3312-4255-9194-3DD01FCEC940}" name="6293"/>
    <tableColumn id="6307" xr3:uid="{D8E3D27F-999D-4D3B-A964-172ED4E5A935}" name="6294"/>
    <tableColumn id="6308" xr3:uid="{FCD6E217-BC66-47D9-89C5-CC02F5A9C693}" name="6295"/>
    <tableColumn id="6309" xr3:uid="{1D3E823E-86AA-42BE-8F01-6C2ED6641BF3}" name="6296"/>
    <tableColumn id="6310" xr3:uid="{BBBC8389-E634-4537-AB89-7600CA6959FB}" name="6297"/>
    <tableColumn id="6311" xr3:uid="{D94226BF-4588-4D0A-A2BC-1DE4250DEA40}" name="6298"/>
    <tableColumn id="6312" xr3:uid="{5088BD95-1D5D-4CB7-A84E-99BC0C13E085}" name="6299"/>
    <tableColumn id="6313" xr3:uid="{B587328B-D451-4EE8-8EFD-715A4AE5A142}" name="6300"/>
    <tableColumn id="6314" xr3:uid="{4DD452CC-6C27-4B80-9F86-78922EA01750}" name="6301"/>
    <tableColumn id="6315" xr3:uid="{74F2E8FD-F361-4F9E-AABD-F53CDF25F33A}" name="6302"/>
    <tableColumn id="6316" xr3:uid="{BAF27EE9-58A8-4B2B-8111-2616E12C4102}" name="6303"/>
    <tableColumn id="6317" xr3:uid="{5A41C118-F238-498C-9287-6E9DA6C0C38B}" name="6304"/>
    <tableColumn id="6318" xr3:uid="{B3A92EEB-3BAB-4D8D-80C0-40DA1B6BE7D5}" name="6305"/>
    <tableColumn id="6319" xr3:uid="{71D864C6-3A2E-4C9F-90C9-D35D8BFDF667}" name="6306"/>
    <tableColumn id="6320" xr3:uid="{BE5F5E21-622D-4633-9E09-9852D6D1E09D}" name="6307"/>
    <tableColumn id="6321" xr3:uid="{9855247E-8AAF-4EAC-84ED-0A4111AE4701}" name="6308"/>
    <tableColumn id="6322" xr3:uid="{ECD6CAFE-C44F-4F3A-B73F-63A7B84F34AA}" name="6309"/>
    <tableColumn id="6323" xr3:uid="{E1F9D844-38B3-41AE-B93D-504C1FEB223C}" name="6310"/>
    <tableColumn id="6324" xr3:uid="{8AB0C45D-65BB-4CFF-92DB-0F50AE33449E}" name="6311"/>
    <tableColumn id="6325" xr3:uid="{425573FA-0C6F-480C-AFE7-97D766875CC0}" name="6312"/>
    <tableColumn id="6326" xr3:uid="{92A4FC84-E0C2-4774-A458-CFB4BF02F1BD}" name="6313"/>
    <tableColumn id="6327" xr3:uid="{C1226D1D-DC3A-459A-A6A6-D3A30A5281E2}" name="6314"/>
    <tableColumn id="6328" xr3:uid="{84F68F69-25D4-4B96-AB4C-B60FC81CC6F6}" name="6315"/>
    <tableColumn id="6329" xr3:uid="{9BF138CC-46EE-4D35-8170-B1B59F6AB08A}" name="6316"/>
    <tableColumn id="6330" xr3:uid="{0451E958-A268-442D-A3FA-8B69A3E19D35}" name="6317"/>
    <tableColumn id="6331" xr3:uid="{DBD4627E-4502-465F-A281-20F7862889FB}" name="6318"/>
    <tableColumn id="6332" xr3:uid="{3A60DA58-2E41-499F-A521-EBCFE50123EB}" name="6319"/>
    <tableColumn id="6333" xr3:uid="{2B8A7566-83F2-42E1-B8B3-DFC1101EC545}" name="6320"/>
    <tableColumn id="6334" xr3:uid="{4B236D01-7BDB-4349-9F07-1DB12C88BF20}" name="6321"/>
    <tableColumn id="6335" xr3:uid="{0A875930-4762-4F8D-8621-07779EDD444B}" name="6322"/>
    <tableColumn id="6336" xr3:uid="{CCE0427C-5440-4AD0-96DF-821F32F1B73D}" name="6323"/>
    <tableColumn id="6337" xr3:uid="{C0302853-EB1F-4A60-A997-968374171660}" name="6324"/>
    <tableColumn id="6338" xr3:uid="{8EFF0EBA-B670-4AEE-A788-17D47672A505}" name="6325"/>
    <tableColumn id="6339" xr3:uid="{F6223EB3-4A80-4B5E-B87E-606283B83EED}" name="6326"/>
    <tableColumn id="6340" xr3:uid="{D35FB101-7783-46C5-B851-6B90263EB6BD}" name="6327"/>
    <tableColumn id="6341" xr3:uid="{0F9253B3-F823-4C6B-9B43-F7BD7BAA9A9F}" name="6328"/>
    <tableColumn id="6342" xr3:uid="{75AC3C1B-A893-4480-8E90-1D5EC643C019}" name="6329"/>
    <tableColumn id="6343" xr3:uid="{BF08DF60-2944-41A3-9F80-9CF3BF990A66}" name="6330"/>
    <tableColumn id="6344" xr3:uid="{1110BB20-6C8F-48F4-9CB1-8ABC534EB243}" name="6331"/>
    <tableColumn id="6345" xr3:uid="{79A019B3-5587-4F56-9BD0-52AEC007BFD1}" name="6332"/>
    <tableColumn id="6346" xr3:uid="{748D3174-9B28-4FDA-8FE7-6F01E74C79CA}" name="6333"/>
    <tableColumn id="6347" xr3:uid="{88B69CAD-D9CE-4712-8874-E7D580BACD28}" name="6334"/>
    <tableColumn id="6348" xr3:uid="{9E87B852-6FDC-43C0-8E55-89638CBA4FE8}" name="6335"/>
    <tableColumn id="6349" xr3:uid="{3E042204-535E-4CBF-823E-4B46FF48A5DC}" name="6336"/>
    <tableColumn id="6350" xr3:uid="{E0D8B1E8-C983-403D-8106-988E70765C5D}" name="6337"/>
    <tableColumn id="6351" xr3:uid="{85B580B2-B03C-4AEE-9CE0-B146215E0FC1}" name="6338"/>
    <tableColumn id="6352" xr3:uid="{60283B46-83DB-4C92-9C26-EE8B0E064440}" name="6339"/>
    <tableColumn id="6353" xr3:uid="{2A1B04A5-57D5-4F52-815A-73F45751BB4C}" name="6340"/>
    <tableColumn id="6354" xr3:uid="{70DDA489-7BC6-4575-B19A-34E1F38BF092}" name="6341"/>
    <tableColumn id="6355" xr3:uid="{6DEEF253-A2B1-4BB4-95BD-77913080CCA0}" name="6342"/>
    <tableColumn id="6356" xr3:uid="{29734DCD-EA84-4954-AC6E-D929D330F2A5}" name="6343"/>
    <tableColumn id="6357" xr3:uid="{314BEB61-91BF-4EAD-A726-D17E8F6F612F}" name="6344"/>
    <tableColumn id="6358" xr3:uid="{CF519959-D6DC-4F94-90B4-9AFB95DD7DA6}" name="6345"/>
    <tableColumn id="6359" xr3:uid="{EAF575F0-D1AD-494F-AA50-635B99735E90}" name="6346"/>
    <tableColumn id="6360" xr3:uid="{41BD144E-17C6-4FDE-8C72-4785D69A51B5}" name="6347"/>
    <tableColumn id="6361" xr3:uid="{F85F23D1-AE8D-48D1-904E-7E6B3AED2A9D}" name="6348"/>
    <tableColumn id="6362" xr3:uid="{03E96FDC-1CA5-4060-913E-CB28F7571558}" name="6349"/>
    <tableColumn id="6363" xr3:uid="{26ACC548-3BA7-477D-8D0E-2BCB5A9C53C3}" name="6350"/>
    <tableColumn id="6364" xr3:uid="{CFE8897A-17C8-49D3-8A86-130CC6F99B64}" name="6351"/>
    <tableColumn id="6365" xr3:uid="{A1F1DD0C-212D-406B-916E-F3A1DF16028C}" name="6352"/>
    <tableColumn id="6366" xr3:uid="{AEFEB320-3384-4E5D-829D-CE5D796B9B47}" name="6353"/>
    <tableColumn id="6367" xr3:uid="{0AABB8EE-5CF2-478A-B9F5-57AA7B0FE232}" name="6354"/>
    <tableColumn id="6368" xr3:uid="{7CA00D8B-5F22-4A47-9573-24A956430C2A}" name="6355"/>
    <tableColumn id="6369" xr3:uid="{302F606F-0EB4-468D-9387-06B0794E59DA}" name="6356"/>
    <tableColumn id="6370" xr3:uid="{CE86E8E9-BF89-4069-BED4-413E238627B6}" name="6357"/>
    <tableColumn id="6371" xr3:uid="{A39ED85F-CF54-4DE9-BDBC-BC84233DCABC}" name="6358"/>
    <tableColumn id="6372" xr3:uid="{55A61689-438B-4B0C-AF73-C7A68687C083}" name="6359"/>
    <tableColumn id="6373" xr3:uid="{E8A7759A-7554-40C6-8422-BFA5E3F641AA}" name="6360"/>
    <tableColumn id="6374" xr3:uid="{DA9A7F7F-98C2-4FAA-997A-8EDEE94B25D9}" name="6361"/>
    <tableColumn id="6375" xr3:uid="{7EB6C8BE-9FFC-4C1C-B8CD-FA5E295688C5}" name="6362"/>
    <tableColumn id="6376" xr3:uid="{54C2A472-2CC5-49F4-9B73-AC1F36D18E7E}" name="6363"/>
    <tableColumn id="6377" xr3:uid="{1EC5EA37-1780-43CC-9C36-814B7CF8ED49}" name="6364"/>
    <tableColumn id="6378" xr3:uid="{CBABC595-ADCB-4EBF-B997-C11B7C1FE69A}" name="6365"/>
    <tableColumn id="6379" xr3:uid="{69207D29-4676-44E9-8CB0-F3AA9DFCB0A7}" name="6366"/>
    <tableColumn id="6380" xr3:uid="{943E187B-35D1-41A3-8432-06E91D69FFBF}" name="6367"/>
    <tableColumn id="6381" xr3:uid="{1FD4269C-2F6B-4F9C-87BF-6323EED10C86}" name="6368"/>
    <tableColumn id="6382" xr3:uid="{947FC15B-BD48-4966-B2AE-DB273BE2C371}" name="6369"/>
    <tableColumn id="6383" xr3:uid="{9418DB25-F46F-48E9-9709-BD65998B5AAC}" name="6370"/>
    <tableColumn id="6384" xr3:uid="{EB7BADAF-7644-4B7F-9B2C-9B2AD3E7A0DF}" name="6371"/>
    <tableColumn id="6385" xr3:uid="{4F3FE791-3A47-43E3-8562-B46E4F0AF0E9}" name="6372"/>
    <tableColumn id="6386" xr3:uid="{C691C28E-FBCC-48E1-8B73-4CC5761EDF47}" name="6373"/>
    <tableColumn id="6387" xr3:uid="{5423A27C-9809-4095-9F42-9BA62AFDFE02}" name="6374"/>
    <tableColumn id="6388" xr3:uid="{4BEF3D1E-6CAE-417C-A3DE-2F37C8BEB8BB}" name="6375"/>
    <tableColumn id="6389" xr3:uid="{1AE63D71-D7E3-4832-A01D-526C9FFA7659}" name="6376"/>
    <tableColumn id="6390" xr3:uid="{CA1A472A-A59C-4E61-87C2-6D3AABD726CE}" name="6377"/>
    <tableColumn id="6391" xr3:uid="{C136DFA1-5585-431F-ACFE-5B7CFA8C1351}" name="6378"/>
    <tableColumn id="6392" xr3:uid="{C90A0165-06F4-43B8-963F-136293D717DB}" name="6379"/>
    <tableColumn id="6393" xr3:uid="{2925FB51-5BD1-429F-9623-D2666BC4957D}" name="6380"/>
    <tableColumn id="6394" xr3:uid="{DFD5BD52-3F9C-4E64-BBC5-CA62766EE063}" name="6381"/>
    <tableColumn id="6395" xr3:uid="{D6ECF04E-2505-46F9-90AD-1FF12B0E4A3D}" name="6382"/>
    <tableColumn id="6396" xr3:uid="{AE0693B0-4CA5-4DC0-A2E4-27D9A9BC79DE}" name="6383"/>
    <tableColumn id="6397" xr3:uid="{74AE5F22-50F9-43D8-8AD2-B5127E12FB86}" name="6384"/>
    <tableColumn id="6398" xr3:uid="{D977ED54-ADEA-4B44-BE5F-1017B40A1395}" name="6385"/>
    <tableColumn id="6399" xr3:uid="{CA1EBA08-462F-41B8-AA1E-B046909D82D8}" name="6386"/>
    <tableColumn id="6400" xr3:uid="{67BE961A-2C91-47EF-91E0-E235093309B3}" name="6387"/>
    <tableColumn id="6401" xr3:uid="{0F3E5345-EA4D-480C-908D-485AF017229C}" name="6388"/>
    <tableColumn id="6402" xr3:uid="{1AE13AFA-BDD3-4A52-B9C2-D16A22DCD620}" name="6389"/>
    <tableColumn id="6403" xr3:uid="{244A6CE8-7F3A-457B-B0AF-A981C3A647D0}" name="6390"/>
    <tableColumn id="6404" xr3:uid="{73292DFE-4A18-4592-964E-E381A3C74304}" name="6391"/>
    <tableColumn id="6405" xr3:uid="{A31D914D-1064-495A-8801-98BC3DF6BED2}" name="6392"/>
    <tableColumn id="6406" xr3:uid="{CC20AF22-D80D-451C-B9AC-1F6176F17A91}" name="6393"/>
    <tableColumn id="6407" xr3:uid="{013FFF8D-D8D4-40DF-A76D-C3347FF7913D}" name="6394"/>
    <tableColumn id="6408" xr3:uid="{E1557384-CCE5-416D-887C-29CD032613EF}" name="6395"/>
    <tableColumn id="6409" xr3:uid="{1AFB7A10-21A0-4EC9-96BB-BA8BC5E78852}" name="6396"/>
    <tableColumn id="6410" xr3:uid="{A6B506D5-8722-4206-8054-B48ECA106CBD}" name="6397"/>
    <tableColumn id="6411" xr3:uid="{4CE5061D-D08B-4180-BEB7-691C0F66C883}" name="6398"/>
    <tableColumn id="6412" xr3:uid="{4A705DED-1A9C-47CD-821C-36FD58E2D8BB}" name="6399"/>
    <tableColumn id="6413" xr3:uid="{F2DD55E3-F707-4647-B165-4BBF81B4BD28}" name="6400"/>
    <tableColumn id="6414" xr3:uid="{7FB9F3E9-B44F-4D71-9AB0-E974706996AA}" name="6401"/>
    <tableColumn id="6415" xr3:uid="{6BBE644E-BBC9-42D7-80E0-B23DDB2EF4C9}" name="6402"/>
    <tableColumn id="6416" xr3:uid="{D7E399F7-41EC-404A-86AD-2C029F8C5C58}" name="6403"/>
    <tableColumn id="6417" xr3:uid="{E7C7CF7B-6DAD-4029-B158-3495C7D450E3}" name="6404"/>
    <tableColumn id="6418" xr3:uid="{CA441373-7A6A-4AC0-8388-F25B470A088D}" name="6405"/>
    <tableColumn id="6419" xr3:uid="{C5EEA596-77CF-46A0-B387-E76640E75CDC}" name="6406"/>
    <tableColumn id="6420" xr3:uid="{04A5E171-B5FB-47B1-92A5-F06B6F98A3EF}" name="6407"/>
    <tableColumn id="6421" xr3:uid="{DAB9BC17-5C11-4C12-BA64-24D60ABB2FE7}" name="6408"/>
    <tableColumn id="6422" xr3:uid="{4B89400D-CAA2-423C-92DF-F436C4DC67EF}" name="6409"/>
    <tableColumn id="6423" xr3:uid="{2F603518-E440-442B-AED8-504BF5D904F2}" name="6410"/>
    <tableColumn id="6424" xr3:uid="{A239139A-9046-4CAF-B7C3-787948B28CEC}" name="6411"/>
    <tableColumn id="6425" xr3:uid="{8DF7752E-7D72-4DA0-9BE2-A75BFB4C4D6E}" name="6412"/>
    <tableColumn id="6426" xr3:uid="{D8DFF210-473C-4DBA-A9FF-CF0F3B15940A}" name="6413"/>
    <tableColumn id="6427" xr3:uid="{81590084-4E59-4348-9080-44F21D180051}" name="6414"/>
    <tableColumn id="6428" xr3:uid="{A3D8515B-D354-4B4D-998D-3F846A83ED08}" name="6415"/>
    <tableColumn id="6429" xr3:uid="{63901297-23EF-44B5-AFE5-09BC9A243E7C}" name="6416"/>
    <tableColumn id="6430" xr3:uid="{414039B6-16C2-45A0-88A6-AFCC0E868A72}" name="6417"/>
    <tableColumn id="6431" xr3:uid="{04A5AA12-E663-46D9-968A-C84B4DE6BD19}" name="6418"/>
    <tableColumn id="6432" xr3:uid="{55F18B17-EB6A-43B2-9260-C7DDB4F3F128}" name="6419"/>
    <tableColumn id="6433" xr3:uid="{A4A1A42B-9B30-4E34-B560-A8D7EE526F67}" name="6420"/>
    <tableColumn id="6434" xr3:uid="{09D8467D-B702-4E8B-BFD4-E7616CF0C8A2}" name="6421"/>
    <tableColumn id="6435" xr3:uid="{6F4E71A0-DEB2-447F-AF96-C3C7E59A0572}" name="6422"/>
    <tableColumn id="6436" xr3:uid="{447EC444-A28F-4B31-BFC7-99C9937410EC}" name="6423"/>
    <tableColumn id="6437" xr3:uid="{6C71D99F-191D-432B-A7D2-19D66A3FC013}" name="6424"/>
    <tableColumn id="6438" xr3:uid="{A3AA13C7-5302-4526-8700-7300EA4FCE8E}" name="6425"/>
    <tableColumn id="6439" xr3:uid="{940639B6-11D3-403B-A109-B0ADA30E16A7}" name="6426"/>
    <tableColumn id="6440" xr3:uid="{8EFF5A01-484C-4250-900B-42A0420DF110}" name="6427"/>
    <tableColumn id="6441" xr3:uid="{F070906C-1639-4B61-94E3-38F57923FC95}" name="6428"/>
    <tableColumn id="6442" xr3:uid="{BC3EAB64-53E1-4BAE-9DAA-8F44922FA14D}" name="6429"/>
    <tableColumn id="6443" xr3:uid="{AB3A6EF8-0171-4A9F-BD86-1E2A78BD559F}" name="6430"/>
    <tableColumn id="6444" xr3:uid="{3A594434-19D0-491D-8B14-A01271724A18}" name="6431"/>
    <tableColumn id="6445" xr3:uid="{C0661C3A-B1C0-40D6-BD7C-92A25E61DAC0}" name="6432"/>
    <tableColumn id="6446" xr3:uid="{3CFE9743-08E8-4263-9BBD-2F99F9E857C6}" name="6433"/>
    <tableColumn id="6447" xr3:uid="{69AAB5F1-C352-4DE2-B9F9-08D3B9306DD5}" name="6434"/>
    <tableColumn id="6448" xr3:uid="{3BC53A0E-DF0C-450A-A815-9D2F9284FEB6}" name="6435"/>
    <tableColumn id="6449" xr3:uid="{49D5006B-8A57-4EBD-9F8D-B9280FC47E20}" name="6436"/>
    <tableColumn id="6450" xr3:uid="{CFFE4F7C-664A-4FF7-98D9-A24A53CEE4BD}" name="6437"/>
    <tableColumn id="6451" xr3:uid="{230B5C82-CA99-47E1-89CD-7587B21757EF}" name="6438"/>
    <tableColumn id="6452" xr3:uid="{8AF6FBCB-F152-46F8-8E48-DC4FFC55CD54}" name="6439"/>
    <tableColumn id="6453" xr3:uid="{662096D8-9066-4B3D-B031-EA7CE0E8B674}" name="6440"/>
    <tableColumn id="6454" xr3:uid="{54766AF9-F0BC-43B9-886C-5406C673CCF1}" name="6441"/>
    <tableColumn id="6455" xr3:uid="{77DF058A-713C-4971-8BE6-8F2368DF9A4B}" name="6442"/>
    <tableColumn id="6456" xr3:uid="{10BE06F7-B337-4741-BAB3-215A8FA9FDEC}" name="6443"/>
    <tableColumn id="6457" xr3:uid="{9EB6B1B7-7621-4B98-B03E-375039001808}" name="6444"/>
    <tableColumn id="6458" xr3:uid="{7D8DE5EF-A65A-4C25-98D1-F267392F5D26}" name="6445"/>
    <tableColumn id="6459" xr3:uid="{B4B2A846-E870-4A54-B6C2-B9BDA4A08893}" name="6446"/>
    <tableColumn id="6460" xr3:uid="{6384358C-0D1A-48C2-B9FC-EE2A51570999}" name="6447"/>
    <tableColumn id="6461" xr3:uid="{A1284933-F46B-48E1-947B-E30F20E55683}" name="6448"/>
    <tableColumn id="6462" xr3:uid="{BADF0D26-4CCE-4761-9248-3AFB5C980E9C}" name="6449"/>
    <tableColumn id="6463" xr3:uid="{CFDBEACA-CC33-462A-8001-E452F09043F5}" name="6450"/>
    <tableColumn id="6464" xr3:uid="{DA02D8AC-CCE9-4FAF-96CD-A0468E27A6CD}" name="6451"/>
    <tableColumn id="6465" xr3:uid="{662F6A9E-6F35-4EC3-85BE-A2B3B3898827}" name="6452"/>
    <tableColumn id="6466" xr3:uid="{D5179D8D-EB65-4685-965F-F9C2C9FD89F2}" name="6453"/>
    <tableColumn id="6467" xr3:uid="{A5E069BD-4A64-492A-830F-22542D8324A8}" name="6454"/>
    <tableColumn id="6468" xr3:uid="{EC96222E-1C59-4EB6-885D-3DC3295668C6}" name="6455"/>
    <tableColumn id="6469" xr3:uid="{C95A2F4D-B3E2-482A-8FC1-4784864A8DF6}" name="6456"/>
    <tableColumn id="6470" xr3:uid="{4BACDB84-4624-4A62-86E9-726E2C667566}" name="6457"/>
    <tableColumn id="6471" xr3:uid="{A4BE5545-D9B3-4AD4-A21E-98881BB826D7}" name="6458"/>
    <tableColumn id="6472" xr3:uid="{9A4CF42A-B1D8-4D8B-8A04-B1D5A647F644}" name="6459"/>
    <tableColumn id="6473" xr3:uid="{49D629A7-F626-48B6-AAC7-CEEAF3D09D98}" name="6460"/>
    <tableColumn id="6474" xr3:uid="{B6E1BAA2-2AF2-4FEB-B86D-9704557B5FD6}" name="6461"/>
    <tableColumn id="6475" xr3:uid="{5C3F9C90-5AD8-4C2C-95E8-E33D3D102D89}" name="6462"/>
    <tableColumn id="6476" xr3:uid="{391AF3E9-3606-4A62-8CF4-90C9A1E51F57}" name="6463"/>
    <tableColumn id="6477" xr3:uid="{6EC10C4D-2F11-4D9C-92D4-8EF479F31B48}" name="6464"/>
    <tableColumn id="6478" xr3:uid="{D3F035D0-9056-4363-80FB-9364C942274E}" name="6465"/>
    <tableColumn id="6479" xr3:uid="{E460F735-0431-41AF-8738-05EE7BEF6862}" name="6466"/>
    <tableColumn id="6480" xr3:uid="{A460E338-B00A-4273-90A8-9AA68E6E8A4D}" name="6467"/>
    <tableColumn id="6481" xr3:uid="{91752068-326D-4B39-B68B-F6AB164ECC48}" name="6468"/>
    <tableColumn id="6482" xr3:uid="{5F0739A9-4029-4039-BB97-B5575248F157}" name="6469"/>
    <tableColumn id="6483" xr3:uid="{8C929D84-6DE7-47D0-8DB8-902673C923DD}" name="6470"/>
    <tableColumn id="6484" xr3:uid="{3FD6A5A2-971B-4927-B213-44CC968D462F}" name="6471"/>
    <tableColumn id="6485" xr3:uid="{47AC09B4-28E6-4793-B23B-A5F532361718}" name="6472"/>
    <tableColumn id="6486" xr3:uid="{640B24D6-F026-4A19-B435-DD68845C18CF}" name="6473"/>
    <tableColumn id="6487" xr3:uid="{5EE8E5B2-8ABE-49CC-995A-2CF3A3675CF6}" name="6474"/>
    <tableColumn id="6488" xr3:uid="{58E4025E-A210-4458-9ED7-EE6B0E92CA33}" name="6475"/>
    <tableColumn id="6489" xr3:uid="{17F606F0-A684-4775-BEAE-3F0C1C8DBEC2}" name="6476"/>
    <tableColumn id="6490" xr3:uid="{14B9DEB6-B379-4BBF-9325-5D43A7C68F84}" name="6477"/>
    <tableColumn id="6491" xr3:uid="{5B15F81E-43B2-4989-B36D-E6916D561296}" name="6478"/>
    <tableColumn id="6492" xr3:uid="{514AD3A6-A9CB-4D79-83C4-738F360172A0}" name="6479"/>
    <tableColumn id="6493" xr3:uid="{969D9E72-D7EB-40A2-BB63-227BB9525687}" name="6480"/>
    <tableColumn id="6494" xr3:uid="{FCE157D6-C3AB-4B3C-A4FD-B70D8B07B96A}" name="6481"/>
    <tableColumn id="6495" xr3:uid="{0173F17B-79B5-45F7-BD28-94D3F91A048F}" name="6482"/>
    <tableColumn id="6496" xr3:uid="{9D0035BA-EA24-41C5-92CF-F612893EC262}" name="6483"/>
    <tableColumn id="6497" xr3:uid="{A1E6E09D-03AD-4D0D-910D-135945B12540}" name="6484"/>
    <tableColumn id="6498" xr3:uid="{9CDCBBC8-E740-42BB-AEF2-C54F3FE5C087}" name="6485"/>
    <tableColumn id="6499" xr3:uid="{E313FFE6-CAAB-443C-8048-D813E3C4616A}" name="6486"/>
    <tableColumn id="6500" xr3:uid="{BE3BA201-256A-4AFC-8FF9-3B3F0D1AF69C}" name="6487"/>
    <tableColumn id="6501" xr3:uid="{8A70B215-C0A9-438D-A663-DFF3855DD74F}" name="6488"/>
    <tableColumn id="6502" xr3:uid="{7482112F-0608-43B4-8BC2-98E345BEA1AE}" name="6489"/>
    <tableColumn id="6503" xr3:uid="{19D441F1-EE11-4CC9-AF56-63F4BFD21281}" name="6490"/>
    <tableColumn id="6504" xr3:uid="{CD619C13-2C8F-4D73-BC73-586C57E44E5E}" name="6491"/>
    <tableColumn id="6505" xr3:uid="{BAF99DD3-19C4-46ED-8F32-BBB9F99C4086}" name="6492"/>
    <tableColumn id="6506" xr3:uid="{9565D869-2EBB-4DAF-A1B2-C46D9B41A0BF}" name="6493"/>
    <tableColumn id="6507" xr3:uid="{9BC69A92-6C70-4E7B-A59F-6C08F7DA6AC1}" name="6494"/>
    <tableColumn id="6508" xr3:uid="{56E15D3C-CA3D-45A7-89FD-B89B704B5085}" name="6495"/>
    <tableColumn id="6509" xr3:uid="{4238F32C-C5F2-4D9C-8A43-BC27FDE6CF3D}" name="6496"/>
    <tableColumn id="6510" xr3:uid="{BB95D384-ECB4-476D-AB4B-DEF5E3154B69}" name="6497"/>
    <tableColumn id="6511" xr3:uid="{FE2D1906-2B09-453E-960E-345337436C59}" name="6498"/>
    <tableColumn id="6512" xr3:uid="{43B5AC4F-5D90-4927-856C-00E7E3C5C298}" name="6499"/>
    <tableColumn id="6513" xr3:uid="{C4E3A859-2D05-48BA-A982-2038ECC34C31}" name="6500"/>
    <tableColumn id="6514" xr3:uid="{DB6A0673-3288-4C95-9CC5-09A03305E069}" name="6501"/>
    <tableColumn id="6515" xr3:uid="{A7DA43A5-CFF1-421F-AA9C-C306F2D34925}" name="6502"/>
    <tableColumn id="6516" xr3:uid="{5506DD57-4018-4A76-B36B-6BE5512C890D}" name="6503"/>
    <tableColumn id="6517" xr3:uid="{4C417362-018C-4B37-B6FD-BB625725D786}" name="6504"/>
    <tableColumn id="6518" xr3:uid="{519F0E7E-6A81-4200-B957-5E9BE65E40B7}" name="6505"/>
    <tableColumn id="6519" xr3:uid="{36554D4C-F626-4680-AADD-275CD8D7C720}" name="6506"/>
    <tableColumn id="6520" xr3:uid="{13280922-227C-437A-AAE0-949A725735FA}" name="6507"/>
    <tableColumn id="6521" xr3:uid="{3B68D99B-8267-445B-A092-8D0F51F7FCF7}" name="6508"/>
    <tableColumn id="6522" xr3:uid="{DCB897D4-25D2-4E38-8A1B-BF74ECB07FC9}" name="6509"/>
    <tableColumn id="6523" xr3:uid="{51A72CB8-C000-4F9C-AA03-7D27EF610C82}" name="6510"/>
    <tableColumn id="6524" xr3:uid="{54BE9F68-D2F9-42A5-8166-4D78D568073D}" name="6511"/>
    <tableColumn id="6525" xr3:uid="{395BFD3D-83DE-42CF-A29F-FD2BC5A7E2D6}" name="6512"/>
    <tableColumn id="6526" xr3:uid="{D547D852-8F24-4CC1-A5CD-35427737CB02}" name="6513"/>
    <tableColumn id="6527" xr3:uid="{F1FD72AB-11C3-4748-9E34-B102F133CFAD}" name="6514"/>
    <tableColumn id="6528" xr3:uid="{CAB52908-05F3-4F59-A961-18546F8F6688}" name="6515"/>
    <tableColumn id="6529" xr3:uid="{3CE9923C-4026-445C-A8D9-46F33C79C9A4}" name="6516"/>
    <tableColumn id="6530" xr3:uid="{9BA32F41-9359-4DB9-940F-758E7E4C96E0}" name="6517"/>
    <tableColumn id="6531" xr3:uid="{C05129EC-8AE8-4486-99AD-7226CC9D4C52}" name="6518"/>
    <tableColumn id="6532" xr3:uid="{E02377E3-8533-4C9E-808F-A3C9FB3EC658}" name="6519"/>
    <tableColumn id="6533" xr3:uid="{18BA7429-3464-4F93-AA89-F21F3ABB9804}" name="6520"/>
    <tableColumn id="6534" xr3:uid="{34C5666D-A27F-456D-89CB-982B9F5F8EB3}" name="6521"/>
    <tableColumn id="6535" xr3:uid="{76473EFD-03E5-46DD-B81D-0B212147F500}" name="6522"/>
    <tableColumn id="6536" xr3:uid="{F37641A7-8A62-4239-8754-AC408E6BB989}" name="6523"/>
    <tableColumn id="6537" xr3:uid="{A3BEBED6-F65A-4159-B12E-02EBE6F6F8E3}" name="6524"/>
    <tableColumn id="6538" xr3:uid="{A355814F-BCCF-451D-AD27-A99D78921268}" name="6525"/>
    <tableColumn id="6539" xr3:uid="{D8E48BAF-94C9-4C51-BE2A-5F5A6BDE18D4}" name="6526"/>
    <tableColumn id="6540" xr3:uid="{7515D6E1-427D-4A0D-BE8D-D66DD30F1734}" name="6527"/>
    <tableColumn id="6541" xr3:uid="{CF4042BA-AC3E-4B62-A49C-880B1594082B}" name="6528"/>
    <tableColumn id="6542" xr3:uid="{7E619450-2CE9-4367-AC5C-AC74491A3EBD}" name="6529"/>
    <tableColumn id="6543" xr3:uid="{14495DF9-7277-4DB7-9AFA-678A92DECFC1}" name="6530"/>
    <tableColumn id="6544" xr3:uid="{A3512595-3141-4610-9B7E-1A53134FA144}" name="6531"/>
    <tableColumn id="6545" xr3:uid="{D8D2A85E-6026-4060-AF4A-0C7101D658B8}" name="6532"/>
    <tableColumn id="6546" xr3:uid="{CA07EF1D-3D73-4BC7-A568-4469160993E6}" name="6533"/>
    <tableColumn id="6547" xr3:uid="{AD8DABB2-1C5F-4FFE-A7C3-CB8406ED32AD}" name="6534"/>
    <tableColumn id="6548" xr3:uid="{01EB5E95-B301-4172-862A-334F004CAAC4}" name="6535"/>
    <tableColumn id="6549" xr3:uid="{34D8CA48-4CF5-40AE-A7C1-8D8B0C47ADBA}" name="6536"/>
    <tableColumn id="6550" xr3:uid="{83792A57-57E7-4997-9FE0-033F0EF86ABE}" name="6537"/>
    <tableColumn id="6551" xr3:uid="{5A47ABE3-4B84-4545-8713-73AB0BC498AA}" name="6538"/>
    <tableColumn id="6552" xr3:uid="{E2C21AAD-80A0-4CD9-8DD8-6C659E369684}" name="6539"/>
    <tableColumn id="6553" xr3:uid="{35A51C4E-BCAB-47E7-B87F-BF715CDBC54E}" name="6540"/>
    <tableColumn id="6554" xr3:uid="{3F9DFE7A-759E-437F-9486-164C211B329F}" name="6541"/>
    <tableColumn id="6555" xr3:uid="{3ECA4065-9AC8-41AE-9CBC-4D29CD5ABACD}" name="6542"/>
    <tableColumn id="6556" xr3:uid="{654B0A06-37E4-457C-88E2-22D301F5D49C}" name="6543"/>
    <tableColumn id="6557" xr3:uid="{B7332300-3065-42FB-9DB8-483AF08FD6B8}" name="6544"/>
    <tableColumn id="6558" xr3:uid="{41292413-662A-4BED-B587-71CF5B9099BA}" name="6545"/>
    <tableColumn id="6559" xr3:uid="{149356E1-9EED-4514-A39D-B35DD46D7BF3}" name="6546"/>
    <tableColumn id="6560" xr3:uid="{24C5F3B3-413A-4D52-B016-984167A53F2D}" name="6547"/>
    <tableColumn id="6561" xr3:uid="{BC9C11DB-84B3-41D4-A8A6-DC3BB622BA31}" name="6548"/>
    <tableColumn id="6562" xr3:uid="{69717569-3ACB-46B3-87FC-7DBFEB7A28C2}" name="6549"/>
    <tableColumn id="6563" xr3:uid="{D0E64867-F8A7-4722-A08C-0FFCDFDAC0AE}" name="6550"/>
    <tableColumn id="6564" xr3:uid="{CD8FEC4A-CB3B-4D67-932D-3ED008DC7425}" name="6551"/>
    <tableColumn id="6565" xr3:uid="{8A914F51-7157-446B-A2A1-7C000408AB77}" name="6552"/>
    <tableColumn id="6566" xr3:uid="{212229BA-8F11-4E71-B0D0-B7E0858B0350}" name="6553"/>
    <tableColumn id="6567" xr3:uid="{29AC8445-72E4-4A45-AC91-B50F693C46F6}" name="6554"/>
    <tableColumn id="6568" xr3:uid="{755AF2DA-59EE-4975-A50F-DB4BD1562D13}" name="6555"/>
    <tableColumn id="6569" xr3:uid="{A0816C89-009E-4337-8EB5-AD67612AA8DC}" name="6556"/>
    <tableColumn id="6570" xr3:uid="{7226799C-E110-43FE-AE39-8C21D6BD5297}" name="6557"/>
    <tableColumn id="6571" xr3:uid="{953BB32E-A34B-4F46-84CB-C2FB2939AE22}" name="6558"/>
    <tableColumn id="6572" xr3:uid="{120E2124-5DA1-47C3-9B10-93F3B4294F01}" name="6559"/>
    <tableColumn id="6573" xr3:uid="{5AD92C5E-BE06-42FE-9AD5-7B7226C085CA}" name="6560"/>
    <tableColumn id="6574" xr3:uid="{BDD5087F-3F5B-46DF-AD08-2BD97DAC97B7}" name="6561"/>
    <tableColumn id="6575" xr3:uid="{DB9FC62B-8DA3-4134-BA91-41DECADD2126}" name="6562"/>
    <tableColumn id="6576" xr3:uid="{9EF4D152-957F-467A-B72C-5C30662C792E}" name="6563"/>
    <tableColumn id="6577" xr3:uid="{0D24D1C2-CBE5-4731-B581-959E5B018B25}" name="6564"/>
    <tableColumn id="6578" xr3:uid="{1077BCE2-7F84-47CF-8720-CA3D1A5139F8}" name="6565"/>
    <tableColumn id="6579" xr3:uid="{7DC94F95-5A01-47F5-805D-7FAD6A4FA0F3}" name="6566"/>
    <tableColumn id="6580" xr3:uid="{A725865C-1E41-471F-88C0-6E763097F016}" name="6567"/>
    <tableColumn id="6581" xr3:uid="{8A149080-1567-4BC0-B31D-DE27256455FD}" name="6568"/>
    <tableColumn id="6582" xr3:uid="{71147B21-EC45-4B2F-B902-57792A3E111E}" name="6569"/>
    <tableColumn id="6583" xr3:uid="{5D1E6B15-E592-479A-90ED-EEF8F9198F9E}" name="6570"/>
    <tableColumn id="6584" xr3:uid="{B6AB06A1-6410-4DAC-9A91-BDBD06A3327E}" name="6571"/>
    <tableColumn id="6585" xr3:uid="{94E7E6AA-B4DF-4924-86F6-81466E82FA12}" name="6572"/>
    <tableColumn id="6586" xr3:uid="{BC98B0A0-7925-4DBE-B797-D4DC773ADD21}" name="6573"/>
    <tableColumn id="6587" xr3:uid="{14973EC0-3DAB-4C5B-B9E7-A25E35F848A8}" name="6574"/>
    <tableColumn id="6588" xr3:uid="{A192DA78-455F-42E2-AD39-50E2272D06E9}" name="6575"/>
    <tableColumn id="6589" xr3:uid="{77987F24-CBCF-46FD-91DE-9836D99D7908}" name="6576"/>
    <tableColumn id="6590" xr3:uid="{F7953573-0E60-4A47-94D2-394652BB0239}" name="6577"/>
    <tableColumn id="6591" xr3:uid="{6B5642ED-512E-42D6-902F-D92D783A80E7}" name="6578"/>
    <tableColumn id="6592" xr3:uid="{8AE8FCF2-AD64-47BF-9649-F29C0DF9CF66}" name="6579"/>
    <tableColumn id="6593" xr3:uid="{7A5F45AD-5FBB-4192-BDD9-B9ADF4B156E4}" name="6580"/>
    <tableColumn id="6594" xr3:uid="{2BB6DA1A-A0B3-4C83-A68B-4D03845D33A8}" name="6581"/>
    <tableColumn id="6595" xr3:uid="{A46AC9C8-5BB9-453F-B8F5-3AE2632FC875}" name="6582"/>
    <tableColumn id="6596" xr3:uid="{96CA85D9-6BC9-40E8-B3E8-9DF52A796B7E}" name="6583"/>
    <tableColumn id="6597" xr3:uid="{C5530114-A9A7-408A-A720-C36B45540FAD}" name="6584"/>
    <tableColumn id="6598" xr3:uid="{1A797F96-CFFC-4186-951C-DD429238597E}" name="6585"/>
    <tableColumn id="6599" xr3:uid="{B83A9619-7EC6-4BC6-AEF9-405F730C1CEF}" name="6586"/>
    <tableColumn id="6600" xr3:uid="{F1A20244-241F-4C6F-AB48-B7E9BA032E91}" name="6587"/>
    <tableColumn id="6601" xr3:uid="{680DCCD8-5EFD-4327-B837-88D6C95170C3}" name="6588"/>
    <tableColumn id="6602" xr3:uid="{7CB7F08E-EF57-4FA7-B6F1-B564FDCAAF63}" name="6589"/>
    <tableColumn id="6603" xr3:uid="{EFCD45B0-837C-4BA7-BE74-A1F22C8E6A89}" name="6590"/>
    <tableColumn id="6604" xr3:uid="{9273331F-CC50-4458-90CC-11645814D05A}" name="6591"/>
    <tableColumn id="6605" xr3:uid="{E4396021-1004-4D0E-9169-5E9091F47E8C}" name="6592"/>
    <tableColumn id="6606" xr3:uid="{F90655AD-F7DC-48DD-B8CC-00ECEE6745F0}" name="6593"/>
    <tableColumn id="6607" xr3:uid="{664D3476-161E-43A0-A7EE-A1745A10EEEF}" name="6594"/>
    <tableColumn id="6608" xr3:uid="{FA099C13-D7BB-4E14-AA15-2323D183A488}" name="6595"/>
    <tableColumn id="6609" xr3:uid="{ED165582-ED17-424F-ABC2-19B5FD634869}" name="6596"/>
    <tableColumn id="6610" xr3:uid="{990EF62D-7B50-4956-AB21-376563DB2693}" name="6597"/>
    <tableColumn id="6611" xr3:uid="{44630005-F950-4378-8744-4FA268C06BEC}" name="6598"/>
    <tableColumn id="6612" xr3:uid="{8B382C4B-4A15-4E0E-B4C5-A846E52656D5}" name="6599"/>
    <tableColumn id="6613" xr3:uid="{561EE44E-702E-496B-A5DD-9274DF870051}" name="6600"/>
    <tableColumn id="6614" xr3:uid="{AB8494DB-6A89-4E41-9FA1-ED93F630CF68}" name="6601"/>
    <tableColumn id="6615" xr3:uid="{A7091046-7DCC-435A-907A-5A320D5C9855}" name="6602"/>
    <tableColumn id="6616" xr3:uid="{3B3BB482-EDA4-4819-8951-733347A0CC03}" name="6603"/>
    <tableColumn id="6617" xr3:uid="{162B8BCE-4D30-4DF3-B81E-9EC4E926F7B6}" name="6604"/>
    <tableColumn id="6618" xr3:uid="{A698A332-E565-4502-B825-4C34E6EE684B}" name="6605"/>
    <tableColumn id="6619" xr3:uid="{64A5F203-83FC-4574-9F92-AF1737EF1F64}" name="6606"/>
    <tableColumn id="6620" xr3:uid="{9E46F0BF-5FE5-49FE-B064-D15FC3DD634F}" name="6607"/>
    <tableColumn id="6621" xr3:uid="{4CACF41B-ED56-4A13-9D0A-45705B14FB77}" name="6608"/>
    <tableColumn id="6622" xr3:uid="{60165171-F2B7-4DDE-AE54-88BE1B27C6A4}" name="6609"/>
    <tableColumn id="6623" xr3:uid="{12D83B0A-5318-4242-8D49-3216E57D6515}" name="6610"/>
    <tableColumn id="6624" xr3:uid="{16D7749F-FACF-495D-A0DE-37D4E8DEC308}" name="6611"/>
    <tableColumn id="6625" xr3:uid="{706368C9-AFDC-48E5-8653-CB4C647F0974}" name="6612"/>
    <tableColumn id="6626" xr3:uid="{09CAF1D4-E6FE-43ED-864E-10BC73BF4ABB}" name="6613"/>
    <tableColumn id="6627" xr3:uid="{9F26DF79-C0AF-4E80-9DD5-2B3957DF288C}" name="6614"/>
    <tableColumn id="6628" xr3:uid="{09BDE5DF-0821-48DE-8BFD-1D791FCEF93D}" name="6615"/>
    <tableColumn id="6629" xr3:uid="{41D077B7-9163-4946-8CC8-42F1AC893944}" name="6616"/>
    <tableColumn id="6630" xr3:uid="{C1436E93-4097-4978-8C97-9E1D89A0E793}" name="6617"/>
    <tableColumn id="6631" xr3:uid="{0BA5BCD5-6C75-40A3-A7E5-8A679F3AC4A0}" name="6618"/>
    <tableColumn id="6632" xr3:uid="{B88E0ED6-D897-4CBA-9DAC-4A62DEFA85A9}" name="6619"/>
    <tableColumn id="6633" xr3:uid="{35A37AD7-17B7-450B-9328-30B7464B23EB}" name="6620"/>
    <tableColumn id="6634" xr3:uid="{5454CE90-914F-4641-AAB2-596B5234C2BF}" name="6621"/>
    <tableColumn id="6635" xr3:uid="{D0C83E6C-89B5-4D84-B39F-ADA7B67E527A}" name="6622"/>
    <tableColumn id="6636" xr3:uid="{F6D702F0-119D-4D3F-B023-CB429D675B36}" name="6623"/>
    <tableColumn id="6637" xr3:uid="{003C70C5-085E-441F-8E74-4FB530E9B1D6}" name="6624"/>
    <tableColumn id="6638" xr3:uid="{19D9FE0D-903E-4809-BD75-850E3551C78F}" name="6625"/>
    <tableColumn id="6639" xr3:uid="{75D2A868-6B28-4899-9DA0-D0FD2E59CEA7}" name="6626"/>
    <tableColumn id="6640" xr3:uid="{4333CC8E-819E-46CE-AE20-071D2EFA061C}" name="6627"/>
    <tableColumn id="6641" xr3:uid="{6EF36175-E691-436F-9619-85482DC133BC}" name="6628"/>
    <tableColumn id="6642" xr3:uid="{40CD7790-1C68-4BC1-BC98-D30135B53EDA}" name="6629"/>
    <tableColumn id="6643" xr3:uid="{989962F7-3167-4B08-85F4-F81E8F6FC366}" name="6630"/>
    <tableColumn id="6644" xr3:uid="{200780DC-B473-4E06-9BD0-FE4A8963D9BB}" name="6631"/>
    <tableColumn id="6645" xr3:uid="{8C0742D1-E1B9-4EC5-BE8A-4FA889D047A0}" name="6632"/>
    <tableColumn id="6646" xr3:uid="{825AADE5-A2F1-4400-9564-BC426511F04E}" name="6633"/>
    <tableColumn id="6647" xr3:uid="{42CB0FA4-2585-4944-B773-B2E2172CB490}" name="6634"/>
    <tableColumn id="6648" xr3:uid="{5F72CFC6-E08E-4F07-8680-678EA68694DB}" name="6635"/>
    <tableColumn id="6649" xr3:uid="{54C0FA60-5581-43B9-824F-9263EA02B6DD}" name="6636"/>
    <tableColumn id="6650" xr3:uid="{B4E88CD1-384A-4518-BF78-514E96DDB363}" name="6637"/>
    <tableColumn id="6651" xr3:uid="{8A225DD1-098B-4152-AC69-7F09A61316F0}" name="6638"/>
    <tableColumn id="6652" xr3:uid="{BFCB5568-0B9C-46A8-A62B-0D15B50BD422}" name="6639"/>
    <tableColumn id="6653" xr3:uid="{61CD5DD6-3DFC-4B44-B2D1-77CE25C0F1E9}" name="6640"/>
    <tableColumn id="6654" xr3:uid="{53A494BC-4A5C-4BE8-8476-2DE33BEB6055}" name="6641"/>
    <tableColumn id="6655" xr3:uid="{FE2455B6-D827-4234-B5A6-50645868A1BF}" name="6642"/>
    <tableColumn id="6656" xr3:uid="{06E6B1DE-C02B-472B-B688-2BDE84CA3907}" name="6643"/>
    <tableColumn id="6657" xr3:uid="{8421224F-164D-4F9E-B440-B20255417330}" name="6644"/>
    <tableColumn id="6658" xr3:uid="{FB74F55D-2D4E-46CC-8FC7-286D4D42B6B3}" name="6645"/>
    <tableColumn id="6659" xr3:uid="{CAD8C45D-D3D2-4FFB-AC09-44C32CB85677}" name="6646"/>
    <tableColumn id="6660" xr3:uid="{BA971850-0947-43E2-89A9-9D67257CB84B}" name="6647"/>
    <tableColumn id="6661" xr3:uid="{4C7F6A68-4DAB-403D-B92C-29CE474C1A44}" name="6648"/>
    <tableColumn id="6662" xr3:uid="{D6818F2A-A0E3-4238-A2FA-77F1B2FDF109}" name="6649"/>
    <tableColumn id="6663" xr3:uid="{4BB8E363-DF35-4185-9AEE-60949DBEF269}" name="6650"/>
    <tableColumn id="6664" xr3:uid="{8D9677A0-F940-402D-B023-67C5514672C8}" name="6651"/>
    <tableColumn id="6665" xr3:uid="{21067AD5-B245-45F5-939B-60E91AC0A862}" name="6652"/>
    <tableColumn id="6666" xr3:uid="{0F0BB248-314F-4D3C-B7EB-A08512285F4F}" name="6653"/>
    <tableColumn id="6667" xr3:uid="{CA1AC2DD-04E4-429D-A15D-204AA9787FD3}" name="6654"/>
    <tableColumn id="6668" xr3:uid="{F6CE9B03-6E31-489F-AADA-0CF27C383354}" name="6655"/>
    <tableColumn id="6669" xr3:uid="{5BC31EBA-CBF7-445F-BB3B-7EAF6D875889}" name="6656"/>
    <tableColumn id="6670" xr3:uid="{ABB0AB37-04CF-4E04-86E0-B9BF29991FF9}" name="6657"/>
    <tableColumn id="6671" xr3:uid="{F958DB38-2B70-4B0D-99CD-A91C945578DC}" name="6658"/>
    <tableColumn id="6672" xr3:uid="{424D3678-02C3-4EBF-A76C-60CF0595CE14}" name="6659"/>
    <tableColumn id="6673" xr3:uid="{961F2055-1CF2-44DA-8615-22BA749B5BFD}" name="6660"/>
    <tableColumn id="6674" xr3:uid="{317483A2-A4A6-42E8-A41D-313203552A3D}" name="6661"/>
    <tableColumn id="6675" xr3:uid="{A8DBBA5A-DF38-4D1C-8566-FEC9C57ECB70}" name="6662"/>
    <tableColumn id="6676" xr3:uid="{37725D1B-8F0D-44D4-B6A1-8E63412115EA}" name="6663"/>
    <tableColumn id="6677" xr3:uid="{7FAF1402-2C37-483F-8094-8E3B9F145F7D}" name="6664"/>
    <tableColumn id="6678" xr3:uid="{F1CA12B0-2599-4416-A81D-119659134DAB}" name="6665"/>
    <tableColumn id="6679" xr3:uid="{8F6CAB06-ECD5-45D5-A9A2-EC2824184684}" name="6666"/>
    <tableColumn id="6680" xr3:uid="{3E385FB0-2FFE-407D-B68E-5361DCAC541D}" name="6667"/>
    <tableColumn id="6681" xr3:uid="{360DD554-F235-4ABD-A4E1-22D83FC5655B}" name="6668"/>
    <tableColumn id="6682" xr3:uid="{4A04C09A-9860-4F0D-8B74-416741017CA2}" name="6669"/>
    <tableColumn id="6683" xr3:uid="{8DD42FE2-BC4F-4053-B7E0-CEA4C4E05AB0}" name="6670"/>
    <tableColumn id="6684" xr3:uid="{26D99641-92B7-462E-AF67-BC4F5D21564D}" name="6671"/>
    <tableColumn id="6685" xr3:uid="{5457BAEC-8BBB-4906-A82D-C93F4E88CAE9}" name="6672"/>
    <tableColumn id="6686" xr3:uid="{36A51A78-2C77-4F3B-A0AC-25B2A5924227}" name="6673"/>
    <tableColumn id="6687" xr3:uid="{DD397478-4BB3-4885-B965-945BF911D497}" name="6674"/>
    <tableColumn id="6688" xr3:uid="{3E4F0585-BA29-429A-8A7C-ABC7DEE5D328}" name="6675"/>
    <tableColumn id="6689" xr3:uid="{534F59B4-243A-4893-B97C-BE094A896B3C}" name="6676"/>
    <tableColumn id="6690" xr3:uid="{E7FA9CB6-A7D8-4C6E-BB04-933B55BE016A}" name="6677"/>
    <tableColumn id="6691" xr3:uid="{BFC66465-BDFC-4289-B77D-8D7DAD2368DC}" name="6678"/>
    <tableColumn id="6692" xr3:uid="{2D71FC21-38DF-476E-BF26-8508B256E9C1}" name="6679"/>
    <tableColumn id="6693" xr3:uid="{7BE7AADC-7AD0-4B87-A19C-3A2A43CAD524}" name="6680"/>
    <tableColumn id="6694" xr3:uid="{04A22DF5-DB24-4B61-ADF3-539E37C6A4E1}" name="6681"/>
    <tableColumn id="6695" xr3:uid="{5465598F-9F9E-4C3F-83C3-9C0B54D6BD31}" name="6682"/>
    <tableColumn id="6696" xr3:uid="{E26A5481-28FA-486E-A50B-E757D90B135C}" name="6683"/>
    <tableColumn id="6697" xr3:uid="{30F41F9A-DE97-43F4-B7A3-7493531B99CF}" name="6684"/>
    <tableColumn id="6698" xr3:uid="{37477703-B290-42B1-A855-FA345C26AB55}" name="6685"/>
    <tableColumn id="6699" xr3:uid="{B46A79B9-56A9-42B7-A200-BA5EDAEA522E}" name="6686"/>
    <tableColumn id="6700" xr3:uid="{6C6F453A-638C-4D3A-B7EE-B31C6A5920A9}" name="6687"/>
    <tableColumn id="6701" xr3:uid="{5939ECCF-E296-4C56-B01A-5A5C8201A236}" name="6688"/>
    <tableColumn id="6702" xr3:uid="{078FC279-026E-4267-B149-D44177F33EF0}" name="6689"/>
    <tableColumn id="6703" xr3:uid="{CFCCFDAB-382B-4C43-B747-8188B9DD9ED8}" name="6690"/>
    <tableColumn id="6704" xr3:uid="{C6DF1ED7-16B5-4B2E-8378-3A52836B7D19}" name="6691"/>
    <tableColumn id="6705" xr3:uid="{59BBBADF-A436-4B8A-89EB-75311184E4A8}" name="6692"/>
    <tableColumn id="6706" xr3:uid="{1E649AF0-40EF-453A-ADBE-EA35820B9975}" name="6693"/>
    <tableColumn id="6707" xr3:uid="{65A17FF9-77DE-4365-8B3B-F4E42C542972}" name="6694"/>
    <tableColumn id="6708" xr3:uid="{7DCD171B-276B-4190-8DD1-CE817513A620}" name="6695"/>
    <tableColumn id="6709" xr3:uid="{BFEFDA25-6033-4F7A-925C-F293751C96CB}" name="6696"/>
    <tableColumn id="6710" xr3:uid="{8EC71800-A75F-4E7B-B6B1-3542E0670B42}" name="6697"/>
    <tableColumn id="6711" xr3:uid="{57DC05FB-F449-49EC-8097-2A53BFC7F9BE}" name="6698"/>
    <tableColumn id="6712" xr3:uid="{6C09D5CE-CD28-4A98-9919-E695F0045423}" name="6699"/>
    <tableColumn id="6713" xr3:uid="{4427CAF5-7433-4514-8D25-B8AC27CBF346}" name="6700"/>
    <tableColumn id="6714" xr3:uid="{1BE0342F-97ED-4DE3-838C-DA1F29AAA856}" name="6701"/>
    <tableColumn id="6715" xr3:uid="{DE6505E8-8BFE-4FC3-84C7-B0A13BBAEE34}" name="6702"/>
    <tableColumn id="6716" xr3:uid="{021CAE4D-1103-457B-BB75-904733E8FE80}" name="6703"/>
    <tableColumn id="6717" xr3:uid="{9F90C917-94D3-469D-BEC4-5D233F1276BF}" name="6704"/>
    <tableColumn id="6718" xr3:uid="{D572A2C1-FCA6-4667-9DF9-D2B18C238DAE}" name="6705"/>
    <tableColumn id="6719" xr3:uid="{0A94446F-EADD-4015-AA4D-DCC5E550E522}" name="6706"/>
    <tableColumn id="6720" xr3:uid="{C18A1DED-C392-413C-B771-23401ED15DD6}" name="6707"/>
    <tableColumn id="6721" xr3:uid="{D279EC91-B8DA-41CF-9A9D-8A8C8EA2A469}" name="6708"/>
    <tableColumn id="6722" xr3:uid="{C276FAC4-E266-4CFD-915C-7F58F578BAD1}" name="6709"/>
    <tableColumn id="6723" xr3:uid="{6718FE10-0178-4CAB-8A9B-F78D0583E166}" name="6710"/>
    <tableColumn id="6724" xr3:uid="{365F86CD-0F0F-44FB-B8BC-05640F5BBBD5}" name="6711"/>
    <tableColumn id="6725" xr3:uid="{D145143B-83C7-4678-95B9-A8D0C7F48815}" name="6712"/>
    <tableColumn id="6726" xr3:uid="{07AB3816-C8F5-4F26-927E-98C5D98DD6FC}" name="6713"/>
    <tableColumn id="6727" xr3:uid="{D0E1B9A1-2793-4FFC-BCF0-193852755CBA}" name="6714"/>
    <tableColumn id="6728" xr3:uid="{3B2F1951-1E19-4CA1-8C42-4812AE743707}" name="6715"/>
    <tableColumn id="6729" xr3:uid="{220407AC-342A-474F-ACEA-0732F5F80497}" name="6716"/>
    <tableColumn id="6730" xr3:uid="{0247482B-1301-4413-B582-95AB4857E3CD}" name="6717"/>
    <tableColumn id="6731" xr3:uid="{A787C2DA-18CC-4AA2-8694-8AC67486F971}" name="6718"/>
    <tableColumn id="6732" xr3:uid="{F752E47D-E8CA-4EF7-907C-700965B2B37A}" name="6719"/>
    <tableColumn id="6733" xr3:uid="{DFF8275C-2B0E-4D90-9029-A83F79734E81}" name="6720"/>
    <tableColumn id="6734" xr3:uid="{3703F077-5D12-4011-BD67-1A4D6AF7E177}" name="6721"/>
    <tableColumn id="6735" xr3:uid="{199629B6-52A1-41D6-9886-571DC7BEFB4A}" name="6722"/>
    <tableColumn id="6736" xr3:uid="{6406C4FA-CC76-46D6-9C95-CC5F32D67894}" name="6723"/>
    <tableColumn id="6737" xr3:uid="{0D87E710-8E36-48D1-B8DF-C33196D9E906}" name="6724"/>
    <tableColumn id="6738" xr3:uid="{4C299098-1AED-40BD-826A-F70FCE493437}" name="6725"/>
    <tableColumn id="6739" xr3:uid="{9177A9DD-E96E-46CE-92B0-BCE2A7968878}" name="6726"/>
    <tableColumn id="6740" xr3:uid="{7B5FC36A-42CA-4F03-BA5B-6C8B70274C51}" name="6727"/>
    <tableColumn id="6741" xr3:uid="{788F3C4C-ECFF-4AAE-9109-8E99B6BD0A0B}" name="6728"/>
    <tableColumn id="6742" xr3:uid="{35949F64-ED63-4F2D-B742-62000BA49688}" name="6729"/>
    <tableColumn id="6743" xr3:uid="{3B210DDE-8C63-4F53-9E25-892990A7C5CC}" name="6730"/>
    <tableColumn id="6744" xr3:uid="{FEC83A76-96EB-4263-83F8-4A8D1F7462F5}" name="6731"/>
    <tableColumn id="6745" xr3:uid="{4564B987-3E7D-4868-9384-3E73EEB747B9}" name="6732"/>
    <tableColumn id="6746" xr3:uid="{3C484C14-051E-4A6D-B9CE-ADCE02B7A0A0}" name="6733"/>
    <tableColumn id="6747" xr3:uid="{E5956C50-D12F-4C92-ADAE-00FBAA3ED478}" name="6734"/>
    <tableColumn id="6748" xr3:uid="{B66F735E-4B33-45F4-B6A3-DDD974F0FA3E}" name="6735"/>
    <tableColumn id="6749" xr3:uid="{9E4CCACA-9EFA-4E3D-9F44-BBFF336A150C}" name="6736"/>
    <tableColumn id="6750" xr3:uid="{8ED04686-E1E6-4A3B-818B-198B0F7709B6}" name="6737"/>
    <tableColumn id="6751" xr3:uid="{6CC1F205-2D25-4CE9-9F69-C868BEE1B4D3}" name="6738"/>
    <tableColumn id="6752" xr3:uid="{1F0154C1-6E4E-44CB-9B52-06DD457D1BFD}" name="6739"/>
    <tableColumn id="6753" xr3:uid="{5F66DEDC-4C0A-49B2-872D-05AAC48B8E29}" name="6740"/>
    <tableColumn id="6754" xr3:uid="{035F7D09-DABD-4BD9-9ECA-AAD5093CB562}" name="6741"/>
    <tableColumn id="6755" xr3:uid="{4CF58D14-77D0-4DDC-B23C-9443BE58CB21}" name="6742"/>
    <tableColumn id="6756" xr3:uid="{678C1F86-F4C1-40A3-BE14-518DC7916100}" name="6743"/>
    <tableColumn id="6757" xr3:uid="{905744F5-EC53-429B-86B3-FB25C2ACC803}" name="6744"/>
    <tableColumn id="6758" xr3:uid="{3BCBD233-6EC9-4B90-901D-DCD268181D7D}" name="6745"/>
    <tableColumn id="6759" xr3:uid="{F445355A-4D53-46DD-AD27-4A205978B501}" name="6746"/>
    <tableColumn id="6760" xr3:uid="{93E2A532-53CF-4021-9869-4F01223E68B5}" name="6747"/>
    <tableColumn id="6761" xr3:uid="{56CD089B-809F-4573-A7D1-91C588EA452C}" name="6748"/>
    <tableColumn id="6762" xr3:uid="{9F49BD67-349E-44E3-A026-65B61ADAB813}" name="6749"/>
    <tableColumn id="6763" xr3:uid="{EED41051-047C-4FEF-966C-FFEFFAF96ACF}" name="6750"/>
    <tableColumn id="6764" xr3:uid="{1330C8B3-F62D-4204-AA35-DDF7BFE465BF}" name="6751"/>
    <tableColumn id="6765" xr3:uid="{A8A95A87-93BD-438E-8CD0-E28F618ED4A1}" name="6752"/>
    <tableColumn id="6766" xr3:uid="{11B4B472-05B8-4E3E-923B-9FB25FA85A8B}" name="6753"/>
    <tableColumn id="6767" xr3:uid="{28A3BB0E-AB1A-4D9C-A79D-549253F9619F}" name="6754"/>
    <tableColumn id="6768" xr3:uid="{E83C0466-7D10-495D-9E62-1F9A042CB99B}" name="6755"/>
    <tableColumn id="6769" xr3:uid="{C0773CF3-F5A4-4F50-BC1C-4FA3D35BB3F3}" name="6756"/>
    <tableColumn id="6770" xr3:uid="{D29A166F-2EB6-4A87-9574-0FF694FCBBE3}" name="6757"/>
    <tableColumn id="6771" xr3:uid="{18F5415E-7102-4BA3-B333-2AFA3B3486EE}" name="6758"/>
    <tableColumn id="6772" xr3:uid="{9BA8F1C3-11E0-4BEE-8ED6-28D72A6BC35D}" name="6759"/>
    <tableColumn id="6773" xr3:uid="{06B58492-0C8D-43F4-8A3A-B0B0F193FD47}" name="6760"/>
    <tableColumn id="6774" xr3:uid="{84C994DF-E222-439B-98FF-714EB3F40DD9}" name="6761"/>
    <tableColumn id="6775" xr3:uid="{F3BBD729-43E2-4B8F-8F6A-B339D4A23BAE}" name="6762"/>
    <tableColumn id="6776" xr3:uid="{19F941EA-1487-4F34-B8EB-2BF0C26363D0}" name="6763"/>
    <tableColumn id="6777" xr3:uid="{41062AA5-B781-4B67-B0B4-2FE0093419D6}" name="6764"/>
    <tableColumn id="6778" xr3:uid="{72B4F7AC-01B3-4B41-9D27-9B1B1D1E33DF}" name="6765"/>
    <tableColumn id="6779" xr3:uid="{6DE2DA21-80B9-420C-B79D-365129FA97E7}" name="6766"/>
    <tableColumn id="6780" xr3:uid="{0A73317E-0E71-495C-9088-193774DF35FE}" name="6767"/>
    <tableColumn id="6781" xr3:uid="{BD9DB43D-EABE-4EBE-8A3E-D8F546EAC924}" name="6768"/>
    <tableColumn id="6782" xr3:uid="{3F3A9415-3BE8-4E99-95A5-521BAF1EE303}" name="6769"/>
    <tableColumn id="6783" xr3:uid="{A10E8C9A-E97C-4BF2-8277-82EE93E747B8}" name="6770"/>
    <tableColumn id="6784" xr3:uid="{886D9E01-EAFE-468A-ABE3-40BD75F2BC6B}" name="6771"/>
    <tableColumn id="6785" xr3:uid="{48AFD1F6-A395-4C1C-BE13-DC6741EC9568}" name="6772"/>
    <tableColumn id="6786" xr3:uid="{DB9BAA5D-4C80-4285-B1A5-469E4EA05EC4}" name="6773"/>
    <tableColumn id="6787" xr3:uid="{E0DBA56A-1C76-4A7C-9432-61703B0AF91B}" name="6774"/>
    <tableColumn id="6788" xr3:uid="{D558F78B-FAD4-4AE2-91C0-A957C2EED50B}" name="6775"/>
    <tableColumn id="6789" xr3:uid="{42A35BE2-EC19-47BE-8702-D40DA684BA86}" name="6776"/>
    <tableColumn id="6790" xr3:uid="{A41CFC5F-4F62-4000-9C20-42A1B0C73B04}" name="6777"/>
    <tableColumn id="6791" xr3:uid="{0C67451E-8C53-4171-876E-21A8B3BF8995}" name="6778"/>
    <tableColumn id="6792" xr3:uid="{15BF4203-6F65-4659-9B5B-7B754CCAE2F6}" name="6779"/>
    <tableColumn id="6793" xr3:uid="{FC4B1293-BF13-41C9-9F38-CAD8425BFB04}" name="6780"/>
    <tableColumn id="6794" xr3:uid="{B47D8057-023D-4D96-B985-776FA84E9208}" name="6781"/>
    <tableColumn id="6795" xr3:uid="{0BD27027-5C0F-4CBF-A8E5-A1A58A5D04AF}" name="6782"/>
    <tableColumn id="6796" xr3:uid="{7F3F7859-4D34-45A2-BC80-05D798E0D59B}" name="6783"/>
    <tableColumn id="6797" xr3:uid="{690B7543-01CB-49C0-8EC7-F0421B7E8977}" name="6784"/>
    <tableColumn id="6798" xr3:uid="{5F94040B-6CD7-48BB-AE72-220084219183}" name="6785"/>
    <tableColumn id="6799" xr3:uid="{F2B8B4F4-772C-4ED2-885F-CF6BCF67013D}" name="6786"/>
    <tableColumn id="6800" xr3:uid="{E03D3A21-2C09-4289-B94C-C93D96CB24BC}" name="6787"/>
    <tableColumn id="6801" xr3:uid="{835133BE-2E53-4E32-8DF3-92F777EB8D22}" name="6788"/>
    <tableColumn id="6802" xr3:uid="{2F782B3D-CDE7-49BD-BFDD-C10C3C1CF048}" name="6789"/>
    <tableColumn id="6803" xr3:uid="{D22B6E3F-CCC1-48F0-9CFD-6CCC9DACA043}" name="6790"/>
    <tableColumn id="6804" xr3:uid="{7F502306-6AFF-4052-AAC6-C89718FB02FA}" name="6791"/>
    <tableColumn id="6805" xr3:uid="{F8770277-0A87-4BF6-A84B-F321D7B6FDA3}" name="6792"/>
    <tableColumn id="6806" xr3:uid="{C6C4F94F-BD1A-402C-8423-5C644363F302}" name="6793"/>
    <tableColumn id="6807" xr3:uid="{41F31098-31A3-4006-A4E6-EF841DD7E8AA}" name="6794"/>
    <tableColumn id="6808" xr3:uid="{B8CA2E8D-D598-425F-927C-664148364792}" name="6795"/>
    <tableColumn id="6809" xr3:uid="{37199B3B-E2DA-44A7-AAFD-DE2020D38914}" name="6796"/>
    <tableColumn id="6810" xr3:uid="{A56EC72B-656C-4BD4-8EEF-81EA46AE1840}" name="6797"/>
    <tableColumn id="6811" xr3:uid="{109491EF-4D78-4BA9-94E6-7C4051D23520}" name="6798"/>
    <tableColumn id="6812" xr3:uid="{BFFE3B65-3F54-4C07-9F96-19747B9CCEF9}" name="6799"/>
    <tableColumn id="6813" xr3:uid="{E3B616B8-04C6-48F5-9D93-971D49B45E31}" name="6800"/>
    <tableColumn id="6814" xr3:uid="{1ECFDA0C-28E3-42BA-AC79-4C664F8E486B}" name="6801"/>
    <tableColumn id="6815" xr3:uid="{B9F6ECC2-A4BF-4F20-B5BF-3EEC9EB71720}" name="6802"/>
    <tableColumn id="6816" xr3:uid="{077AF2AC-D5A2-44FD-AAF5-CE3EB790CE38}" name="6803"/>
    <tableColumn id="6817" xr3:uid="{CD78C77B-420A-4A8C-9109-93777C0E153F}" name="6804"/>
    <tableColumn id="6818" xr3:uid="{BB1C5BE0-9506-4036-8884-8C7AFAB121B9}" name="6805"/>
    <tableColumn id="6819" xr3:uid="{22B70B20-432E-471A-8A3F-1C42D18F5986}" name="6806"/>
    <tableColumn id="6820" xr3:uid="{9A8BAC2A-CFD3-4FDC-85D5-5EF988951580}" name="6807"/>
    <tableColumn id="6821" xr3:uid="{41A2F5CE-CAD6-4FF4-B601-2254E2258385}" name="6808"/>
    <tableColumn id="6822" xr3:uid="{0BF98782-5A2C-45FC-B2C0-BD780E99C5A9}" name="6809"/>
    <tableColumn id="6823" xr3:uid="{D069A368-B76A-415E-8940-D2936EACA501}" name="6810"/>
    <tableColumn id="6824" xr3:uid="{DE8BB864-64CC-44CE-82A5-8431DCAD4207}" name="6811"/>
    <tableColumn id="6825" xr3:uid="{B1821D42-F33D-4201-872D-D09F45181358}" name="6812"/>
    <tableColumn id="6826" xr3:uid="{75BF76FB-2CBB-4B9B-AAFD-F0A34398CEE5}" name="6813"/>
    <tableColumn id="6827" xr3:uid="{2D548950-E56C-439C-90AB-C2AF18AB5C62}" name="6814"/>
    <tableColumn id="6828" xr3:uid="{18964C41-C313-4CC4-854A-5520F97A09B7}" name="6815"/>
    <tableColumn id="6829" xr3:uid="{C1047653-DE16-448E-8602-3E8C472F432A}" name="6816"/>
    <tableColumn id="6830" xr3:uid="{EA3810D5-FE2C-450A-91CD-014FB4240A81}" name="6817"/>
    <tableColumn id="6831" xr3:uid="{CA4B4EDA-081F-469C-A532-0C7BC0FFB076}" name="6818"/>
    <tableColumn id="6832" xr3:uid="{190C3860-1894-4C2C-B38B-F0C752DD089D}" name="6819"/>
    <tableColumn id="6833" xr3:uid="{57FB8A7F-BC10-45F6-9EE7-89C4AA25079D}" name="6820"/>
    <tableColumn id="6834" xr3:uid="{E6E5407A-CF9F-439A-802E-6B5D7141FAD0}" name="6821"/>
    <tableColumn id="6835" xr3:uid="{8FEBBEE0-D2A1-4D67-B4E4-D1130BDB6356}" name="6822"/>
    <tableColumn id="6836" xr3:uid="{A2DD8F2E-7E7C-4106-B186-0758431D513F}" name="6823"/>
    <tableColumn id="6837" xr3:uid="{8FED7072-B690-4262-B762-DCAA568853BC}" name="6824"/>
    <tableColumn id="6838" xr3:uid="{EFD2A6B3-982A-49BF-98F6-5BEAB3E39516}" name="6825"/>
    <tableColumn id="6839" xr3:uid="{2087412F-34F5-4917-9B3C-515D988DC6AA}" name="6826"/>
    <tableColumn id="6840" xr3:uid="{68C0C24E-7528-479B-A0CD-DD0DEE482234}" name="6827"/>
    <tableColumn id="6841" xr3:uid="{F0F19AF9-9ED7-45CA-9F36-10ECF988198C}" name="6828"/>
    <tableColumn id="6842" xr3:uid="{62D1D3E6-35A6-4BBF-9905-14223B33FB81}" name="6829"/>
    <tableColumn id="6843" xr3:uid="{05573798-9B89-4143-804B-62C46A2371E8}" name="6830"/>
    <tableColumn id="6844" xr3:uid="{57C6BDBF-2DA6-4B56-B70A-B170DD11F73A}" name="6831"/>
    <tableColumn id="6845" xr3:uid="{99102564-0E87-464B-90E8-83C3418653AA}" name="6832"/>
    <tableColumn id="6846" xr3:uid="{1F1E790A-F213-462C-B073-011F4AC617D6}" name="6833"/>
    <tableColumn id="6847" xr3:uid="{06C9DE7C-23B6-4091-8133-D32AE4CB2FDA}" name="6834"/>
    <tableColumn id="6848" xr3:uid="{3381E220-5318-46F0-9B13-84EA9B06E5AD}" name="6835"/>
    <tableColumn id="6849" xr3:uid="{64994D03-D6EC-42F5-B09A-26C3C846FF61}" name="6836"/>
    <tableColumn id="6850" xr3:uid="{EB0B62AA-BDB8-49DC-9A2A-FF03F0D3AC74}" name="6837"/>
    <tableColumn id="6851" xr3:uid="{376011CC-9E11-4208-807E-64FB7A31F687}" name="6838"/>
    <tableColumn id="6852" xr3:uid="{820A8740-7307-456E-A413-9799B3C9D613}" name="6839"/>
    <tableColumn id="6853" xr3:uid="{D19F56ED-30A8-4063-90A8-D8CCB4B55381}" name="6840"/>
    <tableColumn id="6854" xr3:uid="{00A1EF21-AA7E-49DB-9CC5-51379E314FDB}" name="6841"/>
    <tableColumn id="6855" xr3:uid="{69AEFA85-CC64-4079-8ACD-45CBDEAD5C36}" name="6842"/>
    <tableColumn id="6856" xr3:uid="{FCEB62B2-E794-46C0-AC51-56858AF4BD6D}" name="6843"/>
    <tableColumn id="6857" xr3:uid="{E13C6EBD-427E-4912-9F4F-C51764149E1C}" name="6844"/>
    <tableColumn id="6858" xr3:uid="{12E9FA4B-826C-4624-9065-BFF8D887FEAD}" name="6845"/>
    <tableColumn id="6859" xr3:uid="{3FFC5053-A7D2-4E43-8278-4831C8670029}" name="6846"/>
    <tableColumn id="6860" xr3:uid="{78C9C7CB-BA08-47BB-8AC5-2E3B2FEF18C1}" name="6847"/>
    <tableColumn id="6861" xr3:uid="{4E01A038-71AE-42E3-A1D3-FA6034610EBE}" name="6848"/>
    <tableColumn id="6862" xr3:uid="{B92ACB8F-E674-49AF-951A-2F7EFAF9C6C6}" name="6849"/>
    <tableColumn id="6863" xr3:uid="{72B2289C-6211-4B18-AF64-DC5B77F7A50D}" name="6850"/>
    <tableColumn id="6864" xr3:uid="{487C691B-5F27-4CB6-9DF7-8B7D97B8BA82}" name="6851"/>
    <tableColumn id="6865" xr3:uid="{C339B765-D602-4291-BA3C-26D5D0A26268}" name="6852"/>
    <tableColumn id="6866" xr3:uid="{D1A88695-7001-4F04-BBAE-1279D0FFE190}" name="6853"/>
    <tableColumn id="6867" xr3:uid="{D2948976-B142-4AE5-A083-781A5B7DF7FC}" name="6854"/>
    <tableColumn id="6868" xr3:uid="{9AA2AC91-68FF-4EE6-B922-40ABF9977894}" name="6855"/>
    <tableColumn id="6869" xr3:uid="{1182DCEA-C101-4028-AF83-6AFA7D22777B}" name="6856"/>
    <tableColumn id="6870" xr3:uid="{EC35D869-7155-4613-B79B-F2AB5A618C43}" name="6857"/>
    <tableColumn id="6871" xr3:uid="{F8F5E5A7-0E73-4306-B2ED-2BC9E3521D0A}" name="6858"/>
    <tableColumn id="6872" xr3:uid="{07160192-6553-45C4-8F14-A14BF561B9B4}" name="6859"/>
    <tableColumn id="6873" xr3:uid="{746005E9-B41E-49D2-B53B-559727F8A458}" name="6860"/>
    <tableColumn id="6874" xr3:uid="{AA932126-B522-463A-85AB-D575E9A82F97}" name="6861"/>
    <tableColumn id="6875" xr3:uid="{575F7F12-88B4-4B70-A74C-5B4A05D9C1E2}" name="6862"/>
    <tableColumn id="6876" xr3:uid="{827B3D03-0142-4D3B-9C9F-AF8BEBCB59C0}" name="6863"/>
    <tableColumn id="6877" xr3:uid="{CB7E4A95-462A-4398-8E07-2405D181F161}" name="6864"/>
    <tableColumn id="6878" xr3:uid="{6273FFE6-B248-42CD-9EC4-20FCF7120ABA}" name="6865"/>
    <tableColumn id="6879" xr3:uid="{95D85C2F-711D-4BBB-B91F-E593F11A5143}" name="6866"/>
    <tableColumn id="6880" xr3:uid="{21786055-BBA2-421F-9A07-90CDAFDCC731}" name="6867"/>
    <tableColumn id="6881" xr3:uid="{F546E162-554E-4CA2-B090-206755A04104}" name="6868"/>
    <tableColumn id="6882" xr3:uid="{2DFA9D12-619D-45DA-9F24-BC4D037FBFCF}" name="6869"/>
    <tableColumn id="6883" xr3:uid="{7F08D944-0F15-4E2D-B7A9-71DD51FE4BEC}" name="6870"/>
    <tableColumn id="6884" xr3:uid="{FBAC7A02-0E30-479B-B3AA-A049C64F5602}" name="6871"/>
    <tableColumn id="6885" xr3:uid="{A074A959-D480-44DE-A535-4BDA729177E5}" name="6872"/>
    <tableColumn id="6886" xr3:uid="{60036ED4-8199-445F-8B0F-0B2B6A5C7898}" name="6873"/>
    <tableColumn id="6887" xr3:uid="{B49F79D8-6946-4AB3-ADF1-59E906D448FE}" name="6874"/>
    <tableColumn id="6888" xr3:uid="{33AB4CE3-833B-49C9-9309-978ED6110675}" name="6875"/>
    <tableColumn id="6889" xr3:uid="{CEF7FEFA-43FB-4597-AC56-8E1077F9E822}" name="6876"/>
    <tableColumn id="6890" xr3:uid="{0E82F4C1-C403-4E83-AF95-628CB07F912B}" name="6877"/>
    <tableColumn id="6891" xr3:uid="{066BD2E4-B6B9-4E79-9018-8EFC23ACFC1C}" name="6878"/>
    <tableColumn id="6892" xr3:uid="{9AA0B325-E886-4D79-AAF7-51400E0BD56C}" name="6879"/>
    <tableColumn id="6893" xr3:uid="{DD10522B-D6DB-4D35-864B-526023821EA4}" name="6880"/>
    <tableColumn id="6894" xr3:uid="{450C2F2D-DA24-4868-B514-EF11BD0DEAE3}" name="6881"/>
    <tableColumn id="6895" xr3:uid="{FC87DA18-55D9-4C6B-9E57-0073DE203C5B}" name="6882"/>
    <tableColumn id="6896" xr3:uid="{C08A3132-D283-4A34-801D-C9D3B14B23F5}" name="6883"/>
    <tableColumn id="6897" xr3:uid="{207D03C7-129C-4A45-B6D6-3AB294F9C6B3}" name="6884"/>
    <tableColumn id="6898" xr3:uid="{4DEA3725-4934-4ABE-AB35-DE3A6977438A}" name="6885"/>
    <tableColumn id="6899" xr3:uid="{0536FFEE-1868-4398-963D-633203CF18A1}" name="6886"/>
    <tableColumn id="6900" xr3:uid="{A7A29655-E6D2-4D9B-A5C7-5CAAB687C0DD}" name="6887"/>
    <tableColumn id="6901" xr3:uid="{9CFD98FF-AB43-44E2-9F0B-B8FEE4C1308E}" name="6888"/>
    <tableColumn id="6902" xr3:uid="{98F4560F-83C2-4CF1-8D1B-2E468D7287C3}" name="6889"/>
    <tableColumn id="6903" xr3:uid="{314950CF-A6A8-4638-9A79-6E376720C62C}" name="6890"/>
    <tableColumn id="6904" xr3:uid="{26D88623-E222-4CBB-ADDC-CAE14DC610A5}" name="6891"/>
    <tableColumn id="6905" xr3:uid="{9BA88202-7F34-43DB-83AA-81ED801730FA}" name="6892"/>
    <tableColumn id="6906" xr3:uid="{C45DE1F4-AD1E-492A-9AF9-16EB898F7694}" name="6893"/>
    <tableColumn id="6907" xr3:uid="{DAB5E738-3020-42A5-9C07-7C07637B4E29}" name="6894"/>
    <tableColumn id="6908" xr3:uid="{6A0F2169-0521-4401-950C-DCC5EC62EA55}" name="6895"/>
    <tableColumn id="6909" xr3:uid="{775FB1E1-8306-40F4-BC33-4E0411902D45}" name="6896"/>
    <tableColumn id="6910" xr3:uid="{42F514E2-796D-4412-A2C2-8DAADB39DE15}" name="6897"/>
    <tableColumn id="6911" xr3:uid="{2D04132A-D78E-4E09-B630-704D79DED47E}" name="6898"/>
    <tableColumn id="6912" xr3:uid="{2176E782-4646-4492-9051-A3AA8CB1BFEA}" name="6899"/>
    <tableColumn id="6913" xr3:uid="{A49DFDFE-46F8-4707-B968-BEF671EBA7A2}" name="6900"/>
    <tableColumn id="6914" xr3:uid="{70223BD0-08CB-4F31-A9C5-A260414E42CD}" name="6901"/>
    <tableColumn id="6915" xr3:uid="{673AAC7F-6DA6-4E40-8FE0-2F227D375641}" name="6902"/>
    <tableColumn id="6916" xr3:uid="{DDCEDFF7-BAB2-4568-8730-3A2934381EB2}" name="6903"/>
    <tableColumn id="6917" xr3:uid="{9E052711-E769-4941-B96C-4A1712C24ABB}" name="6904"/>
    <tableColumn id="6918" xr3:uid="{B63DFDAD-659F-49F3-8C9D-A376ADEF733A}" name="6905"/>
    <tableColumn id="6919" xr3:uid="{28A9BCA8-2E8D-4F40-A812-78E0BC2A54F2}" name="6906"/>
    <tableColumn id="6920" xr3:uid="{D22A9D5A-A619-4245-BFCA-C62EEBC53997}" name="6907"/>
    <tableColumn id="6921" xr3:uid="{4054877D-B583-4667-AB09-7AFE8C65D7CB}" name="6908"/>
    <tableColumn id="6922" xr3:uid="{BB291072-D893-4063-8287-A4EC991437E1}" name="6909"/>
    <tableColumn id="6923" xr3:uid="{B6860DD5-37B2-4898-A2D7-409085F5A608}" name="6910"/>
    <tableColumn id="6924" xr3:uid="{C1115B9A-CC33-40F1-A2B9-C46F476754AB}" name="6911"/>
    <tableColumn id="6925" xr3:uid="{435EE71A-46D5-488C-9B8F-123546FF001C}" name="6912"/>
    <tableColumn id="6926" xr3:uid="{16EF239F-DE45-45A4-8DBE-2BEB6E9E588E}" name="6913"/>
    <tableColumn id="6927" xr3:uid="{7AC626AE-6E62-4E08-999D-47295EC296BF}" name="6914"/>
    <tableColumn id="6928" xr3:uid="{C31C02E8-CB08-4B14-A521-D71A792AE26C}" name="6915"/>
    <tableColumn id="6929" xr3:uid="{2ACF57CC-7301-4997-8488-337B34577DA2}" name="6916"/>
    <tableColumn id="6930" xr3:uid="{5204D376-F043-4BEF-883A-ECBE9C9EB5B4}" name="6917"/>
    <tableColumn id="6931" xr3:uid="{84AE657E-2BA4-4FE6-B06E-65772A7841EA}" name="6918"/>
    <tableColumn id="6932" xr3:uid="{670FAC4C-4BBD-44DE-AC96-BB36A1219265}" name="6919"/>
    <tableColumn id="6933" xr3:uid="{3E38DE66-D394-4084-A43E-4C54C3AA8970}" name="6920"/>
    <tableColumn id="6934" xr3:uid="{42A90D20-A4E8-4DE7-9BFC-CBF96CE9667A}" name="6921"/>
    <tableColumn id="6935" xr3:uid="{9616C6B1-B55C-4FCD-8D25-C2B45021B09A}" name="6922"/>
    <tableColumn id="6936" xr3:uid="{B30D4A46-6A70-4729-B136-3D9797317CC9}" name="6923"/>
    <tableColumn id="6937" xr3:uid="{F0DD89CB-98F2-4FC2-9747-F26E18CE88A0}" name="6924"/>
    <tableColumn id="6938" xr3:uid="{800CF269-03FB-4284-BA93-55BF74A2ACE4}" name="6925"/>
    <tableColumn id="6939" xr3:uid="{8A8FF3AB-6A77-4920-910A-5575B779C001}" name="6926"/>
    <tableColumn id="6940" xr3:uid="{DEF2C315-5FAB-4E7C-A6FD-1D9A0B5FBC94}" name="6927"/>
    <tableColumn id="6941" xr3:uid="{04A1B7E3-A010-4952-A74D-FF5AFC2B1D4F}" name="6928"/>
    <tableColumn id="6942" xr3:uid="{ED6218B1-2C59-49E1-8237-14590B4542A1}" name="6929"/>
    <tableColumn id="6943" xr3:uid="{23986854-327A-4E70-B179-D355716AA856}" name="6930"/>
    <tableColumn id="6944" xr3:uid="{E94039C8-FE06-4DF4-B700-A8D495B66188}" name="6931"/>
    <tableColumn id="6945" xr3:uid="{C3EE145B-89CB-4F89-BF3D-2F072BD226B7}" name="6932"/>
    <tableColumn id="6946" xr3:uid="{5C9D3CC3-CCB8-44D3-9ED7-B184E976D2A5}" name="6933"/>
    <tableColumn id="6947" xr3:uid="{3744A426-4BB0-4FA1-AAAD-D1819D4A6438}" name="6934"/>
    <tableColumn id="6948" xr3:uid="{62C215FF-265B-4622-8856-686701B563DE}" name="6935"/>
    <tableColumn id="6949" xr3:uid="{1DCEDF47-AE4B-427C-BB6F-18D19DA9D761}" name="6936"/>
    <tableColumn id="6950" xr3:uid="{D70C80AC-BC84-41AD-90FE-4524943F03DA}" name="6937"/>
    <tableColumn id="6951" xr3:uid="{8F71DDF9-84CF-4EBD-9BE4-E937608F49EA}" name="6938"/>
    <tableColumn id="6952" xr3:uid="{E289F758-D81D-4D77-8304-2F6E42E5554F}" name="6939"/>
    <tableColumn id="6953" xr3:uid="{C4F663FF-5EAA-470F-8A47-7EC15B78C008}" name="6940"/>
    <tableColumn id="6954" xr3:uid="{B7FC097B-64E9-4057-BE41-ED6877446C75}" name="6941"/>
    <tableColumn id="6955" xr3:uid="{9DA0382C-F1F2-4F1F-9225-0E9A2BE6DB1E}" name="6942"/>
    <tableColumn id="6956" xr3:uid="{682E2BF4-CEDC-4385-A185-A9D7D30CBEE7}" name="6943"/>
    <tableColumn id="6957" xr3:uid="{52F53D6F-3CB0-4D4A-B7B0-2804D70DABBF}" name="6944"/>
    <tableColumn id="6958" xr3:uid="{CFCB0C9F-6C92-430D-B2A9-AFEDDC4F6D18}" name="6945"/>
    <tableColumn id="6959" xr3:uid="{67A261A4-C461-4F5A-9D58-DAE859B64867}" name="6946"/>
    <tableColumn id="6960" xr3:uid="{1FDC711E-B400-4483-8135-509CDC48A538}" name="6947"/>
    <tableColumn id="6961" xr3:uid="{9485475E-BA1B-4828-A242-065CD1538F2D}" name="6948"/>
    <tableColumn id="6962" xr3:uid="{C4D6EA74-3607-4768-905F-C33C6C8048CC}" name="6949"/>
    <tableColumn id="6963" xr3:uid="{8B9C5216-B47C-4A83-A0A5-EE7F5AC960B4}" name="6950"/>
    <tableColumn id="6964" xr3:uid="{E5A80143-92DD-4DBA-9B19-1865FE5B72BC}" name="6951"/>
    <tableColumn id="6965" xr3:uid="{2DF719D0-570D-469F-A5A0-E5C1920D7C49}" name="6952"/>
    <tableColumn id="6966" xr3:uid="{CA795637-824A-41D0-ACEF-FEA3E4262A7C}" name="6953"/>
    <tableColumn id="6967" xr3:uid="{7170BC94-3EF1-4E23-A112-72760AB3D518}" name="6954"/>
    <tableColumn id="6968" xr3:uid="{9F1E1935-F19A-40EC-BC6E-5AA57019F87F}" name="6955"/>
    <tableColumn id="6969" xr3:uid="{53535AA6-8952-4BA3-ACAE-23D35F57A66C}" name="6956"/>
    <tableColumn id="6970" xr3:uid="{42E5E138-EE18-47A1-A3E8-92395397F34B}" name="6957"/>
    <tableColumn id="6971" xr3:uid="{389347EF-4024-40C4-8909-4B961EF40D77}" name="6958"/>
    <tableColumn id="6972" xr3:uid="{2193671B-5E5D-4307-9D59-FB132D8D57BD}" name="6959"/>
    <tableColumn id="6973" xr3:uid="{69F8A34F-59A9-432B-B994-1A0C7403D051}" name="6960"/>
    <tableColumn id="6974" xr3:uid="{4BCDC326-75C1-45D8-9B11-0CA0EAB4E96C}" name="6961"/>
    <tableColumn id="6975" xr3:uid="{8E8A989A-9A28-424B-A7DB-4DE6B99DBA40}" name="6962"/>
    <tableColumn id="6976" xr3:uid="{7DC77D15-EAB6-4B4D-B351-612F6D47EF38}" name="6963"/>
    <tableColumn id="6977" xr3:uid="{8C839A17-B4AE-42A2-A706-5498F21D5388}" name="6964"/>
    <tableColumn id="6978" xr3:uid="{FC041975-E07F-4C51-84FD-1FCE1061F976}" name="6965"/>
    <tableColumn id="6979" xr3:uid="{98AA9045-B007-474E-84E4-49C8E7141B82}" name="6966"/>
    <tableColumn id="6980" xr3:uid="{5A1266FB-9650-4C9F-9874-79E1B2CE7E3F}" name="6967"/>
    <tableColumn id="6981" xr3:uid="{939C5EFA-FAC1-4467-A7BD-7006D0B89217}" name="6968"/>
    <tableColumn id="6982" xr3:uid="{C2349A99-89F3-4DFE-BB23-1EF602215A62}" name="6969"/>
    <tableColumn id="6983" xr3:uid="{0F4A0619-7032-4B9B-A6FB-612B6524791C}" name="6970"/>
    <tableColumn id="6984" xr3:uid="{98C0DF27-E303-4D00-80D4-DCE644CC4A4B}" name="6971"/>
    <tableColumn id="6985" xr3:uid="{67E47543-4D59-4143-B233-FAC2B5AFE547}" name="6972"/>
    <tableColumn id="6986" xr3:uid="{B94E2F62-DCF9-4602-8E13-6BF98E84C245}" name="6973"/>
    <tableColumn id="6987" xr3:uid="{3DA73B84-D856-4B07-940C-75211E4B245D}" name="6974"/>
    <tableColumn id="6988" xr3:uid="{8CE4D8BE-BE29-456B-BD32-489D6833D3AA}" name="6975"/>
    <tableColumn id="6989" xr3:uid="{2B34CC4E-46FC-4835-B869-0E3579F314D1}" name="6976"/>
    <tableColumn id="6990" xr3:uid="{39B7C144-D66B-4EB5-A0F3-13A767B75DE5}" name="6977"/>
    <tableColumn id="6991" xr3:uid="{076B4326-8C4B-43BE-AD39-D2C410828090}" name="6978"/>
    <tableColumn id="6992" xr3:uid="{904488C7-700D-4D38-9F19-19632006F999}" name="6979"/>
    <tableColumn id="6993" xr3:uid="{01F8A27F-2A82-4565-B56E-B411C570A13C}" name="6980"/>
    <tableColumn id="6994" xr3:uid="{9D646173-E11F-4E13-879B-DC261E6676E7}" name="6981"/>
    <tableColumn id="6995" xr3:uid="{B6F313B4-3F2B-4164-B56F-4187DF985C3C}" name="6982"/>
    <tableColumn id="6996" xr3:uid="{AA2B4637-E4CE-4967-A467-5522CC8A12EB}" name="6983"/>
    <tableColumn id="6997" xr3:uid="{B498382A-676B-48D1-8E5C-C83B6BAAD1BC}" name="6984"/>
    <tableColumn id="6998" xr3:uid="{ABBFB53B-7A1F-426F-8DFE-2B12FB956774}" name="6985"/>
    <tableColumn id="6999" xr3:uid="{5C5DFF80-6D50-4193-B005-C01ED92970A0}" name="6986"/>
    <tableColumn id="7000" xr3:uid="{6E02E73E-15D6-4E7F-B3DF-191D82A37B37}" name="6987"/>
    <tableColumn id="7001" xr3:uid="{6F59101A-6050-4239-985E-E4548F26721B}" name="6988"/>
    <tableColumn id="7002" xr3:uid="{39D57B24-71C7-4538-8A9B-ACF887D74ED3}" name="6989"/>
    <tableColumn id="7003" xr3:uid="{82C0AE1A-A6F9-43B8-B899-EE1BCBE3BC22}" name="6990"/>
    <tableColumn id="7004" xr3:uid="{48376313-A411-4167-83FA-136D78C4EF8C}" name="6991"/>
    <tableColumn id="7005" xr3:uid="{E9587A57-A5BA-4FE5-9489-135096CA8C4E}" name="6992"/>
    <tableColumn id="7006" xr3:uid="{69CD3DE5-0D35-415C-A175-90319C0E9053}" name="6993"/>
    <tableColumn id="7007" xr3:uid="{8EBD7F99-16BE-45E5-874C-37D165B7268D}" name="6994"/>
    <tableColumn id="7008" xr3:uid="{2BF5967B-8B92-4B0F-A53E-867048CF5381}" name="6995"/>
    <tableColumn id="7009" xr3:uid="{6437F41D-6082-4034-A7A5-0AB43D9E774F}" name="6996"/>
    <tableColumn id="7010" xr3:uid="{0651CAB6-C27C-4543-BFEE-D5C66A7C6E76}" name="6997"/>
    <tableColumn id="7011" xr3:uid="{12041A68-1FDE-4D26-9401-40525F2D5582}" name="6998"/>
    <tableColumn id="7012" xr3:uid="{A3819D23-7D16-4EDD-9772-ABB15AF89461}" name="6999"/>
    <tableColumn id="7013" xr3:uid="{AB01752D-4B32-4345-90A2-010509F1F050}" name="7000"/>
    <tableColumn id="7014" xr3:uid="{75EF7701-3B13-4E61-84E6-B3DE679C1CEB}" name="7001"/>
    <tableColumn id="7015" xr3:uid="{76050F51-3B44-41C8-9B69-716CB5E6FB27}" name="7002"/>
    <tableColumn id="7016" xr3:uid="{70908D18-3866-41C9-9A76-BEF3C60E943F}" name="7003"/>
    <tableColumn id="7017" xr3:uid="{26D69732-1950-4DB4-B004-E19F04F5677B}" name="7004"/>
    <tableColumn id="7018" xr3:uid="{1A64B14A-5EF9-4FEE-8CD4-D5E699CBBBD4}" name="7005"/>
    <tableColumn id="7019" xr3:uid="{0AFBA9AB-A83F-4535-AA4D-660FB589B0B2}" name="7006"/>
    <tableColumn id="7020" xr3:uid="{45B1F389-0C5C-4D71-AE94-088B9F320A94}" name="7007"/>
    <tableColumn id="7021" xr3:uid="{1CC82AC2-1FF7-479B-B574-E646D3AEF4B1}" name="7008"/>
    <tableColumn id="7022" xr3:uid="{D84AADDF-B0EB-401F-97C9-79152728D10F}" name="7009"/>
    <tableColumn id="7023" xr3:uid="{84DB0C31-5591-42AB-A9D2-C5FD7A2276EB}" name="7010"/>
    <tableColumn id="7024" xr3:uid="{B808E20D-0523-40C6-B5EE-C739D6461D64}" name="7011"/>
    <tableColumn id="7025" xr3:uid="{8AF1125B-5CB0-4D0A-A035-50B49B2A2994}" name="7012"/>
    <tableColumn id="7026" xr3:uid="{B3ECBBB4-E396-4961-93A6-4E0B86D79B6F}" name="7013"/>
    <tableColumn id="7027" xr3:uid="{71372EE3-0A60-4F74-8DAA-56FB41636CD1}" name="7014"/>
    <tableColumn id="7028" xr3:uid="{600AE0F4-C676-484A-B9DC-7546330C3691}" name="7015"/>
    <tableColumn id="7029" xr3:uid="{CA95A6B6-DF3C-4528-B59D-DAF2791051F4}" name="7016"/>
    <tableColumn id="7030" xr3:uid="{D0139622-0BF3-42B7-AFA9-49BDDD5AF929}" name="7017"/>
    <tableColumn id="7031" xr3:uid="{0F1F55BA-7024-4ED3-A038-C79F27109368}" name="7018"/>
    <tableColumn id="7032" xr3:uid="{B04A4D8D-4F99-4FD2-AAC1-F39D019AB11E}" name="7019"/>
    <tableColumn id="7033" xr3:uid="{24352CF4-770E-4702-A377-05FB49922697}" name="7020"/>
    <tableColumn id="7034" xr3:uid="{C537A417-874A-453A-AB49-6EC190CA915A}" name="7021"/>
    <tableColumn id="7035" xr3:uid="{5BDF3AD3-5E4A-4726-A688-35BF69B7F2BA}" name="7022"/>
    <tableColumn id="7036" xr3:uid="{E3347F3F-AA8D-42C3-B52A-C918A6950F4A}" name="7023"/>
    <tableColumn id="7037" xr3:uid="{FE7B782F-CFC1-4A6C-9EC4-C00D17AAF024}" name="7024"/>
    <tableColumn id="7038" xr3:uid="{B3BEBB39-3891-4CD1-A5E8-5055E61CC789}" name="7025"/>
    <tableColumn id="7039" xr3:uid="{DB249051-1B78-4142-AED6-B7441463BB1B}" name="7026"/>
    <tableColumn id="7040" xr3:uid="{D49D4813-F799-4462-8B5A-C4B0D132D2AC}" name="7027"/>
    <tableColumn id="7041" xr3:uid="{36270DAB-1ADA-4869-96B8-10C9B6E6D33C}" name="7028"/>
    <tableColumn id="7042" xr3:uid="{1D150081-425B-4498-A334-828ED1E15763}" name="7029"/>
    <tableColumn id="7043" xr3:uid="{2107C56D-557D-4AE0-8DFE-30B1C22AE826}" name="7030"/>
    <tableColumn id="7044" xr3:uid="{EA79218C-C3F7-47FD-A741-2E736760BFD3}" name="7031"/>
    <tableColumn id="7045" xr3:uid="{D348F81B-0AE1-4787-BB33-7E44EC67B692}" name="7032"/>
    <tableColumn id="7046" xr3:uid="{F8302632-3091-4F9D-B7DB-EEDB39482E96}" name="7033"/>
    <tableColumn id="7047" xr3:uid="{9D4C7994-D6DB-4F46-A38A-63E3C99CA25D}" name="7034"/>
    <tableColumn id="7048" xr3:uid="{0F1093A8-8338-4C23-AEA8-9ADE43A51904}" name="7035"/>
    <tableColumn id="7049" xr3:uid="{3E66BFF9-68A7-49D1-83CA-C1DF978896C7}" name="7036"/>
    <tableColumn id="7050" xr3:uid="{0A0FF8F1-ADD5-4180-9A34-928CE4A492FD}" name="7037"/>
    <tableColumn id="7051" xr3:uid="{8CBEEA26-511C-4A68-B36C-B5F3BE350FE9}" name="7038"/>
    <tableColumn id="7052" xr3:uid="{53C806F7-AC98-40C9-A7F9-D01F3937F286}" name="7039"/>
    <tableColumn id="7053" xr3:uid="{F77B578D-CC4D-4296-875E-240FBD316F58}" name="7040"/>
    <tableColumn id="7054" xr3:uid="{E424D44D-8773-46B5-AE39-C7EEA5D3F703}" name="7041"/>
    <tableColumn id="7055" xr3:uid="{60CC6B11-21B2-4123-941F-79E149B8B20A}" name="7042"/>
    <tableColumn id="7056" xr3:uid="{7B6A4D23-7642-4F27-A75C-FF0BA0A8B694}" name="7043"/>
    <tableColumn id="7057" xr3:uid="{9FE0DE41-0B26-4866-B324-D93CBC7E19F3}" name="7044"/>
    <tableColumn id="7058" xr3:uid="{2359E5AA-24DD-45CC-9D9E-7EE9DF7CB543}" name="7045"/>
    <tableColumn id="7059" xr3:uid="{C59E9B85-1AFD-4FA6-ABAB-51E8221CC677}" name="7046"/>
    <tableColumn id="7060" xr3:uid="{8B5A0B30-1A90-44BB-AA8A-EFF519D292E1}" name="7047"/>
    <tableColumn id="7061" xr3:uid="{EE3831E8-21D4-4D4C-A3E3-65C42ADBD9CA}" name="7048"/>
    <tableColumn id="7062" xr3:uid="{78E43E41-F0D8-4BE8-95B2-CD08C206FEAD}" name="7049"/>
    <tableColumn id="7063" xr3:uid="{09FA8F01-363A-4844-A97E-12C41F402F6E}" name="7050"/>
    <tableColumn id="7064" xr3:uid="{C0867721-B2D2-4D8A-BCB6-112DE085F719}" name="7051"/>
    <tableColumn id="7065" xr3:uid="{1ADE7F0F-4ACF-47E9-A3A3-8385DA749602}" name="7052"/>
    <tableColumn id="7066" xr3:uid="{C69A011E-EA7A-4181-B9F7-7F38C1F89DF0}" name="7053"/>
    <tableColumn id="7067" xr3:uid="{2ED3F43F-CA2E-4319-9E7A-737E8005E224}" name="7054"/>
    <tableColumn id="7068" xr3:uid="{B9F1FA7F-ADE8-4166-9CB8-F8C0DC22E22F}" name="7055"/>
    <tableColumn id="7069" xr3:uid="{0C86F13A-EDC9-4F44-85FC-8F2AAD07A1F0}" name="7056"/>
    <tableColumn id="7070" xr3:uid="{2B924FB9-4664-49E6-8F2B-6DEFE8A36615}" name="7057"/>
    <tableColumn id="7071" xr3:uid="{1A542B2C-609C-4B55-8500-7FFFC70EC739}" name="7058"/>
    <tableColumn id="7072" xr3:uid="{E430549B-B52E-4341-90C9-0259EAB4B186}" name="7059"/>
    <tableColumn id="7073" xr3:uid="{2823B521-4EBA-4524-80F2-1A0C7D618AD2}" name="7060"/>
    <tableColumn id="7074" xr3:uid="{80608F31-C85C-470C-B920-B76AC5F75311}" name="7061"/>
    <tableColumn id="7075" xr3:uid="{9822FD4F-AD2B-4C93-AF5A-40BEFE6FCE6E}" name="7062"/>
    <tableColumn id="7076" xr3:uid="{083044BD-ACAD-4AA0-B219-8C79CD1D11ED}" name="7063"/>
    <tableColumn id="7077" xr3:uid="{1E825D50-6165-4A0C-BA93-C2727FDDCE95}" name="7064"/>
    <tableColumn id="7078" xr3:uid="{5F4B1B29-67F3-46A2-846A-9E51DC431F9A}" name="7065"/>
    <tableColumn id="7079" xr3:uid="{99F13103-FA64-4A24-B6AD-178F2BEEB24A}" name="7066"/>
    <tableColumn id="7080" xr3:uid="{9E5DB745-226F-4C0D-8125-A0A01A143D21}" name="7067"/>
    <tableColumn id="7081" xr3:uid="{F0BE4510-F3AD-4A31-998E-B9A31F84F8F8}" name="7068"/>
    <tableColumn id="7082" xr3:uid="{CF8DAE8D-956C-4129-9DD1-AF2C78D6DE6A}" name="7069"/>
    <tableColumn id="7083" xr3:uid="{CF9F04FB-5BA8-4869-BF21-6071465C1422}" name="7070"/>
    <tableColumn id="7084" xr3:uid="{71295448-BB10-4F4F-A270-9C2BEECEDF9F}" name="7071"/>
    <tableColumn id="7085" xr3:uid="{FA18B838-BA99-4B48-91E9-B5863A13FE54}" name="7072"/>
    <tableColumn id="7086" xr3:uid="{342E0A2F-8729-4417-AA20-2A2A2D44F384}" name="7073"/>
    <tableColumn id="7087" xr3:uid="{12C17BF8-1935-4D1B-BBBD-7095DD431A4F}" name="7074"/>
    <tableColumn id="7088" xr3:uid="{44730EC1-6B79-4824-B7C8-0A50C60EEC42}" name="7075"/>
    <tableColumn id="7089" xr3:uid="{56C4D971-FC4C-471B-B7C1-913541F4290F}" name="7076"/>
    <tableColumn id="7090" xr3:uid="{F89092CE-4E73-4D51-A33A-0181963DEAC1}" name="7077"/>
    <tableColumn id="7091" xr3:uid="{C198C2B4-DAE4-4EC0-8991-86A60FC3FFDC}" name="7078"/>
    <tableColumn id="7092" xr3:uid="{A50CF930-7728-4B42-ACF2-F08F9D75BC38}" name="7079"/>
    <tableColumn id="7093" xr3:uid="{D0F4EE21-89B1-46EF-9F16-59ACDC0D2754}" name="7080"/>
    <tableColumn id="7094" xr3:uid="{7ACC37AB-7E9C-4C3F-A14F-50465C853783}" name="7081"/>
    <tableColumn id="7095" xr3:uid="{8AE9E7AC-6183-4339-B9BB-8A429C558001}" name="7082"/>
    <tableColumn id="7096" xr3:uid="{69E0BCC8-5B07-4058-B59D-41154D19B820}" name="7083"/>
    <tableColumn id="7097" xr3:uid="{2BCCAE1F-FEA2-40BF-B57E-41F4AD3F37D6}" name="7084"/>
    <tableColumn id="7098" xr3:uid="{371B1D71-B520-44B4-817C-C4C440E2FBAF}" name="7085"/>
    <tableColumn id="7099" xr3:uid="{217C6B2B-5D94-4217-AF4F-63A3E78D53B5}" name="7086"/>
    <tableColumn id="7100" xr3:uid="{2C2EF684-CA9A-4D9F-9C54-F631E856D063}" name="7087"/>
    <tableColumn id="7101" xr3:uid="{5848273E-6B10-42E3-B705-E6C00EF56F20}" name="7088"/>
    <tableColumn id="7102" xr3:uid="{839801AC-4CFA-4C4E-819E-86BFFB60FB8B}" name="7089"/>
    <tableColumn id="7103" xr3:uid="{1DEEA2D4-35C1-4694-97B4-3BE00CA7521C}" name="7090"/>
    <tableColumn id="7104" xr3:uid="{33F20B3A-ED93-499F-8165-6F34D2BF4625}" name="7091"/>
    <tableColumn id="7105" xr3:uid="{6997C64E-64E4-4EE4-ACA4-4B060B4F1431}" name="7092"/>
    <tableColumn id="7106" xr3:uid="{384CCD37-0F72-4ABC-8A59-D4B47E3E5BD1}" name="7093"/>
    <tableColumn id="7107" xr3:uid="{4B7DF170-7849-4988-8E57-2D1F5667F5A8}" name="7094"/>
    <tableColumn id="7108" xr3:uid="{6AB08C54-3100-47B6-91BB-4D3CA937E025}" name="7095"/>
    <tableColumn id="7109" xr3:uid="{37638DF2-FDAD-491D-8EF6-E593DEF4C9B8}" name="7096"/>
    <tableColumn id="7110" xr3:uid="{643E4E9C-91FA-4160-BB2C-9A25D9F03E37}" name="7097"/>
    <tableColumn id="7111" xr3:uid="{E86F3FA5-CD70-4D3D-9B9F-72687EC23174}" name="7098"/>
    <tableColumn id="7112" xr3:uid="{40C84563-0591-4A73-805F-751535B322F8}" name="7099"/>
    <tableColumn id="7113" xr3:uid="{4A8E16A4-1447-4911-8394-6E490C81C6F7}" name="7100"/>
    <tableColumn id="7114" xr3:uid="{4AF211E3-18B8-466E-8CAF-D675F7EB8580}" name="7101"/>
    <tableColumn id="7115" xr3:uid="{01C3CF92-3E9B-4DB2-B797-6CAEDECDF3DD}" name="7102"/>
    <tableColumn id="7116" xr3:uid="{DABC1CCB-0A4A-469B-BE43-0BC0ED7E291E}" name="7103"/>
    <tableColumn id="7117" xr3:uid="{B50CBC40-03D8-4199-BBF6-026989336AA8}" name="7104"/>
    <tableColumn id="7118" xr3:uid="{746AFCC1-3571-4C6E-9877-74547E79E8E0}" name="7105"/>
    <tableColumn id="7119" xr3:uid="{69011622-71A0-439E-9BBE-41148BECE418}" name="7106"/>
    <tableColumn id="7120" xr3:uid="{EF1C899F-1989-45D5-9DAC-EA3DA7E474B1}" name="7107"/>
    <tableColumn id="7121" xr3:uid="{C7B61437-8485-4190-ACE8-A7A9CB7550E3}" name="7108"/>
    <tableColumn id="7122" xr3:uid="{2E7C7813-D7FC-41DB-8D66-98B0DD86A7CC}" name="7109"/>
    <tableColumn id="7123" xr3:uid="{FF43E9C2-A0A4-44C1-B584-CA8B3F1CAFEB}" name="7110"/>
    <tableColumn id="7124" xr3:uid="{D606A5F4-DAE8-46F1-AD11-4130B545EF1D}" name="7111"/>
    <tableColumn id="7125" xr3:uid="{77EE341A-D02B-411D-8581-F9141B14D57C}" name="7112"/>
    <tableColumn id="7126" xr3:uid="{A3DF4508-045D-4C32-9515-DDB54610F7B7}" name="7113"/>
    <tableColumn id="7127" xr3:uid="{EC0D24E8-8380-4882-89FE-8A515597801E}" name="7114"/>
    <tableColumn id="7128" xr3:uid="{333371EB-BF0C-4F9A-AAE5-FF052CA94AB1}" name="7115"/>
    <tableColumn id="7129" xr3:uid="{4624EFCB-5678-48C4-9FD5-400335B42330}" name="7116"/>
    <tableColumn id="7130" xr3:uid="{6B6BD41A-E223-4133-8C7B-A560316E1393}" name="7117"/>
    <tableColumn id="7131" xr3:uid="{08B30B88-FD46-4ED6-93F5-30059DA19201}" name="7118"/>
    <tableColumn id="7132" xr3:uid="{3E756421-B230-41D4-817F-D824F6E55581}" name="7119"/>
    <tableColumn id="7133" xr3:uid="{DBF28FFE-50B0-4F69-BDF0-11C6AA21AA33}" name="7120"/>
    <tableColumn id="7134" xr3:uid="{C3825CCE-6AB4-4699-B02B-CD57C2B790C8}" name="7121"/>
    <tableColumn id="7135" xr3:uid="{C0BFFF94-DF78-444E-AE49-873B90FE3A18}" name="7122"/>
    <tableColumn id="7136" xr3:uid="{819345C3-4DD0-48CA-9C80-443C2E5B056B}" name="7123"/>
    <tableColumn id="7137" xr3:uid="{0BF454B3-2493-43E4-8B99-4E64A0272BB4}" name="7124"/>
    <tableColumn id="7138" xr3:uid="{1F4AA17F-FFAC-4E64-ABAF-00E4C91C0BBE}" name="7125"/>
    <tableColumn id="7139" xr3:uid="{F5B32006-638D-4FBA-AE4D-A60655BA8D76}" name="7126"/>
    <tableColumn id="7140" xr3:uid="{3A1FDBB0-D399-4164-A302-93460AD61E81}" name="7127"/>
    <tableColumn id="7141" xr3:uid="{43E2A756-AC71-4C24-8F14-DD0AA9F08B18}" name="7128"/>
    <tableColumn id="7142" xr3:uid="{6C8887DF-42F4-4BEF-8AC3-F32D82B4D1B0}" name="7129"/>
    <tableColumn id="7143" xr3:uid="{B1B6AA3A-7DB6-4D9B-86FD-7A8837BBA2E8}" name="7130"/>
    <tableColumn id="7144" xr3:uid="{6881FA79-2595-4395-8B7A-EE47A807809D}" name="7131"/>
    <tableColumn id="7145" xr3:uid="{99ED478E-2BE8-45B0-8617-7FD5F258323B}" name="7132"/>
    <tableColumn id="7146" xr3:uid="{45444503-BF64-4F41-AA22-EBAC2CEC2D0C}" name="7133"/>
    <tableColumn id="7147" xr3:uid="{AE48181C-30F8-4642-AC6A-9FB1CC5F9481}" name="7134"/>
    <tableColumn id="7148" xr3:uid="{BB557C25-2135-4AFB-9EBD-A9C10F36D19F}" name="7135"/>
    <tableColumn id="7149" xr3:uid="{6DFD2382-ACD0-4A7F-BABD-792B247B6D67}" name="7136"/>
    <tableColumn id="7150" xr3:uid="{41ECEF67-A71A-4483-94B4-A44C9024A68D}" name="7137"/>
    <tableColumn id="7151" xr3:uid="{5C403C27-670A-4A26-8EFA-150CB2FB5ABF}" name="7138"/>
    <tableColumn id="7152" xr3:uid="{6750F135-512C-45D2-BD7D-711180E32780}" name="7139"/>
    <tableColumn id="7153" xr3:uid="{E8E2C23A-6B41-4A78-92A5-EA2C057F5172}" name="7140"/>
    <tableColumn id="7154" xr3:uid="{3FF4AADA-8274-406D-AB1F-659B41C82C27}" name="7141"/>
    <tableColumn id="7155" xr3:uid="{1DAEE47A-F5F5-4862-A1B2-F9835C737019}" name="7142"/>
    <tableColumn id="7156" xr3:uid="{21D630E8-C4E5-4757-925D-841A6D435635}" name="7143"/>
    <tableColumn id="7157" xr3:uid="{AFD1416B-61FB-4F89-A39B-B96F63995AE8}" name="7144"/>
    <tableColumn id="7158" xr3:uid="{F7CD2EAB-816A-458F-BEA8-317E59681828}" name="7145"/>
    <tableColumn id="7159" xr3:uid="{29030908-81B0-4039-8D76-097385DB1804}" name="7146"/>
    <tableColumn id="7160" xr3:uid="{31A16C3C-3EF9-438D-B7BF-1DEB2CCBA61E}" name="7147"/>
    <tableColumn id="7161" xr3:uid="{B1BABCAE-DA97-46B9-B87E-3C4BE10880CA}" name="7148"/>
    <tableColumn id="7162" xr3:uid="{A1224762-7774-4938-9D15-41C05383458F}" name="7149"/>
    <tableColumn id="7163" xr3:uid="{6F002FB8-A40B-45DB-A110-967D0C94241E}" name="7150"/>
    <tableColumn id="7164" xr3:uid="{DFD4B77A-01B8-4051-9601-E55BDC710E57}" name="7151"/>
    <tableColumn id="7165" xr3:uid="{B197239A-F2BB-45C7-9A2D-E0A17570EBE1}" name="7152"/>
    <tableColumn id="7166" xr3:uid="{1D345DAF-52F2-4027-9508-1F6FDC6A98B7}" name="7153"/>
    <tableColumn id="7167" xr3:uid="{3D5F71A9-7FA2-43E9-83BF-1442132A4286}" name="7154"/>
    <tableColumn id="7168" xr3:uid="{5E36D6CE-7807-4208-AFC6-72587A292653}" name="7155"/>
    <tableColumn id="7169" xr3:uid="{04E245BB-DA00-4F86-A036-5BFBAF1B6304}" name="7156"/>
    <tableColumn id="7170" xr3:uid="{5B408D51-1DB2-48F0-8C4F-F026293DBD67}" name="7157"/>
    <tableColumn id="7171" xr3:uid="{EA9B77E7-359F-44FD-A987-9C32AD5EF503}" name="7158"/>
    <tableColumn id="7172" xr3:uid="{2C5CCD12-4D5B-4DEB-9B05-92D1B1320A3B}" name="7159"/>
    <tableColumn id="7173" xr3:uid="{454EAB55-F99F-46ED-9913-0CE08009B515}" name="7160"/>
    <tableColumn id="7174" xr3:uid="{F019E005-E8CA-4ED4-BB07-A8D311ADA987}" name="7161"/>
    <tableColumn id="7175" xr3:uid="{3334CFD5-302B-4993-9582-8C234D722595}" name="7162"/>
    <tableColumn id="7176" xr3:uid="{23F6E7ED-8B1B-4DE4-AA29-5D68109AEA11}" name="7163"/>
    <tableColumn id="7177" xr3:uid="{EF41C8DE-0CCD-45A6-933C-7E76F7A4E2B2}" name="7164"/>
    <tableColumn id="7178" xr3:uid="{0940CAAF-0343-4E11-B88E-51A4BFF83A7D}" name="7165"/>
    <tableColumn id="7179" xr3:uid="{C1892384-61E7-4F35-B055-66E048532B0F}" name="7166"/>
    <tableColumn id="7180" xr3:uid="{403E8FAB-6924-4DA2-98C2-E1A34FADD43B}" name="7167"/>
    <tableColumn id="7181" xr3:uid="{4DEDB42C-C974-4B6C-A000-797DE8233ACA}" name="7168"/>
    <tableColumn id="7182" xr3:uid="{3B353BA0-22DB-46A6-81ED-633E36FB3284}" name="7169"/>
    <tableColumn id="7183" xr3:uid="{92B89A8F-C0D9-45E4-BC69-0F5EB2955A16}" name="7170"/>
    <tableColumn id="7184" xr3:uid="{DC6A74DC-0EE9-42FD-9FC1-7D7E17B7716E}" name="7171"/>
    <tableColumn id="7185" xr3:uid="{EAFFF42F-F102-4998-92D9-DB9AE16D3C3A}" name="7172"/>
    <tableColumn id="7186" xr3:uid="{40F2E2F5-085A-4539-A5EE-E2E9CAEEBFEF}" name="7173"/>
    <tableColumn id="7187" xr3:uid="{A608BA95-640D-44DD-A522-F4642F26DADF}" name="7174"/>
    <tableColumn id="7188" xr3:uid="{1EA27172-8F2E-4EE1-9257-31D505AA10C7}" name="7175"/>
    <tableColumn id="7189" xr3:uid="{E9C3E41A-1E01-4E8D-B3D4-7D7F67C6ADEE}" name="7176"/>
    <tableColumn id="7190" xr3:uid="{2ABB763C-CCA3-4ED7-9E90-53C749E58348}" name="7177"/>
    <tableColumn id="7191" xr3:uid="{056D009C-1D76-47F7-80E2-6B9FE0374082}" name="7178"/>
    <tableColumn id="7192" xr3:uid="{B7DF7C6D-326C-4F78-9D8D-3A9A6E231EF5}" name="7179"/>
    <tableColumn id="7193" xr3:uid="{E3B1F51C-A835-45B4-A724-CB3A8D5C1978}" name="7180"/>
    <tableColumn id="7194" xr3:uid="{CEDEFB29-DBE5-412F-91A4-7DD4DA3B7BCE}" name="7181"/>
    <tableColumn id="7195" xr3:uid="{DC6C5829-20D1-42BE-9ADA-481584D700ED}" name="7182"/>
    <tableColumn id="7196" xr3:uid="{33872C66-938F-4F74-839F-47817F1AED0A}" name="7183"/>
    <tableColumn id="7197" xr3:uid="{4E98FFBB-9545-4B83-951D-1E63462AD347}" name="7184"/>
    <tableColumn id="7198" xr3:uid="{5A29E9BC-495E-487F-BE24-95F70CAC3564}" name="7185"/>
    <tableColumn id="7199" xr3:uid="{EE21CC87-13C1-46C6-8186-8A5AE81B0CBB}" name="7186"/>
    <tableColumn id="7200" xr3:uid="{BD225326-C4EC-4D87-98D9-31E12F0B90DA}" name="7187"/>
    <tableColumn id="7201" xr3:uid="{637634D4-A5EB-493D-A89B-7CABA502FFC0}" name="7188"/>
    <tableColumn id="7202" xr3:uid="{B3BD9AE9-D892-42DA-98CC-AA7A086D32A8}" name="7189"/>
    <tableColumn id="7203" xr3:uid="{A797B7AD-15D7-44DD-B3AF-95026CB86EFF}" name="7190"/>
    <tableColumn id="7204" xr3:uid="{C7437922-7597-48E0-888E-D25120BA209C}" name="7191"/>
    <tableColumn id="7205" xr3:uid="{02DE0E01-B82F-4680-9EC8-023BCBBED686}" name="7192"/>
    <tableColumn id="7206" xr3:uid="{EDC2EEA1-5290-48F4-8666-075CA0E3B16D}" name="7193"/>
    <tableColumn id="7207" xr3:uid="{069F69D8-0295-45F2-ACB3-176A454B369C}" name="7194"/>
    <tableColumn id="7208" xr3:uid="{4C184728-13A9-46FD-8624-4CDE143F073F}" name="7195"/>
    <tableColumn id="7209" xr3:uid="{BC898E75-B719-4519-BFF9-325A383C215D}" name="7196"/>
    <tableColumn id="7210" xr3:uid="{73BB783C-CF8C-4676-9FA4-694ECEC26E47}" name="7197"/>
    <tableColumn id="7211" xr3:uid="{00A97AA3-33F7-48DE-A246-21CF1786E30C}" name="7198"/>
    <tableColumn id="7212" xr3:uid="{4639A272-7555-4718-99BE-3AB1619C093A}" name="7199"/>
    <tableColumn id="7213" xr3:uid="{5F739252-EB5E-49F1-AF5D-7E93198B9D9D}" name="7200"/>
    <tableColumn id="7214" xr3:uid="{32B6B8F2-2975-4BED-BCF4-95F6673C1E9F}" name="7201"/>
    <tableColumn id="7215" xr3:uid="{A5A06AC7-05EF-41B4-94D6-742C8BC086FF}" name="7202"/>
    <tableColumn id="7216" xr3:uid="{A7120581-E96A-4A8F-B2A4-46B16EAD52B0}" name="7203"/>
    <tableColumn id="7217" xr3:uid="{3579FDCE-4C29-4157-BBE9-6CEC3BBD49CD}" name="7204"/>
    <tableColumn id="7218" xr3:uid="{E2009431-A843-4BD0-86AB-4CDF8EC84E3D}" name="7205"/>
    <tableColumn id="7219" xr3:uid="{6632251F-3A79-4D7D-99C5-E9BD202ABE52}" name="7206"/>
    <tableColumn id="7220" xr3:uid="{D21ED186-A33A-4466-BD03-BB4340CAAD35}" name="7207"/>
    <tableColumn id="7221" xr3:uid="{11AF4347-54A4-4171-A3A4-6055C64041D3}" name="7208"/>
    <tableColumn id="7222" xr3:uid="{C6F18508-E8DD-497A-8745-D723B4E8027F}" name="7209"/>
    <tableColumn id="7223" xr3:uid="{39DD8956-150B-4325-9D7B-E3476E4C2700}" name="7210"/>
    <tableColumn id="7224" xr3:uid="{FB3A91C9-91FD-4B97-953D-4551B2604098}" name="7211"/>
    <tableColumn id="7225" xr3:uid="{824649EB-E35E-478D-8625-8854D83DD9CF}" name="7212"/>
    <tableColumn id="7226" xr3:uid="{2D5F1789-9873-4D6C-A626-DD087D966BF5}" name="7213"/>
    <tableColumn id="7227" xr3:uid="{2C50635C-5EF0-449F-88B9-FC1AD2C09087}" name="7214"/>
    <tableColumn id="7228" xr3:uid="{66866BE1-1E6E-4081-B1C1-9EEC2D1CBB87}" name="7215"/>
    <tableColumn id="7229" xr3:uid="{AA47DD15-CBAD-4F3A-BFD1-C76FD2E2C2F7}" name="7216"/>
    <tableColumn id="7230" xr3:uid="{F4CFC55D-B5B9-4602-AFC6-5898A013B4D2}" name="7217"/>
    <tableColumn id="7231" xr3:uid="{4132D481-C344-4651-8610-64BB82865045}" name="7218"/>
    <tableColumn id="7232" xr3:uid="{7BA7FDF3-DCE1-44DA-AC75-B425787DE638}" name="7219"/>
    <tableColumn id="7233" xr3:uid="{493F7721-22A4-4864-81A7-56B5ABA0EC24}" name="7220"/>
    <tableColumn id="7234" xr3:uid="{468CD173-86A1-43E8-979A-E4461985AD0F}" name="7221"/>
    <tableColumn id="7235" xr3:uid="{3CDC83A2-AB5D-4CD5-A1FE-68A1911D41D9}" name="7222"/>
    <tableColumn id="7236" xr3:uid="{A60E3AB3-9105-4F13-B994-FDAB1CF78EE7}" name="7223"/>
    <tableColumn id="7237" xr3:uid="{363D3115-3DA8-4C5F-BC9C-C2B760442C82}" name="7224"/>
    <tableColumn id="7238" xr3:uid="{E09AA4EE-8849-4B22-BE46-77D2512702D3}" name="7225"/>
    <tableColumn id="7239" xr3:uid="{57520CE6-1E9E-4FC5-932D-4D19AA5DBA6E}" name="7226"/>
    <tableColumn id="7240" xr3:uid="{A9BA1BD4-B5EE-4FA4-8E7B-C7978191CEB5}" name="7227"/>
    <tableColumn id="7241" xr3:uid="{2C31DB27-B426-4E29-A86E-6D13D11E9013}" name="7228"/>
    <tableColumn id="7242" xr3:uid="{7FE6C65A-5D75-405B-86E6-8C4693EF428D}" name="7229"/>
    <tableColumn id="7243" xr3:uid="{3AEA7B4A-4AD1-4A3B-A725-988371833A85}" name="7230"/>
    <tableColumn id="7244" xr3:uid="{B8CCE4CC-8AC4-469D-A226-904A19D8045A}" name="7231"/>
    <tableColumn id="7245" xr3:uid="{596E5A99-DA6C-4FC2-9877-A2FE0C68AB89}" name="7232"/>
    <tableColumn id="7246" xr3:uid="{DC4608DB-A4D1-4B68-B7A6-A5B6F5330E13}" name="7233"/>
    <tableColumn id="7247" xr3:uid="{F2BB40D3-70A1-4D9C-AE14-27DA7E81BB4B}" name="7234"/>
    <tableColumn id="7248" xr3:uid="{B6657475-8CFA-4CFC-A417-AE92AECAC666}" name="7235"/>
    <tableColumn id="7249" xr3:uid="{0CF8B042-71F8-4FD7-8B06-650D79A54777}" name="7236"/>
    <tableColumn id="7250" xr3:uid="{577EE94E-393E-4C9B-9A1F-C21E6936452A}" name="7237"/>
    <tableColumn id="7251" xr3:uid="{503A6679-E89C-403A-9016-18F72D172977}" name="7238"/>
    <tableColumn id="7252" xr3:uid="{3477AB0D-01B5-4498-A7AF-011A5F65D927}" name="7239"/>
    <tableColumn id="7253" xr3:uid="{858919A3-7833-4B60-B73A-0B91FDC7C817}" name="7240"/>
    <tableColumn id="7254" xr3:uid="{D2B794C7-645A-47D8-8B5F-00CE8B4F82DE}" name="7241"/>
    <tableColumn id="7255" xr3:uid="{0A43FC4F-312B-4064-A53A-F4D89F6C6DBD}" name="7242"/>
    <tableColumn id="7256" xr3:uid="{CB6E062A-9000-433C-8537-441D91129C7D}" name="7243"/>
    <tableColumn id="7257" xr3:uid="{67BACD61-B978-4674-AED7-1B2B75469A41}" name="7244"/>
    <tableColumn id="7258" xr3:uid="{188D2861-3CD9-4750-B3E3-E664E4E36135}" name="7245"/>
    <tableColumn id="7259" xr3:uid="{D8C091E6-5CE6-4CB2-825E-CCAA5A87224D}" name="7246"/>
    <tableColumn id="7260" xr3:uid="{E3136315-568E-4D85-A31C-C3719658FEB6}" name="7247"/>
    <tableColumn id="7261" xr3:uid="{4BFE8857-F940-4A88-A432-0A05A702F093}" name="7248"/>
    <tableColumn id="7262" xr3:uid="{2C7F5720-71E5-48B5-AA1B-D8529159E6C3}" name="7249"/>
    <tableColumn id="7263" xr3:uid="{84C91677-05B8-4F43-B41D-C03D99B31114}" name="7250"/>
    <tableColumn id="7264" xr3:uid="{C1A5AC34-AF09-4E24-9E89-79BAC26783DF}" name="7251"/>
    <tableColumn id="7265" xr3:uid="{613BBEF4-2714-45CD-A578-41B3F2E98C3C}" name="7252"/>
    <tableColumn id="7266" xr3:uid="{1F6294B3-070D-42CB-B085-521E50A97F35}" name="7253"/>
    <tableColumn id="7267" xr3:uid="{77975994-52CE-48CD-AFA4-19E29019C789}" name="7254"/>
    <tableColumn id="7268" xr3:uid="{EC6AFC43-038D-4E2B-B6BF-E55AE3A8A787}" name="7255"/>
    <tableColumn id="7269" xr3:uid="{AF2437D7-D4BC-41AE-AAEE-6FC0B1DD3E79}" name="7256"/>
    <tableColumn id="7270" xr3:uid="{F6FD7DDE-378F-4D2E-9935-30D433101F63}" name="7257"/>
    <tableColumn id="7271" xr3:uid="{2F287258-A924-4AA4-951F-D6B2C0113408}" name="7258"/>
    <tableColumn id="7272" xr3:uid="{ECDE5B56-D626-4256-AB02-66C746CFA1A8}" name="7259"/>
    <tableColumn id="7273" xr3:uid="{292AF172-7512-43BC-B3B1-1E6228DC8A01}" name="7260"/>
    <tableColumn id="7274" xr3:uid="{7205EC92-6300-4747-A617-9FF477802A4D}" name="7261"/>
    <tableColumn id="7275" xr3:uid="{79E49818-B432-4607-B737-114A28F677CC}" name="7262"/>
    <tableColumn id="7276" xr3:uid="{A5773A76-B0C1-4004-BD5E-1104A14FEF93}" name="7263"/>
    <tableColumn id="7277" xr3:uid="{4418FE27-BBB6-415D-A717-74458B5DED28}" name="7264"/>
    <tableColumn id="7278" xr3:uid="{D48832E2-74D6-411C-AA02-65C8C5F22BCF}" name="7265"/>
    <tableColumn id="7279" xr3:uid="{1A0A9B49-E318-4F5A-954A-E4FA0D5446E0}" name="7266"/>
    <tableColumn id="7280" xr3:uid="{F8F0A37F-35B8-4E03-9F2D-A5ECD81687DE}" name="7267"/>
    <tableColumn id="7281" xr3:uid="{DCB5F12C-E544-4E65-9E0E-CFC7AB49CC16}" name="7268"/>
    <tableColumn id="7282" xr3:uid="{6A6073AF-4372-4ACA-A2EA-B99771697D1F}" name="7269"/>
    <tableColumn id="7283" xr3:uid="{C1E85313-05D6-4BAD-83E8-AD87DADAA80A}" name="7270"/>
    <tableColumn id="7284" xr3:uid="{80DF5845-823D-4C12-AA7A-0DF35DA436DF}" name="7271"/>
    <tableColumn id="7285" xr3:uid="{C88F376A-9832-4DC4-8ABA-E9620F7493F3}" name="7272"/>
    <tableColumn id="7286" xr3:uid="{063AD553-13A3-4EA6-B47D-53897B1BE425}" name="7273"/>
    <tableColumn id="7287" xr3:uid="{BFDB8961-4CE8-401F-968F-5B39F12F4618}" name="7274"/>
    <tableColumn id="7288" xr3:uid="{D0519B08-465A-42CF-9C8D-8C30D306810F}" name="7275"/>
    <tableColumn id="7289" xr3:uid="{FB7B29F6-47C6-4DEC-A7C7-D550AA1BF6C4}" name="7276"/>
    <tableColumn id="7290" xr3:uid="{86ED584B-67CB-495F-B231-19470F0109C5}" name="7277"/>
    <tableColumn id="7291" xr3:uid="{46A93B54-1D1B-4C2A-92A4-3A7A3EFCD721}" name="7278"/>
    <tableColumn id="7292" xr3:uid="{68331D7C-70E7-437A-B256-A5D719BD835F}" name="7279"/>
    <tableColumn id="7293" xr3:uid="{4BEF23DA-9461-4D6C-B20A-E7F735B62F3E}" name="7280"/>
    <tableColumn id="7294" xr3:uid="{CE2A4F4C-D7DB-4783-A6CB-07BAE35EE879}" name="7281"/>
    <tableColumn id="7295" xr3:uid="{E017CC66-8098-4CE3-A5B9-9A8517982B38}" name="7282"/>
    <tableColumn id="7296" xr3:uid="{9D6FC3AB-69CD-4F5C-8F09-99B507EDEEBE}" name="7283"/>
    <tableColumn id="7297" xr3:uid="{0B292546-7BF6-45CB-99D4-BD5E7041DBA2}" name="7284"/>
    <tableColumn id="7298" xr3:uid="{5FF902F7-253B-40D6-884C-927A423D1A07}" name="7285"/>
    <tableColumn id="7299" xr3:uid="{8FF57C19-F086-443B-8574-307A887AFEBF}" name="7286"/>
    <tableColumn id="7300" xr3:uid="{24CB117B-62A2-45CD-AE28-F40C1B0CE818}" name="7287"/>
    <tableColumn id="7301" xr3:uid="{46E300E7-1684-40C9-9A12-F72DCA280E5F}" name="7288"/>
    <tableColumn id="7302" xr3:uid="{90D2F4F0-F5BD-4833-BC24-5D142E225B6F}" name="7289"/>
    <tableColumn id="7303" xr3:uid="{5714C9C5-3E75-4162-9798-559A4E6C00B9}" name="7290"/>
    <tableColumn id="7304" xr3:uid="{B9B4481C-F879-4905-A280-0B48E1CCDCED}" name="7291"/>
    <tableColumn id="7305" xr3:uid="{08392D8A-DBA4-4413-80D7-560AB12596A1}" name="7292"/>
    <tableColumn id="7306" xr3:uid="{66B44F73-9600-4A4C-9972-5984402B3AF0}" name="7293"/>
    <tableColumn id="7307" xr3:uid="{0064881C-6C4C-4B76-959C-2CAD554373A9}" name="7294"/>
    <tableColumn id="7308" xr3:uid="{372D2281-4120-4424-B6A2-AD61B6FFFE06}" name="7295"/>
    <tableColumn id="7309" xr3:uid="{0A401C09-C49A-4D15-8E6B-96DA50C1C872}" name="7296"/>
    <tableColumn id="7310" xr3:uid="{7A77E89E-DEBD-4260-B840-EEB02F1E41FE}" name="7297"/>
    <tableColumn id="7311" xr3:uid="{2090EB73-94A7-46B0-9278-66DF87543F79}" name="7298"/>
    <tableColumn id="7312" xr3:uid="{FED1F7A4-F1FA-4D36-83E9-591A6861657E}" name="7299"/>
    <tableColumn id="7313" xr3:uid="{A4D76D68-34E6-43F8-B3B0-0818D5EBBBC4}" name="7300"/>
    <tableColumn id="7314" xr3:uid="{CAC42499-93E0-4B18-95D8-60E4538345D8}" name="7301"/>
    <tableColumn id="7315" xr3:uid="{43ED2FDB-431B-4848-9A9F-34631BC4EF59}" name="7302"/>
    <tableColumn id="7316" xr3:uid="{DA396014-D5DA-42EC-ADAB-503EBCD73D15}" name="7303"/>
    <tableColumn id="7317" xr3:uid="{3A8FBDB0-1E21-4378-AE78-55ED8B9ADD8C}" name="7304"/>
    <tableColumn id="7318" xr3:uid="{60618813-B923-4431-9EB4-8522C6E0A8C7}" name="7305"/>
    <tableColumn id="7319" xr3:uid="{54565BDF-D966-489C-B749-7C611CE00C3B}" name="7306"/>
    <tableColumn id="7320" xr3:uid="{FF71E6C5-72C7-46B7-8F2C-12F8E18F220F}" name="7307"/>
    <tableColumn id="7321" xr3:uid="{F838A4C6-EBDB-4EB0-BAF5-45C368AF43AC}" name="7308"/>
    <tableColumn id="7322" xr3:uid="{DDC80760-C330-448A-8C11-99507FE67584}" name="7309"/>
    <tableColumn id="7323" xr3:uid="{4232AE63-E4BB-4285-A4FA-3A20893D80E6}" name="7310"/>
    <tableColumn id="7324" xr3:uid="{9087092D-D763-415D-B527-77E8D7FDB879}" name="7311"/>
    <tableColumn id="7325" xr3:uid="{EE6115BC-1B22-42CA-AD4C-2CD609FA2A61}" name="7312"/>
    <tableColumn id="7326" xr3:uid="{197A0BD6-83DA-4F6A-9381-111036025864}" name="7313"/>
    <tableColumn id="7327" xr3:uid="{18827B06-4C6E-4472-B96B-D522AD352FD7}" name="7314"/>
    <tableColumn id="7328" xr3:uid="{60F44C25-E3FD-4807-84C0-43135C85F9DB}" name="7315"/>
    <tableColumn id="7329" xr3:uid="{51AC4EB6-7C77-4380-B135-BD2B3FBE5717}" name="7316"/>
    <tableColumn id="7330" xr3:uid="{9B83D042-A8A4-4A4C-957A-164749FA3BFF}" name="7317"/>
    <tableColumn id="7331" xr3:uid="{E079100D-03E5-451C-9433-0D9CD8C85323}" name="7318"/>
    <tableColumn id="7332" xr3:uid="{451DB46F-A278-4746-A9D3-95CD2732FD1E}" name="7319"/>
    <tableColumn id="7333" xr3:uid="{89D4A58B-7904-4125-9854-5B1E70130A3B}" name="7320"/>
    <tableColumn id="7334" xr3:uid="{9787D33E-E55B-4EE4-95C0-AC4D8B2F6705}" name="7321"/>
    <tableColumn id="7335" xr3:uid="{E95750C4-DD4D-4708-8F28-C643FD580D75}" name="7322"/>
    <tableColumn id="7336" xr3:uid="{02EDCC03-8210-4104-ACBF-484C29A5703D}" name="7323"/>
    <tableColumn id="7337" xr3:uid="{AE1437F0-D3A6-45BA-AB8C-142CC091A6DA}" name="7324"/>
    <tableColumn id="7338" xr3:uid="{0874094A-07AF-40BA-BDAA-352111F0D01F}" name="7325"/>
    <tableColumn id="7339" xr3:uid="{B24E17A7-A1F7-4527-A51F-C5F10CA47134}" name="7326"/>
    <tableColumn id="7340" xr3:uid="{F5A8A908-63B7-4894-833D-4E62C7ACAEA6}" name="7327"/>
    <tableColumn id="7341" xr3:uid="{9BD595CF-84CF-4F70-8BA6-3D70AA2F5102}" name="7328"/>
    <tableColumn id="7342" xr3:uid="{59FCCA90-45DC-4A73-8572-D31A2EF87C97}" name="7329"/>
    <tableColumn id="7343" xr3:uid="{CE107DEE-B666-4451-A07A-00EB1B0D9109}" name="7330"/>
    <tableColumn id="7344" xr3:uid="{CCD40C14-D116-4585-A6BD-B81F3DC683CB}" name="7331"/>
    <tableColumn id="7345" xr3:uid="{01039CF7-A8AE-4FB4-AF1A-8ABD9C00230B}" name="7332"/>
    <tableColumn id="7346" xr3:uid="{11383755-B383-42DB-B19D-0A724DEB584A}" name="7333"/>
    <tableColumn id="7347" xr3:uid="{2CCBD300-8A2E-4E00-B91D-575A06CFCF00}" name="7334"/>
    <tableColumn id="7348" xr3:uid="{E53FBEE6-8D87-4C7B-A139-1395F1B98552}" name="7335"/>
    <tableColumn id="7349" xr3:uid="{5DF752B9-24CD-4053-989C-EBF76AE5E854}" name="7336"/>
    <tableColumn id="7350" xr3:uid="{4B0BFF71-9A75-49FB-B010-7C7F35B12559}" name="7337"/>
    <tableColumn id="7351" xr3:uid="{8BCE3F90-2CF0-46F4-A811-A863FA0F96AD}" name="7338"/>
    <tableColumn id="7352" xr3:uid="{F15790FA-8EF2-4FE8-A572-A86D2351C814}" name="7339"/>
    <tableColumn id="7353" xr3:uid="{74E87443-5EF9-45F5-BD01-6EC944C80332}" name="7340"/>
    <tableColumn id="7354" xr3:uid="{86ED1360-91E4-4574-AF98-AF167F2F28B6}" name="7341"/>
    <tableColumn id="7355" xr3:uid="{6B4C8FE9-56BD-4D30-9FFF-1AC74ECF7F9E}" name="7342"/>
    <tableColumn id="7356" xr3:uid="{55C5A2BD-731D-4F80-840E-0C741077E6BB}" name="7343"/>
    <tableColumn id="7357" xr3:uid="{B5132398-4E84-4063-BAE7-996F1B14A146}" name="7344"/>
    <tableColumn id="7358" xr3:uid="{19658042-4825-4840-8E1C-0B17C42CFAA4}" name="7345"/>
    <tableColumn id="7359" xr3:uid="{B0313331-CF48-4995-864F-2E53B904BDED}" name="7346"/>
    <tableColumn id="7360" xr3:uid="{E7E95B4B-D87C-4DC7-8CC8-A1213E49E74F}" name="7347"/>
    <tableColumn id="7361" xr3:uid="{73801A6C-5C97-4924-898C-D94922BB7515}" name="7348"/>
    <tableColumn id="7362" xr3:uid="{81EDA682-2AD4-45F2-9D34-EEDB102A85F7}" name="7349"/>
    <tableColumn id="7363" xr3:uid="{DFC99A45-E477-4DDB-B61F-2A3794DEC347}" name="7350"/>
    <tableColumn id="7364" xr3:uid="{DA28A6E0-46E2-44B0-9476-28D66B6468AA}" name="7351"/>
    <tableColumn id="7365" xr3:uid="{7FE877B4-EFF7-4CAC-8AFE-BB8D9982B401}" name="7352"/>
    <tableColumn id="7366" xr3:uid="{F7DB7D19-2033-48F6-ABE3-F44439E3C278}" name="7353"/>
    <tableColumn id="7367" xr3:uid="{59365963-6988-470B-BD93-403F4CF944C8}" name="7354"/>
    <tableColumn id="7368" xr3:uid="{65EADD69-99F4-472C-A3B7-12D2440AC2FE}" name="7355"/>
    <tableColumn id="7369" xr3:uid="{43004C98-DEBC-41C3-AC8E-48AA7B05F3C3}" name="7356"/>
    <tableColumn id="7370" xr3:uid="{19C69126-3444-4179-99C4-DBEADB54338C}" name="7357"/>
    <tableColumn id="7371" xr3:uid="{23005CC4-F2A8-4F88-BC44-3C0FD1B70E41}" name="7358"/>
    <tableColumn id="7372" xr3:uid="{1D2D942B-4150-497D-8582-3556B8928606}" name="7359"/>
    <tableColumn id="7373" xr3:uid="{4A80769D-66ED-4EAD-9B62-82A018A1EC58}" name="7360"/>
    <tableColumn id="7374" xr3:uid="{4ABA63DA-A406-40D1-8746-CC4DAE873DE0}" name="7361"/>
    <tableColumn id="7375" xr3:uid="{9ED5CD59-4CC5-48F0-B01D-12FEB424056A}" name="7362"/>
    <tableColumn id="7376" xr3:uid="{3FD7FCDB-C419-44EE-AC53-484C4008CE25}" name="7363"/>
    <tableColumn id="7377" xr3:uid="{22329DDB-89EC-410A-A4C6-94718AE9DBD6}" name="7364"/>
    <tableColumn id="7378" xr3:uid="{D4C771BB-3152-4B38-872D-D40743363136}" name="7365"/>
    <tableColumn id="7379" xr3:uid="{5CF9E2EC-55BE-43C6-9285-7A4C6F4F9B80}" name="7366"/>
    <tableColumn id="7380" xr3:uid="{98AF488C-CFD1-49B3-BA93-4B85B7A2A39C}" name="7367"/>
    <tableColumn id="7381" xr3:uid="{5F759832-00EF-4599-BBFC-044712CFCA09}" name="7368"/>
    <tableColumn id="7382" xr3:uid="{E54DF709-B6A2-4B99-8647-4372892C7C6B}" name="7369"/>
    <tableColumn id="7383" xr3:uid="{CD5ACCED-E7BA-43E6-BEAC-8B75D159D65D}" name="7370"/>
    <tableColumn id="7384" xr3:uid="{2B97BD37-3A1C-4DEB-A692-045A48B5C4E3}" name="7371"/>
    <tableColumn id="7385" xr3:uid="{4F3B4E88-761D-4C04-A9EB-0B2172017601}" name="7372"/>
    <tableColumn id="7386" xr3:uid="{DBD55A0F-FF29-4035-B9AD-EB3E99754EBB}" name="7373"/>
    <tableColumn id="7387" xr3:uid="{AE474BAF-86CD-4548-BF43-BD8C2BF2EA1C}" name="7374"/>
    <tableColumn id="7388" xr3:uid="{6C4A61F4-A5A2-48E1-B9BB-B61BB5431564}" name="7375"/>
    <tableColumn id="7389" xr3:uid="{1F0DEBA5-A24F-4962-8312-7F9B52EB90E0}" name="7376"/>
    <tableColumn id="7390" xr3:uid="{41CE989F-087F-4355-8DFD-B362B9758503}" name="7377"/>
    <tableColumn id="7391" xr3:uid="{C7CEB757-C338-4832-9335-A1BEAFCCF217}" name="7378"/>
    <tableColumn id="7392" xr3:uid="{F74FF065-3A1B-4851-8BE2-B3CDD4A5D2AC}" name="7379"/>
    <tableColumn id="7393" xr3:uid="{F1CD9470-FB6A-4F34-926E-36F3BC2B5549}" name="7380"/>
    <tableColumn id="7394" xr3:uid="{A3C74859-0274-49BF-8732-94AA8B68F095}" name="7381"/>
    <tableColumn id="7395" xr3:uid="{6FDAAC02-FD98-4C90-B212-788BC01BB0D7}" name="7382"/>
    <tableColumn id="7396" xr3:uid="{4C912301-D464-4D2B-8007-D7288B68D0BA}" name="7383"/>
    <tableColumn id="7397" xr3:uid="{0065D80A-7722-4CF1-8C3F-A079E15C192B}" name="7384"/>
    <tableColumn id="7398" xr3:uid="{9B1BC7BB-CF9F-4C7B-9613-B481B85312F6}" name="7385"/>
    <tableColumn id="7399" xr3:uid="{3B104992-E5FE-4B62-83D6-D9B1D56BE081}" name="7386"/>
    <tableColumn id="7400" xr3:uid="{3BA623F2-1F82-43A1-AFCD-663AA4ADD3A7}" name="7387"/>
    <tableColumn id="7401" xr3:uid="{4EA2644E-7441-447E-B4B9-FB40AAD35EC7}" name="7388"/>
    <tableColumn id="7402" xr3:uid="{E25D9DC2-9075-4F9C-B893-048529CA71AC}" name="7389"/>
    <tableColumn id="7403" xr3:uid="{B6B6BB99-3F88-4727-947E-5DB64AABF519}" name="7390"/>
    <tableColumn id="7404" xr3:uid="{2CD28FE8-EC14-4798-9C18-65A82D109698}" name="7391"/>
    <tableColumn id="7405" xr3:uid="{4DDA8B79-84C8-4A38-B4FE-956AF1C2BBBD}" name="7392"/>
    <tableColumn id="7406" xr3:uid="{284EC09D-B4AC-4461-9C7E-6182F7FE6515}" name="7393"/>
    <tableColumn id="7407" xr3:uid="{0D153516-E9DC-4410-917A-85A550B58F3F}" name="7394"/>
    <tableColumn id="7408" xr3:uid="{FC5C62EF-4867-4470-BC5E-FDE91C1F999F}" name="7395"/>
    <tableColumn id="7409" xr3:uid="{E368BD84-FF67-45AE-B46C-6F2DB8AF23A0}" name="7396"/>
    <tableColumn id="7410" xr3:uid="{925FD371-5193-478F-B281-13D635DAD2CE}" name="7397"/>
    <tableColumn id="7411" xr3:uid="{0718A432-13C4-4CC4-BB12-C80BA9682A1E}" name="7398"/>
    <tableColumn id="7412" xr3:uid="{D909F861-B93A-417C-BB3B-E0628F7C91F7}" name="7399"/>
    <tableColumn id="7413" xr3:uid="{9EA36E6B-B01C-4AE7-9E3B-A34FFA148CB4}" name="7400"/>
    <tableColumn id="7414" xr3:uid="{307A70F0-AFD9-4FF9-8F66-86681ED9DE5F}" name="7401"/>
    <tableColumn id="7415" xr3:uid="{CFD24A8D-B036-4065-8695-CF480055E630}" name="7402"/>
    <tableColumn id="7416" xr3:uid="{7AA8722B-04BD-428A-8ACD-D45D09942D8E}" name="7403"/>
    <tableColumn id="7417" xr3:uid="{A6107437-009E-4F4A-9805-3A3C81AF5DD1}" name="7404"/>
    <tableColumn id="7418" xr3:uid="{129CBD52-E7CD-4DA5-A93C-A70B383EF3D2}" name="7405"/>
    <tableColumn id="7419" xr3:uid="{BF8B3B7B-F455-4E2D-992A-41F8681C96A4}" name="7406"/>
    <tableColumn id="7420" xr3:uid="{45E6B2DB-D605-441E-99CF-86DAC69ABF2D}" name="7407"/>
    <tableColumn id="7421" xr3:uid="{134D6018-85AE-4D49-8ED8-03783ABC08D1}" name="7408"/>
    <tableColumn id="7422" xr3:uid="{93D9FBEA-D3D9-4A6C-9F45-DCE0F30A6F6F}" name="7409"/>
    <tableColumn id="7423" xr3:uid="{80744B3F-08C0-4107-A1E0-B6DBD64E7982}" name="7410"/>
    <tableColumn id="7424" xr3:uid="{93DDF043-FD0A-48A6-9BE2-1C3E0270C82D}" name="7411"/>
    <tableColumn id="7425" xr3:uid="{4E2C3E40-1FDB-461B-BBD0-BBC006E25224}" name="7412"/>
    <tableColumn id="7426" xr3:uid="{5F7E1607-F5D2-40FD-9BAC-FC9305108844}" name="7413"/>
    <tableColumn id="7427" xr3:uid="{5D175763-728F-4ED6-922D-06545D9F6E1F}" name="7414"/>
    <tableColumn id="7428" xr3:uid="{A4B1FB85-76E4-44EE-9D2B-5AC166D8C586}" name="7415"/>
    <tableColumn id="7429" xr3:uid="{FCD0A1BA-3933-4393-8C52-3F2C5D0DCDB7}" name="7416"/>
    <tableColumn id="7430" xr3:uid="{A4AC13A4-E0C1-4E22-9FBA-E9033986C61B}" name="7417"/>
    <tableColumn id="7431" xr3:uid="{287CEDA9-4A0C-46C9-90FD-83142D384C18}" name="7418"/>
    <tableColumn id="7432" xr3:uid="{08DE5E46-A336-45F4-92DF-319BEF074E75}" name="7419"/>
    <tableColumn id="7433" xr3:uid="{3D1E944A-8E4B-404D-AE97-AE9DCE1A2AEC}" name="7420"/>
    <tableColumn id="7434" xr3:uid="{5E5A9BFD-694F-43AB-A592-843FECD1D360}" name="7421"/>
    <tableColumn id="7435" xr3:uid="{470ED951-77F4-4B49-AA05-D38B85F9A8FB}" name="7422"/>
    <tableColumn id="7436" xr3:uid="{E9D50953-DA06-433B-9152-04D145C452F6}" name="7423"/>
    <tableColumn id="7437" xr3:uid="{DC6AA984-CA0F-47E9-8ECA-7EC7423F30E8}" name="7424"/>
    <tableColumn id="7438" xr3:uid="{4B3FA839-B7FD-42A8-B2BC-4FD15A511C76}" name="7425"/>
    <tableColumn id="7439" xr3:uid="{AA8F3FAB-EFFC-40EE-A073-E0F6EDCC20C4}" name="7426"/>
    <tableColumn id="7440" xr3:uid="{ABFB7606-4E8A-43C9-ACFE-D699E6C1C3A8}" name="7427"/>
    <tableColumn id="7441" xr3:uid="{2453DA17-2C9E-4002-A2F8-63C1774BA4F9}" name="7428"/>
    <tableColumn id="7442" xr3:uid="{BFEFD953-597A-4214-B324-0E80A5AB29CB}" name="7429"/>
    <tableColumn id="7443" xr3:uid="{538A8669-0799-460D-960E-2BA9F48C35C2}" name="7430"/>
    <tableColumn id="7444" xr3:uid="{E96294FA-16E8-4F1D-B4DC-9B6BA589C2DD}" name="7431"/>
    <tableColumn id="7445" xr3:uid="{242D8B3F-8AED-4B00-A4C1-5E2EB23BE791}" name="7432"/>
    <tableColumn id="7446" xr3:uid="{62BD0D8F-7580-43CF-8A18-16ED0E122D4E}" name="7433"/>
    <tableColumn id="7447" xr3:uid="{787EA944-C2D9-4EA2-B463-DD2C1D63ADE0}" name="7434"/>
    <tableColumn id="7448" xr3:uid="{3CAE1141-5789-48B5-93F2-31DCE8949195}" name="7435"/>
    <tableColumn id="7449" xr3:uid="{F8F6BA66-1DE8-4A12-8C8B-7C1742937E98}" name="7436"/>
    <tableColumn id="7450" xr3:uid="{8EBE63CA-DA12-4A21-BAD8-3A9CFD39B2B6}" name="7437"/>
    <tableColumn id="7451" xr3:uid="{D288DCD7-BA21-41B3-A5D5-3ABFBF4A4F53}" name="7438"/>
    <tableColumn id="7452" xr3:uid="{728CFDDB-574C-41BC-AB6D-FBFFBAED523F}" name="7439"/>
    <tableColumn id="7453" xr3:uid="{4F6B903E-C60F-4AD4-8A64-F7ED09479361}" name="7440"/>
    <tableColumn id="7454" xr3:uid="{F56D71E0-1D5A-4A90-B10E-694F75F1F39C}" name="7441"/>
    <tableColumn id="7455" xr3:uid="{F89DE6A1-A6BE-49F8-B181-DE656F843C45}" name="7442"/>
    <tableColumn id="7456" xr3:uid="{6D40B32F-2320-45FE-8425-2326D779AE1F}" name="7443"/>
    <tableColumn id="7457" xr3:uid="{0C9E202E-CD94-423B-AD06-2FF50652D388}" name="7444"/>
    <tableColumn id="7458" xr3:uid="{AAE02FE4-7161-4986-8ED2-6CBCA4D2A58F}" name="7445"/>
    <tableColumn id="7459" xr3:uid="{6BEA70C0-22D5-4824-B297-B19ABE97B08A}" name="7446"/>
    <tableColumn id="7460" xr3:uid="{834AF1D7-A0B7-4610-9EDD-060D03B10C8B}" name="7447"/>
    <tableColumn id="7461" xr3:uid="{60B23D30-6921-4096-8841-A54B594F492F}" name="7448"/>
    <tableColumn id="7462" xr3:uid="{4C287925-221C-48C0-A605-4C0C93150825}" name="7449"/>
    <tableColumn id="7463" xr3:uid="{58A734F8-4D98-4609-A2CC-BBB8966F4F56}" name="7450"/>
    <tableColumn id="7464" xr3:uid="{436C009A-4624-4CF2-B015-C81116616025}" name="7451"/>
    <tableColumn id="7465" xr3:uid="{ADF1C7AE-1174-4BA2-A0CE-901D4F348155}" name="7452"/>
    <tableColumn id="7466" xr3:uid="{99D079EA-9CF2-4080-988A-D9DA663C0C33}" name="7453"/>
    <tableColumn id="7467" xr3:uid="{D56FC293-0B40-4AC6-A16D-897A03743CEE}" name="7454"/>
    <tableColumn id="7468" xr3:uid="{E7D60E3A-4DD0-4D40-AC1C-16009AB0BCCB}" name="7455"/>
    <tableColumn id="7469" xr3:uid="{B32EE455-E181-45DA-B369-9436A9132770}" name="7456"/>
    <tableColumn id="7470" xr3:uid="{2E18ABE6-D472-470C-90B8-CEEA7EF7861D}" name="7457"/>
    <tableColumn id="7471" xr3:uid="{36C6DFD5-F865-4137-A30F-E241E642DC9F}" name="7458"/>
    <tableColumn id="7472" xr3:uid="{3081182E-76C4-4C09-8FA6-EFC4DE162378}" name="7459"/>
    <tableColumn id="7473" xr3:uid="{C9EB1177-1984-4C52-BB7B-2201CC29D9F9}" name="7460"/>
    <tableColumn id="7474" xr3:uid="{10E2DFFC-0105-475C-A88B-491B851A1ADF}" name="7461"/>
    <tableColumn id="7475" xr3:uid="{1102EEF0-C8D0-415A-A701-D1E5E367183B}" name="7462"/>
    <tableColumn id="7476" xr3:uid="{2CCD98D9-5D50-41D7-B043-ABA5B72868C0}" name="7463"/>
    <tableColumn id="7477" xr3:uid="{CA24E79D-5A7B-411D-A9CB-F3C4A8497495}" name="7464"/>
    <tableColumn id="7478" xr3:uid="{FF8777C5-1406-452A-ABC6-8B9778B3DAA6}" name="7465"/>
    <tableColumn id="7479" xr3:uid="{ACE1E94C-1A43-4B58-91E3-A446A9981C20}" name="7466"/>
    <tableColumn id="7480" xr3:uid="{01BE5D96-B569-414C-974D-B592E1095A48}" name="7467"/>
    <tableColumn id="7481" xr3:uid="{35A59071-C001-4998-86C4-6587B715E910}" name="7468"/>
    <tableColumn id="7482" xr3:uid="{4885526C-5BEC-4C69-912F-0A1964670ACD}" name="7469"/>
    <tableColumn id="7483" xr3:uid="{BB07A166-6C1F-4BAD-9B8A-4C191FA84403}" name="7470"/>
    <tableColumn id="7484" xr3:uid="{5BF588BD-CA55-485C-9245-BC6D405130CB}" name="7471"/>
    <tableColumn id="7485" xr3:uid="{9BB34193-E3C3-4444-8FC3-382F5A60C33B}" name="7472"/>
    <tableColumn id="7486" xr3:uid="{3D117E8F-357A-42B7-AAC1-7CDD16CAC5C9}" name="7473"/>
    <tableColumn id="7487" xr3:uid="{993E516E-330B-4806-9E06-81F56AB13AB9}" name="7474"/>
    <tableColumn id="7488" xr3:uid="{869AF638-1609-46C7-895D-D2365DF3BAFD}" name="7475"/>
    <tableColumn id="7489" xr3:uid="{9EAA9A08-3D08-4D85-9FAB-3E5A45E00012}" name="7476"/>
    <tableColumn id="7490" xr3:uid="{65A0C0EF-6C5A-4C51-9690-45925B4A7B6F}" name="7477"/>
    <tableColumn id="7491" xr3:uid="{3E4A4B0E-3B63-400C-96F7-C6E5F6CB7730}" name="7478"/>
    <tableColumn id="7492" xr3:uid="{6A3C628E-6ECB-4358-B233-2C12C567DDE5}" name="7479"/>
    <tableColumn id="7493" xr3:uid="{A8D51EE3-31C9-486B-9E7E-1927A2171A7E}" name="7480"/>
    <tableColumn id="7494" xr3:uid="{343D2126-7F09-4823-BA84-BFDE43A17F3A}" name="7481"/>
    <tableColumn id="7495" xr3:uid="{90C987A8-10F6-4473-AA22-B66099510291}" name="7482"/>
    <tableColumn id="7496" xr3:uid="{0DA38568-B1F6-47C5-A102-21795DB6FA38}" name="7483"/>
    <tableColumn id="7497" xr3:uid="{76C15E0E-D2E8-40D2-A6CA-37C938F1D35E}" name="7484"/>
    <tableColumn id="7498" xr3:uid="{BA4CB7D3-A058-4D81-A2D1-E70B03A14253}" name="7485"/>
    <tableColumn id="7499" xr3:uid="{4FFABAA6-7F0D-443C-9DC4-989167208F9A}" name="7486"/>
    <tableColumn id="7500" xr3:uid="{55931CAF-DD03-4755-A0E3-3EC2EA281A3A}" name="7487"/>
    <tableColumn id="7501" xr3:uid="{9616D001-2AA7-4941-A8DD-63668A93CC4C}" name="7488"/>
    <tableColumn id="7502" xr3:uid="{18A4E349-F885-4C85-9B6D-5E1EA85400EA}" name="7489"/>
    <tableColumn id="7503" xr3:uid="{DD2572CF-A3CB-440F-878D-A0E2E09552AB}" name="7490"/>
    <tableColumn id="7504" xr3:uid="{57756BCF-936C-47B7-BC77-0AA646DCA835}" name="7491"/>
    <tableColumn id="7505" xr3:uid="{AAF0E7DE-2BA3-4B08-9C0A-5EFE17DC3B78}" name="7492"/>
    <tableColumn id="7506" xr3:uid="{A45E0DC7-87E7-4D50-B409-A78B8EE055A7}" name="7493"/>
    <tableColumn id="7507" xr3:uid="{CED250B8-F67A-4642-9204-533054865BE0}" name="7494"/>
    <tableColumn id="7508" xr3:uid="{3F772019-F9C2-44B3-AE39-C0D4FA4E0E4F}" name="7495"/>
    <tableColumn id="7509" xr3:uid="{E2CFF337-4AC3-4239-8803-3F8866242454}" name="7496"/>
    <tableColumn id="7510" xr3:uid="{91D7DBD8-F9DB-470C-A7EC-A9CB747B95D5}" name="7497"/>
    <tableColumn id="7511" xr3:uid="{93A7EC55-9D97-44EE-840F-2D4810DA19BF}" name="7498"/>
    <tableColumn id="7512" xr3:uid="{61DF9DC1-5500-42B6-8C54-6EA5AEEC6873}" name="7499"/>
    <tableColumn id="7513" xr3:uid="{1EB8D950-F859-4EC4-9DBB-D8D02E56D77B}" name="7500"/>
    <tableColumn id="7514" xr3:uid="{7EFD01CC-1E03-4158-8C0C-A8BD53915AFC}" name="7501"/>
    <tableColumn id="7515" xr3:uid="{3626D896-B1EF-4BA8-A64F-A94427F239A9}" name="7502"/>
    <tableColumn id="7516" xr3:uid="{3D06064A-8F7B-4305-9D9E-3B0379F7A1C5}" name="7503"/>
    <tableColumn id="7517" xr3:uid="{1FBC1B35-D3A9-4C77-B5AD-3B504E5ACB56}" name="7504"/>
    <tableColumn id="7518" xr3:uid="{C7B4FCC1-5FA4-4DAB-9A3F-92880CBA55A1}" name="7505"/>
    <tableColumn id="7519" xr3:uid="{1CEDA9DC-D6F5-4F40-A8CA-0EE780383B41}" name="7506"/>
    <tableColumn id="7520" xr3:uid="{E121F81A-39FA-402A-A6AB-07BA49B7936E}" name="7507"/>
    <tableColumn id="7521" xr3:uid="{F8BCB7E2-9984-428B-8B28-02529DD27F1C}" name="7508"/>
    <tableColumn id="7522" xr3:uid="{44B2343F-C84A-421D-90B1-E522C58C2D2E}" name="7509"/>
    <tableColumn id="7523" xr3:uid="{3F8248A6-C189-43BC-B59C-F591E41A4333}" name="7510"/>
    <tableColumn id="7524" xr3:uid="{7B13E4C9-91CD-43B5-9DCE-6B5929697709}" name="7511"/>
    <tableColumn id="7525" xr3:uid="{9DF353B3-C04D-43EC-9AF3-E7C2BEE3A76B}" name="7512"/>
    <tableColumn id="7526" xr3:uid="{366C80D3-FFA3-4735-A273-7241229B4C21}" name="7513"/>
    <tableColumn id="7527" xr3:uid="{61CAE530-A372-4BDF-83EB-19BF35756E45}" name="7514"/>
    <tableColumn id="7528" xr3:uid="{0D1E809A-5E79-4790-AC3C-EF5797AC140C}" name="7515"/>
    <tableColumn id="7529" xr3:uid="{575538ED-0DBE-476D-8B2B-2D19E75145F3}" name="7516"/>
    <tableColumn id="7530" xr3:uid="{C3B0AF76-41EE-40A3-B388-1C4841B55EC4}" name="7517"/>
    <tableColumn id="7531" xr3:uid="{F23997C5-C9FF-4EDD-9B89-CD840B9B7C81}" name="7518"/>
    <tableColumn id="7532" xr3:uid="{53E36FFE-998B-4CC4-9862-91F74DE2BD6C}" name="7519"/>
    <tableColumn id="7533" xr3:uid="{3F70DCB9-3E32-4BEE-A6BA-9EE1167ABD74}" name="7520"/>
    <tableColumn id="7534" xr3:uid="{CDC6688E-1409-442E-8881-8C05AA0A550D}" name="7521"/>
    <tableColumn id="7535" xr3:uid="{92CD159A-BBA3-4134-BE90-0E20F03D228C}" name="7522"/>
    <tableColumn id="7536" xr3:uid="{2EB2A318-4AD2-40A7-A57C-903C36BFAC8A}" name="7523"/>
    <tableColumn id="7537" xr3:uid="{CD8B90F1-B7A6-46BD-9958-9F913CEE90EA}" name="7524"/>
    <tableColumn id="7538" xr3:uid="{8E9731C7-9A2B-4E9F-AD44-76D850B3BADA}" name="7525"/>
    <tableColumn id="7539" xr3:uid="{17CC09EB-DFB0-422E-8A46-1F2D35294EF2}" name="7526"/>
    <tableColumn id="7540" xr3:uid="{A41FEE0C-C78E-430A-85AE-24B471CACB87}" name="7527"/>
    <tableColumn id="7541" xr3:uid="{84505684-02AE-4BA5-8169-4CDDD95D14A2}" name="7528"/>
    <tableColumn id="7542" xr3:uid="{DCB537B6-2626-4969-98BA-0DDC5B0C96E2}" name="7529"/>
    <tableColumn id="7543" xr3:uid="{762B6A51-0A2E-4700-ABAE-7A84F7DC40A9}" name="7530"/>
    <tableColumn id="7544" xr3:uid="{27C88B7B-F952-4DF9-B3B8-A3FB423D37B4}" name="7531"/>
    <tableColumn id="7545" xr3:uid="{73E41A1F-4905-4D25-901A-7F63BDDACC37}" name="7532"/>
    <tableColumn id="7546" xr3:uid="{83B2DBE2-98EC-4C4A-AEBD-3AB2644376D8}" name="7533"/>
    <tableColumn id="7547" xr3:uid="{0984F44F-28CC-45AA-9F4A-1E36DC36B72A}" name="7534"/>
    <tableColumn id="7548" xr3:uid="{EF070649-8301-4B47-9B13-ACA3FEF5A32E}" name="7535"/>
    <tableColumn id="7549" xr3:uid="{D99B3A84-75FB-4D1C-865A-A4690CB048E4}" name="7536"/>
    <tableColumn id="7550" xr3:uid="{62650E24-E8F9-4FB2-86A8-481D3FE55560}" name="7537"/>
    <tableColumn id="7551" xr3:uid="{E94DD06D-17FA-4839-99DF-76395BEED258}" name="7538"/>
    <tableColumn id="7552" xr3:uid="{9EE9CFBE-C4B8-412E-A5EC-DD63EDD5EC01}" name="7539"/>
    <tableColumn id="7553" xr3:uid="{B832EED7-73A2-48D8-ACB2-AD327340EEF6}" name="7540"/>
    <tableColumn id="7554" xr3:uid="{848FF699-B5C1-4FB6-BF40-698EE58FCCA2}" name="7541"/>
    <tableColumn id="7555" xr3:uid="{67BC2A21-FB0A-4C09-8DD6-01F47B7FC505}" name="7542"/>
    <tableColumn id="7556" xr3:uid="{A151974E-77B0-4CF4-9B80-285D5D06062C}" name="7543"/>
    <tableColumn id="7557" xr3:uid="{4A854473-383B-490C-99E1-22BCD1AD0116}" name="7544"/>
    <tableColumn id="7558" xr3:uid="{34855D3F-6312-4496-A0F6-47E7F0F05E60}" name="7545"/>
    <tableColumn id="7559" xr3:uid="{1E00FA8A-BB82-4099-928D-82C992DF9125}" name="7546"/>
    <tableColumn id="7560" xr3:uid="{4BFECB62-C91E-42A0-B7D6-3798C85B9005}" name="7547"/>
    <tableColumn id="7561" xr3:uid="{D360D17A-00E6-446A-8803-2C7DCAD809F1}" name="7548"/>
    <tableColumn id="7562" xr3:uid="{04909AAC-4141-4E8D-84AB-5BAB70D1CEE2}" name="7549"/>
    <tableColumn id="7563" xr3:uid="{0F6C8738-F0E9-41EA-A124-D17470FDBAA0}" name="7550"/>
    <tableColumn id="7564" xr3:uid="{06D8D7F7-D9A4-437D-990E-03D6C67BE84B}" name="7551"/>
    <tableColumn id="7565" xr3:uid="{91B87E91-C915-4FD0-89BA-830839E8C459}" name="7552"/>
    <tableColumn id="7566" xr3:uid="{1FE1207E-080D-46E6-866D-BAF5239CAA25}" name="7553"/>
    <tableColumn id="7567" xr3:uid="{86104AC1-4B8C-43AD-9163-54A786F8252B}" name="7554"/>
    <tableColumn id="7568" xr3:uid="{768296A3-AC9F-4D2B-818A-B4EE28C0BD46}" name="7555"/>
    <tableColumn id="7569" xr3:uid="{63A926F3-721A-4DC0-A3B5-DA5467DADF7A}" name="7556"/>
    <tableColumn id="7570" xr3:uid="{B486874B-541A-499D-9316-197377A1377F}" name="7557"/>
    <tableColumn id="7571" xr3:uid="{5A50F666-3F27-4E84-B10B-A482535AC4F8}" name="7558"/>
    <tableColumn id="7572" xr3:uid="{147C5F12-15F6-41B3-BF82-B1463A234012}" name="7559"/>
    <tableColumn id="7573" xr3:uid="{AA8FFEC6-3354-4CAE-8306-760FC42C292B}" name="7560"/>
    <tableColumn id="7574" xr3:uid="{6981D45B-4DAF-447B-A167-CB1A1E6DAEC6}" name="7561"/>
    <tableColumn id="7575" xr3:uid="{4F574262-8170-457D-9415-3B0F91B1AB8D}" name="7562"/>
    <tableColumn id="7576" xr3:uid="{DEFE722B-8412-4E97-ACD7-B76FE87819E6}" name="7563"/>
    <tableColumn id="7577" xr3:uid="{42A17759-1AC0-41BA-9C60-123507FACEBA}" name="7564"/>
    <tableColumn id="7578" xr3:uid="{F59A463D-77F1-4DAA-A710-681CC9DD4A26}" name="7565"/>
    <tableColumn id="7579" xr3:uid="{487B05C9-1811-4AEE-B009-F9E4FC987339}" name="7566"/>
    <tableColumn id="7580" xr3:uid="{D2E63BA1-9293-45A0-86AF-CEBCE7A5B57A}" name="7567"/>
    <tableColumn id="7581" xr3:uid="{0DC6E1CD-FAB3-4CF7-B6DC-2396ACFDB18D}" name="7568"/>
    <tableColumn id="7582" xr3:uid="{38366BA8-45B8-4872-A5B1-73A53D2254E6}" name="7569"/>
    <tableColumn id="7583" xr3:uid="{3846DD18-651F-4D15-BDB1-F7181978B27D}" name="7570"/>
    <tableColumn id="7584" xr3:uid="{62D01935-1B8B-4409-9C27-798D3AEA913D}" name="7571"/>
    <tableColumn id="7585" xr3:uid="{4D7C2A51-C13E-4CFB-B6E6-11BD413C97CD}" name="7572"/>
    <tableColumn id="7586" xr3:uid="{471C0997-322C-4D68-ADBD-97A9D9739D94}" name="7573"/>
    <tableColumn id="7587" xr3:uid="{C5AFA7CC-3F0A-44CF-92C6-D898C3A27087}" name="7574"/>
    <tableColumn id="7588" xr3:uid="{370D259F-B19B-4E3B-93CA-FCC2943E8172}" name="7575"/>
    <tableColumn id="7589" xr3:uid="{579EDC32-E77C-4849-8583-2864E3D9FC5F}" name="7576"/>
    <tableColumn id="7590" xr3:uid="{93676D21-D7DC-4285-A6C6-5AA856E5E03D}" name="7577"/>
    <tableColumn id="7591" xr3:uid="{CDC484E3-900D-405D-B688-435FE6984998}" name="7578"/>
    <tableColumn id="7592" xr3:uid="{7139AE4A-C089-4F41-AA31-7B1CE7457FD3}" name="7579"/>
    <tableColumn id="7593" xr3:uid="{33A22947-963A-49F5-879B-BBC023F67486}" name="7580"/>
    <tableColumn id="7594" xr3:uid="{5F60183D-EC22-4AB3-8EE0-AD886AD6D14D}" name="7581"/>
    <tableColumn id="7595" xr3:uid="{95D1401B-8293-4A41-B2E6-0BB342E741A1}" name="7582"/>
    <tableColumn id="7596" xr3:uid="{5EB69BCA-5709-43DA-A469-79DBB06755F8}" name="7583"/>
    <tableColumn id="7597" xr3:uid="{5EF94C34-CB20-412E-A5C7-09E921FA2F16}" name="7584"/>
    <tableColumn id="7598" xr3:uid="{EA68B71D-DBFD-40F9-B80B-E97FF2333A44}" name="7585"/>
    <tableColumn id="7599" xr3:uid="{3005B602-DED8-4B23-8722-D11449067956}" name="7586"/>
    <tableColumn id="7600" xr3:uid="{309A89E7-C6CF-4D7A-89DC-74DBCFD8F6FA}" name="7587"/>
    <tableColumn id="7601" xr3:uid="{1D155575-8234-4B21-8A58-974AB11C9BDE}" name="7588"/>
    <tableColumn id="7602" xr3:uid="{625645EB-A3C7-4E9D-8DA6-6BC9FC77975F}" name="7589"/>
    <tableColumn id="7603" xr3:uid="{67814CF5-53C9-4E19-99D9-406F5D8013A2}" name="7590"/>
    <tableColumn id="7604" xr3:uid="{99A577D2-2104-4314-A96D-F1448E0ED614}" name="7591"/>
    <tableColumn id="7605" xr3:uid="{C071F6A2-9011-4F90-B377-C1B4AD70D476}" name="7592"/>
    <tableColumn id="7606" xr3:uid="{E1DF7338-FA5E-4C4A-AE00-24B9097CDEEE}" name="7593"/>
    <tableColumn id="7607" xr3:uid="{B325CCBA-2E7C-4BB2-A181-CD7D484B135C}" name="7594"/>
    <tableColumn id="7608" xr3:uid="{99CFF79B-C205-48E0-B33D-C01E89C40593}" name="7595"/>
    <tableColumn id="7609" xr3:uid="{13449359-559F-48EA-83DD-1CD22C61377D}" name="7596"/>
    <tableColumn id="7610" xr3:uid="{29E43F00-83AF-4A8F-9D66-9049BB44FD11}" name="7597"/>
    <tableColumn id="7611" xr3:uid="{30404104-426D-4619-ACE5-F8E7F3910FE9}" name="7598"/>
    <tableColumn id="7612" xr3:uid="{BB4E9726-17DE-46F7-89B5-0DFA94EFD26E}" name="7599"/>
    <tableColumn id="7613" xr3:uid="{72F97BFF-496B-42D4-8CBA-746907022DE5}" name="7600"/>
    <tableColumn id="7614" xr3:uid="{C1BC70D6-3B14-41E6-AEE5-DB0FBA516C24}" name="7601"/>
    <tableColumn id="7615" xr3:uid="{40B8935E-A4F0-4034-8C29-0311735FF3E8}" name="7602"/>
    <tableColumn id="7616" xr3:uid="{A8C98CDA-B70C-4723-A98F-6C722A29A657}" name="7603"/>
    <tableColumn id="7617" xr3:uid="{99058728-2E58-430D-A536-0DB8D7BD6BD8}" name="7604"/>
    <tableColumn id="7618" xr3:uid="{5EC3DFE0-EE39-4EFB-8DDB-9E49F75DD428}" name="7605"/>
    <tableColumn id="7619" xr3:uid="{E0CCD8AA-4F17-4FF2-A971-A4EDF6C2C460}" name="7606"/>
    <tableColumn id="7620" xr3:uid="{82098F8C-E009-40A9-BFB6-6A4AC9C8D116}" name="7607"/>
    <tableColumn id="7621" xr3:uid="{31760083-315D-4529-B736-378CD66A22CB}" name="7608"/>
    <tableColumn id="7622" xr3:uid="{74368D3A-6C12-4B7E-A62E-7181437CDADB}" name="7609"/>
    <tableColumn id="7623" xr3:uid="{F9159825-8EF8-4A1A-9526-8E42DDFFAD24}" name="7610"/>
    <tableColumn id="7624" xr3:uid="{93F17683-95A5-4D66-84D1-713C4B6D38C1}" name="7611"/>
    <tableColumn id="7625" xr3:uid="{66784D87-AD85-4D51-BF67-BDD78D25205E}" name="7612"/>
    <tableColumn id="7626" xr3:uid="{6BE5AD78-4835-4E74-9FA2-71A1A99658AC}" name="7613"/>
    <tableColumn id="7627" xr3:uid="{C0381D3E-0E44-404E-8DDC-AE79A8C8D7B5}" name="7614"/>
    <tableColumn id="7628" xr3:uid="{BF163B9C-266E-4171-9314-9DAC84A1B2F6}" name="7615"/>
    <tableColumn id="7629" xr3:uid="{798AE5A2-23A8-43EF-B82B-DD7615D672A7}" name="7616"/>
    <tableColumn id="7630" xr3:uid="{5A981797-0BCA-4786-AD37-AEE641200C10}" name="7617"/>
    <tableColumn id="7631" xr3:uid="{D69D671C-DAB9-4D92-8C67-DC269761D71B}" name="7618"/>
    <tableColumn id="7632" xr3:uid="{005D0987-5AA0-46DF-801E-DC5C91C9B484}" name="7619"/>
    <tableColumn id="7633" xr3:uid="{D71E0D34-D2EA-4C75-A6D5-7C0260986D6E}" name="7620"/>
    <tableColumn id="7634" xr3:uid="{8962AF94-405A-4AA3-911E-31EAE3DFCF07}" name="7621"/>
    <tableColumn id="7635" xr3:uid="{2905BF12-2E1D-435A-8578-46B11A4BEA4F}" name="7622"/>
    <tableColumn id="7636" xr3:uid="{F18A511D-04BE-4A87-BAF5-BA616ACA4833}" name="7623"/>
    <tableColumn id="7637" xr3:uid="{4D807C04-11D2-4419-8141-6FB3AC9806D1}" name="7624"/>
    <tableColumn id="7638" xr3:uid="{7EFFBBA0-6E56-4236-854D-157E9CDF1C6B}" name="7625"/>
    <tableColumn id="7639" xr3:uid="{D288E828-F416-4B55-8540-F81201AFBE8E}" name="7626"/>
    <tableColumn id="7640" xr3:uid="{F121694B-2D6A-43AD-AEF8-C20F295828B1}" name="7627"/>
    <tableColumn id="7641" xr3:uid="{727A35AA-BD9E-42BD-B655-7B3FE88506C3}" name="7628"/>
    <tableColumn id="7642" xr3:uid="{B4223969-4793-4A63-9037-C64A2BB544AB}" name="7629"/>
    <tableColumn id="7643" xr3:uid="{DCB4AFB6-FC10-4390-9ECC-E647C7504594}" name="7630"/>
    <tableColumn id="7644" xr3:uid="{4D146FF9-4DB4-42C2-ACFB-DE642CADA328}" name="7631"/>
    <tableColumn id="7645" xr3:uid="{C116AAA1-98EC-4311-8EC6-EDA7A8CBC273}" name="7632"/>
    <tableColumn id="7646" xr3:uid="{744EF186-5EF3-4C20-8C8F-E40E3954B5A2}" name="7633"/>
    <tableColumn id="7647" xr3:uid="{291FF500-F79F-4DB7-86FF-18AD0099CFAA}" name="7634"/>
    <tableColumn id="7648" xr3:uid="{04469305-E77F-4744-B941-F34B26E34F93}" name="7635"/>
    <tableColumn id="7649" xr3:uid="{012F7FBC-75B2-4133-9D20-7C06E7B9B19A}" name="7636"/>
    <tableColumn id="7650" xr3:uid="{FDB0D63A-CDFD-4BDA-A70E-44ACEA49D6E8}" name="7637"/>
    <tableColumn id="7651" xr3:uid="{642D4775-3CC4-400D-8EE2-59BA2A1E5D4D}" name="7638"/>
    <tableColumn id="7652" xr3:uid="{75CA21AF-7A2A-4DFF-AAD8-EF35B8CB8596}" name="7639"/>
    <tableColumn id="7653" xr3:uid="{C98B41D1-DACD-4BF1-97FE-B378CE9B6622}" name="7640"/>
    <tableColumn id="7654" xr3:uid="{45AE6FCE-BFB4-45C2-AA1F-371924370815}" name="7641"/>
    <tableColumn id="7655" xr3:uid="{331132BF-5927-4A35-8998-3BC6FA787A36}" name="7642"/>
    <tableColumn id="7656" xr3:uid="{B3080F01-783D-4DC0-8CE9-2807E7C4B9D7}" name="7643"/>
    <tableColumn id="7657" xr3:uid="{B584DB3B-86F0-4A0E-A3DC-9C341B715B86}" name="7644"/>
    <tableColumn id="7658" xr3:uid="{D7AF453C-82C2-4BC5-A483-FC3AA87370CA}" name="7645"/>
    <tableColumn id="7659" xr3:uid="{8BBD79E5-F9D9-47B6-90C1-29DB4BECC050}" name="7646"/>
    <tableColumn id="7660" xr3:uid="{1942D1DF-7634-41DC-B9AE-4A8C3978B062}" name="7647"/>
    <tableColumn id="7661" xr3:uid="{8B6C5769-6F8E-4F31-8D00-85998384977E}" name="7648"/>
    <tableColumn id="7662" xr3:uid="{343A996B-C615-4F3A-84F8-68F906408BCC}" name="7649"/>
    <tableColumn id="7663" xr3:uid="{CFFEE03C-919D-44B3-A23B-882727CC1606}" name="7650"/>
    <tableColumn id="7664" xr3:uid="{1FCEA65A-4304-4015-8620-3A3CB3E13DC2}" name="7651"/>
    <tableColumn id="7665" xr3:uid="{DF4200B6-A7FB-40F2-94A6-CEB525D939DD}" name="7652"/>
    <tableColumn id="7666" xr3:uid="{33D64850-06C3-4AF3-BD2F-B66016D365DE}" name="7653"/>
    <tableColumn id="7667" xr3:uid="{4DA3122E-EEA0-4571-99E6-94C5D37645B0}" name="7654"/>
    <tableColumn id="7668" xr3:uid="{0ED7B89D-E06E-4AFD-9941-172E8CF97C8D}" name="7655"/>
    <tableColumn id="7669" xr3:uid="{5845C405-82F9-4874-B145-9744D23809AA}" name="7656"/>
    <tableColumn id="7670" xr3:uid="{E3B0D109-DC5F-4AF1-A20E-A6A91E8D1341}" name="7657"/>
    <tableColumn id="7671" xr3:uid="{F0F7A730-F7D8-4964-BD27-570DA1214145}" name="7658"/>
    <tableColumn id="7672" xr3:uid="{F10A7465-4DFB-4412-BF77-AAC6D73690D9}" name="7659"/>
    <tableColumn id="7673" xr3:uid="{1DFB81A8-CD20-46A3-9D67-DB11645A5979}" name="7660"/>
    <tableColumn id="7674" xr3:uid="{AF25D43A-43F4-42DB-928C-7C8F6933BA0A}" name="7661"/>
    <tableColumn id="7675" xr3:uid="{2231FC06-76CA-4916-B5DA-0391ABC053CB}" name="7662"/>
    <tableColumn id="7676" xr3:uid="{466E4736-02A6-442E-9588-4A341C906800}" name="7663"/>
    <tableColumn id="7677" xr3:uid="{80020327-3F35-45EF-A5FF-5B423E767D86}" name="7664"/>
    <tableColumn id="7678" xr3:uid="{64BB1B64-13C5-4A38-A58E-FFC9BD663164}" name="7665"/>
    <tableColumn id="7679" xr3:uid="{58F8B860-2DDA-4B52-835A-7A74690936BF}" name="7666"/>
    <tableColumn id="7680" xr3:uid="{D0E6CF97-382E-4B12-8713-94B197584802}" name="7667"/>
    <tableColumn id="7681" xr3:uid="{F903E112-FF60-4702-B89A-AFAF3C59FB3A}" name="7668"/>
    <tableColumn id="7682" xr3:uid="{D3FC292A-635E-4191-B1ED-AA7932531C1A}" name="7669"/>
    <tableColumn id="7683" xr3:uid="{92994D36-FEBC-4FCB-926C-D517F5519F2F}" name="7670"/>
    <tableColumn id="7684" xr3:uid="{45C10CD9-B103-4975-BBD9-CF2F97A283FB}" name="7671"/>
    <tableColumn id="7685" xr3:uid="{C7DE1AEF-AFCF-41E0-A61C-CBB3279E39AF}" name="7672"/>
    <tableColumn id="7686" xr3:uid="{FA21E7CC-C865-4F2C-A54D-BC36F157E8BA}" name="7673"/>
    <tableColumn id="7687" xr3:uid="{B0AFE0CA-EACB-481E-970F-A40A9BAC4F04}" name="7674"/>
    <tableColumn id="7688" xr3:uid="{915AB574-0A2C-4067-893C-6E53DE0B2915}" name="7675"/>
    <tableColumn id="7689" xr3:uid="{3CA2282E-F765-4715-8CF8-760D0338F9E4}" name="7676"/>
    <tableColumn id="7690" xr3:uid="{52FF36DC-8D9E-41A5-A1F1-61F28FD6A538}" name="7677"/>
    <tableColumn id="7691" xr3:uid="{42130726-D865-4AD5-AC60-0870726675D0}" name="7678"/>
    <tableColumn id="7692" xr3:uid="{28705F02-8DAC-409E-A58F-F78047BE0F32}" name="7679"/>
    <tableColumn id="7693" xr3:uid="{79E8E64E-A32D-40C5-BDFD-77F2CC8C4591}" name="7680"/>
    <tableColumn id="7694" xr3:uid="{83BFD550-DA28-4E2C-99DA-C1688F66CB0C}" name="7681"/>
    <tableColumn id="7695" xr3:uid="{67ACEDBB-36F2-49FB-B77B-482A57AC7627}" name="7682"/>
    <tableColumn id="7696" xr3:uid="{45131029-6EF6-4041-9924-FF6BE89AD44C}" name="7683"/>
    <tableColumn id="7697" xr3:uid="{12EAB673-BC69-4B33-A0B2-65A4D0BC6AC2}" name="7684"/>
    <tableColumn id="7698" xr3:uid="{B72977A7-3402-4B4F-BFD1-223C6A75BCD4}" name="7685"/>
    <tableColumn id="7699" xr3:uid="{D6C44B26-ACFF-42D8-8929-26799C9FD0CE}" name="7686"/>
    <tableColumn id="7700" xr3:uid="{27389917-5AA8-454E-8A6C-6F26311B444C}" name="7687"/>
    <tableColumn id="7701" xr3:uid="{B81017A4-71C9-459F-A7A7-F137874A92A1}" name="7688"/>
    <tableColumn id="7702" xr3:uid="{2343E1EE-347C-4E35-9F79-97EC333FC5D9}" name="7689"/>
    <tableColumn id="7703" xr3:uid="{AE9C973D-319E-4CFF-A0B2-D2D39BB0E0C0}" name="7690"/>
    <tableColumn id="7704" xr3:uid="{290D6E9A-2EE6-4A10-B1B0-309080924E94}" name="7691"/>
    <tableColumn id="7705" xr3:uid="{203DC46C-4CAA-4341-8F10-08A9442B84C3}" name="7692"/>
    <tableColumn id="7706" xr3:uid="{599AA2F0-5D14-4AAD-AE52-20695A5D5ACC}" name="7693"/>
    <tableColumn id="7707" xr3:uid="{99187DF8-0E0D-4D8A-953A-DA9942887135}" name="7694"/>
    <tableColumn id="7708" xr3:uid="{2F649E97-EB6C-493A-BDA4-910AFF5002C4}" name="7695"/>
    <tableColumn id="7709" xr3:uid="{BA2E9772-195B-4033-BAB8-A2E13B5F9DFA}" name="7696"/>
    <tableColumn id="7710" xr3:uid="{B7FCA2C2-D397-4A30-B196-60ECBBCBA64A}" name="7697"/>
    <tableColumn id="7711" xr3:uid="{BE5CA97F-2B5A-427C-BC71-B25BD203E903}" name="7698"/>
    <tableColumn id="7712" xr3:uid="{91B0602B-9521-480B-BA5A-7B8BC56078F6}" name="7699"/>
    <tableColumn id="7713" xr3:uid="{6EF0767A-6FF1-4717-803C-A551E0964514}" name="7700"/>
    <tableColumn id="7714" xr3:uid="{B93AECF1-C23A-43A5-B19B-D6BCEC08F8BB}" name="7701"/>
    <tableColumn id="7715" xr3:uid="{B37E6CC6-5E0E-4D21-9D72-91053992AB86}" name="7702"/>
    <tableColumn id="7716" xr3:uid="{366392D9-8734-4285-909B-3B124A6A72F7}" name="7703"/>
    <tableColumn id="7717" xr3:uid="{A6203D25-042A-4B01-9E58-0C112ADC00B3}" name="7704"/>
    <tableColumn id="7718" xr3:uid="{982E8DB3-9BA4-4484-B2C9-E514DB189EA8}" name="7705"/>
    <tableColumn id="7719" xr3:uid="{083BA53F-C989-442C-91E6-1B74592741C6}" name="7706"/>
    <tableColumn id="7720" xr3:uid="{892FBECB-94C1-4A94-BB36-FD638EAFC44F}" name="7707"/>
    <tableColumn id="7721" xr3:uid="{08987CD4-9557-4EE7-B40F-0A9932F222B1}" name="7708"/>
    <tableColumn id="7722" xr3:uid="{BBC1850E-C0A1-480B-A5F2-05443AB6E389}" name="7709"/>
    <tableColumn id="7723" xr3:uid="{09CCD1EC-319B-40F5-B566-26914C998523}" name="7710"/>
    <tableColumn id="7724" xr3:uid="{97933E7F-AB47-448C-BC1D-7F189CBA9FDC}" name="7711"/>
    <tableColumn id="7725" xr3:uid="{C7DF6484-4F84-48E1-8BB3-808D46103110}" name="7712"/>
    <tableColumn id="7726" xr3:uid="{B586B83A-244A-4821-A429-EEF1C7D104C0}" name="7713"/>
    <tableColumn id="7727" xr3:uid="{9C31802B-F2B8-41A9-B4C5-392461DDBC0C}" name="7714"/>
    <tableColumn id="7728" xr3:uid="{CF67617E-5E63-43BE-ACAD-AD2A1A6C8154}" name="7715"/>
    <tableColumn id="7729" xr3:uid="{8E3E4729-42E2-4C36-8A0D-7D2A6BC3AD7B}" name="7716"/>
    <tableColumn id="7730" xr3:uid="{4DBFA049-DEBA-41F8-AF83-1C9E0B4C3173}" name="7717"/>
    <tableColumn id="7731" xr3:uid="{0F2E94F4-1C2E-44FF-A26B-113CA4D2FC77}" name="7718"/>
    <tableColumn id="7732" xr3:uid="{05F92327-F032-4F67-B1A5-252E9AA336D6}" name="7719"/>
    <tableColumn id="7733" xr3:uid="{F7B1C99A-683B-407F-B4A0-F8B880CE3253}" name="7720"/>
    <tableColumn id="7734" xr3:uid="{D28AE801-BCA5-415C-A191-E2DA3D684635}" name="7721"/>
    <tableColumn id="7735" xr3:uid="{3A491396-F157-4386-A085-16796A2B8145}" name="7722"/>
    <tableColumn id="7736" xr3:uid="{2BA34733-74D9-49E5-BD9E-2A75C639BE27}" name="7723"/>
    <tableColumn id="7737" xr3:uid="{5EFA8168-5A10-4595-B876-66D9751F523C}" name="7724"/>
    <tableColumn id="7738" xr3:uid="{BC645482-B182-4133-AB10-544E358780F5}" name="7725"/>
    <tableColumn id="7739" xr3:uid="{6D2CEE34-6A35-49BE-A04A-8794B71737A3}" name="7726"/>
    <tableColumn id="7740" xr3:uid="{C595BECB-5C45-4927-B415-F5BD520E3294}" name="7727"/>
    <tableColumn id="7741" xr3:uid="{A77BA108-8E7C-47EB-BBBC-805318263050}" name="7728"/>
    <tableColumn id="7742" xr3:uid="{A7FABF3F-77D6-4267-8917-A20718895981}" name="7729"/>
    <tableColumn id="7743" xr3:uid="{61DD555C-AA2B-4290-88A0-4FEC63460B80}" name="7730"/>
    <tableColumn id="7744" xr3:uid="{03DD7FF7-C867-44E9-A8D5-44DAAD071C14}" name="7731"/>
    <tableColumn id="7745" xr3:uid="{EC84F123-0D93-45D0-AF08-7B1EB24618BA}" name="7732"/>
    <tableColumn id="7746" xr3:uid="{B5724DAD-7F7B-4F84-82D3-CCEB8B594161}" name="7733"/>
    <tableColumn id="7747" xr3:uid="{9571518D-A593-4C59-98D6-E70F11FFE0B0}" name="7734"/>
    <tableColumn id="7748" xr3:uid="{406F598D-2115-41EC-A327-FB01F76212D1}" name="7735"/>
    <tableColumn id="7749" xr3:uid="{19A26CB2-62B7-4436-AF7B-AB94C02D6569}" name="7736"/>
    <tableColumn id="7750" xr3:uid="{3B9ED9A0-3882-4421-A467-A01120D4C3FF}" name="7737"/>
    <tableColumn id="7751" xr3:uid="{2591AAB6-1DA9-4E40-90E1-927223C45779}" name="7738"/>
    <tableColumn id="7752" xr3:uid="{9368E5F9-437C-49FD-9FE8-CB02F191A5F4}" name="7739"/>
    <tableColumn id="7753" xr3:uid="{60BD6FCA-26F2-401E-B0CF-0F34AABA7084}" name="7740"/>
    <tableColumn id="7754" xr3:uid="{559D32EC-E724-4D2A-98E1-7039C5F289CC}" name="7741"/>
    <tableColumn id="7755" xr3:uid="{C381A4C4-86FE-48A0-8BBB-499A3B81379D}" name="7742"/>
    <tableColumn id="7756" xr3:uid="{7254559F-0183-4BAA-A989-3127D68A4604}" name="7743"/>
    <tableColumn id="7757" xr3:uid="{158B615B-82D8-43FB-99C4-C8B77D63A610}" name="7744"/>
    <tableColumn id="7758" xr3:uid="{C70F852E-8CDB-4AA2-8ED1-B9DDD94C74A4}" name="7745"/>
    <tableColumn id="7759" xr3:uid="{1C5E0E6A-453C-4399-93B9-1F5C9CFCF45D}" name="7746"/>
    <tableColumn id="7760" xr3:uid="{84DB8AB8-52F8-4452-8BDF-2ECE0C2B6496}" name="7747"/>
    <tableColumn id="7761" xr3:uid="{1BAB5469-81E7-4752-95AE-5672B15F5700}" name="7748"/>
    <tableColumn id="7762" xr3:uid="{1DDA7F83-90C3-43D2-9B3F-B6DB151B7672}" name="7749"/>
    <tableColumn id="7763" xr3:uid="{93146693-1B89-408F-8DB8-0AFC064BE90A}" name="7750"/>
    <tableColumn id="7764" xr3:uid="{47986E00-F4F4-42E5-9387-4AB878082769}" name="7751"/>
    <tableColumn id="7765" xr3:uid="{19B2B0E0-EEA3-4EAE-83FB-4232809C30D5}" name="7752"/>
    <tableColumn id="7766" xr3:uid="{1F48D8F7-BE67-4110-848D-3810C9C1C8D9}" name="7753"/>
    <tableColumn id="7767" xr3:uid="{1E470541-878F-46D2-8DB1-6FA658E5FE54}" name="7754"/>
    <tableColumn id="7768" xr3:uid="{B872EB70-CE3B-43B0-A85F-D855BE538D7E}" name="7755"/>
    <tableColumn id="7769" xr3:uid="{2A167383-2720-4F78-B20F-59075DC38D84}" name="7756"/>
    <tableColumn id="7770" xr3:uid="{45D05617-EFC1-4529-8056-AA652FD26DF4}" name="7757"/>
    <tableColumn id="7771" xr3:uid="{24AF0D59-5883-4E68-BF0B-90CED7ECD4A8}" name="7758"/>
    <tableColumn id="7772" xr3:uid="{9FB55BB2-7C1F-4197-8624-1D3DE7FFBE1F}" name="7759"/>
    <tableColumn id="7773" xr3:uid="{F3B5BB28-400F-4A8A-8F81-3D920B6AD0FE}" name="7760"/>
    <tableColumn id="7774" xr3:uid="{6CEA3A19-1D7C-4911-BF3D-D81B5D5B3B7D}" name="7761"/>
    <tableColumn id="7775" xr3:uid="{F67E6579-508E-4B71-BA93-23CB3CE6F01A}" name="7762"/>
    <tableColumn id="7776" xr3:uid="{9DBF75A3-03EB-4A9B-A538-26DA135757C4}" name="7763"/>
    <tableColumn id="7777" xr3:uid="{75224DE0-AD62-40B5-B819-952069B1F85C}" name="7764"/>
    <tableColumn id="7778" xr3:uid="{20DE1848-C762-4B5A-BDAF-CD381D49BA4B}" name="7765"/>
    <tableColumn id="7779" xr3:uid="{FB210C6D-122F-4A49-8BFE-142273949FB7}" name="7766"/>
    <tableColumn id="7780" xr3:uid="{EE6F2E7D-30FE-4583-A756-8A8938FEE7F6}" name="7767"/>
    <tableColumn id="7781" xr3:uid="{51F77FF2-0B11-409C-9C5F-6543DE74861A}" name="7768"/>
    <tableColumn id="7782" xr3:uid="{CA719577-3C39-4250-AEED-EE67DFE371A8}" name="7769"/>
    <tableColumn id="7783" xr3:uid="{A337D4F8-DD76-4237-8DB0-9130CB45A409}" name="7770"/>
    <tableColumn id="7784" xr3:uid="{F86BF302-9233-47B9-9551-DD3CD49D99D0}" name="7771"/>
    <tableColumn id="7785" xr3:uid="{C1B141D7-FAD4-4E36-8948-F3FE342FA6D9}" name="7772"/>
    <tableColumn id="7786" xr3:uid="{75E119D2-71FB-4CFC-A4F3-5E7F26AC60BE}" name="7773"/>
    <tableColumn id="7787" xr3:uid="{0CB4E46B-3CD0-4F4D-B86E-4DCD34B9C523}" name="7774"/>
    <tableColumn id="7788" xr3:uid="{A7A368E5-4BAF-418E-B4AC-A15005B05374}" name="7775"/>
    <tableColumn id="7789" xr3:uid="{29F10C9D-5A9E-471D-9BBF-04A757440F10}" name="7776"/>
    <tableColumn id="7790" xr3:uid="{19FCB1AB-715A-4B8B-842C-382738A38DCA}" name="7777"/>
    <tableColumn id="7791" xr3:uid="{2C629B37-4AFE-43FD-98E8-525B2D8D7C5B}" name="7778"/>
    <tableColumn id="7792" xr3:uid="{764C4420-CE7F-47F2-A2A7-84F6C2C77C2F}" name="7779"/>
    <tableColumn id="7793" xr3:uid="{CC4594E8-4051-42FE-A890-54486ED315A1}" name="7780"/>
    <tableColumn id="7794" xr3:uid="{F915B4F3-D44A-4DEA-97BE-F1BB4F4A6D9C}" name="7781"/>
    <tableColumn id="7795" xr3:uid="{2E76696D-1EA8-45F1-9EDE-2C967C4D741F}" name="7782"/>
    <tableColumn id="7796" xr3:uid="{61F8EC55-C52D-458D-B94C-45FEAF17574F}" name="7783"/>
    <tableColumn id="7797" xr3:uid="{FF91A404-6FEC-4CC2-AAC6-CD54112513E9}" name="7784"/>
    <tableColumn id="7798" xr3:uid="{9A405DD7-B802-4BF0-8A6A-063EDD788E75}" name="7785"/>
    <tableColumn id="7799" xr3:uid="{7D40699C-CE7A-414D-9A23-9D1893392407}" name="7786"/>
    <tableColumn id="7800" xr3:uid="{8E9E2469-63BD-4C40-B9EF-D0A8925E0393}" name="7787"/>
    <tableColumn id="7801" xr3:uid="{4A161A30-1431-484D-9C23-4B3BFBA347F6}" name="7788"/>
    <tableColumn id="7802" xr3:uid="{A339A3D6-4C61-440C-ABD8-2CCE12D85DF0}" name="7789"/>
    <tableColumn id="7803" xr3:uid="{23532277-E96E-406A-BD3A-C05649A11AC5}" name="7790"/>
    <tableColumn id="7804" xr3:uid="{92999DB1-542D-40ED-AB56-EDA2DFF127A8}" name="7791"/>
    <tableColumn id="7805" xr3:uid="{22EEDBF5-A6C4-4E4A-8FDC-00EB78CF240E}" name="7792"/>
    <tableColumn id="7806" xr3:uid="{9580F0F6-FD4D-4E19-89A0-4CCFA29D4EF4}" name="7793"/>
    <tableColumn id="7807" xr3:uid="{0408ADE3-102D-4A9C-9136-0EAEFAFE514E}" name="7794"/>
    <tableColumn id="7808" xr3:uid="{68B27B80-87C7-4B1A-A63A-4285B308255E}" name="7795"/>
    <tableColumn id="7809" xr3:uid="{88EA6AB0-7202-4CFE-98F6-2D37FDED31BC}" name="7796"/>
    <tableColumn id="7810" xr3:uid="{F635120C-F50E-4EEF-9435-163E88508484}" name="7797"/>
    <tableColumn id="7811" xr3:uid="{4E738092-B2F0-4714-A053-DFD0317C67EB}" name="7798"/>
    <tableColumn id="7812" xr3:uid="{D8961B91-4EA8-484E-83E2-262D1FBBE484}" name="7799"/>
    <tableColumn id="7813" xr3:uid="{E935EC4B-E598-45E1-901A-D95E0DA4666D}" name="7800"/>
    <tableColumn id="7814" xr3:uid="{5CBDF4C3-8027-45CD-AAE0-4F94184A544C}" name="7801"/>
    <tableColumn id="7815" xr3:uid="{E510F989-519A-4F8A-A475-596F4474B70E}" name="7802"/>
    <tableColumn id="7816" xr3:uid="{989ACA0B-051A-43D6-8C93-F756ED8C9408}" name="7803"/>
    <tableColumn id="7817" xr3:uid="{7E332059-D9B1-4905-96B8-305C77E8CA3C}" name="7804"/>
    <tableColumn id="7818" xr3:uid="{29D27E8F-DD5F-4FCE-8F35-13203FE6F60B}" name="7805"/>
    <tableColumn id="7819" xr3:uid="{3E13DF7A-4BFB-40A9-9C0E-23648D25E27B}" name="7806"/>
    <tableColumn id="7820" xr3:uid="{A469DDA0-32CB-46D2-A56E-B7BC10DC4B08}" name="7807"/>
    <tableColumn id="7821" xr3:uid="{5F25FEBD-9F47-45E4-B7B6-CD3805A0D449}" name="7808"/>
    <tableColumn id="7822" xr3:uid="{BA6B69A4-8E3C-4B6C-8F78-60B08159B8DB}" name="7809"/>
    <tableColumn id="7823" xr3:uid="{CC4EC26D-81DD-49F4-93F7-BCCB24D04C4D}" name="7810"/>
    <tableColumn id="7824" xr3:uid="{ED07B028-397C-4260-B79A-50DA9F7FC649}" name="7811"/>
    <tableColumn id="7825" xr3:uid="{0B0ABDC9-1B6D-4854-9D9F-0EE485225C69}" name="7812"/>
    <tableColumn id="7826" xr3:uid="{CFFF557A-C775-4480-BC44-E64E1878A0C5}" name="7813"/>
    <tableColumn id="7827" xr3:uid="{C815B814-8CAD-43F9-931B-0B00804E1344}" name="7814"/>
    <tableColumn id="7828" xr3:uid="{803A2263-72E6-423A-BB9A-A4EAB7DB260B}" name="7815"/>
    <tableColumn id="7829" xr3:uid="{7536D3D6-8273-4A86-B564-A39BC2663962}" name="7816"/>
    <tableColumn id="7830" xr3:uid="{55070AAD-2538-403C-9CD8-A6B9FC2EE4D8}" name="7817"/>
    <tableColumn id="7831" xr3:uid="{9A9D570A-2D06-4898-9088-7321AC6B10ED}" name="7818"/>
    <tableColumn id="7832" xr3:uid="{026819FA-8BD1-417F-A39B-5E8B839F9AE1}" name="7819"/>
    <tableColumn id="7833" xr3:uid="{216768BD-03C5-41F4-98B9-7C1E27155648}" name="7820"/>
    <tableColumn id="7834" xr3:uid="{6F3706C7-41EE-49C4-AF28-B778F11B8C10}" name="7821"/>
    <tableColumn id="7835" xr3:uid="{7D33A7FB-EF43-42BE-91F8-0A134D4FE5F4}" name="7822"/>
    <tableColumn id="7836" xr3:uid="{AD8B1E28-141C-4724-BF45-8BB2635CC515}" name="7823"/>
    <tableColumn id="7837" xr3:uid="{3D05ADF8-C431-4C4C-94EB-076E62E68736}" name="7824"/>
    <tableColumn id="7838" xr3:uid="{5DDA896F-0D97-46C1-9D50-B25936491292}" name="7825"/>
    <tableColumn id="7839" xr3:uid="{2890FF45-07F8-442F-8E18-2FBA0ED20AAD}" name="7826"/>
    <tableColumn id="7840" xr3:uid="{C01637F0-FC37-4E9A-8AB9-0199F3AD6999}" name="7827"/>
    <tableColumn id="7841" xr3:uid="{4308EF0D-819A-4756-919C-AA5BB5EF9A89}" name="7828"/>
    <tableColumn id="7842" xr3:uid="{44C96B9B-776F-4B7B-91B5-F6B7C3558A18}" name="7829"/>
    <tableColumn id="7843" xr3:uid="{8B0EB798-0E9A-4ADA-B2A4-928630B696AA}" name="7830"/>
    <tableColumn id="7844" xr3:uid="{0A038DA9-E3AB-454D-B5F9-BF05C1D5A475}" name="7831"/>
    <tableColumn id="7845" xr3:uid="{22646DF7-2D53-4255-A258-2E3BC730947D}" name="7832"/>
    <tableColumn id="7846" xr3:uid="{B3727E6F-D0A5-4C27-87E7-F6EE9C2C5B3B}" name="7833"/>
    <tableColumn id="7847" xr3:uid="{0C15E0EE-417C-40A3-9BF9-78E8C613C574}" name="7834"/>
    <tableColumn id="7848" xr3:uid="{13FD79FA-0ED7-4D66-B0FD-76D2FABF80CE}" name="7835"/>
    <tableColumn id="7849" xr3:uid="{2D50E1F0-09CB-498D-91AF-613BD1312D22}" name="7836"/>
    <tableColumn id="7850" xr3:uid="{3D7ABD83-02F1-4298-AC50-D8250560F109}" name="7837"/>
    <tableColumn id="7851" xr3:uid="{A5948EE0-AFD8-424E-808E-9E58979AC94A}" name="7838"/>
    <tableColumn id="7852" xr3:uid="{EAAB6510-6A20-4540-BEEA-F08C2155EA11}" name="7839"/>
    <tableColumn id="7853" xr3:uid="{BE61330C-53B9-45A1-A9CF-09A277F9313D}" name="7840"/>
    <tableColumn id="7854" xr3:uid="{9944E8C4-02CD-401A-831A-11BACD730C1E}" name="7841"/>
    <tableColumn id="7855" xr3:uid="{F2C9A6CE-0B4C-4811-A3D2-CAE54136B649}" name="7842"/>
    <tableColumn id="7856" xr3:uid="{6C927012-72F4-42DB-876A-7779B292B9F9}" name="7843"/>
    <tableColumn id="7857" xr3:uid="{C2CC9E7A-79BB-41DB-86E4-8841ADB60AF9}" name="7844"/>
    <tableColumn id="7858" xr3:uid="{C4AA5FD0-EFB6-4E5E-B787-6A39ADD0644A}" name="7845"/>
    <tableColumn id="7859" xr3:uid="{67669787-4219-4EC7-B575-BCD92A1B904C}" name="7846"/>
    <tableColumn id="7860" xr3:uid="{778DD9FA-5D7E-4DBE-A359-427D5FB53953}" name="7847"/>
    <tableColumn id="7861" xr3:uid="{9E7ACB54-6FC5-443C-8451-EF45C192D84F}" name="7848"/>
    <tableColumn id="7862" xr3:uid="{5E4C9177-99CC-4B11-8D8D-873505C16AE9}" name="7849"/>
    <tableColumn id="7863" xr3:uid="{7F309F16-1B9D-4671-84FD-1B45CCC05967}" name="7850"/>
    <tableColumn id="7864" xr3:uid="{C9EA3D93-3697-4BBB-9404-8C68C3D0F5E7}" name="7851"/>
    <tableColumn id="7865" xr3:uid="{EB87276A-79C8-43CE-AC3E-8F578F1F9A6B}" name="7852"/>
    <tableColumn id="7866" xr3:uid="{2951E755-9C80-4538-93C4-2B0147BBF5A1}" name="7853"/>
    <tableColumn id="7867" xr3:uid="{E1C4F2CF-38E6-429B-AC1B-278C3674B775}" name="7854"/>
    <tableColumn id="7868" xr3:uid="{1BEDE0C4-19B9-4D5D-88BF-262FB7186386}" name="7855"/>
    <tableColumn id="7869" xr3:uid="{96624FB0-2CFC-4B77-AD9D-85D303AA2287}" name="7856"/>
    <tableColumn id="7870" xr3:uid="{39316976-0793-4CD4-A509-69C9C4A5B307}" name="7857"/>
    <tableColumn id="7871" xr3:uid="{6C64F38D-1E35-4217-AF48-B9A750E404E1}" name="7858"/>
    <tableColumn id="7872" xr3:uid="{297D53E5-15B5-4B93-94D0-9C25C34318C9}" name="7859"/>
    <tableColumn id="7873" xr3:uid="{C3150127-0920-42EF-9787-58B6DB3B3833}" name="7860"/>
    <tableColumn id="7874" xr3:uid="{EA68AD87-379C-4CA4-83F1-8BC5CF86A2DB}" name="7861"/>
    <tableColumn id="7875" xr3:uid="{8AE2C156-4D19-4475-A697-3FDFEEF09F26}" name="7862"/>
    <tableColumn id="7876" xr3:uid="{EA030B6F-5DD2-42D5-A36E-008CD4ACF1FD}" name="7863"/>
    <tableColumn id="7877" xr3:uid="{32EF5BFC-5EE6-47D1-9AEE-25707B1CE5AA}" name="7864"/>
    <tableColumn id="7878" xr3:uid="{59665E3A-C2AF-4EEB-A57C-8F48AB030C31}" name="7865"/>
    <tableColumn id="7879" xr3:uid="{A7B371F8-CCAD-478F-BCE7-F615FC5453A8}" name="7866"/>
    <tableColumn id="7880" xr3:uid="{BBFEEE0D-55A2-4445-B52E-CBECB141F8DF}" name="7867"/>
    <tableColumn id="7881" xr3:uid="{ACF51BD4-E1FE-40F1-8A0D-380E1BA743D6}" name="7868"/>
    <tableColumn id="7882" xr3:uid="{E73B069B-B1E9-42B8-A5CA-85EE111FAF56}" name="7869"/>
    <tableColumn id="7883" xr3:uid="{7CA9638F-0F77-4B55-9884-BEAC39C6C146}" name="7870"/>
    <tableColumn id="7884" xr3:uid="{FDD59365-C118-4B6D-8D0F-4F12AA1187D6}" name="7871"/>
    <tableColumn id="7885" xr3:uid="{96F4BEEB-64B4-4077-9FE8-3E223480E6FC}" name="7872"/>
    <tableColumn id="7886" xr3:uid="{522AB13B-C90E-495A-A9D9-909BA77D2987}" name="7873"/>
    <tableColumn id="7887" xr3:uid="{C52419D2-2CB6-47D5-B7B2-7AF08FF27E3A}" name="7874"/>
    <tableColumn id="7888" xr3:uid="{5BAA23DC-399E-459C-AB77-A9E38D88B995}" name="7875"/>
    <tableColumn id="7889" xr3:uid="{A4504C56-5905-49EE-887F-4803AF8AF425}" name="7876"/>
    <tableColumn id="7890" xr3:uid="{F90DB566-C3B5-4F6F-9F80-9C74D2FC8953}" name="7877"/>
    <tableColumn id="7891" xr3:uid="{0FD3A091-B24A-4CFF-B898-45FF33835267}" name="7878"/>
    <tableColumn id="7892" xr3:uid="{5D4DE651-F35E-4A4B-8ACD-CD36EE3839C3}" name="7879"/>
    <tableColumn id="7893" xr3:uid="{AF8A5277-2F79-4009-8867-C8009CCC6F0A}" name="7880"/>
    <tableColumn id="7894" xr3:uid="{E80527A5-9377-4CDC-A490-EFF8D87084E0}" name="7881"/>
    <tableColumn id="7895" xr3:uid="{19ADD733-F03F-4172-8BDE-7BFBEFB0B36E}" name="7882"/>
    <tableColumn id="7896" xr3:uid="{1A12E646-702E-4793-86FF-4FDACA22CFF9}" name="7883"/>
    <tableColumn id="7897" xr3:uid="{951F3D6F-1AA0-4C09-8C78-7C8F59D2B3D2}" name="7884"/>
    <tableColumn id="7898" xr3:uid="{9E1FCA96-3DFB-4255-AA96-516A45B4FB37}" name="7885"/>
    <tableColumn id="7899" xr3:uid="{AB6F07ED-9958-4395-ABA6-4F270A6BBA50}" name="7886"/>
    <tableColumn id="7900" xr3:uid="{6FBA459D-67AE-4A9B-B328-4707872D599E}" name="7887"/>
    <tableColumn id="7901" xr3:uid="{E0F758D6-9E06-4EF3-B217-D0AC2550A8C5}" name="7888"/>
    <tableColumn id="7902" xr3:uid="{653B8081-4BA9-4C65-A92D-031D1BD601FA}" name="7889"/>
    <tableColumn id="7903" xr3:uid="{81040710-400D-4164-807D-A2E7860C78FE}" name="7890"/>
    <tableColumn id="7904" xr3:uid="{98E19833-85BF-48C2-B65C-ED2C34196038}" name="7891"/>
    <tableColumn id="7905" xr3:uid="{D1E754EF-95D2-4B5A-A289-FC0A4BD934B9}" name="7892"/>
    <tableColumn id="7906" xr3:uid="{64342430-64A4-419B-8D26-E7C125DD5FBB}" name="7893"/>
    <tableColumn id="7907" xr3:uid="{D190056C-6768-43CA-9AEE-50455666EE74}" name="7894"/>
    <tableColumn id="7908" xr3:uid="{A6BD4388-A37C-4083-8AF5-7E9CD218B599}" name="7895"/>
    <tableColumn id="7909" xr3:uid="{F7287D18-E748-45FC-BDB9-AFC23310EDDA}" name="7896"/>
    <tableColumn id="7910" xr3:uid="{EE87B7DB-9912-4E19-84A2-67800D414B1F}" name="7897"/>
    <tableColumn id="7911" xr3:uid="{A48F1D88-23CD-498C-BAB4-72D81362B48F}" name="7898"/>
    <tableColumn id="7912" xr3:uid="{00D8D8AA-B341-445D-8885-06E56AD82218}" name="7899"/>
    <tableColumn id="7913" xr3:uid="{3D041987-5741-4F54-A6E1-8CB3E154EB5C}" name="7900"/>
    <tableColumn id="7914" xr3:uid="{1610BA16-CB43-434D-A152-196F3EFD7B60}" name="7901"/>
    <tableColumn id="7915" xr3:uid="{B0E7CA60-37BB-4568-8460-7F5B199BFC69}" name="7902"/>
    <tableColumn id="7916" xr3:uid="{DCFA9D45-8E45-42A9-895A-03750C46CCBF}" name="7903"/>
    <tableColumn id="7917" xr3:uid="{B2EF2329-EB08-495B-8A56-545B5A2D58DD}" name="7904"/>
    <tableColumn id="7918" xr3:uid="{6C082FBD-6C1B-409F-A6BC-CA6E5B692C9B}" name="7905"/>
    <tableColumn id="7919" xr3:uid="{7419C80D-0A25-49F4-BF1D-65B7C7B4A36C}" name="7906"/>
    <tableColumn id="7920" xr3:uid="{B59EDE33-0C0B-465F-B054-79F4CBFCD3BD}" name="7907"/>
    <tableColumn id="7921" xr3:uid="{59E6AAA6-2396-467A-BBC6-4AC558698CF6}" name="7908"/>
    <tableColumn id="7922" xr3:uid="{80172E40-18D3-4A14-9A99-10344AB628C2}" name="7909"/>
    <tableColumn id="7923" xr3:uid="{0AF671BF-EA56-49B2-925C-FCB6F7B1FBFE}" name="7910"/>
    <tableColumn id="7924" xr3:uid="{CED0F58B-3AF0-4C5C-95F4-6A8C8E786275}" name="7911"/>
    <tableColumn id="7925" xr3:uid="{1AE41EE1-BA17-44CB-B23A-D6B73AF77F89}" name="7912"/>
    <tableColumn id="7926" xr3:uid="{B06A24AC-23B9-4E64-A358-14A4A66001F8}" name="7913"/>
    <tableColumn id="7927" xr3:uid="{5262198E-FD66-4FB7-AA10-2E087DA53106}" name="7914"/>
    <tableColumn id="7928" xr3:uid="{64A478B4-C1BC-4B00-8E47-9F0A53459579}" name="7915"/>
    <tableColumn id="7929" xr3:uid="{78689F03-425D-4440-9D1B-49D307C0D8B0}" name="7916"/>
    <tableColumn id="7930" xr3:uid="{79AA0FA4-CEC4-4673-B231-20A7FB0C6D9F}" name="7917"/>
    <tableColumn id="7931" xr3:uid="{E13E1F03-29A0-4A43-8AA8-E60EBC749334}" name="7918"/>
    <tableColumn id="7932" xr3:uid="{A6A607E1-DBBA-4EE2-99C6-534E5FFBF599}" name="7919"/>
    <tableColumn id="7933" xr3:uid="{D9A06802-C707-48A1-98A5-78A8A8B5A9E7}" name="7920"/>
    <tableColumn id="7934" xr3:uid="{C5EDBC0A-BFCB-4E6C-969E-122AF5CBC8F7}" name="7921"/>
    <tableColumn id="7935" xr3:uid="{996C0184-8D4C-40D8-8C37-2CCC2136A7D4}" name="7922"/>
    <tableColumn id="7936" xr3:uid="{BB9ED5C9-EDCF-43B8-A9A2-DA452ED0477E}" name="7923"/>
    <tableColumn id="7937" xr3:uid="{57377660-3660-4F71-9F47-68FF13B921B4}" name="7924"/>
    <tableColumn id="7938" xr3:uid="{D3F0FC50-E9DF-49DD-95A1-0F7820E2E9AD}" name="7925"/>
    <tableColumn id="7939" xr3:uid="{BBA95F94-9EF4-41DB-BEA2-A099F92AA17D}" name="7926"/>
    <tableColumn id="7940" xr3:uid="{05F2520E-9A9B-4FE5-B995-80B927EC674F}" name="7927"/>
    <tableColumn id="7941" xr3:uid="{CF35FA8B-BF16-4497-BD34-E5C86B37D28D}" name="7928"/>
    <tableColumn id="7942" xr3:uid="{62519C09-CEC9-4333-B0C6-87CEF7A39652}" name="7929"/>
    <tableColumn id="7943" xr3:uid="{B12FC843-818A-40AD-A5E5-F9C0C36F7A4A}" name="7930"/>
    <tableColumn id="7944" xr3:uid="{9905E21D-7DB7-464E-B26E-3DCE500FA1F8}" name="7931"/>
    <tableColumn id="7945" xr3:uid="{70ECA347-2A90-46BC-99F8-DD47B80940D9}" name="7932"/>
    <tableColumn id="7946" xr3:uid="{36C68020-DE7D-4422-8AD1-60D01CB81EFB}" name="7933"/>
    <tableColumn id="7947" xr3:uid="{7E5D6FA7-4AC2-41F5-BB5A-5EE4F1728FED}" name="7934"/>
    <tableColumn id="7948" xr3:uid="{181487A2-658B-43DC-93D3-443A5F90D908}" name="7935"/>
    <tableColumn id="7949" xr3:uid="{6E020271-CD2B-4016-9749-9F5EFD79FB6F}" name="7936"/>
    <tableColumn id="7950" xr3:uid="{801993A8-2408-48AC-B7D2-86864B4E2E8A}" name="7937"/>
    <tableColumn id="7951" xr3:uid="{AE680E6D-01AE-47EA-81EB-ED005CFD22A2}" name="7938"/>
    <tableColumn id="7952" xr3:uid="{18EF8A36-E02F-4A6A-9598-27E0A3636773}" name="7939"/>
    <tableColumn id="7953" xr3:uid="{390E20BC-375B-4957-B5E0-C8D935E5134D}" name="7940"/>
    <tableColumn id="7954" xr3:uid="{5E50A6E4-0B68-4A1D-9F89-1A6BF6C4ADB6}" name="7941"/>
    <tableColumn id="7955" xr3:uid="{406FFA12-5C76-4296-AF47-6AB6F87A4E6D}" name="7942"/>
    <tableColumn id="7956" xr3:uid="{2645748A-4FA6-4A02-80C7-1810651D1A03}" name="7943"/>
    <tableColumn id="7957" xr3:uid="{2F0BE8F5-9941-42DD-9830-C6716D49B426}" name="7944"/>
    <tableColumn id="7958" xr3:uid="{1E6A267E-A77D-4975-80AB-70DCFCAFD4CF}" name="7945"/>
    <tableColumn id="7959" xr3:uid="{729FA24C-FD30-4095-AB12-9B41C33756C5}" name="7946"/>
    <tableColumn id="7960" xr3:uid="{384E8F21-DAE3-47EE-A919-C8BCDD5CA3A2}" name="7947"/>
    <tableColumn id="7961" xr3:uid="{86810EB1-C4FE-4CA1-AAA8-7BCC727A440A}" name="7948"/>
    <tableColumn id="7962" xr3:uid="{A337FCDB-0804-4073-AE97-6F1F7EFA3F8E}" name="7949"/>
    <tableColumn id="7963" xr3:uid="{E1D38722-1423-4999-888B-9FE12BC4D923}" name="7950"/>
    <tableColumn id="7964" xr3:uid="{87C1D62C-EA9F-4305-BD0E-EB67CC2B4B2D}" name="7951"/>
    <tableColumn id="7965" xr3:uid="{36C8250B-C6C8-4FE1-817C-E99204D24AFF}" name="7952"/>
    <tableColumn id="7966" xr3:uid="{91F9C527-E72A-4C3D-B370-DA397C451225}" name="7953"/>
    <tableColumn id="7967" xr3:uid="{0FF5E4F3-6587-4602-81AF-C4672FEAD75A}" name="7954"/>
    <tableColumn id="7968" xr3:uid="{B5E7D864-27E8-4862-8A7B-C275403ED2DD}" name="7955"/>
    <tableColumn id="7969" xr3:uid="{F0759B6D-9FE5-484A-8E8C-9EF84EE7C4FE}" name="7956"/>
    <tableColumn id="7970" xr3:uid="{58E9A849-815D-443A-9DDA-63B1D3E88C87}" name="7957"/>
    <tableColumn id="7971" xr3:uid="{017C50BC-2172-44B0-87E0-F9126B9C96AA}" name="7958"/>
    <tableColumn id="7972" xr3:uid="{483F2A61-87B7-497A-8478-4805DA549A6E}" name="7959"/>
    <tableColumn id="7973" xr3:uid="{55F896C5-F0F8-47FC-BF08-1729E3B051ED}" name="7960"/>
    <tableColumn id="7974" xr3:uid="{1DCDB1D1-13A4-46BC-877F-F13D8DFE542A}" name="7961"/>
    <tableColumn id="7975" xr3:uid="{93F3AED3-04B8-4786-858B-02C95E2FCF9A}" name="7962"/>
    <tableColumn id="7976" xr3:uid="{13527B24-E8F3-41F1-8A94-DC17BC808F2F}" name="7963"/>
    <tableColumn id="7977" xr3:uid="{300ADFC0-1A1E-4CD4-BFA6-3C079A366163}" name="7964"/>
    <tableColumn id="7978" xr3:uid="{2D795F31-9180-4B29-9ACD-1271DA676337}" name="7965"/>
    <tableColumn id="7979" xr3:uid="{CC8D849C-9361-4114-A3C6-FBA5B6DEC625}" name="7966"/>
    <tableColumn id="7980" xr3:uid="{FE5B501A-6038-4F63-95F6-72DD85686A69}" name="7967"/>
    <tableColumn id="7981" xr3:uid="{87C84002-0609-4894-A510-CF58A8E87ADC}" name="7968"/>
    <tableColumn id="7982" xr3:uid="{0FB333F8-B092-45E5-956C-4394476E8A22}" name="7969"/>
    <tableColumn id="7983" xr3:uid="{F9954000-90FB-4A22-839B-BDC127816E46}" name="7970"/>
    <tableColumn id="7984" xr3:uid="{9A48E551-3D45-4E57-8351-5435B7D27FCD}" name="7971"/>
    <tableColumn id="7985" xr3:uid="{A7D315E6-8408-4CE1-88CE-3A13A55BF6B0}" name="7972"/>
    <tableColumn id="7986" xr3:uid="{F656A491-A737-426D-B80C-590A99F355A0}" name="7973"/>
    <tableColumn id="7987" xr3:uid="{AD4414D2-67D7-4FAF-8D56-591067B6D2EB}" name="7974"/>
    <tableColumn id="7988" xr3:uid="{311B95DA-9DED-4AF2-B10F-89F33527B67C}" name="7975"/>
    <tableColumn id="7989" xr3:uid="{57122F75-62F7-4F58-A4E7-A3934FC4063E}" name="7976"/>
    <tableColumn id="7990" xr3:uid="{96438515-0BBB-4D74-94CA-EFBFBC0C6090}" name="7977"/>
    <tableColumn id="7991" xr3:uid="{50942BD7-CC08-4E9F-933C-FDC91EBD769B}" name="7978"/>
    <tableColumn id="7992" xr3:uid="{B2FC8A60-F108-469A-8E0A-5A9B4CCD3910}" name="7979"/>
    <tableColumn id="7993" xr3:uid="{E0B9CA1B-D998-4B48-BD5F-287CD768FD0D}" name="7980"/>
    <tableColumn id="7994" xr3:uid="{ECD0179C-AD24-4A73-8284-CE4329AD5197}" name="7981"/>
    <tableColumn id="7995" xr3:uid="{EEF12395-F969-467F-AF58-DF38F1C1DB87}" name="7982"/>
    <tableColumn id="7996" xr3:uid="{7B702761-B79A-4FD6-B7CC-3D60805D0FBF}" name="7983"/>
    <tableColumn id="7997" xr3:uid="{856D4B27-D170-439A-9BBE-6F9BF80367A6}" name="7984"/>
    <tableColumn id="7998" xr3:uid="{0D73AB66-8405-45D0-89F0-9CAA827F4B65}" name="7985"/>
    <tableColumn id="7999" xr3:uid="{BFB8BFF7-F0D7-400B-8ED5-93133A321631}" name="7986"/>
    <tableColumn id="8000" xr3:uid="{CD5494BD-935F-407A-8E1F-099191929930}" name="7987"/>
    <tableColumn id="8001" xr3:uid="{7C9990D6-15E5-4401-9B95-C23EB69D9A5B}" name="7988"/>
    <tableColumn id="8002" xr3:uid="{78319CA8-69D7-46C3-8B1B-BBA10D006A4D}" name="7989"/>
    <tableColumn id="8003" xr3:uid="{2DFD7107-6384-4316-A1AB-C30FFC73AB64}" name="7990"/>
    <tableColumn id="8004" xr3:uid="{BDCA86FB-2F4B-482F-8395-25CFBA8E9FBA}" name="7991"/>
    <tableColumn id="8005" xr3:uid="{A7806EFD-FFD7-4899-B16F-BAC699600648}" name="7992"/>
    <tableColumn id="8006" xr3:uid="{D8A99D15-19B4-44A2-AE85-F8897B868138}" name="7993"/>
    <tableColumn id="8007" xr3:uid="{F10743C6-9FA9-4D1C-A983-C5A684FD9DCA}" name="7994"/>
    <tableColumn id="8008" xr3:uid="{3B363D8D-52F9-489D-9CEA-7916CE354981}" name="7995"/>
    <tableColumn id="8009" xr3:uid="{95B1A2D5-314E-4A47-B4EE-B126C53F23EE}" name="7996"/>
    <tableColumn id="8010" xr3:uid="{8F1E7BA1-EF79-4A64-9F5C-A19880145327}" name="7997"/>
    <tableColumn id="8011" xr3:uid="{C0A1280B-3AD7-43EF-94B1-B07B141D9927}" name="7998"/>
    <tableColumn id="8012" xr3:uid="{BAD611BF-D3ED-4D64-AF07-9D27ACBF0D8E}" name="7999"/>
    <tableColumn id="8013" xr3:uid="{17C8E9D1-DAC0-4091-B4F8-8EBAE9C22442}" name="8000"/>
    <tableColumn id="8014" xr3:uid="{B1D4C8B1-9AEB-43A0-BBFF-6FC1215C191E}" name="8001"/>
    <tableColumn id="8015" xr3:uid="{1174FC61-2147-4DF1-BFA1-91A37DA0E996}" name="8002"/>
    <tableColumn id="8016" xr3:uid="{886C7CD8-CA6A-4536-A61B-77BA6AA40B0E}" name="8003"/>
    <tableColumn id="8017" xr3:uid="{88A9F56C-1F3F-4DD1-AE77-4920C929389D}" name="8004"/>
    <tableColumn id="8018" xr3:uid="{519C129D-12E0-4D2A-B1C5-E22BE4CBB80A}" name="8005"/>
    <tableColumn id="8019" xr3:uid="{F9C6189E-54A9-427B-9FF8-FD333334B17C}" name="8006"/>
    <tableColumn id="8020" xr3:uid="{03E963C5-8C4D-416C-851A-674F184E2047}" name="8007"/>
    <tableColumn id="8021" xr3:uid="{18F8BF48-5FB6-43F1-966A-BB45E81EE7C9}" name="8008"/>
    <tableColumn id="8022" xr3:uid="{A68F7F1A-84C9-4835-80FB-CD60251A0A1D}" name="8009"/>
    <tableColumn id="8023" xr3:uid="{2B9019F2-D2AE-4051-BEF7-C13DBC076085}" name="8010"/>
    <tableColumn id="8024" xr3:uid="{3F5B36EE-45A4-4E3B-9AA4-248961891A67}" name="8011"/>
    <tableColumn id="8025" xr3:uid="{15960626-94A1-406E-9E6F-8AF53831BC95}" name="8012"/>
    <tableColumn id="8026" xr3:uid="{EF72FE12-BAAE-4250-9D1B-6F1F5A8935AC}" name="8013"/>
    <tableColumn id="8027" xr3:uid="{E7277DAF-78D0-44BD-BDAB-40BFC22D284C}" name="8014"/>
    <tableColumn id="8028" xr3:uid="{AEEECD87-DFE4-4B95-B6B1-A2FE7E8D9E34}" name="8015"/>
    <tableColumn id="8029" xr3:uid="{A7F4C910-D074-4D0C-91F7-FB56C00B8FA1}" name="8016"/>
    <tableColumn id="8030" xr3:uid="{FC7B8355-4DF8-497A-923A-A9086F96A310}" name="8017"/>
    <tableColumn id="8031" xr3:uid="{4C95EB06-BB63-4A94-B1AD-EFEC3FAE8F75}" name="8018"/>
    <tableColumn id="8032" xr3:uid="{C86D6C91-0925-46D9-A0A4-295D67908D7F}" name="8019"/>
    <tableColumn id="8033" xr3:uid="{CF5D3AEC-3B0E-4907-B9BE-7C34730EF3E7}" name="8020"/>
    <tableColumn id="8034" xr3:uid="{F61B35CE-9E9C-4CD7-B113-060D57A7037C}" name="8021"/>
    <tableColumn id="8035" xr3:uid="{4F967F1D-731C-4CC1-8905-2ABBC02C1ED6}" name="8022"/>
    <tableColumn id="8036" xr3:uid="{DF5DE039-5378-4215-91EF-9A5B529D8F4D}" name="8023"/>
    <tableColumn id="8037" xr3:uid="{2D0506B1-90E0-46B9-A99A-A0040F174825}" name="8024"/>
    <tableColumn id="8038" xr3:uid="{2B81F444-C13D-4878-9FD9-DE1FEC3F7CFF}" name="8025"/>
    <tableColumn id="8039" xr3:uid="{8E5E0984-E30E-4DBC-B02C-A6131AB108A3}" name="8026"/>
    <tableColumn id="8040" xr3:uid="{F1D32D00-DDD4-4EAF-937B-992FB1A07276}" name="8027"/>
    <tableColumn id="8041" xr3:uid="{F0AF3377-8333-44D0-A240-FAD969949F27}" name="8028"/>
    <tableColumn id="8042" xr3:uid="{A0899794-9B6C-44DD-9244-B26C471979F8}" name="8029"/>
    <tableColumn id="8043" xr3:uid="{E36E9BA1-5B50-4213-8A6A-684D57840DAA}" name="8030"/>
    <tableColumn id="8044" xr3:uid="{7702BA3B-D8C5-4E7B-ABDE-409E5B237A17}" name="8031"/>
    <tableColumn id="8045" xr3:uid="{314C34BE-F690-40FE-B202-E08AB5A0AA5C}" name="8032"/>
    <tableColumn id="8046" xr3:uid="{48EA3749-B9DF-4ABA-98C7-144726C09D99}" name="8033"/>
    <tableColumn id="8047" xr3:uid="{D65FDCB3-DD1D-4379-AA4E-B96D7DD24B7A}" name="8034"/>
    <tableColumn id="8048" xr3:uid="{863A1B2B-908F-4E16-A901-3F2A0B341207}" name="8035"/>
    <tableColumn id="8049" xr3:uid="{0B5866B7-DF16-48E2-99CC-05ADA64FF6A5}" name="8036"/>
    <tableColumn id="8050" xr3:uid="{BED0606B-597D-4D1A-BA3D-88CB017C5765}" name="8037"/>
    <tableColumn id="8051" xr3:uid="{EF1171F9-453C-4650-A02D-7CE139114D08}" name="8038"/>
    <tableColumn id="8052" xr3:uid="{88213055-C629-455F-963B-37A3B08EFEF0}" name="8039"/>
    <tableColumn id="8053" xr3:uid="{2BDEE362-C197-48FC-9775-99004CFA28A6}" name="8040"/>
    <tableColumn id="8054" xr3:uid="{B99C5900-9477-4DE1-AAC0-BBE1EFDAABDB}" name="8041"/>
    <tableColumn id="8055" xr3:uid="{9B8FE192-F074-4DF9-AD3E-5A2BA6D9736A}" name="8042"/>
    <tableColumn id="8056" xr3:uid="{38C5F164-3480-4845-B8E1-1B4B88B2FC5C}" name="8043"/>
    <tableColumn id="8057" xr3:uid="{20DC6CEA-4B92-4319-97E7-1A981B404F93}" name="8044"/>
    <tableColumn id="8058" xr3:uid="{9DB13185-0B4A-4292-9612-C95E4EA43DEF}" name="8045"/>
    <tableColumn id="8059" xr3:uid="{3E2DEFDC-44A7-4539-BFA5-8C688914C324}" name="8046"/>
    <tableColumn id="8060" xr3:uid="{15BBB462-0834-47E1-9A3B-8251C52F631E}" name="8047"/>
    <tableColumn id="8061" xr3:uid="{CB5BEBB6-FF84-4F38-B3F2-F98E68AB195A}" name="8048"/>
    <tableColumn id="8062" xr3:uid="{4AA00241-1BB4-4104-AC17-480044EE8A91}" name="8049"/>
    <tableColumn id="8063" xr3:uid="{053F39B6-7891-40C4-9D7F-2CBFE771B440}" name="8050"/>
    <tableColumn id="8064" xr3:uid="{C7D8328C-92D9-4FFB-B87D-C79BE47C8590}" name="8051"/>
    <tableColumn id="8065" xr3:uid="{3A0873EF-DCC9-44F6-AD29-C8E215E0A4C6}" name="8052"/>
    <tableColumn id="8066" xr3:uid="{69B1D28C-4A56-4430-BA25-190AA58FA7E7}" name="8053"/>
    <tableColumn id="8067" xr3:uid="{DFD5B62D-7377-4212-AFD9-2F900539D1D4}" name="8054"/>
    <tableColumn id="8068" xr3:uid="{BB027FE1-3555-4400-BB70-B646DEC05FBB}" name="8055"/>
    <tableColumn id="8069" xr3:uid="{FBD79BE4-4D74-43D9-B4E9-4A1816730F80}" name="8056"/>
    <tableColumn id="8070" xr3:uid="{6B335F5C-662A-4807-B7B4-F6A37D34B8E1}" name="8057"/>
    <tableColumn id="8071" xr3:uid="{245334D9-6FE4-4296-B933-8F37FBB230F1}" name="8058"/>
    <tableColumn id="8072" xr3:uid="{29FE3FF3-82CF-4861-9E11-9D2D492093DB}" name="8059"/>
    <tableColumn id="8073" xr3:uid="{A3CA7134-9FEA-4643-B2EC-28C8E23C496B}" name="8060"/>
    <tableColumn id="8074" xr3:uid="{541DDDBB-C268-4276-B4D3-016ED63F3099}" name="8061"/>
    <tableColumn id="8075" xr3:uid="{ED1DD51A-441D-4706-BB85-656BF18C8723}" name="8062"/>
    <tableColumn id="8076" xr3:uid="{47EEF037-A00E-45DB-8BD5-3D33A290FF1B}" name="8063"/>
    <tableColumn id="8077" xr3:uid="{C52B4BCD-2ECA-4F58-A897-AF8759A4D257}" name="8064"/>
    <tableColumn id="8078" xr3:uid="{C8508618-7DAF-40AA-A2AF-AC9AE795F84B}" name="8065"/>
    <tableColumn id="8079" xr3:uid="{7FAA12BF-3623-4AD7-86A8-2CDD7555A486}" name="8066"/>
    <tableColumn id="8080" xr3:uid="{6457805C-0B95-43A5-901A-D6CE51C6EB2E}" name="8067"/>
    <tableColumn id="8081" xr3:uid="{35143606-5A6F-460A-A0A9-3784AABD9A31}" name="8068"/>
    <tableColumn id="8082" xr3:uid="{DB0C0590-E357-475B-9D8C-039C279A1FEE}" name="8069"/>
    <tableColumn id="8083" xr3:uid="{C0C3FECA-D0DD-4247-836D-A8A175E4D7B4}" name="8070"/>
    <tableColumn id="8084" xr3:uid="{6FE81EDD-DE82-43D4-9C16-10161877B5E3}" name="8071"/>
    <tableColumn id="8085" xr3:uid="{C5251D7A-61C9-48C9-A557-5C9F6054B0BF}" name="8072"/>
    <tableColumn id="8086" xr3:uid="{0C867DA1-A868-4193-946A-99E1788AF21F}" name="8073"/>
    <tableColumn id="8087" xr3:uid="{EA09BDD1-1CAC-43F3-8762-786B93DDAD68}" name="8074"/>
    <tableColumn id="8088" xr3:uid="{BD9E80FC-3FF0-4F1A-B03A-6672BF2B89E8}" name="8075"/>
    <tableColumn id="8089" xr3:uid="{95100555-9E1C-4C40-B291-E0FDDB78BBBB}" name="8076"/>
    <tableColumn id="8090" xr3:uid="{CC220FEC-C732-492E-AD6C-DB7432B39C44}" name="8077"/>
    <tableColumn id="8091" xr3:uid="{173EB28E-8E15-426A-A551-2F55032CF1E0}" name="8078"/>
    <tableColumn id="8092" xr3:uid="{D362F8FD-27D3-4FE3-B92C-9B343F9BD956}" name="8079"/>
    <tableColumn id="8093" xr3:uid="{B66E2AD5-AE49-4075-844C-682A752056EB}" name="8080"/>
    <tableColumn id="8094" xr3:uid="{B5E9CF61-FB41-480B-9EE4-D21B848BE5F7}" name="8081"/>
    <tableColumn id="8095" xr3:uid="{B3B607AF-3AC0-4F48-ABD2-F926EC43E1AC}" name="8082"/>
    <tableColumn id="8096" xr3:uid="{EA897BE0-795E-40E7-B487-E350DA759B23}" name="8083"/>
    <tableColumn id="8097" xr3:uid="{2A9B1C2A-ECF3-4642-B190-26B1F021B1BF}" name="8084"/>
    <tableColumn id="8098" xr3:uid="{913ED13F-F76A-4302-9F11-88EB7B26748D}" name="8085"/>
    <tableColumn id="8099" xr3:uid="{8CB7255F-0245-4B28-AE3D-D96BA3CF39AA}" name="8086"/>
    <tableColumn id="8100" xr3:uid="{1FE95C87-C21E-4F94-9AA4-035B92DF4880}" name="8087"/>
    <tableColumn id="8101" xr3:uid="{45D51830-0E3E-4059-9BD5-8F252F67F676}" name="8088"/>
    <tableColumn id="8102" xr3:uid="{D5E05AC9-0486-4B31-A778-7AECC81CCDC4}" name="8089"/>
    <tableColumn id="8103" xr3:uid="{BD3105CA-6B34-4DE7-BA51-E969CE8D7BD9}" name="8090"/>
    <tableColumn id="8104" xr3:uid="{2DB57838-CBCC-41C2-9632-584A6B0A83FC}" name="8091"/>
    <tableColumn id="8105" xr3:uid="{EE621473-05C3-429E-978F-2D41A882A119}" name="8092"/>
    <tableColumn id="8106" xr3:uid="{1414859D-8E93-47B8-B23B-EA4BD0B94346}" name="8093"/>
    <tableColumn id="8107" xr3:uid="{194B9E1A-55D0-4408-820B-3EC0034FE05D}" name="8094"/>
    <tableColumn id="8108" xr3:uid="{B45C6245-EEA8-4C12-BA86-88ADD8C89BC0}" name="8095"/>
    <tableColumn id="8109" xr3:uid="{D2AF2467-BF05-4C54-A60E-99CD66F6EE44}" name="8096"/>
    <tableColumn id="8110" xr3:uid="{6DD3DB2B-D38B-4E31-A3D1-91A33D667ADF}" name="8097"/>
    <tableColumn id="8111" xr3:uid="{4D99EC7C-719C-45F1-B8EE-D931F30A3D18}" name="8098"/>
    <tableColumn id="8112" xr3:uid="{FE80B0AA-DDA4-4755-A7FB-E0EB4E2C117D}" name="8099"/>
    <tableColumn id="8113" xr3:uid="{1516077B-DF0F-4FF1-98F5-E47D7ACF0695}" name="8100"/>
    <tableColumn id="8114" xr3:uid="{2E82E10F-C896-44E5-9CF0-F558DBD0A748}" name="8101"/>
    <tableColumn id="8115" xr3:uid="{737D0CA1-4436-4EF3-A764-B75E62ABABE7}" name="8102"/>
    <tableColumn id="8116" xr3:uid="{7277DDB8-C7DD-4F99-8385-50F8EDCE0B0B}" name="8103"/>
    <tableColumn id="8117" xr3:uid="{F916B498-E794-4C47-A52A-70DA49593CED}" name="8104"/>
    <tableColumn id="8118" xr3:uid="{458F70AE-045D-4F99-9909-04B4B91BB414}" name="8105"/>
    <tableColumn id="8119" xr3:uid="{91B24C08-5346-4CC3-B1F4-C07FAA59AC21}" name="8106"/>
    <tableColumn id="8120" xr3:uid="{70B01820-A75B-4D81-9A35-03EB235A9E11}" name="8107"/>
    <tableColumn id="8121" xr3:uid="{53A42B73-2A49-4943-9551-C4714E04017E}" name="8108"/>
    <tableColumn id="8122" xr3:uid="{99BD9AE2-2815-4940-B34F-74837E1EA77C}" name="8109"/>
    <tableColumn id="8123" xr3:uid="{2D5B492A-FEEF-4792-9AE5-D676FC989361}" name="8110"/>
    <tableColumn id="8124" xr3:uid="{EE1CF5E4-274C-4BB6-81B7-D804DEC99431}" name="8111"/>
    <tableColumn id="8125" xr3:uid="{E3CE945D-204D-4390-B656-697E2ED12FA8}" name="8112"/>
    <tableColumn id="8126" xr3:uid="{AA629448-4E2F-43C1-B1A2-977ACDB0E376}" name="8113"/>
    <tableColumn id="8127" xr3:uid="{C38B804E-C98A-4A9A-BEAE-2FCFEA3F3440}" name="8114"/>
    <tableColumn id="8128" xr3:uid="{DCCA3078-91D2-474E-88EA-A9A80968905F}" name="8115"/>
    <tableColumn id="8129" xr3:uid="{FD87C778-6E70-4393-8039-727C1C08562A}" name="8116"/>
    <tableColumn id="8130" xr3:uid="{71EF24E3-4862-40FC-81F5-0469A4E9F5A7}" name="8117"/>
    <tableColumn id="8131" xr3:uid="{B465F636-D6D1-465E-A775-F229E69FB19F}" name="8118"/>
    <tableColumn id="8132" xr3:uid="{63351C3A-A1C5-47F0-99CE-C336357EDA4E}" name="8119"/>
    <tableColumn id="8133" xr3:uid="{D9EAB281-67CE-42C3-8BC8-791D2EBD8BBF}" name="8120"/>
    <tableColumn id="8134" xr3:uid="{8D4006FB-5C18-4421-919F-7CAD44979FA9}" name="8121"/>
    <tableColumn id="8135" xr3:uid="{F806CEE9-39BA-4A39-9178-616BAD2129C4}" name="8122"/>
    <tableColumn id="8136" xr3:uid="{5FD0A5D6-C3DE-4852-91EF-5E33FDA899B1}" name="8123"/>
    <tableColumn id="8137" xr3:uid="{849650BF-0C0C-43F3-B407-547D7E7BF913}" name="8124"/>
    <tableColumn id="8138" xr3:uid="{74AF0BA4-F21E-4559-A91F-0896DFF69B0F}" name="8125"/>
    <tableColumn id="8139" xr3:uid="{EC23B257-EF2B-4E3C-A191-5F4ABA4E2143}" name="8126"/>
    <tableColumn id="8140" xr3:uid="{B7A20C79-2ED3-4239-ACA8-39AE43140754}" name="8127"/>
    <tableColumn id="8141" xr3:uid="{EAE8225B-A2FE-43D7-9193-9E50C151726E}" name="8128"/>
    <tableColumn id="8142" xr3:uid="{A46F930F-5991-4E3F-9241-AA6FA7E34484}" name="8129"/>
    <tableColumn id="8143" xr3:uid="{11993F3F-B466-445D-AF10-33018859CDEF}" name="8130"/>
    <tableColumn id="8144" xr3:uid="{1D04875A-99AE-4994-B48D-65138BA1580A}" name="8131"/>
    <tableColumn id="8145" xr3:uid="{5131B566-0109-4779-9734-0C28DA83D40B}" name="8132"/>
    <tableColumn id="8146" xr3:uid="{1C285405-A086-431F-9CB8-19B344003492}" name="8133"/>
    <tableColumn id="8147" xr3:uid="{25586992-77D8-41BA-9181-A322B4878991}" name="8134"/>
    <tableColumn id="8148" xr3:uid="{C0E14795-1B00-4632-8EBA-6CD529B07FB0}" name="8135"/>
    <tableColumn id="8149" xr3:uid="{281D4D53-5D3E-4DBA-8F7E-E79DB5201F96}" name="8136"/>
    <tableColumn id="8150" xr3:uid="{A0BD4273-8E70-4466-8E30-641DA44661BC}" name="8137"/>
    <tableColumn id="8151" xr3:uid="{D17F84F5-4F4E-48F2-9D00-DF9550528A94}" name="8138"/>
    <tableColumn id="8152" xr3:uid="{176E58D1-9A86-4CDC-9D9D-A486A4B7819A}" name="8139"/>
    <tableColumn id="8153" xr3:uid="{1F4523D0-087E-40E9-BC54-066CB291CA2A}" name="8140"/>
    <tableColumn id="8154" xr3:uid="{63F6B5DE-6A0D-40CB-8D71-38ED9F4FD083}" name="8141"/>
    <tableColumn id="8155" xr3:uid="{BE9E31AA-DDA4-410F-B6B7-0F5AF0CEBBD1}" name="8142"/>
    <tableColumn id="8156" xr3:uid="{B78CD268-6D14-47A9-8DD1-89478D02B911}" name="8143"/>
    <tableColumn id="8157" xr3:uid="{A1DFD383-3435-4B02-8F44-0FF47B6AAE00}" name="8144"/>
    <tableColumn id="8158" xr3:uid="{3B2F3CA7-519A-484C-B2BF-39BF015D0191}" name="8145"/>
    <tableColumn id="8159" xr3:uid="{EECEADFA-083D-4A11-90AF-DFE62418DD0B}" name="8146"/>
    <tableColumn id="8160" xr3:uid="{C04446A3-F4DC-4065-BAD0-7E11F8F0939A}" name="8147"/>
    <tableColumn id="8161" xr3:uid="{0C4B869D-EAAA-4505-A0EF-CBEE97A8D9DF}" name="8148"/>
    <tableColumn id="8162" xr3:uid="{9E759F7C-E0C0-4314-BEC0-A32C62F8DA56}" name="8149"/>
    <tableColumn id="8163" xr3:uid="{04E11D62-4C97-4788-B7A1-B1D61EF944D8}" name="8150"/>
    <tableColumn id="8164" xr3:uid="{BE9FDF17-813C-4BCC-915B-2D7C0D879A24}" name="8151"/>
    <tableColumn id="8165" xr3:uid="{E9525E6A-656A-4CF1-A4E5-BA67B28417D1}" name="8152"/>
    <tableColumn id="8166" xr3:uid="{110F1BDA-8038-44C5-AD74-5BFF7EE7B2A2}" name="8153"/>
    <tableColumn id="8167" xr3:uid="{79686939-308A-4749-A787-5B93578FB8F6}" name="8154"/>
    <tableColumn id="8168" xr3:uid="{DED873C0-D0D2-4655-BA6B-DB5A1B81CA0B}" name="8155"/>
    <tableColumn id="8169" xr3:uid="{65139775-09D5-4F01-8956-29CA9CFA6F28}" name="8156"/>
    <tableColumn id="8170" xr3:uid="{BCB7796A-ACAB-4BF7-8BE6-DF5BDECBDAA4}" name="8157"/>
    <tableColumn id="8171" xr3:uid="{E7B8F0B6-C4F8-4AED-A74F-EB6BDF9EEB0F}" name="8158"/>
    <tableColumn id="8172" xr3:uid="{05D48A98-A2A8-41E8-945A-70E0491BAF8B}" name="8159"/>
    <tableColumn id="8173" xr3:uid="{6163A4A0-B8EC-477F-80F4-13038AD15230}" name="8160"/>
    <tableColumn id="8174" xr3:uid="{096863A8-E740-480D-BE65-71F02EF94129}" name="8161"/>
    <tableColumn id="8175" xr3:uid="{69A5CDF7-BED2-4EE6-8842-6473B38281F8}" name="8162"/>
    <tableColumn id="8176" xr3:uid="{3176F76C-B6FA-4EC2-B0DA-BF9FB2E8BBD9}" name="8163"/>
    <tableColumn id="8177" xr3:uid="{E89F6EF9-D878-4186-AFC0-7A4EE79DC033}" name="8164"/>
    <tableColumn id="8178" xr3:uid="{6B56F839-EF85-418D-8BDA-0354EF617734}" name="8165"/>
    <tableColumn id="8179" xr3:uid="{D2E97957-F350-4D94-90C5-184D63930D63}" name="8166"/>
    <tableColumn id="8180" xr3:uid="{EB92C3FF-53F9-4BDE-AAB5-159D7D415A6D}" name="8167"/>
    <tableColumn id="8181" xr3:uid="{2CF89662-FAC2-41C4-8DA1-42C08D1C2F45}" name="8168"/>
    <tableColumn id="8182" xr3:uid="{1BEC00B4-71F0-418E-BCED-315F16945468}" name="8169"/>
    <tableColumn id="8183" xr3:uid="{8A7D5BBB-8AFD-403F-928F-6BAC7868A343}" name="8170"/>
    <tableColumn id="8184" xr3:uid="{344EFE56-0B8A-40EB-A7A8-A460F971478E}" name="8171"/>
    <tableColumn id="8185" xr3:uid="{3F5CD734-E466-4E40-AF91-FA63E972D381}" name="8172"/>
    <tableColumn id="8186" xr3:uid="{53DFC325-FA70-45A2-95FE-CF0069E4116A}" name="8173"/>
    <tableColumn id="8187" xr3:uid="{260A9780-AC65-4271-974B-9B06CBC6B9A0}" name="8174"/>
    <tableColumn id="8188" xr3:uid="{3D2249CC-B110-4CA6-B9FC-907AE0AF3F31}" name="8175"/>
    <tableColumn id="8189" xr3:uid="{71CA13B8-C0F3-4F0F-818D-6052BF5BE8AA}" name="8176"/>
    <tableColumn id="8190" xr3:uid="{B1CE3718-786F-405D-AC31-782E4FD73263}" name="8177"/>
    <tableColumn id="8191" xr3:uid="{90F7BC4F-AB33-480C-A118-39291CD5D22F}" name="8178"/>
    <tableColumn id="8192" xr3:uid="{956DB3D7-8B1A-45DB-BE5D-42BF085F053F}" name="8179"/>
    <tableColumn id="8193" xr3:uid="{A53AB8A9-A995-4E11-BDD5-C35BA842A1E1}" name="8180"/>
    <tableColumn id="8194" xr3:uid="{6DF1443F-2028-41AF-871B-4A46F9FC0F9F}" name="8181"/>
    <tableColumn id="8195" xr3:uid="{D549F2D1-EE41-465C-B1C3-23124C2B86DA}" name="8182"/>
    <tableColumn id="8196" xr3:uid="{588360A4-3A70-4ECE-9E29-89A090A47711}" name="8183"/>
    <tableColumn id="8197" xr3:uid="{B97CC2A5-3A99-467E-B047-3F0110C6968A}" name="8184"/>
    <tableColumn id="8198" xr3:uid="{B830810D-9614-44F9-8656-0CB84AE083CA}" name="8185"/>
    <tableColumn id="8199" xr3:uid="{4C5E4DFC-1550-42A7-B796-D3A4C1517360}" name="8186"/>
    <tableColumn id="8200" xr3:uid="{825BC128-0DDB-4532-8868-35F3421785CA}" name="8187"/>
    <tableColumn id="8201" xr3:uid="{DD9EA7B4-6B68-47AE-BC44-9C22FBA68758}" name="8188"/>
    <tableColumn id="8202" xr3:uid="{E57457ED-0E16-4031-B839-27C95972938E}" name="8189"/>
    <tableColumn id="8203" xr3:uid="{7F81B63C-4A91-48E6-9088-DBFEA538F305}" name="8190"/>
    <tableColumn id="8204" xr3:uid="{7D35C7CD-29C2-4E74-BE89-864F9530A100}" name="8191"/>
    <tableColumn id="8205" xr3:uid="{4D92191C-4D02-49C4-AF80-1F55C25B804F}" name="8192"/>
    <tableColumn id="8206" xr3:uid="{1D074E15-04C7-457D-BC8C-EE338C3AB745}" name="8193"/>
    <tableColumn id="8207" xr3:uid="{8C54CED7-201D-4AB4-BD83-F73600447726}" name="8194"/>
    <tableColumn id="8208" xr3:uid="{97840509-E094-453B-B833-10BE68B02DCF}" name="8195"/>
    <tableColumn id="8209" xr3:uid="{57486029-375D-40ED-AB10-3EE1A613F7FA}" name="8196"/>
    <tableColumn id="8210" xr3:uid="{D63ECB1F-5D5B-4061-8B27-BDF7874E65F0}" name="8197"/>
    <tableColumn id="8211" xr3:uid="{20791ADB-8BE1-4F0E-A7F0-B818E5A2483E}" name="8198"/>
    <tableColumn id="8212" xr3:uid="{7918FECB-1DE0-4DF9-95F3-B53243B56131}" name="8199"/>
    <tableColumn id="8213" xr3:uid="{EF6243C5-CCA6-406C-B1D4-854003E63CB0}" name="8200"/>
    <tableColumn id="8214" xr3:uid="{5DAB7991-8D45-424E-90D7-B18BC62014B6}" name="8201"/>
    <tableColumn id="8215" xr3:uid="{FDD4995C-BE2C-4BD1-90EA-643768266303}" name="8202"/>
    <tableColumn id="8216" xr3:uid="{DC798961-44E8-41D0-BF74-2FE424FCD303}" name="8203"/>
    <tableColumn id="8217" xr3:uid="{10B1A81F-23CA-4206-822E-6B748ED2987C}" name="8204"/>
    <tableColumn id="8218" xr3:uid="{5C971E0D-BAE3-44EC-B6DB-22FE1491A4A1}" name="8205"/>
    <tableColumn id="8219" xr3:uid="{90C8F051-FEFD-430B-8F33-5860A6CCEB84}" name="8206"/>
    <tableColumn id="8220" xr3:uid="{8B8C0618-04FF-47C6-BC1D-0181306312F5}" name="8207"/>
    <tableColumn id="8221" xr3:uid="{CD57838F-F4C0-443C-B3CF-6C79A7E086B7}" name="8208"/>
    <tableColumn id="8222" xr3:uid="{7FC1841F-C9D2-45AF-BF05-A1601F2AE722}" name="8209"/>
    <tableColumn id="8223" xr3:uid="{E864DC6B-9962-48B5-A6AF-007C7C5D0C3C}" name="8210"/>
    <tableColumn id="8224" xr3:uid="{6A6BAD2D-FEEB-415B-8836-2CB28C2437D0}" name="8211"/>
    <tableColumn id="8225" xr3:uid="{D9AF83E0-4FEC-41C7-B119-337BBC07E847}" name="8212"/>
    <tableColumn id="8226" xr3:uid="{1C636231-3C58-49EE-93AA-4D34AAA9D025}" name="8213"/>
    <tableColumn id="8227" xr3:uid="{BF150608-2D00-4520-903B-E3F867323EBC}" name="8214"/>
    <tableColumn id="8228" xr3:uid="{DFA48621-790D-4081-8006-749F02BAA21C}" name="8215"/>
    <tableColumn id="8229" xr3:uid="{114386ED-ED2F-45D1-AC54-996A5F35EA97}" name="8216"/>
    <tableColumn id="8230" xr3:uid="{657259A6-2974-4972-9831-290E6194605D}" name="8217"/>
    <tableColumn id="8231" xr3:uid="{B66E001C-894B-4834-A29D-BEEDB0BC5165}" name="8218"/>
    <tableColumn id="8232" xr3:uid="{D153291E-D04C-455A-B018-49DFCDCCE2B7}" name="8219"/>
    <tableColumn id="8233" xr3:uid="{CDDD50E5-78DB-47B1-957B-D8D630D3E17A}" name="8220"/>
    <tableColumn id="8234" xr3:uid="{594817A4-C195-4A82-92CC-DA0BDBAAE756}" name="8221"/>
    <tableColumn id="8235" xr3:uid="{928ED20B-4A50-4982-87B0-312F272ADAB0}" name="8222"/>
    <tableColumn id="8236" xr3:uid="{8AD307CA-55C7-4173-A762-7D3EBAFC3CFB}" name="8223"/>
    <tableColumn id="8237" xr3:uid="{5114F40B-E00C-4AC5-9F58-157C1DB74DD5}" name="8224"/>
    <tableColumn id="8238" xr3:uid="{AE234890-AA8A-442E-8FE6-4FFBDFAF628E}" name="8225"/>
    <tableColumn id="8239" xr3:uid="{B822E521-BCF7-4AEC-AF95-C6C194CECF73}" name="8226"/>
    <tableColumn id="8240" xr3:uid="{E5DDD786-A9BB-4229-968B-95BC327D8DB3}" name="8227"/>
    <tableColumn id="8241" xr3:uid="{95286F82-FE50-4877-AA1A-592137FC043D}" name="8228"/>
    <tableColumn id="8242" xr3:uid="{F5382393-CA4A-4C8A-902F-A0356D52B23F}" name="8229"/>
    <tableColumn id="8243" xr3:uid="{6798F1CB-6DAC-4841-B89E-DB251F6FBC68}" name="8230"/>
    <tableColumn id="8244" xr3:uid="{663043BD-33B2-449A-8C8E-E3FEDD8ADD63}" name="8231"/>
    <tableColumn id="8245" xr3:uid="{D70DF18B-F0E8-47F5-9391-5F186F58174E}" name="8232"/>
    <tableColumn id="8246" xr3:uid="{9C3AA6F9-931E-43C7-81D0-02EF443D03A5}" name="8233"/>
    <tableColumn id="8247" xr3:uid="{C254761F-DCF6-4DF8-9643-DF442043E099}" name="8234"/>
    <tableColumn id="8248" xr3:uid="{CEF0BC28-87B8-4E5D-9290-CD9BB7DFE245}" name="8235"/>
    <tableColumn id="8249" xr3:uid="{5460FD35-B085-4CE0-B91A-A12BCABC57DA}" name="8236"/>
    <tableColumn id="8250" xr3:uid="{CC75ECBB-9F42-447D-8779-F3EDD3CE181D}" name="8237"/>
    <tableColumn id="8251" xr3:uid="{92BA7BD3-297E-4531-B917-425353AD6EC0}" name="8238"/>
    <tableColumn id="8252" xr3:uid="{31302B9E-2EE7-4A55-B67A-DCD30F53E561}" name="8239"/>
    <tableColumn id="8253" xr3:uid="{5BB67CC8-C3A9-475D-BDB4-886698743C02}" name="8240"/>
    <tableColumn id="8254" xr3:uid="{F45008A5-E360-4E74-8673-578A4A7B0C68}" name="8241"/>
    <tableColumn id="8255" xr3:uid="{82B3F387-FE84-4C1A-9A1B-7E34CE418CC5}" name="8242"/>
    <tableColumn id="8256" xr3:uid="{1B53AC18-7D09-4009-90D0-DE6D40191181}" name="8243"/>
    <tableColumn id="8257" xr3:uid="{B3BEDE88-0C5C-4780-9ED2-0D98845A2EC0}" name="8244"/>
    <tableColumn id="8258" xr3:uid="{FAFC3281-490A-47DA-8DE7-94B08B6BE7CA}" name="8245"/>
    <tableColumn id="8259" xr3:uid="{A89A5211-7F5A-4D83-8E9F-DE7A3A937D42}" name="8246"/>
    <tableColumn id="8260" xr3:uid="{E2B9B838-9ECA-4937-9269-42F0544C066D}" name="8247"/>
    <tableColumn id="8261" xr3:uid="{B3AA75A6-DE57-4794-A5EC-26F277FDB7D4}" name="8248"/>
    <tableColumn id="8262" xr3:uid="{239E6476-0154-438C-97B2-5A0721F3FACB}" name="8249"/>
    <tableColumn id="8263" xr3:uid="{73C82D8E-59D2-436B-8D03-F23113956192}" name="8250"/>
    <tableColumn id="8264" xr3:uid="{8F85C547-B6D8-4847-818D-E6FF3A5BA02F}" name="8251"/>
    <tableColumn id="8265" xr3:uid="{A02E9F93-CB4A-4652-812B-A8589D67F6E7}" name="8252"/>
    <tableColumn id="8266" xr3:uid="{98146020-8340-42CB-978F-70E32B3C13B2}" name="8253"/>
    <tableColumn id="8267" xr3:uid="{17F2F58A-C063-465A-A6D7-5017971F898F}" name="8254"/>
    <tableColumn id="8268" xr3:uid="{A757625D-C618-4679-B354-8160656CA45B}" name="8255"/>
    <tableColumn id="8269" xr3:uid="{A4F86A2C-A752-41D6-A0A8-DD692A91D921}" name="8256"/>
    <tableColumn id="8270" xr3:uid="{ADCEC1AD-3337-4312-8280-FA596D7A4773}" name="8257"/>
    <tableColumn id="8271" xr3:uid="{1AE403A8-9207-48CE-9D7B-E3AFE2866A0E}" name="8258"/>
    <tableColumn id="8272" xr3:uid="{B1F71FF2-1D98-46ED-84BE-8A6F004BA4AA}" name="8259"/>
    <tableColumn id="8273" xr3:uid="{B75087F9-4D5B-4094-A080-64E645F12039}" name="8260"/>
    <tableColumn id="8274" xr3:uid="{06F1C90A-D762-48F7-92E0-ED05B7DA7C4B}" name="8261"/>
    <tableColumn id="8275" xr3:uid="{EE97725A-2653-4BD7-BA70-74DB6E5F0DC8}" name="8262"/>
    <tableColumn id="8276" xr3:uid="{A61195FB-2D08-43FF-8321-52F3FDEF2531}" name="8263"/>
    <tableColumn id="8277" xr3:uid="{47AFABDD-5B17-469F-B8B0-A2F73380C9C5}" name="8264"/>
    <tableColumn id="8278" xr3:uid="{9EAD06FF-27BF-490A-AC7F-B1EBDE1237B2}" name="8265"/>
    <tableColumn id="8279" xr3:uid="{CB8F3309-4B98-4A57-841B-C7AEF48A74D8}" name="8266"/>
    <tableColumn id="8280" xr3:uid="{48B85F60-22A6-4196-908D-76C1503CF967}" name="8267"/>
    <tableColumn id="8281" xr3:uid="{5224D502-1F76-486C-A420-E47FC7AB09D1}" name="8268"/>
    <tableColumn id="8282" xr3:uid="{6E9CC123-8EE3-4B5C-9C35-D5CF5B3A5DC7}" name="8269"/>
    <tableColumn id="8283" xr3:uid="{E7601544-FEF2-4C3F-9D34-89EBC40181CD}" name="8270"/>
    <tableColumn id="8284" xr3:uid="{5BA9710F-0C9F-474B-ADF2-F70173BBB806}" name="8271"/>
    <tableColumn id="8285" xr3:uid="{B96D0C20-C69C-46AA-8D71-039C28C9E689}" name="8272"/>
    <tableColumn id="8286" xr3:uid="{EAEBFB65-785D-4AE0-AEE1-53618250EF62}" name="8273"/>
    <tableColumn id="8287" xr3:uid="{B7642F59-C315-4E47-A42C-2CD0DDEDEF97}" name="8274"/>
    <tableColumn id="8288" xr3:uid="{67DB1FA0-FA80-46C3-AD95-B4BEA10543A6}" name="8275"/>
    <tableColumn id="8289" xr3:uid="{C404A05D-04F7-441F-A8A0-91216E8FEC02}" name="8276"/>
    <tableColumn id="8290" xr3:uid="{B69D7CAE-812E-4F15-B275-E4FE02689928}" name="8277"/>
    <tableColumn id="8291" xr3:uid="{BF896779-5616-499D-BCFA-AB6972DF0A9E}" name="8278"/>
    <tableColumn id="8292" xr3:uid="{259F49EB-3DBE-4761-84E9-E7A407B480A7}" name="8279"/>
    <tableColumn id="8293" xr3:uid="{7864A09B-63C5-44E9-879B-F8DD1B4A6351}" name="8280"/>
    <tableColumn id="8294" xr3:uid="{4DF13586-7555-4DD8-A3BF-1BA120DD5776}" name="8281"/>
    <tableColumn id="8295" xr3:uid="{6DAA1D32-3946-4E99-A1CE-86AF916CED56}" name="8282"/>
    <tableColumn id="8296" xr3:uid="{A24D1AFF-32F8-4C3A-88E5-9B211C009881}" name="8283"/>
    <tableColumn id="8297" xr3:uid="{5521B0B3-2A53-4ECD-86D8-EF86378620FE}" name="8284"/>
    <tableColumn id="8298" xr3:uid="{CA589035-93F3-4E63-AEB2-138A81098F89}" name="8285"/>
    <tableColumn id="8299" xr3:uid="{04E84BFF-65B3-4CE2-822D-39BA0567070D}" name="8286"/>
    <tableColumn id="8300" xr3:uid="{887BD7E4-1A45-4829-AE04-76BFCED572AE}" name="8287"/>
    <tableColumn id="8301" xr3:uid="{EE8EBA3E-3FFD-4728-8FB3-3D1E6BF4DE39}" name="8288"/>
    <tableColumn id="8302" xr3:uid="{0ABEEB79-7600-4E37-AFDC-80FA421C7928}" name="8289"/>
    <tableColumn id="8303" xr3:uid="{5E558870-5B93-4621-85E2-9A9BBA2F5C52}" name="8290"/>
    <tableColumn id="8304" xr3:uid="{21B8AB81-AA2F-4BDB-A69E-8F001667BECF}" name="8291"/>
    <tableColumn id="8305" xr3:uid="{262372D2-A44A-4DFF-A33C-19487FD231A2}" name="8292"/>
    <tableColumn id="8306" xr3:uid="{25580E23-D620-41A9-82CA-1F6846225ED3}" name="8293"/>
    <tableColumn id="8307" xr3:uid="{6FC166F6-9A98-4B6A-A63B-9D1DC3363A9A}" name="8294"/>
    <tableColumn id="8308" xr3:uid="{CDD15278-05DD-4CE1-B4AA-AD1A91375A70}" name="8295"/>
    <tableColumn id="8309" xr3:uid="{4C43E732-371E-46C4-8831-303AE7AFC07C}" name="8296"/>
    <tableColumn id="8310" xr3:uid="{8C4D9E1E-C757-40D5-8D5D-AA6FDEC67C36}" name="8297"/>
    <tableColumn id="8311" xr3:uid="{16C4B204-8615-46E4-B1B8-F2F63633B128}" name="8298"/>
    <tableColumn id="8312" xr3:uid="{65A47C40-E411-4179-B056-B7AF1A63DEA2}" name="8299"/>
    <tableColumn id="8313" xr3:uid="{6E38E918-C624-415D-8648-DB41AC80D94A}" name="8300"/>
    <tableColumn id="8314" xr3:uid="{530453F6-EC2C-43D3-909E-7A51FA60C0A9}" name="8301"/>
    <tableColumn id="8315" xr3:uid="{C7BF1374-D461-483F-A86F-C3EBAAFD163E}" name="8302"/>
    <tableColumn id="8316" xr3:uid="{78D4DBE7-5410-4AFA-B0AF-1BA7371DF5BB}" name="8303"/>
    <tableColumn id="8317" xr3:uid="{BD6F61DB-A934-4472-A60A-F83D33A63476}" name="8304"/>
    <tableColumn id="8318" xr3:uid="{38E617E8-B7A4-4312-9A01-E756B61936D3}" name="8305"/>
    <tableColumn id="8319" xr3:uid="{F4E14FC8-5647-4726-A0A1-D488948C9A5E}" name="8306"/>
    <tableColumn id="8320" xr3:uid="{DD84BB0B-C2F1-46D2-A198-25A1AA48ACF3}" name="8307"/>
    <tableColumn id="8321" xr3:uid="{A580D668-28AE-4FA6-A5FF-EDDD16F70CD9}" name="8308"/>
    <tableColumn id="8322" xr3:uid="{5878C735-032B-43EB-818F-10A46B2AED4F}" name="8309"/>
    <tableColumn id="8323" xr3:uid="{769A4FA8-08D3-46D3-B8D2-A3F8635A5839}" name="8310"/>
    <tableColumn id="8324" xr3:uid="{EA2D9608-AC2F-4B1D-A777-99F6E8904754}" name="8311"/>
    <tableColumn id="8325" xr3:uid="{0508EF73-038A-4188-9C55-CB53C43DD51E}" name="8312"/>
    <tableColumn id="8326" xr3:uid="{7ACAE059-2A91-4AEF-8121-4BD7F5D719C4}" name="8313"/>
    <tableColumn id="8327" xr3:uid="{F194AFA8-B048-417F-B823-D1B37EF9D113}" name="8314"/>
    <tableColumn id="8328" xr3:uid="{1288CC12-98F0-45B8-BD8B-7FB1E82391AC}" name="8315"/>
    <tableColumn id="8329" xr3:uid="{9189C0EA-7136-445C-AA8A-42C189CD30EF}" name="8316"/>
    <tableColumn id="8330" xr3:uid="{6769F730-EB25-454B-9F3B-C50422DD76B4}" name="8317"/>
    <tableColumn id="8331" xr3:uid="{9F5E51BE-3011-42BC-8F6F-4F48A532DA26}" name="8318"/>
    <tableColumn id="8332" xr3:uid="{F7923B63-B58A-4A12-9FB8-A45146EF9A95}" name="8319"/>
    <tableColumn id="8333" xr3:uid="{D2BA5C37-FB4A-4F0F-9E5F-E6A6D27D8934}" name="8320"/>
    <tableColumn id="8334" xr3:uid="{AB3E26E4-B2EA-4D2F-85FE-BC3687327E25}" name="8321"/>
    <tableColumn id="8335" xr3:uid="{1DDF3BFC-DC04-4954-9BD2-60E144F057EA}" name="8322"/>
    <tableColumn id="8336" xr3:uid="{94237B65-6A96-4D7E-84D9-97EBC545136F}" name="8323"/>
    <tableColumn id="8337" xr3:uid="{36BAF8A0-7CA0-48CE-BD07-726B6B5A5594}" name="8324"/>
    <tableColumn id="8338" xr3:uid="{62DE7B40-9281-4F41-B82A-7F5ACDAE6B7A}" name="8325"/>
    <tableColumn id="8339" xr3:uid="{0A4C0071-C890-44DE-8945-DF793C67513B}" name="8326"/>
    <tableColumn id="8340" xr3:uid="{A99CF40C-4FED-40A4-A179-3CA58EA674D4}" name="8327"/>
    <tableColumn id="8341" xr3:uid="{8C7C1311-D3CC-4098-B0D7-3408715C3A4E}" name="8328"/>
    <tableColumn id="8342" xr3:uid="{1B00A868-230B-4095-A51A-3E8D759DFFB2}" name="8329"/>
    <tableColumn id="8343" xr3:uid="{6D7E1342-63E2-44CE-9D13-B6BA1DD8C2B9}" name="8330"/>
    <tableColumn id="8344" xr3:uid="{3AC51B47-F526-44FF-B331-15BF857DD115}" name="8331"/>
    <tableColumn id="8345" xr3:uid="{A1FD6769-F07C-4575-9DE9-7F379D815A7A}" name="8332"/>
    <tableColumn id="8346" xr3:uid="{1F0291AC-CADF-4838-9E8E-77B778040B3B}" name="8333"/>
    <tableColumn id="8347" xr3:uid="{92DB2252-EF85-4D2F-862A-59DC7C3E64D1}" name="8334"/>
    <tableColumn id="8348" xr3:uid="{41535256-5792-46B8-896B-32289E2AD114}" name="8335"/>
    <tableColumn id="8349" xr3:uid="{3C6C28CF-E5F1-4F7D-A6E2-7AE5D51D828C}" name="8336"/>
    <tableColumn id="8350" xr3:uid="{4AC299D8-AF17-4F34-B07E-0D5C5E87C904}" name="8337"/>
    <tableColumn id="8351" xr3:uid="{A6AE5F23-9BA7-4243-A3D3-FBB23BD8895B}" name="8338"/>
    <tableColumn id="8352" xr3:uid="{941AEA83-7BA9-4DD1-9E4F-D4032EB16919}" name="8339"/>
    <tableColumn id="8353" xr3:uid="{0EBD35B2-37A8-418B-9910-5F5BA080DDEE}" name="8340"/>
    <tableColumn id="8354" xr3:uid="{BEC19C74-58BB-4690-ADD7-7B39283921DE}" name="8341"/>
    <tableColumn id="8355" xr3:uid="{4B1453C2-3ADC-4800-91F7-81D1CC51D6A1}" name="8342"/>
    <tableColumn id="8356" xr3:uid="{2F553A11-8366-4253-98F9-8C37E93119D9}" name="8343"/>
    <tableColumn id="8357" xr3:uid="{E2FC5D74-B894-4776-9E6C-43506D79AA06}" name="8344"/>
    <tableColumn id="8358" xr3:uid="{177387C0-B98C-45C8-99FC-F1FA6C542FC9}" name="8345"/>
    <tableColumn id="8359" xr3:uid="{A71B3055-4576-46EC-8351-AF2CE8A8AF0F}" name="8346"/>
    <tableColumn id="8360" xr3:uid="{0073C08E-C846-46AC-A620-04F32DACDE02}" name="8347"/>
    <tableColumn id="8361" xr3:uid="{61E1E04D-5C1B-4288-A526-E4F00AD69AA4}" name="8348"/>
    <tableColumn id="8362" xr3:uid="{EB1AC2A8-2000-4831-8E15-DBF4C9A36FAB}" name="8349"/>
    <tableColumn id="8363" xr3:uid="{1DC5FF38-0E5E-4F39-8CDB-D8AEE7963C51}" name="8350"/>
    <tableColumn id="8364" xr3:uid="{3B8E47DF-AB1C-47B1-9406-4140083C24CF}" name="8351"/>
    <tableColumn id="8365" xr3:uid="{373D6AC0-AD56-4424-B44A-7F31842B68D6}" name="8352"/>
    <tableColumn id="8366" xr3:uid="{A28F3865-D63D-4772-88DE-F706A2822110}" name="8353"/>
    <tableColumn id="8367" xr3:uid="{C35885D0-D842-44A2-A1A4-D085416A4BEF}" name="8354"/>
    <tableColumn id="8368" xr3:uid="{FC159DED-3C79-4E21-9F6C-F0C449155843}" name="8355"/>
    <tableColumn id="8369" xr3:uid="{B52D64F7-08FF-4945-BE37-7DF156080960}" name="8356"/>
    <tableColumn id="8370" xr3:uid="{D10F7F4D-D8D6-4370-945B-261CE21D0D25}" name="8357"/>
    <tableColumn id="8371" xr3:uid="{49DA394E-5799-4F3F-BC25-267E7B54E3FF}" name="8358"/>
    <tableColumn id="8372" xr3:uid="{FB43250B-AFDC-4E3A-B758-7C688D5692E5}" name="8359"/>
    <tableColumn id="8373" xr3:uid="{9AE5250E-C1CE-486F-82EC-CC203DBA2636}" name="8360"/>
    <tableColumn id="8374" xr3:uid="{CE9381BC-9F23-45C1-B871-76F862259755}" name="8361"/>
    <tableColumn id="8375" xr3:uid="{EC6779A4-B933-44CF-969A-1F40B653F934}" name="8362"/>
    <tableColumn id="8376" xr3:uid="{D58722E4-41D6-4293-8E95-C1F9887C3DA3}" name="8363"/>
    <tableColumn id="8377" xr3:uid="{F4EAB4D6-E706-411A-9EED-EC5DB3EC30D8}" name="8364"/>
    <tableColumn id="8378" xr3:uid="{5828D197-114B-477B-AE42-F581B7948532}" name="8365"/>
    <tableColumn id="8379" xr3:uid="{EA49922C-87E1-411F-B650-EA5DD128771A}" name="8366"/>
    <tableColumn id="8380" xr3:uid="{7DAAB867-16E0-4BE5-A4E9-810BFE136AE7}" name="8367"/>
    <tableColumn id="8381" xr3:uid="{D4F3B33D-C911-4499-880C-7266235E40BB}" name="8368"/>
    <tableColumn id="8382" xr3:uid="{F76C3969-57B7-42A1-AF8B-37422493CE8A}" name="8369"/>
    <tableColumn id="8383" xr3:uid="{1F5E2198-2E87-415C-B311-F3A7DB75E99C}" name="8370"/>
    <tableColumn id="8384" xr3:uid="{4957EA3A-8E85-4429-9F3A-F6800B8CC656}" name="8371"/>
    <tableColumn id="8385" xr3:uid="{64412FF6-3B22-4DE7-BE52-8AAE18E5D089}" name="8372"/>
    <tableColumn id="8386" xr3:uid="{1945B038-0A5F-472A-8E17-4E39D97A8621}" name="8373"/>
    <tableColumn id="8387" xr3:uid="{147C52B7-2B82-44C4-B4CB-93FEFBB9A851}" name="8374"/>
    <tableColumn id="8388" xr3:uid="{3461A0C5-356E-4EFB-95B0-DBB23DFD0375}" name="8375"/>
    <tableColumn id="8389" xr3:uid="{C93035DC-5FB9-4D03-806B-C5C321509ADA}" name="8376"/>
    <tableColumn id="8390" xr3:uid="{AC436486-3746-4D83-BBA6-C630E1D33BDE}" name="8377"/>
    <tableColumn id="8391" xr3:uid="{D2996264-B0F7-4755-92FF-3901A39F41AB}" name="8378"/>
    <tableColumn id="8392" xr3:uid="{52E247A2-70B8-4483-A35B-E62C8D038213}" name="8379"/>
    <tableColumn id="8393" xr3:uid="{4A0FEA11-61B9-4B0D-91D0-18C26B8CA114}" name="8380"/>
    <tableColumn id="8394" xr3:uid="{E9C6A8A2-3ACB-465D-89B9-972CCEBA3DAC}" name="8381"/>
    <tableColumn id="8395" xr3:uid="{7739E521-21AA-4473-BCC5-9C79FC6C6D62}" name="8382"/>
    <tableColumn id="8396" xr3:uid="{C694995E-CE7C-47D0-8E07-30B8272059A2}" name="8383"/>
    <tableColumn id="8397" xr3:uid="{F8809F27-2F27-41C7-8488-79C7863E7398}" name="8384"/>
    <tableColumn id="8398" xr3:uid="{A33DD9AD-D898-47F7-9DBA-44594D000167}" name="8385"/>
    <tableColumn id="8399" xr3:uid="{B8F1D99C-60E3-4A32-9A5F-6905E23FF62E}" name="8386"/>
    <tableColumn id="8400" xr3:uid="{8286DCAE-F0D7-40AF-9FF5-6131E6735023}" name="8387"/>
    <tableColumn id="8401" xr3:uid="{D228059B-537F-4638-9699-CAA624BAD1D5}" name="8388"/>
    <tableColumn id="8402" xr3:uid="{AC412123-1EB8-44B5-9AA1-4A30D838DA7E}" name="8389"/>
    <tableColumn id="8403" xr3:uid="{0AE25975-AB0D-44E3-8118-1F2151B512DF}" name="8390"/>
    <tableColumn id="8404" xr3:uid="{F07DBB47-3E3C-4823-BEFC-8870DB1C8EA5}" name="8391"/>
    <tableColumn id="8405" xr3:uid="{E8637A74-FB63-467E-AED8-DAB124811200}" name="8392"/>
    <tableColumn id="8406" xr3:uid="{EFD87997-3124-444F-851D-DF6F5B315942}" name="8393"/>
    <tableColumn id="8407" xr3:uid="{5EB35AC7-5A77-42E3-8B07-6439F3D5728A}" name="8394"/>
    <tableColumn id="8408" xr3:uid="{45A2C182-F911-4BE7-BAFB-91B1A47E3C89}" name="8395"/>
    <tableColumn id="8409" xr3:uid="{25FCFFB2-BCD9-4522-AAF9-B87660FF6FC9}" name="8396"/>
    <tableColumn id="8410" xr3:uid="{9ACF0C32-68F2-484C-A846-8D4DF14E2A61}" name="8397"/>
    <tableColumn id="8411" xr3:uid="{D24A86BE-0F00-4A56-B973-301905195C95}" name="8398"/>
    <tableColumn id="8412" xr3:uid="{93BFF046-FB47-4B02-91CB-B20BB3B4D8B1}" name="8399"/>
    <tableColumn id="8413" xr3:uid="{97D72CF9-4FB8-42B2-A129-B44A8A2BD201}" name="8400"/>
    <tableColumn id="8414" xr3:uid="{59A2A0FB-FA30-4EBB-8460-1B5F1FC99901}" name="8401"/>
    <tableColumn id="8415" xr3:uid="{7A90A1E5-F550-4CF1-97AC-3E36A979D9B9}" name="8402"/>
    <tableColumn id="8416" xr3:uid="{BB75AD4A-D9C4-48EF-9FC6-513B1719856D}" name="8403"/>
    <tableColumn id="8417" xr3:uid="{C5949B5A-F7B4-4059-B122-F5ECB8545D37}" name="8404"/>
    <tableColumn id="8418" xr3:uid="{6863D18D-3564-47EF-8ADC-CD24E6BFF2F6}" name="8405"/>
    <tableColumn id="8419" xr3:uid="{E2B9B857-E5F5-46E5-A4AE-5BF57DEF9DCD}" name="8406"/>
    <tableColumn id="8420" xr3:uid="{F6DBFA44-221F-4AD3-ADE7-0D1D8367F1C2}" name="8407"/>
    <tableColumn id="8421" xr3:uid="{8F91CF15-ED72-42EA-A926-5B91B4282F8C}" name="8408"/>
    <tableColumn id="8422" xr3:uid="{1E9B5969-8611-4E41-B904-56BA5E545CF8}" name="8409"/>
    <tableColumn id="8423" xr3:uid="{CB3DCFFC-1E14-44E3-BC65-BD76FEA8B3A5}" name="8410"/>
    <tableColumn id="8424" xr3:uid="{9EBDF4C0-178D-49FC-9C2D-D491E931C54F}" name="8411"/>
    <tableColumn id="8425" xr3:uid="{B0DDA8FE-1BC1-47B9-BA54-21882F05067C}" name="8412"/>
    <tableColumn id="8426" xr3:uid="{4DFB3708-3A49-40C0-B023-977596E61B35}" name="8413"/>
    <tableColumn id="8427" xr3:uid="{5179AB51-7106-47FB-92DF-D1B7120B8772}" name="8414"/>
    <tableColumn id="8428" xr3:uid="{ED4C1071-1DD1-4C41-84F4-B5881705ABA0}" name="8415"/>
    <tableColumn id="8429" xr3:uid="{45707BD4-2C3B-46A6-B4EE-16126BDD43D6}" name="8416"/>
    <tableColumn id="8430" xr3:uid="{6A44AF91-A1B5-4822-93F2-A97AB588F326}" name="8417"/>
    <tableColumn id="8431" xr3:uid="{231D6AA6-265E-4CCD-A34E-7C5A6A934B19}" name="8418"/>
    <tableColumn id="8432" xr3:uid="{D141A0BB-DBD1-43C4-A861-FA12522ABB20}" name="8419"/>
    <tableColumn id="8433" xr3:uid="{75CD2466-328A-4800-95C0-9398587C2F56}" name="8420"/>
    <tableColumn id="8434" xr3:uid="{55FD715E-0A87-4614-9328-4E6581380BE1}" name="8421"/>
    <tableColumn id="8435" xr3:uid="{E80A586E-711D-4669-9457-D860C9CE6B24}" name="8422"/>
    <tableColumn id="8436" xr3:uid="{8E2E38AB-EA51-406B-A31C-F96215E9C9E3}" name="8423"/>
    <tableColumn id="8437" xr3:uid="{6DD18138-AA22-4817-A2AA-33B64B6A8705}" name="8424"/>
    <tableColumn id="8438" xr3:uid="{D73870BC-CA03-4577-95A5-8F55D40F5234}" name="8425"/>
    <tableColumn id="8439" xr3:uid="{4BFA0F02-1D7A-4B64-86BB-5C859674AE88}" name="8426"/>
    <tableColumn id="8440" xr3:uid="{F7F4A09C-7BF3-43E6-B620-59A6C63F0E5B}" name="8427"/>
    <tableColumn id="8441" xr3:uid="{53F0CA2E-6E14-4606-867A-9BF2494BC631}" name="8428"/>
    <tableColumn id="8442" xr3:uid="{4438CA6F-2E21-47D2-960C-29F1335C0259}" name="8429"/>
    <tableColumn id="8443" xr3:uid="{55488776-F060-4B11-9A06-F0CDD81E0DA4}" name="8430"/>
    <tableColumn id="8444" xr3:uid="{9090B0B6-077D-49C6-9036-95CABF5DD85E}" name="8431"/>
    <tableColumn id="8445" xr3:uid="{B444A61F-9EF7-4108-A320-E2746CABBCDE}" name="8432"/>
    <tableColumn id="8446" xr3:uid="{A7DDBD19-D09B-4D10-8AB0-4ACC4DFA6F09}" name="8433"/>
    <tableColumn id="8447" xr3:uid="{9D641986-F0CC-43B6-939F-D34F27782E9A}" name="8434"/>
    <tableColumn id="8448" xr3:uid="{DF5D5D2E-2033-44EF-B380-C9FE1D57596E}" name="8435"/>
    <tableColumn id="8449" xr3:uid="{21845F7A-3414-49E9-96AB-F12E186364DB}" name="8436"/>
    <tableColumn id="8450" xr3:uid="{9B6E448E-BF98-4AE8-BE9D-94D909459A7E}" name="8437"/>
    <tableColumn id="8451" xr3:uid="{FACC3600-4148-4E34-8626-25E94DD49B19}" name="8438"/>
    <tableColumn id="8452" xr3:uid="{A420529C-3AA6-438D-9326-1C7204A84C1D}" name="8439"/>
    <tableColumn id="8453" xr3:uid="{DEAE2414-6C4A-49D8-ABD3-F7498747395A}" name="8440"/>
    <tableColumn id="8454" xr3:uid="{DC5C1527-A2CE-4C5F-8DF6-3A4D46056DF9}" name="8441"/>
    <tableColumn id="8455" xr3:uid="{658936DD-1C61-4746-9DF8-7D8BF85DA9A3}" name="8442"/>
    <tableColumn id="8456" xr3:uid="{DE936A98-7C92-4895-BADE-11347A180E5F}" name="8443"/>
    <tableColumn id="8457" xr3:uid="{6084B789-065D-4E74-B95D-5C70CA3398F1}" name="8444"/>
    <tableColumn id="8458" xr3:uid="{68219D2D-14DA-4692-9428-29309F718B06}" name="8445"/>
    <tableColumn id="8459" xr3:uid="{82C258E4-C64A-493D-95D5-EDB8FCC6C720}" name="8446"/>
    <tableColumn id="8460" xr3:uid="{D06ED127-8204-4757-8E7A-7FE47F5F8223}" name="8447"/>
    <tableColumn id="8461" xr3:uid="{F3B8041F-30C3-4EDE-A3AE-156E950C142D}" name="8448"/>
    <tableColumn id="8462" xr3:uid="{92A8E737-2831-4B33-B61A-CD30545B2E26}" name="8449"/>
    <tableColumn id="8463" xr3:uid="{9D0EF7B9-C59E-4B06-B61A-E064E6169A97}" name="8450"/>
    <tableColumn id="8464" xr3:uid="{2ADC6709-1993-46EF-9F25-1133B56F296B}" name="8451"/>
    <tableColumn id="8465" xr3:uid="{9B77FA95-42E0-48DB-A851-A82DE67B3112}" name="8452"/>
    <tableColumn id="8466" xr3:uid="{7E99F809-C793-464B-B4DF-BEA5E08F1A44}" name="8453"/>
    <tableColumn id="8467" xr3:uid="{A80886DE-15C8-418E-9278-1C9F06D31E96}" name="8454"/>
    <tableColumn id="8468" xr3:uid="{269984D3-72A9-4DCE-8E04-85E774A963A0}" name="8455"/>
    <tableColumn id="8469" xr3:uid="{1BFD2CB3-A352-4C06-9F25-2B4C356C5E84}" name="8456"/>
    <tableColumn id="8470" xr3:uid="{9434199D-CE0D-4419-B225-99E4B21F0B2F}" name="8457"/>
    <tableColumn id="8471" xr3:uid="{AEB2D23E-DF99-41ED-B04F-8E1E4FA858EA}" name="8458"/>
    <tableColumn id="8472" xr3:uid="{481457B1-4342-4B47-A649-B89C664EA286}" name="8459"/>
    <tableColumn id="8473" xr3:uid="{E79F5B20-061C-44D6-B323-AEC773E366C3}" name="8460"/>
    <tableColumn id="8474" xr3:uid="{8E2BF335-A8B2-4291-A6FC-FCC3C8579F6C}" name="8461"/>
    <tableColumn id="8475" xr3:uid="{6B57509A-4201-4F12-B0AF-B1C3A6E2856E}" name="8462"/>
    <tableColumn id="8476" xr3:uid="{CF79FEEF-FA76-42A6-93EE-0B4813644EAA}" name="8463"/>
    <tableColumn id="8477" xr3:uid="{70E95454-15FC-4FF6-8955-DC77EAA1DFF8}" name="8464"/>
    <tableColumn id="8478" xr3:uid="{B848138C-FA68-41D4-BC6C-2FFEA422813E}" name="8465"/>
    <tableColumn id="8479" xr3:uid="{D2E374B6-24F3-4917-9208-D1C4303944DC}" name="8466"/>
    <tableColumn id="8480" xr3:uid="{E53BDA43-852D-4015-B33E-08767A31539D}" name="8467"/>
    <tableColumn id="8481" xr3:uid="{C8DA6451-86C5-4F02-9A8B-93C78986CB54}" name="8468"/>
    <tableColumn id="8482" xr3:uid="{81958571-9E02-4E55-8734-4A0F7FF1DC33}" name="8469"/>
    <tableColumn id="8483" xr3:uid="{FA0745F9-4025-4322-B9D1-D62C793CA455}" name="8470"/>
    <tableColumn id="8484" xr3:uid="{1FB21803-4DF5-4BD7-B1BA-E2F2FE45EB31}" name="8471"/>
    <tableColumn id="8485" xr3:uid="{84F2806B-CAAA-4E82-98C4-6A7339C079A6}" name="8472"/>
    <tableColumn id="8486" xr3:uid="{912EC3B7-BFA2-4884-8D9C-BFBFE8704617}" name="8473"/>
    <tableColumn id="8487" xr3:uid="{EDFD5995-9509-4B9A-90EC-3A6A16F14688}" name="8474"/>
    <tableColumn id="8488" xr3:uid="{5455B349-7ED3-42DF-B834-175654D158BA}" name="8475"/>
    <tableColumn id="8489" xr3:uid="{527D4774-3FCE-4879-A827-3AF4B4AD0C6E}" name="8476"/>
    <tableColumn id="8490" xr3:uid="{60C63ECA-5460-41CB-915D-4D27CA9F1CCA}" name="8477"/>
    <tableColumn id="8491" xr3:uid="{16DCF1F3-979E-4179-AB2E-1D7074E1F9C9}" name="8478"/>
    <tableColumn id="8492" xr3:uid="{6CF13FB7-8AA9-4059-918D-D4C7C098FA7B}" name="8479"/>
    <tableColumn id="8493" xr3:uid="{6F5EF15C-3886-4F58-A067-B4B1E26E9BB7}" name="8480"/>
    <tableColumn id="8494" xr3:uid="{58047026-5BF6-4418-B252-B27863438F03}" name="8481"/>
    <tableColumn id="8495" xr3:uid="{BDD94259-5CF3-4431-835B-40119C139BE1}" name="8482"/>
    <tableColumn id="8496" xr3:uid="{03F1F6C1-1124-4985-8B39-9EE805552907}" name="8483"/>
    <tableColumn id="8497" xr3:uid="{B463FE5D-B4E6-4782-A1B8-D4715174D576}" name="8484"/>
    <tableColumn id="8498" xr3:uid="{6BB44731-4BEB-4C04-8CAF-14D480171A70}" name="8485"/>
    <tableColumn id="8499" xr3:uid="{F634837C-BF15-402C-A332-F88F6E295B9C}" name="8486"/>
    <tableColumn id="8500" xr3:uid="{39321B0A-B023-49D8-BBBF-B71FA53A872B}" name="8487"/>
    <tableColumn id="8501" xr3:uid="{8615C853-DEAB-467D-B970-4C5D5511366B}" name="8488"/>
    <tableColumn id="8502" xr3:uid="{7B1065F2-399A-4306-A3D8-AA6C04A57441}" name="8489"/>
    <tableColumn id="8503" xr3:uid="{6DE1EFB1-09CA-43B5-A846-5CE7C7BA3F49}" name="8490"/>
    <tableColumn id="8504" xr3:uid="{E460B792-0256-4E04-9B9A-6EF22AD2AA39}" name="8491"/>
    <tableColumn id="8505" xr3:uid="{DA117AA7-B77C-4F3D-8BB2-42DA06A87DE6}" name="8492"/>
    <tableColumn id="8506" xr3:uid="{79C769FC-FE16-47BB-AA9C-1C741947829E}" name="8493"/>
    <tableColumn id="8507" xr3:uid="{9D83CA97-EC98-47A0-B3A8-07F46A1F5007}" name="8494"/>
    <tableColumn id="8508" xr3:uid="{5C2CBF31-34D0-4E72-8BBB-8CC92A1EF2AD}" name="8495"/>
    <tableColumn id="8509" xr3:uid="{74DDE716-20EC-49E6-BCD9-585F9AAAA489}" name="8496"/>
    <tableColumn id="8510" xr3:uid="{2D5456FF-4F31-400D-9500-20A3AE8CB7A1}" name="8497"/>
    <tableColumn id="8511" xr3:uid="{C7A88562-641F-47E3-8F79-E5AC64AB2BA6}" name="8498"/>
    <tableColumn id="8512" xr3:uid="{E1820E79-E48E-4249-8CE9-3B25392C4FCD}" name="8499"/>
    <tableColumn id="8513" xr3:uid="{8437ED34-6C43-4B89-90B4-E338921ED6C8}" name="8500"/>
    <tableColumn id="8514" xr3:uid="{720475A0-218F-4359-9A7C-640A30304342}" name="8501"/>
    <tableColumn id="8515" xr3:uid="{3B076850-8B47-478E-A136-68016A772D5A}" name="8502"/>
    <tableColumn id="8516" xr3:uid="{E2747F50-AB82-4D6D-A86C-6C98A5BAC7D5}" name="8503"/>
    <tableColumn id="8517" xr3:uid="{233BC7C9-A4FD-41FA-B16C-0092A69066E0}" name="8504"/>
    <tableColumn id="8518" xr3:uid="{11723403-04F7-4812-92E5-AC9D4191E2AC}" name="8505"/>
    <tableColumn id="8519" xr3:uid="{FCF712B9-FE04-49FC-AAA5-C021FC2DC2E8}" name="8506"/>
    <tableColumn id="8520" xr3:uid="{149F9438-1C90-4882-8E7F-E231BD885689}" name="8507"/>
    <tableColumn id="8521" xr3:uid="{D2286E42-E14F-414A-BC1D-595893F66733}" name="8508"/>
    <tableColumn id="8522" xr3:uid="{C7C21B55-1F18-42AE-9AA0-DC96D2D51498}" name="8509"/>
    <tableColumn id="8523" xr3:uid="{83B870E1-6CC7-4D8E-8702-74A7C9023709}" name="8510"/>
    <tableColumn id="8524" xr3:uid="{D08ADE5C-4BE4-4471-92E6-25CEECEF84DE}" name="8511"/>
    <tableColumn id="8525" xr3:uid="{90CDAE32-A3B2-4077-A9D8-8F0E5A817500}" name="8512"/>
    <tableColumn id="8526" xr3:uid="{276CCEB3-ABA8-4F72-9B0F-0AA81BA96C1C}" name="8513"/>
    <tableColumn id="8527" xr3:uid="{C5B648AD-A14D-4103-8F93-C1BA567F2DAF}" name="8514"/>
    <tableColumn id="8528" xr3:uid="{34680CD8-98BE-4B66-B796-ABA5BD40F356}" name="8515"/>
    <tableColumn id="8529" xr3:uid="{6E9D0E5C-761A-497D-93B8-7DE2C446ACFF}" name="8516"/>
    <tableColumn id="8530" xr3:uid="{3294B4D3-8142-41C5-95CB-C7BE310A2018}" name="8517"/>
    <tableColumn id="8531" xr3:uid="{32AD60B7-106B-4896-BEED-3AD232412032}" name="8518"/>
    <tableColumn id="8532" xr3:uid="{B36F99A7-9977-4D03-9ABF-1DB7D5421410}" name="8519"/>
    <tableColumn id="8533" xr3:uid="{C3AA4C1C-C715-4D19-8CE3-6071E8990243}" name="8520"/>
    <tableColumn id="8534" xr3:uid="{B957F23F-5F51-4F3D-907E-3C273C4F6801}" name="8521"/>
    <tableColumn id="8535" xr3:uid="{4F903DD1-8076-48B1-82EB-5380BF94F07A}" name="8522"/>
    <tableColumn id="8536" xr3:uid="{829E39EA-F330-41C0-AF7C-4C6217F98903}" name="8523"/>
    <tableColumn id="8537" xr3:uid="{FADBEF6F-6D25-4BE9-AF14-55B732E8951D}" name="8524"/>
    <tableColumn id="8538" xr3:uid="{AE320C27-985A-463F-A53E-B6028BFD0765}" name="8525"/>
    <tableColumn id="8539" xr3:uid="{E6EA2A31-7B71-4E1C-9CEA-59C43E9CA5B9}" name="8526"/>
    <tableColumn id="8540" xr3:uid="{2B190579-BA89-41AB-A8EC-C9ABF691FC76}" name="8527"/>
    <tableColumn id="8541" xr3:uid="{595A2DC4-4FB8-49F1-93C4-CC944FDB5D1B}" name="8528"/>
    <tableColumn id="8542" xr3:uid="{2FC4F6B7-50AF-4706-9AAD-193548497403}" name="8529"/>
    <tableColumn id="8543" xr3:uid="{BEAAA0B8-097E-402A-8254-9B9A54D80039}" name="8530"/>
    <tableColumn id="8544" xr3:uid="{15E31D1C-4F3F-45BF-82D9-0C0E72805659}" name="8531"/>
    <tableColumn id="8545" xr3:uid="{01CD1A36-856E-43F8-B047-2B97EBF15E15}" name="8532"/>
    <tableColumn id="8546" xr3:uid="{28392277-865A-4137-A71D-6016505F7404}" name="8533"/>
    <tableColumn id="8547" xr3:uid="{22C63514-85DA-498C-B14A-79D233AE8D00}" name="8534"/>
    <tableColumn id="8548" xr3:uid="{A6A498AD-CDB8-4441-AF01-55675CFB5A60}" name="8535"/>
    <tableColumn id="8549" xr3:uid="{C30E8286-E073-45B5-B3DA-8343DFEE2EC1}" name="8536"/>
    <tableColumn id="8550" xr3:uid="{F4DD6099-C4EA-4BCB-9A56-111F274999ED}" name="8537"/>
    <tableColumn id="8551" xr3:uid="{0647F2EE-2DD5-4F87-877F-DAF71B6BB17C}" name="8538"/>
    <tableColumn id="8552" xr3:uid="{E38FD111-3848-47B3-A0ED-02030F241FD0}" name="8539"/>
    <tableColumn id="8553" xr3:uid="{1CC4745D-3B13-438F-889B-D0980BCBBD34}" name="8540"/>
    <tableColumn id="8554" xr3:uid="{A9BA1F61-129B-45E8-A968-4E5DF5CBE58A}" name="8541"/>
    <tableColumn id="8555" xr3:uid="{4CA15261-E116-464D-B158-BFDDB16CCB24}" name="8542"/>
    <tableColumn id="8556" xr3:uid="{2B3A5AD8-ABFA-4A76-8F1A-0D7EEA0899E5}" name="8543"/>
    <tableColumn id="8557" xr3:uid="{0C889C56-A266-44CB-A3C8-7452E74EB52B}" name="8544"/>
    <tableColumn id="8558" xr3:uid="{A81E90D2-09D0-4706-AD02-7EDE3281172F}" name="8545"/>
    <tableColumn id="8559" xr3:uid="{3F3CF078-3866-4F56-BCBE-FD29C145DFC9}" name="8546"/>
    <tableColumn id="8560" xr3:uid="{D20CFBB1-A7E8-4C34-B854-A4259AB4C8DB}" name="8547"/>
    <tableColumn id="8561" xr3:uid="{66B9855A-74AF-45C5-B85A-2F44DDC5A507}" name="8548"/>
    <tableColumn id="8562" xr3:uid="{8426B03E-6EEA-48AF-9571-C7EC6C6ED1DE}" name="8549"/>
    <tableColumn id="8563" xr3:uid="{0DA2E851-E1E2-432C-8836-5D1D2819D80E}" name="8550"/>
    <tableColumn id="8564" xr3:uid="{D2ACFAE1-CCD2-4B81-ABAD-5CF73B487DF0}" name="8551"/>
    <tableColumn id="8565" xr3:uid="{A8243627-D97F-40CE-81C5-7F39F547393E}" name="8552"/>
    <tableColumn id="8566" xr3:uid="{1E1A17E3-91B2-4C1E-9DAA-B8E4CA767CA1}" name="8553"/>
    <tableColumn id="8567" xr3:uid="{17DBD984-5ABC-4183-AD8E-F1FFF746D0B2}" name="8554"/>
    <tableColumn id="8568" xr3:uid="{A4BC2926-5E6A-4732-AFA0-BF98CA7519EE}" name="8555"/>
    <tableColumn id="8569" xr3:uid="{9035EA92-596D-4171-8527-16EAF1E135C3}" name="8556"/>
    <tableColumn id="8570" xr3:uid="{21BCD8C2-35FA-409D-B834-703A4D66EBC7}" name="8557"/>
    <tableColumn id="8571" xr3:uid="{5B02DFF5-3D73-4B51-AC79-98B4F523B8AF}" name="8558"/>
    <tableColumn id="8572" xr3:uid="{370953EB-F848-423B-9DC8-D1839FB16066}" name="8559"/>
    <tableColumn id="8573" xr3:uid="{6E6E90A2-16B5-4DB6-9368-7657FA9E4E56}" name="8560"/>
    <tableColumn id="8574" xr3:uid="{B5227C17-B936-4AEA-8088-42BC6E8B4492}" name="8561"/>
    <tableColumn id="8575" xr3:uid="{1F51918F-AC14-4D30-B546-D8088E85BA20}" name="8562"/>
    <tableColumn id="8576" xr3:uid="{7E832F10-AB49-4125-8F4C-AEB9C050CEE0}" name="8563"/>
    <tableColumn id="8577" xr3:uid="{2838F2BD-29B1-48EF-8C9A-2946B645D07E}" name="8564"/>
    <tableColumn id="8578" xr3:uid="{25DD91E8-71F9-4AA6-BEB3-71A6BF4907C0}" name="8565"/>
    <tableColumn id="8579" xr3:uid="{C9A3E7B7-F034-4203-ADA2-941AE1CBCF70}" name="8566"/>
    <tableColumn id="8580" xr3:uid="{8087104C-2221-4D06-83B8-B37540C25FB4}" name="8567"/>
    <tableColumn id="8581" xr3:uid="{24B739EC-3FDA-445D-A9D8-76D18F3066CE}" name="8568"/>
    <tableColumn id="8582" xr3:uid="{5B6AB68A-0A4D-4FC1-9B4D-D3E294FB1C64}" name="8569"/>
    <tableColumn id="8583" xr3:uid="{0638C77E-A0EF-4F03-B423-5F325C3395F0}" name="8570"/>
    <tableColumn id="8584" xr3:uid="{12C898BE-3ACA-436A-AD42-5880D4CAABD0}" name="8571"/>
    <tableColumn id="8585" xr3:uid="{47CF4B3C-C566-4BAB-BAE7-269D60687869}" name="8572"/>
    <tableColumn id="8586" xr3:uid="{426C131E-D1A3-4A82-A3BB-26DF0FB25937}" name="8573"/>
    <tableColumn id="8587" xr3:uid="{F322F505-03F4-4E94-AD21-E4C91D5917E0}" name="8574"/>
    <tableColumn id="8588" xr3:uid="{16F5D781-0661-473D-A679-FF52EEBE8C25}" name="8575"/>
    <tableColumn id="8589" xr3:uid="{DDC7A50D-4BA0-413A-8E91-F9EFEBE58F37}" name="8576"/>
    <tableColumn id="8590" xr3:uid="{78E491A0-A6DB-4BCF-8AEA-380161D2A4FB}" name="8577"/>
    <tableColumn id="8591" xr3:uid="{26D33320-6E73-46B8-92A6-15536B6315D0}" name="8578"/>
    <tableColumn id="8592" xr3:uid="{01D09850-93B2-4C07-90C7-504821E9C1DB}" name="8579"/>
    <tableColumn id="8593" xr3:uid="{CD9AD7F3-5E72-43BC-8248-9AFFBF5B8717}" name="8580"/>
    <tableColumn id="8594" xr3:uid="{C2F089F0-9C13-46A4-9144-A6738EC120C4}" name="8581"/>
    <tableColumn id="8595" xr3:uid="{17D51E31-7768-411A-A59A-C39465204922}" name="8582"/>
    <tableColumn id="8596" xr3:uid="{C5F59792-54B4-4B6E-8C47-819BD72B86BF}" name="8583"/>
    <tableColumn id="8597" xr3:uid="{910F3A6E-F498-4652-BDF4-F8216A1C13D9}" name="8584"/>
    <tableColumn id="8598" xr3:uid="{FF2E8DF6-CF75-4926-BED3-928B9FA0DF4A}" name="8585"/>
    <tableColumn id="8599" xr3:uid="{B097E259-DD8E-4F20-A53C-DC9CC19B52E3}" name="8586"/>
    <tableColumn id="8600" xr3:uid="{061DF40C-8E2D-4B83-824B-D1D2A4968B57}" name="8587"/>
    <tableColumn id="8601" xr3:uid="{B0E8115A-40C9-4CF5-99C0-5F27E9FBE7DA}" name="8588"/>
    <tableColumn id="8602" xr3:uid="{42FF3D71-982C-40F4-A97D-A1FB675297B2}" name="8589"/>
    <tableColumn id="8603" xr3:uid="{2D2D4BBA-CE7A-4B8E-AD4E-06383DEBD5B5}" name="8590"/>
    <tableColumn id="8604" xr3:uid="{8158BCA1-F258-4C16-A9CE-68EB9E5411EE}" name="8591"/>
    <tableColumn id="8605" xr3:uid="{2188CE59-D24E-4A74-B8F7-2B9675DD7B99}" name="8592"/>
    <tableColumn id="8606" xr3:uid="{25C2DF12-B97E-4DAF-96E2-C1FDEAA7719B}" name="8593"/>
    <tableColumn id="8607" xr3:uid="{6B4A19AA-CFCF-4F21-BDB3-13D537A925D9}" name="8594"/>
    <tableColumn id="8608" xr3:uid="{DA8E5894-93FC-4875-BE88-CFDE184F5E59}" name="8595"/>
    <tableColumn id="8609" xr3:uid="{E63453DC-31E5-4DCE-86CD-B35FC31E7A22}" name="8596"/>
    <tableColumn id="8610" xr3:uid="{C5974287-351E-4376-9555-47AC17A0F850}" name="8597"/>
    <tableColumn id="8611" xr3:uid="{56D5B69C-8A00-4E9A-B47B-DB833A6718F2}" name="8598"/>
    <tableColumn id="8612" xr3:uid="{6404FC84-2022-4494-94B2-FD9903980A5A}" name="8599"/>
    <tableColumn id="8613" xr3:uid="{77D56A62-9514-4A9C-9751-B1F2DC7A429C}" name="8600"/>
    <tableColumn id="8614" xr3:uid="{15F11C66-A393-4EAB-9BC4-85439DB63A6C}" name="8601"/>
    <tableColumn id="8615" xr3:uid="{7F24E7FF-10EE-4AAF-A751-4724DF4846EB}" name="8602"/>
    <tableColumn id="8616" xr3:uid="{B85B667E-286A-42C8-83B3-2919173EB0CD}" name="8603"/>
    <tableColumn id="8617" xr3:uid="{A48EAF0C-E7BF-40D9-9EB7-AB00420AB06A}" name="8604"/>
    <tableColumn id="8618" xr3:uid="{115362C4-9EF1-484A-A2B8-9491DDFBB4E9}" name="8605"/>
    <tableColumn id="8619" xr3:uid="{C7698FD8-FCE3-47F7-9498-424F3D23E7DD}" name="8606"/>
    <tableColumn id="8620" xr3:uid="{078668C0-A6E3-4308-AF43-B716149BC194}" name="8607"/>
    <tableColumn id="8621" xr3:uid="{F0A41A2D-2FEE-4184-BB5F-B4287490A44E}" name="8608"/>
    <tableColumn id="8622" xr3:uid="{E4DAB5AE-FF5F-4B32-B46E-68F28A00C03E}" name="8609"/>
    <tableColumn id="8623" xr3:uid="{2696A29D-D740-4829-900C-463ABCD2268E}" name="8610"/>
    <tableColumn id="8624" xr3:uid="{9B301B86-8E35-4935-BA8D-3EAC47FA54C2}" name="8611"/>
    <tableColumn id="8625" xr3:uid="{02A1ACEE-7771-4147-A041-ED42D54F222D}" name="8612"/>
    <tableColumn id="8626" xr3:uid="{53114608-D9F0-4061-9712-2F63D67ED91A}" name="8613"/>
    <tableColumn id="8627" xr3:uid="{D8D28FA7-31EA-4FF5-93E8-7163C40CA880}" name="8614"/>
    <tableColumn id="8628" xr3:uid="{1CB7E38D-E16A-4EFC-8D8E-55B948B30EC5}" name="8615"/>
    <tableColumn id="8629" xr3:uid="{3C1A6D23-B67A-4A07-9547-53921358233F}" name="8616"/>
    <tableColumn id="8630" xr3:uid="{4672BD00-5862-4E6B-B21F-856AE7D275CD}" name="8617"/>
    <tableColumn id="8631" xr3:uid="{D0915CAE-E4FD-4C99-9F37-79313AC9D739}" name="8618"/>
    <tableColumn id="8632" xr3:uid="{E03CD8C3-E66D-43E9-8A69-ECB953A7894B}" name="8619"/>
    <tableColumn id="8633" xr3:uid="{D91E0130-C2B6-4424-8F0F-D68CD4F00749}" name="8620"/>
    <tableColumn id="8634" xr3:uid="{6220725C-FF18-48AA-AAB2-28F91DF68C25}" name="8621"/>
    <tableColumn id="8635" xr3:uid="{0DE0742D-4948-4B9F-AE9B-8DD08AA7F214}" name="8622"/>
    <tableColumn id="8636" xr3:uid="{14E0092F-CAC5-41BC-87D6-CA9AE37D5871}" name="8623"/>
    <tableColumn id="8637" xr3:uid="{5818FB98-16A9-4BA7-8F27-F4A59FA6C241}" name="8624"/>
    <tableColumn id="8638" xr3:uid="{2B62F4D6-7B91-4B54-8B12-5670BDF375DA}" name="8625"/>
    <tableColumn id="8639" xr3:uid="{A559EBF0-A9C8-4706-904E-B50ED45A1E3E}" name="8626"/>
    <tableColumn id="8640" xr3:uid="{62667A3C-00A4-4C55-8EC7-EB7D8307CFE1}" name="8627"/>
    <tableColumn id="8641" xr3:uid="{90DB0580-FF77-4783-91A2-410DC6934BC2}" name="8628"/>
    <tableColumn id="8642" xr3:uid="{98211082-B1B1-429B-AE9E-09642DBE9229}" name="8629"/>
    <tableColumn id="8643" xr3:uid="{884A8843-7900-48BC-A03C-124962A088DC}" name="8630"/>
    <tableColumn id="8644" xr3:uid="{AFE3450A-2B3F-45C8-849D-4A2215F69BEA}" name="8631"/>
    <tableColumn id="8645" xr3:uid="{A794E8C3-DCE5-4FD9-B66A-C2DDFAF7E51C}" name="8632"/>
    <tableColumn id="8646" xr3:uid="{B0F19313-345F-4043-AF50-20EDBFA257B9}" name="8633"/>
    <tableColumn id="8647" xr3:uid="{0D66EF94-7E42-4B73-AFAD-BC867C78987D}" name="8634"/>
    <tableColumn id="8648" xr3:uid="{48E976FA-E634-4BE2-A350-E99FDF9DC49B}" name="8635"/>
    <tableColumn id="8649" xr3:uid="{9B573AFE-514D-4BFB-BF14-09C268058E8C}" name="8636"/>
    <tableColumn id="8650" xr3:uid="{B713FE9A-C2FF-4377-84B3-97BCA13683A8}" name="8637"/>
    <tableColumn id="8651" xr3:uid="{C26FCEE2-DE55-477D-9C68-93FAA7393A6E}" name="8638"/>
    <tableColumn id="8652" xr3:uid="{4328CA49-A639-4456-B173-E80F7EF15933}" name="8639"/>
    <tableColumn id="8653" xr3:uid="{0FE54E0A-DC8C-4DC0-B625-F7AFA7A3E854}" name="8640"/>
    <tableColumn id="8654" xr3:uid="{BCD751E9-637C-4AA4-B85B-20EEF89B5B58}" name="8641"/>
    <tableColumn id="8655" xr3:uid="{F34C29FB-AB2A-4634-8F27-0B09453F260C}" name="8642"/>
    <tableColumn id="8656" xr3:uid="{0A2B954C-6CB0-413F-A9BA-9D03E459EB90}" name="8643"/>
    <tableColumn id="8657" xr3:uid="{2689EDA4-48AF-490D-957F-875B545D340A}" name="8644"/>
    <tableColumn id="8658" xr3:uid="{3DB5F0EE-F304-4963-A3B5-F9F7E2DCA2BA}" name="8645"/>
    <tableColumn id="8659" xr3:uid="{86AF4C49-7EE4-4E77-8BF9-F7E8655DAA07}" name="8646"/>
    <tableColumn id="8660" xr3:uid="{55F872C6-CF05-4A22-9A00-13BEF36D760A}" name="8647"/>
    <tableColumn id="8661" xr3:uid="{92AD44DB-6CBB-4D17-B42E-CAD5FAA2C2F3}" name="8648"/>
    <tableColumn id="8662" xr3:uid="{0B5EB643-A336-4FCD-80FC-DFD36B40CEE9}" name="8649"/>
    <tableColumn id="8663" xr3:uid="{BADAAEB9-C8B6-4B04-9D39-8EA85D405F64}" name="8650"/>
    <tableColumn id="8664" xr3:uid="{B3121A30-9A45-4224-97F3-1662EEC49664}" name="8651"/>
    <tableColumn id="8665" xr3:uid="{61A4EC29-CB21-4C27-892E-00CC486E8F20}" name="8652"/>
    <tableColumn id="8666" xr3:uid="{A9F350AC-75B7-4FFC-A162-4E9A7FAAE185}" name="8653"/>
    <tableColumn id="8667" xr3:uid="{B5551F94-3F61-4DC0-88BC-301A1F98D3E7}" name="8654"/>
    <tableColumn id="8668" xr3:uid="{AE0D99C3-7B90-43F6-B8DE-1C15634C591D}" name="8655"/>
    <tableColumn id="8669" xr3:uid="{120205F1-2654-4602-8A17-A903341E27C3}" name="8656"/>
    <tableColumn id="8670" xr3:uid="{22841A62-8EEF-4ECA-9662-93635115EFCC}" name="8657"/>
    <tableColumn id="8671" xr3:uid="{056A3167-9DF6-4781-AF47-FB1A7CF26F5F}" name="8658"/>
    <tableColumn id="8672" xr3:uid="{282F11B8-DCFF-477C-95EB-A36C9F18EB47}" name="8659"/>
    <tableColumn id="8673" xr3:uid="{DD27206C-DF4C-4C92-9A9A-E0137E7C1377}" name="8660"/>
    <tableColumn id="8674" xr3:uid="{A570E448-531C-479F-B65C-5E81E73DE9A1}" name="8661"/>
    <tableColumn id="8675" xr3:uid="{6A91B8BF-64BF-4F94-8834-C0CEB0585469}" name="8662"/>
    <tableColumn id="8676" xr3:uid="{6D9DDDBD-188D-47C0-9B5C-84EBE0BF44F0}" name="8663"/>
    <tableColumn id="8677" xr3:uid="{47CE11FC-4CDB-4C83-9542-BABC059D68D6}" name="8664"/>
    <tableColumn id="8678" xr3:uid="{FA721864-05C8-4275-9FA4-573F9C6BDBE6}" name="8665"/>
    <tableColumn id="8679" xr3:uid="{5A145E31-8FF4-4477-9E8B-78AC53526120}" name="8666"/>
    <tableColumn id="8680" xr3:uid="{BD026AFF-11DD-4769-83B1-6776F5924DDB}" name="8667"/>
    <tableColumn id="8681" xr3:uid="{E8F9CEEA-2BDE-4584-847F-ACDFF9BBD284}" name="8668"/>
    <tableColumn id="8682" xr3:uid="{D71FF51F-9A70-4337-9481-2854F0B48178}" name="8669"/>
    <tableColumn id="8683" xr3:uid="{09447F87-C32E-4DF2-9032-49161CDA2C8E}" name="8670"/>
    <tableColumn id="8684" xr3:uid="{078CFB05-8C6A-43BC-8BE3-C805BC44FC25}" name="8671"/>
    <tableColumn id="8685" xr3:uid="{A79F4980-962E-41CA-85AA-15546BDB3F7E}" name="8672"/>
    <tableColumn id="8686" xr3:uid="{B6784B67-0C66-4386-A2CA-424937A6DF74}" name="8673"/>
    <tableColumn id="8687" xr3:uid="{26BD0864-AD68-4CA0-9F79-6F9CC4040939}" name="8674"/>
    <tableColumn id="8688" xr3:uid="{5852B919-9AEA-4BEE-9124-B9DC7E839913}" name="8675"/>
    <tableColumn id="8689" xr3:uid="{1931DA06-E9D2-41D3-A7C9-332C0421420C}" name="8676"/>
    <tableColumn id="8690" xr3:uid="{A01E816D-C52F-4C8B-AF08-8C6E5DD2CB34}" name="8677"/>
    <tableColumn id="8691" xr3:uid="{77B247C1-780C-4350-87F4-EA4BC875AB83}" name="8678"/>
    <tableColumn id="8692" xr3:uid="{D203F203-BB02-4675-8846-9C49A7CF726D}" name="8679"/>
    <tableColumn id="8693" xr3:uid="{B827AC8B-5348-445B-929C-2049B6951E9D}" name="8680"/>
    <tableColumn id="8694" xr3:uid="{417B4C96-A8C0-4BE1-A6E1-96895C343D03}" name="8681"/>
    <tableColumn id="8695" xr3:uid="{FFEF977C-2CCE-48EE-B10B-758E639B7D29}" name="8682"/>
    <tableColumn id="8696" xr3:uid="{DA0A42ED-3B90-4927-8616-52F064356B32}" name="8683"/>
    <tableColumn id="8697" xr3:uid="{0E13FFDF-3B66-478D-BBCC-3D32BCC1650E}" name="8684"/>
    <tableColumn id="8698" xr3:uid="{0DD7FDE3-FF57-44E1-A68B-4D33A3A79EEA}" name="8685"/>
    <tableColumn id="8699" xr3:uid="{74FE0303-95B8-4B45-A406-E8F82D0A5088}" name="8686"/>
    <tableColumn id="8700" xr3:uid="{02A99CD0-E7DC-4413-9BDC-9CE9DDE236FD}" name="8687"/>
    <tableColumn id="8701" xr3:uid="{CFA2C7BE-BF48-4292-90C3-2A13F481769C}" name="8688"/>
    <tableColumn id="8702" xr3:uid="{BD6751AF-414F-4E1E-A48D-57FE3F6CEA4B}" name="8689"/>
    <tableColumn id="8703" xr3:uid="{1C4328A0-4B25-4844-B9EA-86FE9F3CF91A}" name="8690"/>
    <tableColumn id="8704" xr3:uid="{D43FAD1C-762F-4061-AF5D-A5D3682B7235}" name="8691"/>
    <tableColumn id="8705" xr3:uid="{682D91B6-9B79-41D9-87DB-1EE17D95174A}" name="8692"/>
    <tableColumn id="8706" xr3:uid="{140F96FA-DD13-41B6-84C7-A448D57B54F4}" name="8693"/>
    <tableColumn id="8707" xr3:uid="{89B45BD4-5704-4F92-B1AA-AA0EBA15678F}" name="8694"/>
    <tableColumn id="8708" xr3:uid="{394E8C38-5FEC-48C6-8929-25BB2D387C6B}" name="8695"/>
    <tableColumn id="8709" xr3:uid="{7F9972EE-4A8C-420F-9805-C6F78F79770A}" name="8696"/>
    <tableColumn id="8710" xr3:uid="{AF86E35D-D302-4CAB-A3E3-D6E8C3EDE6E5}" name="8697"/>
    <tableColumn id="8711" xr3:uid="{DBAF60B4-B4BB-4743-BB7F-553914056018}" name="8698"/>
    <tableColumn id="8712" xr3:uid="{1F9FFEE0-0C3D-44D5-82E5-DFBC18A45A3A}" name="8699"/>
    <tableColumn id="8713" xr3:uid="{6F6316D9-B781-4F96-84EB-B7DD8BE140DD}" name="8700"/>
    <tableColumn id="8714" xr3:uid="{DB508EA5-9C4F-4256-864A-A55FB5FFB09A}" name="8701"/>
    <tableColumn id="8715" xr3:uid="{9F3E99EE-4A66-4EB0-8DEE-BF80BD731948}" name="8702"/>
    <tableColumn id="8716" xr3:uid="{AB205E59-B086-49AF-BC17-3EFDB1078ED1}" name="8703"/>
    <tableColumn id="8717" xr3:uid="{F60E7B44-63D0-4FB5-820A-9B46A019BA0E}" name="8704"/>
    <tableColumn id="8718" xr3:uid="{D6A07AC5-A602-431D-ADBB-3223157E66B9}" name="8705"/>
    <tableColumn id="8719" xr3:uid="{34C80381-DB51-4C1C-88B6-8772479DE9E1}" name="8706"/>
    <tableColumn id="8720" xr3:uid="{1B280E36-6057-40C1-96C6-1CEC315949AD}" name="8707"/>
    <tableColumn id="8721" xr3:uid="{56AD9FEF-D93F-4C62-96AD-674462CDFA70}" name="8708"/>
    <tableColumn id="8722" xr3:uid="{DD23AC1A-9CC9-4693-BC74-61DC5BF27CC4}" name="8709"/>
    <tableColumn id="8723" xr3:uid="{482C7E46-9B35-4537-8929-74C42BCA4842}" name="8710"/>
    <tableColumn id="8724" xr3:uid="{45E52D07-595D-49CC-A9B9-3E3D4724782F}" name="8711"/>
    <tableColumn id="8725" xr3:uid="{94B4183F-EECB-4105-9FBA-0581D204087B}" name="8712"/>
    <tableColumn id="8726" xr3:uid="{C0BCE88C-BBAF-4012-93B8-BD304EA0C6ED}" name="8713"/>
    <tableColumn id="8727" xr3:uid="{A1F30349-B760-4EEF-940C-F38A071E5D50}" name="8714"/>
    <tableColumn id="8728" xr3:uid="{B7D6912F-3A2F-48B2-B1AF-EA7265709287}" name="8715"/>
    <tableColumn id="8729" xr3:uid="{B49AD28B-59AC-4390-A980-FF77A88A1D87}" name="8716"/>
    <tableColumn id="8730" xr3:uid="{2CB46DBE-EB92-4904-8EAC-4F855B6D7769}" name="8717"/>
    <tableColumn id="8731" xr3:uid="{F91AFF40-2262-4CF3-97D7-41CF3DCA4B2B}" name="8718"/>
    <tableColumn id="8732" xr3:uid="{1C999BC3-A917-4A58-84B0-D57959277D6F}" name="8719"/>
    <tableColumn id="8733" xr3:uid="{3EBE1261-2451-460A-8F53-D499D184A4AC}" name="8720"/>
    <tableColumn id="8734" xr3:uid="{B4DD494D-0E47-4E8F-8304-7D99955DD55C}" name="8721"/>
    <tableColumn id="8735" xr3:uid="{327EA659-34EB-41D7-99FB-40B5FAE814F9}" name="8722"/>
    <tableColumn id="8736" xr3:uid="{8806DE43-0828-4B18-AC25-91D78219299F}" name="8723"/>
    <tableColumn id="8737" xr3:uid="{B4956E49-53CA-4D12-A4B1-70B0A1A9CCC5}" name="8724"/>
    <tableColumn id="8738" xr3:uid="{CA8E312A-4415-408A-B2F5-577B5DCF8E91}" name="8725"/>
    <tableColumn id="8739" xr3:uid="{DA3361AC-8E7E-489A-9DED-D5E55B0582AC}" name="8726"/>
    <tableColumn id="8740" xr3:uid="{A3CA2228-3095-49ED-BFC1-60BF7F8D9909}" name="8727"/>
    <tableColumn id="8741" xr3:uid="{5DE89203-8766-4267-A9A4-C0E61300A4B0}" name="8728"/>
    <tableColumn id="8742" xr3:uid="{7FD8D5AC-2077-4BC8-879A-30D34342DB77}" name="8729"/>
    <tableColumn id="8743" xr3:uid="{59035F86-F7F2-4A9B-B899-BE0E9FCBF91A}" name="8730"/>
    <tableColumn id="8744" xr3:uid="{D37A0153-1DFD-4678-8B79-70CBA596DFA9}" name="8731"/>
    <tableColumn id="8745" xr3:uid="{51308C07-EF86-4A77-8C34-034D2106C2A9}" name="8732"/>
    <tableColumn id="8746" xr3:uid="{2987540D-9ABA-4D7A-BA58-FB5F31405EC5}" name="8733"/>
    <tableColumn id="8747" xr3:uid="{77E47026-F6CD-4552-8D1B-6D3E4738E752}" name="8734"/>
    <tableColumn id="8748" xr3:uid="{681BE9C3-1BFB-4C77-9CE5-D5AAFFBFB5A6}" name="8735"/>
    <tableColumn id="8749" xr3:uid="{1A47F939-B90A-4E6A-8781-671264050DDF}" name="8736"/>
    <tableColumn id="8750" xr3:uid="{A20406C0-1F60-4DD8-8D64-EC7889A38425}" name="8737"/>
    <tableColumn id="8751" xr3:uid="{C4BC9CA9-3664-403E-92A9-CBD10F588538}" name="8738"/>
    <tableColumn id="8752" xr3:uid="{8F50A3EB-1569-4AD7-A057-430DFEF969A3}" name="8739"/>
    <tableColumn id="8753" xr3:uid="{7DCE13BE-F590-4320-9C62-42B8CADB7D9D}" name="8740"/>
    <tableColumn id="8754" xr3:uid="{E5448AF9-AEB6-44EE-BDFA-065AFA75858A}" name="8741"/>
    <tableColumn id="8755" xr3:uid="{3ADE467C-6FE1-4E0B-BC38-94ED187A6D3A}" name="8742"/>
    <tableColumn id="8756" xr3:uid="{555BB4B0-6176-4DD6-9883-847E800B9609}" name="8743"/>
    <tableColumn id="8757" xr3:uid="{11DB327B-2544-4DA3-9776-3E39336F7A7B}" name="8744"/>
    <tableColumn id="8758" xr3:uid="{E830B5AD-8D18-4E79-BCA5-A8CBF4FA3C54}" name="8745"/>
    <tableColumn id="8759" xr3:uid="{5BE9A0BE-EC78-45A4-B5AE-31FAA0E10E1A}" name="8746"/>
    <tableColumn id="8760" xr3:uid="{070A160C-F0D0-456A-B211-5B648BBE7884}" name="8747"/>
    <tableColumn id="8761" xr3:uid="{B886944E-AD2D-4FB5-B508-F70DE06AD2D6}" name="8748"/>
    <tableColumn id="8762" xr3:uid="{AA8B1F74-58F5-4E15-8107-2B07CDA6F058}" name="8749"/>
    <tableColumn id="8763" xr3:uid="{9510EB38-7CD6-4CF9-B4FF-F14DAE90780C}" name="8750"/>
    <tableColumn id="8764" xr3:uid="{5C9D3C65-EA83-4A90-A947-311B8CB86D57}" name="8751"/>
    <tableColumn id="8765" xr3:uid="{B9C80AD9-46A8-4E54-ABFA-D8F98EBCB513}" name="8752"/>
    <tableColumn id="8766" xr3:uid="{80B69622-1811-40EC-A0C3-FCC457C2F90E}" name="8753"/>
    <tableColumn id="8767" xr3:uid="{F3D1B482-0CAF-4747-97CF-C9BA3FF94307}" name="8754"/>
    <tableColumn id="8768" xr3:uid="{9076C0A4-1BD1-493D-948C-6A4FFA172B74}" name="8755"/>
    <tableColumn id="8769" xr3:uid="{6A364124-4E3E-47B1-B602-56664FB8633B}" name="8756"/>
    <tableColumn id="8770" xr3:uid="{C51E3D59-CCD5-4BE9-90EE-E21710C971FD}" name="8757"/>
    <tableColumn id="8771" xr3:uid="{69316C35-B378-4FDF-B27A-789C85B30D1F}" name="8758"/>
    <tableColumn id="8772" xr3:uid="{F88F6958-2EAF-4747-98FF-BA6E7BC1AD3C}" name="8759"/>
    <tableColumn id="8773" xr3:uid="{238A3DC0-43D6-408B-85BA-D0E3ABC9717B}" name="8760"/>
    <tableColumn id="8774" xr3:uid="{B800CA2A-F87B-4C49-9A0E-B1DEB2040523}" name="8761"/>
    <tableColumn id="8775" xr3:uid="{98D399BA-0B9C-4F37-84AD-AD1E1C1AE358}" name="8762"/>
    <tableColumn id="8776" xr3:uid="{6646D9B5-A122-4656-A342-32E2F7988C18}" name="8763"/>
    <tableColumn id="8777" xr3:uid="{448CA345-2366-4C7A-872D-46DF7EA7520A}" name="8764"/>
    <tableColumn id="8778" xr3:uid="{74003B2F-6350-4730-8497-5A9312FD512D}" name="8765"/>
    <tableColumn id="8779" xr3:uid="{A8B04A0A-4DAF-4572-B4BE-7ED79EB8D4F7}" name="8766"/>
    <tableColumn id="8780" xr3:uid="{8EEF6D0B-5C26-4EFE-8388-761C1B3CF993}" name="8767"/>
    <tableColumn id="8781" xr3:uid="{4AB91E14-EBB0-4AD4-844F-0B8D654A428B}" name="8768"/>
    <tableColumn id="8782" xr3:uid="{6AB0E659-CB3E-4EDB-8574-E81A83731CCC}" name="8769"/>
    <tableColumn id="8783" xr3:uid="{F8C28748-CB3E-4410-9C0B-153C28507B0D}" name="8770"/>
    <tableColumn id="8784" xr3:uid="{4619D28A-85E2-411C-AE26-7F35D0B90ECF}" name="8771"/>
    <tableColumn id="8785" xr3:uid="{44371DE6-195A-4BDB-B5CB-BBFB5D7D42D5}" name="8772"/>
    <tableColumn id="8786" xr3:uid="{1AA37B76-96AC-4482-B872-6C3FAD721209}" name="8773"/>
    <tableColumn id="8787" xr3:uid="{CC174ABB-384B-4F8D-8846-3EAEA741BF78}" name="8774"/>
    <tableColumn id="8788" xr3:uid="{FF101A39-9C54-41FD-8207-B233DD9C1328}" name="8775"/>
    <tableColumn id="8789" xr3:uid="{7F4195B2-52F5-424B-974C-221B5D600073}" name="8776"/>
    <tableColumn id="8790" xr3:uid="{D4377140-74AD-4CA2-93F6-FCE8EFC9BBC5}" name="8777"/>
    <tableColumn id="8791" xr3:uid="{0793E8E0-548E-4AF5-A689-6B24A43AB282}" name="8778"/>
    <tableColumn id="8792" xr3:uid="{AAFBFD11-2654-4CDB-BA54-5AA0F596BFC7}" name="8779"/>
    <tableColumn id="8793" xr3:uid="{DE923ADC-FDE5-46EA-A4E5-BA66E32A32A9}" name="8780"/>
    <tableColumn id="8794" xr3:uid="{D21A76BF-FBEC-480B-9E9B-8F7E668A10AE}" name="8781"/>
    <tableColumn id="8795" xr3:uid="{8975388C-03B4-4471-BBA8-3AE5D4615D96}" name="8782"/>
    <tableColumn id="8796" xr3:uid="{EC57BD1F-B055-45A4-A8EE-B4F08F329103}" name="8783"/>
    <tableColumn id="8797" xr3:uid="{7BC16B47-3D05-49AD-A0E1-C1A29EB4510C}" name="8784"/>
    <tableColumn id="8798" xr3:uid="{B6B7751E-CAE3-4776-A7BC-35AB13836BA4}" name="8785"/>
    <tableColumn id="8799" xr3:uid="{F0E30E3D-3B9C-4598-B016-8D35DD184102}" name="8786"/>
    <tableColumn id="8800" xr3:uid="{C4A9A8A7-13AD-4AC0-8AA8-24136F92BED8}" name="8787"/>
    <tableColumn id="8801" xr3:uid="{432E4319-3D82-4950-AB97-4EA2A65B2B24}" name="8788"/>
    <tableColumn id="8802" xr3:uid="{360569E0-6BF0-4246-BF0F-9E0ABC36A20D}" name="8789"/>
    <tableColumn id="8803" xr3:uid="{D354CA14-188C-4C83-968F-3AFCAD3C681D}" name="8790"/>
    <tableColumn id="8804" xr3:uid="{8495256E-2ACA-4E56-A456-ED5E1C926693}" name="8791"/>
    <tableColumn id="8805" xr3:uid="{96F8A3CB-65BE-442F-8458-8076FF1A89CD}" name="8792"/>
    <tableColumn id="8806" xr3:uid="{2226AD36-7E58-4B44-AE40-F2CF4C89C95A}" name="8793"/>
    <tableColumn id="8807" xr3:uid="{BA58E961-F5EA-4F76-97CE-6256C599AAE0}" name="8794"/>
    <tableColumn id="8808" xr3:uid="{19FED4CE-2731-4CC6-8AFF-E76203B0FDB6}" name="8795"/>
    <tableColumn id="8809" xr3:uid="{26905183-CB47-45F7-8637-132EDAE7E48D}" name="8796"/>
    <tableColumn id="8810" xr3:uid="{D1702D1F-CBC0-4C5C-8FEE-14656C2CB402}" name="8797"/>
    <tableColumn id="8811" xr3:uid="{D5343ABB-2586-4E1A-929D-8EB96E665E9C}" name="8798"/>
    <tableColumn id="8812" xr3:uid="{A28E91FF-FAA6-4192-AABF-71BF1C915E95}" name="8799"/>
    <tableColumn id="8813" xr3:uid="{6AEC9C13-A9FE-449E-B103-FE30AF4BF277}" name="8800"/>
    <tableColumn id="8814" xr3:uid="{9685DD16-D576-4EAB-8665-01A6F1F514ED}" name="8801"/>
    <tableColumn id="8815" xr3:uid="{18FBA25A-5042-497A-9F62-5122E7AD487A}" name="8802"/>
    <tableColumn id="8816" xr3:uid="{C7456959-42B3-4691-B657-70F787455E6B}" name="8803"/>
    <tableColumn id="8817" xr3:uid="{7DDE8577-B385-4754-8CF1-0F04B07973CE}" name="8804"/>
    <tableColumn id="8818" xr3:uid="{2598938E-BE2C-482D-A5D4-E9D92B12895A}" name="8805"/>
    <tableColumn id="8819" xr3:uid="{7FD3936A-E9E9-4738-84B0-D77A40F51945}" name="8806"/>
    <tableColumn id="8820" xr3:uid="{3922746C-CAFF-424C-850D-FD20AB2BE337}" name="8807"/>
    <tableColumn id="8821" xr3:uid="{A5E487A7-02EF-4DA2-B5AC-03840F3964A9}" name="8808"/>
    <tableColumn id="8822" xr3:uid="{2F1EEE15-1361-4D6C-BF83-E1CA9622EEAF}" name="8809"/>
    <tableColumn id="8823" xr3:uid="{55598DAA-E403-4B29-915D-3EEE5F05B06A}" name="8810"/>
    <tableColumn id="8824" xr3:uid="{43CEDDBD-E3E5-4B21-ACE0-4C6F15B75C18}" name="8811"/>
    <tableColumn id="8825" xr3:uid="{9F1E8641-CB07-432C-BFF1-E2033AE3865B}" name="8812"/>
    <tableColumn id="8826" xr3:uid="{D25FB731-152D-4F7C-AD0F-BC82C3CD595A}" name="8813"/>
    <tableColumn id="8827" xr3:uid="{17C91C1C-ED52-4233-85F7-6AF60FB63BCB}" name="8814"/>
    <tableColumn id="8828" xr3:uid="{58D124FD-B48E-43F2-A997-B6BB42047865}" name="8815"/>
    <tableColumn id="8829" xr3:uid="{2F74421C-3BD6-4470-ADE5-309C3FDDD7B9}" name="8816"/>
    <tableColumn id="8830" xr3:uid="{3EC81E9C-8250-41B2-A005-FBF5AE6B60AE}" name="8817"/>
    <tableColumn id="8831" xr3:uid="{CD26BC4D-99F2-4835-965A-60050713535C}" name="8818"/>
    <tableColumn id="8832" xr3:uid="{11F03189-CB1A-42D8-9620-6DD53ED28B17}" name="8819"/>
    <tableColumn id="8833" xr3:uid="{5399729F-7F2E-4376-9516-33C0707E6F64}" name="8820"/>
    <tableColumn id="8834" xr3:uid="{946648F1-3E39-4465-81BF-23E75D31EA53}" name="8821"/>
    <tableColumn id="8835" xr3:uid="{6E186F47-17D6-49E7-80D0-1C3257A7287E}" name="8822"/>
    <tableColumn id="8836" xr3:uid="{8275DC41-A976-4EF4-AF56-C511DF4F2308}" name="8823"/>
    <tableColumn id="8837" xr3:uid="{8D0E572A-A62C-4200-8CA6-0BBC5AF3D147}" name="8824"/>
    <tableColumn id="8838" xr3:uid="{53A8D112-D175-4C91-9030-8DC15E0D90A4}" name="8825"/>
    <tableColumn id="8839" xr3:uid="{E61D6719-8C1F-44C3-AA92-83157E6CC2A1}" name="8826"/>
    <tableColumn id="8840" xr3:uid="{9AB39099-E97E-4824-82FC-8A4DAF2522F7}" name="8827"/>
    <tableColumn id="8841" xr3:uid="{3CEA4600-5745-4DB8-8523-4B0D32F3C441}" name="8828"/>
    <tableColumn id="8842" xr3:uid="{1AB4CA36-97E5-4A71-B867-63FA4FC834D2}" name="8829"/>
    <tableColumn id="8843" xr3:uid="{9E60ABFF-DC38-48DA-B2AC-2EA1783D82BC}" name="8830"/>
    <tableColumn id="8844" xr3:uid="{5B172932-B15A-421D-AD19-4F9A2A3B9F8E}" name="8831"/>
    <tableColumn id="8845" xr3:uid="{A9C94B81-9E82-4F1D-8711-9C65DAEBFD46}" name="8832"/>
    <tableColumn id="8846" xr3:uid="{50901945-A639-4D5F-AB7B-5D96BBA22375}" name="8833"/>
    <tableColumn id="8847" xr3:uid="{2814589D-C44A-425B-AA73-99BB2700D5C0}" name="8834"/>
    <tableColumn id="8848" xr3:uid="{BA81B39F-276C-419C-BDF6-DE12D6C89A88}" name="8835"/>
    <tableColumn id="8849" xr3:uid="{E072804B-11C9-403E-8417-3D3FB8F88C57}" name="8836"/>
    <tableColumn id="8850" xr3:uid="{944A2323-B735-4A8D-97D6-4C35F091C744}" name="8837"/>
    <tableColumn id="8851" xr3:uid="{E06AA137-44D8-4175-A705-330E20D3DDE6}" name="8838"/>
    <tableColumn id="8852" xr3:uid="{8A730314-3E85-45CE-BC31-8EFC5C9EF36D}" name="8839"/>
    <tableColumn id="8853" xr3:uid="{7AD74A35-D7F9-4C6F-AA0D-AB3F712C6584}" name="8840"/>
    <tableColumn id="8854" xr3:uid="{236DD6FA-A73C-4DFB-B554-FEF0DAB208C6}" name="8841"/>
    <tableColumn id="8855" xr3:uid="{A10058EB-B0A6-467B-9AA8-9519B56F35CE}" name="8842"/>
    <tableColumn id="8856" xr3:uid="{99473091-2EFC-42D9-83B1-1E0D356B14A4}" name="8843"/>
    <tableColumn id="8857" xr3:uid="{6E7AF823-119F-4D6F-8D72-C14351FD8DB3}" name="8844"/>
    <tableColumn id="8858" xr3:uid="{75C99BC3-CF8D-4339-B159-FADB2DB1476A}" name="8845"/>
    <tableColumn id="8859" xr3:uid="{D51DD42C-24BD-4508-AECE-72B97D6E0A93}" name="8846"/>
    <tableColumn id="8860" xr3:uid="{B2295C65-C1D0-4C96-BF22-74C3A302523F}" name="8847"/>
    <tableColumn id="8861" xr3:uid="{423CA0C5-07FF-43E7-90FC-3902F9E428C7}" name="8848"/>
    <tableColumn id="8862" xr3:uid="{52FCDC69-45BA-43DC-9827-641C6B11CF05}" name="8849"/>
    <tableColumn id="8863" xr3:uid="{3D2BCA80-3C5F-4F51-B258-A4FF33A792F4}" name="8850"/>
    <tableColumn id="8864" xr3:uid="{8BE58D05-B4B3-482E-889C-F31A9791AAE5}" name="8851"/>
    <tableColumn id="8865" xr3:uid="{6E01F576-0E41-4AEF-A73A-68FD1245805B}" name="8852"/>
    <tableColumn id="8866" xr3:uid="{1C34C367-F093-4F42-8A69-5E7DFDE2C9BC}" name="8853"/>
    <tableColumn id="8867" xr3:uid="{EB1E22F4-3B8F-4C88-B9A6-025012FF9989}" name="8854"/>
    <tableColumn id="8868" xr3:uid="{6F1C2DE1-4B94-48E1-B6F1-25DBD85CAF28}" name="8855"/>
    <tableColumn id="8869" xr3:uid="{E694F6D2-EA09-4B41-B170-6B09419E1DBD}" name="8856"/>
    <tableColumn id="8870" xr3:uid="{2A09D19C-BC06-40B2-B452-905B3ECC29C6}" name="8857"/>
    <tableColumn id="8871" xr3:uid="{DC7F2D80-3528-459E-BD85-1FBEC6B1F8A1}" name="8858"/>
    <tableColumn id="8872" xr3:uid="{D2DAE4DD-5644-465D-BDDE-FD3687F8EB08}" name="8859"/>
    <tableColumn id="8873" xr3:uid="{CE848CF0-1FEC-4902-8F7C-9739674ABB88}" name="8860"/>
    <tableColumn id="8874" xr3:uid="{F10A0F14-132B-4602-A0D8-3C721FF1F5AF}" name="8861"/>
    <tableColumn id="8875" xr3:uid="{DA9AF336-2CE8-48F2-A590-D3B60D815A4B}" name="8862"/>
    <tableColumn id="8876" xr3:uid="{F01BD872-66D3-4D4C-ACA0-C63900132407}" name="8863"/>
    <tableColumn id="8877" xr3:uid="{73BE041E-4410-4A96-9AE3-B3871466C446}" name="8864"/>
    <tableColumn id="8878" xr3:uid="{E7D2BC5C-127F-4509-9C7E-25FCD687F2E4}" name="8865"/>
    <tableColumn id="8879" xr3:uid="{3E70C9C1-DE36-4AB2-B12A-88B6F75DD944}" name="8866"/>
    <tableColumn id="8880" xr3:uid="{F4AB2E80-443A-4400-806C-2A73CFC46DED}" name="8867"/>
    <tableColumn id="8881" xr3:uid="{F9202DFD-6B98-4474-94DC-79AF41EF1A75}" name="8868"/>
    <tableColumn id="8882" xr3:uid="{E85BCED1-9B88-4468-9944-4AE8B26F2F64}" name="8869"/>
    <tableColumn id="8883" xr3:uid="{5A1071A0-AC6D-4B70-BF60-41635A1CC664}" name="8870"/>
    <tableColumn id="8884" xr3:uid="{938F3EFA-C499-49F0-9DD5-762AB4C5592C}" name="8871"/>
    <tableColumn id="8885" xr3:uid="{21E9B022-7D7B-4E5E-8629-2F2F50CFAD76}" name="8872"/>
    <tableColumn id="8886" xr3:uid="{4ABF0D24-A930-4E96-8152-AFB99A7FE699}" name="8873"/>
    <tableColumn id="8887" xr3:uid="{EA504668-3F35-4ADC-90C2-F719B045C15B}" name="8874"/>
    <tableColumn id="8888" xr3:uid="{5B549A80-6289-491F-80D1-AF4D68FCCE22}" name="8875"/>
    <tableColumn id="8889" xr3:uid="{3B4974AF-E0C6-4ED3-8092-9A7AED2E5C3C}" name="8876"/>
    <tableColumn id="8890" xr3:uid="{7CF7FB7D-393F-4DC4-8234-840243A61002}" name="8877"/>
    <tableColumn id="8891" xr3:uid="{7E206E51-460F-4AA3-AB3D-BCDA75C93564}" name="8878"/>
    <tableColumn id="8892" xr3:uid="{932EB269-C133-45E9-8643-90F8C61C9F3D}" name="8879"/>
    <tableColumn id="8893" xr3:uid="{645A42E6-F355-4D13-AFC9-EBA7FC729CF1}" name="8880"/>
    <tableColumn id="8894" xr3:uid="{6B55AD9F-EB92-4592-B90F-D118DD60A51D}" name="8881"/>
    <tableColumn id="8895" xr3:uid="{9DEEE01B-C6F9-4828-839B-6A316273E99A}" name="8882"/>
    <tableColumn id="8896" xr3:uid="{D7D14EC2-4904-47D6-8809-24A8E1F3892A}" name="8883"/>
    <tableColumn id="8897" xr3:uid="{D3BE237C-E817-4058-9251-166D01C34909}" name="8884"/>
    <tableColumn id="8898" xr3:uid="{632BBF57-9E77-4FF8-981A-8F040156F94D}" name="8885"/>
    <tableColumn id="8899" xr3:uid="{FA6BFEF5-6B1B-40A7-B611-CF3F687CC233}" name="8886"/>
    <tableColumn id="8900" xr3:uid="{D7B09AE5-2243-40DA-9648-DD22CA697291}" name="8887"/>
    <tableColumn id="8901" xr3:uid="{062E32A4-CD85-48C4-B593-8E3500008709}" name="8888"/>
    <tableColumn id="8902" xr3:uid="{BA7024DC-1615-4474-98B7-753750B4A6D6}" name="8889"/>
    <tableColumn id="8903" xr3:uid="{DC8DFD58-DA99-44C5-BFA6-74EBE5D5420F}" name="8890"/>
    <tableColumn id="8904" xr3:uid="{0827FAD6-3654-4211-9C7F-8ED93152C01D}" name="8891"/>
    <tableColumn id="8905" xr3:uid="{F6C958D2-B9A0-4CBE-AA0A-57964C7A728D}" name="8892"/>
    <tableColumn id="8906" xr3:uid="{1EA8F3A4-67AF-4AFC-ADA0-CDEE4490D046}" name="8893"/>
    <tableColumn id="8907" xr3:uid="{47767DDE-BDB9-4228-B7C6-B5A7E439354A}" name="8894"/>
    <tableColumn id="8908" xr3:uid="{4D85E6F7-4A5C-49B1-B6F1-4F6F4AD4BFA8}" name="8895"/>
    <tableColumn id="8909" xr3:uid="{32EA5B61-FD7B-4CE1-A2AE-00ED45D7155B}" name="8896"/>
    <tableColumn id="8910" xr3:uid="{58044F33-042A-4F38-B1D1-8831A6DE7A79}" name="8897"/>
    <tableColumn id="8911" xr3:uid="{D37CD53B-EBE2-4DC8-AA5C-888D1C593D2C}" name="8898"/>
    <tableColumn id="8912" xr3:uid="{7F5D54AB-531E-42A2-B982-C6EA05C4E638}" name="8899"/>
    <tableColumn id="8913" xr3:uid="{D1CB611E-CFD2-4FA6-8689-85BCDA30BC7E}" name="8900"/>
    <tableColumn id="8914" xr3:uid="{7B9C0992-0556-4E77-A651-3B72434DB45E}" name="8901"/>
    <tableColumn id="8915" xr3:uid="{F06A1DFB-772B-4D02-88C3-4BEE36C92095}" name="8902"/>
    <tableColumn id="8916" xr3:uid="{012F1E31-7DE5-4F3B-B3E0-F32D3CEC11B3}" name="8903"/>
    <tableColumn id="8917" xr3:uid="{C597FBDB-2B5C-4ACB-9DDA-984DDA0E1D2E}" name="8904"/>
    <tableColumn id="8918" xr3:uid="{A98559DA-E2FF-47E4-8EA4-B63C6F733C46}" name="8905"/>
    <tableColumn id="8919" xr3:uid="{84E6D332-C7EF-4843-9A89-BEC0F2A8571B}" name="8906"/>
    <tableColumn id="8920" xr3:uid="{9A13C4FE-E3E9-42C2-A579-451DBC52C0AF}" name="8907"/>
    <tableColumn id="8921" xr3:uid="{EDD6E61D-607F-4BFF-9B81-A781F94B9DEB}" name="8908"/>
    <tableColumn id="8922" xr3:uid="{F9E74FDF-3456-4307-A829-3BFA79B262B5}" name="8909"/>
    <tableColumn id="8923" xr3:uid="{17475141-3640-4D4F-B41E-A87E6A9E4FC2}" name="8910"/>
    <tableColumn id="8924" xr3:uid="{767E6B1A-A32F-49F2-96EC-231530318D83}" name="8911"/>
    <tableColumn id="8925" xr3:uid="{54B30356-B09E-4098-B13B-95B96A585A2C}" name="8912"/>
    <tableColumn id="8926" xr3:uid="{9E74BF55-8987-4343-ADD1-710FDBD9B880}" name="8913"/>
    <tableColumn id="8927" xr3:uid="{EBE5A6B9-6E69-4AA2-9CF6-68AA31284027}" name="8914"/>
    <tableColumn id="8928" xr3:uid="{72A19303-AFC4-4352-A0EB-21FE9F9D2DFE}" name="8915"/>
    <tableColumn id="8929" xr3:uid="{1A11DE49-498E-44C1-89A9-BFCC13C9BF38}" name="8916"/>
    <tableColumn id="8930" xr3:uid="{26761DE9-4AF4-428F-9CD5-E582845D6501}" name="8917"/>
    <tableColumn id="8931" xr3:uid="{4F5C6BCB-AF8A-4281-A240-366D2171E5B2}" name="8918"/>
    <tableColumn id="8932" xr3:uid="{83A5DEAD-5800-4277-A1E8-123C9FAF9F78}" name="8919"/>
    <tableColumn id="8933" xr3:uid="{7B5F8FCA-9DC1-402B-BD9A-A10A9E4D13CB}" name="8920"/>
    <tableColumn id="8934" xr3:uid="{A8D22009-9679-4645-95F5-C2D782ED7610}" name="8921"/>
    <tableColumn id="8935" xr3:uid="{2D140730-B735-4307-A780-FBEDE7F833EE}" name="8922"/>
    <tableColumn id="8936" xr3:uid="{51A68204-A9DB-412D-9C67-C67F5CBA8282}" name="8923"/>
    <tableColumn id="8937" xr3:uid="{96AAF0A4-F569-4658-9AFF-8C2B13911E4C}" name="8924"/>
    <tableColumn id="8938" xr3:uid="{019ED0D3-145E-44EA-B47C-1D9314EC1C95}" name="8925"/>
    <tableColumn id="8939" xr3:uid="{4C40DB65-BBC9-4C4E-9D3B-B6F84EF0F064}" name="8926"/>
    <tableColumn id="8940" xr3:uid="{06CE017D-7B2E-424E-851D-B058C5E64A50}" name="8927"/>
    <tableColumn id="8941" xr3:uid="{AE03C390-4549-4807-9F24-9C6A0766A6C5}" name="8928"/>
    <tableColumn id="8942" xr3:uid="{5AF21435-2FCE-4B6E-BB26-C2F37E234E2C}" name="8929"/>
    <tableColumn id="8943" xr3:uid="{EBA81155-E876-43F6-A02E-8046487B9F95}" name="8930"/>
    <tableColumn id="8944" xr3:uid="{50ADE392-60D6-491E-85C6-90CF9BC6E991}" name="8931"/>
    <tableColumn id="8945" xr3:uid="{56F6F0EF-E83C-40D4-8736-8881E65E0140}" name="8932"/>
    <tableColumn id="8946" xr3:uid="{30F71CDF-6186-4BA4-B1C4-7C25B77404B1}" name="8933"/>
    <tableColumn id="8947" xr3:uid="{B5D8B496-28AC-4BBB-8E3B-C7E2AF913BDE}" name="8934"/>
    <tableColumn id="8948" xr3:uid="{4D463B80-3DE4-4B94-A21E-BF374C9DA603}" name="8935"/>
    <tableColumn id="8949" xr3:uid="{A0399100-1080-4007-8D89-FA52FACC2FF1}" name="8936"/>
    <tableColumn id="8950" xr3:uid="{EF5C9076-C74B-4CC1-B737-62D2B2D4A978}" name="8937"/>
    <tableColumn id="8951" xr3:uid="{8F64D923-604E-4C02-BF06-6879F2B47AF1}" name="8938"/>
    <tableColumn id="8952" xr3:uid="{21F0CEC2-FFE6-4CE1-8C15-0836CC9FDC02}" name="8939"/>
    <tableColumn id="8953" xr3:uid="{37D9359F-6FBD-48B0-9E13-8CA3694EF4C3}" name="8940"/>
    <tableColumn id="8954" xr3:uid="{AA35358E-58E3-4EB0-9951-36DC561AF296}" name="8941"/>
    <tableColumn id="8955" xr3:uid="{2B799D9F-D54E-47C5-84C7-5C49261E9595}" name="8942"/>
    <tableColumn id="8956" xr3:uid="{AA498E90-3BE6-4351-8C56-3A4F18A5E2B2}" name="8943"/>
    <tableColumn id="8957" xr3:uid="{2375EC2A-AEB9-40D2-ADF4-22F8D4428E44}" name="8944"/>
    <tableColumn id="8958" xr3:uid="{E9506897-85D5-4E25-A27A-0533BE6C38C6}" name="8945"/>
    <tableColumn id="8959" xr3:uid="{9DBF09D9-CA69-42ED-9708-B44D9B995D4F}" name="8946"/>
    <tableColumn id="8960" xr3:uid="{DF4521A5-5EB4-41CF-AAC0-9919CA7182E6}" name="8947"/>
    <tableColumn id="8961" xr3:uid="{F2CBD661-9F13-4D50-B65B-8F8D0031E61A}" name="8948"/>
    <tableColumn id="8962" xr3:uid="{D660BEF7-F74A-40A6-B1DE-E1E1D6F8C11A}" name="8949"/>
    <tableColumn id="8963" xr3:uid="{BC72CA0A-9783-4457-A6F5-A6AF89D75704}" name="8950"/>
    <tableColumn id="8964" xr3:uid="{5ECD7A22-4A76-41DA-BF52-64F9892B231C}" name="8951"/>
    <tableColumn id="8965" xr3:uid="{68AADDC3-244C-4BDF-8E98-DE64C2CFDF9D}" name="8952"/>
    <tableColumn id="8966" xr3:uid="{3BC33782-C343-451F-97E4-1A15697AEEFB}" name="8953"/>
    <tableColumn id="8967" xr3:uid="{9889534B-5422-40F2-910F-2B488B9F850B}" name="8954"/>
    <tableColumn id="8968" xr3:uid="{B29C83CA-1A21-4740-BBDF-27DEFEA72B7B}" name="8955"/>
    <tableColumn id="8969" xr3:uid="{29F70657-F468-4E2E-8763-E56CDF3709B3}" name="8956"/>
    <tableColumn id="8970" xr3:uid="{D7A1863A-06C1-4E9D-9522-492078518079}" name="8957"/>
    <tableColumn id="8971" xr3:uid="{25A0F351-5E84-44C4-8E83-4CA27BB1AA31}" name="8958"/>
    <tableColumn id="8972" xr3:uid="{4B507E5B-B0BF-49E6-BE43-157E32D45193}" name="8959"/>
    <tableColumn id="8973" xr3:uid="{DB9F51F1-902E-4FD9-87B0-78B0DD206CED}" name="8960"/>
    <tableColumn id="8974" xr3:uid="{2C4CAAC7-8AB8-4B84-8209-627FF75AECB5}" name="8961"/>
    <tableColumn id="8975" xr3:uid="{6C6DF3F8-6254-4684-9E9C-6932F99B7034}" name="8962"/>
    <tableColumn id="8976" xr3:uid="{4F58ADCE-4FBD-4C2E-ACE7-E8BB1A25389A}" name="8963"/>
    <tableColumn id="8977" xr3:uid="{AF66A7E7-89E6-42C5-9370-7062918D965E}" name="8964"/>
    <tableColumn id="8978" xr3:uid="{94DECA22-D75B-4731-B50A-FBFA31A4707B}" name="8965"/>
    <tableColumn id="8979" xr3:uid="{8E30D678-9A0D-48C7-93E9-7D20E045F831}" name="8966"/>
    <tableColumn id="8980" xr3:uid="{CA287861-3AAD-4AE6-96DB-3F18C3128D34}" name="8967"/>
    <tableColumn id="8981" xr3:uid="{38442E42-9088-4E57-9753-54C0E499801F}" name="8968"/>
    <tableColumn id="8982" xr3:uid="{8C75AB2E-427C-4A96-BF02-3AAF22A1A149}" name="8969"/>
    <tableColumn id="8983" xr3:uid="{CF2EA3DA-EE23-42F0-A179-6B619448213B}" name="8970"/>
    <tableColumn id="8984" xr3:uid="{2120746C-1585-41EE-A491-858C7C5031F0}" name="8971"/>
    <tableColumn id="8985" xr3:uid="{53A9C30E-55F4-471D-9806-AB0A8734DB05}" name="8972"/>
    <tableColumn id="8986" xr3:uid="{4400E95F-970E-41A7-BD6E-4FF2058451EB}" name="8973"/>
    <tableColumn id="8987" xr3:uid="{4942CF1F-9CF5-453F-B11A-DFE4535DBF10}" name="8974"/>
    <tableColumn id="8988" xr3:uid="{6DBE0903-213F-427D-9A8B-7D8DDFB493BB}" name="8975"/>
    <tableColumn id="8989" xr3:uid="{E35A384A-8E36-4E2A-B55F-397747769816}" name="8976"/>
    <tableColumn id="8990" xr3:uid="{6448FBAD-B05D-49C6-8C8D-74E7B57BE8EB}" name="8977"/>
    <tableColumn id="8991" xr3:uid="{A2ED2FF4-9AB6-4103-A7DE-6DC7B5A0F786}" name="8978"/>
    <tableColumn id="8992" xr3:uid="{F8A9D0B6-AC68-4450-8A8A-3D6C3893F3FC}" name="8979"/>
    <tableColumn id="8993" xr3:uid="{B5D85A17-06CB-4106-A00F-764B2CD67265}" name="8980"/>
    <tableColumn id="8994" xr3:uid="{5968C533-86E8-4D01-AAB3-672E22FAE803}" name="8981"/>
    <tableColumn id="8995" xr3:uid="{297C9CBA-C5CF-4463-823C-53E92876AED2}" name="8982"/>
    <tableColumn id="8996" xr3:uid="{182CA21E-32E8-4B30-AE9E-F47009575D8B}" name="8983"/>
    <tableColumn id="8997" xr3:uid="{C487D678-3BD9-4581-ACE8-B7A2B25D3245}" name="8984"/>
    <tableColumn id="8998" xr3:uid="{A5FB7ED4-DB81-49DF-87C8-951D801D7967}" name="8985"/>
    <tableColumn id="8999" xr3:uid="{463AA784-BED6-430C-A253-B396CDAEA43E}" name="8986"/>
    <tableColumn id="9000" xr3:uid="{08570954-EF97-491B-B0A4-B39022C98D2E}" name="8987"/>
    <tableColumn id="9001" xr3:uid="{9B7F7542-64F2-4DBD-BF7E-B14CDB995F38}" name="8988"/>
    <tableColumn id="9002" xr3:uid="{0A26E5D9-A53F-4939-8A33-AFCFFEC2BEF8}" name="8989"/>
    <tableColumn id="9003" xr3:uid="{688067AF-7296-40EE-831F-BE71BEED4174}" name="8990"/>
    <tableColumn id="9004" xr3:uid="{A8A92D70-2747-4D7F-8454-4752B3CF245A}" name="8991"/>
    <tableColumn id="9005" xr3:uid="{68721E87-51EC-42B7-B941-99C715EAFBC1}" name="8992"/>
    <tableColumn id="9006" xr3:uid="{AD8E9033-1644-4B10-B9CD-892AA714C0E2}" name="8993"/>
    <tableColumn id="9007" xr3:uid="{17C0EB9D-7C31-49DA-8EFA-150021A8DDC7}" name="8994"/>
    <tableColumn id="9008" xr3:uid="{EAE23537-262B-4EF7-89BC-D64C1ABCAD6C}" name="8995"/>
    <tableColumn id="9009" xr3:uid="{1B6F204A-6984-4892-805E-FC5F47080167}" name="8996"/>
    <tableColumn id="9010" xr3:uid="{ABE44039-FF81-4EEF-BC81-15771EA04C1C}" name="8997"/>
    <tableColumn id="9011" xr3:uid="{4C986AE3-36E0-4B23-B4CB-A133C93039FB}" name="8998"/>
    <tableColumn id="9012" xr3:uid="{B3F5F680-D2D0-4882-9098-4D8F783E17A6}" name="8999"/>
    <tableColumn id="9013" xr3:uid="{7588E20E-9AD6-4CCB-AEBD-A0F3AF8D0919}" name="9000"/>
    <tableColumn id="9014" xr3:uid="{FD6117BA-21A6-4274-AA2B-C08FF7D4E3D5}" name="9001"/>
    <tableColumn id="9015" xr3:uid="{2E4C234D-4308-4E4B-9E50-F7A83C44A3D7}" name="9002"/>
    <tableColumn id="9016" xr3:uid="{92D6E7BC-0AE6-46C7-98DE-005F5E9D6D71}" name="9003"/>
    <tableColumn id="9017" xr3:uid="{7AA2D5EF-A82D-4B1D-ACD0-14FA34F7D968}" name="9004"/>
    <tableColumn id="9018" xr3:uid="{D44E68FD-3E82-4E46-AFA0-29CAD0F96AB8}" name="9005"/>
    <tableColumn id="9019" xr3:uid="{724514A5-A993-4831-8A46-F44472144CD7}" name="9006"/>
    <tableColumn id="9020" xr3:uid="{5DDD0E74-C8E0-4985-8EE3-5C7A679CC496}" name="9007"/>
    <tableColumn id="9021" xr3:uid="{E88FD3AC-B7B0-4C16-BC01-1A62FFD4608F}" name="9008"/>
    <tableColumn id="9022" xr3:uid="{84C5E060-BAE7-405C-92FB-CC4967E68D4B}" name="9009"/>
    <tableColumn id="9023" xr3:uid="{D9F3B811-DF76-474E-8875-36FF30289095}" name="9010"/>
    <tableColumn id="9024" xr3:uid="{60CC2786-6B82-4217-8775-4BBBB7FE29D0}" name="9011"/>
    <tableColumn id="9025" xr3:uid="{02E04987-ABE1-489D-AD7A-81082A95AFF2}" name="9012"/>
    <tableColumn id="9026" xr3:uid="{46E7B2E0-6612-40B8-BC09-576EFA2E959D}" name="9013"/>
    <tableColumn id="9027" xr3:uid="{403FE9AA-40AE-41EA-936B-E03D7F3AA17F}" name="9014"/>
    <tableColumn id="9028" xr3:uid="{FFACCEFF-26BA-4E90-BB50-164EFE324750}" name="9015"/>
    <tableColumn id="9029" xr3:uid="{188BB0A1-EBFA-4417-9F52-9557C68D968C}" name="9016"/>
    <tableColumn id="9030" xr3:uid="{76426B6F-4174-44C8-B3F0-0E8369D739B6}" name="9017"/>
    <tableColumn id="9031" xr3:uid="{0D37BA52-210B-4FB1-AEF0-B24D8736C0A2}" name="9018"/>
    <tableColumn id="9032" xr3:uid="{25955920-ED1C-445D-84DF-950AF38B50C1}" name="9019"/>
    <tableColumn id="9033" xr3:uid="{B24C86C5-5EFA-4677-A9F6-676EFD517E5F}" name="9020"/>
    <tableColumn id="9034" xr3:uid="{5641C839-0ED0-4B11-9CFC-2EC7778C622D}" name="9021"/>
    <tableColumn id="9035" xr3:uid="{9246FFF3-4A58-406E-8470-FEAE4405BA25}" name="9022"/>
    <tableColumn id="9036" xr3:uid="{9DCC504B-5DD5-40D8-8A4E-61D4AB303D7D}" name="9023"/>
    <tableColumn id="9037" xr3:uid="{A52E8C43-1089-4F3F-9ADD-9ECD2D2BC587}" name="9024"/>
    <tableColumn id="9038" xr3:uid="{F881A51C-CCB6-43B1-BE23-68A7957AB9F0}" name="9025"/>
    <tableColumn id="9039" xr3:uid="{CBB99C91-8757-4E49-9186-BD447DAA4498}" name="9026"/>
    <tableColumn id="9040" xr3:uid="{BE5C0CCC-3FE5-499F-BAA1-8CB45F38B97A}" name="9027"/>
    <tableColumn id="9041" xr3:uid="{CA7AE41E-7A85-4117-9D85-473B925ACF0D}" name="9028"/>
    <tableColumn id="9042" xr3:uid="{6726C9D2-E327-4479-A978-F907E25AF74B}" name="9029"/>
    <tableColumn id="9043" xr3:uid="{537E33FE-2875-489E-858A-37C277B1B8F5}" name="9030"/>
    <tableColumn id="9044" xr3:uid="{4FCD4167-6E7E-4921-8877-2A852BD9AE0C}" name="9031"/>
    <tableColumn id="9045" xr3:uid="{B9A8690F-BD0D-4F88-86F8-183EDFFF5F43}" name="9032"/>
    <tableColumn id="9046" xr3:uid="{B9BDAD82-274F-446C-AA76-8F2F8F14AEA1}" name="9033"/>
    <tableColumn id="9047" xr3:uid="{7E3DB3AE-BA7F-4809-A644-43DAE856D948}" name="9034"/>
    <tableColumn id="9048" xr3:uid="{19509497-F838-4B9D-8E89-85D3E0F7DE45}" name="9035"/>
    <tableColumn id="9049" xr3:uid="{1F217213-18F7-497D-9293-18DDE2E8EF0E}" name="9036"/>
    <tableColumn id="9050" xr3:uid="{67EE3880-4729-4AE0-9986-4497F28A8D12}" name="9037"/>
    <tableColumn id="9051" xr3:uid="{3D6DE6EF-6CD2-4F2D-8396-FA998C00C861}" name="9038"/>
    <tableColumn id="9052" xr3:uid="{01EC3FF5-A676-4C15-8CAD-FC7A84602EEC}" name="9039"/>
    <tableColumn id="9053" xr3:uid="{7463A635-EAB5-4FD9-A012-A14364D26724}" name="9040"/>
    <tableColumn id="9054" xr3:uid="{A7B57772-A9E8-4621-A22C-A2F4602A9F01}" name="9041"/>
    <tableColumn id="9055" xr3:uid="{8325575C-C6E5-4A34-8930-62062B59E100}" name="9042"/>
    <tableColumn id="9056" xr3:uid="{D9A580ED-B5C8-4A37-850A-2C2F2C0FC668}" name="9043"/>
    <tableColumn id="9057" xr3:uid="{2C4B640B-9AB9-4625-9F46-7F398DE37051}" name="9044"/>
    <tableColumn id="9058" xr3:uid="{79C11D96-7C34-4CA8-B3A8-14DAB0C72C5A}" name="9045"/>
    <tableColumn id="9059" xr3:uid="{1F6D48CF-AD4D-464D-AAB2-0EBFD98E73EE}" name="9046"/>
    <tableColumn id="9060" xr3:uid="{42D9FD0B-E2D4-4DB6-A52A-6BCB409F9AF8}" name="9047"/>
    <tableColumn id="9061" xr3:uid="{40700490-C39A-4F95-8416-A849D9610D5D}" name="9048"/>
    <tableColumn id="9062" xr3:uid="{0D1DC6CB-378A-470C-B5ED-9C71EC9B9D25}" name="9049"/>
    <tableColumn id="9063" xr3:uid="{EB1570FC-8D4E-458E-95A8-4FFE4322FB50}" name="9050"/>
    <tableColumn id="9064" xr3:uid="{CB44E695-3E5E-4BBB-87D5-C6E6458055EE}" name="9051"/>
    <tableColumn id="9065" xr3:uid="{75783FAC-1D0E-4E57-B3E1-1668AB374029}" name="9052"/>
    <tableColumn id="9066" xr3:uid="{EB1B98C0-5144-464F-BFB5-CF90DFD68EA4}" name="9053"/>
    <tableColumn id="9067" xr3:uid="{B6BC0631-B823-413F-AEDF-BCD62A0C9387}" name="9054"/>
    <tableColumn id="9068" xr3:uid="{41ACF2B0-DE0A-4085-877D-8D72CE897351}" name="9055"/>
    <tableColumn id="9069" xr3:uid="{DFD5EFDE-E719-444E-81B3-7CACADD6A7A3}" name="9056"/>
    <tableColumn id="9070" xr3:uid="{A8D23597-26E6-487A-8503-CF6723EB429E}" name="9057"/>
    <tableColumn id="9071" xr3:uid="{4A376F8C-61D6-4D69-ADB5-AE1399F5768D}" name="9058"/>
    <tableColumn id="9072" xr3:uid="{A9354414-E0F3-472D-8FDA-2CA91070AE39}" name="9059"/>
    <tableColumn id="9073" xr3:uid="{E7DDC61C-C160-43A1-AF46-EF59C2FF45AF}" name="9060"/>
    <tableColumn id="9074" xr3:uid="{EC1629FC-A5B1-4056-B937-6BF9E23511BA}" name="9061"/>
    <tableColumn id="9075" xr3:uid="{F800187B-91BE-4195-9BDB-FDC61536AD7B}" name="9062"/>
    <tableColumn id="9076" xr3:uid="{C601632A-9716-4ECF-9AB3-03B42C3522C2}" name="9063"/>
    <tableColumn id="9077" xr3:uid="{59DC49BD-7041-4C49-8E21-4F36A7A4E69C}" name="9064"/>
    <tableColumn id="9078" xr3:uid="{A25B4754-3CAE-45FF-9E32-10D721127C2F}" name="9065"/>
    <tableColumn id="9079" xr3:uid="{2B27484F-51C3-4242-8A53-71BA3A586C22}" name="9066"/>
    <tableColumn id="9080" xr3:uid="{0903F41F-C00D-401C-97AF-05ECD2A176D2}" name="9067"/>
    <tableColumn id="9081" xr3:uid="{4FFEB701-1F59-4363-A1CF-B8B159FA3837}" name="9068"/>
    <tableColumn id="9082" xr3:uid="{A18A2B8E-C1CB-40D7-9093-2909E57439A9}" name="9069"/>
    <tableColumn id="9083" xr3:uid="{FD693300-76DD-4225-8AF6-6146A49DF700}" name="9070"/>
    <tableColumn id="9084" xr3:uid="{EDADA00E-F3CC-445C-9E1B-FBA73B05F96B}" name="9071"/>
    <tableColumn id="9085" xr3:uid="{49BB29FB-3725-4C90-AB99-73E3E74F1CA7}" name="9072"/>
    <tableColumn id="9086" xr3:uid="{D0EDA244-6470-4722-83F7-730CA14D0C4A}" name="9073"/>
    <tableColumn id="9087" xr3:uid="{8B88FB19-5341-43BB-BE0D-64CE69D53126}" name="9074"/>
    <tableColumn id="9088" xr3:uid="{4BDA6910-89E3-4996-A9F0-C727D7FFF2F8}" name="9075"/>
    <tableColumn id="9089" xr3:uid="{BA04075E-D031-411B-AB40-1E892D64742A}" name="9076"/>
    <tableColumn id="9090" xr3:uid="{0B91A5F0-5926-4C75-8532-4A19F2FC335E}" name="9077"/>
    <tableColumn id="9091" xr3:uid="{E97A423B-8067-4BA3-A84D-673E23B00F93}" name="9078"/>
    <tableColumn id="9092" xr3:uid="{B610104D-4E61-412E-94B7-90F5CA132BDE}" name="9079"/>
    <tableColumn id="9093" xr3:uid="{75DF5689-9627-4A3E-B90F-FADF8C701761}" name="9080"/>
    <tableColumn id="9094" xr3:uid="{60628B26-2B05-4116-B671-91CD8CEA41C4}" name="9081"/>
    <tableColumn id="9095" xr3:uid="{512E74FD-75B5-4889-8E13-88DDC41C58C8}" name="9082"/>
    <tableColumn id="9096" xr3:uid="{6DC5BC2E-80E9-4B0F-871E-D47805B6E892}" name="9083"/>
    <tableColumn id="9097" xr3:uid="{F4D9110A-E597-4389-953F-EF55104E8F85}" name="9084"/>
    <tableColumn id="9098" xr3:uid="{F5F2E157-CA33-4F13-82E5-C9D2C90D8B5B}" name="9085"/>
    <tableColumn id="9099" xr3:uid="{60CF3194-098D-49ED-A5C0-CC915161208C}" name="9086"/>
    <tableColumn id="9100" xr3:uid="{2062F328-C716-4667-AF65-C66FC3EAC69E}" name="9087"/>
    <tableColumn id="9101" xr3:uid="{2A94E228-AF1C-4BD6-B697-DE2AA769F047}" name="9088"/>
    <tableColumn id="9102" xr3:uid="{87F1092E-EA3E-471A-8931-1A1CCCA3091C}" name="9089"/>
    <tableColumn id="9103" xr3:uid="{A846B437-A98E-4723-986B-7DA88E2D17ED}" name="9090"/>
    <tableColumn id="9104" xr3:uid="{DB443DF5-176E-45D1-BB48-5B65CFF510C2}" name="9091"/>
    <tableColumn id="9105" xr3:uid="{2556A1DE-A195-429E-98E3-9A630114EBA4}" name="9092"/>
    <tableColumn id="9106" xr3:uid="{6312AAAE-AC28-44C4-8233-62D13D93F278}" name="9093"/>
    <tableColumn id="9107" xr3:uid="{8A6ACB9B-A71B-4304-A116-0A27177ADFD0}" name="9094"/>
    <tableColumn id="9108" xr3:uid="{3E2E1699-1150-4F76-BA1D-61C5A4CF8857}" name="9095"/>
    <tableColumn id="9109" xr3:uid="{3F3C6660-69FE-425D-AE44-6E391151AF8A}" name="9096"/>
    <tableColumn id="9110" xr3:uid="{9FB334A3-1483-415E-BA66-0B2674EB6C5D}" name="9097"/>
    <tableColumn id="9111" xr3:uid="{0874DFE4-3E02-43D0-9E8B-DC936392CA0D}" name="9098"/>
    <tableColumn id="9112" xr3:uid="{60D35DCD-5CFB-4713-A827-336C48890D96}" name="9099"/>
    <tableColumn id="9113" xr3:uid="{37CBC236-92F6-4B1C-808B-DC9A87D2CEB1}" name="9100"/>
    <tableColumn id="9114" xr3:uid="{A63F7970-0D7E-4F7F-9BBE-79E832399492}" name="9101"/>
    <tableColumn id="9115" xr3:uid="{1320CA5C-4F15-470B-8091-DA73276749C3}" name="9102"/>
    <tableColumn id="9116" xr3:uid="{4A759E8C-ACC1-4E15-B1D9-FF869A52A9FE}" name="9103"/>
    <tableColumn id="9117" xr3:uid="{5DAF52F6-CB51-44AD-838F-A02289F8FD4F}" name="9104"/>
    <tableColumn id="9118" xr3:uid="{38F81585-A3CE-4F20-AD52-8E13E906853F}" name="9105"/>
    <tableColumn id="9119" xr3:uid="{F8FA2D8A-086A-4D1D-8A88-A1E7DEA1A3D8}" name="9106"/>
    <tableColumn id="9120" xr3:uid="{49EB4407-F558-49C9-B272-449B98DF9A89}" name="9107"/>
    <tableColumn id="9121" xr3:uid="{614EBA87-89CB-496E-AAEE-1D8EEFCA878F}" name="9108"/>
    <tableColumn id="9122" xr3:uid="{E6EDE7D3-A05B-4D54-B004-92C6CE04F5AB}" name="9109"/>
    <tableColumn id="9123" xr3:uid="{3B18A815-7664-4676-A463-D7F0CF114752}" name="9110"/>
    <tableColumn id="9124" xr3:uid="{496B60F5-E467-414D-A76A-78ED41933315}" name="9111"/>
    <tableColumn id="9125" xr3:uid="{0004913E-E62D-4FF1-9CE0-4196F27A4B53}" name="9112"/>
    <tableColumn id="9126" xr3:uid="{3A7F0768-AFFA-4024-B450-964DF7E97D69}" name="9113"/>
    <tableColumn id="9127" xr3:uid="{E6F6015B-6324-4137-B071-FB90B0EF10C8}" name="9114"/>
    <tableColumn id="9128" xr3:uid="{0B781B8A-A1B3-4FF4-9F59-EBEDFCCABD47}" name="9115"/>
    <tableColumn id="9129" xr3:uid="{1724A269-4602-4FAA-AC4F-460A1F6830D6}" name="9116"/>
    <tableColumn id="9130" xr3:uid="{DF79D60B-1F18-4347-973A-D7B52BB83E41}" name="9117"/>
    <tableColumn id="9131" xr3:uid="{0EA3DFDB-4796-44C5-AD9E-B7D9591B8C6B}" name="9118"/>
    <tableColumn id="9132" xr3:uid="{6A6898E5-AAC6-4BFA-A523-148D6B51FB09}" name="9119"/>
    <tableColumn id="9133" xr3:uid="{AE18F824-CC2B-44E2-BCB6-7BDF4B758B5F}" name="9120"/>
    <tableColumn id="9134" xr3:uid="{69443521-5558-4F7D-9195-57317351F5F9}" name="9121"/>
    <tableColumn id="9135" xr3:uid="{4A63FFBE-7923-4D3B-B23E-30ED82AE210A}" name="9122"/>
    <tableColumn id="9136" xr3:uid="{84BEFEE8-CA54-4094-B33D-6E5C610D8063}" name="9123"/>
    <tableColumn id="9137" xr3:uid="{D5F486D0-4017-479F-B2E8-E704D11F50CB}" name="9124"/>
    <tableColumn id="9138" xr3:uid="{4A0AF191-2ED1-4411-9D19-58E939A09CEA}" name="9125"/>
    <tableColumn id="9139" xr3:uid="{9D4631BE-11C7-440B-A910-BEEABC77F9FC}" name="9126"/>
    <tableColumn id="9140" xr3:uid="{743FA169-0F89-43E8-81DD-5741B5F9DCEA}" name="9127"/>
    <tableColumn id="9141" xr3:uid="{73A13AF6-A8D5-48D0-AE6E-95F78940035C}" name="9128"/>
    <tableColumn id="9142" xr3:uid="{5BD567E5-06E4-44EB-9A48-06706B07F4DB}" name="9129"/>
    <tableColumn id="9143" xr3:uid="{883A2DDB-ED2A-4F82-9125-9F708A38374C}" name="9130"/>
    <tableColumn id="9144" xr3:uid="{6EBF8BCD-25A5-4FD1-B894-31BB46300B9C}" name="9131"/>
    <tableColumn id="9145" xr3:uid="{98D05F38-FF58-453D-88F1-9B850D370F5C}" name="9132"/>
    <tableColumn id="9146" xr3:uid="{686B1960-8F7C-415E-AB87-3185A4D2E5E7}" name="9133"/>
    <tableColumn id="9147" xr3:uid="{48BEC865-0699-4797-B4D5-820E3B4FF334}" name="9134"/>
    <tableColumn id="9148" xr3:uid="{A45D4A86-0EF8-4957-8255-0909F019D4B8}" name="9135"/>
    <tableColumn id="9149" xr3:uid="{D93054E7-E7C1-44FC-BF49-D08628DCF1A4}" name="9136"/>
    <tableColumn id="9150" xr3:uid="{31F68172-D40E-4057-A4FD-AA253357E477}" name="9137"/>
    <tableColumn id="9151" xr3:uid="{6866639B-5215-4DB5-84B8-CD5D36FB1A0E}" name="9138"/>
    <tableColumn id="9152" xr3:uid="{169D55BD-C771-40FC-8619-9E16DC23377B}" name="9139"/>
    <tableColumn id="9153" xr3:uid="{DE50CAEF-ABC0-4CE5-85C0-B53708032757}" name="9140"/>
    <tableColumn id="9154" xr3:uid="{CE6EE5CB-DE0A-45B9-9C15-94925D3BB3B2}" name="9141"/>
    <tableColumn id="9155" xr3:uid="{BFB20E9B-D228-475F-8483-34B9BB2AA213}" name="9142"/>
    <tableColumn id="9156" xr3:uid="{8753FDBD-3C0E-43BC-94EB-7301E781A46C}" name="9143"/>
    <tableColumn id="9157" xr3:uid="{8BA168CB-86CB-4669-B58C-2623B79F181E}" name="9144"/>
    <tableColumn id="9158" xr3:uid="{D489B451-506C-4C79-9872-F60BB0464DDB}" name="9145"/>
    <tableColumn id="9159" xr3:uid="{D5453383-E70E-4F40-AFB1-9D6F23CC70E8}" name="9146"/>
    <tableColumn id="9160" xr3:uid="{A0C75AE7-F997-41AD-AB56-80BABB819DF4}" name="9147"/>
    <tableColumn id="9161" xr3:uid="{8A50EA15-EF6A-45A6-99E4-8EFF67E044EB}" name="9148"/>
    <tableColumn id="9162" xr3:uid="{BCB9FD3E-CE7D-480F-9986-48FA943A9CC3}" name="9149"/>
    <tableColumn id="9163" xr3:uid="{D7CEC222-F1EE-479C-8DCF-9C6B67A85065}" name="9150"/>
    <tableColumn id="9164" xr3:uid="{E094556F-DF20-4E07-85D9-3F812A544A2F}" name="9151"/>
    <tableColumn id="9165" xr3:uid="{EF7B8E0D-3505-4EFB-839F-0E711ABC10F4}" name="9152"/>
    <tableColumn id="9166" xr3:uid="{DC20BC0F-ADEF-40FC-96A8-FDEA62171541}" name="9153"/>
    <tableColumn id="9167" xr3:uid="{ACE706F5-9607-4720-8CD2-9F4A6DA37D32}" name="9154"/>
    <tableColumn id="9168" xr3:uid="{851E7203-5520-4388-ADC3-3C81EDDA74F8}" name="9155"/>
    <tableColumn id="9169" xr3:uid="{34C99384-08E8-43A8-B0DB-8E0F4101DD92}" name="9156"/>
    <tableColumn id="9170" xr3:uid="{A10B3086-F55C-4571-A764-332C101B4EC7}" name="9157"/>
    <tableColumn id="9171" xr3:uid="{103BB3C8-320D-4E7E-8615-9F9EF856F2BC}" name="9158"/>
    <tableColumn id="9172" xr3:uid="{B5778F93-3BD2-4B53-B379-BFE7558D783A}" name="9159"/>
    <tableColumn id="9173" xr3:uid="{D968BE0A-4662-4F61-8089-976C57351690}" name="9160"/>
    <tableColumn id="9174" xr3:uid="{59051F22-FC63-4095-AFF3-38994D6793A9}" name="9161"/>
    <tableColumn id="9175" xr3:uid="{4E5B5AD1-F0ED-49CC-ACCD-B7129F685584}" name="9162"/>
    <tableColumn id="9176" xr3:uid="{FE724859-758B-4FED-8F93-B8B80C87A8D5}" name="9163"/>
    <tableColumn id="9177" xr3:uid="{786A6F2A-0B77-465E-A7F8-449344F67DDB}" name="9164"/>
    <tableColumn id="9178" xr3:uid="{F2BACBDA-D6F0-4C42-8FB5-2141B642A4EA}" name="9165"/>
    <tableColumn id="9179" xr3:uid="{EF13A7C9-EEBE-4AA7-A155-03CBA42CC930}" name="9166"/>
    <tableColumn id="9180" xr3:uid="{A097103F-9547-4A26-8902-8ACE5130A90D}" name="9167"/>
    <tableColumn id="9181" xr3:uid="{C733D7AC-B0E6-4CA9-B706-9EAC00BF036F}" name="9168"/>
    <tableColumn id="9182" xr3:uid="{9C87A0D3-C378-455C-A4DA-9FF6340AE026}" name="9169"/>
    <tableColumn id="9183" xr3:uid="{52DDE62C-CD8E-48D5-BB67-0A73A014CC50}" name="9170"/>
    <tableColumn id="9184" xr3:uid="{ED29350F-E003-48D7-BB9E-956FFD2B7709}" name="9171"/>
    <tableColumn id="9185" xr3:uid="{4839C8D7-B2CC-4FEB-9AA2-CAC7B14777C4}" name="9172"/>
    <tableColumn id="9186" xr3:uid="{AD57167E-9A54-4D6A-95D0-A86DF569A4F2}" name="9173"/>
    <tableColumn id="9187" xr3:uid="{66084855-0D94-441D-8ABD-7DE99F14EC2E}" name="9174"/>
    <tableColumn id="9188" xr3:uid="{6E171472-B9D6-4E23-9980-F2D6E5B07A88}" name="9175"/>
    <tableColumn id="9189" xr3:uid="{D02FF19A-0902-44BF-A412-2D5D9BFD39A2}" name="9176"/>
    <tableColumn id="9190" xr3:uid="{50CCB5B2-F75A-40B2-AB23-7B356F5F849C}" name="9177"/>
    <tableColumn id="9191" xr3:uid="{8CBBB64B-98AD-46CB-AF4A-A174DC80DB5D}" name="9178"/>
    <tableColumn id="9192" xr3:uid="{9C2535FA-7DDE-4A92-839C-CFB43F341A89}" name="9179"/>
    <tableColumn id="9193" xr3:uid="{57C8329A-ED54-4D59-AE5A-6F10957D5AAB}" name="9180"/>
    <tableColumn id="9194" xr3:uid="{0D8375A8-A27B-45C7-AA6F-FF32F234CF13}" name="9181"/>
    <tableColumn id="9195" xr3:uid="{94777156-9E6F-4073-9D6E-F956DD233AC0}" name="9182"/>
    <tableColumn id="9196" xr3:uid="{6B604EF9-FB18-4E54-9B2B-B3C8D462B088}" name="9183"/>
    <tableColumn id="9197" xr3:uid="{26CEF8EB-B5BC-4530-88CF-5492DCAB7D21}" name="9184"/>
    <tableColumn id="9198" xr3:uid="{00E2B1D9-E72E-4164-BBBD-90C55045F091}" name="9185"/>
    <tableColumn id="9199" xr3:uid="{9D80289E-440E-4370-B734-964F1090DE69}" name="9186"/>
    <tableColumn id="9200" xr3:uid="{035441D4-7C8D-4504-BBBC-31D276607BFE}" name="9187"/>
    <tableColumn id="9201" xr3:uid="{087F982F-727C-4953-B20C-87FC3739ECF2}" name="9188"/>
    <tableColumn id="9202" xr3:uid="{1EBAEFB3-FEB6-4AE1-B0E6-D96643DF528F}" name="9189"/>
    <tableColumn id="9203" xr3:uid="{55F84480-6607-433D-B1CF-63E9334608F1}" name="9190"/>
    <tableColumn id="9204" xr3:uid="{741DD5C8-ADC9-4336-8207-040787A65792}" name="9191"/>
    <tableColumn id="9205" xr3:uid="{A085D9E4-7B41-488E-BDEE-37957AA00180}" name="9192"/>
    <tableColumn id="9206" xr3:uid="{90E60885-6F42-4ED2-9F30-AFECCC808278}" name="9193"/>
    <tableColumn id="9207" xr3:uid="{84073A65-61B2-4EEA-ACB1-AECC56842FFE}" name="9194"/>
    <tableColumn id="9208" xr3:uid="{696B72E9-9A4D-4322-8C8A-9D5C61081DC8}" name="9195"/>
    <tableColumn id="9209" xr3:uid="{60D3E4DC-D21A-45D7-9ACE-851BE270F1A7}" name="9196"/>
    <tableColumn id="9210" xr3:uid="{936D3B4E-D066-4169-977C-42DC84C8F8BD}" name="9197"/>
    <tableColumn id="9211" xr3:uid="{D401308A-E650-4F4E-A70E-EBA860057DAB}" name="9198"/>
    <tableColumn id="9212" xr3:uid="{A3FCB2F4-B17F-4438-AFEF-0FE61E61B073}" name="9199"/>
    <tableColumn id="9213" xr3:uid="{7F265F9E-3AB3-4C7A-BB4D-8B56BB241E1C}" name="9200"/>
    <tableColumn id="9214" xr3:uid="{1977EA9E-1623-4E79-97CC-AC98E1BD35BF}" name="9201"/>
    <tableColumn id="9215" xr3:uid="{6827CDC4-1724-4276-AFA6-3812BB68328C}" name="9202"/>
    <tableColumn id="9216" xr3:uid="{9D6577A6-E978-4F3E-917F-200DA960B36A}" name="9203"/>
    <tableColumn id="9217" xr3:uid="{8BDB6BD8-F053-4AEF-9054-DA5A0EE56ADA}" name="9204"/>
    <tableColumn id="9218" xr3:uid="{57DFE53A-AAF4-4E80-BCAA-13736A681687}" name="9205"/>
    <tableColumn id="9219" xr3:uid="{4AFE588D-7AF3-4543-8B65-E4069291762C}" name="9206"/>
    <tableColumn id="9220" xr3:uid="{0CCE93B3-1AED-4A55-BB2C-0F17CDBC2EB6}" name="9207"/>
    <tableColumn id="9221" xr3:uid="{E126ED7B-80FA-4236-BA3C-0F20900CB04E}" name="9208"/>
    <tableColumn id="9222" xr3:uid="{A567AAA3-3D60-4E22-836A-5F8282D8C43A}" name="9209"/>
    <tableColumn id="9223" xr3:uid="{5166BD41-9D4D-4C2A-9100-0FA7FD2877C3}" name="9210"/>
    <tableColumn id="9224" xr3:uid="{858196D0-C9D4-49D3-94D7-12F7B87C346E}" name="9211"/>
    <tableColumn id="9225" xr3:uid="{0A44BDCF-B290-4E14-9587-FFD953F96BF6}" name="9212"/>
    <tableColumn id="9226" xr3:uid="{13E111E3-A2D7-4B2E-B27D-3903636908D6}" name="9213"/>
    <tableColumn id="9227" xr3:uid="{3ECF35F1-6B37-43CD-BB7B-DD1207ED6977}" name="9214"/>
    <tableColumn id="9228" xr3:uid="{4B45BA33-3CBE-4E6B-B4F2-507E40A2D960}" name="9215"/>
    <tableColumn id="9229" xr3:uid="{25DC089C-9CEC-46D9-B9AF-CB4066327DF2}" name="9216"/>
    <tableColumn id="9230" xr3:uid="{F5D68420-94D9-4264-A79E-623900E2D020}" name="9217"/>
    <tableColumn id="9231" xr3:uid="{8E042823-E9A7-4F72-9410-14B1628170B0}" name="9218"/>
    <tableColumn id="9232" xr3:uid="{253A1764-70C9-4BB0-8052-BEF2FCBE1C02}" name="9219"/>
    <tableColumn id="9233" xr3:uid="{99B4F01A-9DC4-43AB-B89B-2BD369D1B1BC}" name="9220"/>
    <tableColumn id="9234" xr3:uid="{3D6C5C6E-AFC3-4E58-ABF6-160DDB7263CE}" name="9221"/>
    <tableColumn id="9235" xr3:uid="{63A733C9-5CEA-4583-BAA5-7CEAEA180298}" name="9222"/>
    <tableColumn id="9236" xr3:uid="{4951A8C5-442C-43B6-843D-13BF92FF863B}" name="9223"/>
    <tableColumn id="9237" xr3:uid="{0F2547AC-6CBA-464E-AD5F-3BF6ACAFD277}" name="9224"/>
    <tableColumn id="9238" xr3:uid="{1701A4F1-9FCC-46B4-BD68-A4261F59EBA9}" name="9225"/>
    <tableColumn id="9239" xr3:uid="{0AFFC909-0403-44AA-82F9-6092F0008720}" name="9226"/>
    <tableColumn id="9240" xr3:uid="{FF9EAC1C-D1A3-4542-A7CD-D47ABCF4C337}" name="9227"/>
    <tableColumn id="9241" xr3:uid="{0FEF89F1-2814-4132-9141-050F5094847D}" name="9228"/>
    <tableColumn id="9242" xr3:uid="{B2692670-9B46-4D5A-92AC-DFFFE3723C88}" name="9229"/>
    <tableColumn id="9243" xr3:uid="{9E760F15-BEF6-467B-909D-F7AFC154D0D7}" name="9230"/>
    <tableColumn id="9244" xr3:uid="{4EA19FA3-F6A8-4BF2-9787-8FBFC959AF0B}" name="9231"/>
    <tableColumn id="9245" xr3:uid="{36287BA9-9FBD-4242-A22B-59047B14460F}" name="9232"/>
    <tableColumn id="9246" xr3:uid="{219C2A9C-A980-448A-99A8-CB6A8717D90D}" name="9233"/>
    <tableColumn id="9247" xr3:uid="{F55BEB14-5CBD-47F6-BE17-1EF4752C5811}" name="9234"/>
    <tableColumn id="9248" xr3:uid="{E3B4BD3C-057E-40F6-A803-DB009955EC41}" name="9235"/>
    <tableColumn id="9249" xr3:uid="{67C4763D-E990-47A2-8D63-B384CF888FCC}" name="9236"/>
    <tableColumn id="9250" xr3:uid="{E9257DFB-4F40-46AB-A68B-0C6C9E7E40B4}" name="9237"/>
    <tableColumn id="9251" xr3:uid="{30D7054E-B509-4208-A96B-D479F5451166}" name="9238"/>
    <tableColumn id="9252" xr3:uid="{C21936DC-BBE8-4332-A8A9-38FFFC1ED04F}" name="9239"/>
    <tableColumn id="9253" xr3:uid="{9998CC6A-39A1-4156-B7AA-D0E3D65B66DC}" name="9240"/>
    <tableColumn id="9254" xr3:uid="{FBA6847A-3EA7-47D4-A972-02A965A6963E}" name="9241"/>
    <tableColumn id="9255" xr3:uid="{DB2AFA6B-69D9-4136-A9B4-62AFCF86BB01}" name="9242"/>
    <tableColumn id="9256" xr3:uid="{63B36883-F87E-4E3E-8FCC-A95906A2F9BA}" name="9243"/>
    <tableColumn id="9257" xr3:uid="{84EAD7DB-177A-4C61-8AEF-D566EDD02414}" name="9244"/>
    <tableColumn id="9258" xr3:uid="{32AF6731-159C-4EA1-A0A1-BEEBE7300740}" name="9245"/>
    <tableColumn id="9259" xr3:uid="{62F98517-1FF8-4A54-933E-9204C76842DC}" name="9246"/>
    <tableColumn id="9260" xr3:uid="{8B2AE70D-58C0-4698-B293-A9C919E55255}" name="9247"/>
    <tableColumn id="9261" xr3:uid="{825517DD-2BFC-4FB6-812E-C7917754988E}" name="9248"/>
    <tableColumn id="9262" xr3:uid="{80B25F5E-FE92-4AB2-96C7-393852F62631}" name="9249"/>
    <tableColumn id="9263" xr3:uid="{A843D267-6990-48B8-B9AF-B9FB6A1509DD}" name="9250"/>
    <tableColumn id="9264" xr3:uid="{9EA51511-80ED-413A-B125-67B83547CC8B}" name="9251"/>
    <tableColumn id="9265" xr3:uid="{F4307D79-0824-483E-8055-9BBF2894A6E4}" name="9252"/>
    <tableColumn id="9266" xr3:uid="{9A83E736-AB64-4EC5-BEF4-3A57464AF7FB}" name="9253"/>
    <tableColumn id="9267" xr3:uid="{CD29F748-D242-4158-8AA5-7E471B65BEC3}" name="9254"/>
    <tableColumn id="9268" xr3:uid="{9E255AC1-3210-414E-955A-A212186E7845}" name="9255"/>
    <tableColumn id="9269" xr3:uid="{22C79F6A-772B-4CE5-8466-D54C7DBE680C}" name="9256"/>
    <tableColumn id="9270" xr3:uid="{87B846B4-F23D-42C8-AB39-278FF1402EF7}" name="9257"/>
    <tableColumn id="9271" xr3:uid="{C54D75A8-61FE-48E1-93C9-0424BBD36035}" name="9258"/>
    <tableColumn id="9272" xr3:uid="{4DB3AC50-2C73-43ED-9DDD-02E8B77B0EDB}" name="9259"/>
    <tableColumn id="9273" xr3:uid="{DB55E67D-E824-41A6-B99E-B3A6F8E6DE9D}" name="9260"/>
    <tableColumn id="9274" xr3:uid="{EFF38872-07A1-42AB-A16E-ED2BE1443BAB}" name="9261"/>
    <tableColumn id="9275" xr3:uid="{54E8AFFA-1700-4BD2-8CF5-553A83F6D8CE}" name="9262"/>
    <tableColumn id="9276" xr3:uid="{2C554D00-709A-41A7-9790-9C34304D11AF}" name="9263"/>
    <tableColumn id="9277" xr3:uid="{B0848585-4EEE-4C58-BA41-8A3F69D517A6}" name="9264"/>
    <tableColumn id="9278" xr3:uid="{D2AB84CD-9315-491A-A18D-9339E5F72BF6}" name="9265"/>
    <tableColumn id="9279" xr3:uid="{A1B267D9-8951-4558-B9BB-EB85E6C78EA5}" name="9266"/>
    <tableColumn id="9280" xr3:uid="{0056CF31-1E6E-4BDC-8CD8-D329BA44045C}" name="9267"/>
    <tableColumn id="9281" xr3:uid="{44933361-69D9-44B3-9D85-03AC7C0665A4}" name="9268"/>
    <tableColumn id="9282" xr3:uid="{0CEB786C-0980-4F1A-A035-5F2D4DB56128}" name="9269"/>
    <tableColumn id="9283" xr3:uid="{FBB124C9-EB10-4A61-842B-3B99958DDBB0}" name="9270"/>
    <tableColumn id="9284" xr3:uid="{958545E6-BB4A-491F-A2E0-9590D329F324}" name="9271"/>
    <tableColumn id="9285" xr3:uid="{17FA58F4-65BC-4C4A-826D-15A202DF8957}" name="9272"/>
    <tableColumn id="9286" xr3:uid="{BC001973-BF91-4933-9796-CCB0E298B65D}" name="9273"/>
    <tableColumn id="9287" xr3:uid="{36DBCC8D-1980-4B00-A73E-617BC4881D13}" name="9274"/>
    <tableColumn id="9288" xr3:uid="{99A0D8E3-0405-461C-ADA4-91A750DEC932}" name="9275"/>
    <tableColumn id="9289" xr3:uid="{3DEDB913-6189-4465-A7E6-851FBC7F2272}" name="9276"/>
    <tableColumn id="9290" xr3:uid="{40AAAB29-D88F-4901-8D4B-F4FE16EA494D}" name="9277"/>
    <tableColumn id="9291" xr3:uid="{16ECD0E5-E0F6-46C0-89BB-709C34E0D708}" name="9278"/>
    <tableColumn id="9292" xr3:uid="{08C430AC-1EB0-40E2-8743-C8E04AAF5913}" name="9279"/>
    <tableColumn id="9293" xr3:uid="{C0F906CF-AD41-4E5D-A7A2-ACA9937F1CCE}" name="9280"/>
    <tableColumn id="9294" xr3:uid="{5B490130-2EBF-4268-BC01-9C85D0D16AE9}" name="9281"/>
    <tableColumn id="9295" xr3:uid="{3724F718-B81A-4C48-A843-73D4DB5E638F}" name="9282"/>
    <tableColumn id="9296" xr3:uid="{F22AF11B-EE18-4491-8201-1330A77A40CB}" name="9283"/>
    <tableColumn id="9297" xr3:uid="{CDE755F5-6C1D-4D95-91AA-A71F7C14E7E7}" name="9284"/>
    <tableColumn id="9298" xr3:uid="{5C2D3D4B-5DFA-4D62-A69F-086FDA0CE6D5}" name="9285"/>
    <tableColumn id="9299" xr3:uid="{2045B18E-8AD8-47A2-AAFD-83660FFEEDF4}" name="9286"/>
    <tableColumn id="9300" xr3:uid="{F23D575D-BDA8-4F6A-85B1-4EB49948324D}" name="9287"/>
    <tableColumn id="9301" xr3:uid="{D76A5544-B22D-4646-8231-6DACCB6C0D29}" name="9288"/>
    <tableColumn id="9302" xr3:uid="{DCD31348-2603-43DA-BAB9-0A6C0630FEC9}" name="9289"/>
    <tableColumn id="9303" xr3:uid="{64C23215-82BB-4648-A1C8-B3E7ED4E26AB}" name="9290"/>
    <tableColumn id="9304" xr3:uid="{888EB202-0B64-43AE-904B-7D62B7D9C4DC}" name="9291"/>
    <tableColumn id="9305" xr3:uid="{A61A6D11-624E-4E6B-AC76-C58EBBC9C911}" name="9292"/>
    <tableColumn id="9306" xr3:uid="{A1E528DE-3455-4FED-BE7A-1AF57F8391F6}" name="9293"/>
    <tableColumn id="9307" xr3:uid="{5D7E2782-9FB0-4F51-9B59-625BA193C58E}" name="9294"/>
    <tableColumn id="9308" xr3:uid="{C6B0E362-0157-4810-86AD-72C0931D8874}" name="9295"/>
    <tableColumn id="9309" xr3:uid="{AA8A4BEE-D91F-428F-A318-DADC8C91ACB0}" name="9296"/>
    <tableColumn id="9310" xr3:uid="{DFC027F7-4CC6-4FED-873E-A9CD58019B12}" name="9297"/>
    <tableColumn id="9311" xr3:uid="{1E8D657C-99F6-4B4A-9BFF-E835EE8E69C1}" name="9298"/>
    <tableColumn id="9312" xr3:uid="{B466C02B-39CB-4A45-8944-123B09D2A3EE}" name="9299"/>
    <tableColumn id="9313" xr3:uid="{9160C8D3-9250-40D6-BC2D-BC51488F7686}" name="9300"/>
    <tableColumn id="9314" xr3:uid="{A78452AB-9FF6-45D8-8010-57F4A5681D93}" name="9301"/>
    <tableColumn id="9315" xr3:uid="{E02C5D00-16DD-4038-99D0-0A808B0CFDA0}" name="9302"/>
    <tableColumn id="9316" xr3:uid="{0A7E5C7C-FABC-43A2-8C6C-B58E4A253211}" name="9303"/>
    <tableColumn id="9317" xr3:uid="{21669835-BD3E-42A4-A5AA-83EC96DB422F}" name="9304"/>
    <tableColumn id="9318" xr3:uid="{DFC313C4-10E7-4E53-8BFA-F500CED0F8CA}" name="9305"/>
    <tableColumn id="9319" xr3:uid="{0A076C88-2315-405B-9652-B746E79CE8FD}" name="9306"/>
    <tableColumn id="9320" xr3:uid="{CC58262D-3654-4958-930C-3972C9391D67}" name="9307"/>
    <tableColumn id="9321" xr3:uid="{3B173CC9-858E-42F1-AD9D-47A28000FCE7}" name="9308"/>
    <tableColumn id="9322" xr3:uid="{63DA1B55-A9F6-490E-B4F1-9E8DE30D1D1F}" name="9309"/>
    <tableColumn id="9323" xr3:uid="{8CF5B4C2-11E6-481E-ACE0-6D77A2707AA2}" name="9310"/>
    <tableColumn id="9324" xr3:uid="{9EE4B09D-4C90-4A1D-B732-7514855AE6EF}" name="9311"/>
    <tableColumn id="9325" xr3:uid="{08DA23EF-58E4-42D6-BC69-6E4D01C02AD4}" name="9312"/>
    <tableColumn id="9326" xr3:uid="{49B0DDC4-03B3-40E1-93BD-DFB2994E3832}" name="9313"/>
    <tableColumn id="9327" xr3:uid="{DEA0412C-7EC4-4E5A-8550-1B6E96D3A66F}" name="9314"/>
    <tableColumn id="9328" xr3:uid="{36CA801E-D73D-45C8-958B-79AF6D578908}" name="9315"/>
    <tableColumn id="9329" xr3:uid="{BB24F45E-7588-48F5-AB57-93F4F315D0A5}" name="9316"/>
    <tableColumn id="9330" xr3:uid="{57AAF3C2-4B0F-4F8A-9944-416BF96BC56C}" name="9317"/>
    <tableColumn id="9331" xr3:uid="{C0B80E04-D834-464D-9BBA-05D2856687F9}" name="9318"/>
    <tableColumn id="9332" xr3:uid="{B991DBD4-4C03-4203-AA80-362CDF80CADA}" name="9319"/>
    <tableColumn id="9333" xr3:uid="{D4CBA7C3-E9B2-4704-A74B-610EF2558CDA}" name="9320"/>
    <tableColumn id="9334" xr3:uid="{0DE5521B-0F2E-4E82-9D80-C9BAD152F075}" name="9321"/>
    <tableColumn id="9335" xr3:uid="{452A7112-86FE-4FC1-A0EB-6713231AB682}" name="9322"/>
    <tableColumn id="9336" xr3:uid="{46C60F3E-3D6C-47A0-A88B-94247DD89016}" name="9323"/>
    <tableColumn id="9337" xr3:uid="{A9F1FE24-6198-47DA-906E-8E2E5C958712}" name="9324"/>
    <tableColumn id="9338" xr3:uid="{21913120-B4A8-499D-93D0-81115A8B74B5}" name="9325"/>
    <tableColumn id="9339" xr3:uid="{F05FB24F-895F-4B2C-A610-85FB51E1BECE}" name="9326"/>
    <tableColumn id="9340" xr3:uid="{66660D81-97D2-451C-875A-831DFC3FAC9A}" name="9327"/>
    <tableColumn id="9341" xr3:uid="{729423C1-3705-4939-88FD-3C6F8F5483F5}" name="9328"/>
    <tableColumn id="9342" xr3:uid="{464D91FA-1474-4ADA-85C2-F4FEE27089A8}" name="9329"/>
    <tableColumn id="9343" xr3:uid="{C50BFA3A-45D5-49A9-8ADB-965A2F5056F3}" name="9330"/>
    <tableColumn id="9344" xr3:uid="{C65089C0-0D9F-4789-B865-3F1537355104}" name="9331"/>
    <tableColumn id="9345" xr3:uid="{0796E551-C284-408E-B465-2831F47FA424}" name="9332"/>
    <tableColumn id="9346" xr3:uid="{5BBF259B-9830-4177-BF20-A9C1AFB5A224}" name="9333"/>
    <tableColumn id="9347" xr3:uid="{8011FEB1-CF23-48F1-A178-4288C9ED11F2}" name="9334"/>
    <tableColumn id="9348" xr3:uid="{CF5D36B4-88FA-45A6-A19E-4D182DAFD87C}" name="9335"/>
    <tableColumn id="9349" xr3:uid="{FC3DAEAC-1902-4449-9811-E60BF01E2C65}" name="9336"/>
    <tableColumn id="9350" xr3:uid="{003ED8BA-D40B-48CB-BC7D-766BE49B8A78}" name="9337"/>
    <tableColumn id="9351" xr3:uid="{F396A993-B583-46EA-86C6-A429EA93C81D}" name="9338"/>
    <tableColumn id="9352" xr3:uid="{2DB9DDF1-70A7-4EA4-8A71-FE482E70B7B3}" name="9339"/>
    <tableColumn id="9353" xr3:uid="{120E2540-A68F-4D18-B764-95BEB88C4A23}" name="9340"/>
    <tableColumn id="9354" xr3:uid="{AD6847EC-8964-4CDD-BCD4-912B4E2BAEF9}" name="9341"/>
    <tableColumn id="9355" xr3:uid="{8E6BC958-1FB9-4F85-9DC1-E6A245138CC1}" name="9342"/>
    <tableColumn id="9356" xr3:uid="{B8C514AE-59BC-4364-948F-AABFD5FA9036}" name="9343"/>
    <tableColumn id="9357" xr3:uid="{BDDF4F52-423C-46C0-88C0-6AD1B82BD381}" name="9344"/>
    <tableColumn id="9358" xr3:uid="{D0662E58-AE8E-46F9-8DF6-FD46C7458F08}" name="9345"/>
    <tableColumn id="9359" xr3:uid="{5D19FBA1-4227-4F62-BE3F-08B6458E04CA}" name="9346"/>
    <tableColumn id="9360" xr3:uid="{445B0296-EF1B-4D4E-9AC7-79502CA852ED}" name="9347"/>
    <tableColumn id="9361" xr3:uid="{B1C9661F-C3C4-4B1A-A064-6571E9519F7A}" name="9348"/>
    <tableColumn id="9362" xr3:uid="{60069436-9597-4B97-BFA7-29E5BE1C9E52}" name="9349"/>
    <tableColumn id="9363" xr3:uid="{63130758-B85A-4947-9A0B-CC59C7078EEC}" name="9350"/>
    <tableColumn id="9364" xr3:uid="{17C3ADDE-5398-4CD8-A125-D9E260D80175}" name="9351"/>
    <tableColumn id="9365" xr3:uid="{911CB3BD-4E8F-43C0-A6B3-637A097A9F29}" name="9352"/>
    <tableColumn id="9366" xr3:uid="{D6378336-9834-4451-B2BE-8A8110FBD858}" name="9353"/>
    <tableColumn id="9367" xr3:uid="{892ABCA1-8CA8-47E9-A692-EF77E8989F34}" name="9354"/>
    <tableColumn id="9368" xr3:uid="{634D1381-3C04-43FF-8F24-29FA3F7BB3B9}" name="9355"/>
    <tableColumn id="9369" xr3:uid="{BD6767A6-B85A-48C8-9AFD-AE6FCEC7167A}" name="9356"/>
    <tableColumn id="9370" xr3:uid="{FFD7C529-7D5B-41B3-80F4-D3897ED36634}" name="9357"/>
    <tableColumn id="9371" xr3:uid="{8C27C99E-E1CC-4F51-8725-5877F205FFD8}" name="9358"/>
    <tableColumn id="9372" xr3:uid="{3BD0785A-1298-45B1-B133-F10FC026E35E}" name="9359"/>
    <tableColumn id="9373" xr3:uid="{01009FA8-2F89-4ED2-9F80-D5C9EC29FD59}" name="9360"/>
    <tableColumn id="9374" xr3:uid="{93E88180-D270-409C-A6B0-30400FC3D4C5}" name="9361"/>
    <tableColumn id="9375" xr3:uid="{37C2DA76-17EE-4C9F-BE43-CD301E2625E7}" name="9362"/>
    <tableColumn id="9376" xr3:uid="{0E5B4817-9898-48E2-B502-46EE8BEB3DF8}" name="9363"/>
    <tableColumn id="9377" xr3:uid="{3B423630-68AC-49B7-ACCE-9E01BFB8A792}" name="9364"/>
    <tableColumn id="9378" xr3:uid="{E644452A-B55E-4942-AA86-0FE37A905657}" name="9365"/>
    <tableColumn id="9379" xr3:uid="{0C43ABF1-C918-4446-B90A-FF59AAE9110B}" name="9366"/>
    <tableColumn id="9380" xr3:uid="{42C8E65A-71DF-4DFB-83FF-D6CE076D39F8}" name="9367"/>
    <tableColumn id="9381" xr3:uid="{2FEE3B33-074A-4EAE-B3D3-4FCFDB9C32D1}" name="9368"/>
    <tableColumn id="9382" xr3:uid="{AFA85120-38C2-4284-8CB6-377B231972C8}" name="9369"/>
    <tableColumn id="9383" xr3:uid="{224CBC73-79BD-4886-ABD4-A51F747724BE}" name="9370"/>
    <tableColumn id="9384" xr3:uid="{0CC58712-D26D-42B3-980B-D5EF1BFE97E4}" name="9371"/>
    <tableColumn id="9385" xr3:uid="{29CB3BD2-A8D0-44CE-A749-3AD63308CE23}" name="9372"/>
    <tableColumn id="9386" xr3:uid="{354F8FD2-BF05-403F-A055-29ECDF3F34E1}" name="9373"/>
    <tableColumn id="9387" xr3:uid="{520EE672-A00F-46CA-92D1-50B60515B4DF}" name="9374"/>
    <tableColumn id="9388" xr3:uid="{29A83E64-9FCE-4FC1-B9FA-02EB5FB8A984}" name="9375"/>
    <tableColumn id="9389" xr3:uid="{8B353D9D-D093-45DA-AD97-5301A6B49388}" name="9376"/>
    <tableColumn id="9390" xr3:uid="{2670473A-53AE-4CC9-A9C1-7FBA5AF1BF65}" name="9377"/>
    <tableColumn id="9391" xr3:uid="{4816DC82-FDD4-4850-9148-F61617968C83}" name="9378"/>
    <tableColumn id="9392" xr3:uid="{0EB41E1E-9E5D-434A-9048-684F52EACB94}" name="9379"/>
    <tableColumn id="9393" xr3:uid="{3031F4C3-FFEC-4489-B285-42C9033F818B}" name="9380"/>
    <tableColumn id="9394" xr3:uid="{40EE04B2-363B-4257-A89A-04D84C55C76C}" name="9381"/>
    <tableColumn id="9395" xr3:uid="{B11FDFAE-B002-43FC-BA98-CCA1C3D903D0}" name="9382"/>
    <tableColumn id="9396" xr3:uid="{60184A27-DA03-4B5F-AAD9-03CB32582171}" name="9383"/>
    <tableColumn id="9397" xr3:uid="{9ED2ECD0-2960-4998-B642-722B40504A9E}" name="9384"/>
    <tableColumn id="9398" xr3:uid="{F04A1178-D5ED-4C29-955F-2C59DC397583}" name="9385"/>
    <tableColumn id="9399" xr3:uid="{863096A2-94B9-46A0-A87E-6795BC4971C1}" name="9386"/>
    <tableColumn id="9400" xr3:uid="{925F3A2A-C936-4260-B735-0EAE71B0FB54}" name="9387"/>
    <tableColumn id="9401" xr3:uid="{32454BB8-29B0-4AC0-AA4E-984407AEAD1A}" name="9388"/>
    <tableColumn id="9402" xr3:uid="{C278D7AA-01EB-4E71-9E61-BDD4AF9881E1}" name="9389"/>
    <tableColumn id="9403" xr3:uid="{51B9EBCF-4EF8-42AC-87CF-900DCE8E820C}" name="9390"/>
    <tableColumn id="9404" xr3:uid="{7532CD0C-2DB0-4757-AB40-004B54D917CA}" name="9391"/>
    <tableColumn id="9405" xr3:uid="{F9D44545-3C27-42E4-9550-F3B8F096472F}" name="9392"/>
    <tableColumn id="9406" xr3:uid="{C06C9A6F-E387-434F-A809-ED65EF30DBA7}" name="9393"/>
    <tableColumn id="9407" xr3:uid="{5C457DE5-C3FE-4677-A4B7-45B764863C6A}" name="9394"/>
    <tableColumn id="9408" xr3:uid="{9B6C5205-FA21-440E-9F93-3E14F9C552D5}" name="9395"/>
    <tableColumn id="9409" xr3:uid="{FFBD1FEA-5FE6-4811-8E1A-99AE315FBFE1}" name="9396"/>
    <tableColumn id="9410" xr3:uid="{0D00C50A-7841-4233-9CEA-644F94E54B18}" name="9397"/>
    <tableColumn id="9411" xr3:uid="{4BAE4E61-2787-43B4-B866-0096EA4634B2}" name="9398"/>
    <tableColumn id="9412" xr3:uid="{238BB5E2-3568-4F12-BA00-6BC02A58E04E}" name="9399"/>
    <tableColumn id="9413" xr3:uid="{FE0D8F34-82BA-4AD8-8B64-BB1D98E919E4}" name="9400"/>
    <tableColumn id="9414" xr3:uid="{7F1609A2-38F1-4B7B-987E-5F02F2581BFB}" name="9401"/>
    <tableColumn id="9415" xr3:uid="{87C1A19B-5221-49D9-8BB9-B7DF181D69E7}" name="9402"/>
    <tableColumn id="9416" xr3:uid="{BC779C03-B53E-4DA3-A49F-21749C7ACD19}" name="9403"/>
    <tableColumn id="9417" xr3:uid="{2EEA4AB8-87C7-4352-99CA-0036DFE13811}" name="9404"/>
    <tableColumn id="9418" xr3:uid="{7A7EB15D-EAE1-4F4F-A172-3FF5E16071C7}" name="9405"/>
    <tableColumn id="9419" xr3:uid="{519C1ECE-4B42-4D94-B314-16F5E7737B65}" name="9406"/>
    <tableColumn id="9420" xr3:uid="{88325D98-3363-44E6-AD9B-26497BAB46D8}" name="9407"/>
    <tableColumn id="9421" xr3:uid="{DC2BA036-9A18-446A-AA87-7624A4AB2C47}" name="9408"/>
    <tableColumn id="9422" xr3:uid="{D3FBA278-F3B6-433C-9DE7-DBE5C5D76461}" name="9409"/>
    <tableColumn id="9423" xr3:uid="{698EC1B3-5DED-494C-95B5-3420C00B5594}" name="9410"/>
    <tableColumn id="9424" xr3:uid="{4FE90898-F62D-4E6B-8973-2A1E0FC19C52}" name="9411"/>
    <tableColumn id="9425" xr3:uid="{11ACE331-2BA6-4C92-8DC4-D5F4659EF631}" name="9412"/>
    <tableColumn id="9426" xr3:uid="{62410D92-0557-46E4-AF2C-CFB3DCC6EBE2}" name="9413"/>
    <tableColumn id="9427" xr3:uid="{FC155E68-36C4-4EBB-A0E3-2EAA1E5BE7BB}" name="9414"/>
    <tableColumn id="9428" xr3:uid="{C85799C5-887F-4CF2-A2CB-A8F3A87DE0F0}" name="9415"/>
    <tableColumn id="9429" xr3:uid="{8B756D87-D834-4774-B98B-16E25FC09AE0}" name="9416"/>
    <tableColumn id="9430" xr3:uid="{4D818B31-794B-4F74-8C5A-9F7D9ED800BA}" name="9417"/>
    <tableColumn id="9431" xr3:uid="{70CD0B6B-719B-471D-81E8-EA18B16EE746}" name="9418"/>
    <tableColumn id="9432" xr3:uid="{D51F4972-8081-44C9-A262-949987B2F112}" name="9419"/>
    <tableColumn id="9433" xr3:uid="{31F70DBF-A01F-426B-8CCB-D6AA9C0A871A}" name="9420"/>
    <tableColumn id="9434" xr3:uid="{A0DF771B-A4EF-48CE-A3C4-4C858014671E}" name="9421"/>
    <tableColumn id="9435" xr3:uid="{91128831-0F0F-47A5-B467-5BFA178C7D5E}" name="9422"/>
    <tableColumn id="9436" xr3:uid="{C3AB12BD-FEB4-41E1-889F-B5FE34BECDEB}" name="9423"/>
    <tableColumn id="9437" xr3:uid="{33BA8712-4A86-40DE-AD18-585B34F27180}" name="9424"/>
    <tableColumn id="9438" xr3:uid="{825C3B2F-6020-4439-97F4-64E4349E2B51}" name="9425"/>
    <tableColumn id="9439" xr3:uid="{3C055B0E-E5FD-48FE-AED5-EAE801803012}" name="9426"/>
    <tableColumn id="9440" xr3:uid="{0715325D-C217-45FC-A4FB-B08AB0B02C1F}" name="9427"/>
    <tableColumn id="9441" xr3:uid="{010147E1-5310-4398-B860-EE99CB226342}" name="9428"/>
    <tableColumn id="9442" xr3:uid="{7CADB565-E699-4BF9-A735-36AED70A750A}" name="9429"/>
    <tableColumn id="9443" xr3:uid="{91351B5A-D3F8-4719-93E2-DC44EA891577}" name="9430"/>
    <tableColumn id="9444" xr3:uid="{84E97C86-950F-4D55-B4D7-03CD1AB492B5}" name="9431"/>
    <tableColumn id="9445" xr3:uid="{E61B99BD-39B0-46EA-8129-A0163BC96FD9}" name="9432"/>
    <tableColumn id="9446" xr3:uid="{2B43F95E-C770-4B70-A72A-BF2D92F9FA82}" name="9433"/>
    <tableColumn id="9447" xr3:uid="{919AD423-9D9E-49B0-999C-F79A35547F3D}" name="9434"/>
    <tableColumn id="9448" xr3:uid="{3DFC4F26-C7A9-4ADE-AD33-F220A08E86E9}" name="9435"/>
    <tableColumn id="9449" xr3:uid="{50D37527-A3A4-43AF-9C81-6E4474049B1F}" name="9436"/>
    <tableColumn id="9450" xr3:uid="{59F8BBAD-3F89-45C0-94FC-DA7027319612}" name="9437"/>
    <tableColumn id="9451" xr3:uid="{27A56B57-0C85-4B02-8134-864B80EB25E7}" name="9438"/>
    <tableColumn id="9452" xr3:uid="{5D464D12-2DA2-4379-A4FA-E2A6029554DD}" name="9439"/>
    <tableColumn id="9453" xr3:uid="{EB7BA9CC-0E6F-4168-B81A-F7AB88140B48}" name="9440"/>
    <tableColumn id="9454" xr3:uid="{DC5B4E44-FBFD-4F50-A373-095669E17902}" name="9441"/>
    <tableColumn id="9455" xr3:uid="{AF9B6906-7825-477C-8A26-B2BA80CC173B}" name="9442"/>
    <tableColumn id="9456" xr3:uid="{F384E73D-7083-48E0-AA3E-F39693EA3D10}" name="9443"/>
    <tableColumn id="9457" xr3:uid="{BBFF0FDA-4ABB-413F-8814-82CB0D1357B8}" name="9444"/>
    <tableColumn id="9458" xr3:uid="{C75DC120-C759-4BF6-8484-8683656FF275}" name="9445"/>
    <tableColumn id="9459" xr3:uid="{50777646-11FE-4726-83D9-6D00A2591D7F}" name="9446"/>
    <tableColumn id="9460" xr3:uid="{7A647572-FF6B-4DAE-A143-1661AF0C0B2A}" name="9447"/>
    <tableColumn id="9461" xr3:uid="{D6CA6D64-2E51-4A5B-B726-79B818729E14}" name="9448"/>
    <tableColumn id="9462" xr3:uid="{520757CE-97C3-4A5A-B1DD-B71378E196CB}" name="9449"/>
    <tableColumn id="9463" xr3:uid="{3FE7F15D-5FB7-433D-893E-16F348757FF1}" name="9450"/>
    <tableColumn id="9464" xr3:uid="{A237905F-98FB-4111-9AD3-2290D7D500B7}" name="9451"/>
    <tableColumn id="9465" xr3:uid="{FBF7536F-D454-45E6-B854-180DD1A6ABCD}" name="9452"/>
    <tableColumn id="9466" xr3:uid="{60509F78-E15C-4A2B-BD0E-82A54A695D18}" name="9453"/>
    <tableColumn id="9467" xr3:uid="{00376744-2831-4129-83C7-32CEAD207D56}" name="9454"/>
    <tableColumn id="9468" xr3:uid="{4F5F2E09-9726-494E-9537-CBDC498D7349}" name="9455"/>
    <tableColumn id="9469" xr3:uid="{1DA8630F-978F-40F8-A508-C7E481F200BC}" name="9456"/>
    <tableColumn id="9470" xr3:uid="{FDDE128A-E56B-4BB5-927D-573D3A6CAE3B}" name="9457"/>
    <tableColumn id="9471" xr3:uid="{57168E91-A983-4686-9BFB-2E5DC7686661}" name="9458"/>
    <tableColumn id="9472" xr3:uid="{63B96E5E-F77C-4ED1-A506-0789B0940749}" name="9459"/>
    <tableColumn id="9473" xr3:uid="{C230FF91-B3D7-48A7-A9F1-98469DF40151}" name="9460"/>
    <tableColumn id="9474" xr3:uid="{85B95DB7-E3A1-40EA-9DAE-B9487FA5B3C6}" name="9461"/>
    <tableColumn id="9475" xr3:uid="{D3791707-A424-4912-9C7E-261CCF9B2930}" name="9462"/>
    <tableColumn id="9476" xr3:uid="{632C4547-7F1E-4F75-85E9-7A8928DFA762}" name="9463"/>
    <tableColumn id="9477" xr3:uid="{6166DD84-0D43-492C-928E-74DEB29AA2FD}" name="9464"/>
    <tableColumn id="9478" xr3:uid="{2183A2B9-7D8D-4445-B609-67C7385A9E22}" name="9465"/>
    <tableColumn id="9479" xr3:uid="{1823A8E0-26A9-4A53-8191-32EAED0FE860}" name="9466"/>
    <tableColumn id="9480" xr3:uid="{D5AB58F3-4214-4D2A-B71A-7604C15A7B5D}" name="9467"/>
    <tableColumn id="9481" xr3:uid="{D2EEF331-5CB6-4298-85E5-C328CC762193}" name="9468"/>
    <tableColumn id="9482" xr3:uid="{3F18DDBE-5A22-4B0D-A9D9-E4974AD54B04}" name="9469"/>
    <tableColumn id="9483" xr3:uid="{AB3EB12F-63BC-46C7-A6F6-D9D2A2ED8CAD}" name="9470"/>
    <tableColumn id="9484" xr3:uid="{78F1A720-A376-4F4A-A52D-82F3FECB2620}" name="9471"/>
    <tableColumn id="9485" xr3:uid="{6D51C24F-C8E2-4D0A-9EB5-B57EBF0A1102}" name="9472"/>
    <tableColumn id="9486" xr3:uid="{ABBE5704-2EC8-49D8-AB68-D28E3EEC4D0E}" name="9473"/>
    <tableColumn id="9487" xr3:uid="{B78FFA6D-BD87-4F49-8419-6504E17064A5}" name="9474"/>
    <tableColumn id="9488" xr3:uid="{1227180F-5140-4072-BB32-866A1C4CA5F2}" name="9475"/>
    <tableColumn id="9489" xr3:uid="{C3FBB151-9630-41EF-B164-EC81488BDF36}" name="9476"/>
    <tableColumn id="9490" xr3:uid="{285F9E9F-480F-479F-8591-B41D6E765CBC}" name="9477"/>
    <tableColumn id="9491" xr3:uid="{907FAD35-1D94-49B1-8D02-F118F30376C3}" name="9478"/>
    <tableColumn id="9492" xr3:uid="{2F07FE07-23B4-4CF2-B4A9-7C97031B43AB}" name="9479"/>
    <tableColumn id="9493" xr3:uid="{ECC8FF02-6033-414B-A8FB-84FECE87E206}" name="9480"/>
    <tableColumn id="9494" xr3:uid="{6D9A2096-6508-46BB-AA55-EBE4DF88C61E}" name="9481"/>
    <tableColumn id="9495" xr3:uid="{2163068E-D06C-4A52-B562-A1A4913E1E5B}" name="9482"/>
    <tableColumn id="9496" xr3:uid="{255145F8-24E6-4228-AB3F-B41FE6E8322C}" name="9483"/>
    <tableColumn id="9497" xr3:uid="{7B0D1CBA-5357-49F1-8742-7EF8B45A0868}" name="9484"/>
    <tableColumn id="9498" xr3:uid="{E75FD79C-85D6-401F-B671-0F276D45904D}" name="9485"/>
    <tableColumn id="9499" xr3:uid="{61B01CD6-682A-4807-95F0-B46B0FB64926}" name="9486"/>
    <tableColumn id="9500" xr3:uid="{41B23782-C115-4905-9E0C-3BA2C3CCC071}" name="9487"/>
    <tableColumn id="9501" xr3:uid="{CD3DC85D-D3FE-4522-A56B-B3012A2039AD}" name="9488"/>
    <tableColumn id="9502" xr3:uid="{5AE5BD09-4D24-40E8-BD3A-CA516C5A8A51}" name="9489"/>
    <tableColumn id="9503" xr3:uid="{C621C662-A847-4A2C-A087-AD1B87B42D70}" name="9490"/>
    <tableColumn id="9504" xr3:uid="{B35AA5B2-72F0-42EF-92AC-943D04578938}" name="9491"/>
    <tableColumn id="9505" xr3:uid="{12DD5866-5B44-4010-90FC-02E830E5CA47}" name="9492"/>
    <tableColumn id="9506" xr3:uid="{944D106D-B2F6-4C96-8437-DDDAD2171B8D}" name="9493"/>
    <tableColumn id="9507" xr3:uid="{803867AE-8480-4600-A4B2-A957DB0C9BA6}" name="9494"/>
    <tableColumn id="9508" xr3:uid="{91DF3043-8B45-4F06-90D0-7BB710B92C84}" name="9495"/>
    <tableColumn id="9509" xr3:uid="{2F36D6E1-37D7-41CA-9587-33BEA3476C36}" name="9496"/>
    <tableColumn id="9510" xr3:uid="{3D612E3F-1D4C-45C4-A841-0B50CBBC785D}" name="9497"/>
    <tableColumn id="9511" xr3:uid="{102311D6-AE15-4DB2-BAEE-35792E397AB1}" name="9498"/>
    <tableColumn id="9512" xr3:uid="{500B16A2-9B4D-41BE-B337-A272E1B330F4}" name="9499"/>
    <tableColumn id="9513" xr3:uid="{8AA1A437-8877-4FDE-AAB2-E1D4184F8715}" name="9500"/>
    <tableColumn id="9514" xr3:uid="{0595F9CC-87A6-4F54-904F-A9B45B88D83D}" name="9501"/>
    <tableColumn id="9515" xr3:uid="{3F0763EA-9BC3-41C9-9248-5E5F5C1CA50F}" name="9502"/>
    <tableColumn id="9516" xr3:uid="{D6574E51-36EA-40EC-824D-F8BC0F0AB4D0}" name="9503"/>
    <tableColumn id="9517" xr3:uid="{D60F2889-7B3E-4622-816A-A809FEBD3074}" name="9504"/>
    <tableColumn id="9518" xr3:uid="{4B16FEBF-8536-4F38-851B-446D20F1F30A}" name="9505"/>
    <tableColumn id="9519" xr3:uid="{4514011D-8FFD-4E45-8D32-25B65045BA74}" name="9506"/>
    <tableColumn id="9520" xr3:uid="{F8CDE098-26BD-4158-A3F5-2CBE3BA58775}" name="9507"/>
    <tableColumn id="9521" xr3:uid="{9AF349D8-196A-4543-99C4-A650C940B408}" name="9508"/>
    <tableColumn id="9522" xr3:uid="{D9D8E7CC-EB32-4548-8156-15D873552F40}" name="9509"/>
    <tableColumn id="9523" xr3:uid="{5D7734DD-C8DE-4C91-8EF2-DCC6D644D7F3}" name="9510"/>
    <tableColumn id="9524" xr3:uid="{9814A267-231D-4518-94EA-19E36036CC23}" name="9511"/>
    <tableColumn id="9525" xr3:uid="{C1C02809-2F22-4813-A2CD-7808AF33DD1A}" name="9512"/>
    <tableColumn id="9526" xr3:uid="{CECE573E-DE43-404A-B14B-633F3E7CA4ED}" name="9513"/>
    <tableColumn id="9527" xr3:uid="{6DAD7109-60D5-428F-8C84-D9EEF1690A18}" name="9514"/>
    <tableColumn id="9528" xr3:uid="{978B43BF-1EB1-4AF1-958F-E9C617AAC3E4}" name="9515"/>
    <tableColumn id="9529" xr3:uid="{2EFFC838-B5F2-4CD8-B375-5A28E6CAF198}" name="9516"/>
    <tableColumn id="9530" xr3:uid="{FB7294C7-EB6E-48F6-AA67-6B52A84A7DB6}" name="9517"/>
    <tableColumn id="9531" xr3:uid="{FB653A64-E379-4206-8772-4DADD561A245}" name="9518"/>
    <tableColumn id="9532" xr3:uid="{B2E17828-5F96-42CA-A3A7-53B6778F6822}" name="9519"/>
    <tableColumn id="9533" xr3:uid="{EF05F8D1-4BF4-4A18-9CBF-4B9655458081}" name="9520"/>
    <tableColumn id="9534" xr3:uid="{E4EC1ED7-9236-437E-98A1-849E8D5C607C}" name="9521"/>
    <tableColumn id="9535" xr3:uid="{1F97A2AF-553B-4C07-987E-54BA6CBDDBB8}" name="9522"/>
    <tableColumn id="9536" xr3:uid="{6D318924-C78D-456F-8D3C-F4C7F3AC71F7}" name="9523"/>
    <tableColumn id="9537" xr3:uid="{92C29460-B0BA-43A7-A1EB-43EBCCC8B6B4}" name="9524"/>
    <tableColumn id="9538" xr3:uid="{63601562-DD74-4496-8302-37ED581145CA}" name="9525"/>
    <tableColumn id="9539" xr3:uid="{748FC6C6-5ECA-4979-8834-B0DCB367C0D1}" name="9526"/>
    <tableColumn id="9540" xr3:uid="{EF223EBB-A133-40C2-B0D1-B8FAF09ABC4D}" name="9527"/>
    <tableColumn id="9541" xr3:uid="{4D3EB846-4482-418A-AB01-50F43143FE5D}" name="9528"/>
    <tableColumn id="9542" xr3:uid="{92500F1B-165D-43E4-86CA-BEB69EAA6E2B}" name="9529"/>
    <tableColumn id="9543" xr3:uid="{16AB2794-2301-4343-AF7D-942A4203FCEE}" name="9530"/>
    <tableColumn id="9544" xr3:uid="{B7A51544-8DB3-426B-B18E-6D76411DE302}" name="9531"/>
    <tableColumn id="9545" xr3:uid="{DD00275A-33C3-47BB-BBA3-661005EE6BA2}" name="9532"/>
    <tableColumn id="9546" xr3:uid="{2650380C-4788-4BDB-965E-CB6E7E2917CA}" name="9533"/>
    <tableColumn id="9547" xr3:uid="{033F0B2A-1C5C-4970-BC21-A31C65520A63}" name="9534"/>
    <tableColumn id="9548" xr3:uid="{7D5013E8-2E9F-456A-9346-FA4ECA50A34A}" name="9535"/>
    <tableColumn id="9549" xr3:uid="{9C5B7C46-5D92-495B-82F4-1222A9110A2D}" name="9536"/>
    <tableColumn id="9550" xr3:uid="{3CF42542-9AF4-4664-A348-740B4D083719}" name="9537"/>
    <tableColumn id="9551" xr3:uid="{E9A8E1B2-04FD-4EEB-88B8-BF5C9473BF5C}" name="9538"/>
    <tableColumn id="9552" xr3:uid="{8D0F8E8C-E9B0-4096-9A09-6EEB6C590D04}" name="9539"/>
    <tableColumn id="9553" xr3:uid="{7EBDE4B1-6B2E-468A-BF02-5B3AE4229A56}" name="9540"/>
    <tableColumn id="9554" xr3:uid="{F9A3DCA9-DDBA-480A-8A72-A81E6BF074FA}" name="9541"/>
    <tableColumn id="9555" xr3:uid="{31360CD8-1182-4512-B755-0989522E0307}" name="9542"/>
    <tableColumn id="9556" xr3:uid="{3CDDDEA3-878E-4FBE-9CE5-C08BC1DAF96B}" name="9543"/>
    <tableColumn id="9557" xr3:uid="{DAC8A09A-9490-46EB-A01A-4526F24E4E60}" name="9544"/>
    <tableColumn id="9558" xr3:uid="{A1C84895-46B7-4936-BDC6-203D937FE237}" name="9545"/>
    <tableColumn id="9559" xr3:uid="{753999C3-6F6C-425B-83B3-B0C7453F0CB9}" name="9546"/>
    <tableColumn id="9560" xr3:uid="{95FCE9C1-545F-4D01-909A-A94EF4D95013}" name="9547"/>
    <tableColumn id="9561" xr3:uid="{FF4D57F0-6888-4E47-B9BD-F5135B616059}" name="9548"/>
    <tableColumn id="9562" xr3:uid="{0F1CC118-4E74-4790-82B8-706F2952C0F5}" name="9549"/>
    <tableColumn id="9563" xr3:uid="{26661110-66CD-4BBF-BE8A-D05A4C9F14B7}" name="9550"/>
    <tableColumn id="9564" xr3:uid="{96DD701F-6ACF-49E4-90EF-2F3ED912EC02}" name="9551"/>
    <tableColumn id="9565" xr3:uid="{CBBD803D-020D-4009-A833-520E07CCAE92}" name="9552"/>
    <tableColumn id="9566" xr3:uid="{2EB5B385-C992-4E42-9869-2D9AE0BC4F1A}" name="9553"/>
    <tableColumn id="9567" xr3:uid="{0BD2D690-A297-4645-B8A5-E4719166A272}" name="9554"/>
    <tableColumn id="9568" xr3:uid="{436E8157-81B6-4540-A0C6-C0AD4635A90A}" name="9555"/>
    <tableColumn id="9569" xr3:uid="{D39102ED-0D2A-4C6F-82F0-D8B7ABFB9D0D}" name="9556"/>
    <tableColumn id="9570" xr3:uid="{DD1C0806-0E63-4375-97C8-00084376C1BB}" name="9557"/>
    <tableColumn id="9571" xr3:uid="{1B17D991-7096-417D-A219-119729F254AB}" name="9558"/>
    <tableColumn id="9572" xr3:uid="{550C324C-CBF4-4B75-B1B1-273648280D3B}" name="9559"/>
    <tableColumn id="9573" xr3:uid="{AB1E2FA5-7DD4-45C9-B93C-1C41E2BBAEE6}" name="9560"/>
    <tableColumn id="9574" xr3:uid="{E2081716-8DCE-4FB4-9060-E842DDCC92F1}" name="9561"/>
    <tableColumn id="9575" xr3:uid="{D3DC34DC-5DA8-4A71-A342-D051371A7317}" name="9562"/>
    <tableColumn id="9576" xr3:uid="{CC1C74A3-B338-4D8E-A6F7-64B166BFEFFC}" name="9563"/>
    <tableColumn id="9577" xr3:uid="{0674C028-E12E-4636-9DBD-A8F3DA8740C1}" name="9564"/>
    <tableColumn id="9578" xr3:uid="{8F613746-AF42-481A-9B94-57CB96984B53}" name="9565"/>
    <tableColumn id="9579" xr3:uid="{0981767A-69C7-4E52-8174-85292E7C18F8}" name="9566"/>
    <tableColumn id="9580" xr3:uid="{2849DC6C-6896-4D4E-818D-B1F8460713EC}" name="9567"/>
    <tableColumn id="9581" xr3:uid="{23DE8AF7-94AF-47F7-A66E-6C36975896D9}" name="9568"/>
    <tableColumn id="9582" xr3:uid="{28BBBDF3-C223-43BE-B316-8095290335A6}" name="9569"/>
    <tableColumn id="9583" xr3:uid="{5C2C976C-DF8A-4155-A0B7-743FA13DBB06}" name="9570"/>
    <tableColumn id="9584" xr3:uid="{F35C293F-3F30-4E21-8D1A-7F45C79C4C4C}" name="9571"/>
    <tableColumn id="9585" xr3:uid="{1DA5455E-D7A5-4C3F-8C2E-0E2142EF83D9}" name="9572"/>
    <tableColumn id="9586" xr3:uid="{1A76FF7E-A793-4455-89F8-C67149CA4D31}" name="9573"/>
    <tableColumn id="9587" xr3:uid="{21F50B53-71AB-4A4A-98E9-A787096ED570}" name="9574"/>
    <tableColumn id="9588" xr3:uid="{DF04AFDD-FC37-4157-8E48-E35B1978EBDB}" name="9575"/>
    <tableColumn id="9589" xr3:uid="{73F78E1C-4C9D-4FAC-91C6-CAD95CE3726C}" name="9576"/>
    <tableColumn id="9590" xr3:uid="{749CE2DB-826B-47CA-ABFF-4D39CFEAA868}" name="9577"/>
    <tableColumn id="9591" xr3:uid="{F6376EC1-296B-4D14-9B93-2AF0179D14EF}" name="9578"/>
    <tableColumn id="9592" xr3:uid="{FE24C91A-8398-4C87-9746-6A640FF1A2D6}" name="9579"/>
    <tableColumn id="9593" xr3:uid="{9AEB5080-4BEC-43A0-BFF7-CBC4695741CA}" name="9580"/>
    <tableColumn id="9594" xr3:uid="{3713F03F-56C3-4402-AB57-2D114254B562}" name="9581"/>
    <tableColumn id="9595" xr3:uid="{4E4AA0E7-D4F3-435D-9EC1-F8B4703E8B66}" name="9582"/>
    <tableColumn id="9596" xr3:uid="{6E56C22B-5102-4BB5-8F2F-E9225C116D39}" name="9583"/>
    <tableColumn id="9597" xr3:uid="{0F0518CA-8022-47D6-9FC6-7F447C9B5C06}" name="9584"/>
    <tableColumn id="9598" xr3:uid="{0C1383E0-8616-4C55-93E8-144303AE70A3}" name="9585"/>
    <tableColumn id="9599" xr3:uid="{DCCFE1D6-62AD-4A12-947E-BC1B90A390C2}" name="9586"/>
    <tableColumn id="9600" xr3:uid="{52D9E871-232E-4F52-B6B2-5BB2B21CC4E5}" name="9587"/>
    <tableColumn id="9601" xr3:uid="{66AFA4F2-AD54-49D5-8995-8DC0B1E0A365}" name="9588"/>
    <tableColumn id="9602" xr3:uid="{B2186DC1-4CC8-4337-89DC-E17C2049E630}" name="9589"/>
    <tableColumn id="9603" xr3:uid="{9E4DD6B5-A246-4A34-9035-A08093B23478}" name="9590"/>
    <tableColumn id="9604" xr3:uid="{C2C9564D-400E-4C2F-BC91-84E4D6D6D3FF}" name="9591"/>
    <tableColumn id="9605" xr3:uid="{C552E91B-CE50-445B-8A87-98D648CB7BD0}" name="9592"/>
    <tableColumn id="9606" xr3:uid="{51206960-8036-4823-A756-06B9B91EBCD4}" name="9593"/>
    <tableColumn id="9607" xr3:uid="{87286A7F-F909-408E-832A-379F7C224437}" name="9594"/>
    <tableColumn id="9608" xr3:uid="{B7AC801E-E6A6-48E6-95F7-8C1AC2700125}" name="9595"/>
    <tableColumn id="9609" xr3:uid="{4B169071-BFE5-4855-A633-C944EBB132DE}" name="9596"/>
    <tableColumn id="9610" xr3:uid="{3FFCA577-A26A-48D7-B0B1-CF07ADD30373}" name="9597"/>
    <tableColumn id="9611" xr3:uid="{1F60484F-2A8B-4BF8-9C36-CC2CA4B3FBF6}" name="9598"/>
    <tableColumn id="9612" xr3:uid="{1B63D982-C998-41F1-9906-BC336CB1B4C1}" name="9599"/>
    <tableColumn id="9613" xr3:uid="{C7B6956B-0E62-4D8C-9D26-9AF6FC5F7F02}" name="9600"/>
    <tableColumn id="9614" xr3:uid="{A435CCD6-AAC1-4F53-A53B-A78CAFEA0C8D}" name="9601"/>
    <tableColumn id="9615" xr3:uid="{33DEB485-99EF-441B-8A7E-4B50DCB89748}" name="9602"/>
    <tableColumn id="9616" xr3:uid="{B7682DC0-6251-43A6-8513-CF8DA62C5C4E}" name="9603"/>
    <tableColumn id="9617" xr3:uid="{7135CD77-C9E2-4D46-88D1-DA4BAC4AFBB3}" name="9604"/>
    <tableColumn id="9618" xr3:uid="{0A5C065C-D81A-4AAE-9C21-A6D587AC803D}" name="9605"/>
    <tableColumn id="9619" xr3:uid="{7271466C-9614-4F27-9E28-B070AEF0F7C3}" name="9606"/>
    <tableColumn id="9620" xr3:uid="{80D044A6-F49A-41DF-AA03-9DFBC01822D2}" name="9607"/>
    <tableColumn id="9621" xr3:uid="{66C6C037-C721-422E-8290-99A48B85A67B}" name="9608"/>
    <tableColumn id="9622" xr3:uid="{ABFCAFD1-0C6F-40E5-A541-8662B82EC4A8}" name="9609"/>
    <tableColumn id="9623" xr3:uid="{203B62E0-298B-44E6-82D5-073FFA01E647}" name="9610"/>
    <tableColumn id="9624" xr3:uid="{48D86CAE-C452-4306-AC56-3DC86AF817EA}" name="9611"/>
    <tableColumn id="9625" xr3:uid="{E3A5CBF0-703A-44A5-9159-8A4973761C37}" name="9612"/>
    <tableColumn id="9626" xr3:uid="{285AC6B2-8671-426C-B5D7-53F1522716A2}" name="9613"/>
    <tableColumn id="9627" xr3:uid="{FBF32298-D958-4CC5-BA97-2EA718CB0E2F}" name="9614"/>
    <tableColumn id="9628" xr3:uid="{B3A5D42B-4199-4ABA-940B-06AFC365D404}" name="9615"/>
    <tableColumn id="9629" xr3:uid="{F5CBAEEE-067C-4027-BE7C-D611EB7278BF}" name="9616"/>
    <tableColumn id="9630" xr3:uid="{27C1AD1D-4119-4436-AE3D-708C1EA08118}" name="9617"/>
    <tableColumn id="9631" xr3:uid="{281B229B-4AF9-4BC3-8D33-FD069E76A29A}" name="9618"/>
    <tableColumn id="9632" xr3:uid="{8FCAB050-7C82-4DB3-BC67-D8341EB1CF7C}" name="9619"/>
    <tableColumn id="9633" xr3:uid="{3E08756A-60FA-4944-A077-280D95FDCF57}" name="9620"/>
    <tableColumn id="9634" xr3:uid="{8923162D-C495-45F6-8FB6-57FE3438BA05}" name="9621"/>
    <tableColumn id="9635" xr3:uid="{DB0B9068-9C81-4261-9079-38DA3FFF5AA7}" name="9622"/>
    <tableColumn id="9636" xr3:uid="{13CA9CC5-BB30-4EFF-BCD7-3D982AE64521}" name="9623"/>
    <tableColumn id="9637" xr3:uid="{CB8C998A-4EB6-46DC-AF83-26A0E792A5C5}" name="9624"/>
    <tableColumn id="9638" xr3:uid="{DCB8F8B0-0E27-4F16-824F-4BBC234B8834}" name="9625"/>
    <tableColumn id="9639" xr3:uid="{35909F97-1A4F-4ECE-861F-3E544B5BF5DB}" name="9626"/>
    <tableColumn id="9640" xr3:uid="{D8959E33-B26C-4F50-A8D5-64268EBDB1E6}" name="9627"/>
    <tableColumn id="9641" xr3:uid="{855A5B3A-C057-4411-86FB-D84302C8001F}" name="9628"/>
    <tableColumn id="9642" xr3:uid="{B24FA99C-D795-4039-9F3E-08C11A04CFE9}" name="9629"/>
    <tableColumn id="9643" xr3:uid="{60BE75C3-8123-485C-909B-6850C0AA2CCC}" name="9630"/>
    <tableColumn id="9644" xr3:uid="{43787F21-4051-4933-9062-9F5A3E343CF7}" name="9631"/>
    <tableColumn id="9645" xr3:uid="{4CA2C674-7D16-4065-99BA-06CEDA12361A}" name="9632"/>
    <tableColumn id="9646" xr3:uid="{15D97F2E-7CC4-4AB2-B025-95199BAE686C}" name="9633"/>
    <tableColumn id="9647" xr3:uid="{5197CC7B-479A-4F61-85D4-8A094EF58102}" name="9634"/>
    <tableColumn id="9648" xr3:uid="{9A2EB0E0-981A-4A96-984D-F136D3ADB77A}" name="9635"/>
    <tableColumn id="9649" xr3:uid="{74985743-CEB2-48CA-B61F-1653E083A52E}" name="9636"/>
    <tableColumn id="9650" xr3:uid="{497D6BBA-5B16-412D-B6DD-401203276D64}" name="9637"/>
    <tableColumn id="9651" xr3:uid="{00CB1B44-374B-44AC-8992-ABD8A54CA79F}" name="9638"/>
    <tableColumn id="9652" xr3:uid="{D4218BB7-E455-4910-A724-2FA4ED4F3615}" name="9639"/>
    <tableColumn id="9653" xr3:uid="{546D51BB-5B82-479F-88E9-44760BB7755F}" name="9640"/>
    <tableColumn id="9654" xr3:uid="{2CB8ECEA-2540-4BC3-858F-64E490BFC120}" name="9641"/>
    <tableColumn id="9655" xr3:uid="{119AB7D0-C16D-47CE-9EA1-A763015A46CA}" name="9642"/>
    <tableColumn id="9656" xr3:uid="{EEBE0EDF-DDFF-4318-9B2F-8E43736DC978}" name="9643"/>
    <tableColumn id="9657" xr3:uid="{85D76AA5-75A9-4EE8-8364-7E8A0D1AA5E6}" name="9644"/>
    <tableColumn id="9658" xr3:uid="{ACE523E5-B78B-479E-AF2F-140F57E75367}" name="9645"/>
    <tableColumn id="9659" xr3:uid="{6181651E-FF7C-4D29-8364-CECC05E944DD}" name="9646"/>
    <tableColumn id="9660" xr3:uid="{C17282E4-1444-4507-9FF6-30B06D89EDB6}" name="9647"/>
    <tableColumn id="9661" xr3:uid="{79EDD4FB-E32E-47B4-9EF1-A4630F0A7D42}" name="9648"/>
    <tableColumn id="9662" xr3:uid="{C8B44416-8EE9-429C-B3EA-35F91505CB83}" name="9649"/>
    <tableColumn id="9663" xr3:uid="{025AB181-7639-4AFC-8F7E-A0B448034E78}" name="9650"/>
    <tableColumn id="9664" xr3:uid="{1CB3F5D1-D57D-46C3-92BD-419DE9484749}" name="9651"/>
    <tableColumn id="9665" xr3:uid="{5DB3E4F8-AD57-40FE-8E69-2C0518694A72}" name="9652"/>
    <tableColumn id="9666" xr3:uid="{A9FFA683-1DA5-4DCF-A221-51CD90F6092F}" name="9653"/>
    <tableColumn id="9667" xr3:uid="{2EBC0D8A-5162-4B76-92F5-F77BB0D2D26B}" name="9654"/>
    <tableColumn id="9668" xr3:uid="{4A52924D-C511-4A92-8DC3-7BF324F54804}" name="9655"/>
    <tableColumn id="9669" xr3:uid="{C26E966A-AA97-4D85-95E2-C8A110055C38}" name="9656"/>
    <tableColumn id="9670" xr3:uid="{EB6886F6-355C-459B-B3A8-E88F7194DF19}" name="9657"/>
    <tableColumn id="9671" xr3:uid="{413ABBD4-7742-42B3-8821-74CF564B3AEC}" name="9658"/>
    <tableColumn id="9672" xr3:uid="{5062834D-651F-4AFE-B812-1AEB1DA27C47}" name="9659"/>
    <tableColumn id="9673" xr3:uid="{5053000F-CC79-421D-9DBF-969A63EC6354}" name="9660"/>
    <tableColumn id="9674" xr3:uid="{31197D84-1B38-48A7-9591-549BA71D2661}" name="9661"/>
    <tableColumn id="9675" xr3:uid="{D57EFC89-BAC8-42E0-A593-923203F11149}" name="9662"/>
    <tableColumn id="9676" xr3:uid="{43949A65-41D6-4FB6-968B-28E78D4FE0FE}" name="9663"/>
    <tableColumn id="9677" xr3:uid="{C7EEE96D-77BF-4D44-9566-DC93987FA06E}" name="9664"/>
    <tableColumn id="9678" xr3:uid="{6A88C07A-05D2-4365-BDA9-8833C8DFA9E9}" name="9665"/>
    <tableColumn id="9679" xr3:uid="{5FBD8577-4C38-4DC9-BA78-D7F249130A24}" name="9666"/>
    <tableColumn id="9680" xr3:uid="{B1B68AA5-0249-464B-B1F0-347830FD5FDE}" name="9667"/>
    <tableColumn id="9681" xr3:uid="{976EA834-E543-4592-BAE0-FE745FBB02C1}" name="9668"/>
    <tableColumn id="9682" xr3:uid="{FFF2A326-68D7-4EB3-A76B-11C9CF260BD9}" name="9669"/>
    <tableColumn id="9683" xr3:uid="{5EA7144B-3400-4F4E-A524-37645F62B43E}" name="9670"/>
    <tableColumn id="9684" xr3:uid="{0E7D85FA-2C89-430E-81B3-324AE911D33A}" name="9671"/>
    <tableColumn id="9685" xr3:uid="{BA217A0A-A1EF-4C85-B99E-DF32E9CF2241}" name="9672"/>
    <tableColumn id="9686" xr3:uid="{11B80E2E-017C-4AD3-97D7-D7C280A2B623}" name="9673"/>
    <tableColumn id="9687" xr3:uid="{F35B25F3-B676-4602-9D17-595290D17CCD}" name="9674"/>
    <tableColumn id="9688" xr3:uid="{0BE6F800-5D56-4067-B51C-7F5D36DC3021}" name="9675"/>
    <tableColumn id="9689" xr3:uid="{17A1BC61-36CF-4524-ACA7-09E291ABF7BA}" name="9676"/>
    <tableColumn id="9690" xr3:uid="{7B17BABD-BA6B-49FA-B4D3-71A3C93BA428}" name="9677"/>
    <tableColumn id="9691" xr3:uid="{79C7AC3E-A451-440B-B7FC-4361CBDB2C1A}" name="9678"/>
    <tableColumn id="9692" xr3:uid="{2F843190-0A7F-4908-97F1-6194CD2F213C}" name="9679"/>
    <tableColumn id="9693" xr3:uid="{2E4627FD-FD49-4773-8E73-632B5E4DC2F9}" name="9680"/>
    <tableColumn id="9694" xr3:uid="{DD8F23F4-704D-4F6F-B4BD-BBE0133D2EB5}" name="9681"/>
    <tableColumn id="9695" xr3:uid="{C7BF22DC-68E3-423E-B075-CBA3D2BE5CD8}" name="9682"/>
    <tableColumn id="9696" xr3:uid="{35504B9F-AD07-40AD-B409-128BDE908993}" name="9683"/>
    <tableColumn id="9697" xr3:uid="{7817E35B-FD08-45AE-ACF2-7852C2473D56}" name="9684"/>
    <tableColumn id="9698" xr3:uid="{EEA3021A-1361-4836-A400-3C65175A0064}" name="9685"/>
    <tableColumn id="9699" xr3:uid="{D1A1DF80-63B9-443E-9405-1A425651F3D3}" name="9686"/>
    <tableColumn id="9700" xr3:uid="{7AD9328E-AEDA-496A-B3D5-4BE8EBDDF861}" name="9687"/>
    <tableColumn id="9701" xr3:uid="{2B703285-B400-4C3D-9EB2-15483CDB1A4A}" name="9688"/>
    <tableColumn id="9702" xr3:uid="{0501E1E2-A0C5-4A74-AC59-24218A3D8252}" name="9689"/>
    <tableColumn id="9703" xr3:uid="{8970FAD4-8903-423F-B13C-D419B38BABF0}" name="9690"/>
    <tableColumn id="9704" xr3:uid="{818EF291-C2A2-46D0-8F71-A44558122010}" name="9691"/>
    <tableColumn id="9705" xr3:uid="{0925C7E2-5385-4FCB-9216-57527ED88D7F}" name="9692"/>
    <tableColumn id="9706" xr3:uid="{89021329-AD23-4D6F-94D4-451DAE59C40D}" name="9693"/>
    <tableColumn id="9707" xr3:uid="{BC19D594-BEFD-4FBB-A6D4-F59240B21EB1}" name="9694"/>
    <tableColumn id="9708" xr3:uid="{74B318D1-FC1E-40F3-A5EB-731CCBC899E0}" name="9695"/>
    <tableColumn id="9709" xr3:uid="{C7FE8B11-DBCD-413D-9539-6046E3BE109D}" name="9696"/>
    <tableColumn id="9710" xr3:uid="{EF6563B8-02DD-4243-AE0F-608F5B37C407}" name="9697"/>
    <tableColumn id="9711" xr3:uid="{FF6DB9AF-D8AB-43EC-814E-A877A6E1B0D9}" name="9698"/>
    <tableColumn id="9712" xr3:uid="{C454A0EC-4054-496C-8065-C6E2AC7049D5}" name="9699"/>
    <tableColumn id="9713" xr3:uid="{CD15FB3C-F97C-4C87-AAD3-3682984976F2}" name="9700"/>
    <tableColumn id="9714" xr3:uid="{23796CC1-6E03-494D-B3F7-84608C763919}" name="9701"/>
    <tableColumn id="9715" xr3:uid="{A6C19930-F927-47A2-A611-6B0F61E8A0D2}" name="9702"/>
    <tableColumn id="9716" xr3:uid="{8F0AB7B3-8DA5-4320-87CD-467019463E71}" name="9703"/>
    <tableColumn id="9717" xr3:uid="{24C9B247-C9E0-490A-B6F0-FF0E1D525468}" name="9704"/>
    <tableColumn id="9718" xr3:uid="{ED698F52-976A-430D-87F8-0BB58904B4F3}" name="9705"/>
    <tableColumn id="9719" xr3:uid="{09A125B3-79BB-4344-AE48-0F431A7495EA}" name="9706"/>
    <tableColumn id="9720" xr3:uid="{088F908F-752A-4938-90A0-71ED8B953655}" name="9707"/>
    <tableColumn id="9721" xr3:uid="{67194000-B42D-4F1B-8B6B-51FBC3CFFD92}" name="9708"/>
    <tableColumn id="9722" xr3:uid="{3365BCD1-F269-489C-B83D-191C070A6F34}" name="9709"/>
    <tableColumn id="9723" xr3:uid="{E8CDF3D4-CB54-40DA-9AA3-7187DC83236B}" name="9710"/>
    <tableColumn id="9724" xr3:uid="{1655CC2B-D920-44CE-B178-FFB1A785A6F7}" name="9711"/>
    <tableColumn id="9725" xr3:uid="{06B92223-4FF6-40DB-B42D-2F944965988F}" name="9712"/>
    <tableColumn id="9726" xr3:uid="{3F2B5A4D-8193-43E6-993C-8D367CDBB76E}" name="9713"/>
    <tableColumn id="9727" xr3:uid="{DC717575-F382-49D8-9292-7389094705BE}" name="9714"/>
    <tableColumn id="9728" xr3:uid="{323823FA-01A6-4606-A7B5-08CB95DE8C4D}" name="9715"/>
    <tableColumn id="9729" xr3:uid="{31324C90-8C22-43CF-BE5C-5D5F4E1FCBE1}" name="9716"/>
    <tableColumn id="9730" xr3:uid="{9F2D4B90-11D1-4C01-98D5-DAB2A71EA26C}" name="9717"/>
    <tableColumn id="9731" xr3:uid="{A5CC7DC1-0437-430A-A846-09C9230647DF}" name="9718"/>
    <tableColumn id="9732" xr3:uid="{26F7B9F3-AE45-4431-8207-916F964DA1B7}" name="9719"/>
    <tableColumn id="9733" xr3:uid="{BE190C76-EDB3-4347-8611-BCDB4B78EEE9}" name="9720"/>
    <tableColumn id="9734" xr3:uid="{69A74206-4F07-4220-8EB8-D882EA2718B1}" name="9721"/>
    <tableColumn id="9735" xr3:uid="{FA3A0253-B287-462C-BFF1-0373729EDEC9}" name="9722"/>
    <tableColumn id="9736" xr3:uid="{E5A0AD19-17B2-44B0-8E36-08CAB8B5D351}" name="9723"/>
    <tableColumn id="9737" xr3:uid="{5B5ABFEE-A539-4EB7-A490-F53451191835}" name="9724"/>
    <tableColumn id="9738" xr3:uid="{6B42C3A7-6810-4890-A003-D67501DC4E86}" name="9725"/>
    <tableColumn id="9739" xr3:uid="{D1BF9D87-A87A-4633-AD06-D641C6DFC754}" name="9726"/>
    <tableColumn id="9740" xr3:uid="{8BEB252E-8842-4C3C-8E00-F4B38524E3FD}" name="9727"/>
    <tableColumn id="9741" xr3:uid="{74B62796-B140-4878-91D3-C29E08814DD6}" name="9728"/>
    <tableColumn id="9742" xr3:uid="{D18807B0-C410-4B6F-8214-92C64CC354C0}" name="9729"/>
    <tableColumn id="9743" xr3:uid="{DC23A359-4465-4DAC-80F4-528B05CD3022}" name="9730"/>
    <tableColumn id="9744" xr3:uid="{B86C7BB7-10A9-4AB9-92F9-A84A0A7D181B}" name="9731"/>
    <tableColumn id="9745" xr3:uid="{8F63E06D-9255-4F9C-8ED6-3167E0715CD7}" name="9732"/>
    <tableColumn id="9746" xr3:uid="{E5AA63AE-8964-4BE6-9D85-E9FEF4D4E510}" name="9733"/>
    <tableColumn id="9747" xr3:uid="{6E33DE60-50EC-4576-AE84-5640D663C8D6}" name="9734"/>
    <tableColumn id="9748" xr3:uid="{2B5B74A2-BA91-41E1-BB89-D67DF29183EF}" name="9735"/>
    <tableColumn id="9749" xr3:uid="{97696478-5DD8-4494-A571-E6CE213C6CD3}" name="9736"/>
    <tableColumn id="9750" xr3:uid="{31228634-4B5F-4F55-8522-2FFC35CC35A7}" name="9737"/>
    <tableColumn id="9751" xr3:uid="{B68DDEEE-F018-4593-BD83-F2E6BA79C6A3}" name="9738"/>
    <tableColumn id="9752" xr3:uid="{A36E4442-4DC6-41D6-852B-6B440E2EEAA2}" name="9739"/>
    <tableColumn id="9753" xr3:uid="{6CD2274B-EAAD-4458-8807-9736AC667541}" name="9740"/>
    <tableColumn id="9754" xr3:uid="{6A9F3ABC-99CC-420F-B16A-6EE60E6EBCAC}" name="9741"/>
    <tableColumn id="9755" xr3:uid="{EFE27D51-01D2-4A0B-A697-463CC81BA90F}" name="9742"/>
    <tableColumn id="9756" xr3:uid="{13AD6B5F-1A6A-4DC3-A2FB-C40937AA9530}" name="9743"/>
    <tableColumn id="9757" xr3:uid="{BCEAEACF-1A7F-4850-B3DC-23B53E20F811}" name="9744"/>
    <tableColumn id="9758" xr3:uid="{676E67D1-CCCD-4AEE-9B23-99F10F8D23BF}" name="9745"/>
    <tableColumn id="9759" xr3:uid="{F4DD1EC8-002E-4473-9DBC-F1277F2ADBD7}" name="9746"/>
    <tableColumn id="9760" xr3:uid="{13798029-E766-4AA5-9612-C9C6CCFDDD02}" name="9747"/>
    <tableColumn id="9761" xr3:uid="{6D84AA14-4607-4E9D-B118-2501DCAC4304}" name="9748"/>
    <tableColumn id="9762" xr3:uid="{E8D1F5B9-775A-4630-9148-BB3CD8F56980}" name="9749"/>
    <tableColumn id="9763" xr3:uid="{0F08DD78-B0C5-440D-AB4E-F70A3B3BEE47}" name="9750"/>
    <tableColumn id="9764" xr3:uid="{A56B21DB-9427-461E-930F-A47BBFD53A40}" name="9751"/>
    <tableColumn id="9765" xr3:uid="{E1EAED3F-B778-4871-8400-5D496ADDE2D9}" name="9752"/>
    <tableColumn id="9766" xr3:uid="{1C8E0A56-7274-4763-A049-97400DDB3F00}" name="9753"/>
    <tableColumn id="9767" xr3:uid="{1AA96BFD-7563-4BE3-B8D2-1CD6E93E9718}" name="9754"/>
    <tableColumn id="9768" xr3:uid="{C23D8CCF-51CF-474B-9412-C84E36B0E919}" name="9755"/>
    <tableColumn id="9769" xr3:uid="{62375AFE-65E9-472C-A634-6690EF65D21D}" name="9756"/>
    <tableColumn id="9770" xr3:uid="{007FC53A-D364-46BD-B8E0-9FCF9FC4E77D}" name="9757"/>
    <tableColumn id="9771" xr3:uid="{A88DCEEF-E41D-4610-8591-2C3AA8B1E0B8}" name="9758"/>
    <tableColumn id="9772" xr3:uid="{8FCE5639-2B81-4439-8A69-C76BAE80A50A}" name="9759"/>
    <tableColumn id="9773" xr3:uid="{70C92EA9-EB75-47E7-9CC4-5E999E404554}" name="9760"/>
    <tableColumn id="9774" xr3:uid="{F20B4635-8F3E-40B6-93A7-63EC6A7AE5E2}" name="9761"/>
    <tableColumn id="9775" xr3:uid="{BCC45850-EA86-49C7-9901-0788FF4AB604}" name="9762"/>
    <tableColumn id="9776" xr3:uid="{F106D534-36FD-47E9-AF25-32D5D8D28E23}" name="9763"/>
    <tableColumn id="9777" xr3:uid="{45013733-A2E1-4869-A782-EE17B26F2DAA}" name="9764"/>
    <tableColumn id="9778" xr3:uid="{67149EFF-18A6-451A-AA78-967D33F137B2}" name="9765"/>
    <tableColumn id="9779" xr3:uid="{29519201-3C5E-472B-AEF6-615B686E013D}" name="9766"/>
    <tableColumn id="9780" xr3:uid="{F0D6A51A-DFB0-4FE0-BEB0-B089A57AF87E}" name="9767"/>
    <tableColumn id="9781" xr3:uid="{601778D3-F3A1-4AF9-A2F3-A76F4A19E086}" name="9768"/>
    <tableColumn id="9782" xr3:uid="{55517004-CC2D-4C82-9EE4-2C337151053A}" name="9769"/>
    <tableColumn id="9783" xr3:uid="{0009D104-197D-4234-B548-10E19D6DAAA8}" name="9770"/>
    <tableColumn id="9784" xr3:uid="{395E1203-22BD-463A-8831-7DFB612A6A4E}" name="9771"/>
    <tableColumn id="9785" xr3:uid="{9984F27B-E5C3-4B82-8E47-F0EEB786E403}" name="9772"/>
    <tableColumn id="9786" xr3:uid="{59F11813-34AB-4290-BD78-5E6DB78B8986}" name="9773"/>
    <tableColumn id="9787" xr3:uid="{99C4DE85-EBC2-4FEC-8444-2B373C4B4B59}" name="9774"/>
    <tableColumn id="9788" xr3:uid="{E3B2594B-457D-434F-A4F9-F00889672C58}" name="9775"/>
    <tableColumn id="9789" xr3:uid="{599F174A-D21F-4C6C-98EF-1A068713A332}" name="9776"/>
    <tableColumn id="9790" xr3:uid="{AFF4C633-EE01-4801-AA72-9419875A797A}" name="9777"/>
    <tableColumn id="9791" xr3:uid="{2F51B9B9-4B20-4DBE-A21B-7037FEACAFA2}" name="9778"/>
    <tableColumn id="9792" xr3:uid="{38D64ABE-E5CE-471E-B747-0D450524D4F8}" name="9779"/>
    <tableColumn id="9793" xr3:uid="{FC7B4CAF-7665-4C0E-94DB-F741C7A2BD43}" name="9780"/>
    <tableColumn id="9794" xr3:uid="{1CE165D1-8200-4811-B645-CF0A0373A1C8}" name="9781"/>
    <tableColumn id="9795" xr3:uid="{1275311A-3E79-4591-9B77-142B7A4D5943}" name="9782"/>
    <tableColumn id="9796" xr3:uid="{630840C1-2F95-419E-9174-19FE0DE91074}" name="9783"/>
    <tableColumn id="9797" xr3:uid="{39E703D4-F693-49EB-B94E-E9C4701842B7}" name="9784"/>
    <tableColumn id="9798" xr3:uid="{300B852E-3778-4905-A5D9-A7B95DBA888A}" name="9785"/>
    <tableColumn id="9799" xr3:uid="{8D57D016-849B-4D20-B43F-5C88C27381CF}" name="9786"/>
    <tableColumn id="9800" xr3:uid="{F67610B2-328D-458F-B3CD-72EE5F35850E}" name="9787"/>
    <tableColumn id="9801" xr3:uid="{BB30D8BA-6DFA-46F0-9933-B3CE85BBE9DC}" name="9788"/>
    <tableColumn id="9802" xr3:uid="{E1080644-006F-4F5F-A992-7DF996DD2B95}" name="9789"/>
    <tableColumn id="9803" xr3:uid="{5D25B5DA-F359-4231-8616-9E65252E1850}" name="9790"/>
    <tableColumn id="9804" xr3:uid="{DD95A633-A3EF-4FEF-8725-F431BA5C4A02}" name="9791"/>
    <tableColumn id="9805" xr3:uid="{ADFE963E-E799-436E-82C9-313C87754C4B}" name="9792"/>
    <tableColumn id="9806" xr3:uid="{2A6E19FB-D85A-4DC6-B70E-5CE07564C7C3}" name="9793"/>
    <tableColumn id="9807" xr3:uid="{222951E5-751F-4BA0-AD93-2119CC081814}" name="9794"/>
    <tableColumn id="9808" xr3:uid="{4BBBA105-941E-43AB-81C7-AA755BEFF476}" name="9795"/>
    <tableColumn id="9809" xr3:uid="{B3289C27-9BC1-411C-995F-315B83000C76}" name="9796"/>
    <tableColumn id="9810" xr3:uid="{3A534ECE-FA90-462B-9033-796E15733481}" name="9797"/>
    <tableColumn id="9811" xr3:uid="{64227AC1-0579-48A1-989F-99B9690854CB}" name="9798"/>
    <tableColumn id="9812" xr3:uid="{F8124A57-2FB7-4597-9A98-078670B082E3}" name="9799"/>
    <tableColumn id="9813" xr3:uid="{55287FB4-9E3D-4902-95E0-E5522CE0AF86}" name="9800"/>
    <tableColumn id="9814" xr3:uid="{4A80E743-B829-404E-AEBD-82F6F52C2302}" name="9801"/>
    <tableColumn id="9815" xr3:uid="{E016DC90-88A4-4811-A0F6-1A4AA3D8414C}" name="9802"/>
    <tableColumn id="9816" xr3:uid="{879BB157-D2DA-4783-80D4-2CC75ABCCD31}" name="9803"/>
    <tableColumn id="9817" xr3:uid="{476DF4A3-BE3D-4700-84B6-97364931493D}" name="9804"/>
    <tableColumn id="9818" xr3:uid="{2A53866A-2F09-4770-B8A8-7E70F0C57B4A}" name="9805"/>
    <tableColumn id="9819" xr3:uid="{47349921-F723-4F94-9630-6535261B17B0}" name="9806"/>
    <tableColumn id="9820" xr3:uid="{C499955C-3B35-4375-B507-666283291B4E}" name="9807"/>
    <tableColumn id="9821" xr3:uid="{251F1BC8-F75B-4C88-80BD-1EE67BA01BF9}" name="9808"/>
    <tableColumn id="9822" xr3:uid="{8C2C79D1-F208-40C4-AEBC-091367C2140E}" name="9809"/>
    <tableColumn id="9823" xr3:uid="{094E92A2-67D0-405C-8E5A-08A421AC72AC}" name="9810"/>
    <tableColumn id="9824" xr3:uid="{2E86ADC6-DCFB-418C-8F23-C2CB47A611F6}" name="9811"/>
    <tableColumn id="9825" xr3:uid="{A3EAC449-45F4-4F95-BC9F-9155DFFCA955}" name="9812"/>
    <tableColumn id="9826" xr3:uid="{B430F8C5-B172-4C08-940B-B84EF0792334}" name="9813"/>
    <tableColumn id="9827" xr3:uid="{D0AA19D0-87B0-4885-8B68-BE21BD144940}" name="9814"/>
    <tableColumn id="9828" xr3:uid="{36B945DA-A019-4AC2-8473-D63ADC58CCFE}" name="9815"/>
    <tableColumn id="9829" xr3:uid="{D473D755-1B6E-4564-9483-A7ACB16E4BDC}" name="9816"/>
    <tableColumn id="9830" xr3:uid="{5D9912B8-48CC-45F1-AD2C-910C2BFA8AF0}" name="9817"/>
    <tableColumn id="9831" xr3:uid="{DD422416-6220-4B2F-B165-D11F5120D987}" name="9818"/>
    <tableColumn id="9832" xr3:uid="{D7BF0D5D-7489-4C76-B5F5-7B88BF646AAC}" name="9819"/>
    <tableColumn id="9833" xr3:uid="{8A633AE7-D475-4238-B886-CABFFA9B23EC}" name="9820"/>
    <tableColumn id="9834" xr3:uid="{43FD052D-BE4A-4A74-B44D-C11356B9A9E9}" name="9821"/>
    <tableColumn id="9835" xr3:uid="{2B54A597-EC50-4454-83E7-4F6C3EBB2D34}" name="9822"/>
    <tableColumn id="9836" xr3:uid="{D2B75DCA-1A47-4720-8912-B2BE26F5228D}" name="9823"/>
    <tableColumn id="9837" xr3:uid="{B680E08C-5701-40D4-8AD1-0C51F19BFCC1}" name="9824"/>
    <tableColumn id="9838" xr3:uid="{FD052748-6976-4961-AC80-4C8E88A9AC23}" name="9825"/>
    <tableColumn id="9839" xr3:uid="{C62188A1-B3E1-4847-8E0F-8CEFE1F83FB4}" name="9826"/>
    <tableColumn id="9840" xr3:uid="{FBE370E1-010D-44F3-828D-27B2DBC97136}" name="9827"/>
    <tableColumn id="9841" xr3:uid="{4E177116-8B56-4CC7-9D36-CCAD979825AC}" name="9828"/>
    <tableColumn id="9842" xr3:uid="{3E150050-C44F-4D7E-8E09-AAF2B751DCA4}" name="9829"/>
    <tableColumn id="9843" xr3:uid="{4023204B-5A97-453C-8918-863C8699BAF7}" name="9830"/>
    <tableColumn id="9844" xr3:uid="{20124FE2-5DB0-462F-A77D-516BE53B8F13}" name="9831"/>
    <tableColumn id="9845" xr3:uid="{20D4E450-57F6-49D5-A1BB-4BA1196C35E0}" name="9832"/>
    <tableColumn id="9846" xr3:uid="{782A631D-FC50-40DC-8EF7-4A75BE9B3140}" name="9833"/>
    <tableColumn id="9847" xr3:uid="{2BE5EAD6-5CFB-4F22-8FAD-F0E550366C75}" name="9834"/>
    <tableColumn id="9848" xr3:uid="{A17DD279-02D2-47A7-858A-A71E0DD221E9}" name="9835"/>
    <tableColumn id="9849" xr3:uid="{A2A2D603-D2AB-4E04-96CC-E561F86BCFFF}" name="9836"/>
    <tableColumn id="9850" xr3:uid="{74C52F36-3ABE-4A8E-AF1D-C50176BF91DC}" name="9837"/>
    <tableColumn id="9851" xr3:uid="{0FB7DC12-8A33-4BA0-85EB-87F877DDB27F}" name="9838"/>
    <tableColumn id="9852" xr3:uid="{EA4C402E-72F7-4BB0-A422-43A3C586E691}" name="9839"/>
    <tableColumn id="9853" xr3:uid="{0EC74954-1FC7-4C2B-B12F-0D916DB4C6CF}" name="9840"/>
    <tableColumn id="9854" xr3:uid="{584B4B55-CF53-4373-AAE2-1F0505044DA1}" name="9841"/>
    <tableColumn id="9855" xr3:uid="{DE39AF7A-6A54-477C-A850-6A43FD646A50}" name="9842"/>
    <tableColumn id="9856" xr3:uid="{E09FF155-1506-4910-BB89-17B277FEC278}" name="9843"/>
    <tableColumn id="9857" xr3:uid="{A35B3BE1-8AC3-4D7A-8FCD-D1D6647608D7}" name="9844"/>
    <tableColumn id="9858" xr3:uid="{C1F8AFFE-916C-488A-B71B-A023299C4344}" name="9845"/>
    <tableColumn id="9859" xr3:uid="{A1FB5D1E-B815-4A5C-8E1A-6862DEE1FA27}" name="9846"/>
    <tableColumn id="9860" xr3:uid="{16304FB3-864A-4FF1-92D2-5A9B5A829D04}" name="9847"/>
    <tableColumn id="9861" xr3:uid="{56C3812A-1356-43ED-A70F-555C8C3CEC3B}" name="9848"/>
    <tableColumn id="9862" xr3:uid="{5D62187B-21A2-40C3-B819-2B8760E8075B}" name="9849"/>
    <tableColumn id="9863" xr3:uid="{1FB797C2-3312-4D3F-A9A0-A199BFCB488D}" name="9850"/>
    <tableColumn id="9864" xr3:uid="{906E47D8-60A1-421D-AB60-7DE0FDB5C479}" name="9851"/>
    <tableColumn id="9865" xr3:uid="{DA987504-B1C5-4DA2-A804-5B034AF8B3CD}" name="9852"/>
    <tableColumn id="9866" xr3:uid="{B9D1CB47-2C0F-415F-BED4-2C40F52F5CD6}" name="9853"/>
    <tableColumn id="9867" xr3:uid="{6319D469-EDEE-4959-8454-BD82DAD85FEE}" name="9854"/>
    <tableColumn id="9868" xr3:uid="{FE70FC60-B5C1-43AE-A2AC-EA2053D314F3}" name="9855"/>
    <tableColumn id="9869" xr3:uid="{C0CFC223-1EA4-40D9-A642-382D6EAB4245}" name="9856"/>
    <tableColumn id="9870" xr3:uid="{E0BE2482-1AEF-4412-BFDD-4AFC0A30A5ED}" name="9857"/>
    <tableColumn id="9871" xr3:uid="{38CAF694-F656-48CC-A368-2AE630949EE4}" name="9858"/>
    <tableColumn id="9872" xr3:uid="{F3EA6109-E25C-4E47-BFDB-715D997C078E}" name="9859"/>
    <tableColumn id="9873" xr3:uid="{39344789-0374-4CB2-8166-743CB81283E4}" name="9860"/>
    <tableColumn id="9874" xr3:uid="{C7B1825B-6FC2-425A-A306-035944A429C4}" name="9861"/>
    <tableColumn id="9875" xr3:uid="{3FC7A348-BE95-4406-B567-626B876F1244}" name="9862"/>
    <tableColumn id="9876" xr3:uid="{B70C9FE9-80A3-459D-BB00-B43C7359D3E7}" name="9863"/>
    <tableColumn id="9877" xr3:uid="{10433128-8D70-4C87-B5B1-7302C21639D3}" name="9864"/>
    <tableColumn id="9878" xr3:uid="{5165EC17-EF75-44B6-A843-DA50E31692E3}" name="9865"/>
    <tableColumn id="9879" xr3:uid="{D572C48F-F46B-4E3D-91CF-B2C84947C3BB}" name="9866"/>
    <tableColumn id="9880" xr3:uid="{C9C54626-AB09-4908-A580-AB3E868671A1}" name="9867"/>
    <tableColumn id="9881" xr3:uid="{73296CFD-D061-40B1-B0C9-5BCFB2B8C40A}" name="9868"/>
    <tableColumn id="9882" xr3:uid="{D3FFFF7F-FB1E-480F-8EDA-AC3014576375}" name="9869"/>
    <tableColumn id="9883" xr3:uid="{1F0130ED-5D96-4A03-8FD2-B49D1BE228B9}" name="9870"/>
    <tableColumn id="9884" xr3:uid="{ED641A01-3A50-4C57-98E3-976C9A6BC205}" name="9871"/>
    <tableColumn id="9885" xr3:uid="{3DD78EC8-D793-4527-A3EC-F50F5D5D9C67}" name="9872"/>
    <tableColumn id="9886" xr3:uid="{11F88E95-CF0D-4F06-9157-F9163A6B5CEA}" name="9873"/>
    <tableColumn id="9887" xr3:uid="{26BBDBD2-39E9-48EE-85E8-37763EC76D53}" name="9874"/>
    <tableColumn id="9888" xr3:uid="{D6AD1AFD-18FE-4F16-AD3F-D7FBF1213CDA}" name="9875"/>
    <tableColumn id="9889" xr3:uid="{77F1EF5B-8B8E-4FE4-A0D5-CF8C70C193E9}" name="9876"/>
    <tableColumn id="9890" xr3:uid="{86EE67DA-970C-48C9-B56E-CD5899C10955}" name="9877"/>
    <tableColumn id="9891" xr3:uid="{B4163752-B988-4C02-9393-046B74AF8C40}" name="9878"/>
    <tableColumn id="9892" xr3:uid="{F108E8CF-DD74-4F07-9E05-A5FE0926E95B}" name="9879"/>
    <tableColumn id="9893" xr3:uid="{5E222DC9-2D91-4469-A5A7-F4479B5B17D3}" name="9880"/>
    <tableColumn id="9894" xr3:uid="{F02D5D57-D086-40FC-8ACB-CC7769C886A5}" name="9881"/>
    <tableColumn id="9895" xr3:uid="{FBF8673E-5915-4F53-B7C9-E827F04A6313}" name="9882"/>
    <tableColumn id="9896" xr3:uid="{F0378730-7320-414A-BA9F-E8EE83CD0FF1}" name="9883"/>
    <tableColumn id="9897" xr3:uid="{C8EA9DB9-45D0-4654-A75C-E15E054C3569}" name="9884"/>
    <tableColumn id="9898" xr3:uid="{00EA9A78-62BC-4CBE-94DC-565F68DA1CFA}" name="9885"/>
    <tableColumn id="9899" xr3:uid="{BF7A5803-462D-497C-8BB3-F6F8234BB8ED}" name="9886"/>
    <tableColumn id="9900" xr3:uid="{6F7B43D0-D913-4B9B-8E90-504C59EBC35F}" name="9887"/>
    <tableColumn id="9901" xr3:uid="{B8F91153-D786-4F39-BB23-BBD1C9C92C61}" name="9888"/>
    <tableColumn id="9902" xr3:uid="{7748C573-3CE3-42B7-B335-5CFCBC9B87F4}" name="9889"/>
    <tableColumn id="9903" xr3:uid="{54A3526C-B25D-43A7-8571-259418E0D73A}" name="9890"/>
    <tableColumn id="9904" xr3:uid="{3A6BB035-5BC7-4454-AADE-9D638E72480C}" name="9891"/>
    <tableColumn id="9905" xr3:uid="{0102501C-1902-44E5-87DF-F2435C5D3123}" name="9892"/>
    <tableColumn id="9906" xr3:uid="{04FA24D2-7001-4999-81A3-44591D98786A}" name="9893"/>
    <tableColumn id="9907" xr3:uid="{E133DB67-6FA5-426D-B055-2A615EC1940D}" name="9894"/>
    <tableColumn id="9908" xr3:uid="{4A5E1B42-2717-46F1-B642-D425E10228AA}" name="9895"/>
    <tableColumn id="9909" xr3:uid="{8775630E-F077-48D3-BA14-77BF07346F9B}" name="9896"/>
    <tableColumn id="9910" xr3:uid="{484FC012-258E-40C1-B07F-1A2CC77265FB}" name="9897"/>
    <tableColumn id="9911" xr3:uid="{74087866-A70F-4225-A48C-A93DA90C9A5A}" name="9898"/>
    <tableColumn id="9912" xr3:uid="{EFBBF168-60FF-4AB0-93A7-860B30E96AA3}" name="9899"/>
    <tableColumn id="9913" xr3:uid="{AF515C03-9E3E-4FA2-BDAC-86FBDFB05100}" name="9900"/>
    <tableColumn id="9914" xr3:uid="{6EC120B3-8D7F-4454-981B-0AAFA1773C0B}" name="9901"/>
    <tableColumn id="9915" xr3:uid="{A41158C1-DC3E-409C-84D6-CFD59A565E45}" name="9902"/>
    <tableColumn id="9916" xr3:uid="{E657701B-F6BC-44A0-8460-3B9EBA256D7D}" name="9903"/>
    <tableColumn id="9917" xr3:uid="{74E2A683-5185-4695-8ECF-AA52B5F61CAA}" name="9904"/>
    <tableColumn id="9918" xr3:uid="{6BC523D0-3364-438A-AE47-5CEC2092E910}" name="9905"/>
    <tableColumn id="9919" xr3:uid="{CD923E1C-986A-485E-A18B-4DE759BAC3A8}" name="9906"/>
    <tableColumn id="9920" xr3:uid="{43674ABD-E3FA-46DA-9707-2CF023A41C8B}" name="9907"/>
    <tableColumn id="9921" xr3:uid="{A724C7D0-3B5E-4BB5-9C0D-2C619C9A144F}" name="9908"/>
    <tableColumn id="9922" xr3:uid="{DA8354A8-1929-4889-A4B2-6A4BA9FC55D8}" name="9909"/>
    <tableColumn id="9923" xr3:uid="{B9A6A207-7404-4459-BAE3-DC9EC5E9A4B1}" name="9910"/>
    <tableColumn id="9924" xr3:uid="{B10AD745-98AC-465D-AA0D-9D260CC4F6CE}" name="9911"/>
    <tableColumn id="9925" xr3:uid="{D8D53F6D-3B0A-4314-B6E5-E86224BFA1B8}" name="9912"/>
    <tableColumn id="9926" xr3:uid="{B1598197-3B43-42AF-8D82-5C7B840B311F}" name="9913"/>
    <tableColumn id="9927" xr3:uid="{B5215374-F2BA-4B9B-9B91-F0E4E99D3587}" name="9914"/>
    <tableColumn id="9928" xr3:uid="{C3698592-7794-4814-9BCD-F23ECA9FED1E}" name="9915"/>
    <tableColumn id="9929" xr3:uid="{A18E1E89-145E-4595-99CF-A83A8E354375}" name="9916"/>
    <tableColumn id="9930" xr3:uid="{1F7B3C2A-84EE-4918-972F-044A0BD9048D}" name="9917"/>
    <tableColumn id="9931" xr3:uid="{B14E86FC-B92B-446F-B581-FEC4264210B7}" name="9918"/>
    <tableColumn id="9932" xr3:uid="{80A880D7-A3F3-4FF4-ABF7-0BF0F7378263}" name="9919"/>
    <tableColumn id="9933" xr3:uid="{637CD699-CE14-427A-962F-167B804C6BDA}" name="9920"/>
    <tableColumn id="9934" xr3:uid="{CA9995EA-4051-47B8-84E9-3DFADBB80662}" name="9921"/>
    <tableColumn id="9935" xr3:uid="{1D62209B-E1F1-4764-AB97-90FCB34169A4}" name="9922"/>
    <tableColumn id="9936" xr3:uid="{08DB79D8-B171-43A9-B92F-35FB9EB4876C}" name="9923"/>
    <tableColumn id="9937" xr3:uid="{028A0D2C-D826-427B-8C90-B647ACA85ABC}" name="9924"/>
    <tableColumn id="9938" xr3:uid="{26421B79-91AC-4F09-84E8-1055F7906DAC}" name="9925"/>
    <tableColumn id="9939" xr3:uid="{71D6564C-46FC-4A8C-BAC0-3874D0F8AB42}" name="9926"/>
    <tableColumn id="9940" xr3:uid="{DD98333E-7185-49E6-A226-8F49B66CAF03}" name="9927"/>
    <tableColumn id="9941" xr3:uid="{2C7053AD-9F58-4F00-8AF4-6928312A88A3}" name="9928"/>
    <tableColumn id="9942" xr3:uid="{007476B8-4373-4D98-AEB4-E34C57E36301}" name="9929"/>
    <tableColumn id="9943" xr3:uid="{B4A7BE44-3965-4BEF-B95E-3E8954611A72}" name="9930"/>
    <tableColumn id="9944" xr3:uid="{21AE2629-19E5-4AF1-93BE-950D72E6612E}" name="9931"/>
    <tableColumn id="9945" xr3:uid="{B56550F7-B087-4BC6-B8D8-9A7DCE3FD093}" name="9932"/>
    <tableColumn id="9946" xr3:uid="{684639C4-D721-41D2-A2BF-978CA50046C5}" name="9933"/>
    <tableColumn id="9947" xr3:uid="{EA5BD24C-4FCB-429A-83CD-07A11C16271B}" name="9934"/>
    <tableColumn id="9948" xr3:uid="{8685AA70-EEE3-47E0-8D8E-A6F77287FF50}" name="9935"/>
    <tableColumn id="9949" xr3:uid="{80FA78B2-A8F6-4C04-B702-264E283B5EA8}" name="9936"/>
    <tableColumn id="9950" xr3:uid="{A0A5334D-986C-48B6-A3CD-0D87F38E8B3C}" name="9937"/>
    <tableColumn id="9951" xr3:uid="{2B062E57-0518-4FB5-9EC3-AE9EE133580F}" name="9938"/>
    <tableColumn id="9952" xr3:uid="{5E1CEE9D-4D65-4A7C-B0FB-BF80244EEEFD}" name="9939"/>
    <tableColumn id="9953" xr3:uid="{AC6162A3-6FC6-4523-8817-C400BF931333}" name="9940"/>
    <tableColumn id="9954" xr3:uid="{6671BFD6-869C-4798-868F-0C9734146E35}" name="9941"/>
    <tableColumn id="9955" xr3:uid="{2B067BDD-9752-4CBF-950C-3002EC047EF4}" name="9942"/>
    <tableColumn id="9956" xr3:uid="{5957F935-B5ED-4BB1-BCED-3A6CB3231875}" name="9943"/>
    <tableColumn id="9957" xr3:uid="{2CD68C9D-1FB8-4743-AC8D-8EA8E597F4F7}" name="9944"/>
    <tableColumn id="9958" xr3:uid="{D42F3A43-0A71-4F31-8201-DE916095F35A}" name="9945"/>
    <tableColumn id="9959" xr3:uid="{462E4788-BA58-42C9-B1F8-C399AF0CA130}" name="9946"/>
    <tableColumn id="9960" xr3:uid="{53A2D267-8096-4991-AAB3-713BEFE85516}" name="9947"/>
    <tableColumn id="9961" xr3:uid="{27E4E405-B579-4585-BB31-E3CB3E75CA10}" name="9948"/>
    <tableColumn id="9962" xr3:uid="{4FE04BE2-2A15-4C5D-A257-DF29CF93DED3}" name="9949"/>
    <tableColumn id="9963" xr3:uid="{FBA0400C-4295-414F-AAD3-CEAA6050F727}" name="9950"/>
    <tableColumn id="9964" xr3:uid="{23DA8530-D2DC-45B8-A4EC-7C38CC092232}" name="9951"/>
    <tableColumn id="9965" xr3:uid="{F86A85BB-3C25-4275-B508-8C5D0161FE27}" name="9952"/>
    <tableColumn id="9966" xr3:uid="{6AD76255-FC51-4E07-9C5A-732AFFC4DBBF}" name="9953"/>
    <tableColumn id="9967" xr3:uid="{F0453EEC-6A56-4677-91B2-7E8DEFAF8CD4}" name="9954"/>
    <tableColumn id="9968" xr3:uid="{234712B8-E652-4ACE-A8EF-7ECD564DDAA6}" name="9955"/>
    <tableColumn id="9969" xr3:uid="{43BE0313-8FBE-4559-9B7C-21CF009002ED}" name="9956"/>
    <tableColumn id="9970" xr3:uid="{29B633D7-0FDA-42F8-991C-910034444C40}" name="9957"/>
    <tableColumn id="9971" xr3:uid="{B1D20C1F-A149-4CBA-829B-BB8D2EE299E1}" name="9958"/>
    <tableColumn id="9972" xr3:uid="{858CE6B8-18B6-47D5-B53A-3EA90150BB9B}" name="9959"/>
    <tableColumn id="9973" xr3:uid="{7982B1EE-CE61-4D03-977D-EA9E7C6D67AB}" name="9960"/>
    <tableColumn id="9974" xr3:uid="{6A831877-3E2A-408A-968E-67CF4B628166}" name="9961"/>
    <tableColumn id="9975" xr3:uid="{C4A7B391-9739-4530-9859-C3F967B971FB}" name="9962"/>
    <tableColumn id="9976" xr3:uid="{19BCDBC8-4589-4422-8527-3CB0F7C4A974}" name="9963"/>
    <tableColumn id="9977" xr3:uid="{D6BCC852-6CE7-44E1-9C11-8AC8F480985C}" name="9964"/>
    <tableColumn id="9978" xr3:uid="{8CCCF06C-1DCB-4812-9C67-2114EEC205B5}" name="9965"/>
    <tableColumn id="9979" xr3:uid="{9B1F9F47-975C-498A-A03B-FD81A44E0CF7}" name="9966"/>
    <tableColumn id="9980" xr3:uid="{B5032141-BA0A-49CE-9CD9-BDC7EB84793A}" name="9967"/>
    <tableColumn id="9981" xr3:uid="{4C2C0D25-E405-4E5C-A3CB-38F7249608AF}" name="9968"/>
    <tableColumn id="9982" xr3:uid="{28E843C7-C887-4A7E-A7DC-DB3751A1DF1D}" name="9969"/>
    <tableColumn id="9983" xr3:uid="{100723EC-2141-4FFC-A644-FDF48B9C79BA}" name="9970"/>
    <tableColumn id="9984" xr3:uid="{405B547A-CDF5-48F7-97B8-E10C9E961082}" name="9971"/>
    <tableColumn id="9985" xr3:uid="{ED3FCF7F-FE01-4270-9DDA-0CD834809114}" name="9972"/>
    <tableColumn id="9986" xr3:uid="{436C002A-7460-4C5F-9D86-E86B0F2DC3B3}" name="9973"/>
    <tableColumn id="9987" xr3:uid="{B7F4F955-18D6-4B57-96D8-C098B146FFA6}" name="9974"/>
    <tableColumn id="9988" xr3:uid="{B5E46971-A571-40A9-B108-E422B207CEA0}" name="9975"/>
    <tableColumn id="9989" xr3:uid="{0B3EC4F1-8A39-423B-A120-3C4B19EB279D}" name="9976"/>
    <tableColumn id="9990" xr3:uid="{45B6F0BF-E7CD-4901-A9AB-7E79F22CEBFB}" name="9977"/>
    <tableColumn id="9991" xr3:uid="{B0B48800-B378-4717-9C18-3BD43F4F6B3E}" name="9978"/>
    <tableColumn id="9992" xr3:uid="{20E9AEBA-DB6D-4698-8D33-9D14C031D158}" name="9979"/>
    <tableColumn id="9993" xr3:uid="{ECE2DCEF-0352-4B65-AF21-F67DB83EEDE6}" name="9980"/>
    <tableColumn id="9994" xr3:uid="{4A517113-1133-4582-9832-BCAA724641A9}" name="9981"/>
    <tableColumn id="9995" xr3:uid="{2B828E13-3568-4910-AA83-88466469AE4A}" name="9982"/>
    <tableColumn id="9996" xr3:uid="{A121998B-E46E-4D59-ACF7-941ED413F8AD}" name="9983"/>
    <tableColumn id="9997" xr3:uid="{F4F261F7-25CD-43D5-9032-D9260A28E176}" name="9984"/>
    <tableColumn id="9998" xr3:uid="{0D2B5C11-CA60-4495-AD1C-92356299F876}" name="9985"/>
    <tableColumn id="9999" xr3:uid="{953C4B92-1520-4156-ADD2-A8C4010D7992}" name="9986"/>
    <tableColumn id="10000" xr3:uid="{87DF6FCF-064B-4D18-ABE2-085700B730A0}" name="9987"/>
    <tableColumn id="10001" xr3:uid="{68EBF966-94E4-47C2-B897-AAE5311C7DE8}" name="9988"/>
    <tableColumn id="10002" xr3:uid="{59108C24-D118-4D51-8D41-073823A0526E}" name="9989"/>
    <tableColumn id="10003" xr3:uid="{0CC2A25D-F42D-44E7-B9A9-8CACF83CC0C0}" name="9990"/>
    <tableColumn id="10004" xr3:uid="{1140A981-002E-41F4-9E38-010BCB093B8B}" name="9991"/>
    <tableColumn id="10005" xr3:uid="{D9146DAB-3236-48FF-8C1D-4CB59724F04E}" name="9992"/>
    <tableColumn id="10006" xr3:uid="{362606F9-DC1D-48A4-BA3A-EC0EBD575CA3}" name="9993"/>
    <tableColumn id="10007" xr3:uid="{FD89F559-5D8B-4490-BD07-BC9665E2BC56}" name="9994"/>
    <tableColumn id="10008" xr3:uid="{AF88865F-62E2-47A9-8E06-65CFFD9C331D}" name="9995"/>
    <tableColumn id="10009" xr3:uid="{0A9522E6-C9C1-4F0B-8E6F-FCAE2F042912}" name="9996"/>
    <tableColumn id="10010" xr3:uid="{9C1872B7-C9ED-45EE-BA06-9B1595DB4C34}" name="9997"/>
    <tableColumn id="10011" xr3:uid="{A23FD13D-AD7D-492D-BC58-590938C4FC5C}" name="9998"/>
    <tableColumn id="10012" xr3:uid="{ACD381B1-6547-4479-B2CB-8AAE6F882FB4}" name="9999"/>
    <tableColumn id="10013" xr3:uid="{D10749D5-E053-4B14-8858-A3D4ED41D98B}" name="10000"/>
    <tableColumn id="10014" xr3:uid="{9AEC1BE0-751B-4438-B9B4-2398AE198903}" name="10001"/>
    <tableColumn id="10015" xr3:uid="{F1B4F096-DCF3-4A65-84E4-FAA050DD73E8}" name="10002"/>
    <tableColumn id="10016" xr3:uid="{496B16F2-FDE4-43AD-A5F3-6A3254B97719}" name="10003"/>
    <tableColumn id="10017" xr3:uid="{57ABCB27-9357-4C3F-8BE5-455E1FC8DE8C}" name="10004"/>
    <tableColumn id="10018" xr3:uid="{A89A66EB-0BE3-4BBB-878F-3E04E7E4FD4C}" name="10005"/>
    <tableColumn id="10019" xr3:uid="{149B91BA-AC82-4542-BEFB-38FBD0594526}" name="10006"/>
    <tableColumn id="10020" xr3:uid="{168CD9AC-A4E6-48C2-A5B8-DE833144598C}" name="10007"/>
    <tableColumn id="10021" xr3:uid="{7AACDF4A-CFA9-4D7D-AF46-25BD60073A5A}" name="10008"/>
    <tableColumn id="10022" xr3:uid="{AEC1781D-2963-4E1C-89F5-D37A2EFA101E}" name="10009"/>
    <tableColumn id="10023" xr3:uid="{484B1BC4-16D7-41EE-A716-CBD6C8E67FCE}" name="10010"/>
    <tableColumn id="10024" xr3:uid="{91E9C5EF-9A17-42F5-9EFF-F1410E0C80C9}" name="10011"/>
    <tableColumn id="10025" xr3:uid="{80CADE2F-7E20-4E9D-B7B8-A3519FC6EC69}" name="10012"/>
    <tableColumn id="10026" xr3:uid="{0FDBA3AF-D723-46D0-9ECD-7968659ED76D}" name="10013"/>
    <tableColumn id="10027" xr3:uid="{0F2BDAA2-680C-4550-BF14-0DB0293E2247}" name="10014"/>
    <tableColumn id="10028" xr3:uid="{F364A147-B572-4147-A6E3-2486989F7071}" name="10015"/>
    <tableColumn id="10029" xr3:uid="{94C09A6D-8E82-4ECA-BD87-D1873FB2B8AA}" name="10016"/>
    <tableColumn id="10030" xr3:uid="{E461EE58-A84A-4AB5-AA1D-8B86CA6CC554}" name="10017"/>
    <tableColumn id="10031" xr3:uid="{FF630705-6DDC-4475-9351-525D3FE95268}" name="10018"/>
    <tableColumn id="10032" xr3:uid="{B75D5464-955E-4C04-B753-61058EA7E574}" name="10019"/>
    <tableColumn id="10033" xr3:uid="{ADCB7C32-46B9-4AE9-950C-AF66D01D18E4}" name="10020"/>
    <tableColumn id="10034" xr3:uid="{C88504C9-08F2-4C21-B491-962CCEFDB0E8}" name="10021"/>
    <tableColumn id="10035" xr3:uid="{199B212D-F6F9-4FD3-94A0-2A62E1F0CBC9}" name="10022"/>
    <tableColumn id="10036" xr3:uid="{8314AED1-AA0A-422B-98F0-F59D3240E0C9}" name="10023"/>
    <tableColumn id="10037" xr3:uid="{6FB11F87-30CF-4717-B0AA-2FB3C3DA126E}" name="10024"/>
    <tableColumn id="10038" xr3:uid="{0E1A83F3-95D3-4F3B-B641-5F629524F7E9}" name="10025"/>
    <tableColumn id="10039" xr3:uid="{A2E9ACF7-7DA6-4BEB-BCB7-5AECC34D5FA9}" name="10026"/>
    <tableColumn id="10040" xr3:uid="{D17B2810-270A-4AA1-82A7-9C20136A99B2}" name="10027"/>
    <tableColumn id="10041" xr3:uid="{CA4F90A0-C401-4EA2-966F-AAF8F85DA11A}" name="10028"/>
    <tableColumn id="10042" xr3:uid="{2F960D4D-2811-4B4B-A5AA-78BB25F726CE}" name="10029"/>
    <tableColumn id="10043" xr3:uid="{9A265EC7-D94D-4219-A650-BFE6E11036A1}" name="10030"/>
    <tableColumn id="10044" xr3:uid="{B44CEB12-764A-43C5-B5E7-7566BC667EFE}" name="10031"/>
    <tableColumn id="10045" xr3:uid="{F33703BC-93BE-49E4-B72A-21D8556F1580}" name="10032"/>
    <tableColumn id="10046" xr3:uid="{8891853D-4253-471F-B4B0-EE13AB85CB0F}" name="10033"/>
    <tableColumn id="10047" xr3:uid="{CAD56D8E-3797-4865-AEEA-F2E8A30DACE4}" name="10034"/>
    <tableColumn id="10048" xr3:uid="{960BB35A-3BFA-47B1-996D-5BC355FE3959}" name="10035"/>
    <tableColumn id="10049" xr3:uid="{D20B69C3-A504-4E72-A9B6-252FF907B2AC}" name="10036"/>
    <tableColumn id="10050" xr3:uid="{97E99C42-E83D-43A8-9997-C702064E1343}" name="10037"/>
    <tableColumn id="10051" xr3:uid="{2A5651C6-7931-4882-9FBF-9099319635AA}" name="10038"/>
    <tableColumn id="10052" xr3:uid="{4C7AD5BC-703F-4B83-A02C-F5D60904E5A6}" name="10039"/>
    <tableColumn id="10053" xr3:uid="{630A6051-E282-40DA-A012-ECE7EE5DDAC4}" name="10040"/>
    <tableColumn id="10054" xr3:uid="{6168FEB2-A8CE-422B-A458-6230947779A1}" name="10041"/>
    <tableColumn id="10055" xr3:uid="{D435E7B4-DAEE-42E5-AFC3-130C27061996}" name="10042"/>
    <tableColumn id="10056" xr3:uid="{A89BD415-3588-49D1-B04F-27CA57BB75FB}" name="10043"/>
    <tableColumn id="10057" xr3:uid="{4826E67C-ECBB-413E-994F-5B530AC6DD37}" name="10044"/>
    <tableColumn id="10058" xr3:uid="{94C8A4F5-45C7-4DA1-AFCA-69215CC21397}" name="10045"/>
    <tableColumn id="10059" xr3:uid="{5DB3AA49-7FFF-42AF-A599-BBC36CCAD6E1}" name="10046"/>
    <tableColumn id="10060" xr3:uid="{3FF759E3-044C-42FF-9CCE-B373890C57B7}" name="10047"/>
    <tableColumn id="10061" xr3:uid="{54BEA177-8236-4E42-8C7E-E411BFEE6C02}" name="10048"/>
    <tableColumn id="10062" xr3:uid="{EC7E6D20-5BC5-4033-9D93-E9509336F751}" name="10049"/>
    <tableColumn id="10063" xr3:uid="{D98A08E9-2540-4A4C-A5D4-92A51A5152D2}" name="10050"/>
    <tableColumn id="10064" xr3:uid="{B1588BEA-856F-4382-9200-E005943919E9}" name="10051"/>
    <tableColumn id="10065" xr3:uid="{6736D993-01CB-4251-9C4E-9BB25C0928B5}" name="10052"/>
    <tableColumn id="10066" xr3:uid="{914CAAEA-FE9E-4F5A-A7A4-2B9E62254C6F}" name="10053"/>
    <tableColumn id="10067" xr3:uid="{43774C51-FEBE-4AA2-9137-6403E4BCDFAF}" name="10054"/>
    <tableColumn id="10068" xr3:uid="{EC267A11-7DF5-4868-884F-37E25B839321}" name="10055"/>
    <tableColumn id="10069" xr3:uid="{6F1C9A8C-AF13-4369-9BF2-46817BBDD775}" name="10056"/>
    <tableColumn id="10070" xr3:uid="{F2E4BAA1-5B19-4264-B4ED-4AE783D3CF51}" name="10057"/>
    <tableColumn id="10071" xr3:uid="{F9A3C40C-5197-41C3-9EEB-514DBD7967A5}" name="10058"/>
    <tableColumn id="10072" xr3:uid="{93E9477C-3079-483B-9753-9F1BF7C21BEB}" name="10059"/>
    <tableColumn id="10073" xr3:uid="{9F5227FA-CC6C-4F62-8369-4F519FDD937A}" name="10060"/>
    <tableColumn id="10074" xr3:uid="{0F58D87A-3509-4841-BE5F-D8B30135FC47}" name="10061"/>
    <tableColumn id="10075" xr3:uid="{AE9C6A1F-ACA7-4F54-B699-7E6C153A9901}" name="10062"/>
    <tableColumn id="10076" xr3:uid="{1F34904B-BFE7-401B-94B6-70733F344B69}" name="10063"/>
    <tableColumn id="10077" xr3:uid="{0F0CCD1A-57AB-4EF0-A1FA-2183606EBC61}" name="10064"/>
    <tableColumn id="10078" xr3:uid="{1066CBFC-6C5C-470F-AA82-44D6FB5F1FA6}" name="10065"/>
    <tableColumn id="10079" xr3:uid="{E511AACB-E83D-4F2D-A8CA-4169542CF245}" name="10066"/>
    <tableColumn id="10080" xr3:uid="{EAC6F5F9-A175-4087-BFB9-7E9147C3A750}" name="10067"/>
    <tableColumn id="10081" xr3:uid="{A9D15F74-DA81-4EE8-81FA-56485AA16BD3}" name="10068"/>
    <tableColumn id="10082" xr3:uid="{8961ED0E-0574-4A5D-BA36-87530CFE4524}" name="10069"/>
    <tableColumn id="10083" xr3:uid="{46F9F0FC-47BD-47A9-9A76-12E51B7DB829}" name="10070"/>
    <tableColumn id="10084" xr3:uid="{D5ACF989-99B6-4F57-8FFD-E47032D2959B}" name="10071"/>
    <tableColumn id="10085" xr3:uid="{FB3FF824-3CF6-4FD0-B3C5-F1CB544E9A1C}" name="10072"/>
    <tableColumn id="10086" xr3:uid="{93359DF4-403F-4F26-8DFC-B0FD11B674F3}" name="10073"/>
    <tableColumn id="10087" xr3:uid="{C0AC855D-C8AA-40BF-9983-E68E959C378F}" name="10074"/>
    <tableColumn id="10088" xr3:uid="{FD23AE8A-65F6-4C03-AD44-9928C0A60FE6}" name="10075"/>
    <tableColumn id="10089" xr3:uid="{C4A92590-9F4F-4B82-B129-D60998DE805B}" name="10076"/>
    <tableColumn id="10090" xr3:uid="{75AA60D4-0967-4A8D-ACC1-D1826D4347AA}" name="10077"/>
    <tableColumn id="10091" xr3:uid="{F5368B83-96BC-40B5-84F3-571216DFC9DC}" name="10078"/>
    <tableColumn id="10092" xr3:uid="{9F814AE1-8E1E-4077-BAD4-FFA6AF249049}" name="10079"/>
    <tableColumn id="10093" xr3:uid="{24825AEE-2855-4544-8879-5A80FC712A47}" name="10080"/>
    <tableColumn id="10094" xr3:uid="{5212B0A2-2376-473C-9E68-8585AD469C62}" name="10081"/>
    <tableColumn id="10095" xr3:uid="{6C8125C8-5EB0-4E5D-9EA9-525D494FC81F}" name="10082"/>
    <tableColumn id="10096" xr3:uid="{7E1EA36C-8095-4C71-AAD1-D452E84579EE}" name="10083"/>
    <tableColumn id="10097" xr3:uid="{C1B36C7D-282C-4915-905D-E50959055897}" name="10084"/>
    <tableColumn id="10098" xr3:uid="{F0FA5B1E-2FB1-42F2-8697-213BCDBBACDF}" name="10085"/>
    <tableColumn id="10099" xr3:uid="{9383EE26-45C0-49FE-A8C7-946D059D0DBC}" name="10086"/>
    <tableColumn id="10100" xr3:uid="{69EE7827-6B21-4AFE-8256-20E9C18FAE48}" name="10087"/>
    <tableColumn id="10101" xr3:uid="{D5EAED02-F9F9-476F-88F3-264E1796CADB}" name="10088"/>
    <tableColumn id="10102" xr3:uid="{B366639C-CEA6-4629-BE00-9138A1A9847F}" name="10089"/>
    <tableColumn id="10103" xr3:uid="{B20A33AC-5BF3-414D-A4D4-A1A20392B656}" name="10090"/>
    <tableColumn id="10104" xr3:uid="{62FD96D5-E297-4C26-A93E-BE8999E6FA4F}" name="10091"/>
    <tableColumn id="10105" xr3:uid="{21F34234-AF33-4C0D-B3CC-4326C087CEF7}" name="10092"/>
    <tableColumn id="10106" xr3:uid="{CC9A5B92-E2F8-41F8-86CA-6593916FD84E}" name="10093"/>
    <tableColumn id="10107" xr3:uid="{949531B9-1733-4A36-AE60-7C066208522C}" name="10094"/>
    <tableColumn id="10108" xr3:uid="{CAE77C93-D2D1-4ADD-B78F-5E7D08A4A45E}" name="10095"/>
    <tableColumn id="10109" xr3:uid="{B7CA7658-57B7-4637-9AEF-0C457A46626B}" name="10096"/>
    <tableColumn id="10110" xr3:uid="{54D39BBF-D466-4473-A2CE-CA5275012666}" name="10097"/>
    <tableColumn id="10111" xr3:uid="{057A1BB0-22B0-40F9-910C-AD31FE827B34}" name="10098"/>
    <tableColumn id="10112" xr3:uid="{BD456CD5-8F43-4AFF-817F-E725508E6616}" name="10099"/>
    <tableColumn id="10113" xr3:uid="{61AD2B59-DF3A-44FB-B158-B41F987938BF}" name="10100"/>
    <tableColumn id="10114" xr3:uid="{2BAAA1E6-6219-4D0A-BD1F-89978DFA93A5}" name="10101"/>
    <tableColumn id="10115" xr3:uid="{F6667F94-0AD0-4B55-9965-18FD74ADFB5D}" name="10102"/>
    <tableColumn id="10116" xr3:uid="{81E13887-D26B-4770-BCD8-10A5ACFD9BAC}" name="10103"/>
    <tableColumn id="10117" xr3:uid="{8D7E15A7-6154-4170-AB65-CF873364EC22}" name="10104"/>
    <tableColumn id="10118" xr3:uid="{1CCC274D-C3C3-4ADC-BBE5-2850104C9749}" name="10105"/>
    <tableColumn id="10119" xr3:uid="{42F18703-0F4B-453B-846C-25EC3E311653}" name="10106"/>
    <tableColumn id="10120" xr3:uid="{82677CB1-C6BA-42CB-B887-5A93C257B3EF}" name="10107"/>
    <tableColumn id="10121" xr3:uid="{3E11AD45-0761-4897-8AAB-9F5F70BDAE23}" name="10108"/>
    <tableColumn id="10122" xr3:uid="{46AB9ECA-AA1E-4DBA-A98E-0A2F865D0362}" name="10109"/>
    <tableColumn id="10123" xr3:uid="{25360C4B-9920-4926-8462-A3DA03343C0F}" name="10110"/>
    <tableColumn id="10124" xr3:uid="{F00FBC0D-0992-4385-B67C-6155AA80C03C}" name="10111"/>
    <tableColumn id="10125" xr3:uid="{6FE5851D-2112-439E-9482-FEBBCE29C8E1}" name="10112"/>
    <tableColumn id="10126" xr3:uid="{29596B22-F6AA-43DD-B077-6BCF7AE41F42}" name="10113"/>
    <tableColumn id="10127" xr3:uid="{F74CC9EC-0A69-4745-A5BD-DE7B97BCC022}" name="10114"/>
    <tableColumn id="10128" xr3:uid="{FCF7CC27-AB09-4CF7-A557-0CE8530B2709}" name="10115"/>
    <tableColumn id="10129" xr3:uid="{749A4ABC-C02E-4673-BF05-B1BCD1E4B986}" name="10116"/>
    <tableColumn id="10130" xr3:uid="{556DE5A2-D475-4F27-8F4F-26E106E5696B}" name="10117"/>
    <tableColumn id="10131" xr3:uid="{FA0927C7-8D9A-487A-B69B-EAF477B4B595}" name="10118"/>
    <tableColumn id="10132" xr3:uid="{97567659-1AB0-46B6-9361-361813C0EE4E}" name="10119"/>
    <tableColumn id="10133" xr3:uid="{A4A6CD4F-B728-4613-B12E-1A0D6D061285}" name="10120"/>
    <tableColumn id="10134" xr3:uid="{D9A36583-E9F0-4351-A7BC-E5A889698467}" name="10121"/>
    <tableColumn id="10135" xr3:uid="{453B5CD6-977B-499E-BCEC-D8A804BC8DCF}" name="10122"/>
    <tableColumn id="10136" xr3:uid="{F0774CA1-F8C4-46AC-ACBA-3915FD68866F}" name="10123"/>
    <tableColumn id="10137" xr3:uid="{58A7918A-ACAF-4082-9954-469F462533FA}" name="10124"/>
    <tableColumn id="10138" xr3:uid="{0575BB0E-835C-4D37-9D9F-C5A365D6C6AA}" name="10125"/>
    <tableColumn id="10139" xr3:uid="{BA8D18BE-938E-47B2-8FC8-74BF8948366E}" name="10126"/>
    <tableColumn id="10140" xr3:uid="{A19249BF-EB4F-4000-BABD-CEC8E1A36929}" name="10127"/>
    <tableColumn id="10141" xr3:uid="{FF91A6FC-62C9-45C4-BE11-BBDD107FF02B}" name="10128"/>
    <tableColumn id="10142" xr3:uid="{A2EB1D7A-D59C-4527-8029-49F4BBF1C524}" name="10129"/>
    <tableColumn id="10143" xr3:uid="{114C709A-146E-42B4-A671-C7EDC710DC3B}" name="10130"/>
    <tableColumn id="10144" xr3:uid="{92021EA9-3FE5-45F6-8EF2-5FBD2144580A}" name="10131"/>
    <tableColumn id="10145" xr3:uid="{56C29906-FB35-45D7-A7F2-D3016A346829}" name="10132"/>
    <tableColumn id="10146" xr3:uid="{F6BA9424-24A2-415A-A142-2F28C887D05B}" name="10133"/>
    <tableColumn id="10147" xr3:uid="{418C8BE2-2527-454F-8A9D-91FE320BEDFC}" name="10134"/>
    <tableColumn id="10148" xr3:uid="{54FFD9DE-C0A4-497C-A4C5-6C7A9F6D6241}" name="10135"/>
    <tableColumn id="10149" xr3:uid="{DD81956C-9DED-466D-AC65-DB0C47D2BE90}" name="10136"/>
    <tableColumn id="10150" xr3:uid="{7FC27F84-EEDA-4415-93B1-52D9C41E7B53}" name="10137"/>
    <tableColumn id="10151" xr3:uid="{50E2A0A3-E1B5-464E-8BC5-FBFB81AF40C8}" name="10138"/>
    <tableColumn id="10152" xr3:uid="{6F61D3DD-5596-4A70-BCBA-64A06ADF4633}" name="10139"/>
    <tableColumn id="10153" xr3:uid="{9C26F08F-223F-4A66-BC9C-59F3462266F7}" name="10140"/>
    <tableColumn id="10154" xr3:uid="{75C79F9E-A9B2-4F8D-93BB-E9BC2FA201BC}" name="10141"/>
    <tableColumn id="10155" xr3:uid="{7A34437A-2819-4D18-BA39-4EC59BAFD4E0}" name="10142"/>
    <tableColumn id="10156" xr3:uid="{BBA4E0EA-08D3-496E-9131-26D00BB5DAAF}" name="10143"/>
    <tableColumn id="10157" xr3:uid="{99AB924C-86A7-4A84-8F3B-C8E548511158}" name="10144"/>
    <tableColumn id="10158" xr3:uid="{D9F97283-2EBD-45E3-AAE4-646142B5E490}" name="10145"/>
    <tableColumn id="10159" xr3:uid="{D05A7D42-46FD-478C-BCA6-34C857FFC7A1}" name="10146"/>
    <tableColumn id="10160" xr3:uid="{EC754DE4-2F69-4C25-B570-5EBA89A83E34}" name="10147"/>
    <tableColumn id="10161" xr3:uid="{4D588C80-B813-49D8-9AC3-A77EDA7E0EF0}" name="10148"/>
    <tableColumn id="10162" xr3:uid="{9536E32F-401D-41C3-B602-D2431E9DF1D5}" name="10149"/>
    <tableColumn id="10163" xr3:uid="{B382B3BA-19C1-4A08-AD3F-22E0BE5E8D84}" name="10150"/>
    <tableColumn id="10164" xr3:uid="{F8C17C77-FD99-45BC-B216-7B388EA0C44E}" name="10151"/>
    <tableColumn id="10165" xr3:uid="{157358B2-85C9-4245-850B-3CDE651C0047}" name="10152"/>
    <tableColumn id="10166" xr3:uid="{223058D6-205E-4B5B-8103-AFFE5D60BE5F}" name="10153"/>
    <tableColumn id="10167" xr3:uid="{5E092AB0-61DB-475E-9BF7-01906ABD08D1}" name="10154"/>
    <tableColumn id="10168" xr3:uid="{4514095E-2A99-4E74-87D5-D28F98EC92BB}" name="10155"/>
    <tableColumn id="10169" xr3:uid="{B69A3467-70F5-4EFA-A94B-62D4072A2ED4}" name="10156"/>
    <tableColumn id="10170" xr3:uid="{91217895-370C-444F-92C5-657AC38BE10B}" name="10157"/>
    <tableColumn id="10171" xr3:uid="{2F633FF9-5218-49EB-AEB3-CCA613FC3DEF}" name="10158"/>
    <tableColumn id="10172" xr3:uid="{6C8F1C3F-095D-435A-9868-227BC1C23579}" name="10159"/>
    <tableColumn id="10173" xr3:uid="{9DCB5CC3-9E6F-45AF-A3FB-0592F5E0695A}" name="10160"/>
    <tableColumn id="10174" xr3:uid="{995A9A48-04C5-4056-9612-23DB6C542719}" name="10161"/>
    <tableColumn id="10175" xr3:uid="{1B8A27AE-9C35-439E-89E0-A382C9C2FBC8}" name="10162"/>
    <tableColumn id="10176" xr3:uid="{194B2641-3975-46AB-BEBE-A6303CF91A16}" name="10163"/>
    <tableColumn id="10177" xr3:uid="{1696247F-52A2-45F2-A8BA-BF91E41F7B6F}" name="10164"/>
    <tableColumn id="10178" xr3:uid="{D7BB4331-71AF-46DF-B11F-4D3208614284}" name="10165"/>
    <tableColumn id="10179" xr3:uid="{4DE590EA-BC55-4F3C-9CD7-73AE25CD0711}" name="10166"/>
    <tableColumn id="10180" xr3:uid="{4F181229-75D5-45AA-9CC3-91B9610C93C8}" name="10167"/>
    <tableColumn id="10181" xr3:uid="{D6F03027-DD15-40EC-AEA2-5E4C732F1325}" name="10168"/>
    <tableColumn id="10182" xr3:uid="{1D9D4B84-8CB6-40CC-A77A-2A75E53F84FB}" name="10169"/>
    <tableColumn id="10183" xr3:uid="{654A5BEB-FB6B-4135-8E3A-1F2308E08A53}" name="10170"/>
    <tableColumn id="10184" xr3:uid="{6FA2065B-6AD7-4165-8A49-CCC23B7FBDE8}" name="10171"/>
    <tableColumn id="10185" xr3:uid="{C40A80EF-A997-44D7-A7EF-33CF61E4139E}" name="10172"/>
    <tableColumn id="10186" xr3:uid="{CCEBEE5A-5EFF-4129-8159-D7FC5C12C376}" name="10173"/>
    <tableColumn id="10187" xr3:uid="{45BD9442-8637-4094-A963-FE4A5E61DAB6}" name="10174"/>
    <tableColumn id="10188" xr3:uid="{D18F27EC-F60A-4F6C-99E5-B78E3D5C5C42}" name="10175"/>
    <tableColumn id="10189" xr3:uid="{990BEF7C-D5B6-4F69-893B-00FD1A505018}" name="10176"/>
    <tableColumn id="10190" xr3:uid="{C1A6A420-B626-4F8C-8AA4-E7AAE6ABB4A3}" name="10177"/>
    <tableColumn id="10191" xr3:uid="{B809B867-52AC-4C56-8CDF-E9F292C462DC}" name="10178"/>
    <tableColumn id="10192" xr3:uid="{95507E25-7271-4B7B-9D64-3C13571DA706}" name="10179"/>
    <tableColumn id="10193" xr3:uid="{4F0AEEB1-4586-41A0-95B6-CE20A24D8B46}" name="10180"/>
    <tableColumn id="10194" xr3:uid="{A0666965-E9A5-411C-9B79-7A89EB60A0B5}" name="10181"/>
    <tableColumn id="10195" xr3:uid="{42BB159F-C9D1-4C77-8F34-552645F575AF}" name="10182"/>
    <tableColumn id="10196" xr3:uid="{BC5E7943-7A4C-4D12-A90A-3A80E459062C}" name="10183"/>
    <tableColumn id="10197" xr3:uid="{D4425106-B5D6-4CBE-A738-E19D57988818}" name="10184"/>
    <tableColumn id="10198" xr3:uid="{D636F6CD-0995-4E5F-B06F-24E97400BE27}" name="10185"/>
    <tableColumn id="10199" xr3:uid="{AE9B0F8B-3248-420D-B986-7E957E672942}" name="10186"/>
    <tableColumn id="10200" xr3:uid="{BC520394-17F8-486A-8CC8-B6CD453AC162}" name="10187"/>
    <tableColumn id="10201" xr3:uid="{55B60188-7C63-434E-9D8F-81BE2718D046}" name="10188"/>
    <tableColumn id="10202" xr3:uid="{BD0F2D8D-89EA-43FD-BECD-885AC27E9D1F}" name="10189"/>
    <tableColumn id="10203" xr3:uid="{DFFEEB8A-E0BE-43A7-B4DD-8C9AE931E049}" name="10190"/>
    <tableColumn id="10204" xr3:uid="{69F5FC86-932B-4251-9E9A-F45587BF48DF}" name="10191"/>
    <tableColumn id="10205" xr3:uid="{FCD74023-9968-4878-9CCB-8E475FDC1F89}" name="10192"/>
    <tableColumn id="10206" xr3:uid="{77A2AEAD-E9D8-41A4-A832-FFBE8592F829}" name="10193"/>
    <tableColumn id="10207" xr3:uid="{C1A1CED7-E623-4070-921D-602EBBBD6F7F}" name="10194"/>
    <tableColumn id="10208" xr3:uid="{831A94EC-C4D1-4FEB-A967-DA6BA6FCEBEA}" name="10195"/>
    <tableColumn id="10209" xr3:uid="{117C09D0-6909-40F2-81A7-8135A39B4AF1}" name="10196"/>
    <tableColumn id="10210" xr3:uid="{950E2609-CFB2-4D02-814F-BF3F7403832B}" name="10197"/>
    <tableColumn id="10211" xr3:uid="{CFCA0C27-7092-4E55-A1E6-629D9B621BA9}" name="10198"/>
    <tableColumn id="10212" xr3:uid="{544D8C3F-D156-4738-8983-403BC45AD7ED}" name="10199"/>
    <tableColumn id="10213" xr3:uid="{47F0673E-4805-4C61-A02A-7B4863FE5BDD}" name="10200"/>
    <tableColumn id="10214" xr3:uid="{453D08F8-C9E5-42B2-9D5F-2D906C01B271}" name="10201"/>
    <tableColumn id="10215" xr3:uid="{29AA616A-8380-4787-BD27-00C6DEA4836F}" name="10202"/>
    <tableColumn id="10216" xr3:uid="{E2B95222-72EC-47C6-8B82-205FD3A9879B}" name="10203"/>
    <tableColumn id="10217" xr3:uid="{43197480-BA14-464E-AE29-1445A0D32435}" name="10204"/>
    <tableColumn id="10218" xr3:uid="{2420F434-D119-4B9B-A335-31A691782B4A}" name="10205"/>
    <tableColumn id="10219" xr3:uid="{18B06B5D-3AC4-4556-9B47-99F6C5816C08}" name="10206"/>
    <tableColumn id="10220" xr3:uid="{8E0F34B3-8E06-4EB9-80F5-43424BE9AAF3}" name="10207"/>
    <tableColumn id="10221" xr3:uid="{4466D01A-69AF-4668-9462-B28D9F7BA3FA}" name="10208"/>
    <tableColumn id="10222" xr3:uid="{99DCE13D-A95E-441C-B620-6F97F165F85C}" name="10209"/>
    <tableColumn id="10223" xr3:uid="{8E4B6B8E-CC7B-407B-8087-1A4B0AA67091}" name="10210"/>
    <tableColumn id="10224" xr3:uid="{2CBB220A-6B1E-421F-88A4-794326E7E077}" name="10211"/>
    <tableColumn id="10225" xr3:uid="{19FE1A07-7A95-4E5D-843D-A196A4E4C3C5}" name="10212"/>
    <tableColumn id="10226" xr3:uid="{C06D1456-32EB-4AFB-A34A-940A3A6EC8DB}" name="10213"/>
    <tableColumn id="10227" xr3:uid="{E3180C4F-8A13-41A5-99A0-0BB60A4A497B}" name="10214"/>
    <tableColumn id="10228" xr3:uid="{C2AC5113-F1C1-48D6-A207-583C6FBFD306}" name="10215"/>
    <tableColumn id="10229" xr3:uid="{EAC6495F-6418-4E0D-AADB-88C57AD3E38B}" name="10216"/>
    <tableColumn id="10230" xr3:uid="{9A41C10B-A892-4EAC-BEE5-1C95F452BDB7}" name="10217"/>
    <tableColumn id="10231" xr3:uid="{8E207DE3-22D4-413C-8E91-80AA5DCDA277}" name="10218"/>
    <tableColumn id="10232" xr3:uid="{2717E855-86AB-4B02-9ECD-2D717DD28AA6}" name="10219"/>
    <tableColumn id="10233" xr3:uid="{0075B0E8-0C9A-45B6-8866-31022B7FC410}" name="10220"/>
    <tableColumn id="10234" xr3:uid="{2A16CE81-C98A-4505-AB4B-74A9699B01FF}" name="10221"/>
    <tableColumn id="10235" xr3:uid="{6594C6B4-9ACC-4BA1-B0F7-1304F6D3A98E}" name="10222"/>
    <tableColumn id="10236" xr3:uid="{2B767432-14D6-45CA-B903-A0B9787209DC}" name="10223"/>
    <tableColumn id="10237" xr3:uid="{C71DDF47-D675-4A76-8AD0-CBE3514C6BCF}" name="10224"/>
    <tableColumn id="10238" xr3:uid="{E821054C-E277-41CF-9CF9-F00A8FAE27F6}" name="10225"/>
    <tableColumn id="10239" xr3:uid="{FADE5A73-BF85-44E2-9E4F-0405C602A713}" name="10226"/>
    <tableColumn id="10240" xr3:uid="{022FFC18-2CEE-41E8-AAD1-EF200652DE19}" name="10227"/>
    <tableColumn id="10241" xr3:uid="{6638A04E-EC14-4EE3-A425-627F5FF9BB63}" name="10228"/>
    <tableColumn id="10242" xr3:uid="{874D1288-FADF-4485-A92B-F98D700B0EE8}" name="10229"/>
    <tableColumn id="10243" xr3:uid="{C4AD5FB0-DEDE-4314-9757-01ED8428A61E}" name="10230"/>
    <tableColumn id="10244" xr3:uid="{F72D1917-E0A6-4F3C-85D6-69D0EC8DD1F3}" name="10231"/>
    <tableColumn id="10245" xr3:uid="{0D0F829D-A471-4298-A951-0A4E6098AD93}" name="10232"/>
    <tableColumn id="10246" xr3:uid="{F30F0A3C-0298-4726-898C-E8D8C2317068}" name="10233"/>
    <tableColumn id="10247" xr3:uid="{9FF1B47C-390A-42FD-A40A-EDF4628C96A4}" name="10234"/>
    <tableColumn id="10248" xr3:uid="{7AD91023-00B5-4C42-99DF-1EE0E65F22B5}" name="10235"/>
    <tableColumn id="10249" xr3:uid="{4E57B967-69F9-4C04-A4F7-CA57708B8EF5}" name="10236"/>
    <tableColumn id="10250" xr3:uid="{80B3D055-3210-4AA4-A593-90E9DB16ED6E}" name="10237"/>
    <tableColumn id="10251" xr3:uid="{3F393CE3-C682-44D0-A8FF-E9C6BEDFCC89}" name="10238"/>
    <tableColumn id="10252" xr3:uid="{76AFFAC4-7CB8-4924-B420-7C2E814E1749}" name="10239"/>
    <tableColumn id="10253" xr3:uid="{6ADD8627-F669-4C99-B9BC-DDB8A156C8DC}" name="10240"/>
    <tableColumn id="10254" xr3:uid="{519E6017-6329-4A5B-9831-4CE0E72CD6B5}" name="10241"/>
    <tableColumn id="10255" xr3:uid="{89E5BD4B-0099-4732-BA7E-526E44041890}" name="10242"/>
    <tableColumn id="10256" xr3:uid="{B0BF5EAE-3189-4B53-9462-4D3144559E95}" name="10243"/>
    <tableColumn id="10257" xr3:uid="{640FF8C4-106C-49E1-8C50-B70E121311D0}" name="10244"/>
    <tableColumn id="10258" xr3:uid="{00FF0957-5870-40FE-B4A3-226A649B4048}" name="10245"/>
    <tableColumn id="10259" xr3:uid="{23B644CB-2849-4278-BBB5-CF967B061547}" name="10246"/>
    <tableColumn id="10260" xr3:uid="{5236354B-CA13-494A-BA06-A0BD121979CC}" name="10247"/>
    <tableColumn id="10261" xr3:uid="{D469A4FD-6F17-4B88-8562-5B41CDC4BB8D}" name="10248"/>
    <tableColumn id="10262" xr3:uid="{2324147C-0172-4AE7-9ACF-F895EE8039E5}" name="10249"/>
    <tableColumn id="10263" xr3:uid="{A47A0710-58CD-4E03-8927-DC0DB9A7C6E5}" name="10250"/>
    <tableColumn id="10264" xr3:uid="{6C9997E9-E8E9-4DC5-B076-82F9372AF04E}" name="10251"/>
    <tableColumn id="10265" xr3:uid="{B2D690C7-4E37-4DF0-AA6D-863097C62923}" name="10252"/>
    <tableColumn id="10266" xr3:uid="{7C363399-E694-41C5-A386-EE9C1D386002}" name="10253"/>
    <tableColumn id="10267" xr3:uid="{C384D7CA-E055-4ADB-B920-3A13C64E167F}" name="10254"/>
    <tableColumn id="10268" xr3:uid="{2DBF46E5-AC4E-4FF0-8DE2-C5246E222E7A}" name="10255"/>
    <tableColumn id="10269" xr3:uid="{FD8280B8-B364-45D2-ABBE-6BC7D488A988}" name="10256"/>
    <tableColumn id="10270" xr3:uid="{FC60E00B-0B5B-4070-8EB6-0EE8D6A078EE}" name="10257"/>
    <tableColumn id="10271" xr3:uid="{5937CD41-68F8-4241-9A77-D16D7A9BCB4F}" name="10258"/>
    <tableColumn id="10272" xr3:uid="{035AC978-5131-4B2F-9C9F-15EE2EFFFB24}" name="10259"/>
    <tableColumn id="10273" xr3:uid="{3BE51E8E-2AA9-4D80-B3FB-7A8A4038DA72}" name="10260"/>
    <tableColumn id="10274" xr3:uid="{D0E96724-66B5-42F9-A758-A6C3E6E14BF3}" name="10261"/>
    <tableColumn id="10275" xr3:uid="{6DDFA64B-D782-4CF2-9469-B68AC57CFF09}" name="10262"/>
    <tableColumn id="10276" xr3:uid="{D5C9E26F-107B-4037-9F15-DC84EBB7D227}" name="10263"/>
    <tableColumn id="10277" xr3:uid="{9A885346-3D6A-4C34-A40B-8EA0CCBC480A}" name="10264"/>
    <tableColumn id="10278" xr3:uid="{7F21F713-172A-455C-9DB1-6014FC362AE1}" name="10265"/>
    <tableColumn id="10279" xr3:uid="{C1C3E198-FD5B-4E6E-B096-402B60793E26}" name="10266"/>
    <tableColumn id="10280" xr3:uid="{6D615D2C-EFAE-4EF5-994F-902CFDFDC953}" name="10267"/>
    <tableColumn id="10281" xr3:uid="{63A92309-BD91-41A6-BA2D-875FAC586281}" name="10268"/>
    <tableColumn id="10282" xr3:uid="{3BCC91F4-5F6E-4A32-A2D4-9C99D2436576}" name="10269"/>
    <tableColumn id="10283" xr3:uid="{7F673E47-4CBD-4531-B169-5ABDB1DEAEC5}" name="10270"/>
    <tableColumn id="10284" xr3:uid="{899C3CE5-044F-4B25-A74E-2EFEA0EA3095}" name="10271"/>
    <tableColumn id="10285" xr3:uid="{FB316639-78A3-43F4-A5E4-C6200D1BB239}" name="10272"/>
    <tableColumn id="10286" xr3:uid="{A04CDF35-77A0-4F28-A37C-6D3300BFE9DD}" name="10273"/>
    <tableColumn id="10287" xr3:uid="{789ED2CB-8EE3-42D4-8EF3-0240FB529AB2}" name="10274"/>
    <tableColumn id="10288" xr3:uid="{22397744-D61C-4433-BB4E-635320F62FF3}" name="10275"/>
    <tableColumn id="10289" xr3:uid="{14C7AF08-9CDD-4901-BD60-5BC573943599}" name="10276"/>
    <tableColumn id="10290" xr3:uid="{6E879B9E-16CA-4559-BDB6-D8C9695F9073}" name="10277"/>
    <tableColumn id="10291" xr3:uid="{AE96665F-B8A9-4EF6-B833-397A469D1937}" name="10278"/>
    <tableColumn id="10292" xr3:uid="{C66FFCF0-CBFF-4B92-ACDB-F16879D14382}" name="10279"/>
    <tableColumn id="10293" xr3:uid="{C711B45E-96F4-4EF9-9258-635FBC7D52E0}" name="10280"/>
    <tableColumn id="10294" xr3:uid="{FD9770A3-0795-4D0A-84E3-DCD63C010455}" name="10281"/>
    <tableColumn id="10295" xr3:uid="{0221895E-317E-4114-A29F-CB50A1D83FD4}" name="10282"/>
    <tableColumn id="10296" xr3:uid="{74E80FE9-8D03-4BC6-BAC2-EB67F96B8660}" name="10283"/>
    <tableColumn id="10297" xr3:uid="{83E7B27F-3BC6-458B-92E5-A767C3807B35}" name="10284"/>
    <tableColumn id="10298" xr3:uid="{A5759842-1096-497E-B62A-29BB8C0F8462}" name="10285"/>
    <tableColumn id="10299" xr3:uid="{BDC03964-92A5-4848-BD63-06BFE6BE95C0}" name="10286"/>
    <tableColumn id="10300" xr3:uid="{4953EF23-491D-481E-971B-52491EAA392F}" name="10287"/>
    <tableColumn id="10301" xr3:uid="{477541F8-797C-4946-AD70-BE99AB733533}" name="10288"/>
    <tableColumn id="10302" xr3:uid="{509ECDC4-5CC2-472A-9455-8722C5D8FB88}" name="10289"/>
    <tableColumn id="10303" xr3:uid="{DA203BA1-50EA-45DD-975D-2A7ACA41B9C2}" name="10290"/>
    <tableColumn id="10304" xr3:uid="{8FBC98E1-A3C0-4F5C-9668-914041EDE29B}" name="10291"/>
    <tableColumn id="10305" xr3:uid="{7CEEE64F-1171-464C-850C-C5D11BDB0C15}" name="10292"/>
    <tableColumn id="10306" xr3:uid="{FA1CDA96-5F1F-4EAE-B225-06E63AA64848}" name="10293"/>
    <tableColumn id="10307" xr3:uid="{A2A35FE9-2E01-4A80-A234-13D91987DFE0}" name="10294"/>
    <tableColumn id="10308" xr3:uid="{6B7FB9A6-AB0D-4BE7-A6B2-73769440225A}" name="10295"/>
    <tableColumn id="10309" xr3:uid="{E79C0381-19B4-4742-9A46-A84FD71D9790}" name="10296"/>
    <tableColumn id="10310" xr3:uid="{AF23713B-0915-4FF3-8076-7DCAA05828E5}" name="10297"/>
    <tableColumn id="10311" xr3:uid="{24E417FE-6CDF-4F86-BB3E-568BADCD552B}" name="10298"/>
    <tableColumn id="10312" xr3:uid="{8069401B-455B-4254-A7F0-C2BBE73C6889}" name="10299"/>
    <tableColumn id="10313" xr3:uid="{E1C62550-7AB1-4184-AF1D-C6D04EFD3A3F}" name="10300"/>
    <tableColumn id="10314" xr3:uid="{66BE1DD2-1F8A-42A6-A182-E51D75203CAF}" name="10301"/>
    <tableColumn id="10315" xr3:uid="{44CD5135-7B9E-47EA-AC6F-74932404948C}" name="10302"/>
    <tableColumn id="10316" xr3:uid="{76672D25-3354-42C1-A380-5B781E43ABF4}" name="10303"/>
    <tableColumn id="10317" xr3:uid="{19269C79-1D8E-4898-ABDE-EF39B80E07DA}" name="10304"/>
    <tableColumn id="10318" xr3:uid="{2009B876-52C2-4B67-903A-8C60094B088C}" name="10305"/>
    <tableColumn id="10319" xr3:uid="{802FE979-4BA6-4058-AE78-6849F6E963F5}" name="10306"/>
    <tableColumn id="10320" xr3:uid="{AE8ED6C1-1236-40D3-8CD3-4DEF7C39A909}" name="10307"/>
    <tableColumn id="10321" xr3:uid="{B33CE5D9-F0B7-4A32-A550-C903A138D8CB}" name="10308"/>
    <tableColumn id="10322" xr3:uid="{52A998D6-1C77-426D-8B37-1620D605940F}" name="10309"/>
    <tableColumn id="10323" xr3:uid="{10B11A6B-14E3-4067-B96F-A99A85EADF51}" name="10310"/>
    <tableColumn id="10324" xr3:uid="{9F9DEA6C-E6AA-4BFA-BBF1-CF0DD621099C}" name="10311"/>
    <tableColumn id="10325" xr3:uid="{C923ABD5-FC0F-4726-9F51-47FFF6FF8B8E}" name="10312"/>
    <tableColumn id="10326" xr3:uid="{A5B3DE12-9004-40B8-A8FA-6DD5D5056A54}" name="10313"/>
    <tableColumn id="10327" xr3:uid="{FD81E71E-A554-4608-92BC-8289AADF8844}" name="10314"/>
    <tableColumn id="10328" xr3:uid="{EF46EDDF-6A7F-4145-81EF-60F3F42C179F}" name="10315"/>
    <tableColumn id="10329" xr3:uid="{315A8F56-E8E4-4B8D-B343-393B230F97A1}" name="10316"/>
    <tableColumn id="10330" xr3:uid="{CD3956BC-7E62-4805-B89B-3333E662C75C}" name="10317"/>
    <tableColumn id="10331" xr3:uid="{9EA7C3E0-FBCA-4669-845C-721E9D604C71}" name="10318"/>
    <tableColumn id="10332" xr3:uid="{3CF7E04D-47A4-4C86-B60F-FF9F66A1DE67}" name="10319"/>
    <tableColumn id="10333" xr3:uid="{C93ED680-77B8-4DE4-A0BD-4D2F78B7E4BD}" name="10320"/>
    <tableColumn id="10334" xr3:uid="{65F62E06-AC61-42F1-BE56-4C4F7860CCA7}" name="10321"/>
    <tableColumn id="10335" xr3:uid="{CC47A8CE-E93C-453A-A05E-2FF2B912F3FA}" name="10322"/>
    <tableColumn id="10336" xr3:uid="{FD7424DA-27BA-44A7-A74E-1AE837FBEF85}" name="10323"/>
    <tableColumn id="10337" xr3:uid="{5D04A07F-E8E3-4782-9948-3265FB95094D}" name="10324"/>
    <tableColumn id="10338" xr3:uid="{A6D379E5-15F8-4A75-9E60-E2709CF06B9F}" name="10325"/>
    <tableColumn id="10339" xr3:uid="{F5766C12-6394-415B-B366-C43744CEDA17}" name="10326"/>
    <tableColumn id="10340" xr3:uid="{A0C60244-2811-48AD-88C3-77EB231C306E}" name="10327"/>
    <tableColumn id="10341" xr3:uid="{C700A818-DE66-4897-AA9F-CF1C807A22D5}" name="10328"/>
    <tableColumn id="10342" xr3:uid="{9EE89842-789E-4BDA-B764-5376FA4C6AE9}" name="10329"/>
    <tableColumn id="10343" xr3:uid="{49AF8683-B999-447D-919F-990ED4877266}" name="10330"/>
    <tableColumn id="10344" xr3:uid="{17D4A6BA-6FF2-4177-97F1-92F97135A4FB}" name="10331"/>
    <tableColumn id="10345" xr3:uid="{13AF3F48-F6A9-49D0-827B-DFE7862004D0}" name="10332"/>
    <tableColumn id="10346" xr3:uid="{C2A87768-DC35-4870-B7DE-852107E598AE}" name="10333"/>
    <tableColumn id="10347" xr3:uid="{E619CB97-E7ED-478B-A2C5-C4DA99B9C7ED}" name="10334"/>
    <tableColumn id="10348" xr3:uid="{89D9F869-552A-4040-80C3-1F6BBEA3691F}" name="10335"/>
    <tableColumn id="10349" xr3:uid="{FD44F3C8-CD06-4AEA-8FC8-C9E0C26DB5DD}" name="10336"/>
    <tableColumn id="10350" xr3:uid="{1F65B10D-C919-4A4B-9DBD-1D1E7EAB9875}" name="10337"/>
    <tableColumn id="10351" xr3:uid="{5A31A19A-0F34-42E3-9033-8A29BA875D65}" name="10338"/>
    <tableColumn id="10352" xr3:uid="{E7F2A155-0C7D-41D9-8CED-70F4A9949DBD}" name="10339"/>
    <tableColumn id="10353" xr3:uid="{EEC67E96-F4F2-4DB9-9A84-775FFD7BCED9}" name="10340"/>
    <tableColumn id="10354" xr3:uid="{194727C9-CCA8-429D-8FCF-D9A087582EE7}" name="10341"/>
    <tableColumn id="10355" xr3:uid="{67558750-A54B-449F-BCC6-B12F1E355645}" name="10342"/>
    <tableColumn id="10356" xr3:uid="{B57B7C21-43E2-474F-818B-FCE07C5B425A}" name="10343"/>
    <tableColumn id="10357" xr3:uid="{A720F89C-F1AD-4DF3-B9CA-E7696A77B138}" name="10344"/>
    <tableColumn id="10358" xr3:uid="{15F11DCA-97A1-4DCC-B803-0BDD5E818444}" name="10345"/>
    <tableColumn id="10359" xr3:uid="{B940D557-3264-4035-8976-99FD0B4232EA}" name="10346"/>
    <tableColumn id="10360" xr3:uid="{8DC8E0BB-6680-4DD6-A8E0-893AFEB824B1}" name="10347"/>
    <tableColumn id="10361" xr3:uid="{5A769F51-CBC7-4586-8537-C949FCC10F0D}" name="10348"/>
    <tableColumn id="10362" xr3:uid="{74113FA6-C387-46C4-8E1E-531FC1E9B0AE}" name="10349"/>
    <tableColumn id="10363" xr3:uid="{BEB19BC2-CCBF-47B0-ABDE-A9658E0B0012}" name="10350"/>
    <tableColumn id="10364" xr3:uid="{077D0DCC-13AA-4DB1-909C-8E4B1097F14C}" name="10351"/>
    <tableColumn id="10365" xr3:uid="{11F4945F-8012-4404-A685-BBE02662C922}" name="10352"/>
    <tableColumn id="10366" xr3:uid="{81908087-C5E6-49AE-9C33-19C9F16E006F}" name="10353"/>
    <tableColumn id="10367" xr3:uid="{B52453AA-E1C0-44CD-85FC-62C7B8E5F980}" name="10354"/>
    <tableColumn id="10368" xr3:uid="{C322B44B-9CA9-49A7-9426-FBF876F9D3B2}" name="10355"/>
    <tableColumn id="10369" xr3:uid="{106E1DC1-CBBB-4559-B566-4CA81C3910A8}" name="10356"/>
    <tableColumn id="10370" xr3:uid="{74BD5908-F642-4216-9904-73DAA1E24CAC}" name="10357"/>
    <tableColumn id="10371" xr3:uid="{CDE3A9AF-CA8E-403F-96E4-E276F7882231}" name="10358"/>
    <tableColumn id="10372" xr3:uid="{0033B10D-7420-426A-9382-5969B7C47F1A}" name="10359"/>
    <tableColumn id="10373" xr3:uid="{D10522B3-EADC-4E6E-B306-121AEBB8FC14}" name="10360"/>
    <tableColumn id="10374" xr3:uid="{BB23800F-1E6C-4B3F-9619-A70BA38F51F5}" name="10361"/>
    <tableColumn id="10375" xr3:uid="{0C099970-00EF-4E3A-BDEA-87D9F02451EC}" name="10362"/>
    <tableColumn id="10376" xr3:uid="{18E35E79-3625-4AA9-99B2-12A386769253}" name="10363"/>
    <tableColumn id="10377" xr3:uid="{D48291CA-0806-4BE6-ACA1-AF2331CE09FE}" name="10364"/>
    <tableColumn id="10378" xr3:uid="{BC46B6D4-CA43-4C0D-A456-25B66476985F}" name="10365"/>
    <tableColumn id="10379" xr3:uid="{04841CCD-B24A-4E27-A815-54A72B8B9D68}" name="10366"/>
    <tableColumn id="10380" xr3:uid="{C0C4E0E3-ECEC-4B2B-A724-2D24125FC5D2}" name="10367"/>
    <tableColumn id="10381" xr3:uid="{C41EDB21-7646-41DE-AC4A-D23DC1F0B143}" name="10368"/>
    <tableColumn id="10382" xr3:uid="{133C4A37-A95E-405E-97A8-38E4743B5454}" name="10369"/>
    <tableColumn id="10383" xr3:uid="{D5BDFFB1-CA88-4BF6-91F4-E229DE7888D0}" name="10370"/>
    <tableColumn id="10384" xr3:uid="{56BE320C-8BAB-446F-9B99-809F1745C33F}" name="10371"/>
    <tableColumn id="10385" xr3:uid="{633CAAF9-6B72-490A-B82F-2240B4B5C033}" name="10372"/>
    <tableColumn id="10386" xr3:uid="{0FF57115-F93F-4472-AADD-43212F3F0B00}" name="10373"/>
    <tableColumn id="10387" xr3:uid="{40362CA1-5D5C-40A8-A694-F2C577F3FD8B}" name="10374"/>
    <tableColumn id="10388" xr3:uid="{F13EA5E5-DF51-4F73-9AB2-C5EB504131F6}" name="10375"/>
    <tableColumn id="10389" xr3:uid="{D19525BF-3136-4F6D-988A-BA81B63EBA04}" name="10376"/>
    <tableColumn id="10390" xr3:uid="{232FD60C-BA97-4EC3-9C17-04F9B8450516}" name="10377"/>
    <tableColumn id="10391" xr3:uid="{143E0DBE-7058-43D7-A6F1-2CF5E8895F88}" name="10378"/>
    <tableColumn id="10392" xr3:uid="{40F15231-9E2F-45B3-A308-44C73FCBAB78}" name="10379"/>
    <tableColumn id="10393" xr3:uid="{87EB4AD6-1F9B-4686-8F02-D9CD7C3DEFA2}" name="10380"/>
    <tableColumn id="10394" xr3:uid="{C4735A5F-D52A-4E3C-B5B9-FAB8FC24602C}" name="10381"/>
    <tableColumn id="10395" xr3:uid="{4EB897F5-A115-4C79-BFE1-EECD9D2C8643}" name="10382"/>
    <tableColumn id="10396" xr3:uid="{8F889AD5-BD43-4C0F-8175-E0B65BC0761A}" name="10383"/>
    <tableColumn id="10397" xr3:uid="{067CD0EC-7A0A-4EF0-A64E-B1BB182D9A93}" name="10384"/>
    <tableColumn id="10398" xr3:uid="{325BE412-9A3C-468F-8DBA-E69A330D0F4C}" name="10385"/>
    <tableColumn id="10399" xr3:uid="{65F3B8C7-4F48-4644-A162-4B0241856B77}" name="10386"/>
    <tableColumn id="10400" xr3:uid="{9E1D06FF-6702-45A9-A8E8-467E5AEEE2B0}" name="10387"/>
    <tableColumn id="10401" xr3:uid="{57576565-1E10-46D2-B1A7-3FCDFB31FEAB}" name="10388"/>
    <tableColumn id="10402" xr3:uid="{0877D6A2-EB3D-4A9E-8749-8659CD739AF4}" name="10389"/>
    <tableColumn id="10403" xr3:uid="{9F6B8E17-C698-48DE-B3BB-6EB714D6103D}" name="10390"/>
    <tableColumn id="10404" xr3:uid="{BC7C745E-D56F-41E8-B95B-D3E5EDF36DFF}" name="10391"/>
    <tableColumn id="10405" xr3:uid="{269BF3C8-8009-49C5-8654-D75AC45E3751}" name="10392"/>
    <tableColumn id="10406" xr3:uid="{FBD7FA8F-8151-4399-A80A-3A66EC229410}" name="10393"/>
    <tableColumn id="10407" xr3:uid="{5BC9813C-D0A7-4C1A-99F6-8A3BCABDA1FB}" name="10394"/>
    <tableColumn id="10408" xr3:uid="{C2188F7E-06CC-4470-ADC0-11CEAF4E0476}" name="10395"/>
    <tableColumn id="10409" xr3:uid="{77FD8714-9949-41BD-B868-2CED83A38E09}" name="10396"/>
    <tableColumn id="10410" xr3:uid="{1F00053C-CFF3-4430-8A57-57DD8066A5EE}" name="10397"/>
    <tableColumn id="10411" xr3:uid="{253BB2E6-947C-424C-8F9E-980527438CF2}" name="10398"/>
    <tableColumn id="10412" xr3:uid="{4982AB43-7FEB-4D5D-831C-15D514B93002}" name="10399"/>
    <tableColumn id="10413" xr3:uid="{7C3EB5F9-0FAB-4026-B5FF-99397224CC0D}" name="10400"/>
    <tableColumn id="10414" xr3:uid="{47B2B505-C2F1-42CB-9CD1-A63D28AEF467}" name="10401"/>
    <tableColumn id="10415" xr3:uid="{63818FE4-CF37-4CBF-BD3D-3101EFF90F73}" name="10402"/>
    <tableColumn id="10416" xr3:uid="{E85A5E4D-40B9-4B53-9A57-5C5F01C9F665}" name="10403"/>
    <tableColumn id="10417" xr3:uid="{4D9675E5-1C4D-49A6-B975-AB306BEA8FCF}" name="10404"/>
    <tableColumn id="10418" xr3:uid="{D1F70278-B71B-4C9F-8277-7207FFD577A7}" name="10405"/>
    <tableColumn id="10419" xr3:uid="{D91DA817-33A5-4068-A44A-DE088078CEA4}" name="10406"/>
    <tableColumn id="10420" xr3:uid="{2E909177-C08D-4954-95AA-3F9D8118FD8D}" name="10407"/>
    <tableColumn id="10421" xr3:uid="{8A5E43F9-E938-4585-8ED1-77F5ED9A0D9D}" name="10408"/>
    <tableColumn id="10422" xr3:uid="{60EDF9F2-84D8-431B-B4D0-4F4F30894215}" name="10409"/>
    <tableColumn id="10423" xr3:uid="{ED03B77B-6739-4DB3-9175-965256474E25}" name="10410"/>
    <tableColumn id="10424" xr3:uid="{7B39A285-8DA4-4137-A9B9-15BAE32FB28A}" name="10411"/>
    <tableColumn id="10425" xr3:uid="{23217F32-D31A-4B6A-93A6-D8C3909972C5}" name="10412"/>
    <tableColumn id="10426" xr3:uid="{E536B8F3-4933-4496-A150-328D52E8F594}" name="10413"/>
    <tableColumn id="10427" xr3:uid="{0FC8C935-BF58-4E44-99EC-804A3F9DF3B5}" name="10414"/>
    <tableColumn id="10428" xr3:uid="{FA7CD4F4-4753-4909-82EA-666007B5306D}" name="10415"/>
    <tableColumn id="10429" xr3:uid="{1D4B115F-E657-4280-B712-323B4E49BA2A}" name="10416"/>
    <tableColumn id="10430" xr3:uid="{BE89ACD9-5BAB-487F-9EDA-6CF02208A951}" name="10417"/>
    <tableColumn id="10431" xr3:uid="{D84CDDFE-19A2-49A0-9EA8-E53B85975DF1}" name="10418"/>
    <tableColumn id="10432" xr3:uid="{67680C50-CFC6-4126-8BDA-EC78241DEAC2}" name="10419"/>
    <tableColumn id="10433" xr3:uid="{92A96CD4-AE94-495F-9243-4F292D15E3CA}" name="10420"/>
    <tableColumn id="10434" xr3:uid="{068FF55A-A386-4A23-9BDC-F3A6BC6829C7}" name="10421"/>
    <tableColumn id="10435" xr3:uid="{0E8587CF-6395-4536-B2BD-67648A410858}" name="10422"/>
    <tableColumn id="10436" xr3:uid="{13C837EB-DBA5-4EDF-94EA-AAD104E02D62}" name="10423"/>
    <tableColumn id="10437" xr3:uid="{2AA92B9F-9FAB-4C55-B72B-73B5C3BF25A0}" name="10424"/>
    <tableColumn id="10438" xr3:uid="{456DA9C3-E7FD-464F-8DD1-C65F2B74A057}" name="10425"/>
    <tableColumn id="10439" xr3:uid="{AB5C6D06-E53A-45D6-B914-FF2EDE16C2C1}" name="10426"/>
    <tableColumn id="10440" xr3:uid="{22C1D1AA-82DB-4BFC-8653-18572A0C2380}" name="10427"/>
    <tableColumn id="10441" xr3:uid="{0F6B9139-3141-4284-B280-18A80B22975B}" name="10428"/>
    <tableColumn id="10442" xr3:uid="{1DB43F29-D36C-441C-9344-968A5718933D}" name="10429"/>
    <tableColumn id="10443" xr3:uid="{F7546D75-3835-4C3A-89F1-0F18EA1CC89D}" name="10430"/>
    <tableColumn id="10444" xr3:uid="{60D6D1EB-864C-4DE6-B269-5B3C2409F419}" name="10431"/>
    <tableColumn id="10445" xr3:uid="{676CA8F4-40E3-464B-AB1B-B3C5F70B470C}" name="10432"/>
    <tableColumn id="10446" xr3:uid="{49D4C264-2C1F-4BB9-A7B0-B24B12175A09}" name="10433"/>
    <tableColumn id="10447" xr3:uid="{6293FB93-38CE-4560-83CA-0C1F6675E4E0}" name="10434"/>
    <tableColumn id="10448" xr3:uid="{1066267B-0711-404E-B624-8506815EADBD}" name="10435"/>
    <tableColumn id="10449" xr3:uid="{647C3564-9538-4FA4-9580-9CD9EDEF1CC2}" name="10436"/>
    <tableColumn id="10450" xr3:uid="{1B40DE5F-58CC-4983-BA9A-8DD7D7DE7D07}" name="10437"/>
    <tableColumn id="10451" xr3:uid="{FE36AB6C-1B54-4E8F-92AE-CA4F8CEE0115}" name="10438"/>
    <tableColumn id="10452" xr3:uid="{19E618EE-EE08-4D90-9ABA-C2BB0A7BC78B}" name="10439"/>
    <tableColumn id="10453" xr3:uid="{D346B288-39C9-4BEF-8159-1EFDD6C8B6EB}" name="10440"/>
    <tableColumn id="10454" xr3:uid="{11E5C660-D699-4236-8367-B4D72F24BE8A}" name="10441"/>
    <tableColumn id="10455" xr3:uid="{9763C862-5F26-4CB3-80FC-6F9C788D6491}" name="10442"/>
    <tableColumn id="10456" xr3:uid="{E147D958-9721-42C6-B09E-1DE26E5FA1E9}" name="10443"/>
    <tableColumn id="10457" xr3:uid="{0B527DAB-CD8F-4C6E-9510-28477E4F9B48}" name="10444"/>
    <tableColumn id="10458" xr3:uid="{3525C567-7C71-467A-B358-38D78101A6CE}" name="10445"/>
    <tableColumn id="10459" xr3:uid="{ED2AACB9-7745-4D00-95DD-34E086CB40B7}" name="10446"/>
    <tableColumn id="10460" xr3:uid="{97B7753C-44B6-4A96-86C6-5DFCEC3316E7}" name="10447"/>
    <tableColumn id="10461" xr3:uid="{2DB9F21F-1014-4045-966A-F2D0C67040FE}" name="10448"/>
    <tableColumn id="10462" xr3:uid="{5CE56E11-1FFC-4E92-B952-A374BFFB7B1B}" name="10449"/>
    <tableColumn id="10463" xr3:uid="{2FB8B6F6-BFEC-4219-8218-6AC2A1E543F7}" name="10450"/>
    <tableColumn id="10464" xr3:uid="{1534F60B-7C23-4EF8-B9AF-282EE8CB558E}" name="10451"/>
    <tableColumn id="10465" xr3:uid="{7D595D7C-57D8-4F60-BD3F-74FA6CDD9583}" name="10452"/>
    <tableColumn id="10466" xr3:uid="{89F8C192-BE79-4A5A-9927-0726702880D6}" name="10453"/>
    <tableColumn id="10467" xr3:uid="{EBF51545-C02D-49A5-B6D5-92949FE31E02}" name="10454"/>
    <tableColumn id="10468" xr3:uid="{BC6216BB-3EEF-48B7-85C0-DE03FDAC7E15}" name="10455"/>
    <tableColumn id="10469" xr3:uid="{3A7356FA-643A-4369-9E31-815D9E9C023A}" name="10456"/>
    <tableColumn id="10470" xr3:uid="{6CDD6F94-9E30-4A0E-B185-0C50E32FA88E}" name="10457"/>
    <tableColumn id="10471" xr3:uid="{A2649F55-3E97-4A69-9FFE-F277283A3A92}" name="10458"/>
    <tableColumn id="10472" xr3:uid="{E5E77343-6A9B-4C70-B48F-6A258956657F}" name="10459"/>
    <tableColumn id="10473" xr3:uid="{43D9B064-1DE8-47EE-BD5C-BA596DA02500}" name="10460"/>
    <tableColumn id="10474" xr3:uid="{7322407A-9F6D-43BF-8282-3937C82F42D0}" name="10461"/>
    <tableColumn id="10475" xr3:uid="{72A96C8D-0C32-44CD-87B3-7BE4B896B06B}" name="10462"/>
    <tableColumn id="10476" xr3:uid="{1EBF5F9F-ABC7-4388-9EDA-FDF884E1DA43}" name="10463"/>
    <tableColumn id="10477" xr3:uid="{24674D08-8D67-4675-84D3-1A061F8643AD}" name="10464"/>
    <tableColumn id="10478" xr3:uid="{A177C90C-A2C7-44D1-82C9-891B84931F61}" name="10465"/>
    <tableColumn id="10479" xr3:uid="{9461C132-A6A1-4312-969B-8EFCD5D83936}" name="10466"/>
    <tableColumn id="10480" xr3:uid="{2F605E1D-AFBB-44B1-AF2E-1705338172CA}" name="10467"/>
    <tableColumn id="10481" xr3:uid="{2CFA0C58-AFED-4DCB-A4A2-32B68ABD1C8F}" name="10468"/>
    <tableColumn id="10482" xr3:uid="{26D6F168-6BF9-4BDC-AE88-83A552D90747}" name="10469"/>
    <tableColumn id="10483" xr3:uid="{BD83F66F-3D08-4F54-B764-4F5081CD1642}" name="10470"/>
    <tableColumn id="10484" xr3:uid="{856CF9AE-D5A5-4B7D-A5E6-09497C4C9048}" name="10471"/>
    <tableColumn id="10485" xr3:uid="{3D8373D3-8D15-49A9-86F9-7263DD824049}" name="10472"/>
    <tableColumn id="10486" xr3:uid="{1395A132-CAEE-4522-B31A-471D23B78353}" name="10473"/>
    <tableColumn id="10487" xr3:uid="{A9BD9419-83A8-436B-B349-730407CD7510}" name="10474"/>
    <tableColumn id="10488" xr3:uid="{35A49D23-AA24-4F8D-80A6-354588701CFE}" name="10475"/>
    <tableColumn id="10489" xr3:uid="{4D825A7D-3F94-4D53-B76A-5274525072DC}" name="10476"/>
    <tableColumn id="10490" xr3:uid="{50D7A212-D6B1-4FF0-BB69-6D81781549AB}" name="10477"/>
    <tableColumn id="10491" xr3:uid="{DD8F8024-0FCB-485E-A8EB-5C75C714015B}" name="10478"/>
    <tableColumn id="10492" xr3:uid="{03B44D50-403D-42A3-AD94-0BFC5279BB73}" name="10479"/>
    <tableColumn id="10493" xr3:uid="{AFA7DA63-65D4-4690-A1AA-04A7C456B42A}" name="10480"/>
    <tableColumn id="10494" xr3:uid="{9C29D0FE-296E-4ABD-BA79-10CF6F58CEFD}" name="10481"/>
    <tableColumn id="10495" xr3:uid="{17F21442-9944-483B-9B99-AC1F291C746D}" name="10482"/>
    <tableColumn id="10496" xr3:uid="{9819FC80-9121-4D2B-8782-2A979375FA6E}" name="10483"/>
    <tableColumn id="10497" xr3:uid="{38B2AAD8-14D0-4098-8E16-64D928368641}" name="10484"/>
    <tableColumn id="10498" xr3:uid="{C030FBEA-0BCD-434E-ABCA-1F3061E46067}" name="10485"/>
    <tableColumn id="10499" xr3:uid="{31F07B07-FA27-49D9-AB29-331597CD9102}" name="10486"/>
    <tableColumn id="10500" xr3:uid="{6DDE1D85-6763-4ADE-AC53-BC73B034B797}" name="10487"/>
    <tableColumn id="10501" xr3:uid="{029F1BB4-73E4-4493-8CB4-C29A89A5A09C}" name="10488"/>
    <tableColumn id="10502" xr3:uid="{C7FC87EE-E299-47FF-AABA-07F045A9CE51}" name="10489"/>
    <tableColumn id="10503" xr3:uid="{62E6BDD4-6F1A-4058-84E8-8B57F8C50116}" name="10490"/>
    <tableColumn id="10504" xr3:uid="{29F622A9-BBF9-47B9-BE02-C9BDC0A3C221}" name="10491"/>
    <tableColumn id="10505" xr3:uid="{E29251A3-F2BB-4D4F-8F85-BC9A28A94C99}" name="10492"/>
    <tableColumn id="10506" xr3:uid="{755704B1-A570-419E-A64E-CEEEF9DC31E4}" name="10493"/>
    <tableColumn id="10507" xr3:uid="{E23958B6-0218-40F6-AB10-CE9295D618C9}" name="10494"/>
    <tableColumn id="10508" xr3:uid="{412D5404-FA05-4142-9BB7-2AAFB35F4448}" name="10495"/>
    <tableColumn id="10509" xr3:uid="{4EF19CD8-921D-4BF5-80A8-4946DDC079D5}" name="10496"/>
    <tableColumn id="10510" xr3:uid="{5F9566D9-AFBE-4345-B5E7-81CBBAF05B50}" name="10497"/>
    <tableColumn id="10511" xr3:uid="{FC8562C9-3E5D-4C1B-8721-9B8142495BD0}" name="10498"/>
    <tableColumn id="10512" xr3:uid="{B1119C79-3774-40E0-ADED-803FE8E80B9E}" name="10499"/>
    <tableColumn id="10513" xr3:uid="{446DC96B-9E8D-4C56-809A-0D4DB3FC9FC3}" name="10500"/>
    <tableColumn id="10514" xr3:uid="{CF15E13D-6922-4FD8-8B2B-7FEFA3BFC57C}" name="10501"/>
    <tableColumn id="10515" xr3:uid="{C8F71118-6DDD-40EC-817C-AE7AD1090CCD}" name="10502"/>
    <tableColumn id="10516" xr3:uid="{6CF328FF-1080-42F3-A822-D22A4B6EF155}" name="10503"/>
    <tableColumn id="10517" xr3:uid="{AA4593E3-9BB3-4FA2-88C4-7CD2AD1EC7B1}" name="10504"/>
    <tableColumn id="10518" xr3:uid="{127AFF9E-FD2C-4201-AFE9-E09FC033900D}" name="10505"/>
    <tableColumn id="10519" xr3:uid="{9C76BEEF-3E9B-4742-B494-BCAD4342BEB3}" name="10506"/>
    <tableColumn id="10520" xr3:uid="{DB50128A-D1C7-4A2D-88F2-8F1958341824}" name="10507"/>
    <tableColumn id="10521" xr3:uid="{CD0AC3C7-9C69-4366-8AAC-EB6C8B5AE68A}" name="10508"/>
    <tableColumn id="10522" xr3:uid="{B6106294-28AF-4D1A-AECE-8F923B98C09C}" name="10509"/>
    <tableColumn id="10523" xr3:uid="{C1F03BE4-7052-48BC-A508-D6576F988725}" name="10510"/>
    <tableColumn id="10524" xr3:uid="{175BF0A4-3010-4ED4-A94F-D4E4E9F28B43}" name="10511"/>
    <tableColumn id="10525" xr3:uid="{1F3E983C-C1DD-4449-8A48-322262A7BF13}" name="10512"/>
    <tableColumn id="10526" xr3:uid="{466DF510-7558-43C9-883C-096E14D8BC3E}" name="10513"/>
    <tableColumn id="10527" xr3:uid="{9EEE19D6-A6B1-457A-A466-BE56B2F68827}" name="10514"/>
    <tableColumn id="10528" xr3:uid="{D6031E24-6E15-48B5-934B-15188C6CFA27}" name="10515"/>
    <tableColumn id="10529" xr3:uid="{33825712-D58C-472E-BCB1-D94E366274C8}" name="10516"/>
    <tableColumn id="10530" xr3:uid="{789918A8-CC8B-4EC7-AD88-FF6658F65B36}" name="10517"/>
    <tableColumn id="10531" xr3:uid="{364A46B5-5870-4D37-8C20-7149F59AD502}" name="10518"/>
    <tableColumn id="10532" xr3:uid="{F2276AC9-F313-43B6-94BF-213B5610CB2D}" name="10519"/>
    <tableColumn id="10533" xr3:uid="{141930D1-C096-496E-9233-575CDC32BA2C}" name="10520"/>
    <tableColumn id="10534" xr3:uid="{55856492-B2FF-4562-9C69-12C9DB17C265}" name="10521"/>
    <tableColumn id="10535" xr3:uid="{43A35CCD-9E47-4A1E-B13C-CA6B69F9EB25}" name="10522"/>
    <tableColumn id="10536" xr3:uid="{528D31A1-8791-482C-9ED2-BC557C91BD05}" name="10523"/>
    <tableColumn id="10537" xr3:uid="{44F2339C-80A4-4D48-9D2C-74EE4D18270B}" name="10524"/>
    <tableColumn id="10538" xr3:uid="{9114D262-F8D3-42F5-A8BF-F517E34086EA}" name="10525"/>
    <tableColumn id="10539" xr3:uid="{69738CEA-C7FF-4FE5-A8FE-F166B8EEB13C}" name="10526"/>
    <tableColumn id="10540" xr3:uid="{CD9B08CB-D1C1-40F8-9800-54AA177446F0}" name="10527"/>
    <tableColumn id="10541" xr3:uid="{890361DC-33E8-4CA5-BB8A-D3E75225312A}" name="10528"/>
    <tableColumn id="10542" xr3:uid="{0EA0B79D-D839-41BA-BC9B-8AD92ABE3B3F}" name="10529"/>
    <tableColumn id="10543" xr3:uid="{B8DE83AA-5C57-4683-950A-D24D33A2C86C}" name="10530"/>
    <tableColumn id="10544" xr3:uid="{DCEEAA10-E537-4C5C-9E13-2CEC7D416B1F}" name="10531"/>
    <tableColumn id="10545" xr3:uid="{1134BA1F-C021-4249-9AE8-07CEF2A02F1B}" name="10532"/>
    <tableColumn id="10546" xr3:uid="{CB1B392D-D984-46EC-BBEC-D0FD937F455D}" name="10533"/>
    <tableColumn id="10547" xr3:uid="{B189A1D1-A8EC-4063-A01D-2D44A8052DD1}" name="10534"/>
    <tableColumn id="10548" xr3:uid="{A037EFCA-44FF-4164-A6E6-180A67B276CD}" name="10535"/>
    <tableColumn id="10549" xr3:uid="{C4991A04-6F1B-4BDD-9820-07ABC0F91093}" name="10536"/>
    <tableColumn id="10550" xr3:uid="{B397D6DB-74A7-47B8-B715-04B8985C8A92}" name="10537"/>
    <tableColumn id="10551" xr3:uid="{B95EAC92-59B2-41EB-9A6C-752D0FBBB78C}" name="10538"/>
    <tableColumn id="10552" xr3:uid="{C835BCA4-03CB-44E3-A306-27096AE15ADD}" name="10539"/>
    <tableColumn id="10553" xr3:uid="{34DF93AF-E576-4915-80D1-089A9C2A3BD1}" name="10540"/>
    <tableColumn id="10554" xr3:uid="{3C7BD89D-D5BB-450A-9B74-8D86D91C11A2}" name="10541"/>
    <tableColumn id="10555" xr3:uid="{F2F560C5-C9D8-4878-95ED-93D71C3A4730}" name="10542"/>
    <tableColumn id="10556" xr3:uid="{3FFCB59B-C49C-4220-B99C-37E97201D785}" name="10543"/>
    <tableColumn id="10557" xr3:uid="{1A2CACD0-4BA7-40C7-8B47-E3ECB17F3FAD}" name="10544"/>
    <tableColumn id="10558" xr3:uid="{23733DD7-212E-4EE9-A5D4-D01D851F4D72}" name="10545"/>
    <tableColumn id="10559" xr3:uid="{A89EDF96-1DC6-4ED7-B686-2F22324A3BD7}" name="10546"/>
    <tableColumn id="10560" xr3:uid="{0757589F-73DE-460F-A043-A070227B1DFB}" name="10547"/>
    <tableColumn id="10561" xr3:uid="{BA37BFA5-16D9-400D-AB54-319F6B5502A8}" name="10548"/>
    <tableColumn id="10562" xr3:uid="{9776BA8D-848A-4E01-B412-0F2436D50B75}" name="10549"/>
    <tableColumn id="10563" xr3:uid="{0A27AFED-2137-4344-AC3E-CCE3B1A74722}" name="10550"/>
    <tableColumn id="10564" xr3:uid="{F362D364-6C17-48FD-BFAE-69348CAF30DE}" name="10551"/>
    <tableColumn id="10565" xr3:uid="{9AD3E236-0A31-4750-B038-CF598441FFED}" name="10552"/>
    <tableColumn id="10566" xr3:uid="{B668571C-B7E7-48BC-8423-0A32C3E4159D}" name="10553"/>
    <tableColumn id="10567" xr3:uid="{07AC88F8-F437-4DC4-9DAA-246C3617F406}" name="10554"/>
    <tableColumn id="10568" xr3:uid="{CB88B8B7-D1BA-483B-8D89-EE873FAF15EC}" name="10555"/>
    <tableColumn id="10569" xr3:uid="{9BFFDBA8-FA09-4047-9FEB-35C7C81C1DEA}" name="10556"/>
    <tableColumn id="10570" xr3:uid="{5EA003DB-E7BB-48F2-95C7-E7EE6696293A}" name="10557"/>
    <tableColumn id="10571" xr3:uid="{56C91A18-1A58-4977-AE9C-48C8DE7198C9}" name="10558"/>
    <tableColumn id="10572" xr3:uid="{08ABB407-EDCB-4BE3-A01C-8A159148A9D3}" name="10559"/>
    <tableColumn id="10573" xr3:uid="{A4696BAD-46D0-4C0D-B424-02CAE825C012}" name="10560"/>
    <tableColumn id="10574" xr3:uid="{E403ACBB-FA0C-4F8B-AD17-D4B5F89ED6CD}" name="10561"/>
    <tableColumn id="10575" xr3:uid="{441E218E-7F86-4518-A210-AB2BDE731F33}" name="10562"/>
    <tableColumn id="10576" xr3:uid="{C12901FF-EABA-4002-B4BE-3343778AC270}" name="10563"/>
    <tableColumn id="10577" xr3:uid="{81E46479-6D41-41C2-8A70-0268F632E125}" name="10564"/>
    <tableColumn id="10578" xr3:uid="{6965C6A5-15D1-400F-90C0-1D72E4DE4C46}" name="10565"/>
    <tableColumn id="10579" xr3:uid="{89208799-2E54-4369-ABB4-B65E9E369E95}" name="10566"/>
    <tableColumn id="10580" xr3:uid="{0623C340-BAD6-41DF-A83C-605F51F1E2B2}" name="10567"/>
    <tableColumn id="10581" xr3:uid="{E94D47C9-1FAA-413F-B8A7-B0C33D2C131E}" name="10568"/>
    <tableColumn id="10582" xr3:uid="{B2CFD0D4-6CB3-42CB-8D86-B1E1F3194AD5}" name="10569"/>
    <tableColumn id="10583" xr3:uid="{FFC139F0-48B7-436C-93EC-71CC21510198}" name="10570"/>
    <tableColumn id="10584" xr3:uid="{39498A3D-232D-4359-8BCE-39588D2408CC}" name="10571"/>
    <tableColumn id="10585" xr3:uid="{F201FB7D-E911-4D92-8C9D-35A0339198B0}" name="10572"/>
    <tableColumn id="10586" xr3:uid="{11105F94-68EC-499C-8060-DFA65A031F4E}" name="10573"/>
    <tableColumn id="10587" xr3:uid="{EC58858D-D806-4249-B3AE-D5C87E2BCB8F}" name="10574"/>
    <tableColumn id="10588" xr3:uid="{F6A0AE64-88C2-434E-AB61-7ACC26CA19F5}" name="10575"/>
    <tableColumn id="10589" xr3:uid="{A9642C4A-7A39-48DD-90B1-A1F61D0D7846}" name="10576"/>
    <tableColumn id="10590" xr3:uid="{6E8BD856-F00C-4A77-A03E-7A6A934E8175}" name="10577"/>
    <tableColumn id="10591" xr3:uid="{D6AA4C69-331E-4BCC-ADD6-4728DD0727DB}" name="10578"/>
    <tableColumn id="10592" xr3:uid="{FD7272F3-F4B8-4CBA-BAF4-3B3EAF0EC015}" name="10579"/>
    <tableColumn id="10593" xr3:uid="{A837B80E-E7CE-4AFE-A3A8-3206B77B9B1C}" name="10580"/>
    <tableColumn id="10594" xr3:uid="{3A390CAD-001D-4130-99D0-F553ACA1DFDB}" name="10581"/>
    <tableColumn id="10595" xr3:uid="{C7D797A8-0ECD-49F7-AF56-8BDD9B3DF047}" name="10582"/>
    <tableColumn id="10596" xr3:uid="{FA20BDD6-7445-43BE-B79D-3A3A1CB09B1B}" name="10583"/>
    <tableColumn id="10597" xr3:uid="{892E254C-425E-41C0-8355-FB0C7FDBA86A}" name="10584"/>
    <tableColumn id="10598" xr3:uid="{8259C454-75AB-4150-8B1D-DBE179BFD88B}" name="10585"/>
    <tableColumn id="10599" xr3:uid="{6C390B5B-C63D-4CA4-A20E-4FBFCF692F7C}" name="10586"/>
    <tableColumn id="10600" xr3:uid="{AB6C6849-9CC1-443B-AE03-974A55F83390}" name="10587"/>
    <tableColumn id="10601" xr3:uid="{AF247354-6ED0-48D8-B0B2-E0FEE73CFCAF}" name="10588"/>
    <tableColumn id="10602" xr3:uid="{5C88A7C4-8614-4B97-896E-05DC8C0E57D3}" name="10589"/>
    <tableColumn id="10603" xr3:uid="{D19B4379-6A47-42FB-8702-C6EDB46CA0CB}" name="10590"/>
    <tableColumn id="10604" xr3:uid="{ACFEE556-D833-49F3-B317-9C47EE625406}" name="10591"/>
    <tableColumn id="10605" xr3:uid="{9F05C1E4-82A9-4D59-AC4F-020DF98FE4F5}" name="10592"/>
    <tableColumn id="10606" xr3:uid="{9D587169-1062-4A26-A531-A3883D9CBCBD}" name="10593"/>
    <tableColumn id="10607" xr3:uid="{BB2811E0-BCD1-4403-B984-5069AEC2FCF2}" name="10594"/>
    <tableColumn id="10608" xr3:uid="{1BA24A78-74C2-4FFF-989D-E0FFA4B21AEB}" name="10595"/>
    <tableColumn id="10609" xr3:uid="{125A118E-D409-4D37-A025-E4D948CB50D2}" name="10596"/>
    <tableColumn id="10610" xr3:uid="{764C1224-A115-46D3-93F7-E5FEC4AD2131}" name="10597"/>
    <tableColumn id="10611" xr3:uid="{28439DDE-2C2B-4A0B-A501-A1942DF8CF76}" name="10598"/>
    <tableColumn id="10612" xr3:uid="{DFD470DB-780E-412C-BB6C-B7FF45980A9E}" name="10599"/>
    <tableColumn id="10613" xr3:uid="{AE85E227-509A-45B9-B041-9B618EC4263C}" name="10600"/>
    <tableColumn id="10614" xr3:uid="{852F8179-2E88-4167-9ABF-262CDA4092CC}" name="10601"/>
    <tableColumn id="10615" xr3:uid="{8E72F83D-685D-4F4F-A4C5-618284C9FC9A}" name="10602"/>
    <tableColumn id="10616" xr3:uid="{AA3DBD4C-CC83-49C4-ABDC-02F7E1D6425B}" name="10603"/>
    <tableColumn id="10617" xr3:uid="{E4EF22C7-722D-4144-B42C-74673612AFF3}" name="10604"/>
    <tableColumn id="10618" xr3:uid="{51D9C8C1-53CF-4B2B-8AF1-BBA11252969E}" name="10605"/>
    <tableColumn id="10619" xr3:uid="{B34C3260-796C-4401-9217-3A39FC32A1E6}" name="10606"/>
    <tableColumn id="10620" xr3:uid="{CED5C077-48A7-4748-A5FC-A9771834C36F}" name="10607"/>
    <tableColumn id="10621" xr3:uid="{1CC9438B-D734-4BA8-8335-FB26E75A4902}" name="10608"/>
    <tableColumn id="10622" xr3:uid="{4AA15A90-AD2B-4155-ACF5-CB4A7BDDE1CA}" name="10609"/>
    <tableColumn id="10623" xr3:uid="{A476CEF0-3939-4DA0-9D36-45EF24FB069A}" name="10610"/>
    <tableColumn id="10624" xr3:uid="{6652A3AA-F34F-4AAE-BFFB-C27251600E39}" name="10611"/>
    <tableColumn id="10625" xr3:uid="{F808BB99-FF0F-4135-8898-49EB3B17010B}" name="10612"/>
    <tableColumn id="10626" xr3:uid="{6DCD131B-B24F-4A6A-8BB0-BFA34939ED2D}" name="10613"/>
    <tableColumn id="10627" xr3:uid="{18629ACB-D6AF-4B23-B250-55FE86DC5200}" name="10614"/>
    <tableColumn id="10628" xr3:uid="{C99B3D4A-311D-4DB8-A1A7-2CF2FD9D7B49}" name="10615"/>
    <tableColumn id="10629" xr3:uid="{B42452A9-1A04-4806-92FC-0827771D7626}" name="10616"/>
    <tableColumn id="10630" xr3:uid="{28703E04-39B9-47CF-8C46-90914557501F}" name="10617"/>
    <tableColumn id="10631" xr3:uid="{BDAFCB07-CA33-40C8-B13A-8E81074AE0B5}" name="10618"/>
    <tableColumn id="10632" xr3:uid="{AE0C282B-015C-4716-A827-DC16819D74D6}" name="10619"/>
    <tableColumn id="10633" xr3:uid="{4B304F3A-78AA-423C-A3C8-3E148F532D5A}" name="10620"/>
    <tableColumn id="10634" xr3:uid="{9C92E1DF-A46D-4F8E-B423-F6218279F22F}" name="10621"/>
    <tableColumn id="10635" xr3:uid="{6A21BDF9-1C3B-46C5-8ECF-A076F889DAB2}" name="10622"/>
    <tableColumn id="10636" xr3:uid="{46F7060C-B88C-449B-A0CD-9989DD7721C6}" name="10623"/>
    <tableColumn id="10637" xr3:uid="{B8300FF7-A4A2-4FAB-ACB3-C3FBCBDA2F2E}" name="10624"/>
    <tableColumn id="10638" xr3:uid="{714FF97A-A8C0-4B2B-8A17-ADA84AEC5D1B}" name="10625"/>
    <tableColumn id="10639" xr3:uid="{467A5548-3B98-4848-BBEC-FF86657D4B98}" name="10626"/>
    <tableColumn id="10640" xr3:uid="{43BC09DE-7417-4E46-99EC-E5B4D09EF724}" name="10627"/>
    <tableColumn id="10641" xr3:uid="{FDA769B1-A1BC-4404-8901-3BF5466A4554}" name="10628"/>
    <tableColumn id="10642" xr3:uid="{550B8202-4F64-4F3D-B0AD-C1A876DF0CBC}" name="10629"/>
    <tableColumn id="10643" xr3:uid="{39EEAEBE-5336-4520-9801-0ED30E68341C}" name="10630"/>
    <tableColumn id="10644" xr3:uid="{7A00B020-8AAB-4844-8B60-07756A5B743E}" name="10631"/>
    <tableColumn id="10645" xr3:uid="{5F8F1052-A3BB-4E9C-B114-35AF60A4E279}" name="10632"/>
    <tableColumn id="10646" xr3:uid="{34CA6EE7-4A1A-4CBE-8195-861DAC2E75B6}" name="10633"/>
    <tableColumn id="10647" xr3:uid="{1768031D-DACC-4A7D-AAEB-A781F6334ADA}" name="10634"/>
    <tableColumn id="10648" xr3:uid="{EFC4A8DF-19EA-4CFD-A5E5-3839DB702E7D}" name="10635"/>
    <tableColumn id="10649" xr3:uid="{2581473A-FDB9-4F30-9DE5-1CCC0DF66EFD}" name="10636"/>
    <tableColumn id="10650" xr3:uid="{0B4DF505-7B53-4266-BA26-D7254B1E5F1B}" name="10637"/>
    <tableColumn id="10651" xr3:uid="{67652636-C2FE-4FD8-9C5C-8A74C1F66B73}" name="10638"/>
    <tableColumn id="10652" xr3:uid="{26DE765D-DFA2-414E-93CF-0FDFF1F124F1}" name="10639"/>
    <tableColumn id="10653" xr3:uid="{BEC11977-334B-4E14-8506-CE84B711B7DF}" name="10640"/>
    <tableColumn id="10654" xr3:uid="{CC2A8EDD-59A6-4569-AA19-3C5A759C1906}" name="10641"/>
    <tableColumn id="10655" xr3:uid="{3CAA7501-9E6B-49B9-A30F-EB05240EDE57}" name="10642"/>
    <tableColumn id="10656" xr3:uid="{C3D0977A-7F0A-4780-BA63-741E5F4D9795}" name="10643"/>
    <tableColumn id="10657" xr3:uid="{BAD3EBB0-6616-4E03-B3B6-E74EE9A0ED88}" name="10644"/>
    <tableColumn id="10658" xr3:uid="{374BF395-4D62-403B-8135-5809C4627B4E}" name="10645"/>
    <tableColumn id="10659" xr3:uid="{D9F387D5-F80F-4075-AC3D-F3A4CC4B352B}" name="10646"/>
    <tableColumn id="10660" xr3:uid="{C0FC990C-B2D0-4AD1-A4C0-C68F5E0A0ED0}" name="10647"/>
    <tableColumn id="10661" xr3:uid="{F3393652-0A2D-4001-B309-637BA84967AD}" name="10648"/>
    <tableColumn id="10662" xr3:uid="{B5FD6D43-26F8-48BB-A2A2-34E7BAF822F3}" name="10649"/>
    <tableColumn id="10663" xr3:uid="{272BD9DC-65A9-46DE-8D26-27D07343FD73}" name="10650"/>
    <tableColumn id="10664" xr3:uid="{B8AB59D6-6A9A-4B36-A250-49EB421EE974}" name="10651"/>
    <tableColumn id="10665" xr3:uid="{E90EF80D-FDE9-4068-9274-10DDE6F59A72}" name="10652"/>
    <tableColumn id="10666" xr3:uid="{3CD7A181-7689-4714-A012-D7A0F378DD0C}" name="10653"/>
    <tableColumn id="10667" xr3:uid="{1B5C3A0A-DC74-4E90-AB59-964424D5C21F}" name="10654"/>
    <tableColumn id="10668" xr3:uid="{E5F0F208-E5F3-4B7C-8118-5AE199ADD5AB}" name="10655"/>
    <tableColumn id="10669" xr3:uid="{9376DE2E-4527-4550-A4BE-6985615CC537}" name="10656"/>
    <tableColumn id="10670" xr3:uid="{C5CC8475-4C2B-4382-892B-A74AF6757979}" name="10657"/>
    <tableColumn id="10671" xr3:uid="{09C438F4-1A82-48FD-AEA9-7927FD7727E0}" name="10658"/>
    <tableColumn id="10672" xr3:uid="{C4EFDDE9-2B4A-4465-9CF0-035B02539FD0}" name="10659"/>
    <tableColumn id="10673" xr3:uid="{405696D1-117D-41C8-81C0-A5CF4400093E}" name="10660"/>
    <tableColumn id="10674" xr3:uid="{73F01352-9488-4ABC-8D5B-86298B3BE0FE}" name="10661"/>
    <tableColumn id="10675" xr3:uid="{554F42DF-C32A-48E7-9664-AF592ACD0ECF}" name="10662"/>
    <tableColumn id="10676" xr3:uid="{3884B9B0-3E4F-4F8C-8CD0-EFBC0511E367}" name="10663"/>
    <tableColumn id="10677" xr3:uid="{2171B794-2098-4F8B-818C-6A0F745AA3A0}" name="10664"/>
    <tableColumn id="10678" xr3:uid="{E68EDA0D-E911-4A49-AAB3-BA64D0FB303F}" name="10665"/>
    <tableColumn id="10679" xr3:uid="{F0B16429-51D8-45FC-8166-0FA89B5382D5}" name="10666"/>
    <tableColumn id="10680" xr3:uid="{EA17A032-DF0D-48E7-AA4C-7B497166333A}" name="10667"/>
    <tableColumn id="10681" xr3:uid="{B31CA1E2-3950-4226-96F5-8811B1E3C2AD}" name="10668"/>
    <tableColumn id="10682" xr3:uid="{4812CB68-04F9-4130-92E3-8BB8E9B5BEDA}" name="10669"/>
    <tableColumn id="10683" xr3:uid="{177F6550-C325-4471-AAD0-EACB3812F16D}" name="10670"/>
    <tableColumn id="10684" xr3:uid="{F6CD3C3A-DE86-4DC9-9C39-9DF445673AB7}" name="10671"/>
    <tableColumn id="10685" xr3:uid="{9CEE9F09-C462-47EB-856F-C36122D6178A}" name="10672"/>
    <tableColumn id="10686" xr3:uid="{49EEDFB6-A8AA-4C10-9267-F80DF2E893EF}" name="10673"/>
    <tableColumn id="10687" xr3:uid="{A4B89585-D275-4B0C-B898-417D9317C4F5}" name="10674"/>
    <tableColumn id="10688" xr3:uid="{3723D3F9-8E9B-4001-AF7A-B1B1CC2B6120}" name="10675"/>
    <tableColumn id="10689" xr3:uid="{A45A42BF-BE19-4D21-AE19-012BC9800072}" name="10676"/>
    <tableColumn id="10690" xr3:uid="{C05C08FF-B050-4BEA-8E8F-1F59A832516E}" name="10677"/>
    <tableColumn id="10691" xr3:uid="{F85E60E0-1736-48F0-BD67-A8FD2F53040F}" name="10678"/>
    <tableColumn id="10692" xr3:uid="{7262BCD2-6CC9-4B1C-926D-8622390DC881}" name="10679"/>
    <tableColumn id="10693" xr3:uid="{866FC9BA-7C6D-4694-8EC0-853EED217C51}" name="10680"/>
    <tableColumn id="10694" xr3:uid="{612841E9-3930-45B2-969B-11AB1D177FCD}" name="10681"/>
    <tableColumn id="10695" xr3:uid="{04D26218-05A6-43D0-9D46-3C1FB3D1673D}" name="10682"/>
    <tableColumn id="10696" xr3:uid="{231A8491-E284-4B1A-BB39-5F8766D6919E}" name="10683"/>
    <tableColumn id="10697" xr3:uid="{2DC58943-AFC2-4F1E-9903-C315CAF54980}" name="10684"/>
    <tableColumn id="10698" xr3:uid="{4266E56A-173A-49B3-9861-701E248D6ACD}" name="10685"/>
    <tableColumn id="10699" xr3:uid="{A16A03F5-47B9-4E21-99C1-520CA17F3317}" name="10686"/>
    <tableColumn id="10700" xr3:uid="{230A95DA-11D9-441D-9097-88B04773B8D6}" name="10687"/>
    <tableColumn id="10701" xr3:uid="{64F2CECE-6E1B-432E-AC28-92B2C1092054}" name="10688"/>
    <tableColumn id="10702" xr3:uid="{40817D5F-5723-4333-9EA7-7017D9607435}" name="10689"/>
    <tableColumn id="10703" xr3:uid="{6622209A-B67B-44D4-B635-D488EC06D90A}" name="10690"/>
    <tableColumn id="10704" xr3:uid="{7DAF8AD5-1629-42AC-B330-E1650B5FB5AB}" name="10691"/>
    <tableColumn id="10705" xr3:uid="{F84BFBBA-007A-4A9A-95FC-8B6AFA4ADBBD}" name="10692"/>
    <tableColumn id="10706" xr3:uid="{3E36C88C-5208-4096-800D-E443795C7F63}" name="10693"/>
    <tableColumn id="10707" xr3:uid="{3180A60B-D2D3-4B6D-8DCB-44F27751671D}" name="10694"/>
    <tableColumn id="10708" xr3:uid="{7FD3CD4F-F20F-4F25-B818-B3CFB4940150}" name="10695"/>
    <tableColumn id="10709" xr3:uid="{23CCE45D-11A7-487E-9FD2-14521BBBD163}" name="10696"/>
    <tableColumn id="10710" xr3:uid="{D273AD4F-8389-4D33-8D8C-14C4711A4F90}" name="10697"/>
    <tableColumn id="10711" xr3:uid="{8680E261-884B-4C29-A67B-17C942F57963}" name="10698"/>
    <tableColumn id="10712" xr3:uid="{369D56E9-1D56-4063-9602-F907529DF735}" name="10699"/>
    <tableColumn id="10713" xr3:uid="{565BBEA2-532E-4DC6-853F-7C5AB6E8B89C}" name="10700"/>
    <tableColumn id="10714" xr3:uid="{E4FD6E30-924A-4127-9AA7-FC30B4B9C2B7}" name="10701"/>
    <tableColumn id="10715" xr3:uid="{9831F40D-0916-48CE-A22F-5543328533A2}" name="10702"/>
    <tableColumn id="10716" xr3:uid="{E1B700C8-4B86-4C7D-825F-5BFCD9BD11C3}" name="10703"/>
    <tableColumn id="10717" xr3:uid="{D71B53A7-6FDB-4181-AABF-515E3A251317}" name="10704"/>
    <tableColumn id="10718" xr3:uid="{FA2F6AA5-D230-4CEC-ADB5-5015DD0D5797}" name="10705"/>
    <tableColumn id="10719" xr3:uid="{133693AE-72F2-4A7E-840C-3607F0AF8718}" name="10706"/>
    <tableColumn id="10720" xr3:uid="{C5DF5DA2-9F59-43BE-A010-615A2E228B5D}" name="10707"/>
    <tableColumn id="10721" xr3:uid="{B136BB9B-505B-41E4-9C12-711FA011AAC6}" name="10708"/>
    <tableColumn id="10722" xr3:uid="{A163F74D-CA39-4231-BE43-8734CB684558}" name="10709"/>
    <tableColumn id="10723" xr3:uid="{3CCCFDB3-EF0F-4EA6-BAA5-B0868406ABB9}" name="10710"/>
    <tableColumn id="10724" xr3:uid="{298C8F42-24F6-4C9B-8327-4DEBBEDDDEAD}" name="10711"/>
    <tableColumn id="10725" xr3:uid="{2863D97D-9FBB-4561-B389-ADC267F8BC1E}" name="10712"/>
    <tableColumn id="10726" xr3:uid="{48D8A44C-BB49-4018-81BA-4F5ECA71CF01}" name="10713"/>
    <tableColumn id="10727" xr3:uid="{4088A697-FAFD-409E-AB2E-742BDC699573}" name="10714"/>
    <tableColumn id="10728" xr3:uid="{55A98C9C-B346-4FDA-9FF7-5D4F84351C5E}" name="10715"/>
    <tableColumn id="10729" xr3:uid="{6649BAF9-E394-4E8E-A9E6-A47F27DCA6A2}" name="10716"/>
    <tableColumn id="10730" xr3:uid="{985BCD2D-E821-49FB-8CE0-8782AD2EDE3F}" name="10717"/>
    <tableColumn id="10731" xr3:uid="{1551452B-F5E7-41B3-A888-B4C1B544A90E}" name="10718"/>
    <tableColumn id="10732" xr3:uid="{658E6EF0-EE09-4A84-B425-5FCCC850D7EA}" name="10719"/>
    <tableColumn id="10733" xr3:uid="{27489FE9-750E-4F0B-B953-5E43D4C5BDDE}" name="10720"/>
    <tableColumn id="10734" xr3:uid="{5293D665-F57C-40DB-BCC2-79CBA25AD7CD}" name="10721"/>
    <tableColumn id="10735" xr3:uid="{0A15A96D-6D28-44DD-BE06-B65DEA99023F}" name="10722"/>
    <tableColumn id="10736" xr3:uid="{6E2061F3-082B-49E7-B476-3A9B1D938E77}" name="10723"/>
    <tableColumn id="10737" xr3:uid="{9AC0F027-40DD-4DC2-9D2F-9C0A1B82A832}" name="10724"/>
    <tableColumn id="10738" xr3:uid="{C9C698BA-1265-4D1D-B775-5A53B1FA2E23}" name="10725"/>
    <tableColumn id="10739" xr3:uid="{C78EF78A-A49A-43A1-BCF2-E8F9585EBF9B}" name="10726"/>
    <tableColumn id="10740" xr3:uid="{B050940F-CB8E-4D50-82B8-F5865629E9AF}" name="10727"/>
    <tableColumn id="10741" xr3:uid="{9093FADD-04A9-42D4-AD7C-215298D58337}" name="10728"/>
    <tableColumn id="10742" xr3:uid="{10A5E25C-CC7D-4F0E-B256-014E4A34A59E}" name="10729"/>
    <tableColumn id="10743" xr3:uid="{BE6F3B74-0183-4812-B0C3-EF93BAFDE277}" name="10730"/>
    <tableColumn id="10744" xr3:uid="{9486D50F-16AA-4A79-8226-8FC1FE97E6AD}" name="10731"/>
    <tableColumn id="10745" xr3:uid="{3DA8922E-8822-4738-9C51-CDDEBA5633D6}" name="10732"/>
    <tableColumn id="10746" xr3:uid="{40D6762B-9894-43E8-A03E-EF2AEF36CFC3}" name="10733"/>
    <tableColumn id="10747" xr3:uid="{44BFFB19-BB6C-48A9-8631-B2B39D6BA328}" name="10734"/>
    <tableColumn id="10748" xr3:uid="{6AFB71EA-AAB4-4165-AB07-E35B51477832}" name="10735"/>
    <tableColumn id="10749" xr3:uid="{F6887302-EA5E-4B85-BB32-1E8D85BEB640}" name="10736"/>
    <tableColumn id="10750" xr3:uid="{CB69F65B-3642-45A0-828B-46ED698F6203}" name="10737"/>
    <tableColumn id="10751" xr3:uid="{374955DB-F7AE-41E6-968D-8D51C99B8E51}" name="10738"/>
    <tableColumn id="10752" xr3:uid="{AC99CD08-F44E-4375-8B00-F70B5432C50C}" name="10739"/>
    <tableColumn id="10753" xr3:uid="{CD407836-6D1F-4EFE-BCE7-0D68D69FB70F}" name="10740"/>
    <tableColumn id="10754" xr3:uid="{41994645-11B7-4E79-A8D7-FDCEF8177281}" name="10741"/>
    <tableColumn id="10755" xr3:uid="{3DA6CBB9-5229-4564-9A07-841022B31560}" name="10742"/>
    <tableColumn id="10756" xr3:uid="{8592F86F-A5D5-49D4-91A5-67BAA579D960}" name="10743"/>
    <tableColumn id="10757" xr3:uid="{BAFB6BB6-2180-466E-9687-A04C9B991F1E}" name="10744"/>
    <tableColumn id="10758" xr3:uid="{5FA72498-73DE-4CB5-9D3E-4F8C812EC6B9}" name="10745"/>
    <tableColumn id="10759" xr3:uid="{CFABD77A-00E7-4F1F-A531-B24FEF40F76E}" name="10746"/>
    <tableColumn id="10760" xr3:uid="{6160B9C1-7FCE-43DC-A92A-A2F5CD047B62}" name="10747"/>
    <tableColumn id="10761" xr3:uid="{8A413BCF-51F0-412C-B971-862ADEBB5B4B}" name="10748"/>
    <tableColumn id="10762" xr3:uid="{75D74333-EAFD-4EDA-B99A-29F363BDDB3E}" name="10749"/>
    <tableColumn id="10763" xr3:uid="{47510C51-BB21-46BF-AEE4-D6A273498039}" name="10750"/>
    <tableColumn id="10764" xr3:uid="{16316B55-E192-424D-9CF5-5564385188C6}" name="10751"/>
    <tableColumn id="10765" xr3:uid="{F29E18F3-4037-4163-B709-311438546C9F}" name="10752"/>
    <tableColumn id="10766" xr3:uid="{A24B8B8E-870D-4863-9CF3-2EAAD159E2D1}" name="10753"/>
    <tableColumn id="10767" xr3:uid="{63BD3A1E-A8F8-44E4-BE63-3E6C79ED9F49}" name="10754"/>
    <tableColumn id="10768" xr3:uid="{87280A20-00A6-4B58-AF24-99E35A10E767}" name="10755"/>
    <tableColumn id="10769" xr3:uid="{307FBABF-77B1-4FFB-8765-4A32F9F02227}" name="10756"/>
    <tableColumn id="10770" xr3:uid="{07C7F0BD-1DDA-4D34-9642-B0FE7823D36E}" name="10757"/>
    <tableColumn id="10771" xr3:uid="{C70DECCA-4426-4522-B621-938B1469EF7B}" name="10758"/>
    <tableColumn id="10772" xr3:uid="{F4C55164-7F05-4802-8824-90A3FA33FF48}" name="10759"/>
    <tableColumn id="10773" xr3:uid="{1319FA37-5DFA-409D-AAA0-A130606B9593}" name="10760"/>
    <tableColumn id="10774" xr3:uid="{56109025-BE64-45EF-8B3A-4A0A63FD7362}" name="10761"/>
    <tableColumn id="10775" xr3:uid="{11FD911D-F395-449F-B5BC-84F5F6F3B92B}" name="10762"/>
    <tableColumn id="10776" xr3:uid="{CDAA71D1-E18C-431B-8587-BDF29D329D9E}" name="10763"/>
    <tableColumn id="10777" xr3:uid="{124E6756-C3F2-40CC-A008-859926866D85}" name="10764"/>
    <tableColumn id="10778" xr3:uid="{078648F2-91A8-4B33-ADD4-224C05D774BA}" name="10765"/>
    <tableColumn id="10779" xr3:uid="{A4367FEE-FE6A-4C85-A4FB-ED2904E12397}" name="10766"/>
    <tableColumn id="10780" xr3:uid="{1CF7BCEC-EFB8-4D0F-96F7-6976FC56B106}" name="10767"/>
    <tableColumn id="10781" xr3:uid="{0B089326-A80F-4B42-AC8E-0B1FDB4A42BC}" name="10768"/>
    <tableColumn id="10782" xr3:uid="{353175BB-B41B-4E90-8A7B-9FDE74D7EA26}" name="10769"/>
    <tableColumn id="10783" xr3:uid="{CC4577A6-B222-4119-8333-7ABA4D7CD5A7}" name="10770"/>
    <tableColumn id="10784" xr3:uid="{C4201659-1FBD-42CB-8B73-5E3C4AB9568C}" name="10771"/>
    <tableColumn id="10785" xr3:uid="{745AEB43-DE0F-40DE-B17E-F968D99D5F3F}" name="10772"/>
    <tableColumn id="10786" xr3:uid="{EC801402-EFDC-40F2-942F-7895834F1349}" name="10773"/>
    <tableColumn id="10787" xr3:uid="{E60EE7F4-3B73-4AAD-BE73-9860EEE4A0A3}" name="10774"/>
    <tableColumn id="10788" xr3:uid="{70D17E05-0B78-41A9-B870-73F5C55BE287}" name="10775"/>
    <tableColumn id="10789" xr3:uid="{34E71D12-37EE-4A35-8A84-DDABB21C8416}" name="10776"/>
    <tableColumn id="10790" xr3:uid="{B1B4B615-7D3D-43D2-9460-75F14E9EB687}" name="10777"/>
    <tableColumn id="10791" xr3:uid="{D0C7998D-88EB-4EB2-A207-8B638B6021A0}" name="10778"/>
    <tableColumn id="10792" xr3:uid="{A98A8A8D-E48B-4D62-AB25-93DFF9B5D29A}" name="10779"/>
    <tableColumn id="10793" xr3:uid="{8A9383E1-E044-4926-BFBF-D4CC4CC73CD5}" name="10780"/>
    <tableColumn id="10794" xr3:uid="{BA05DF14-42C1-4074-B3A4-F5B46350287F}" name="10781"/>
    <tableColumn id="10795" xr3:uid="{11CDA5AC-7018-4D41-AA01-73500B6C6098}" name="10782"/>
    <tableColumn id="10796" xr3:uid="{4FA516E2-3143-4F1D-A089-0D5E695A86FC}" name="10783"/>
    <tableColumn id="10797" xr3:uid="{8542C21B-4399-499F-B87C-AFE6415B3EF4}" name="10784"/>
    <tableColumn id="10798" xr3:uid="{0A9DE3D5-539B-4A22-8A22-0405786A3F08}" name="10785"/>
    <tableColumn id="10799" xr3:uid="{4DBA5A76-724D-4080-8960-8C8236BFE56A}" name="10786"/>
    <tableColumn id="10800" xr3:uid="{BA66EB7B-C51A-4DA8-95C6-94B66CF0E1C8}" name="10787"/>
    <tableColumn id="10801" xr3:uid="{8EEA913D-DE3D-49C0-91BF-B02B0DC8310E}" name="10788"/>
    <tableColumn id="10802" xr3:uid="{B2285B7C-2BBF-41C5-A2E2-3CF06AF2980B}" name="10789"/>
    <tableColumn id="10803" xr3:uid="{7F557643-B5D1-4562-9750-B4FE4D256383}" name="10790"/>
    <tableColumn id="10804" xr3:uid="{84543402-EFA4-4D51-A977-6891A639F405}" name="10791"/>
    <tableColumn id="10805" xr3:uid="{593F6F5F-EE82-49C5-BBDD-E3A841871127}" name="10792"/>
    <tableColumn id="10806" xr3:uid="{2FE8FFAD-8B32-45AB-96D9-FD8282E4B63B}" name="10793"/>
    <tableColumn id="10807" xr3:uid="{FD995031-D1D2-4662-BC80-274399EDEB19}" name="10794"/>
    <tableColumn id="10808" xr3:uid="{986AA63A-A7B6-45ED-BC6E-0D92ACF6428E}" name="10795"/>
    <tableColumn id="10809" xr3:uid="{11D75A2A-5811-4E3B-900F-55724FD34696}" name="10796"/>
    <tableColumn id="10810" xr3:uid="{CA551E9E-B32E-4E4C-966F-D4969112E015}" name="10797"/>
    <tableColumn id="10811" xr3:uid="{7BF838F3-A762-4825-890A-67492C0CE9C1}" name="10798"/>
    <tableColumn id="10812" xr3:uid="{175F2D16-6DAC-48BD-A848-EC23611B5ECE}" name="10799"/>
    <tableColumn id="10813" xr3:uid="{52245977-7FF2-4A7A-B012-B05A76CF4A66}" name="10800"/>
    <tableColumn id="10814" xr3:uid="{F801FB73-9319-4A5D-91E3-99C08021EBA6}" name="10801"/>
    <tableColumn id="10815" xr3:uid="{6BA52CE9-4973-44D8-9954-7FB01E99958F}" name="10802"/>
    <tableColumn id="10816" xr3:uid="{2C64323A-9EAB-40C1-9B8E-98F4EA9CDE98}" name="10803"/>
    <tableColumn id="10817" xr3:uid="{AD0A5E35-39F0-45AF-8379-FF3B823DE1CA}" name="10804"/>
    <tableColumn id="10818" xr3:uid="{5701AD57-174B-4418-8C6F-A26A49435492}" name="10805"/>
    <tableColumn id="10819" xr3:uid="{9FD161D8-CD7D-4E95-BB97-6FE13B8AEDD9}" name="10806"/>
    <tableColumn id="10820" xr3:uid="{0E2D691D-03DF-4B19-8522-AF63E16479ED}" name="10807"/>
    <tableColumn id="10821" xr3:uid="{EB6B12F1-E174-484B-AAE9-A8FB126A4D35}" name="10808"/>
    <tableColumn id="10822" xr3:uid="{C6A17267-F546-451B-9FDD-B7A1BDB7609B}" name="10809"/>
    <tableColumn id="10823" xr3:uid="{2E6946C9-04AE-469E-946D-2EC4407A69A8}" name="10810"/>
    <tableColumn id="10824" xr3:uid="{B0883111-9DA4-4D16-8529-77B695FF71E1}" name="10811"/>
    <tableColumn id="10825" xr3:uid="{B5CAC9B2-3315-410F-9768-AB5E6F54214D}" name="10812"/>
    <tableColumn id="10826" xr3:uid="{9C026805-8EE8-4DCC-94F3-A7B9BF4DE3C7}" name="10813"/>
    <tableColumn id="10827" xr3:uid="{12E84B2A-3683-4678-8329-1BB5F903641B}" name="10814"/>
    <tableColumn id="10828" xr3:uid="{47D2D594-AA9A-4D88-82EF-8689149EE1E5}" name="10815"/>
    <tableColumn id="10829" xr3:uid="{9F116897-1F3E-4C23-83CB-C4BCAFE2572E}" name="10816"/>
    <tableColumn id="10830" xr3:uid="{44C49C3C-EAD5-4816-86B9-0965CAF6E4FA}" name="10817"/>
    <tableColumn id="10831" xr3:uid="{390F817C-2D9E-40F5-8C1E-CD06CCE6E6D1}" name="10818"/>
    <tableColumn id="10832" xr3:uid="{555FBCA2-67C0-4629-BD9C-951AFC2112E2}" name="10819"/>
    <tableColumn id="10833" xr3:uid="{AC41F150-3937-43B9-BBF8-1911C6B6CB69}" name="10820"/>
    <tableColumn id="10834" xr3:uid="{853B9838-D60D-4D1C-99AF-4524225BB5F3}" name="10821"/>
    <tableColumn id="10835" xr3:uid="{E800C649-3FA6-4A4D-9D4D-ACE288F18FB6}" name="10822"/>
    <tableColumn id="10836" xr3:uid="{4612A4A5-3C05-4A85-9D51-1BE34DAF4C2D}" name="10823"/>
    <tableColumn id="10837" xr3:uid="{72F955F8-A7B9-4E6D-B0D6-95EDAD488B9C}" name="10824"/>
    <tableColumn id="10838" xr3:uid="{10A206EE-36AA-4818-9F8F-2E2663313F20}" name="10825"/>
    <tableColumn id="10839" xr3:uid="{EB2C3523-863B-4C5A-99BE-D75F12A4BEE3}" name="10826"/>
    <tableColumn id="10840" xr3:uid="{C39E47B1-FEFA-4686-BD33-099AE3CF1F83}" name="10827"/>
    <tableColumn id="10841" xr3:uid="{16A8F7A9-F9F7-46E8-B9B9-25AF45F0DDA5}" name="10828"/>
    <tableColumn id="10842" xr3:uid="{E96CB188-CA7B-4522-89C1-41C64783A246}" name="10829"/>
    <tableColumn id="10843" xr3:uid="{18F261E9-A803-42F7-B727-FA8312E8BB78}" name="10830"/>
    <tableColumn id="10844" xr3:uid="{B995488E-7BFC-4A5F-BDC1-80C57F839CBC}" name="10831"/>
    <tableColumn id="10845" xr3:uid="{A1797BFC-FC67-48F4-9BF8-4F209D88D176}" name="10832"/>
    <tableColumn id="10846" xr3:uid="{FBD90C9D-62D3-459E-8E40-C5626D55D032}" name="10833"/>
    <tableColumn id="10847" xr3:uid="{D908931C-855D-4398-ABAD-50A8B6601F2B}" name="10834"/>
    <tableColumn id="10848" xr3:uid="{006D35EF-4F87-49EF-933A-4ACA52402A34}" name="10835"/>
    <tableColumn id="10849" xr3:uid="{079A84EA-8076-4EB8-B01F-E18FEEE44511}" name="10836"/>
    <tableColumn id="10850" xr3:uid="{72691898-8F15-481D-8C7C-8013D9B55BBC}" name="10837"/>
    <tableColumn id="10851" xr3:uid="{2F78A756-C0F9-4A66-8B0F-57D1141F95ED}" name="10838"/>
    <tableColumn id="10852" xr3:uid="{41A00439-A762-4E04-B0A2-AB4BAE3037D7}" name="10839"/>
    <tableColumn id="10853" xr3:uid="{2C0887AD-22BE-44E2-9912-BEA9A75E5B7F}" name="10840"/>
    <tableColumn id="10854" xr3:uid="{2872B65C-D818-4D6A-8A83-483A1F67A46D}" name="10841"/>
    <tableColumn id="10855" xr3:uid="{1A9BCAFD-BC27-4ED4-B5CC-D4001454BE83}" name="10842"/>
    <tableColumn id="10856" xr3:uid="{1C64F4F2-DDD3-405F-B52E-1208D293627B}" name="10843"/>
    <tableColumn id="10857" xr3:uid="{62C6A4FA-9FC4-400C-AD9E-95B9E1489D57}" name="10844"/>
    <tableColumn id="10858" xr3:uid="{12C43AA1-C020-4C4F-ACF4-37609A025CE8}" name="10845"/>
    <tableColumn id="10859" xr3:uid="{98711CE1-FD07-46AF-971D-B85E13AFD96B}" name="10846"/>
    <tableColumn id="10860" xr3:uid="{1674F2A8-B2A9-43E4-A9BD-A0E257E64D73}" name="10847"/>
    <tableColumn id="10861" xr3:uid="{6377D4D5-9D79-46EA-B396-3564CA24717F}" name="10848"/>
    <tableColumn id="10862" xr3:uid="{90FD0AB2-74C6-4E6B-A877-4B6EAEBE7847}" name="10849"/>
    <tableColumn id="10863" xr3:uid="{1D04A6EC-C888-4E00-A882-7B37B862092B}" name="10850"/>
    <tableColumn id="10864" xr3:uid="{E4F711FA-C1F9-4811-8F8E-9306541A94C3}" name="10851"/>
    <tableColumn id="10865" xr3:uid="{B2CFBBE7-DFDC-4193-A001-B8FECC7689C7}" name="10852"/>
    <tableColumn id="10866" xr3:uid="{A834449F-3D80-4488-A2E9-D1C832881EA3}" name="10853"/>
    <tableColumn id="10867" xr3:uid="{87964D1D-BF8A-48E1-A0B9-BD9F67DC2E6F}" name="10854"/>
    <tableColumn id="10868" xr3:uid="{BD6BF57C-FCBA-4FCE-B2C4-3ECF2D7440E6}" name="10855"/>
    <tableColumn id="10869" xr3:uid="{E3206D2F-898C-4673-9556-1D21729B7932}" name="10856"/>
    <tableColumn id="10870" xr3:uid="{129BE76C-1B8E-458F-B35F-7086807D6CDE}" name="10857"/>
    <tableColumn id="10871" xr3:uid="{3F7ED463-B6A7-4D67-9606-FEF40114D095}" name="10858"/>
    <tableColumn id="10872" xr3:uid="{66ACDFBF-DCC3-428A-944B-7D5E52207C5F}" name="10859"/>
    <tableColumn id="10873" xr3:uid="{082E1180-9B1A-408A-B872-29DF8C50B67A}" name="10860"/>
    <tableColumn id="10874" xr3:uid="{1209D6B3-60EE-4E88-8381-12868CB7753E}" name="10861"/>
    <tableColumn id="10875" xr3:uid="{E0BCA580-96DA-435C-B902-FECF9885A73C}" name="10862"/>
    <tableColumn id="10876" xr3:uid="{E1A3BC8F-BED6-4148-8F34-96A6A932DA80}" name="10863"/>
    <tableColumn id="10877" xr3:uid="{379799AB-F87E-48EE-8152-09557B9F010A}" name="10864"/>
    <tableColumn id="10878" xr3:uid="{6768EB70-9D71-41EA-94BA-8A31FADB22A2}" name="10865"/>
    <tableColumn id="10879" xr3:uid="{11123FD8-C9BC-4DCB-AB06-B8A00840810B}" name="10866"/>
    <tableColumn id="10880" xr3:uid="{A3A954A7-468B-4B6B-8502-39CD9598F940}" name="10867"/>
    <tableColumn id="10881" xr3:uid="{9667E011-9C3D-48CA-B392-3A7BA2E485D3}" name="10868"/>
    <tableColumn id="10882" xr3:uid="{C129EDAC-4C00-4ABB-8BA4-0CC735B4C07F}" name="10869"/>
    <tableColumn id="10883" xr3:uid="{3B352590-E447-4C2E-8791-397FE32C0C50}" name="10870"/>
    <tableColumn id="10884" xr3:uid="{CEC87869-5774-481B-8294-462EF9DBEBF3}" name="10871"/>
    <tableColumn id="10885" xr3:uid="{83E41EB1-5B92-436B-A0FD-832C586BB2EC}" name="10872"/>
    <tableColumn id="10886" xr3:uid="{A1116E11-AEED-46F9-9AF6-D04DF7DA8F21}" name="10873"/>
    <tableColumn id="10887" xr3:uid="{0E5873B3-7E4B-41F8-A9BD-B5B66A8D2E0A}" name="10874"/>
    <tableColumn id="10888" xr3:uid="{D8E2E43C-BD98-488B-A6CA-2A4A16E0EDA4}" name="10875"/>
    <tableColumn id="10889" xr3:uid="{E10E8689-1D79-4B8E-8368-99BE7C9640EC}" name="10876"/>
    <tableColumn id="10890" xr3:uid="{C0F72FFE-B923-4FC3-B20B-57CA9BEF6B36}" name="10877"/>
    <tableColumn id="10891" xr3:uid="{070B5825-0005-4FD6-83AE-4DF11FD60D7B}" name="10878"/>
    <tableColumn id="10892" xr3:uid="{E50945DB-EBE1-4A32-B851-72247E77AB34}" name="10879"/>
    <tableColumn id="10893" xr3:uid="{3AC70B64-9E0A-4CEB-8CE5-7C5B9129B24A}" name="10880"/>
    <tableColumn id="10894" xr3:uid="{61E79DB9-41BC-4BCD-BE2B-A0B1FBF8F4EB}" name="10881"/>
    <tableColumn id="10895" xr3:uid="{DCCA33D5-E649-474E-BD0C-A33965C7A05C}" name="10882"/>
    <tableColumn id="10896" xr3:uid="{F280F610-05FF-4EB5-8133-CF64D3012B11}" name="10883"/>
    <tableColumn id="10897" xr3:uid="{4BF3A0B0-2121-4130-ACF5-3A84CA044DFF}" name="10884"/>
    <tableColumn id="10898" xr3:uid="{539FA121-E432-402D-AB3D-CCFFF348443E}" name="10885"/>
    <tableColumn id="10899" xr3:uid="{69EACFD1-03D9-4077-B4C4-327C92C7294E}" name="10886"/>
    <tableColumn id="10900" xr3:uid="{80B9ADA5-DF2D-4C40-8160-D3558A239A93}" name="10887"/>
    <tableColumn id="10901" xr3:uid="{B4F4F845-C6CD-475F-AE26-F742EAD4C726}" name="10888"/>
    <tableColumn id="10902" xr3:uid="{9821EE60-91AE-48C7-B8A7-0B1307A5ABAA}" name="10889"/>
    <tableColumn id="10903" xr3:uid="{0BB1AAF0-41E2-4FE1-B1F7-F3FF988C96D0}" name="10890"/>
    <tableColumn id="10904" xr3:uid="{E52D767E-9449-46C1-8FF3-135E2E3C0D73}" name="10891"/>
    <tableColumn id="10905" xr3:uid="{8A4518FF-0CE3-4B27-B65A-1AC6EF451208}" name="10892"/>
    <tableColumn id="10906" xr3:uid="{2ECC2A55-0408-4360-9AF6-F633AD359B8A}" name="10893"/>
    <tableColumn id="10907" xr3:uid="{022BC72A-EC8D-4C44-88BF-985AEFA959E1}" name="10894"/>
    <tableColumn id="10908" xr3:uid="{687FADEE-70C6-4E51-B4DF-E26D84C428E3}" name="10895"/>
    <tableColumn id="10909" xr3:uid="{E93F7F1A-F73B-4E94-9EB9-4F22F759D29A}" name="10896"/>
    <tableColumn id="10910" xr3:uid="{4134D387-2461-418E-892A-3FECB9FD3E26}" name="10897"/>
    <tableColumn id="10911" xr3:uid="{1215BAF4-946B-4E89-B9ED-C39CD3FFB9DB}" name="10898"/>
    <tableColumn id="10912" xr3:uid="{ED7FC328-E757-4A30-A392-453116B2A3C0}" name="10899"/>
    <tableColumn id="10913" xr3:uid="{76E2F001-992A-494C-9A18-E3A7CFAE44CE}" name="10900"/>
    <tableColumn id="10914" xr3:uid="{94610380-531D-4001-AAD7-831252C66B71}" name="10901"/>
    <tableColumn id="10915" xr3:uid="{AFE174FF-BE26-48F5-B0C1-0A46B61F8E82}" name="10902"/>
    <tableColumn id="10916" xr3:uid="{A8397FA9-C9D7-4CDA-98B5-9A9EAC8EA827}" name="10903"/>
    <tableColumn id="10917" xr3:uid="{1C707E1D-FC2C-4DCC-9586-6FB3E3C36A72}" name="10904"/>
    <tableColumn id="10918" xr3:uid="{AB9AD859-21A4-4A25-BA28-E3F30BC6E4C8}" name="10905"/>
    <tableColumn id="10919" xr3:uid="{11942475-321C-4D4D-87A6-405293A5AB70}" name="10906"/>
    <tableColumn id="10920" xr3:uid="{291AB724-CE6F-4925-98C0-45BD9F216D9A}" name="10907"/>
    <tableColumn id="10921" xr3:uid="{AB6BD8D5-D35F-4DDC-AA29-63E73A248E7B}" name="10908"/>
    <tableColumn id="10922" xr3:uid="{0C77442B-F74D-4C88-92F8-90AEDD626BC8}" name="10909"/>
    <tableColumn id="10923" xr3:uid="{13EFA432-E3BD-417A-ACF1-30E67B4F4D86}" name="10910"/>
    <tableColumn id="10924" xr3:uid="{776D871F-5C81-4913-9844-E4A0F8D3AEAC}" name="10911"/>
    <tableColumn id="10925" xr3:uid="{3318BCA4-E262-4042-A905-41D3B94C4BE8}" name="10912"/>
    <tableColumn id="10926" xr3:uid="{FB938DC5-C414-4079-A67B-DBCC705DD88C}" name="10913"/>
    <tableColumn id="10927" xr3:uid="{B8B027E4-6DF7-4F85-89A2-11D4F43386BF}" name="10914"/>
    <tableColumn id="10928" xr3:uid="{E3085C17-90E2-47F7-BE9E-1549EA633FA0}" name="10915"/>
    <tableColumn id="10929" xr3:uid="{34F1E416-C528-4BE8-8119-3355D6E40FC0}" name="10916"/>
    <tableColumn id="10930" xr3:uid="{CE895782-381F-427A-B0A5-D3C8B5739517}" name="10917"/>
    <tableColumn id="10931" xr3:uid="{433F0B26-78EC-4E85-AF30-CA870DFF4119}" name="10918"/>
    <tableColumn id="10932" xr3:uid="{E18BC29B-79DA-43B8-B628-0D11B7AD63AC}" name="10919"/>
    <tableColumn id="10933" xr3:uid="{C16243BF-FA4A-4914-AEC8-5F4E636939FD}" name="10920"/>
    <tableColumn id="10934" xr3:uid="{D5CA8865-C3C6-40F9-AEB4-243CFD001E4E}" name="10921"/>
    <tableColumn id="10935" xr3:uid="{D45105E1-C91B-4B3D-9984-513288078B5E}" name="10922"/>
    <tableColumn id="10936" xr3:uid="{B1730047-9F4C-4826-91EA-7907268A9C90}" name="10923"/>
    <tableColumn id="10937" xr3:uid="{7FF19AA4-1478-4B87-9E44-5123F0F3AE90}" name="10924"/>
    <tableColumn id="10938" xr3:uid="{6BDEA775-79A8-4F0D-A65F-1D96042EAE5C}" name="10925"/>
    <tableColumn id="10939" xr3:uid="{60D8FF03-0BD1-4994-8DEC-A338FADC2821}" name="10926"/>
    <tableColumn id="10940" xr3:uid="{CD003D73-A402-4CE0-82DF-C01509FD97E2}" name="10927"/>
    <tableColumn id="10941" xr3:uid="{B422E382-2061-4F9B-9089-CE8D27DDA326}" name="10928"/>
    <tableColumn id="10942" xr3:uid="{6222C29F-9318-4A7D-8DE3-25902DD2ACED}" name="10929"/>
    <tableColumn id="10943" xr3:uid="{71B07350-EF50-4CA4-9BFB-0C18F2A8F0A6}" name="10930"/>
    <tableColumn id="10944" xr3:uid="{40C73B34-C379-45B2-92A3-108D7CFFC548}" name="10931"/>
    <tableColumn id="10945" xr3:uid="{74C516C8-5705-4CB5-918F-BEA00F3902D1}" name="10932"/>
    <tableColumn id="10946" xr3:uid="{D20C6E17-45D8-4048-8759-8F80469C18CC}" name="10933"/>
    <tableColumn id="10947" xr3:uid="{A6A8C3A4-FAE1-4A90-840A-FFC9DCF3856E}" name="10934"/>
    <tableColumn id="10948" xr3:uid="{2FB6E29D-ABDF-4C2C-A7AC-F0D281402BA4}" name="10935"/>
    <tableColumn id="10949" xr3:uid="{03807C54-C725-4AE3-A00F-2CFD5E21AC8A}" name="10936"/>
    <tableColumn id="10950" xr3:uid="{B8B7CBC5-96C9-49DB-8A01-505FDB1A3BAB}" name="10937"/>
    <tableColumn id="10951" xr3:uid="{CFA62122-D2DD-49C8-967D-E45592DC69D5}" name="10938"/>
    <tableColumn id="10952" xr3:uid="{8FC236F9-61F8-41C4-96E4-F600BD9F9CB4}" name="10939"/>
    <tableColumn id="10953" xr3:uid="{1BC2FF02-393B-4BF2-A4EE-5A81EA8B9A82}" name="10940"/>
    <tableColumn id="10954" xr3:uid="{CE143698-090F-4468-AB4C-803F859257D3}" name="10941"/>
    <tableColumn id="10955" xr3:uid="{D60398B0-0759-4BA7-8A48-978E687DA918}" name="10942"/>
    <tableColumn id="10956" xr3:uid="{E821BE76-C707-4790-8FB3-23F81CACD50F}" name="10943"/>
    <tableColumn id="10957" xr3:uid="{8BD50A57-CC47-471E-8A0C-5913C4470038}" name="10944"/>
    <tableColumn id="10958" xr3:uid="{3ED0D3B1-4B40-4AA1-9F4D-BBCA7AEA2C59}" name="10945"/>
    <tableColumn id="10959" xr3:uid="{73C8642D-BCA4-4026-8A6B-616016B46FB3}" name="10946"/>
    <tableColumn id="10960" xr3:uid="{F38183C0-6A4C-4343-9BA4-1AB12055E401}" name="10947"/>
    <tableColumn id="10961" xr3:uid="{8F1C4968-D408-4092-87A6-06A22942AA81}" name="10948"/>
    <tableColumn id="10962" xr3:uid="{BE53A3BD-8639-4229-B60D-AC6C5B24861C}" name="10949"/>
    <tableColumn id="10963" xr3:uid="{4681E5BB-2E2F-4AC4-A634-F2F705483BE8}" name="10950"/>
    <tableColumn id="10964" xr3:uid="{6423AB65-2E31-4F4D-A7C6-FC10898AF1A4}" name="10951"/>
    <tableColumn id="10965" xr3:uid="{9D521E64-1B48-49F1-B02E-BFDF2AE6BCAB}" name="10952"/>
    <tableColumn id="10966" xr3:uid="{16D34B69-503F-47BC-BD7B-F432A5886559}" name="10953"/>
    <tableColumn id="10967" xr3:uid="{912FF264-4111-49FE-964F-B7E0CE82D0E7}" name="10954"/>
    <tableColumn id="10968" xr3:uid="{EB461CAB-FC29-4B7C-987D-20C2429641E6}" name="10955"/>
    <tableColumn id="10969" xr3:uid="{9D2B2B0E-C7E4-426F-AB82-F45ED31EC8E5}" name="10956"/>
    <tableColumn id="10970" xr3:uid="{35B113A2-5662-4EF5-B698-FFBE5C9037F4}" name="10957"/>
    <tableColumn id="10971" xr3:uid="{8C72ED5E-1343-4673-AE4D-F9CD13E13937}" name="10958"/>
    <tableColumn id="10972" xr3:uid="{3ABB1781-EBBE-4361-9825-9D05F3CB8710}" name="10959"/>
    <tableColumn id="10973" xr3:uid="{D92E3BBC-7CEF-4B44-A7A8-6D6F3DB2B86F}" name="10960"/>
    <tableColumn id="10974" xr3:uid="{CC913068-BD0C-49C1-BCC0-CA52B1399975}" name="10961"/>
    <tableColumn id="10975" xr3:uid="{3BF65C81-4F9A-4442-8A68-5811040CD0F0}" name="10962"/>
    <tableColumn id="10976" xr3:uid="{C403CA1F-7C8A-4A98-BA1D-74CC07FBABD0}" name="10963"/>
    <tableColumn id="10977" xr3:uid="{5066FC72-06CA-49AF-B379-A71B868F28D0}" name="10964"/>
    <tableColumn id="10978" xr3:uid="{4516B4BE-D993-45D2-9541-9F701021B34D}" name="10965"/>
    <tableColumn id="10979" xr3:uid="{C6F0F403-C7B8-4016-BD6A-D9FE6BD0DEEC}" name="10966"/>
    <tableColumn id="10980" xr3:uid="{893C9A63-8E84-40D5-997C-F866AC7BEFD5}" name="10967"/>
    <tableColumn id="10981" xr3:uid="{405402BE-95F0-4D5A-8FAF-4DE7E17B610E}" name="10968"/>
    <tableColumn id="10982" xr3:uid="{111FBF65-B2B1-458D-8EE1-11FB9B3D969F}" name="10969"/>
    <tableColumn id="10983" xr3:uid="{93D26C06-0D37-4975-B4DA-B246E43F531E}" name="10970"/>
    <tableColumn id="10984" xr3:uid="{453CD12C-B495-40A5-8702-67E94EB9C735}" name="10971"/>
    <tableColumn id="10985" xr3:uid="{EE1B42C9-C8E0-49BA-8CB1-FEB0A721664C}" name="10972"/>
    <tableColumn id="10986" xr3:uid="{60724750-6680-40DB-8FB0-D848C78F3503}" name="10973"/>
    <tableColumn id="10987" xr3:uid="{6C439469-4A00-48D1-A19E-C21C1B80E98F}" name="10974"/>
    <tableColumn id="10988" xr3:uid="{BF870025-E4A9-4C3C-9075-6D8DFF22E614}" name="10975"/>
    <tableColumn id="10989" xr3:uid="{6D57A4DE-CAF5-431F-AF40-33AFBDFF035B}" name="10976"/>
    <tableColumn id="10990" xr3:uid="{4176F3DC-034A-43F6-8995-34FDD3673006}" name="10977"/>
    <tableColumn id="10991" xr3:uid="{568B0F72-0B42-437E-A795-320A85524BF9}" name="10978"/>
    <tableColumn id="10992" xr3:uid="{BDE98D51-0CD4-4EB5-99BB-A71001838CAB}" name="10979"/>
    <tableColumn id="10993" xr3:uid="{1DEA5FCA-6ED1-4DBC-85E4-DE837D783EF6}" name="10980"/>
    <tableColumn id="10994" xr3:uid="{DFD09245-F911-48ED-A1BF-D68696BDD0FE}" name="10981"/>
    <tableColumn id="10995" xr3:uid="{9ACD245F-4917-426C-9236-53BBD8F4633D}" name="10982"/>
    <tableColumn id="10996" xr3:uid="{F82E4603-BC94-4470-AC32-125B1E97FFCA}" name="10983"/>
    <tableColumn id="10997" xr3:uid="{F6BE427F-6CC9-48C2-9967-86AF6B8E0C3D}" name="10984"/>
    <tableColumn id="10998" xr3:uid="{68FBFF20-326C-414A-BFC8-239E46156532}" name="10985"/>
    <tableColumn id="10999" xr3:uid="{3EBBE345-665D-4B74-BED9-CD4533F66428}" name="10986"/>
    <tableColumn id="11000" xr3:uid="{B5B94874-AE20-4425-A576-9222EADD6665}" name="10987"/>
    <tableColumn id="11001" xr3:uid="{C19FC8F8-5953-49EC-BCE0-FA58D2E3EDAE}" name="10988"/>
    <tableColumn id="11002" xr3:uid="{C4FFCBE7-E954-4EA8-865D-E82F304D0031}" name="10989"/>
    <tableColumn id="11003" xr3:uid="{A3B9B580-85F7-4AD7-BB00-8063824B5259}" name="10990"/>
    <tableColumn id="11004" xr3:uid="{27393928-BE57-4674-B507-760A0409AFFC}" name="10991"/>
    <tableColumn id="11005" xr3:uid="{69EACECE-508C-4705-A97B-FC230093F44A}" name="10992"/>
    <tableColumn id="11006" xr3:uid="{D1C39AF1-F042-4DE9-A457-A4040260B4CA}" name="10993"/>
    <tableColumn id="11007" xr3:uid="{214A0509-B1D3-4439-8328-B29666E533BB}" name="10994"/>
    <tableColumn id="11008" xr3:uid="{574CDCFA-078A-4DCE-A89F-A421B7C4A0DE}" name="10995"/>
    <tableColumn id="11009" xr3:uid="{B215A1E3-CAFD-4ED2-9187-982C02F7A2E3}" name="10996"/>
    <tableColumn id="11010" xr3:uid="{2A9AC841-4A6F-43CE-8EF2-7238FAEBD10E}" name="10997"/>
    <tableColumn id="11011" xr3:uid="{F2664690-42E4-4CF5-8D45-12160013BE90}" name="10998"/>
    <tableColumn id="11012" xr3:uid="{22EC31E0-FF57-422F-AD32-7AAEE9FD0FD3}" name="10999"/>
    <tableColumn id="11013" xr3:uid="{19505B26-7950-469F-AB79-4FF86E3B91BE}" name="11000"/>
    <tableColumn id="11014" xr3:uid="{D0CBCAA3-F256-497A-BAC4-C44C21EAF6B5}" name="11001"/>
    <tableColumn id="11015" xr3:uid="{BDDBF9E2-91BA-434E-B4CE-8E0291298C0D}" name="11002"/>
    <tableColumn id="11016" xr3:uid="{3511DC18-A52F-4FA1-A0D9-CF25CB9526CD}" name="11003"/>
    <tableColumn id="11017" xr3:uid="{7EBAEA72-2D26-4115-BBE1-D55D2BCCB940}" name="11004"/>
    <tableColumn id="11018" xr3:uid="{66F4E277-5305-46AC-B564-2AA8E9770B5D}" name="11005"/>
    <tableColumn id="11019" xr3:uid="{978C43F1-2D8A-49B2-8FCB-50DA8785E509}" name="11006"/>
    <tableColumn id="11020" xr3:uid="{44C82B80-0E32-4B18-980A-1C29383797F3}" name="11007"/>
    <tableColumn id="11021" xr3:uid="{F3BBD53D-050A-47F2-B9FB-DB24D2B0D903}" name="11008"/>
    <tableColumn id="11022" xr3:uid="{23566D4C-EAE1-4698-9916-D265DFD071AA}" name="11009"/>
    <tableColumn id="11023" xr3:uid="{BE10B922-5136-470C-8CAD-2ECCEBB57022}" name="11010"/>
    <tableColumn id="11024" xr3:uid="{F21CDC83-C6C8-47A2-A147-BD21245B8256}" name="11011"/>
    <tableColumn id="11025" xr3:uid="{0A5C9494-4589-433B-A23E-B5A94A5B19E3}" name="11012"/>
    <tableColumn id="11026" xr3:uid="{518CA333-7788-47AB-A5CB-205874A304E9}" name="11013"/>
    <tableColumn id="11027" xr3:uid="{93994D06-A82B-4C75-AC9E-269BCF240505}" name="11014"/>
    <tableColumn id="11028" xr3:uid="{21511BBC-1840-42AC-A7D2-948A6A87A7C3}" name="11015"/>
    <tableColumn id="11029" xr3:uid="{36F88FED-63AC-4AFF-AF8C-B9C46C381E6A}" name="11016"/>
    <tableColumn id="11030" xr3:uid="{24B17A9F-F201-480A-A6CA-78D2C1ADD287}" name="11017"/>
    <tableColumn id="11031" xr3:uid="{35B536B2-44CB-47F6-8E7B-CFDA140EC575}" name="11018"/>
    <tableColumn id="11032" xr3:uid="{AE8F115B-ABE1-4EF3-B52D-DC9A77AEF000}" name="11019"/>
    <tableColumn id="11033" xr3:uid="{5DFEBDDB-2FEE-4325-B950-C97C1F5CEE0E}" name="11020"/>
    <tableColumn id="11034" xr3:uid="{44E86012-CA24-44DD-8C86-40CFBF3FC284}" name="11021"/>
    <tableColumn id="11035" xr3:uid="{27F75BC9-0FE0-4DF4-90DB-9DC2A270CB91}" name="11022"/>
    <tableColumn id="11036" xr3:uid="{0B3B0830-B358-4E90-A99E-28A6B616EAD4}" name="11023"/>
    <tableColumn id="11037" xr3:uid="{2280D106-3074-4020-B8E7-E39D41886B2F}" name="11024"/>
    <tableColumn id="11038" xr3:uid="{8ED3CDB8-B045-48A0-AEB4-7EC9BAA1D3F6}" name="11025"/>
    <tableColumn id="11039" xr3:uid="{15538C0C-473E-4D64-80CC-C44D5BF61190}" name="11026"/>
    <tableColumn id="11040" xr3:uid="{DEC31670-D520-402F-92E4-AD67890BAEC0}" name="11027"/>
    <tableColumn id="11041" xr3:uid="{B03FC3B0-F0D2-4226-9EE3-659272800B3C}" name="11028"/>
    <tableColumn id="11042" xr3:uid="{97874553-B479-4BA2-B705-D4628F83A4A1}" name="11029"/>
    <tableColumn id="11043" xr3:uid="{CCBE8A2B-AF2A-4ABB-8A59-3240F89A8A84}" name="11030"/>
    <tableColumn id="11044" xr3:uid="{2A3B684A-4628-4235-9FCB-2F0AF020DC6B}" name="11031"/>
    <tableColumn id="11045" xr3:uid="{333C349D-7162-41E8-B81C-50E5AB3A295A}" name="11032"/>
    <tableColumn id="11046" xr3:uid="{733E4414-FCB6-45BA-B0E1-1049B6A4AB59}" name="11033"/>
    <tableColumn id="11047" xr3:uid="{7365013E-A8F2-45EA-A746-0EE7E4CC01B9}" name="11034"/>
    <tableColumn id="11048" xr3:uid="{DC317217-9613-4CDF-9276-AFB55057943F}" name="11035"/>
    <tableColumn id="11049" xr3:uid="{76055396-85C9-40F1-9CCE-282F2B99F07F}" name="11036"/>
    <tableColumn id="11050" xr3:uid="{59B45394-A810-4BEB-84B7-8DD0D9C679AB}" name="11037"/>
    <tableColumn id="11051" xr3:uid="{A53D6E57-5137-46A1-9AD4-B686077F6818}" name="11038"/>
    <tableColumn id="11052" xr3:uid="{E662883E-6B7F-4688-AC97-8C7441997118}" name="11039"/>
    <tableColumn id="11053" xr3:uid="{D50D6C21-C8AA-48B3-87E2-CE78A989E216}" name="11040"/>
    <tableColumn id="11054" xr3:uid="{E6E55593-5741-4DBE-94FE-D42A1A4D256D}" name="11041"/>
    <tableColumn id="11055" xr3:uid="{653567D6-3596-4A8A-A205-B13BCBDF428E}" name="11042"/>
    <tableColumn id="11056" xr3:uid="{FA78D84B-942B-4E94-9A0C-565F82E8BC6E}" name="11043"/>
    <tableColumn id="11057" xr3:uid="{27D7FB65-1211-408A-86E1-D709CC358D7F}" name="11044"/>
    <tableColumn id="11058" xr3:uid="{76C5ADBB-0B50-4A17-9CF3-BCC31317D211}" name="11045"/>
    <tableColumn id="11059" xr3:uid="{41CCE3E7-4214-4BD7-ACA4-5648325BC463}" name="11046"/>
    <tableColumn id="11060" xr3:uid="{BDE0D665-F58E-4D03-9DDC-479DBAD8C3DA}" name="11047"/>
    <tableColumn id="11061" xr3:uid="{CC1A6342-007E-4764-9005-338590AD278D}" name="11048"/>
    <tableColumn id="11062" xr3:uid="{DD6BF9EF-8D46-4EA6-A834-35716267DEE8}" name="11049"/>
    <tableColumn id="11063" xr3:uid="{2A065194-90D6-4E25-91B7-F59956B3FB49}" name="11050"/>
    <tableColumn id="11064" xr3:uid="{56A5EBD7-C283-49F1-B958-8717D467F97E}" name="11051"/>
    <tableColumn id="11065" xr3:uid="{1A1FC7B8-61ED-4931-BC57-0AA06026E279}" name="11052"/>
    <tableColumn id="11066" xr3:uid="{9067346E-FE63-4A58-9B99-59EB8E282A69}" name="11053"/>
    <tableColumn id="11067" xr3:uid="{A0EB8702-E380-4262-A4BE-366E6A46100A}" name="11054"/>
    <tableColumn id="11068" xr3:uid="{72C58C90-AF7A-436C-A882-AAFF02BA18A9}" name="11055"/>
    <tableColumn id="11069" xr3:uid="{5B6BA87E-8690-4D8A-9C8B-9E6FEF09B7A5}" name="11056"/>
    <tableColumn id="11070" xr3:uid="{A395D927-8842-4D10-928C-B05790C4FD01}" name="11057"/>
    <tableColumn id="11071" xr3:uid="{AD79FFED-CFB6-4163-95CC-AF8DB8591F58}" name="11058"/>
    <tableColumn id="11072" xr3:uid="{5A5258AE-D440-4838-89F7-92129448246A}" name="11059"/>
    <tableColumn id="11073" xr3:uid="{58E34ECB-051C-4CBB-8DF1-A92885A41C90}" name="11060"/>
    <tableColumn id="11074" xr3:uid="{1FB76401-C801-4F3F-982B-BBD77DA96420}" name="11061"/>
    <tableColumn id="11075" xr3:uid="{89D21DE1-5A9F-423B-87C3-838124071227}" name="11062"/>
    <tableColumn id="11076" xr3:uid="{BA9C7234-FBFC-4747-83D2-9575D810CA3F}" name="11063"/>
    <tableColumn id="11077" xr3:uid="{A1E53533-6740-4CD4-BD6E-E023F5995E3E}" name="11064"/>
    <tableColumn id="11078" xr3:uid="{05C5635E-AE55-4F1C-997E-A81F29169B0A}" name="11065"/>
    <tableColumn id="11079" xr3:uid="{6072CDE3-E72F-4FB0-9C4B-3C7194289E60}" name="11066"/>
    <tableColumn id="11080" xr3:uid="{347A3F69-9F1D-4B53-8D42-194484810ED0}" name="11067"/>
    <tableColumn id="11081" xr3:uid="{67C7A079-36CA-484D-A432-34EB81191028}" name="11068"/>
    <tableColumn id="11082" xr3:uid="{634C012C-4449-4A41-99A4-49EE65CDC3B0}" name="11069"/>
    <tableColumn id="11083" xr3:uid="{C93521BB-C15E-4B79-9917-0D55534F9B52}" name="11070"/>
    <tableColumn id="11084" xr3:uid="{B0E0B9AE-20A9-4F90-941C-161DE1168769}" name="11071"/>
    <tableColumn id="11085" xr3:uid="{532EE1FA-9360-421E-BF5A-760FEE542103}" name="11072"/>
    <tableColumn id="11086" xr3:uid="{9339DD59-5E0C-4C7B-A28D-1233B78E5907}" name="11073"/>
    <tableColumn id="11087" xr3:uid="{9FBE00F7-C45C-4CC7-87CA-F3A27961D114}" name="11074"/>
    <tableColumn id="11088" xr3:uid="{C109D368-B7A2-469A-A2FD-43C38EC779AD}" name="11075"/>
    <tableColumn id="11089" xr3:uid="{178FCF6F-4047-4885-B71E-DEC7CE06FA1B}" name="11076"/>
    <tableColumn id="11090" xr3:uid="{BEEFE172-0FEB-41AF-8DC3-FDAE7A3FA829}" name="11077"/>
    <tableColumn id="11091" xr3:uid="{8E7D5CAA-F667-45F9-A710-453B5D590DCF}" name="11078"/>
    <tableColumn id="11092" xr3:uid="{8962B7FA-58AF-4836-8718-01EACE244A55}" name="11079"/>
    <tableColumn id="11093" xr3:uid="{A0BD11F9-0728-4005-BFE3-E4931AF2351B}" name="11080"/>
    <tableColumn id="11094" xr3:uid="{5E910977-C2F6-4AF7-9A87-18A6C88C1F7F}" name="11081"/>
    <tableColumn id="11095" xr3:uid="{403F8419-C886-423A-A45D-7C13B4A5D967}" name="11082"/>
    <tableColumn id="11096" xr3:uid="{E7D85FD8-105A-461E-B9AC-306147675CB9}" name="11083"/>
    <tableColumn id="11097" xr3:uid="{E3333847-C0A3-4971-B7CE-A885C448A447}" name="11084"/>
    <tableColumn id="11098" xr3:uid="{2196AE8A-16BD-46AB-A2B6-80C3E8964C77}" name="11085"/>
    <tableColumn id="11099" xr3:uid="{A46EA712-7A43-4F13-A0F5-7EBAEBEFEB45}" name="11086"/>
    <tableColumn id="11100" xr3:uid="{E9FB15B2-971A-4876-BFF6-086C28816B19}" name="11087"/>
    <tableColumn id="11101" xr3:uid="{EDD1BC45-977C-4A81-B228-6AC62841CD2F}" name="11088"/>
    <tableColumn id="11102" xr3:uid="{F0778F84-B5F6-44EF-9848-B7B0EB19632D}" name="11089"/>
    <tableColumn id="11103" xr3:uid="{9444ADBE-BEEF-4314-8BE6-1CD827BBC990}" name="11090"/>
    <tableColumn id="11104" xr3:uid="{4158004E-7B73-40B1-B3F8-A6BAB176CDE3}" name="11091"/>
    <tableColumn id="11105" xr3:uid="{4AFBD37F-F440-452B-9B95-53D42681B52C}" name="11092"/>
    <tableColumn id="11106" xr3:uid="{48AA10CA-5031-4926-A571-6D126BD6933C}" name="11093"/>
    <tableColumn id="11107" xr3:uid="{02A946A3-47E9-4B1B-89C2-32419238E97F}" name="11094"/>
    <tableColumn id="11108" xr3:uid="{E0DA930F-144D-4DA8-A4E0-27723844C282}" name="11095"/>
    <tableColumn id="11109" xr3:uid="{2BC346DE-762A-44B4-9773-80A30928A638}" name="11096"/>
    <tableColumn id="11110" xr3:uid="{C1E13956-6B0F-419B-BDD5-99680BE5C54E}" name="11097"/>
    <tableColumn id="11111" xr3:uid="{F044AFA3-72CB-4128-BC90-90FAAC3303C8}" name="11098"/>
    <tableColumn id="11112" xr3:uid="{F8F66F5C-8BC7-4484-92DA-9ADB864EB3D4}" name="11099"/>
    <tableColumn id="11113" xr3:uid="{7DAF5A4C-3C6E-4E34-A953-B366C8FB201D}" name="11100"/>
    <tableColumn id="11114" xr3:uid="{6715AE7C-AB3E-4786-A7F2-A756D7E1CE4D}" name="11101"/>
    <tableColumn id="11115" xr3:uid="{074CB4A1-0E32-4EA1-BD2F-43663F6A790B}" name="11102"/>
    <tableColumn id="11116" xr3:uid="{AEC3D318-D531-4E85-809C-2A01B5F431F2}" name="11103"/>
    <tableColumn id="11117" xr3:uid="{B884FBFF-F8C2-483B-9F74-125DFCA5FE90}" name="11104"/>
    <tableColumn id="11118" xr3:uid="{C6903FC1-0B36-4B09-AFE4-8B1D17B808ED}" name="11105"/>
    <tableColumn id="11119" xr3:uid="{9A248A80-CABB-4090-BF5C-F5E5EF18846B}" name="11106"/>
    <tableColumn id="11120" xr3:uid="{172B1F5E-6D95-4F62-9A3C-F49C154FA9E5}" name="11107"/>
    <tableColumn id="11121" xr3:uid="{4C473173-332A-491E-8C69-635C2C617532}" name="11108"/>
    <tableColumn id="11122" xr3:uid="{1CF28BDB-21E8-4BF0-8A7E-DD03A40FAEF9}" name="11109"/>
    <tableColumn id="11123" xr3:uid="{F4DCE6C4-7D7E-4F9B-B1DE-CF9D77C97919}" name="11110"/>
    <tableColumn id="11124" xr3:uid="{4FD25745-7D4F-4904-8AB0-6C8EB9A94DE2}" name="11111"/>
    <tableColumn id="11125" xr3:uid="{D4919E46-E516-4AE7-87DB-9084CB055727}" name="11112"/>
    <tableColumn id="11126" xr3:uid="{B03FAE54-DA78-4CD5-9EF2-E512C0B0CBB1}" name="11113"/>
    <tableColumn id="11127" xr3:uid="{E1325D39-4A25-4986-89F5-E7300D86F489}" name="11114"/>
    <tableColumn id="11128" xr3:uid="{C9C83EED-9255-43CA-BF8F-052BE0AF05BA}" name="11115"/>
    <tableColumn id="11129" xr3:uid="{4E7A7E3E-0AC1-4829-9B6E-B9E27347F9ED}" name="11116"/>
    <tableColumn id="11130" xr3:uid="{5F59E0DB-B16D-43C4-AEA2-14278ED23E67}" name="11117"/>
    <tableColumn id="11131" xr3:uid="{46E12F25-3C3F-4ACF-8056-04D4ABAC7C18}" name="11118"/>
    <tableColumn id="11132" xr3:uid="{19D510D1-6845-490C-A787-D4415072789B}" name="11119"/>
    <tableColumn id="11133" xr3:uid="{8065B085-F095-4E2E-BCE4-63194882710F}" name="11120"/>
    <tableColumn id="11134" xr3:uid="{5FD6B986-0434-48C3-AEE8-2E559A4D8356}" name="11121"/>
    <tableColumn id="11135" xr3:uid="{4FC6191E-0EAF-4FB8-B32D-1624491DE9AC}" name="11122"/>
    <tableColumn id="11136" xr3:uid="{AB8C7A1E-E695-4C29-88F7-4FD99CB41201}" name="11123"/>
    <tableColumn id="11137" xr3:uid="{3BBC9500-1087-4974-9924-418FA6CC7A7B}" name="11124"/>
    <tableColumn id="11138" xr3:uid="{7D5D4C8D-9FCD-4EAB-A2A2-F18343DAEC25}" name="11125"/>
    <tableColumn id="11139" xr3:uid="{F621FAC0-1C74-4441-A80C-FB65418B9AD5}" name="11126"/>
    <tableColumn id="11140" xr3:uid="{2F5FEB26-DC02-43C7-B373-F39DFDFA6831}" name="11127"/>
    <tableColumn id="11141" xr3:uid="{D39A9450-F357-45AD-ADAD-C78698B6344F}" name="11128"/>
    <tableColumn id="11142" xr3:uid="{2DB5280A-A4E5-4383-836A-2C76B0E806E0}" name="11129"/>
    <tableColumn id="11143" xr3:uid="{C238C8FE-52FF-4587-B364-6172B4551EE1}" name="11130"/>
    <tableColumn id="11144" xr3:uid="{2ADF7538-346A-4A7C-9F09-CE86D6FB40CB}" name="11131"/>
    <tableColumn id="11145" xr3:uid="{34874473-945A-4240-A54A-09228932FE1D}" name="11132"/>
    <tableColumn id="11146" xr3:uid="{0E66A495-F8DF-418A-A036-55F492323BE0}" name="11133"/>
    <tableColumn id="11147" xr3:uid="{55C3CF7A-95E3-494C-A4EF-552BCFB968C8}" name="11134"/>
    <tableColumn id="11148" xr3:uid="{6BB3FE12-52FA-46AC-A4E1-5B2A542ECCCC}" name="11135"/>
    <tableColumn id="11149" xr3:uid="{4D364AFF-CF83-412C-B1BB-8EDA9CC9F7E4}" name="11136"/>
    <tableColumn id="11150" xr3:uid="{D2E3FC72-05BA-4B0A-89A9-2CFBDFE5020E}" name="11137"/>
    <tableColumn id="11151" xr3:uid="{CCDD82F3-28BD-4BED-86F9-4DE16C258377}" name="11138"/>
    <tableColumn id="11152" xr3:uid="{E9449EA6-85A2-4D14-B0CF-56B4F728A5F8}" name="11139"/>
    <tableColumn id="11153" xr3:uid="{B8F3AC1F-9E21-4DEE-8474-281673125A67}" name="11140"/>
    <tableColumn id="11154" xr3:uid="{304B5DCD-ED5C-43C2-AF77-500F02A08EDC}" name="11141"/>
    <tableColumn id="11155" xr3:uid="{25C82D2A-0D2F-45E6-86F9-253B1928E47D}" name="11142"/>
    <tableColumn id="11156" xr3:uid="{31A59540-B313-42E2-B62E-7989673A7A86}" name="11143"/>
    <tableColumn id="11157" xr3:uid="{A0CB9695-5F56-46B9-A9D8-3FC61F17191B}" name="11144"/>
    <tableColumn id="11158" xr3:uid="{B46F85F4-3771-43B0-B712-D5D78725B6C5}" name="11145"/>
    <tableColumn id="11159" xr3:uid="{6D501F5E-3120-4E6F-BA33-0C7DDBD17BE2}" name="11146"/>
    <tableColumn id="11160" xr3:uid="{A9DA780C-8EF8-4363-A56B-701D8A35C5EA}" name="11147"/>
    <tableColumn id="11161" xr3:uid="{29B80CEE-EB06-4144-884F-52220FD2AFEF}" name="11148"/>
    <tableColumn id="11162" xr3:uid="{D68C1500-F6A1-430C-AB49-1631193EED99}" name="11149"/>
    <tableColumn id="11163" xr3:uid="{E84CE605-A05D-4870-A405-1EA0B0AA3953}" name="11150"/>
    <tableColumn id="11164" xr3:uid="{9E04587C-24BE-4221-82E2-CDAC0F704FAA}" name="11151"/>
    <tableColumn id="11165" xr3:uid="{5EB4A4D7-3502-4529-9DF6-E2AD6B50DC1E}" name="11152"/>
    <tableColumn id="11166" xr3:uid="{F68FEF79-CD90-4513-8A7E-0A8FAE5087DD}" name="11153"/>
    <tableColumn id="11167" xr3:uid="{C18DFA00-6557-4B8C-ABCF-76FD24A39AAB}" name="11154"/>
    <tableColumn id="11168" xr3:uid="{50EC3074-2E34-41E0-935C-4109ABC51D13}" name="11155"/>
    <tableColumn id="11169" xr3:uid="{00AAE1CA-02F3-4C34-BB51-33C99D14123C}" name="11156"/>
    <tableColumn id="11170" xr3:uid="{220A3590-9F94-4E3B-B551-A281B0B56E49}" name="11157"/>
    <tableColumn id="11171" xr3:uid="{F5D97D76-F7EF-4E38-A30C-34023112D513}" name="11158"/>
    <tableColumn id="11172" xr3:uid="{70B93682-05EB-46D7-8501-2D3286B46266}" name="11159"/>
    <tableColumn id="11173" xr3:uid="{31FC2CFA-F706-4053-9DC7-FC7D6DCE893D}" name="11160"/>
    <tableColumn id="11174" xr3:uid="{F1DD78AE-1C42-4914-B97F-F9560FFCFD25}" name="11161"/>
    <tableColumn id="11175" xr3:uid="{1B3621FD-02FF-482C-9505-321C5025FA52}" name="11162"/>
    <tableColumn id="11176" xr3:uid="{0C3EDF19-05F6-4D50-BB77-447E5CB73D73}" name="11163"/>
    <tableColumn id="11177" xr3:uid="{18AEEB87-80CF-4372-B153-018C72B83FE6}" name="11164"/>
    <tableColumn id="11178" xr3:uid="{0AF2BC54-39A9-4F0C-A3B5-7D85F232358C}" name="11165"/>
    <tableColumn id="11179" xr3:uid="{7294C9A6-45FB-484A-A83E-2E77A794F56A}" name="11166"/>
    <tableColumn id="11180" xr3:uid="{4ED23B01-DB96-41A1-9687-FAA232FAB987}" name="11167"/>
    <tableColumn id="11181" xr3:uid="{C283C78D-531F-44CE-94B8-55F29E789CD2}" name="11168"/>
    <tableColumn id="11182" xr3:uid="{E7FEA555-AAAE-439C-9350-F62D45391F99}" name="11169"/>
    <tableColumn id="11183" xr3:uid="{4F63D400-3E24-4FD3-86F7-DD9F142F8ADE}" name="11170"/>
    <tableColumn id="11184" xr3:uid="{A208DCD2-82EA-4CF5-A4F5-0FBBE599AFA1}" name="11171"/>
    <tableColumn id="11185" xr3:uid="{69AE71FB-6070-4C6C-BE16-3D8A1EB31303}" name="11172"/>
    <tableColumn id="11186" xr3:uid="{5CDEF63F-65C6-4A36-A83F-6F47D2F9F821}" name="11173"/>
    <tableColumn id="11187" xr3:uid="{E0EA85D5-5AF0-427A-BFD1-42F421D21FC5}" name="11174"/>
    <tableColumn id="11188" xr3:uid="{7310B874-7C9B-474D-AFA1-3CAC2BB06131}" name="11175"/>
    <tableColumn id="11189" xr3:uid="{719F0E87-42D9-4A28-AC67-C794AD58E009}" name="11176"/>
    <tableColumn id="11190" xr3:uid="{AD27C9CB-4EE2-4132-BCB2-15279961660B}" name="11177"/>
    <tableColumn id="11191" xr3:uid="{B525D894-5460-4ECC-91A1-F478C40857BB}" name="11178"/>
    <tableColumn id="11192" xr3:uid="{19153E3A-F803-409F-83AF-9608C91D3A78}" name="11179"/>
    <tableColumn id="11193" xr3:uid="{18539C38-4739-4F99-BCF3-1D48B0A7590A}" name="11180"/>
    <tableColumn id="11194" xr3:uid="{3E53D64C-E067-4D23-AA26-46B2F17141C3}" name="11181"/>
    <tableColumn id="11195" xr3:uid="{17C48EA7-0D6B-4925-BC40-D944C3558E8E}" name="11182"/>
    <tableColumn id="11196" xr3:uid="{BC03519C-2ABD-4E8E-BF0F-0AB96D83BD09}" name="11183"/>
    <tableColumn id="11197" xr3:uid="{51E27354-052E-40DB-819D-F4C94E8A476F}" name="11184"/>
    <tableColumn id="11198" xr3:uid="{A307F898-2F49-457B-B668-A742F55C2D36}" name="11185"/>
    <tableColumn id="11199" xr3:uid="{E52E40D9-FC59-4923-92FB-691160AE8CEE}" name="11186"/>
    <tableColumn id="11200" xr3:uid="{4271E284-3420-4350-94A2-0A2424570C07}" name="11187"/>
    <tableColumn id="11201" xr3:uid="{3A6312A8-49DB-404F-9819-3BDA3D795CCA}" name="11188"/>
    <tableColumn id="11202" xr3:uid="{5719D2BA-EF45-44D8-805A-BAA43382515C}" name="11189"/>
    <tableColumn id="11203" xr3:uid="{88562EDD-0352-42E7-9C08-DF8E9100BD4D}" name="11190"/>
    <tableColumn id="11204" xr3:uid="{CFAAB89B-0E8D-4B68-BE57-BE5E972BA3DA}" name="11191"/>
    <tableColumn id="11205" xr3:uid="{1DA0B0CE-0BC8-449B-AF08-E64AA26020F0}" name="11192"/>
    <tableColumn id="11206" xr3:uid="{0D9D614F-9B93-48A4-A347-A8AF3C334FC1}" name="11193"/>
    <tableColumn id="11207" xr3:uid="{77A86B41-A0BD-4A99-A60D-CD732A218EC2}" name="11194"/>
    <tableColumn id="11208" xr3:uid="{8EE8B82C-63F5-433B-AA7A-4AF7DED51971}" name="11195"/>
    <tableColumn id="11209" xr3:uid="{0B1CD9C1-C2FA-4B65-8301-314D756E5653}" name="11196"/>
    <tableColumn id="11210" xr3:uid="{54D5257B-77BC-4304-A78D-11BFB5B0A16F}" name="11197"/>
    <tableColumn id="11211" xr3:uid="{D71EB347-CA01-42CA-A31E-7950BAD49C9D}" name="11198"/>
    <tableColumn id="11212" xr3:uid="{415270C9-3247-4E7D-9488-CCDA598E8A6E}" name="11199"/>
    <tableColumn id="11213" xr3:uid="{8F5BA139-6F4F-4163-BEA4-64717D579DC4}" name="11200"/>
    <tableColumn id="11214" xr3:uid="{6F6DEF29-A6AA-402D-820D-19A939AD32BF}" name="11201"/>
    <tableColumn id="11215" xr3:uid="{83A3EF5E-9886-4B6A-B3AF-2A6AF121CAFC}" name="11202"/>
    <tableColumn id="11216" xr3:uid="{A96112E6-A08B-4925-A9D9-E583E054416C}" name="11203"/>
    <tableColumn id="11217" xr3:uid="{B35A8B9D-D087-47F4-B24F-4A13D397C9F2}" name="11204"/>
    <tableColumn id="11218" xr3:uid="{8C9F5D07-47C7-4E71-92C4-F8BEB1C55F91}" name="11205"/>
    <tableColumn id="11219" xr3:uid="{AA07F768-3749-4DB1-A57D-D88AC8B35243}" name="11206"/>
    <tableColumn id="11220" xr3:uid="{A19A2745-CA9F-4599-B88F-5E41C55B8D48}" name="11207"/>
    <tableColumn id="11221" xr3:uid="{6707CFA9-5717-434F-AA92-BD44BA3413B3}" name="11208"/>
    <tableColumn id="11222" xr3:uid="{41956E19-F4D8-4BE3-AA62-59ACB712CCDB}" name="11209"/>
    <tableColumn id="11223" xr3:uid="{E397B832-89B2-43BE-A8FD-D0C81523EFC0}" name="11210"/>
    <tableColumn id="11224" xr3:uid="{A5B7BBD8-957B-4069-9580-20D665CEC2B7}" name="11211"/>
    <tableColumn id="11225" xr3:uid="{2705F55A-B586-4219-A94E-BED39483B16B}" name="11212"/>
    <tableColumn id="11226" xr3:uid="{38973A30-3DA1-437F-96ED-C9697F76F830}" name="11213"/>
    <tableColumn id="11227" xr3:uid="{7075E363-7A8C-4A6B-9AB8-2AD1A7907959}" name="11214"/>
    <tableColumn id="11228" xr3:uid="{D54EA34B-2FF8-4EFF-94D6-C4B3FA758FAE}" name="11215"/>
    <tableColumn id="11229" xr3:uid="{9C4DE22C-ED2A-4363-A795-073AAAE32D12}" name="11216"/>
    <tableColumn id="11230" xr3:uid="{5B6B5895-A4CE-40DC-BBDA-711C386480D8}" name="11217"/>
    <tableColumn id="11231" xr3:uid="{661EFBE1-D4D1-4B3F-AC89-66BFA0543381}" name="11218"/>
    <tableColumn id="11232" xr3:uid="{E158D016-36C4-4C86-9278-6F861088F400}" name="11219"/>
    <tableColumn id="11233" xr3:uid="{DE3383F6-3452-47EC-B0C3-72218FB1A84C}" name="11220"/>
    <tableColumn id="11234" xr3:uid="{68266B7B-6BBA-4AAF-9073-87E8E7227447}" name="11221"/>
    <tableColumn id="11235" xr3:uid="{7B00C0B4-D2CB-4F65-A75B-2B408B811B24}" name="11222"/>
    <tableColumn id="11236" xr3:uid="{9074DC10-6B57-41B5-A874-0D2180356A6B}" name="11223"/>
    <tableColumn id="11237" xr3:uid="{EEADB00C-5C75-49A2-9EF4-A4E845B7D4C0}" name="11224"/>
    <tableColumn id="11238" xr3:uid="{E5886266-3AC9-4131-89F0-DA6A2255AEF4}" name="11225"/>
    <tableColumn id="11239" xr3:uid="{B61C59C4-09D7-41F8-AED3-5021EB10E196}" name="11226"/>
    <tableColumn id="11240" xr3:uid="{A6760698-0E28-4BE3-B8D2-FE35559501A4}" name="11227"/>
    <tableColumn id="11241" xr3:uid="{64C0D29F-F885-4BC6-970B-765E95D2377C}" name="11228"/>
    <tableColumn id="11242" xr3:uid="{2959BD26-6DDF-4E22-B166-38855AF3667A}" name="11229"/>
    <tableColumn id="11243" xr3:uid="{28D41903-0DA7-47D7-830B-BA9442797F67}" name="11230"/>
    <tableColumn id="11244" xr3:uid="{D8B93067-DFD0-4EC1-963E-3F9A1ECF2381}" name="11231"/>
    <tableColumn id="11245" xr3:uid="{6151C04E-5722-4E7C-A1A6-3CF3767D8D04}" name="11232"/>
    <tableColumn id="11246" xr3:uid="{D0C8F0F1-4502-43CC-B99C-6DA49B010D72}" name="11233"/>
    <tableColumn id="11247" xr3:uid="{7CFDC41B-6972-4627-AE98-C52390FB5826}" name="11234"/>
    <tableColumn id="11248" xr3:uid="{C77249C4-9662-404C-8A73-4B9D0AE43B3E}" name="11235"/>
    <tableColumn id="11249" xr3:uid="{6FDCAF80-C671-4571-AF64-32CE401E898C}" name="11236"/>
    <tableColumn id="11250" xr3:uid="{D374CD49-66DD-43B9-8582-6111A032E143}" name="11237"/>
    <tableColumn id="11251" xr3:uid="{7F6746FB-D322-4E98-9319-ED84D26D6E21}" name="11238"/>
    <tableColumn id="11252" xr3:uid="{BB2AA73C-93B5-4F14-8310-E02027566EC2}" name="11239"/>
    <tableColumn id="11253" xr3:uid="{0706A0F0-C974-4043-BA60-F156B956220D}" name="11240"/>
    <tableColumn id="11254" xr3:uid="{7FFA1C31-85B5-4CE4-A6EE-D45C5C1A0F8E}" name="11241"/>
    <tableColumn id="11255" xr3:uid="{8CE15655-C53A-4BA7-A8CD-352A3655FF18}" name="11242"/>
    <tableColumn id="11256" xr3:uid="{515FCE6A-7A7B-4B42-970F-70DB723FC766}" name="11243"/>
    <tableColumn id="11257" xr3:uid="{83C74476-2138-480E-9B3F-02A656A238FD}" name="11244"/>
    <tableColumn id="11258" xr3:uid="{4A3658E3-F087-40E4-99A4-C9592EF82897}" name="11245"/>
    <tableColumn id="11259" xr3:uid="{BDD4954A-7556-4533-9FA3-8230E9A47FD3}" name="11246"/>
    <tableColumn id="11260" xr3:uid="{0669CCC3-72C4-4629-9575-3B067D67929B}" name="11247"/>
    <tableColumn id="11261" xr3:uid="{0883A9EB-4E20-4F69-85AA-D752F188A40E}" name="11248"/>
    <tableColumn id="11262" xr3:uid="{20D71C6C-71DE-456B-ADEC-36BC100D3502}" name="11249"/>
    <tableColumn id="11263" xr3:uid="{DEEEE9B2-140F-44AF-BBF3-6CFACA76E4DD}" name="11250"/>
    <tableColumn id="11264" xr3:uid="{AC4EA539-597D-4818-AB48-6D35C98FD62E}" name="11251"/>
    <tableColumn id="11265" xr3:uid="{34ED9E00-2C29-4B22-982C-AF18F6D258DB}" name="11252"/>
    <tableColumn id="11266" xr3:uid="{1471E65E-7028-4E5B-9BA9-10D5B356E7F4}" name="11253"/>
    <tableColumn id="11267" xr3:uid="{D232B9F0-A56B-420C-9465-C08729924FCE}" name="11254"/>
    <tableColumn id="11268" xr3:uid="{C63D6E1C-842B-41EC-867D-BCA93198FFE5}" name="11255"/>
    <tableColumn id="11269" xr3:uid="{48B8AA93-8F78-4421-A37D-62449119FEDC}" name="11256"/>
    <tableColumn id="11270" xr3:uid="{EE841545-22F4-4236-A877-27A98815D744}" name="11257"/>
    <tableColumn id="11271" xr3:uid="{FDD645B3-1AD9-4D28-A424-EF9B327D4B65}" name="11258"/>
    <tableColumn id="11272" xr3:uid="{E4B549BE-B3AA-4D7A-A594-1020BD485064}" name="11259"/>
    <tableColumn id="11273" xr3:uid="{73023D89-0A64-49F8-8971-09C68E16517C}" name="11260"/>
    <tableColumn id="11274" xr3:uid="{75F39F87-004B-4746-BBFC-42F8D335C676}" name="11261"/>
    <tableColumn id="11275" xr3:uid="{E4DC2ABD-EF81-4546-BC1F-1707F941D526}" name="11262"/>
    <tableColumn id="11276" xr3:uid="{FF655169-2225-4540-B6C3-4DE85C9A5F92}" name="11263"/>
    <tableColumn id="11277" xr3:uid="{76DC4679-8703-49E9-B89B-ADD3D7DD7A06}" name="11264"/>
    <tableColumn id="11278" xr3:uid="{AE79C97A-C76C-4BF9-AB5C-1138999CA2C6}" name="11265"/>
    <tableColumn id="11279" xr3:uid="{F7B3454B-5D91-47B6-BEB4-E933AEDEEC05}" name="11266"/>
    <tableColumn id="11280" xr3:uid="{9A925F49-F4CD-4A88-BC1F-7361CA5FB8C3}" name="11267"/>
    <tableColumn id="11281" xr3:uid="{0878112B-8387-4EAD-A174-D2ED77679047}" name="11268"/>
    <tableColumn id="11282" xr3:uid="{ACA00BA0-2816-4216-A081-96836992F70B}" name="11269"/>
    <tableColumn id="11283" xr3:uid="{876C0816-3B00-4BD7-8032-9B9415569DAA}" name="11270"/>
    <tableColumn id="11284" xr3:uid="{B2BEC33F-446E-4DE1-9A1D-5EB212A511DA}" name="11271"/>
    <tableColumn id="11285" xr3:uid="{90EB90F3-F099-452D-BE36-3D50C07C9052}" name="11272"/>
    <tableColumn id="11286" xr3:uid="{3B2160EC-03CE-4CA5-BCEF-65D2EEF1A1C7}" name="11273"/>
    <tableColumn id="11287" xr3:uid="{711159F1-5421-4A51-B8BC-9F9B4AB889F2}" name="11274"/>
    <tableColumn id="11288" xr3:uid="{87044C0D-B9E5-4852-A7DB-832ADA68FB81}" name="11275"/>
    <tableColumn id="11289" xr3:uid="{B889498F-BD2B-4BE4-A12D-7180E20FA2FF}" name="11276"/>
    <tableColumn id="11290" xr3:uid="{B66012CE-6DC7-41C3-878A-8C11B225EE45}" name="11277"/>
    <tableColumn id="11291" xr3:uid="{184AC454-04F7-4A63-9DCB-E24B8683AC89}" name="11278"/>
    <tableColumn id="11292" xr3:uid="{F8C77BF8-3957-4F4D-99A2-50F42C876035}" name="11279"/>
    <tableColumn id="11293" xr3:uid="{691BC5BA-52A8-419C-B097-0FD9F39C7476}" name="11280"/>
    <tableColumn id="11294" xr3:uid="{092B8356-E61D-4E99-A80E-6FFD39F415A6}" name="11281"/>
    <tableColumn id="11295" xr3:uid="{723A60FF-C4DE-44D8-A1AC-C1487DCFD1AE}" name="11282"/>
    <tableColumn id="11296" xr3:uid="{9D58C5AD-0113-46DA-9718-CBC256C14BFD}" name="11283"/>
    <tableColumn id="11297" xr3:uid="{43C11422-D182-47D3-9702-2F8B23A7970F}" name="11284"/>
    <tableColumn id="11298" xr3:uid="{18F602BB-C831-46BF-92DF-B787B29C0FAF}" name="11285"/>
    <tableColumn id="11299" xr3:uid="{E440D1FA-3445-4C33-A4A7-A4BE36220FD5}" name="11286"/>
    <tableColumn id="11300" xr3:uid="{2DEAE537-D70C-437C-8A0F-3BC73050B919}" name="11287"/>
    <tableColumn id="11301" xr3:uid="{E59D7990-1DFB-4BD0-807D-6E3C68EDDEEA}" name="11288"/>
    <tableColumn id="11302" xr3:uid="{7FB4F6DF-D291-4B4C-8A7E-DEAD8D9A908F}" name="11289"/>
    <tableColumn id="11303" xr3:uid="{DC455509-EA2E-4120-881D-588329C919D0}" name="11290"/>
    <tableColumn id="11304" xr3:uid="{30B9029C-EF14-453B-9304-60F65C0FE052}" name="11291"/>
    <tableColumn id="11305" xr3:uid="{1D384929-7ED0-4A01-9844-CC49BD5925D1}" name="11292"/>
    <tableColumn id="11306" xr3:uid="{4D5F4EE1-C276-4769-B790-BBB80C3D2B67}" name="11293"/>
    <tableColumn id="11307" xr3:uid="{D28B2960-2333-4CFD-8229-0AB68DD2F44F}" name="11294"/>
    <tableColumn id="11308" xr3:uid="{239BC040-ED65-4261-9AE5-89A6F1F0DDB4}" name="11295"/>
    <tableColumn id="11309" xr3:uid="{B85A083C-6218-42E5-8DB5-84DBC2AB57DF}" name="11296"/>
    <tableColumn id="11310" xr3:uid="{14F14BC7-8534-4E51-8C7C-407310459748}" name="11297"/>
    <tableColumn id="11311" xr3:uid="{A35D3857-B78D-4D06-A0F3-3B74997DF97F}" name="11298"/>
    <tableColumn id="11312" xr3:uid="{BAB2529A-F5EB-478B-8B6B-16D7DFF45100}" name="11299"/>
    <tableColumn id="11313" xr3:uid="{67AB1B84-D944-4E38-8964-151A20B3FF53}" name="11300"/>
    <tableColumn id="11314" xr3:uid="{35FCFAB6-2B5A-44FE-BD3E-0FF87A429627}" name="11301"/>
    <tableColumn id="11315" xr3:uid="{FE9B0199-0FA3-4EEC-B59B-55619B81242B}" name="11302"/>
    <tableColumn id="11316" xr3:uid="{06B62334-1BF9-45B1-A0F6-CC98B35924E4}" name="11303"/>
    <tableColumn id="11317" xr3:uid="{302BC51D-8BC2-4B8E-8617-8FB469C9F6E0}" name="11304"/>
    <tableColumn id="11318" xr3:uid="{7F891EB3-F57E-44B5-90FD-15699369E5ED}" name="11305"/>
    <tableColumn id="11319" xr3:uid="{4F8AECE0-1725-4391-9614-57A9B51F24BC}" name="11306"/>
    <tableColumn id="11320" xr3:uid="{1B8B6910-8269-401C-8611-6A894443696B}" name="11307"/>
    <tableColumn id="11321" xr3:uid="{2AD4C441-187E-420A-A491-263C84D4545B}" name="11308"/>
    <tableColumn id="11322" xr3:uid="{CF82F0A8-DCC8-453C-9F23-1E2C21B9E77E}" name="11309"/>
    <tableColumn id="11323" xr3:uid="{EF97E5CA-205E-4FA9-971A-2D824ED1EAAA}" name="11310"/>
    <tableColumn id="11324" xr3:uid="{D526CC46-38A2-4C41-82B0-35858CC33E8C}" name="11311"/>
    <tableColumn id="11325" xr3:uid="{AE8C756F-F57B-45B6-9797-AA8CADD58BD6}" name="11312"/>
    <tableColumn id="11326" xr3:uid="{E0C6842D-E682-44DF-9992-C4120B7FAD17}" name="11313"/>
    <tableColumn id="11327" xr3:uid="{562BC1FF-8CEC-4B5A-B23D-C04FC49BD514}" name="11314"/>
    <tableColumn id="11328" xr3:uid="{00BBFB60-4B7A-4103-8530-0B289F35FF4B}" name="11315"/>
    <tableColumn id="11329" xr3:uid="{E407B31A-AA8C-4E87-89B1-D0556D629F9C}" name="11316"/>
    <tableColumn id="11330" xr3:uid="{026F4E00-0A8A-4569-914C-5C42EDF999EE}" name="11317"/>
    <tableColumn id="11331" xr3:uid="{DA1F38FE-0D5B-4B37-96D6-4C66809F0C0C}" name="11318"/>
    <tableColumn id="11332" xr3:uid="{8FE7E7A5-F688-4625-A88E-2AD62F896538}" name="11319"/>
    <tableColumn id="11333" xr3:uid="{0C8D0184-C7F8-456F-B6ED-AB1273D0C9AA}" name="11320"/>
    <tableColumn id="11334" xr3:uid="{CD9FCE5F-6E8F-47A4-A8D7-BE4BAF7D36FB}" name="11321"/>
    <tableColumn id="11335" xr3:uid="{E07B099A-F062-4147-BCD7-ACFE18D9A023}" name="11322"/>
    <tableColumn id="11336" xr3:uid="{AACC0EB1-3186-4B82-98B8-37CBFFB78836}" name="11323"/>
    <tableColumn id="11337" xr3:uid="{F635F878-DAB3-4758-81F3-65CA0387FE5C}" name="11324"/>
    <tableColumn id="11338" xr3:uid="{540B6265-211E-40D1-BAFE-C85C3E30ACC6}" name="11325"/>
    <tableColumn id="11339" xr3:uid="{452DF074-D6EE-4675-A5F2-A060D11E4BA6}" name="11326"/>
    <tableColumn id="11340" xr3:uid="{691FCFBE-97AC-4D0E-9115-8359AF5F32B2}" name="11327"/>
    <tableColumn id="11341" xr3:uid="{CC3434A8-17EA-402B-B1EE-262C8141FB30}" name="11328"/>
    <tableColumn id="11342" xr3:uid="{7A61E379-1CB6-447A-9EBD-34F895FDA2D9}" name="11329"/>
    <tableColumn id="11343" xr3:uid="{300CAA34-79E6-4EEB-96C8-9B82C7C5B37D}" name="11330"/>
    <tableColumn id="11344" xr3:uid="{E0DD6B34-AE04-439D-B215-B132F5F6A50D}" name="11331"/>
    <tableColumn id="11345" xr3:uid="{2733E355-AA55-41CB-AD1B-C65D58891AEA}" name="11332"/>
    <tableColumn id="11346" xr3:uid="{B39E0613-DE51-46B4-841A-671BAEBC045B}" name="11333"/>
    <tableColumn id="11347" xr3:uid="{D2FB4ABD-DF3E-4819-9430-0B2CB205F7DD}" name="11334"/>
    <tableColumn id="11348" xr3:uid="{ECD91A8B-1D3E-401B-AFD3-5DABF4E78453}" name="11335"/>
    <tableColumn id="11349" xr3:uid="{2C62412C-FD84-45F8-89A4-C08B936B40EB}" name="11336"/>
    <tableColumn id="11350" xr3:uid="{7607E495-CAEB-4A7B-BB2E-BC1816A080CF}" name="11337"/>
    <tableColumn id="11351" xr3:uid="{43CBA267-ABF2-4F6F-B2C7-A5AA5CD75C91}" name="11338"/>
    <tableColumn id="11352" xr3:uid="{82556407-85B8-466D-9CDA-934E161D92F9}" name="11339"/>
    <tableColumn id="11353" xr3:uid="{FCF2FACE-7215-44B3-BDC6-C3F2340E98D6}" name="11340"/>
    <tableColumn id="11354" xr3:uid="{BDD35DEB-F83C-441D-A83C-0B6548677C28}" name="11341"/>
    <tableColumn id="11355" xr3:uid="{E72FAC19-BA3C-4C29-B613-C27F0C12E50A}" name="11342"/>
    <tableColumn id="11356" xr3:uid="{54F80930-57FA-4924-8AA1-9A4972AF3AC8}" name="11343"/>
    <tableColumn id="11357" xr3:uid="{C7A814E3-A65D-439D-8734-2C24A0248F6A}" name="11344"/>
    <tableColumn id="11358" xr3:uid="{B38E63BE-002C-468A-B2A6-737B52ECA78C}" name="11345"/>
    <tableColumn id="11359" xr3:uid="{3F354983-5C29-40A4-B53C-2148245C3F7F}" name="11346"/>
    <tableColumn id="11360" xr3:uid="{DDB4C151-52F5-4735-9151-56B9EA7B0DA0}" name="11347"/>
    <tableColumn id="11361" xr3:uid="{EDED6A49-23F5-4AF8-B393-F5BBD7BE46F9}" name="11348"/>
    <tableColumn id="11362" xr3:uid="{840A27DC-BEE4-440C-BB32-3AD7AD5A8E87}" name="11349"/>
    <tableColumn id="11363" xr3:uid="{65AA790B-5F45-4340-9C33-3F4D81D4B956}" name="11350"/>
    <tableColumn id="11364" xr3:uid="{7086D49B-24E3-4132-89F7-8289F2D9C909}" name="11351"/>
    <tableColumn id="11365" xr3:uid="{DC7161E3-BF30-4D6C-98F9-816B372442F6}" name="11352"/>
    <tableColumn id="11366" xr3:uid="{14B2350C-F311-456D-963B-A06C86A0A886}" name="11353"/>
    <tableColumn id="11367" xr3:uid="{1BEED6C0-7897-40BF-9FD9-1956A9BB3579}" name="11354"/>
    <tableColumn id="11368" xr3:uid="{95399F00-AFAF-4CE6-8CFD-819C37CFF31A}" name="11355"/>
    <tableColumn id="11369" xr3:uid="{4E8D8AF2-7B13-4390-A20A-A57BC448B203}" name="11356"/>
    <tableColumn id="11370" xr3:uid="{34B2301F-738B-4E7F-AA08-B6B802530F23}" name="11357"/>
    <tableColumn id="11371" xr3:uid="{0E75F304-A275-4C3B-9D70-EF040CBCB3A5}" name="11358"/>
    <tableColumn id="11372" xr3:uid="{832ED230-0D9C-46C7-B7E5-8E6414F8B3E5}" name="11359"/>
    <tableColumn id="11373" xr3:uid="{58C8901C-01D0-479C-990C-47F0B82FDC3E}" name="11360"/>
    <tableColumn id="11374" xr3:uid="{5CFA30F5-5B03-4878-A34B-9748E79C4223}" name="11361"/>
    <tableColumn id="11375" xr3:uid="{CC6F1701-1E49-47E1-A515-04EF225D8700}" name="11362"/>
    <tableColumn id="11376" xr3:uid="{3721292D-678C-4BD3-8D7A-1E6AAA7CD126}" name="11363"/>
    <tableColumn id="11377" xr3:uid="{07DB6B73-3231-4050-BADF-B566CAB05E9B}" name="11364"/>
    <tableColumn id="11378" xr3:uid="{D02DE940-CD46-4F7C-92EE-FF67BA8B38C6}" name="11365"/>
    <tableColumn id="11379" xr3:uid="{FB64CA52-FFD2-477B-9F2C-77F05D7771C7}" name="11366"/>
    <tableColumn id="11380" xr3:uid="{DB4E0B12-5FCA-473C-AC21-385CB269E856}" name="11367"/>
    <tableColumn id="11381" xr3:uid="{22C7D3A8-B32B-4AEE-B0CB-3234BC479696}" name="11368"/>
    <tableColumn id="11382" xr3:uid="{083C0682-2CEF-4271-A888-A0447668C305}" name="11369"/>
    <tableColumn id="11383" xr3:uid="{C8E4896B-90FA-418E-8514-B6E1D10ACAF5}" name="11370"/>
    <tableColumn id="11384" xr3:uid="{980EC862-C242-4D68-AB64-736303C059B2}" name="11371"/>
    <tableColumn id="11385" xr3:uid="{3E35DC61-A219-4D45-82E7-7111C384A366}" name="11372"/>
    <tableColumn id="11386" xr3:uid="{374842D8-E5C8-410C-A037-763856396744}" name="11373"/>
    <tableColumn id="11387" xr3:uid="{6C96AD50-0B9D-4D3A-8D8E-E65F0756AD0B}" name="11374"/>
    <tableColumn id="11388" xr3:uid="{A30A8534-EB06-45A6-9D73-E1F4CAD6C282}" name="11375"/>
    <tableColumn id="11389" xr3:uid="{7829C517-D456-435C-848D-02C222E62084}" name="11376"/>
    <tableColumn id="11390" xr3:uid="{0AE2BA00-B844-42DE-AEFD-4309D1265007}" name="11377"/>
    <tableColumn id="11391" xr3:uid="{543B093D-E57C-466A-B5ED-B8E71D331A36}" name="11378"/>
    <tableColumn id="11392" xr3:uid="{2F10ED70-12D1-4EFB-80F3-04DE62125E81}" name="11379"/>
    <tableColumn id="11393" xr3:uid="{A6E36AFD-133D-4443-8050-F0B7EC164CCD}" name="11380"/>
    <tableColumn id="11394" xr3:uid="{94C08BBF-04D5-4063-BA5D-16DC1F2C0649}" name="11381"/>
    <tableColumn id="11395" xr3:uid="{F72ADE2B-A469-4067-8BD8-CF1E92762E61}" name="11382"/>
    <tableColumn id="11396" xr3:uid="{2DBEBBF5-0457-41AC-A746-CA55F0EFBEDB}" name="11383"/>
    <tableColumn id="11397" xr3:uid="{66227304-B166-470C-8812-4B12D0934B39}" name="11384"/>
    <tableColumn id="11398" xr3:uid="{C9CAF593-805B-4D81-BA28-CBD4732CDAF5}" name="11385"/>
    <tableColumn id="11399" xr3:uid="{0B108DBA-E88A-4B6F-A4A8-89FD22397CBE}" name="11386"/>
    <tableColumn id="11400" xr3:uid="{C28BE9DB-5D1D-46EB-8120-69B1EDFF13D6}" name="11387"/>
    <tableColumn id="11401" xr3:uid="{55375A75-189F-4378-9E27-3CBA0C88F946}" name="11388"/>
    <tableColumn id="11402" xr3:uid="{CAA5B61E-7630-479D-B4B2-62602B7CD601}" name="11389"/>
    <tableColumn id="11403" xr3:uid="{745B7A28-C822-4F66-8A08-A1003E9F7C67}" name="11390"/>
    <tableColumn id="11404" xr3:uid="{C36BD6A0-BEFD-4782-9CA0-7DA8D8F826AC}" name="11391"/>
    <tableColumn id="11405" xr3:uid="{5ACB79F4-DCDC-4DDD-9557-5EBC92A68AC1}" name="11392"/>
    <tableColumn id="11406" xr3:uid="{8C138E6B-088B-4D12-BA4D-2FD4735BFA80}" name="11393"/>
    <tableColumn id="11407" xr3:uid="{74C9DBE0-2E08-47A7-A1FD-3AEF401E39CD}" name="11394"/>
    <tableColumn id="11408" xr3:uid="{B3774597-842E-4131-98EF-23ADB8B2B654}" name="11395"/>
    <tableColumn id="11409" xr3:uid="{2E11E63B-A66A-46F0-8DC1-984792547BCC}" name="11396"/>
    <tableColumn id="11410" xr3:uid="{AFC158EC-C999-4DA9-8721-D60BDD19CAA3}" name="11397"/>
    <tableColumn id="11411" xr3:uid="{AA28741E-A973-49B3-879F-89C179DDDA80}" name="11398"/>
    <tableColumn id="11412" xr3:uid="{601B239E-75A2-4E3C-9771-33E9924C7BBC}" name="11399"/>
    <tableColumn id="11413" xr3:uid="{0BC71360-9319-43A2-91C1-C20F04D63009}" name="11400"/>
    <tableColumn id="11414" xr3:uid="{1337DB60-6276-410A-AFD7-6DA9C542192E}" name="11401"/>
    <tableColumn id="11415" xr3:uid="{B7F1F198-3A8A-4ECB-AB66-BE66D8815658}" name="11402"/>
    <tableColumn id="11416" xr3:uid="{E35F3B5C-9E4E-4159-80D4-DEB61E790BEF}" name="11403"/>
    <tableColumn id="11417" xr3:uid="{1241B2A1-1E16-4D96-9535-7E16103F0A91}" name="11404"/>
    <tableColumn id="11418" xr3:uid="{CEBDC0AE-37B6-4236-BF69-593CB580AB57}" name="11405"/>
    <tableColumn id="11419" xr3:uid="{9DFB3868-53A0-453E-8BAF-0B73ED5033BD}" name="11406"/>
    <tableColumn id="11420" xr3:uid="{1ED46116-AA5D-44F2-B2BD-37EDB3D7D690}" name="11407"/>
    <tableColumn id="11421" xr3:uid="{9ADAC522-FC16-4A5B-AA3E-EC0E137D7DAB}" name="11408"/>
    <tableColumn id="11422" xr3:uid="{3978A465-8814-4F4C-84F9-DCBE6BB5306A}" name="11409"/>
    <tableColumn id="11423" xr3:uid="{BE0277DD-9E53-45AC-AA6E-55CE07C5D6A1}" name="11410"/>
    <tableColumn id="11424" xr3:uid="{AC99625E-31EA-4DA9-880E-FF1EB1AE73EE}" name="11411"/>
    <tableColumn id="11425" xr3:uid="{8EF6E280-E320-42D0-888A-B0F98640F1AA}" name="11412"/>
    <tableColumn id="11426" xr3:uid="{0A55B7E8-A12A-4A58-9EC7-0273588263AA}" name="11413"/>
    <tableColumn id="11427" xr3:uid="{46D417B1-B907-4A0D-9459-C78C7CF375A0}" name="11414"/>
    <tableColumn id="11428" xr3:uid="{211C603C-BE69-42CE-B32D-5E8A7B5DD42B}" name="11415"/>
    <tableColumn id="11429" xr3:uid="{45481CDF-2C0B-4EB1-874F-BED42580F3EB}" name="11416"/>
    <tableColumn id="11430" xr3:uid="{AC8E96AE-B282-4623-8012-CF371E8D77B9}" name="11417"/>
    <tableColumn id="11431" xr3:uid="{5373F9EC-6AE5-4F41-8559-77C3929CE565}" name="11418"/>
    <tableColumn id="11432" xr3:uid="{32D95F89-F2E9-4487-898E-B6E41F60617B}" name="11419"/>
    <tableColumn id="11433" xr3:uid="{F1137A89-B72F-4562-8968-3941BAA4DFD5}" name="11420"/>
    <tableColumn id="11434" xr3:uid="{E829BFF1-84AC-422A-9F23-CB87947D7E42}" name="11421"/>
    <tableColumn id="11435" xr3:uid="{A451130C-6A2B-4605-886E-A745FC966417}" name="11422"/>
    <tableColumn id="11436" xr3:uid="{C32D7F81-FC1E-47A9-A93D-57FB19A3CDB7}" name="11423"/>
    <tableColumn id="11437" xr3:uid="{12E558DB-3825-49C7-95E2-AA6CCCD4AC7E}" name="11424"/>
    <tableColumn id="11438" xr3:uid="{A4729F67-FA36-4F3D-81A0-0970B765F48F}" name="11425"/>
    <tableColumn id="11439" xr3:uid="{92A81A55-0D02-4893-9C36-02B649A80EA1}" name="11426"/>
    <tableColumn id="11440" xr3:uid="{D32E0CBF-30B4-40BF-B5BA-9D66B46C0301}" name="11427"/>
    <tableColumn id="11441" xr3:uid="{5E8BA744-F053-41CC-9ADD-55F27437D935}" name="11428"/>
    <tableColumn id="11442" xr3:uid="{EC406CFD-CB89-42E0-B245-4EFD29253491}" name="11429"/>
    <tableColumn id="11443" xr3:uid="{0282ADA4-DAF8-4A75-91C8-2AE0CD6B9EC6}" name="11430"/>
    <tableColumn id="11444" xr3:uid="{ACEF19B7-F774-4EEF-9DD0-872A88688C45}" name="11431"/>
    <tableColumn id="11445" xr3:uid="{D346015D-C150-439E-AEDF-6D286F6A4DF9}" name="11432"/>
    <tableColumn id="11446" xr3:uid="{6485FBB3-4318-4779-8454-A301EE1D35F6}" name="11433"/>
    <tableColumn id="11447" xr3:uid="{8DFC2C9E-6C2B-40EB-A518-882329BCB545}" name="11434"/>
    <tableColumn id="11448" xr3:uid="{D6079A99-804E-4C88-BEA6-4BF430A73A81}" name="11435"/>
    <tableColumn id="11449" xr3:uid="{76B95A04-89C5-46B2-B7C0-3A05CE8D89DE}" name="11436"/>
    <tableColumn id="11450" xr3:uid="{8851A5A5-1A9D-4FD3-BFA0-0123B2D45022}" name="11437"/>
    <tableColumn id="11451" xr3:uid="{F5BA1F78-C1F8-4D0F-9C83-9D1E6502D2BE}" name="11438"/>
    <tableColumn id="11452" xr3:uid="{F0176195-72AB-4B4D-964B-C58AAF5DB7E1}" name="11439"/>
    <tableColumn id="11453" xr3:uid="{FF03E1E1-C2CF-4776-B7F8-AA1CB3076A33}" name="11440"/>
    <tableColumn id="11454" xr3:uid="{ECA6553B-DAB3-4AEC-9259-61ECE10C18DB}" name="11441"/>
    <tableColumn id="11455" xr3:uid="{2C19C422-6F39-4CC8-91B4-2CBFE2E14F80}" name="11442"/>
    <tableColumn id="11456" xr3:uid="{AE6A8886-8EEA-4490-8269-B102606B3DD8}" name="11443"/>
    <tableColumn id="11457" xr3:uid="{651A855D-0A72-4241-8AD7-6F4207E7DF43}" name="11444"/>
    <tableColumn id="11458" xr3:uid="{C4D2F376-7F8E-4B69-ABDF-76FD3A7D9B90}" name="11445"/>
    <tableColumn id="11459" xr3:uid="{678564BA-3DCC-416F-A9C7-9F99614A85E8}" name="11446"/>
    <tableColumn id="11460" xr3:uid="{81CE450A-8387-4E7C-9C8E-2A09B3652BB6}" name="11447"/>
    <tableColumn id="11461" xr3:uid="{0E62F5AE-3832-4845-ABCB-9E3CAC58BCCD}" name="11448"/>
    <tableColumn id="11462" xr3:uid="{9D681A6C-548C-4230-A12F-41B5079A1E3E}" name="11449"/>
    <tableColumn id="11463" xr3:uid="{5322D380-4579-4117-8B28-46ADD2C9940A}" name="11450"/>
    <tableColumn id="11464" xr3:uid="{7007BF8B-AB9C-4F59-9212-3E06378A3FFE}" name="11451"/>
    <tableColumn id="11465" xr3:uid="{D7397AB4-8A91-478C-A9F3-DD05350835CC}" name="11452"/>
    <tableColumn id="11466" xr3:uid="{44B68773-0420-41D0-9287-56309949DC2E}" name="11453"/>
    <tableColumn id="11467" xr3:uid="{9E50CDD5-0AF4-4FD9-B995-33B02041AB5E}" name="11454"/>
    <tableColumn id="11468" xr3:uid="{6891B7FF-D7C0-4475-84AF-604449139731}" name="11455"/>
    <tableColumn id="11469" xr3:uid="{81F9572E-7A3F-4495-A063-01A70B9F9818}" name="11456"/>
    <tableColumn id="11470" xr3:uid="{C365547A-867F-41FD-BE85-CD9DC8DF63AA}" name="11457"/>
    <tableColumn id="11471" xr3:uid="{EF07EAF9-2F7B-4C7F-A9CF-0785AC25DF53}" name="11458"/>
    <tableColumn id="11472" xr3:uid="{3D4175E7-B948-4F72-9051-20BFCD10CBBE}" name="11459"/>
    <tableColumn id="11473" xr3:uid="{1F35B809-40C2-412F-94F5-EDF7A9FF4298}" name="11460"/>
    <tableColumn id="11474" xr3:uid="{BE3204AC-1B45-45C5-9D66-6F5D86F2EA8B}" name="11461"/>
    <tableColumn id="11475" xr3:uid="{874D72A0-7B2F-4D4D-AE2E-4A2D3DCED659}" name="11462"/>
    <tableColumn id="11476" xr3:uid="{DE285338-45E7-4ADF-B5E1-F736D6E49700}" name="11463"/>
    <tableColumn id="11477" xr3:uid="{07AFF483-CE80-49E2-AFD4-E56C40AC81D4}" name="11464"/>
    <tableColumn id="11478" xr3:uid="{2C75F54D-CB24-4E2F-848B-62F76DE759B9}" name="11465"/>
    <tableColumn id="11479" xr3:uid="{D3429C9B-DD4A-4CEA-B7F8-FAF722E7CDFE}" name="11466"/>
    <tableColumn id="11480" xr3:uid="{45F69F07-A209-463B-98F8-66FF963C30BD}" name="11467"/>
    <tableColumn id="11481" xr3:uid="{D109ECCF-F994-4B5F-A13E-B9C1D8F82DD2}" name="11468"/>
    <tableColumn id="11482" xr3:uid="{75B9B998-8E1A-468C-9A8C-89743982767C}" name="11469"/>
    <tableColumn id="11483" xr3:uid="{F9D11AB8-93E0-46B6-8D6D-B9FD73E3D5BE}" name="11470"/>
    <tableColumn id="11484" xr3:uid="{5854DD8A-6D37-4DBC-8980-877E7F27ACB8}" name="11471"/>
    <tableColumn id="11485" xr3:uid="{EBE946AC-1FC9-4AFB-8324-8F6C5689A771}" name="11472"/>
    <tableColumn id="11486" xr3:uid="{17FBBFC0-7B24-412D-A7FD-7A012F3B4859}" name="11473"/>
    <tableColumn id="11487" xr3:uid="{6515640E-B26C-426E-A4C0-1D52CF195B74}" name="11474"/>
    <tableColumn id="11488" xr3:uid="{A626CDCC-DFF1-41DF-BA86-28A70289B15D}" name="11475"/>
    <tableColumn id="11489" xr3:uid="{C362D453-7CEF-439C-BE03-62FE71BEFA8E}" name="11476"/>
    <tableColumn id="11490" xr3:uid="{5C3D1ECF-26F7-4778-8759-F6756043BDF6}" name="11477"/>
    <tableColumn id="11491" xr3:uid="{C50445C8-0980-45A9-BF51-759C70D0F82D}" name="11478"/>
    <tableColumn id="11492" xr3:uid="{B1EC54C5-865F-4071-B226-74D0E1433092}" name="11479"/>
    <tableColumn id="11493" xr3:uid="{35D22808-259F-479B-83B9-A0C78613527F}" name="11480"/>
    <tableColumn id="11494" xr3:uid="{0C0C6242-22FE-4911-BD11-36E2801BB399}" name="11481"/>
    <tableColumn id="11495" xr3:uid="{2E790FF2-E5ED-455B-AF45-A7814C083A82}" name="11482"/>
    <tableColumn id="11496" xr3:uid="{01EEA4CC-BE3A-4AF9-BB14-FB0F7E9407D1}" name="11483"/>
    <tableColumn id="11497" xr3:uid="{C632BA57-8712-4FE0-8B2E-A60C320CC81D}" name="11484"/>
    <tableColumn id="11498" xr3:uid="{C76942AF-3BA6-4571-96E1-3BCC6F5CC4D6}" name="11485"/>
    <tableColumn id="11499" xr3:uid="{2113EAA6-84A7-4F0B-8978-1260AEFF9731}" name="11486"/>
    <tableColumn id="11500" xr3:uid="{B2BCC7F2-5249-40D9-8F9D-2D393CC2581B}" name="11487"/>
    <tableColumn id="11501" xr3:uid="{3D93B57B-9CB9-40ED-813C-CABE2EF1838B}" name="11488"/>
    <tableColumn id="11502" xr3:uid="{644B4BA0-3E7E-4049-ABC6-79D277E49C5A}" name="11489"/>
    <tableColumn id="11503" xr3:uid="{7312CEE8-5697-471C-9C65-CADB97141C26}" name="11490"/>
    <tableColumn id="11504" xr3:uid="{FED58E2D-A57D-40A3-B29B-EBDACB6FC707}" name="11491"/>
    <tableColumn id="11505" xr3:uid="{C70639DB-056D-45CE-8155-51E8F44236AE}" name="11492"/>
    <tableColumn id="11506" xr3:uid="{3DF17BD6-0117-4567-8D0A-181A395390B3}" name="11493"/>
    <tableColumn id="11507" xr3:uid="{FD75CB78-831A-435A-BE9C-3C3FC52752B7}" name="11494"/>
    <tableColumn id="11508" xr3:uid="{3343C7FB-30D2-4790-A3FC-2873481FD5BD}" name="11495"/>
    <tableColumn id="11509" xr3:uid="{7EA33C74-5232-411B-BF45-DB5712CCA617}" name="11496"/>
    <tableColumn id="11510" xr3:uid="{054D6F25-DE13-4701-85C8-4808DE369F3E}" name="11497"/>
    <tableColumn id="11511" xr3:uid="{AC1180D9-F336-4AB0-A753-CE7A73527AB2}" name="11498"/>
    <tableColumn id="11512" xr3:uid="{AC2AB774-98A5-44CE-A9B7-A52E08D73078}" name="11499"/>
    <tableColumn id="11513" xr3:uid="{1A637F6B-68F9-4BBE-B639-0BFB02E8C51D}" name="11500"/>
    <tableColumn id="11514" xr3:uid="{68918438-CA53-4AF0-8AFB-32C7D93DB33E}" name="11501"/>
    <tableColumn id="11515" xr3:uid="{5648E22F-97AF-4E13-A5EF-EB4B6EB21C45}" name="11502"/>
    <tableColumn id="11516" xr3:uid="{DEFD2ADE-E954-4BF1-969D-05E991AD8EEF}" name="11503"/>
    <tableColumn id="11517" xr3:uid="{A9C8E392-BF54-44DD-9D71-1E4B4C1858F0}" name="11504"/>
    <tableColumn id="11518" xr3:uid="{ECE0AB56-587D-4F89-845E-613BD5763B83}" name="11505"/>
    <tableColumn id="11519" xr3:uid="{4261C704-E1CC-4E68-9DF6-3710791D527D}" name="11506"/>
    <tableColumn id="11520" xr3:uid="{840A118D-AFC2-42C6-BC9E-12EF9F4A9B9F}" name="11507"/>
    <tableColumn id="11521" xr3:uid="{0B16517B-6485-4B1E-BDB9-73DCDB046A59}" name="11508"/>
    <tableColumn id="11522" xr3:uid="{DAEC76A0-02B1-410F-8311-1DB9A36CC3D7}" name="11509"/>
    <tableColumn id="11523" xr3:uid="{DF754543-597E-4EBE-B967-6F92BCF88D54}" name="11510"/>
    <tableColumn id="11524" xr3:uid="{E987CEFF-3B05-4B7D-BC42-289C50F5ADA4}" name="11511"/>
    <tableColumn id="11525" xr3:uid="{1FFB82BE-D060-4323-AC0F-1C287C293D5D}" name="11512"/>
    <tableColumn id="11526" xr3:uid="{4F5824F4-A10D-40C3-B95B-04D7C47C592F}" name="11513"/>
    <tableColumn id="11527" xr3:uid="{6720673D-4A5A-4EF7-854A-287B9C423EE3}" name="11514"/>
    <tableColumn id="11528" xr3:uid="{6E246617-FAE5-4EBF-9A16-35BEAC1C4DBE}" name="11515"/>
    <tableColumn id="11529" xr3:uid="{5F459E5A-C48C-4539-A0DA-1059C54BCB36}" name="11516"/>
    <tableColumn id="11530" xr3:uid="{5A109694-71F9-4D5A-8286-ADECED1704EF}" name="11517"/>
    <tableColumn id="11531" xr3:uid="{4559356E-DAC2-4651-87A3-B0C0A188B931}" name="11518"/>
    <tableColumn id="11532" xr3:uid="{954C3169-E75E-4A2E-A067-01E1ADDE86CE}" name="11519"/>
    <tableColumn id="11533" xr3:uid="{322CFB1D-65D2-47F6-AF44-80D8492D442B}" name="11520"/>
    <tableColumn id="11534" xr3:uid="{964C6533-BC0C-4801-894C-4CA0C3ED201C}" name="11521"/>
    <tableColumn id="11535" xr3:uid="{64C0FD02-EBA8-4DEE-82F3-7B91921099EA}" name="11522"/>
    <tableColumn id="11536" xr3:uid="{FF6E5494-7E70-4FED-9BD9-D75995FB269F}" name="11523"/>
    <tableColumn id="11537" xr3:uid="{FF346A8D-889B-4337-9F1A-23165AE15603}" name="11524"/>
    <tableColumn id="11538" xr3:uid="{947A200C-05D2-4008-BBB1-FE5AEA094EFA}" name="11525"/>
    <tableColumn id="11539" xr3:uid="{E62B0390-7C94-4337-B561-FC07E8352DDF}" name="11526"/>
    <tableColumn id="11540" xr3:uid="{FEAD3EB0-DDA4-4FB5-A96E-7E6D0784D881}" name="11527"/>
    <tableColumn id="11541" xr3:uid="{686F5788-1964-44D9-B0E2-7A65E6563172}" name="11528"/>
    <tableColumn id="11542" xr3:uid="{56CBE4C8-AFE9-4B5A-8CB9-CA7B9984B25C}" name="11529"/>
    <tableColumn id="11543" xr3:uid="{5F3F90DC-A6BB-43CE-AD3A-CEAEFF5DF819}" name="11530"/>
    <tableColumn id="11544" xr3:uid="{1A3D546C-8261-4C51-91FD-4548049550CA}" name="11531"/>
    <tableColumn id="11545" xr3:uid="{50BE9F3D-7E90-4F17-AF08-83109BF38F55}" name="11532"/>
    <tableColumn id="11546" xr3:uid="{D2150276-CA76-43DB-BAE8-D611216FE5FB}" name="11533"/>
    <tableColumn id="11547" xr3:uid="{00EF0F70-688B-457A-9603-4EC2380354DD}" name="11534"/>
    <tableColumn id="11548" xr3:uid="{B9CCB6DF-7C43-4E7D-93C8-675DD101FB52}" name="11535"/>
    <tableColumn id="11549" xr3:uid="{D37B9201-C054-44E8-BEB0-D7744643B227}" name="11536"/>
    <tableColumn id="11550" xr3:uid="{878FD3FC-8E65-4484-8B76-E5E476DE4FAA}" name="11537"/>
    <tableColumn id="11551" xr3:uid="{86F70E70-3EEF-47EF-AEC3-C84B61F6FAD8}" name="11538"/>
    <tableColumn id="11552" xr3:uid="{00365E6C-6761-4CD0-BD98-7FB9B859AF4C}" name="11539"/>
    <tableColumn id="11553" xr3:uid="{B9B5C838-B027-4A5E-8CDE-FBFFB5C6186E}" name="11540"/>
    <tableColumn id="11554" xr3:uid="{05D73322-6BCD-4505-9CA5-AFD926218B30}" name="11541"/>
    <tableColumn id="11555" xr3:uid="{FAF362BD-3380-4B19-A9AF-6538279F4BB4}" name="11542"/>
    <tableColumn id="11556" xr3:uid="{17C49CC7-FD1D-4736-A211-CA121EA75EEF}" name="11543"/>
    <tableColumn id="11557" xr3:uid="{95153766-3FA9-4441-8228-B5620C942EC2}" name="11544"/>
    <tableColumn id="11558" xr3:uid="{33003185-55FA-428F-8BDD-0DF0FB39F862}" name="11545"/>
    <tableColumn id="11559" xr3:uid="{1E2DF42E-4B98-4D2B-B0E5-AEA6DA2BC59A}" name="11546"/>
    <tableColumn id="11560" xr3:uid="{5CD69138-C59B-4DFB-AA2D-DDCD31CB40A4}" name="11547"/>
    <tableColumn id="11561" xr3:uid="{5168D8D1-CBF2-48C1-A9A7-BF07B5D596EA}" name="11548"/>
    <tableColumn id="11562" xr3:uid="{AD5DEE69-8826-48CF-951B-14E3426904A6}" name="11549"/>
    <tableColumn id="11563" xr3:uid="{2342D2A1-DFBD-4741-9B95-FDB349378D7C}" name="11550"/>
    <tableColumn id="11564" xr3:uid="{B65EF74B-4574-4FA4-8767-87C93946BDE7}" name="11551"/>
    <tableColumn id="11565" xr3:uid="{45BDB157-9C69-4869-92A4-8BFBCF25A940}" name="11552"/>
    <tableColumn id="11566" xr3:uid="{CD1F9655-CD07-4B6C-8684-115359B2583A}" name="11553"/>
    <tableColumn id="11567" xr3:uid="{14DD803A-3111-44A6-BCCC-89DEFBE4ACDA}" name="11554"/>
    <tableColumn id="11568" xr3:uid="{E8CEB64F-05DC-46EC-81F9-17B23933F609}" name="11555"/>
    <tableColumn id="11569" xr3:uid="{65AB426F-D5C7-4471-B81A-4CA1410AFD52}" name="11556"/>
    <tableColumn id="11570" xr3:uid="{12EFB996-A38E-4812-B67D-63EBF39414B7}" name="11557"/>
    <tableColumn id="11571" xr3:uid="{28ACEDF6-A2EF-47D1-BF23-3F6932087EF3}" name="11558"/>
    <tableColumn id="11572" xr3:uid="{D3D672A9-BF70-442E-85A1-A7A9DAE3B880}" name="11559"/>
    <tableColumn id="11573" xr3:uid="{A732CA3B-52B5-41B4-AD40-7B0B072F61F6}" name="11560"/>
    <tableColumn id="11574" xr3:uid="{357A511A-9BC1-4F91-912E-94D0E8F3A7DE}" name="11561"/>
    <tableColumn id="11575" xr3:uid="{95F8D15C-4E91-4D62-9CD7-1759B7C0FFF2}" name="11562"/>
    <tableColumn id="11576" xr3:uid="{44767C47-764A-4330-B687-BA4C66270A1E}" name="11563"/>
    <tableColumn id="11577" xr3:uid="{F511412C-A616-43E3-A15F-3DA149CACBBE}" name="11564"/>
    <tableColumn id="11578" xr3:uid="{0AB4315D-8D0A-43FB-984A-1893C5F085B6}" name="11565"/>
    <tableColumn id="11579" xr3:uid="{FA45A0D0-2375-49B3-AE85-30BA5555A361}" name="11566"/>
    <tableColumn id="11580" xr3:uid="{5CE3ADD6-C837-4D7A-B04B-B625B91CFC5A}" name="11567"/>
    <tableColumn id="11581" xr3:uid="{94A87651-AC6C-44EE-8D97-B27725FE4797}" name="11568"/>
    <tableColumn id="11582" xr3:uid="{424EE769-F34C-49CB-8975-629C02826149}" name="11569"/>
    <tableColumn id="11583" xr3:uid="{6B00AF2F-7133-4AAA-9FF9-06AA68278FFC}" name="11570"/>
    <tableColumn id="11584" xr3:uid="{63388B4E-4D3F-4A9D-911E-E36C980A6B8B}" name="11571"/>
    <tableColumn id="11585" xr3:uid="{812C163E-EE91-4EC3-92AE-F39D0BCC21B2}" name="11572"/>
    <tableColumn id="11586" xr3:uid="{20DA6DC4-FBED-4B8F-8728-539E2F6E8C7B}" name="11573"/>
    <tableColumn id="11587" xr3:uid="{027DA473-6F20-456F-8BD8-D6CACED6A8FA}" name="11574"/>
    <tableColumn id="11588" xr3:uid="{1CB237FA-4EBB-4C73-B526-F99ADA893C9F}" name="11575"/>
    <tableColumn id="11589" xr3:uid="{E0D368BC-9EC2-47D1-A868-159F3FAF7A95}" name="11576"/>
    <tableColumn id="11590" xr3:uid="{1ADE3321-9FA3-40ED-A433-277649EA4C0A}" name="11577"/>
    <tableColumn id="11591" xr3:uid="{700F09A1-AFCA-4778-BA41-0A4A3ACB567B}" name="11578"/>
    <tableColumn id="11592" xr3:uid="{3FE3746D-9E0C-4EC7-9F5A-4E7A14FF1573}" name="11579"/>
    <tableColumn id="11593" xr3:uid="{F3B78C46-4899-49CA-A064-0C46EB8B2850}" name="11580"/>
    <tableColumn id="11594" xr3:uid="{C3015FBB-0635-45BF-8FB5-5D162970F886}" name="11581"/>
    <tableColumn id="11595" xr3:uid="{F23D1432-41BC-483C-9EF7-503FADA91F53}" name="11582"/>
    <tableColumn id="11596" xr3:uid="{9D6DCA03-C06F-44B0-92C9-5AFBFC8DCCE2}" name="11583"/>
    <tableColumn id="11597" xr3:uid="{0594F139-3C65-4361-8924-5E99D5B329E4}" name="11584"/>
    <tableColumn id="11598" xr3:uid="{0A400D8E-4AB7-4A68-B533-25553E849B55}" name="11585"/>
    <tableColumn id="11599" xr3:uid="{CA6AE592-1793-487F-9EAD-8F5254AA76CA}" name="11586"/>
    <tableColumn id="11600" xr3:uid="{5E37C501-58C3-422C-B6EB-7FA36919E686}" name="11587"/>
    <tableColumn id="11601" xr3:uid="{7FFDD6E5-3912-4146-B81E-49DAFF97009F}" name="11588"/>
    <tableColumn id="11602" xr3:uid="{4BB53B5E-FD14-4B4F-818D-040310054442}" name="11589"/>
    <tableColumn id="11603" xr3:uid="{2EA43B6E-9EC0-4B69-9303-5400CBB36FEE}" name="11590"/>
    <tableColumn id="11604" xr3:uid="{38AA98C0-E62D-402E-82D1-EC07C3763195}" name="11591"/>
    <tableColumn id="11605" xr3:uid="{E4CEFA4E-DDDA-4A85-B9E7-020CDF525A0C}" name="11592"/>
    <tableColumn id="11606" xr3:uid="{08620530-8B62-4259-B14C-5B3980D6078C}" name="11593"/>
    <tableColumn id="11607" xr3:uid="{8E7CB1F8-D8DB-4AD3-B224-8EC1993E7442}" name="11594"/>
    <tableColumn id="11608" xr3:uid="{66AE3A34-1BA1-44D2-B188-71138911BA80}" name="11595"/>
    <tableColumn id="11609" xr3:uid="{F4AE2723-7BE8-4C7F-A963-235CC5F617FB}" name="11596"/>
    <tableColumn id="11610" xr3:uid="{D577FF89-9A54-46F6-86E3-0958F71EAAA7}" name="11597"/>
    <tableColumn id="11611" xr3:uid="{730183FF-2C9B-4E08-A5E8-B27B99B090C6}" name="11598"/>
    <tableColumn id="11612" xr3:uid="{1441DAB8-BFE4-4F45-8D40-01A68ADB4FBA}" name="11599"/>
    <tableColumn id="11613" xr3:uid="{3EC68F82-6675-4C0E-99A4-14030022CEB8}" name="11600"/>
    <tableColumn id="11614" xr3:uid="{53322587-EC89-4CAB-B9E3-6F0803A9C1B2}" name="11601"/>
    <tableColumn id="11615" xr3:uid="{616008A1-3C36-485A-8AA3-F5BD8B2C17DC}" name="11602"/>
    <tableColumn id="11616" xr3:uid="{D544E3E5-A2E7-4704-9420-13F5B562E251}" name="11603"/>
    <tableColumn id="11617" xr3:uid="{8D3E2997-C236-485B-A2A2-707221C8E96F}" name="11604"/>
    <tableColumn id="11618" xr3:uid="{DCE5669A-5434-4D80-B456-40FCF8085908}" name="11605"/>
    <tableColumn id="11619" xr3:uid="{1D01CEF0-0364-4C8D-9C8F-A535ED3CFA21}" name="11606"/>
    <tableColumn id="11620" xr3:uid="{36DA453F-EDBD-4081-B601-9A4EEC777C01}" name="11607"/>
    <tableColumn id="11621" xr3:uid="{0796F3FB-51DE-43A0-847E-373D8FE12869}" name="11608"/>
    <tableColumn id="11622" xr3:uid="{7406D69E-BBBA-42F7-93B0-3103D5AFFD0B}" name="11609"/>
    <tableColumn id="11623" xr3:uid="{1AF9896D-6D88-4F48-BCCE-65E6D6FE51EA}" name="11610"/>
    <tableColumn id="11624" xr3:uid="{75B310D6-12FE-4E4E-9A0F-DA6B29A29C83}" name="11611"/>
    <tableColumn id="11625" xr3:uid="{AC5760A4-0AA0-428F-96FF-EB81BD7EFA23}" name="11612"/>
    <tableColumn id="11626" xr3:uid="{745F4B15-E734-43EE-BBDC-C447332B3DEE}" name="11613"/>
    <tableColumn id="11627" xr3:uid="{0587AB07-F497-48CC-9574-1FB5D525DEDB}" name="11614"/>
    <tableColumn id="11628" xr3:uid="{E67A0D51-B908-4AE7-8577-D9A4005A5FE4}" name="11615"/>
    <tableColumn id="11629" xr3:uid="{6D1A5B01-6589-47BF-B4B1-9659891A9CCF}" name="11616"/>
    <tableColumn id="11630" xr3:uid="{C6CB108D-53EA-4349-BBCC-EA9D8102DD57}" name="11617"/>
    <tableColumn id="11631" xr3:uid="{7C671A32-8040-4F0E-9ADF-E04DEC995F99}" name="11618"/>
    <tableColumn id="11632" xr3:uid="{B3432E42-4291-4289-B355-18C3EAF64241}" name="11619"/>
    <tableColumn id="11633" xr3:uid="{89B46524-3B44-4E26-A9C5-DF02A84D00F5}" name="11620"/>
    <tableColumn id="11634" xr3:uid="{524D0EA6-85E4-45BD-82AC-19A47A1DE7F6}" name="11621"/>
    <tableColumn id="11635" xr3:uid="{393858CF-FB56-4BDE-8096-ABAF0880DA60}" name="11622"/>
    <tableColumn id="11636" xr3:uid="{A6EE7538-CDDB-4835-B118-B56A0628B5B3}" name="11623"/>
    <tableColumn id="11637" xr3:uid="{DF9BE673-944E-4674-9614-E3E5D8B630FA}" name="11624"/>
    <tableColumn id="11638" xr3:uid="{66C0AF22-FBB7-42EB-B402-85B80812C5E1}" name="11625"/>
    <tableColumn id="11639" xr3:uid="{86DAD3C5-3088-41D0-8227-AD0B0B1B7354}" name="11626"/>
    <tableColumn id="11640" xr3:uid="{D8C6825B-9C58-44A3-AA73-828823F7FA88}" name="11627"/>
    <tableColumn id="11641" xr3:uid="{4585BD20-F47C-4365-A494-9D2AD401B938}" name="11628"/>
    <tableColumn id="11642" xr3:uid="{B966F439-7370-4D8F-993F-FE1F2BF59210}" name="11629"/>
    <tableColumn id="11643" xr3:uid="{D37A97D2-8828-44FB-995C-1851DD1FF639}" name="11630"/>
    <tableColumn id="11644" xr3:uid="{A384029E-4404-44B7-A5BA-C03E6E8B3D57}" name="11631"/>
    <tableColumn id="11645" xr3:uid="{54478498-886B-419A-B144-92AD76075EEE}" name="11632"/>
    <tableColumn id="11646" xr3:uid="{93BD391E-7B4A-4F8D-9715-CAF26D097F24}" name="11633"/>
    <tableColumn id="11647" xr3:uid="{9525312D-27BB-44C9-962D-A7D0511A3609}" name="11634"/>
    <tableColumn id="11648" xr3:uid="{809C3C75-B08A-4532-BD4D-16CC1FCCCFB4}" name="11635"/>
    <tableColumn id="11649" xr3:uid="{FBD81071-1A19-4077-9104-3B532884B11A}" name="11636"/>
    <tableColumn id="11650" xr3:uid="{69F6D32F-3727-452E-B9A5-B35D17C9FBBB}" name="11637"/>
    <tableColumn id="11651" xr3:uid="{36D003FB-3018-4DAA-9EC0-8006796102C4}" name="11638"/>
    <tableColumn id="11652" xr3:uid="{880E2CC6-33C7-4EBF-89FC-5B34BD4BDEFB}" name="11639"/>
    <tableColumn id="11653" xr3:uid="{4AC2782B-0987-4B10-ACF9-461D85AAFE12}" name="11640"/>
    <tableColumn id="11654" xr3:uid="{DC1FFF41-AE71-4BF3-B432-13EF81CFDC7C}" name="11641"/>
    <tableColumn id="11655" xr3:uid="{C14632C4-8EB2-4ECE-A54A-F45E10359FDF}" name="11642"/>
    <tableColumn id="11656" xr3:uid="{FB65103E-2D15-4E0A-ADA7-8345DB90197D}" name="11643"/>
    <tableColumn id="11657" xr3:uid="{FE1810D4-0EF7-4ECA-A9CB-22EF9FEC0BDF}" name="11644"/>
    <tableColumn id="11658" xr3:uid="{D265A1BE-EE4E-4DB4-8F78-886FC825C5DC}" name="11645"/>
    <tableColumn id="11659" xr3:uid="{0787E9FB-B453-446B-A849-590BB7E45332}" name="11646"/>
    <tableColumn id="11660" xr3:uid="{1E39846D-59F7-4D91-BFFC-D28B96497004}" name="11647"/>
    <tableColumn id="11661" xr3:uid="{6EADDFEF-14B4-459E-B4EB-638CBC32D114}" name="11648"/>
    <tableColumn id="11662" xr3:uid="{EFD01096-1F63-405B-BC79-D38B26A484BF}" name="11649"/>
    <tableColumn id="11663" xr3:uid="{1A84DDA7-5700-48FE-BC6C-D41EA73A170F}" name="11650"/>
    <tableColumn id="11664" xr3:uid="{116B920D-E061-4C85-8837-FC69152AA392}" name="11651"/>
    <tableColumn id="11665" xr3:uid="{864192B2-EFFA-46B0-B643-63D2DE68432D}" name="11652"/>
    <tableColumn id="11666" xr3:uid="{4457EC65-6434-45A0-9DC5-D11ABF5FF5F6}" name="11653"/>
    <tableColumn id="11667" xr3:uid="{B0E9829F-FFE5-4A8B-BAC8-5578A899EC29}" name="11654"/>
    <tableColumn id="11668" xr3:uid="{E333F5C1-FCFB-4FA9-AA05-A9220E9CC2D3}" name="11655"/>
    <tableColumn id="11669" xr3:uid="{16377F86-BEA0-4E21-8153-2D571B57FDD1}" name="11656"/>
    <tableColumn id="11670" xr3:uid="{B283E325-2938-46C0-90BE-41D156742742}" name="11657"/>
    <tableColumn id="11671" xr3:uid="{B2B0C384-3742-46A2-A0C9-C5A14C165AEB}" name="11658"/>
    <tableColumn id="11672" xr3:uid="{CC7CEB92-26DF-4838-9EA8-7EA657C8FAE8}" name="11659"/>
    <tableColumn id="11673" xr3:uid="{B2EEF8C2-20F5-4A45-BF52-834142060D0C}" name="11660"/>
    <tableColumn id="11674" xr3:uid="{1D1BF65F-3434-49F0-A8D2-6835288DA802}" name="11661"/>
    <tableColumn id="11675" xr3:uid="{51A7BC1A-CAA9-455A-A240-68A60FF1273D}" name="11662"/>
    <tableColumn id="11676" xr3:uid="{23C054CC-063A-4460-9657-0D89395668A8}" name="11663"/>
    <tableColumn id="11677" xr3:uid="{6E2901C5-7172-4BA2-9CA0-9DE7189D35E3}" name="11664"/>
    <tableColumn id="11678" xr3:uid="{49F218A3-3D1D-4ABB-B4C4-80B919037D2D}" name="11665"/>
    <tableColumn id="11679" xr3:uid="{BA249438-4EB4-432E-BD76-837D36603DC2}" name="11666"/>
    <tableColumn id="11680" xr3:uid="{121E9995-A118-4EB5-8EF1-057A53112603}" name="11667"/>
    <tableColumn id="11681" xr3:uid="{64931AE4-3294-4D93-99A5-13A3758F5872}" name="11668"/>
    <tableColumn id="11682" xr3:uid="{D0CA3246-F22A-429B-8869-8F8388FFE3C4}" name="11669"/>
    <tableColumn id="11683" xr3:uid="{AD43FF49-1A85-451C-9D12-3184AAB038D9}" name="11670"/>
    <tableColumn id="11684" xr3:uid="{A4FDE51E-5D64-4CE6-AB42-322306EB55F4}" name="11671"/>
    <tableColumn id="11685" xr3:uid="{EA16E06C-2342-4EC6-AFB7-5EC7D58AACBF}" name="11672"/>
    <tableColumn id="11686" xr3:uid="{C687689B-7F97-43A0-B2C1-E975C10CFED3}" name="11673"/>
    <tableColumn id="11687" xr3:uid="{00A1FC2C-947A-4A15-9E7F-B7EA6CECA3D3}" name="11674"/>
    <tableColumn id="11688" xr3:uid="{528ED0BD-26F2-411C-8C2B-749CB352147D}" name="11675"/>
    <tableColumn id="11689" xr3:uid="{0ADAAFB5-BFE0-4F9D-A0C3-9717AC2DD483}" name="11676"/>
    <tableColumn id="11690" xr3:uid="{BBC11198-DED8-4ECE-8A87-314D7CB5A32E}" name="11677"/>
    <tableColumn id="11691" xr3:uid="{7E3CFECE-D3C1-446A-95C8-ACD9F0A98326}" name="11678"/>
    <tableColumn id="11692" xr3:uid="{5D01D546-8454-48C1-924F-903924A608CB}" name="11679"/>
    <tableColumn id="11693" xr3:uid="{898D565E-6B7F-468E-B05C-6096061CCFE9}" name="11680"/>
    <tableColumn id="11694" xr3:uid="{2360DCE6-AC10-40B2-B2E2-B1CDD1F70F34}" name="11681"/>
    <tableColumn id="11695" xr3:uid="{C81496BC-5B4E-4EBD-BE97-C34CE5FFB80A}" name="11682"/>
    <tableColumn id="11696" xr3:uid="{883C39D3-C2B9-497C-95CD-5DA278B58127}" name="11683"/>
    <tableColumn id="11697" xr3:uid="{ED64C701-8BE2-40EC-9B48-AA177DD480AF}" name="11684"/>
    <tableColumn id="11698" xr3:uid="{6CC69F1D-7AD2-448D-BDB0-C9F530F40294}" name="11685"/>
    <tableColumn id="11699" xr3:uid="{31419352-3AC3-4203-8562-F5103354C22C}" name="11686"/>
    <tableColumn id="11700" xr3:uid="{41D1F9F3-E479-4367-9C63-C7214C22BE36}" name="11687"/>
    <tableColumn id="11701" xr3:uid="{04FC8424-0740-433B-8B73-02128960E8EA}" name="11688"/>
    <tableColumn id="11702" xr3:uid="{8E390F8C-14C7-4797-936E-4E94D1B1D100}" name="11689"/>
    <tableColumn id="11703" xr3:uid="{A92F51B1-158B-46FC-BB73-36FD67F751B4}" name="11690"/>
    <tableColumn id="11704" xr3:uid="{5E590FBA-FA79-4DBC-8FC1-E62F956B88AA}" name="11691"/>
    <tableColumn id="11705" xr3:uid="{C12DF766-2A20-4E68-BF35-D164CE48E833}" name="11692"/>
    <tableColumn id="11706" xr3:uid="{B5F863D1-9F92-4491-98AD-8C7D2ED59A63}" name="11693"/>
    <tableColumn id="11707" xr3:uid="{CB3E9CE9-F86A-4687-8A90-952C95C8FFAA}" name="11694"/>
    <tableColumn id="11708" xr3:uid="{D5A0D1FA-4054-4517-A50D-E57BF0217723}" name="11695"/>
    <tableColumn id="11709" xr3:uid="{D4F43B4F-7C33-44F3-B93A-60B359EBF529}" name="11696"/>
    <tableColumn id="11710" xr3:uid="{16D3146E-F90A-48E7-A1CE-22D0AE8C3852}" name="11697"/>
    <tableColumn id="11711" xr3:uid="{F30C486B-9DD6-47B7-B9AC-9047DAA8B9AA}" name="11698"/>
    <tableColumn id="11712" xr3:uid="{F7A90E5A-17D5-4D81-9AEA-C8DC788FD545}" name="11699"/>
    <tableColumn id="11713" xr3:uid="{6B727AB3-5F4A-444F-86A1-823F67B3BC71}" name="11700"/>
    <tableColumn id="11714" xr3:uid="{8FBF4E09-20C1-42CC-8DC8-4E35F182A8A2}" name="11701"/>
    <tableColumn id="11715" xr3:uid="{AB306DC1-8225-4A29-A890-A0C295D74054}" name="11702"/>
    <tableColumn id="11716" xr3:uid="{3F1021A3-5168-4173-819B-C9B705BE1224}" name="11703"/>
    <tableColumn id="11717" xr3:uid="{E40D657E-6324-40FB-9982-64052A273829}" name="11704"/>
    <tableColumn id="11718" xr3:uid="{A7E14801-2205-4AAE-8BC6-163F33D4C216}" name="11705"/>
    <tableColumn id="11719" xr3:uid="{475E904A-06AD-40D2-B57D-FD8EF093E48C}" name="11706"/>
    <tableColumn id="11720" xr3:uid="{2231DC9A-2BCE-44FA-A05F-A79A57C02951}" name="11707"/>
    <tableColumn id="11721" xr3:uid="{5137A098-1016-4C1F-BC6B-DD8FC0FA46F8}" name="11708"/>
    <tableColumn id="11722" xr3:uid="{C14EC63B-BE43-4564-A698-1C47716DB867}" name="11709"/>
    <tableColumn id="11723" xr3:uid="{0D6CF6ED-DDB7-45D4-BABA-08BF857CCF99}" name="11710"/>
    <tableColumn id="11724" xr3:uid="{5518CC3A-0753-4D1E-8D5B-339B373CF71D}" name="11711"/>
    <tableColumn id="11725" xr3:uid="{E0AEBE98-6126-4DFD-83E7-41F865ADFBB2}" name="11712"/>
    <tableColumn id="11726" xr3:uid="{01A94058-3885-4EC0-BEEA-D9D9F1F2F5E8}" name="11713"/>
    <tableColumn id="11727" xr3:uid="{B63F3BB6-A7E8-48F5-9747-D552857625C7}" name="11714"/>
    <tableColumn id="11728" xr3:uid="{3B1BEAF5-9213-4F9D-B8E5-44A8F645236C}" name="11715"/>
    <tableColumn id="11729" xr3:uid="{DD6ABF97-91B1-4E5F-8B25-FD1337105495}" name="11716"/>
    <tableColumn id="11730" xr3:uid="{321EE942-7801-4B3A-B01C-4805382230BA}" name="11717"/>
    <tableColumn id="11731" xr3:uid="{8853CB56-FCC7-4677-BE19-7998C8D9DABC}" name="11718"/>
    <tableColumn id="11732" xr3:uid="{2420D3B4-51BE-48B0-AA11-25672E8A14A5}" name="11719"/>
    <tableColumn id="11733" xr3:uid="{FD17A996-47CD-4483-BA9E-56A2B4635C33}" name="11720"/>
    <tableColumn id="11734" xr3:uid="{E6AF815F-3930-4252-B5B8-722F21D98F1E}" name="11721"/>
    <tableColumn id="11735" xr3:uid="{1068CAE0-0C27-422D-A561-A205E83FB2F1}" name="11722"/>
    <tableColumn id="11736" xr3:uid="{DF69A50C-AE32-45FB-824C-8F788EF8C0CC}" name="11723"/>
    <tableColumn id="11737" xr3:uid="{06816B81-0F2E-49E3-9A52-1337657211B3}" name="11724"/>
    <tableColumn id="11738" xr3:uid="{82744C24-434B-489F-9FBE-83DA86E7A040}" name="11725"/>
    <tableColumn id="11739" xr3:uid="{AB0D56BE-F78B-4FD5-B2D6-7C943D6393F5}" name="11726"/>
    <tableColumn id="11740" xr3:uid="{142199B5-89D6-4153-A6E8-2BBEBF83EE9D}" name="11727"/>
    <tableColumn id="11741" xr3:uid="{40633883-8602-4C13-9221-8EAB539F062C}" name="11728"/>
    <tableColumn id="11742" xr3:uid="{8C171A93-856B-4912-B269-E883AD107B95}" name="11729"/>
    <tableColumn id="11743" xr3:uid="{16A2029D-AFD5-424D-8640-5B32E9B20A3A}" name="11730"/>
    <tableColumn id="11744" xr3:uid="{D4BD1D99-4643-44E4-B7D0-2F1DF6F5B42E}" name="11731"/>
    <tableColumn id="11745" xr3:uid="{C42CABE8-A0FA-4DCA-AB52-34907CEE4356}" name="11732"/>
    <tableColumn id="11746" xr3:uid="{56CABCE7-5114-4D8B-97EF-53E7AD2426C9}" name="11733"/>
    <tableColumn id="11747" xr3:uid="{8A440FC1-2311-49B2-B621-88707C4FE5F2}" name="11734"/>
    <tableColumn id="11748" xr3:uid="{AEC880E7-9027-4EB7-A554-A4A3F322C1FC}" name="11735"/>
    <tableColumn id="11749" xr3:uid="{403F810B-9FE6-42C7-8E71-C0F0051A4746}" name="11736"/>
    <tableColumn id="11750" xr3:uid="{C9FE34CF-FD0D-4C94-A451-75D9CC1EF47E}" name="11737"/>
    <tableColumn id="11751" xr3:uid="{004C88CC-FF03-4F91-BD00-BB9DB8BAB1A7}" name="11738"/>
    <tableColumn id="11752" xr3:uid="{8F56DCCC-5F96-492A-A533-BD9462353CBF}" name="11739"/>
    <tableColumn id="11753" xr3:uid="{C870ED20-87A7-4EF5-8905-C858F0EE6BB5}" name="11740"/>
    <tableColumn id="11754" xr3:uid="{53718112-1288-4F1A-858D-6BD19FEABB1A}" name="11741"/>
    <tableColumn id="11755" xr3:uid="{E61C63F1-0C97-48E0-AB09-7D3B160F08E8}" name="11742"/>
    <tableColumn id="11756" xr3:uid="{27F7B2C6-9814-4DE9-B6C1-887EF0B04CAF}" name="11743"/>
    <tableColumn id="11757" xr3:uid="{A4D89574-4EB1-4E1C-8B47-832B8FCC5F63}" name="11744"/>
    <tableColumn id="11758" xr3:uid="{6A3CA9F6-D250-48BE-ADC4-88E8381257CE}" name="11745"/>
    <tableColumn id="11759" xr3:uid="{632D8240-5378-4BA2-A36C-8C148E40A781}" name="11746"/>
    <tableColumn id="11760" xr3:uid="{64CD0737-24BD-40A4-8F2F-5457BEA00F80}" name="11747"/>
    <tableColumn id="11761" xr3:uid="{B5C5D252-910E-4240-8CB4-E6E4182B6D6E}" name="11748"/>
    <tableColumn id="11762" xr3:uid="{403FF827-F3BA-4187-83C3-15135B55E195}" name="11749"/>
    <tableColumn id="11763" xr3:uid="{9470F8BD-DF69-4F2E-8D29-A5D4C8870A55}" name="11750"/>
    <tableColumn id="11764" xr3:uid="{55CCC7E2-B702-4F07-9C79-01B0FEA6DE4B}" name="11751"/>
    <tableColumn id="11765" xr3:uid="{84DDBDD7-BFAF-490A-9B0D-171928BED649}" name="11752"/>
    <tableColumn id="11766" xr3:uid="{01738683-D523-4974-96A8-265D723C2B88}" name="11753"/>
    <tableColumn id="11767" xr3:uid="{1EEC7C98-D77B-4F13-B745-3F47FF814B61}" name="11754"/>
    <tableColumn id="11768" xr3:uid="{BC12C69B-C886-472C-8362-F28E1C0C4F9F}" name="11755"/>
    <tableColumn id="11769" xr3:uid="{96534B1E-3948-4F51-9082-F9037B7F954B}" name="11756"/>
    <tableColumn id="11770" xr3:uid="{73E3BC0F-C371-426C-B635-A4BDD00C9B4B}" name="11757"/>
    <tableColumn id="11771" xr3:uid="{33CF022C-76C7-43AE-A3BE-ADFE24A34982}" name="11758"/>
    <tableColumn id="11772" xr3:uid="{A7BC0C56-7369-47FB-AFE3-06D0C7928E1B}" name="11759"/>
    <tableColumn id="11773" xr3:uid="{9448E637-EC68-4D77-9D36-68AF7982A4E4}" name="11760"/>
    <tableColumn id="11774" xr3:uid="{EBBAAF05-F982-4898-B5A4-CF56E6EA36FA}" name="11761"/>
    <tableColumn id="11775" xr3:uid="{0E7FFB16-4CB7-4E66-B119-AE53838DAD7A}" name="11762"/>
    <tableColumn id="11776" xr3:uid="{F0D7677B-0844-4012-887A-4035B36104D3}" name="11763"/>
    <tableColumn id="11777" xr3:uid="{858FD2A4-3106-43A7-84AA-B132B82BBAD8}" name="11764"/>
    <tableColumn id="11778" xr3:uid="{95D3E097-45FB-4548-B4E5-8377CA01AA97}" name="11765"/>
    <tableColumn id="11779" xr3:uid="{636789F9-CA1A-4584-A0B1-809324B67502}" name="11766"/>
    <tableColumn id="11780" xr3:uid="{DE25AF5E-ECE2-4C8F-B0C6-75B746FD2A93}" name="11767"/>
    <tableColumn id="11781" xr3:uid="{68514AF4-328B-4DC3-A20D-03D81268A6AF}" name="11768"/>
    <tableColumn id="11782" xr3:uid="{5CCD1D73-5290-4C8F-A016-FB13CB7945FB}" name="11769"/>
    <tableColumn id="11783" xr3:uid="{6647D6FD-B420-4251-9F9E-63D90A35CF6A}" name="11770"/>
    <tableColumn id="11784" xr3:uid="{D0681799-006B-48D0-8B17-C5D50022DBB0}" name="11771"/>
    <tableColumn id="11785" xr3:uid="{D6D9E31A-31DE-4DA5-8560-D72352A61FAE}" name="11772"/>
    <tableColumn id="11786" xr3:uid="{C99392B6-7D2D-49C6-9F0F-1EF7FAF1F196}" name="11773"/>
    <tableColumn id="11787" xr3:uid="{14F74B0C-A285-4BBF-8520-ED3D73E19E5F}" name="11774"/>
    <tableColumn id="11788" xr3:uid="{37AE6190-A8A3-4748-80A2-363F00675666}" name="11775"/>
    <tableColumn id="11789" xr3:uid="{3FC820C8-5628-4FAC-93FA-56BFFC5CE6A3}" name="11776"/>
    <tableColumn id="11790" xr3:uid="{9F4EA220-86AA-4FB3-B6C7-3431A1DE2DE1}" name="11777"/>
    <tableColumn id="11791" xr3:uid="{17061591-B999-42EA-A7C6-B625D93A3DA0}" name="11778"/>
    <tableColumn id="11792" xr3:uid="{FF3B6F7B-3DB1-46F1-AB38-008B3C66DC93}" name="11779"/>
    <tableColumn id="11793" xr3:uid="{3DCE124A-E7D3-4988-8FE0-CB767EEC2F9D}" name="11780"/>
    <tableColumn id="11794" xr3:uid="{7D85EB8C-3AA5-456B-B499-1103F9A34746}" name="11781"/>
    <tableColumn id="11795" xr3:uid="{46B72EBB-81E8-45A2-8E6C-4C5D5F39A7F7}" name="11782"/>
    <tableColumn id="11796" xr3:uid="{942B0665-8DED-4ACC-97AC-198FBF8E5CCF}" name="11783"/>
    <tableColumn id="11797" xr3:uid="{0E3087EB-F773-4426-8F8C-4D41F21BCCD4}" name="11784"/>
    <tableColumn id="11798" xr3:uid="{695B8580-D34A-4F57-B961-1B8E1B192478}" name="11785"/>
    <tableColumn id="11799" xr3:uid="{CA8BF54E-5BE8-41CB-94AA-FA5C051D1B41}" name="11786"/>
    <tableColumn id="11800" xr3:uid="{28E3928B-37A2-479A-884C-29C00E53E61B}" name="11787"/>
    <tableColumn id="11801" xr3:uid="{E237E993-EAD8-4A5B-9428-D506FEB66C59}" name="11788"/>
    <tableColumn id="11802" xr3:uid="{E6CC3927-4942-46DC-AF88-1EFAB422FB55}" name="11789"/>
    <tableColumn id="11803" xr3:uid="{739F0F4B-E618-4D9D-B5AB-53C2A7C0C0EF}" name="11790"/>
    <tableColumn id="11804" xr3:uid="{957C8DC7-42DC-493B-AE67-2CDD5B2CCDA1}" name="11791"/>
    <tableColumn id="11805" xr3:uid="{2930DC7C-CE16-4472-8336-6A1D1DF6B705}" name="11792"/>
    <tableColumn id="11806" xr3:uid="{D1A20C59-6B24-4BFD-B65E-9C213D0302AE}" name="11793"/>
    <tableColumn id="11807" xr3:uid="{29753C21-AE72-4D17-9D25-B4959B4485D8}" name="11794"/>
    <tableColumn id="11808" xr3:uid="{EBD211E1-5901-45CD-AB1D-7B5F6D75EE0C}" name="11795"/>
    <tableColumn id="11809" xr3:uid="{0D55B3EC-CA79-4619-988F-00C0C855D259}" name="11796"/>
    <tableColumn id="11810" xr3:uid="{D3364DD3-4F7B-4FF8-B254-7FFBD394823E}" name="11797"/>
    <tableColumn id="11811" xr3:uid="{C7ADC01E-B16A-4A67-91B1-98C2500D4F76}" name="11798"/>
    <tableColumn id="11812" xr3:uid="{B6E1C0A6-D534-457B-BB36-AB6FE20A97EF}" name="11799"/>
    <tableColumn id="11813" xr3:uid="{1D143D63-25D6-48F5-942B-23731D6D091B}" name="11800"/>
    <tableColumn id="11814" xr3:uid="{146B765F-4194-4342-A682-69375FE25FEC}" name="11801"/>
    <tableColumn id="11815" xr3:uid="{F2BE5C47-A4CD-49C8-B851-7735C6122E10}" name="11802"/>
    <tableColumn id="11816" xr3:uid="{6D1F8066-3DD2-4DFA-BC23-1E2C14914007}" name="11803"/>
    <tableColumn id="11817" xr3:uid="{881445A0-684F-41E0-B5AE-1F2C89A0A13A}" name="11804"/>
    <tableColumn id="11818" xr3:uid="{D361D7F0-1DBB-4824-86C8-2B43AF6843A6}" name="11805"/>
    <tableColumn id="11819" xr3:uid="{BD0619AA-4CDD-4AFB-814E-90EF7E31C3C5}" name="11806"/>
    <tableColumn id="11820" xr3:uid="{431E9F34-6634-4314-9C4A-3CF34E680FF0}" name="11807"/>
    <tableColumn id="11821" xr3:uid="{17A80AE7-B43D-481E-B91A-39E384BD6203}" name="11808"/>
    <tableColumn id="11822" xr3:uid="{EADB3798-2667-41CB-A8D4-854326E1D92D}" name="11809"/>
    <tableColumn id="11823" xr3:uid="{14B9B8FB-E2E8-4A97-A359-AEF8A7212BDA}" name="11810"/>
    <tableColumn id="11824" xr3:uid="{5EABB018-8FDA-4828-890C-1522F902E694}" name="11811"/>
    <tableColumn id="11825" xr3:uid="{50310D53-9B02-48AB-8834-8CC6AD80F254}" name="11812"/>
    <tableColumn id="11826" xr3:uid="{2E09E459-20EA-40BE-942D-DD427BFACE83}" name="11813"/>
    <tableColumn id="11827" xr3:uid="{A819E1E2-ACC4-4ED0-BF36-D802B3E15E04}" name="11814"/>
    <tableColumn id="11828" xr3:uid="{72C77E2B-CDC8-4C2A-BE92-F9C6FFA2EF50}" name="11815"/>
    <tableColumn id="11829" xr3:uid="{3270A92E-1260-4830-9FED-FEB1AEB70F0D}" name="11816"/>
    <tableColumn id="11830" xr3:uid="{51AA91C4-8682-4874-B4A8-06F10F38926A}" name="11817"/>
    <tableColumn id="11831" xr3:uid="{7870CC14-23E2-4947-9E3F-942B3A04E3CF}" name="11818"/>
    <tableColumn id="11832" xr3:uid="{1D0E181D-54A0-4FFE-90F0-0ED8124EEA19}" name="11819"/>
    <tableColumn id="11833" xr3:uid="{5FA4182E-380B-4F2E-A008-6D7256D0B5DE}" name="11820"/>
    <tableColumn id="11834" xr3:uid="{765EF2C6-3BD3-4114-857E-BDF5740231FC}" name="11821"/>
    <tableColumn id="11835" xr3:uid="{CD2A16F5-D379-4DF7-81EC-E2358C27327E}" name="11822"/>
    <tableColumn id="11836" xr3:uid="{D73DACC8-E0F3-43FF-8157-E2AD104A920A}" name="11823"/>
    <tableColumn id="11837" xr3:uid="{534B4B76-04B6-4211-BBA2-439127E88376}" name="11824"/>
    <tableColumn id="11838" xr3:uid="{758ED5CB-1908-4365-97B7-9D5E5491A4AC}" name="11825"/>
    <tableColumn id="11839" xr3:uid="{8F1EC8FC-22E0-4D88-822D-A080791654DF}" name="11826"/>
    <tableColumn id="11840" xr3:uid="{05314ABB-AB21-4D53-8741-A1DE642F0512}" name="11827"/>
    <tableColumn id="11841" xr3:uid="{0E5F3D1A-D242-43B2-8205-B189C7368829}" name="11828"/>
    <tableColumn id="11842" xr3:uid="{7AF2771F-AD07-44B9-90A3-1004B7CAC704}" name="11829"/>
    <tableColumn id="11843" xr3:uid="{A12B7F2A-D318-4507-8AAD-14CAB34AA8F3}" name="11830"/>
    <tableColumn id="11844" xr3:uid="{6421BBAD-68F4-4231-B454-AD84FD1EF131}" name="11831"/>
    <tableColumn id="11845" xr3:uid="{8B9C0BEA-CC7F-40DD-8D64-9973B383C3AD}" name="11832"/>
    <tableColumn id="11846" xr3:uid="{D2F1D869-BE54-4FA5-83CD-396824A43056}" name="11833"/>
    <tableColumn id="11847" xr3:uid="{9F79BA17-459F-484C-8338-BABE4EA955E5}" name="11834"/>
    <tableColumn id="11848" xr3:uid="{F4EB66B4-9AE4-4984-9582-DF3C9AA0B09E}" name="11835"/>
    <tableColumn id="11849" xr3:uid="{68680574-7E28-42CA-BB09-3B2B253BF7B1}" name="11836"/>
    <tableColumn id="11850" xr3:uid="{7C658F2D-EFCA-4215-94A0-B4FC4990279E}" name="11837"/>
    <tableColumn id="11851" xr3:uid="{51187887-F34A-4D12-9E2F-CEB3EAECAD4D}" name="11838"/>
    <tableColumn id="11852" xr3:uid="{FFC7681B-B5C2-4E41-AE51-B3926BE88B2A}" name="11839"/>
    <tableColumn id="11853" xr3:uid="{C5A6B223-02B2-4BAD-A0EC-5DD2B3C31164}" name="11840"/>
    <tableColumn id="11854" xr3:uid="{AF087A5B-FF43-42D5-A7F6-3DA3B68F97C5}" name="11841"/>
    <tableColumn id="11855" xr3:uid="{1017339B-A939-4ED3-B624-8160C59BF7B9}" name="11842"/>
    <tableColumn id="11856" xr3:uid="{65399562-B08D-4BB1-B271-F51BC66EE98F}" name="11843"/>
    <tableColumn id="11857" xr3:uid="{14CD0A8D-DEB3-49A9-8A9D-A955061F84C6}" name="11844"/>
    <tableColumn id="11858" xr3:uid="{1CEF73DA-4875-4017-AF02-9251FB493906}" name="11845"/>
    <tableColumn id="11859" xr3:uid="{24B99C94-6C2B-4DF7-9C58-9346A851F414}" name="11846"/>
    <tableColumn id="11860" xr3:uid="{BF9AE99A-D107-4AE3-B278-813EEB3FE793}" name="11847"/>
    <tableColumn id="11861" xr3:uid="{A9CE5920-E0D6-46CC-8234-141401DEEE75}" name="11848"/>
    <tableColumn id="11862" xr3:uid="{B66CFA58-7F4C-47C8-A7BE-172063CDA940}" name="11849"/>
    <tableColumn id="11863" xr3:uid="{45AC8B92-B9A8-448D-86B2-D1F85EEE3823}" name="11850"/>
    <tableColumn id="11864" xr3:uid="{FAFBFF0F-21C4-4BAD-B0AA-D1FB0AEB3BCF}" name="11851"/>
    <tableColumn id="11865" xr3:uid="{9B1ED6BD-15CF-4913-917E-A21D2BCA8FF6}" name="11852"/>
    <tableColumn id="11866" xr3:uid="{B48A1339-6258-4DC4-9937-DFA4ECB09F27}" name="11853"/>
    <tableColumn id="11867" xr3:uid="{E16A539A-0A8E-465F-BA81-1A08D53B9126}" name="11854"/>
    <tableColumn id="11868" xr3:uid="{80BB1F58-21DC-4CCE-9464-8BC833580D36}" name="11855"/>
    <tableColumn id="11869" xr3:uid="{F8DE965F-46FC-4003-A679-0DCF997E67B3}" name="11856"/>
    <tableColumn id="11870" xr3:uid="{05135B4E-B5A8-4261-8DFC-A7C08734347A}" name="11857"/>
    <tableColumn id="11871" xr3:uid="{D23B1576-E943-4FD5-AA04-D1755862F315}" name="11858"/>
    <tableColumn id="11872" xr3:uid="{E49F42D7-B82E-485C-8F83-2823AD984141}" name="11859"/>
    <tableColumn id="11873" xr3:uid="{F4A7C870-2E73-4244-B7F8-167B5E0AD2EF}" name="11860"/>
    <tableColumn id="11874" xr3:uid="{E7F0C0D4-BCA1-445C-90E5-49D33B979BC9}" name="11861"/>
    <tableColumn id="11875" xr3:uid="{CF420C23-F980-4886-B66F-F00E1E805F4E}" name="11862"/>
    <tableColumn id="11876" xr3:uid="{AA47D51C-111C-487B-ABBD-0557B55B773D}" name="11863"/>
    <tableColumn id="11877" xr3:uid="{C22CD836-F428-4ED9-8E4B-44F9B717BF90}" name="11864"/>
    <tableColumn id="11878" xr3:uid="{A1063B9F-6628-4968-817D-1859D8C64044}" name="11865"/>
    <tableColumn id="11879" xr3:uid="{DB8CFAAC-0B30-46C2-A7EA-EB0D4FDF353D}" name="11866"/>
    <tableColumn id="11880" xr3:uid="{E76277CE-5163-4439-AB6B-50EE41778625}" name="11867"/>
    <tableColumn id="11881" xr3:uid="{0A98BF7C-ACE1-46A3-97C1-FEFDCA915B65}" name="11868"/>
    <tableColumn id="11882" xr3:uid="{B18AC12B-474A-4839-B1A0-69AA582A9A6F}" name="11869"/>
    <tableColumn id="11883" xr3:uid="{63822DBC-C9AD-4D3E-BF55-E39AE5000A25}" name="11870"/>
    <tableColumn id="11884" xr3:uid="{CE474D27-68B6-4FB3-8755-A1D811CE3536}" name="11871"/>
    <tableColumn id="11885" xr3:uid="{35604044-8D23-400C-812C-5C2A643529AD}" name="11872"/>
    <tableColumn id="11886" xr3:uid="{887C6496-DDB2-4AB2-9ABF-CCFFE68EF332}" name="11873"/>
    <tableColumn id="11887" xr3:uid="{92029DEE-9A77-4B96-A560-FFE5ADFF5584}" name="11874"/>
    <tableColumn id="11888" xr3:uid="{C13E8CA4-0D4C-4DC2-A0C0-DA5CF881104D}" name="11875"/>
    <tableColumn id="11889" xr3:uid="{189AAC99-31FF-4700-BCB6-3DD546BA6D0C}" name="11876"/>
    <tableColumn id="11890" xr3:uid="{0202F664-F8A2-4EF7-AA98-DA79B13092BB}" name="11877"/>
    <tableColumn id="11891" xr3:uid="{92E632ED-0F5D-4632-B9BC-6E1FD40FF3E9}" name="11878"/>
    <tableColumn id="11892" xr3:uid="{25B446F7-3D1A-43DA-AC10-67EDBA9D3789}" name="11879"/>
    <tableColumn id="11893" xr3:uid="{298F9921-4CD7-40F2-B721-A95F55A75F0C}" name="11880"/>
    <tableColumn id="11894" xr3:uid="{86DB7406-5D08-4C1C-83CA-D14CD579584B}" name="11881"/>
    <tableColumn id="11895" xr3:uid="{52E85A7C-6FA1-4870-AACB-BB7B6E359669}" name="11882"/>
    <tableColumn id="11896" xr3:uid="{9703EF8A-BD94-4D5F-BD13-729F1344D585}" name="11883"/>
    <tableColumn id="11897" xr3:uid="{61E6C411-6949-4BF8-85CB-527D2107EF90}" name="11884"/>
    <tableColumn id="11898" xr3:uid="{6B8282AE-9862-40CC-9C21-8E5C496727F7}" name="11885"/>
    <tableColumn id="11899" xr3:uid="{5700B86B-61FA-4433-8BD6-4116FF340124}" name="11886"/>
    <tableColumn id="11900" xr3:uid="{296B955C-EEAF-48BD-8091-E3C0FF3EEC0C}" name="11887"/>
    <tableColumn id="11901" xr3:uid="{B4313E84-264F-4C21-9091-81B5A3415CB0}" name="11888"/>
    <tableColumn id="11902" xr3:uid="{EC405A63-3B83-4E2E-9BEC-ACA4951A4CA3}" name="11889"/>
    <tableColumn id="11903" xr3:uid="{E8C6212F-2376-4C5B-B774-C91886CC47F7}" name="11890"/>
    <tableColumn id="11904" xr3:uid="{A5489E5D-0955-446D-9175-4CE06D7C2162}" name="11891"/>
    <tableColumn id="11905" xr3:uid="{D1C55900-21BE-4977-8523-ADC078015FE8}" name="11892"/>
    <tableColumn id="11906" xr3:uid="{E226237A-54B1-4487-BBF8-3EC568F6A296}" name="11893"/>
    <tableColumn id="11907" xr3:uid="{5021B1F1-AE64-4F24-B515-50CECF5A8F42}" name="11894"/>
    <tableColumn id="11908" xr3:uid="{2A57EF2B-AC6B-465F-B883-E7421CA3090F}" name="11895"/>
    <tableColumn id="11909" xr3:uid="{C423CCDB-6E26-4C0F-B2C1-502133B931FE}" name="11896"/>
    <tableColumn id="11910" xr3:uid="{E0E3C540-419D-40D4-9654-DD6DFBE0AF9B}" name="11897"/>
    <tableColumn id="11911" xr3:uid="{4FC6FC9A-706C-4081-AD63-A20482A97827}" name="11898"/>
    <tableColumn id="11912" xr3:uid="{55C8B654-701F-4E60-9175-603DAC24DB64}" name="11899"/>
    <tableColumn id="11913" xr3:uid="{A790C693-0DDF-4A8D-B4BD-777920572613}" name="11900"/>
    <tableColumn id="11914" xr3:uid="{CAC34E4F-6597-4EB5-A053-64D512FDCF79}" name="11901"/>
    <tableColumn id="11915" xr3:uid="{700F51C6-8F55-4EE5-97D8-6C17B9F1BEE9}" name="11902"/>
    <tableColumn id="11916" xr3:uid="{A860F5E7-E67A-4E38-A61E-10DAD9128A5F}" name="11903"/>
    <tableColumn id="11917" xr3:uid="{3245DAEE-3FE3-49F0-8C38-83F298A34833}" name="11904"/>
    <tableColumn id="11918" xr3:uid="{EDE978DE-DCFD-49DD-98B2-9214AB328036}" name="11905"/>
    <tableColumn id="11919" xr3:uid="{36926A6D-6333-4F80-9717-DA70A1F45748}" name="11906"/>
    <tableColumn id="11920" xr3:uid="{9ED67AA0-049C-4ED5-A182-E50D638AC1EA}" name="11907"/>
    <tableColumn id="11921" xr3:uid="{412FFB07-2A9B-4A11-8CFA-255850C9070C}" name="11908"/>
    <tableColumn id="11922" xr3:uid="{E770B7D3-0DA8-48AF-8A53-6F1421B55062}" name="11909"/>
    <tableColumn id="11923" xr3:uid="{025D08CE-7E88-455F-9ACA-3296F87725FF}" name="11910"/>
    <tableColumn id="11924" xr3:uid="{9386FC92-A0FA-4147-B232-E7558E7AB730}" name="11911"/>
    <tableColumn id="11925" xr3:uid="{F126C127-3578-49EE-BDD6-5174AC96215D}" name="11912"/>
    <tableColumn id="11926" xr3:uid="{25E163E0-4588-4E3C-9460-8D3C72A8003F}" name="11913"/>
    <tableColumn id="11927" xr3:uid="{6DA7764B-AB84-46BB-86CA-DD6C01744761}" name="11914"/>
    <tableColumn id="11928" xr3:uid="{55637AE5-9F9C-41E7-A80F-572750D14291}" name="11915"/>
    <tableColumn id="11929" xr3:uid="{DBE8933A-9B71-49BB-AC42-244EA9427369}" name="11916"/>
    <tableColumn id="11930" xr3:uid="{D8EDF295-D36D-40C2-B501-6952D014463E}" name="11917"/>
    <tableColumn id="11931" xr3:uid="{8AA33CD2-C5EE-4C95-BCBE-3C1CF7710EBF}" name="11918"/>
    <tableColumn id="11932" xr3:uid="{972B1DFC-85AE-4364-A801-79016212672A}" name="11919"/>
    <tableColumn id="11933" xr3:uid="{589AFEB7-7BE5-4F0D-BE23-1D8F7931C06F}" name="11920"/>
    <tableColumn id="11934" xr3:uid="{0BA62D82-D371-42E1-90DF-BE78C8FB5907}" name="11921"/>
    <tableColumn id="11935" xr3:uid="{2C27D39D-BA78-4D86-89F9-C23B0998BD73}" name="11922"/>
    <tableColumn id="11936" xr3:uid="{EF2B6C11-3940-40A4-9216-EF3A5CC6B95D}" name="11923"/>
    <tableColumn id="11937" xr3:uid="{AC944BA3-638C-431F-B8EF-97295EFB7B1A}" name="11924"/>
    <tableColumn id="11938" xr3:uid="{3EE3A6CE-55BD-4E85-87B3-B52056E8BE53}" name="11925"/>
    <tableColumn id="11939" xr3:uid="{21648484-0031-4AA3-A90B-FB1A1C9E8F37}" name="11926"/>
    <tableColumn id="11940" xr3:uid="{D56CB235-2B67-4D05-BB5A-68DA83593D45}" name="11927"/>
    <tableColumn id="11941" xr3:uid="{A46C1A07-00EA-44DF-B31D-CC772EB3D99D}" name="11928"/>
    <tableColumn id="11942" xr3:uid="{C5BCE5C1-BF0A-4D86-B9B6-B9EAC775DA8A}" name="11929"/>
    <tableColumn id="11943" xr3:uid="{ABB4A43B-643C-4006-BFE9-043DBE1C154F}" name="11930"/>
    <tableColumn id="11944" xr3:uid="{3AB1612B-FB2E-4BC3-B4AF-935B87A80880}" name="11931"/>
    <tableColumn id="11945" xr3:uid="{08CD94B9-F8F1-4069-868F-2353126521D2}" name="11932"/>
    <tableColumn id="11946" xr3:uid="{7417E2E6-CFAE-4EE7-9024-3ED52BBFCB1E}" name="11933"/>
    <tableColumn id="11947" xr3:uid="{CC03683E-BC81-4127-A752-017FC8956469}" name="11934"/>
    <tableColumn id="11948" xr3:uid="{7D4DC8C5-3853-44E4-9047-E70D1F55B503}" name="11935"/>
    <tableColumn id="11949" xr3:uid="{B119233C-E838-4C74-A7B2-620F139E33C8}" name="11936"/>
    <tableColumn id="11950" xr3:uid="{7EA5963F-B7B1-4E7F-B112-375990D8F3D2}" name="11937"/>
    <tableColumn id="11951" xr3:uid="{8FCF2C43-0B98-4D49-A8FE-2E0EE75BC194}" name="11938"/>
    <tableColumn id="11952" xr3:uid="{F770357C-3C0D-48C0-8CF6-43CAC096B054}" name="11939"/>
    <tableColumn id="11953" xr3:uid="{1D0452F0-40C0-47BC-9AAA-6BE06C6FB306}" name="11940"/>
    <tableColumn id="11954" xr3:uid="{96495990-7BE3-493C-96D5-82D815EF2536}" name="11941"/>
    <tableColumn id="11955" xr3:uid="{2173C471-2168-44EA-8C00-0C76FC2ABB57}" name="11942"/>
    <tableColumn id="11956" xr3:uid="{AFE412E3-05F4-4F86-84C2-9FD1E3152F80}" name="11943"/>
    <tableColumn id="11957" xr3:uid="{1964C963-3E19-4A01-8220-D5AA387936AA}" name="11944"/>
    <tableColumn id="11958" xr3:uid="{084C56F7-C130-4B72-9892-2B1F19BC342E}" name="11945"/>
    <tableColumn id="11959" xr3:uid="{674C4378-DC2F-4ED4-9591-E27B430C34E7}" name="11946"/>
    <tableColumn id="11960" xr3:uid="{8591221C-E93F-48E1-AFD2-376524C74AF0}" name="11947"/>
    <tableColumn id="11961" xr3:uid="{F081B902-4630-49E0-9492-514143FC711F}" name="11948"/>
    <tableColumn id="11962" xr3:uid="{1843F28C-9F79-463C-A8A9-DE170CC22D56}" name="11949"/>
    <tableColumn id="11963" xr3:uid="{187743A8-74C4-4D3F-9E31-E69159FE1D57}" name="11950"/>
    <tableColumn id="11964" xr3:uid="{9AA98244-3EA5-43FB-A50C-99C03ECD84E1}" name="11951"/>
    <tableColumn id="11965" xr3:uid="{8A3F96F0-C994-4D99-A90F-4673053EF818}" name="11952"/>
    <tableColumn id="11966" xr3:uid="{A4E8D8F3-D9CF-4778-B22F-8C942A2553E3}" name="11953"/>
    <tableColumn id="11967" xr3:uid="{45F08223-901C-41A0-ABB7-EBA6DC117CBD}" name="11954"/>
    <tableColumn id="11968" xr3:uid="{33DBA35B-446B-4874-8400-F24BEC8FBFEC}" name="11955"/>
    <tableColumn id="11969" xr3:uid="{5DAB6A6E-66BB-4C48-9ED4-F7D8ED8C6844}" name="11956"/>
    <tableColumn id="11970" xr3:uid="{9A4EFA1F-19C1-4509-8294-F6955DCC5412}" name="11957"/>
    <tableColumn id="11971" xr3:uid="{CB0FCA93-5E18-4CA0-B54C-CAFDBB64C443}" name="11958"/>
    <tableColumn id="11972" xr3:uid="{F32A103E-2395-4E1E-AA78-8E81C1EA4713}" name="11959"/>
    <tableColumn id="11973" xr3:uid="{DE4640F4-9458-4718-9849-46D12D23334F}" name="11960"/>
    <tableColumn id="11974" xr3:uid="{EDC940B0-AC5D-4D67-BD7C-5BC9D200778D}" name="11961"/>
    <tableColumn id="11975" xr3:uid="{1D054F8C-1AD2-44A5-B2A0-57A8E2DABC4D}" name="11962"/>
    <tableColumn id="11976" xr3:uid="{7B2630C7-6B04-48F5-A756-3D0A39607795}" name="11963"/>
    <tableColumn id="11977" xr3:uid="{02AA09F9-B667-498A-8747-5517BA85805B}" name="11964"/>
    <tableColumn id="11978" xr3:uid="{E13D1090-0BDF-4E9D-9A7F-979E4094719B}" name="11965"/>
    <tableColumn id="11979" xr3:uid="{22FC4E1F-DE7B-41CA-B068-74E6A90F2547}" name="11966"/>
    <tableColumn id="11980" xr3:uid="{C8406943-7390-4B54-83C7-B5FF63A95116}" name="11967"/>
    <tableColumn id="11981" xr3:uid="{09F313D5-8399-4A5E-B702-DC13F77B4D5E}" name="11968"/>
    <tableColumn id="11982" xr3:uid="{7E25BEB6-2723-4B46-9ED2-20406B769090}" name="11969"/>
    <tableColumn id="11983" xr3:uid="{34C94419-0B26-4D06-A0F0-B3B58872854F}" name="11970"/>
    <tableColumn id="11984" xr3:uid="{08B66693-71EB-4BC4-BD40-FADF2D2C9A55}" name="11971"/>
    <tableColumn id="11985" xr3:uid="{AAD10FCC-CE47-4BA6-A10A-ABAC2A768DDB}" name="11972"/>
    <tableColumn id="11986" xr3:uid="{487CA783-8F01-4B15-B763-CA0DC55C6BEC}" name="11973"/>
    <tableColumn id="11987" xr3:uid="{FD0EF52C-A372-4733-8569-9FAA291AA7AD}" name="11974"/>
    <tableColumn id="11988" xr3:uid="{20E24D59-10CD-4ABE-8FCE-CA9D6C44CB7B}" name="11975"/>
    <tableColumn id="11989" xr3:uid="{4462930E-189D-4798-B912-C17FDE47621E}" name="11976"/>
    <tableColumn id="11990" xr3:uid="{E64DBBCC-786B-4EE2-835D-D6A4B51BDA68}" name="11977"/>
    <tableColumn id="11991" xr3:uid="{DA8B2FC7-73A2-4692-BE9E-AC7166D2CAE2}" name="11978"/>
    <tableColumn id="11992" xr3:uid="{AF322D70-90CB-4582-8A25-DE8FA8B3FA40}" name="11979"/>
    <tableColumn id="11993" xr3:uid="{91AB9878-EE97-45AD-ADFD-DB05128C1480}" name="11980"/>
    <tableColumn id="11994" xr3:uid="{AC6E6BCC-1C69-49C5-BC20-D5576AE4F96F}" name="11981"/>
    <tableColumn id="11995" xr3:uid="{08CA5085-D2CC-4ECA-A357-EA4D999FFCA6}" name="11982"/>
    <tableColumn id="11996" xr3:uid="{4254B1B9-2F4F-46D5-9DCA-F26939D2E6DB}" name="11983"/>
    <tableColumn id="11997" xr3:uid="{C054AD01-9C3A-4E83-810A-45BA95D7E769}" name="11984"/>
    <tableColumn id="11998" xr3:uid="{052B26EF-8B8D-42D8-B4BC-CABEBF9F26DA}" name="11985"/>
    <tableColumn id="11999" xr3:uid="{4F8B06A3-42C6-4CB3-8A7D-8C3ADCE52BE1}" name="11986"/>
    <tableColumn id="12000" xr3:uid="{D294F842-8BEB-46A4-A565-C1FCA5F13A18}" name="11987"/>
    <tableColumn id="12001" xr3:uid="{BAE33DF9-FEBE-4A9B-B7EC-BBE8C90419E4}" name="11988"/>
    <tableColumn id="12002" xr3:uid="{7648B032-019F-4046-BAB5-65C567BCE5AE}" name="11989"/>
    <tableColumn id="12003" xr3:uid="{4678DB96-D28D-40F4-A0B1-4203C16685C8}" name="11990"/>
    <tableColumn id="12004" xr3:uid="{863E965A-DEF0-4E43-BD6F-CAB6FFDA306E}" name="11991"/>
    <tableColumn id="12005" xr3:uid="{84DE222E-CC34-494B-B6FF-CD240718BA4D}" name="11992"/>
    <tableColumn id="12006" xr3:uid="{83BD4A54-1A0D-4EA9-A2C0-931BD7277604}" name="11993"/>
    <tableColumn id="12007" xr3:uid="{6F682EA5-6AF1-4D5A-B2EE-E45CE63C7D00}" name="11994"/>
    <tableColumn id="12008" xr3:uid="{8EB248BC-0203-4D1C-AE51-7E5ED440057C}" name="11995"/>
    <tableColumn id="12009" xr3:uid="{D482D02B-1E79-41B7-AAEC-9E85981E176A}" name="11996"/>
    <tableColumn id="12010" xr3:uid="{EABFBF01-8444-49E2-8CF3-AF9BC08EEC91}" name="11997"/>
    <tableColumn id="12011" xr3:uid="{D95BFC1E-13A0-4AF4-986A-4019BDBD8A09}" name="11998"/>
    <tableColumn id="12012" xr3:uid="{0881A707-C51D-4F44-905E-B51BB1E87A6A}" name="11999"/>
    <tableColumn id="12013" xr3:uid="{578D3A76-7048-4896-97C5-04AC9C2BBAA8}" name="12000"/>
    <tableColumn id="12014" xr3:uid="{9D741EDD-0059-46A9-9980-623651FAB504}" name="12001"/>
    <tableColumn id="12015" xr3:uid="{AC084A70-CC67-4769-A6F0-D6E23BE91B5D}" name="12002"/>
    <tableColumn id="12016" xr3:uid="{CAB3EDEF-F1C2-4C65-A7B0-AF7F62378953}" name="12003"/>
    <tableColumn id="12017" xr3:uid="{936AFA4C-7965-468C-816A-D0EA7898FF60}" name="12004"/>
    <tableColumn id="12018" xr3:uid="{1FB5CEE8-AAB0-4BB0-A2AD-4C90ECAE4B86}" name="12005"/>
    <tableColumn id="12019" xr3:uid="{BA600C2C-52D2-48A1-AB54-404C96639EAE}" name="12006"/>
    <tableColumn id="12020" xr3:uid="{795C2629-BFC3-4744-9C40-ACD1962338F3}" name="12007"/>
    <tableColumn id="12021" xr3:uid="{171C393F-EBED-4DED-A764-C4F8999A38DE}" name="12008"/>
    <tableColumn id="12022" xr3:uid="{D89E65AE-3970-46C5-9A7E-BAC18751F1CF}" name="12009"/>
    <tableColumn id="12023" xr3:uid="{0254F4E1-8168-484E-B30D-64D2F053B6C3}" name="12010"/>
    <tableColumn id="12024" xr3:uid="{B160232A-9D1B-4F62-9850-68980AFE5FC1}" name="12011"/>
    <tableColumn id="12025" xr3:uid="{92156719-B62B-4EB6-8597-485745E16D84}" name="12012"/>
    <tableColumn id="12026" xr3:uid="{393B4F3F-4B59-41B7-B2A2-9EE886249370}" name="12013"/>
    <tableColumn id="12027" xr3:uid="{9F3610D4-A524-4BC5-BFC7-3D4AD96FE9C0}" name="12014"/>
    <tableColumn id="12028" xr3:uid="{04524C58-9F61-465A-A46D-C62F1F17A5A1}" name="12015"/>
    <tableColumn id="12029" xr3:uid="{A7E51B60-8A85-4F93-A846-45B0CC9E1AAD}" name="12016"/>
    <tableColumn id="12030" xr3:uid="{B8B02354-4C7C-4736-9747-B8D580D8AEE7}" name="12017"/>
    <tableColumn id="12031" xr3:uid="{D4C05380-0CA7-4131-B882-FD100F9C4555}" name="12018"/>
    <tableColumn id="12032" xr3:uid="{1A2B60EE-E67E-4CD5-818B-AB4C947B7124}" name="12019"/>
    <tableColumn id="12033" xr3:uid="{9D88CB31-610B-409B-9821-90C1D6FB4589}" name="12020"/>
    <tableColumn id="12034" xr3:uid="{B711EFA9-1AE9-435E-9B80-DF6B2CD59D4C}" name="12021"/>
    <tableColumn id="12035" xr3:uid="{0361F0F5-354D-4A91-A11D-713F8CF47F6F}" name="12022"/>
    <tableColumn id="12036" xr3:uid="{47DBCE70-5663-4FE3-8B9C-225A65DE2D14}" name="12023"/>
    <tableColumn id="12037" xr3:uid="{3632C2DA-C672-4135-8B9C-4935D0BEC765}" name="12024"/>
    <tableColumn id="12038" xr3:uid="{89FC297C-6C9B-472C-9C98-4FF2CB9B79B6}" name="12025"/>
    <tableColumn id="12039" xr3:uid="{4B581689-1E25-4101-A9DA-BBA5C7E52252}" name="12026"/>
    <tableColumn id="12040" xr3:uid="{16034156-D3AB-4DCB-AC00-417C885D80E9}" name="12027"/>
    <tableColumn id="12041" xr3:uid="{D05B73E6-24FA-4E93-A14D-4263A6D3A661}" name="12028"/>
    <tableColumn id="12042" xr3:uid="{50AA7D50-9F32-486F-8EA4-390B7CFDC77E}" name="12029"/>
    <tableColumn id="12043" xr3:uid="{8660A2D7-4114-435B-B075-D80336EBF1A3}" name="12030"/>
    <tableColumn id="12044" xr3:uid="{8BE55F55-80DD-4A85-B75D-81C54D57592B}" name="12031"/>
    <tableColumn id="12045" xr3:uid="{7BA28484-C40C-4C74-89D6-2423E7A99B8D}" name="12032"/>
    <tableColumn id="12046" xr3:uid="{B54DAC21-0D5D-4EF8-A5D2-898CE44EA013}" name="12033"/>
    <tableColumn id="12047" xr3:uid="{948AD3CF-9B1C-4E7E-8AC8-DE2095F859E5}" name="12034"/>
    <tableColumn id="12048" xr3:uid="{637BD0C4-3ACB-4D7F-A9BA-C2168F4E34A2}" name="12035"/>
    <tableColumn id="12049" xr3:uid="{1B184F98-095F-40A0-8DD6-836FBFFF2E8D}" name="12036"/>
    <tableColumn id="12050" xr3:uid="{752499E0-E11F-479E-9058-6404200A1689}" name="12037"/>
    <tableColumn id="12051" xr3:uid="{24C3D695-95F0-4C20-982C-42B9CB60288D}" name="12038"/>
    <tableColumn id="12052" xr3:uid="{2823B84F-681F-435B-82CE-B8CB7DDF97BB}" name="12039"/>
    <tableColumn id="12053" xr3:uid="{4265A8A3-646F-4EC5-8E61-69F8CF55E0CF}" name="12040"/>
    <tableColumn id="12054" xr3:uid="{AB53FAF5-26B7-40F2-A529-F368344E0665}" name="12041"/>
    <tableColumn id="12055" xr3:uid="{C3465A9D-7FF6-4254-B7AA-4DEC32D00136}" name="12042"/>
    <tableColumn id="12056" xr3:uid="{B14F2430-7529-4ACB-8B0A-B272E64DFFEB}" name="12043"/>
    <tableColumn id="12057" xr3:uid="{A04432EE-62A0-4787-8807-BED1E690D0D0}" name="12044"/>
    <tableColumn id="12058" xr3:uid="{31256693-BC63-40AB-A838-C1D1E4676293}" name="12045"/>
    <tableColumn id="12059" xr3:uid="{E68F3BCC-4B60-442E-8135-83BCCA4D287E}" name="12046"/>
    <tableColumn id="12060" xr3:uid="{CBB75033-7373-41FC-8BC0-EAC6FDD4EE2A}" name="12047"/>
    <tableColumn id="12061" xr3:uid="{5F6DBDC9-29E8-444C-9E26-8CABD6AF743E}" name="12048"/>
    <tableColumn id="12062" xr3:uid="{3B4817A7-5716-4729-BD48-F346C8B72338}" name="12049"/>
    <tableColumn id="12063" xr3:uid="{65119187-1C86-4DD9-A9A7-35F98C0226A4}" name="12050"/>
    <tableColumn id="12064" xr3:uid="{DAC8CCFD-77F3-4E2B-B177-AEB341C795B6}" name="12051"/>
    <tableColumn id="12065" xr3:uid="{A9A15F81-CA32-4884-84CE-BD4CACABCA39}" name="12052"/>
    <tableColumn id="12066" xr3:uid="{5408C660-A3B7-4F37-AB11-280A8942ED9B}" name="12053"/>
    <tableColumn id="12067" xr3:uid="{59ABCEE2-7C3B-460F-A291-A2AAC1C0EA8C}" name="12054"/>
    <tableColumn id="12068" xr3:uid="{1F798C52-A90A-47FE-8E3F-94E8B1EB51A6}" name="12055"/>
    <tableColumn id="12069" xr3:uid="{A3B3DA03-25FE-4F89-9D30-C8D4E87563CD}" name="12056"/>
    <tableColumn id="12070" xr3:uid="{4CE1F2E3-0BB0-4B3A-9817-0F4DF5FC9062}" name="12057"/>
    <tableColumn id="12071" xr3:uid="{B394E7DD-DD17-44B9-AFC7-48840F08DFE0}" name="12058"/>
    <tableColumn id="12072" xr3:uid="{DEE0600D-E0A2-41A2-A60C-0A2BC9CF96FF}" name="12059"/>
    <tableColumn id="12073" xr3:uid="{A0D95D32-A425-42D6-A629-9E4586F78207}" name="12060"/>
    <tableColumn id="12074" xr3:uid="{E84F57BD-9610-4828-8A25-683AE89AA228}" name="12061"/>
    <tableColumn id="12075" xr3:uid="{2DDBAE9B-71FB-447C-A310-25596EEFEC59}" name="12062"/>
    <tableColumn id="12076" xr3:uid="{9E285F3B-6BEF-4210-BDB4-525E63454FDD}" name="12063"/>
    <tableColumn id="12077" xr3:uid="{C9763FE2-F3A5-4D96-819D-01E0FF5211F9}" name="12064"/>
    <tableColumn id="12078" xr3:uid="{ECB3B1A1-618C-48EF-BFD8-AA2155CA5F8C}" name="12065"/>
    <tableColumn id="12079" xr3:uid="{39C423A0-DA6B-4812-8B61-001FCE5C0E96}" name="12066"/>
    <tableColumn id="12080" xr3:uid="{D85FE9F7-B13A-43F4-B69F-35224EAA5C8F}" name="12067"/>
    <tableColumn id="12081" xr3:uid="{5C5B36CD-0B57-4F4C-A605-F92A56371894}" name="12068"/>
    <tableColumn id="12082" xr3:uid="{41479533-56A6-4ECF-97A2-BDD63C0A9550}" name="12069"/>
    <tableColumn id="12083" xr3:uid="{DC653D4E-FB09-469F-AB3B-2F788D99D111}" name="12070"/>
    <tableColumn id="12084" xr3:uid="{D9B74A93-BD23-4B66-9FF6-11878DA28581}" name="12071"/>
    <tableColumn id="12085" xr3:uid="{4349E60A-C3AC-4768-99B2-7DE97D4517E1}" name="12072"/>
    <tableColumn id="12086" xr3:uid="{D8ED0E31-FDA1-4FFC-8602-0835F5E7EAFA}" name="12073"/>
    <tableColumn id="12087" xr3:uid="{8D1EDA16-F44F-48C0-B5F4-3F4A984DFE71}" name="12074"/>
    <tableColumn id="12088" xr3:uid="{3E88C28B-CDA2-46E7-93E3-1FEBBEDF7816}" name="12075"/>
    <tableColumn id="12089" xr3:uid="{29F906AA-B785-4DF8-AF5B-2FF4A061A4C2}" name="12076"/>
    <tableColumn id="12090" xr3:uid="{414EE7EC-37E9-4B9C-A40A-4FF9E2D604AC}" name="12077"/>
    <tableColumn id="12091" xr3:uid="{764A5883-0C60-496A-AEB1-290A8725AF55}" name="12078"/>
    <tableColumn id="12092" xr3:uid="{C127C864-CDD5-41C1-BBCF-1DD3C0F42654}" name="12079"/>
    <tableColumn id="12093" xr3:uid="{15C271DD-EF91-4CAD-90A8-22A77ADFA1D0}" name="12080"/>
    <tableColumn id="12094" xr3:uid="{C9F1E025-9569-4C90-8657-1853257EE6BC}" name="12081"/>
    <tableColumn id="12095" xr3:uid="{31571AFF-CE40-4376-8648-8CF97D53FFCE}" name="12082"/>
    <tableColumn id="12096" xr3:uid="{91466BAB-9948-4745-AAAE-D8A6A2A84871}" name="12083"/>
    <tableColumn id="12097" xr3:uid="{6CE41329-4833-4722-AED7-57311D064F34}" name="12084"/>
    <tableColumn id="12098" xr3:uid="{271F434A-8C1D-406D-912B-2A3CD736EF4E}" name="12085"/>
    <tableColumn id="12099" xr3:uid="{7B1E64D0-F221-4CC7-A764-8E5EA0A99C7F}" name="12086"/>
    <tableColumn id="12100" xr3:uid="{C640A964-22CB-4E5C-9F1E-BA100A4BA6A1}" name="12087"/>
    <tableColumn id="12101" xr3:uid="{F57976CB-5258-4986-BC59-F359CAA096E7}" name="12088"/>
    <tableColumn id="12102" xr3:uid="{CF35FF1B-AF62-4531-953A-5558C72C05E8}" name="12089"/>
    <tableColumn id="12103" xr3:uid="{1B35D5D3-1217-40A1-9F82-A8871ED8F4FD}" name="12090"/>
    <tableColumn id="12104" xr3:uid="{392A7DB1-1A7A-45F8-B37E-DC70169EF7D3}" name="12091"/>
    <tableColumn id="12105" xr3:uid="{67171653-567B-4B27-BCC1-28D116278882}" name="12092"/>
    <tableColumn id="12106" xr3:uid="{206891CB-99AB-46ED-A542-16324A30C7D8}" name="12093"/>
    <tableColumn id="12107" xr3:uid="{E61B5815-7579-483E-BECF-6EBBF7A52BA3}" name="12094"/>
    <tableColumn id="12108" xr3:uid="{E2D631A0-587A-4BDE-8687-4DB2F302E824}" name="12095"/>
    <tableColumn id="12109" xr3:uid="{B4767907-D920-43F6-AF8E-46C66D923498}" name="12096"/>
    <tableColumn id="12110" xr3:uid="{E97A8CE9-8B73-49AC-A734-BBB71F9C5735}" name="12097"/>
    <tableColumn id="12111" xr3:uid="{84C0FD44-553A-45F7-89C5-3C53E658B1D5}" name="12098"/>
    <tableColumn id="12112" xr3:uid="{093486E1-8FD9-459F-BEB9-CE420D4C6475}" name="12099"/>
    <tableColumn id="12113" xr3:uid="{689E1ABE-7F61-4E59-A23A-D6E32DE8DC37}" name="12100"/>
    <tableColumn id="12114" xr3:uid="{47E141C0-6049-4847-89C9-AB069B3D2059}" name="12101"/>
    <tableColumn id="12115" xr3:uid="{688F50F9-4774-414C-B9C7-9CABEC67349C}" name="12102"/>
    <tableColumn id="12116" xr3:uid="{4E4BDBA7-ACB3-4AE0-BB22-125B0E0A1973}" name="12103"/>
    <tableColumn id="12117" xr3:uid="{F2C4CF4D-88F1-411D-B5A3-CA49088E54A8}" name="12104"/>
    <tableColumn id="12118" xr3:uid="{C97F1B41-7357-42E2-836B-8675A69D922C}" name="12105"/>
    <tableColumn id="12119" xr3:uid="{7BE8DC56-DB11-4E50-857E-B28DCB9BCF6B}" name="12106"/>
    <tableColumn id="12120" xr3:uid="{3B1B432C-B5C8-4304-B2DC-467099CB8AB8}" name="12107"/>
    <tableColumn id="12121" xr3:uid="{FDF0AA37-4897-45EB-BBF9-1D5F9399E15D}" name="12108"/>
    <tableColumn id="12122" xr3:uid="{5EC5A27A-50C2-451E-A003-61ADE29F5344}" name="12109"/>
    <tableColumn id="12123" xr3:uid="{66558ABD-F36B-412D-A43D-80F6134939EC}" name="12110"/>
    <tableColumn id="12124" xr3:uid="{27A86F82-41EF-4FD9-B6A5-CA0307523301}" name="12111"/>
    <tableColumn id="12125" xr3:uid="{71B67A3B-3EAE-43EA-A967-BC4D6C7E545D}" name="12112"/>
    <tableColumn id="12126" xr3:uid="{E3819F61-299A-444A-9830-5202B17CB3C1}" name="12113"/>
    <tableColumn id="12127" xr3:uid="{3B39E5BB-F2BD-4ED4-AC8C-24AB73A4D8A6}" name="12114"/>
    <tableColumn id="12128" xr3:uid="{FD3EF9A9-499D-4A90-8E27-49E9557861F5}" name="12115"/>
    <tableColumn id="12129" xr3:uid="{4725B927-B75B-4985-8F0D-EA4801528E0A}" name="12116"/>
    <tableColumn id="12130" xr3:uid="{768FB818-01CB-4B7A-8D41-928BAEC077F0}" name="12117"/>
    <tableColumn id="12131" xr3:uid="{C6DF8C40-985C-4898-8D42-927945FBD7BA}" name="12118"/>
    <tableColumn id="12132" xr3:uid="{95E61F60-8076-4BAD-829F-E56E7C25F096}" name="12119"/>
    <tableColumn id="12133" xr3:uid="{2D647E04-F683-4812-9BA4-F4A801B45B60}" name="12120"/>
    <tableColumn id="12134" xr3:uid="{3B69F691-5CCB-496B-8A5F-40C810752BC0}" name="12121"/>
    <tableColumn id="12135" xr3:uid="{4086136E-B29C-4B2E-8EFC-74CBCDA58CA2}" name="12122"/>
    <tableColumn id="12136" xr3:uid="{691DBA93-21DA-4040-AB2A-823D7927125F}" name="12123"/>
    <tableColumn id="12137" xr3:uid="{C13C464B-FBDD-4512-B603-E01893C4AEAC}" name="12124"/>
    <tableColumn id="12138" xr3:uid="{E7B45D75-E6F1-4296-A318-E7948590523D}" name="12125"/>
    <tableColumn id="12139" xr3:uid="{5672A555-1187-4C56-9912-00DB175A3568}" name="12126"/>
    <tableColumn id="12140" xr3:uid="{D2FF63B4-8B76-4105-A89F-F6EB9506E6E9}" name="12127"/>
    <tableColumn id="12141" xr3:uid="{4E311442-38FE-4318-AC97-439677DC1B65}" name="12128"/>
    <tableColumn id="12142" xr3:uid="{50249A83-791C-442E-8705-03551FF8454A}" name="12129"/>
    <tableColumn id="12143" xr3:uid="{EAE48283-E6A5-4C9E-8D80-B75DDA688017}" name="12130"/>
    <tableColumn id="12144" xr3:uid="{3D087B95-C238-4AD2-BF92-98D39D06CFF6}" name="12131"/>
    <tableColumn id="12145" xr3:uid="{CC2D0FA1-929B-4A05-921B-80DCC51A92BA}" name="12132"/>
    <tableColumn id="12146" xr3:uid="{BB2F0FED-C635-45D4-A71D-951B5FA5EC03}" name="12133"/>
    <tableColumn id="12147" xr3:uid="{1CE914A5-F3BE-4061-9BB7-F706E3998005}" name="12134"/>
    <tableColumn id="12148" xr3:uid="{F0A9669D-4F67-4339-BDBB-9173C231F8E5}" name="12135"/>
    <tableColumn id="12149" xr3:uid="{09FBB9EB-9B04-4AF9-AED5-D37CD2A39149}" name="12136"/>
    <tableColumn id="12150" xr3:uid="{EE043A51-64DB-4455-9D28-312D3FA0E2EE}" name="12137"/>
    <tableColumn id="12151" xr3:uid="{A58EC8A5-F0CC-420C-8A3F-49BDE07517AD}" name="12138"/>
    <tableColumn id="12152" xr3:uid="{BEC559FD-DA38-43B1-871D-F3165E334AFD}" name="12139"/>
    <tableColumn id="12153" xr3:uid="{94E0885F-4BC5-487B-8692-7DB94C0B4535}" name="12140"/>
    <tableColumn id="12154" xr3:uid="{70C35FB9-53BE-49BF-928D-22F185484FEA}" name="12141"/>
    <tableColumn id="12155" xr3:uid="{1B82B645-C05A-4315-A3B0-9F701FE4172D}" name="12142"/>
    <tableColumn id="12156" xr3:uid="{0A9F49B7-B6DE-4FC9-97F1-69C778E0E922}" name="12143"/>
    <tableColumn id="12157" xr3:uid="{F0176232-7BB0-4140-9679-DA3E264BFF62}" name="12144"/>
    <tableColumn id="12158" xr3:uid="{A5C8877F-4404-4436-88AE-7BB6C7CFF63D}" name="12145"/>
    <tableColumn id="12159" xr3:uid="{1544A407-967C-4B98-BFB4-C98ECF03D0AE}" name="12146"/>
    <tableColumn id="12160" xr3:uid="{66D678A4-C4D5-4616-AB06-6BA1992F2DE4}" name="12147"/>
    <tableColumn id="12161" xr3:uid="{70358065-A508-4493-A996-D692BE5A4DF9}" name="12148"/>
    <tableColumn id="12162" xr3:uid="{23A77EDA-A7F1-4612-BAE4-BB06BCC80A22}" name="12149"/>
    <tableColumn id="12163" xr3:uid="{9386756A-EC70-4DD1-9E58-38443DFE6BEF}" name="12150"/>
    <tableColumn id="12164" xr3:uid="{978D823A-AD8E-4232-B288-B7BD405A003C}" name="12151"/>
    <tableColumn id="12165" xr3:uid="{54D08FCA-698A-4657-9B42-77C502B13A93}" name="12152"/>
    <tableColumn id="12166" xr3:uid="{CFB6A9FB-5280-4907-8467-3A4CF40861ED}" name="12153"/>
    <tableColumn id="12167" xr3:uid="{F61F3774-5ACD-4854-A2F4-181A7CB492F8}" name="12154"/>
    <tableColumn id="12168" xr3:uid="{7F5EBF97-0201-468F-9CDE-1EC4C81E37B8}" name="12155"/>
    <tableColumn id="12169" xr3:uid="{FC39063D-9242-4418-8C16-7A0544BE3C5C}" name="12156"/>
    <tableColumn id="12170" xr3:uid="{1050FBEA-C347-42CD-9FDB-F365F3AC4CFB}" name="12157"/>
    <tableColumn id="12171" xr3:uid="{974E0670-682C-4297-B18F-FA1A885F13DB}" name="12158"/>
    <tableColumn id="12172" xr3:uid="{7D12225D-F40A-4E7F-B4FE-FA96587EB7ED}" name="12159"/>
    <tableColumn id="12173" xr3:uid="{558AE939-4084-43F0-A55D-129C33C4E365}" name="12160"/>
    <tableColumn id="12174" xr3:uid="{C43E2645-D969-4BAD-B847-FBDF036FDC99}" name="12161"/>
    <tableColumn id="12175" xr3:uid="{1C0EBECF-7547-41B9-9ABF-ABEF9D766C97}" name="12162"/>
    <tableColumn id="12176" xr3:uid="{3A330AAB-DE9A-46AF-893A-917DF9613E69}" name="12163"/>
    <tableColumn id="12177" xr3:uid="{3A5DCA54-8D0F-48E3-AB57-C1F49C7E099D}" name="12164"/>
    <tableColumn id="12178" xr3:uid="{4F6FBBEE-CBF1-45FE-BF79-3443533801C1}" name="12165"/>
    <tableColumn id="12179" xr3:uid="{086F4E65-F915-4B21-8BBB-43B6F2E2799A}" name="12166"/>
    <tableColumn id="12180" xr3:uid="{F93082E0-6584-4B66-AF65-34B4128BCFDA}" name="12167"/>
    <tableColumn id="12181" xr3:uid="{A78E83F0-A5E2-4FDC-ABBE-D004D1A94C08}" name="12168"/>
    <tableColumn id="12182" xr3:uid="{EA59176A-1112-43DF-B2F8-F2B4B312CDD1}" name="12169"/>
    <tableColumn id="12183" xr3:uid="{23EA0352-961A-442A-BD9A-112629201A78}" name="12170"/>
    <tableColumn id="12184" xr3:uid="{870A9110-6F7C-4238-BD26-56AD57BA0A70}" name="12171"/>
    <tableColumn id="12185" xr3:uid="{08EFEB48-857B-400A-8690-52AAC3E60E51}" name="12172"/>
    <tableColumn id="12186" xr3:uid="{299FC1BD-14A4-41CB-8498-88182C94F592}" name="12173"/>
    <tableColumn id="12187" xr3:uid="{2DBAEA25-A9A8-4F68-A413-284EB2C083B2}" name="12174"/>
    <tableColumn id="12188" xr3:uid="{45570F84-810B-4FA4-A9EC-D50698AD160B}" name="12175"/>
    <tableColumn id="12189" xr3:uid="{39148D13-490E-4E00-B529-CF09D3CEB303}" name="12176"/>
    <tableColumn id="12190" xr3:uid="{EA8102C4-EAE5-4FEB-9FD0-1C6AFD07E8BC}" name="12177"/>
    <tableColumn id="12191" xr3:uid="{05F503C7-97CD-46AC-87DD-DE7A0160138D}" name="12178"/>
    <tableColumn id="12192" xr3:uid="{61C2ACD6-F230-4D5F-9D9F-E81612CB6169}" name="12179"/>
    <tableColumn id="12193" xr3:uid="{1F98A4A0-B515-4ADD-AAE6-DF9782E1990E}" name="12180"/>
    <tableColumn id="12194" xr3:uid="{7D94CEB8-6762-4610-8FA8-49FFE1D55494}" name="12181"/>
    <tableColumn id="12195" xr3:uid="{B5FFB4B2-7736-481A-B1A4-2D0E913AD000}" name="12182"/>
    <tableColumn id="12196" xr3:uid="{730C88BD-01BA-4F8B-82BD-06717FA4A058}" name="12183"/>
    <tableColumn id="12197" xr3:uid="{4DF198A9-0E71-40E2-9631-ECFE70F96F11}" name="12184"/>
    <tableColumn id="12198" xr3:uid="{2F7A48DC-39C3-4666-A678-FC98A587A3E0}" name="12185"/>
    <tableColumn id="12199" xr3:uid="{D18DE907-6A6C-4123-8F04-E8A571D06337}" name="12186"/>
    <tableColumn id="12200" xr3:uid="{3EDE197F-8C04-48F1-970B-35405A26F74E}" name="12187"/>
    <tableColumn id="12201" xr3:uid="{7C14F21F-17EE-4537-85EA-620429983AF6}" name="12188"/>
    <tableColumn id="12202" xr3:uid="{53547FC1-51E8-4F3C-AF0F-EB7DBC0A0BD4}" name="12189"/>
    <tableColumn id="12203" xr3:uid="{527303ED-1A93-4D45-BA9A-C4CAFF419C4D}" name="12190"/>
    <tableColumn id="12204" xr3:uid="{21975CF5-82C9-41CC-81BC-730FD577037A}" name="12191"/>
    <tableColumn id="12205" xr3:uid="{19CE891C-64B3-4E44-BB9C-505023775DEB}" name="12192"/>
    <tableColumn id="12206" xr3:uid="{1D552569-4B78-4114-9724-47DCF0205512}" name="12193"/>
    <tableColumn id="12207" xr3:uid="{E29D5C5E-34ED-4C09-9F90-42F954EC06FA}" name="12194"/>
    <tableColumn id="12208" xr3:uid="{BD55DAE4-57D3-4068-A21B-932CE319632A}" name="12195"/>
    <tableColumn id="12209" xr3:uid="{A1B25377-5968-46C3-A1DD-159B637D33C0}" name="12196"/>
    <tableColumn id="12210" xr3:uid="{9B1CBA1E-C762-4C04-884C-14635D0A2B5A}" name="12197"/>
    <tableColumn id="12211" xr3:uid="{90EE5C83-49AF-4E6B-9862-E6902532A3ED}" name="12198"/>
    <tableColumn id="12212" xr3:uid="{7869F6C6-4813-4DD0-80F2-5FE9B1B659B1}" name="12199"/>
    <tableColumn id="12213" xr3:uid="{4B93323D-CC08-4A78-A88A-418245E45CCD}" name="12200"/>
    <tableColumn id="12214" xr3:uid="{90EC08E3-B317-4D4D-BED0-6298976721CE}" name="12201"/>
    <tableColumn id="12215" xr3:uid="{B9C2986C-5DFC-4307-96EB-2A9CA15B970C}" name="12202"/>
    <tableColumn id="12216" xr3:uid="{B063CD5A-D5D8-47D5-BCCC-1144A8070308}" name="12203"/>
    <tableColumn id="12217" xr3:uid="{0017BD4C-F710-45D8-AFBC-BCB85EB297BD}" name="12204"/>
    <tableColumn id="12218" xr3:uid="{B139219D-C762-471A-A36C-BCE8E3A64E6A}" name="12205"/>
    <tableColumn id="12219" xr3:uid="{5FFDDA2A-DC73-4462-A5DC-056A118B1DE1}" name="12206"/>
    <tableColumn id="12220" xr3:uid="{7D4BB813-CC41-451C-B827-E4981DCA1032}" name="12207"/>
    <tableColumn id="12221" xr3:uid="{1849EF37-2B72-48B3-B8BC-80131396D4F1}" name="12208"/>
    <tableColumn id="12222" xr3:uid="{A12ADC12-CF12-4C23-8862-786C3BD63D27}" name="12209"/>
    <tableColumn id="12223" xr3:uid="{F13681C8-8F88-40AB-8FFF-76AA0AADA9C2}" name="12210"/>
    <tableColumn id="12224" xr3:uid="{F17C2911-7170-4071-ACF7-9751B9EA271C}" name="12211"/>
    <tableColumn id="12225" xr3:uid="{2B0F68A2-AEAE-4013-8FD4-6C6695D0A209}" name="12212"/>
    <tableColumn id="12226" xr3:uid="{30C3E6B6-328D-43FB-9688-F677AC5EA372}" name="12213"/>
    <tableColumn id="12227" xr3:uid="{33C6CD3F-193C-45FE-A2DD-3551EF58DE5C}" name="12214"/>
    <tableColumn id="12228" xr3:uid="{B138BF8C-78D0-49ED-A074-BA1FC60989A1}" name="12215"/>
    <tableColumn id="12229" xr3:uid="{A5E330F1-B59F-4514-989B-6FCB8A33E3DE}" name="12216"/>
    <tableColumn id="12230" xr3:uid="{76E99292-FD8B-4E51-A508-0232E2F3D620}" name="12217"/>
    <tableColumn id="12231" xr3:uid="{192DC23B-352B-4135-8BCD-8DDAF9150C3A}" name="12218"/>
    <tableColumn id="12232" xr3:uid="{7FC758EC-0744-4A76-A0C5-E2AB36E29599}" name="12219"/>
    <tableColumn id="12233" xr3:uid="{E4E4DEEB-B5C4-4864-902C-9D2037B2A203}" name="12220"/>
    <tableColumn id="12234" xr3:uid="{61C94310-2A34-489C-A357-A2DA984F0A50}" name="12221"/>
    <tableColumn id="12235" xr3:uid="{DE6050EA-D210-4ABB-8BC8-E506150D619E}" name="12222"/>
    <tableColumn id="12236" xr3:uid="{F10F26A5-F133-4E52-83FC-82634F7CB8AE}" name="12223"/>
    <tableColumn id="12237" xr3:uid="{CA118149-7F9D-4B6B-A145-0A9006539096}" name="12224"/>
    <tableColumn id="12238" xr3:uid="{4119F4EF-9EB5-4412-B674-3C8914276075}" name="12225"/>
    <tableColumn id="12239" xr3:uid="{CF987BCE-3ABE-40A4-9AF6-B90ED7C102DB}" name="12226"/>
    <tableColumn id="12240" xr3:uid="{A004BA50-B591-43FA-81BB-17200D471127}" name="12227"/>
    <tableColumn id="12241" xr3:uid="{F65D236A-329D-4CF6-8610-108D8D7F99BD}" name="12228"/>
    <tableColumn id="12242" xr3:uid="{0309667D-7675-4422-9A3E-CFE515C10EB8}" name="12229"/>
    <tableColumn id="12243" xr3:uid="{612D8680-0166-4317-8B1D-CB109720814F}" name="12230"/>
    <tableColumn id="12244" xr3:uid="{9BE0D64C-4FBD-4A1F-A8F2-7FED85518812}" name="12231"/>
    <tableColumn id="12245" xr3:uid="{9B1939D9-CE0D-4E9F-BF33-6E017C64A9C0}" name="12232"/>
    <tableColumn id="12246" xr3:uid="{D8F11977-3BE7-459D-996C-14C9A072F852}" name="12233"/>
    <tableColumn id="12247" xr3:uid="{FF6B9A0A-521E-435D-844F-A90F36D7D385}" name="12234"/>
    <tableColumn id="12248" xr3:uid="{5AF8F2B0-1705-446F-8A36-FB9F21736F98}" name="12235"/>
    <tableColumn id="12249" xr3:uid="{4E59EF6B-4B06-4ACE-8836-72A6E3275311}" name="12236"/>
    <tableColumn id="12250" xr3:uid="{90DB5FF8-85B5-4C7F-B32E-672E31132B37}" name="12237"/>
    <tableColumn id="12251" xr3:uid="{9A6F12C0-7EF8-4378-A249-4E489B723B90}" name="12238"/>
    <tableColumn id="12252" xr3:uid="{B650E743-821B-4437-B7EA-663BF8441899}" name="12239"/>
    <tableColumn id="12253" xr3:uid="{740DC882-A9FB-48A9-A0C1-5AD243F8DC29}" name="12240"/>
    <tableColumn id="12254" xr3:uid="{8DD7207E-B1BA-4B18-BB97-8347A8310487}" name="12241"/>
    <tableColumn id="12255" xr3:uid="{61A707AB-4237-4533-B4E7-47CCC6FC2068}" name="12242"/>
    <tableColumn id="12256" xr3:uid="{B07A03D7-76D9-444B-8BEE-8A2FD49D81C8}" name="12243"/>
    <tableColumn id="12257" xr3:uid="{44100083-5A38-42AF-A39F-3FB8D40B2DF9}" name="12244"/>
    <tableColumn id="12258" xr3:uid="{D90B93BE-FC93-455E-90CC-1CDABB13CB70}" name="12245"/>
    <tableColumn id="12259" xr3:uid="{D6450F05-69F7-4BED-99AE-5A596A994111}" name="12246"/>
    <tableColumn id="12260" xr3:uid="{6F021232-B9B6-4E17-A0DD-9691D81DE861}" name="12247"/>
    <tableColumn id="12261" xr3:uid="{D6979F7B-15F7-47D8-8283-98380D7632A3}" name="12248"/>
    <tableColumn id="12262" xr3:uid="{8FCFF29C-2350-4D70-96B0-2A846314E203}" name="12249"/>
    <tableColumn id="12263" xr3:uid="{F684512F-A0F1-4DB6-A436-880A1DD3D192}" name="12250"/>
    <tableColumn id="12264" xr3:uid="{D8C8F45F-CC55-4B05-BDAF-1C39C1B64403}" name="12251"/>
    <tableColumn id="12265" xr3:uid="{9D7E3A82-B9D2-4738-816C-1D452A0FAD06}" name="12252"/>
    <tableColumn id="12266" xr3:uid="{0DC32146-E42D-4832-8BA0-612CEB63AF71}" name="12253"/>
    <tableColumn id="12267" xr3:uid="{3325C1BC-0E9A-4716-9B8C-494C86BC5DE5}" name="12254"/>
    <tableColumn id="12268" xr3:uid="{8B1E5815-11A5-4A20-8BDD-EA3A1F14955C}" name="12255"/>
    <tableColumn id="12269" xr3:uid="{5C62270A-F4B2-42E6-A42A-376A5FE9B0F7}" name="12256"/>
    <tableColumn id="12270" xr3:uid="{002DD7B5-B76F-4EE9-9A6A-02E663C8501D}" name="12257"/>
    <tableColumn id="12271" xr3:uid="{FF110EE9-BD8A-4E1D-9AB5-8DD22FECD7FE}" name="12258"/>
    <tableColumn id="12272" xr3:uid="{F2448CB7-BE13-49DD-90FA-7C67C1AC5ED8}" name="12259"/>
    <tableColumn id="12273" xr3:uid="{7419F5E4-6675-4F51-91D3-14B2A9ECC9E2}" name="12260"/>
    <tableColumn id="12274" xr3:uid="{744AB79B-42B4-44DA-AB9F-1F1F9EED51DA}" name="12261"/>
    <tableColumn id="12275" xr3:uid="{61B69F2F-360E-49C1-A335-DCA0ACDD57FA}" name="12262"/>
    <tableColumn id="12276" xr3:uid="{B1AD5D8C-DA6A-45DB-9828-13271A423F95}" name="12263"/>
    <tableColumn id="12277" xr3:uid="{A6DB0F89-ACB1-425F-A629-181AAB976356}" name="12264"/>
    <tableColumn id="12278" xr3:uid="{AD0B6B40-5637-4219-B4A2-7A32BBC6F4E4}" name="12265"/>
    <tableColumn id="12279" xr3:uid="{685DDB3F-DB59-43CD-A06A-74A567F3DF25}" name="12266"/>
    <tableColumn id="12280" xr3:uid="{FD3D5D69-DC16-40C0-A50F-DB1147E69F49}" name="12267"/>
    <tableColumn id="12281" xr3:uid="{F36B9D21-1067-4442-8F03-87353FFC4470}" name="12268"/>
    <tableColumn id="12282" xr3:uid="{FDE97D80-646C-49BA-9FC9-77451613BF5B}" name="12269"/>
    <tableColumn id="12283" xr3:uid="{02893062-9041-44CF-A1B2-33FAD4BA6EDD}" name="12270"/>
    <tableColumn id="12284" xr3:uid="{744183BB-2BEA-47A8-91EA-931E9B54D78C}" name="12271"/>
    <tableColumn id="12285" xr3:uid="{83229FFD-27FC-41BA-90D3-058DF547BA1A}" name="12272"/>
    <tableColumn id="12286" xr3:uid="{3EA2AC1A-9A23-46C9-82C7-CE8D08C77B5E}" name="12273"/>
    <tableColumn id="12287" xr3:uid="{F064E793-91B7-47CC-A701-E306670A988A}" name="12274"/>
    <tableColumn id="12288" xr3:uid="{3F0D2AC5-A3B0-4050-8745-11BEF6DD416A}" name="12275"/>
    <tableColumn id="12289" xr3:uid="{CA63CD1B-04E8-4FA6-8E76-AD8BB4549B31}" name="12276"/>
    <tableColumn id="12290" xr3:uid="{E6223415-3EFD-4D35-AB7A-AAD2B75EAFFF}" name="12277"/>
    <tableColumn id="12291" xr3:uid="{4910E0ED-CAD3-404F-8BC4-6F59F06A14A3}" name="12278"/>
    <tableColumn id="12292" xr3:uid="{10BF075A-5741-4A82-93C4-0C8840415EB3}" name="12279"/>
    <tableColumn id="12293" xr3:uid="{710B4B17-9FD9-4246-9D70-C8F359A574E2}" name="12280"/>
    <tableColumn id="12294" xr3:uid="{EB1158C0-5123-418A-B235-D3661F1EAF5D}" name="12281"/>
    <tableColumn id="12295" xr3:uid="{3597CA76-0CE9-4540-96B1-60EC550C33F8}" name="12282"/>
    <tableColumn id="12296" xr3:uid="{1729825F-9F36-404F-8C7E-34DB7D82ED40}" name="12283"/>
    <tableColumn id="12297" xr3:uid="{234A90D8-C336-454C-9DAA-B843E4D5FF3A}" name="12284"/>
    <tableColumn id="12298" xr3:uid="{3660C2B3-5C7C-40F6-AC8C-E0CB59682FEA}" name="12285"/>
    <tableColumn id="12299" xr3:uid="{D2DB20CE-DE34-41FB-8B1E-496B5964941D}" name="12286"/>
    <tableColumn id="12300" xr3:uid="{9B32E008-9F47-4652-B62C-0BF7A6FEC4D3}" name="12287"/>
    <tableColumn id="12301" xr3:uid="{32A14E53-6382-44D5-80E0-F5594FFD7922}" name="12288"/>
    <tableColumn id="12302" xr3:uid="{89D6B919-E8B0-4AF7-971F-42BC9471F038}" name="12289"/>
    <tableColumn id="12303" xr3:uid="{F58D301A-EC0C-4C55-9ADE-504A59C42672}" name="12290"/>
    <tableColumn id="12304" xr3:uid="{B4FCACB4-D21D-4803-BEF1-AD7D34AB9FE4}" name="12291"/>
    <tableColumn id="12305" xr3:uid="{8AD695FE-5150-4B69-B6D6-66BA65CB96E8}" name="12292"/>
    <tableColumn id="12306" xr3:uid="{313E8CC9-3CC3-4846-A17C-4102F2046892}" name="12293"/>
    <tableColumn id="12307" xr3:uid="{6DB4754B-4761-4846-BF0C-C2C61E71E46B}" name="12294"/>
    <tableColumn id="12308" xr3:uid="{5F623BE4-5486-49E6-9BA5-85A3FC3688EA}" name="12295"/>
    <tableColumn id="12309" xr3:uid="{2F86F83C-D3F7-49CB-83B6-79B6B8CBD9EF}" name="12296"/>
    <tableColumn id="12310" xr3:uid="{8C98EB6D-9B6F-4A9C-84B3-2D326DC936D6}" name="12297"/>
    <tableColumn id="12311" xr3:uid="{DFA152A8-31A3-4CDE-BCFF-4E8E3D7494B8}" name="12298"/>
    <tableColumn id="12312" xr3:uid="{9D8BC204-46DF-4185-9541-49C9ECDB0565}" name="12299"/>
    <tableColumn id="12313" xr3:uid="{B1AF666B-D9B3-4226-A2BD-7CCB49EC45BF}" name="12300"/>
    <tableColumn id="12314" xr3:uid="{5B300833-B3B0-43E2-A25A-C2C1450ACC0D}" name="12301"/>
    <tableColumn id="12315" xr3:uid="{E92ED3D6-6F06-4E2B-AC9D-B9E1945A491F}" name="12302"/>
    <tableColumn id="12316" xr3:uid="{07D8C0B0-1DF6-4AED-9562-DA07B10131DC}" name="12303"/>
    <tableColumn id="12317" xr3:uid="{3B6CA756-B1AF-4C35-A828-5E7049099D31}" name="12304"/>
    <tableColumn id="12318" xr3:uid="{F1ACDFEA-F4F5-4883-B71F-B3753CBA0A78}" name="12305"/>
    <tableColumn id="12319" xr3:uid="{D230A1D3-86A1-4EEF-8DE5-541C67DC7206}" name="12306"/>
    <tableColumn id="12320" xr3:uid="{DB1803A3-2A9F-4903-AD46-404493F4F091}" name="12307"/>
    <tableColumn id="12321" xr3:uid="{45B6A19E-C05E-4B1F-9BE1-8BC21E5DFFBC}" name="12308"/>
    <tableColumn id="12322" xr3:uid="{B4DC7D13-ED30-4FC7-AB11-FD722A42CB92}" name="12309"/>
    <tableColumn id="12323" xr3:uid="{5563F74A-51A0-47DC-BA0D-F2477D9B07F1}" name="12310"/>
    <tableColumn id="12324" xr3:uid="{152986A4-7BF2-4385-8A99-FAB88F6FB09B}" name="12311"/>
    <tableColumn id="12325" xr3:uid="{D413B2B7-1B87-45AA-AAB3-32B612428A6E}" name="12312"/>
    <tableColumn id="12326" xr3:uid="{6C1545D0-0570-4E7C-B931-F1FC91AA756C}" name="12313"/>
    <tableColumn id="12327" xr3:uid="{A5346164-7001-437D-A2C2-637F922773BE}" name="12314"/>
    <tableColumn id="12328" xr3:uid="{6388F6BD-8565-4B9D-A8A0-CF60BE8DA13A}" name="12315"/>
    <tableColumn id="12329" xr3:uid="{8F8BC49C-9739-4538-8689-9D1DDD47DC4A}" name="12316"/>
    <tableColumn id="12330" xr3:uid="{252FACD4-BF1C-4EC1-A1C3-1C6916A99AFD}" name="12317"/>
    <tableColumn id="12331" xr3:uid="{BA61B64F-F13B-402A-A8D6-97CA663B2F3E}" name="12318"/>
    <tableColumn id="12332" xr3:uid="{C025B394-724E-4B43-8249-7BF5E0BA3D89}" name="12319"/>
    <tableColumn id="12333" xr3:uid="{E8370E71-2112-41CC-B93B-ECB1820F26E3}" name="12320"/>
    <tableColumn id="12334" xr3:uid="{F64DC840-5A93-405B-A285-AD0583F6A12A}" name="12321"/>
    <tableColumn id="12335" xr3:uid="{EE67376C-8E27-4FF0-91BD-1DEA268A35CB}" name="12322"/>
    <tableColumn id="12336" xr3:uid="{ABF03C82-2B34-4DCB-A80B-95EDE6D5AC79}" name="12323"/>
    <tableColumn id="12337" xr3:uid="{F64CD235-0CAA-459A-A468-28C3C47B50F2}" name="12324"/>
    <tableColumn id="12338" xr3:uid="{F60AE17A-F0B3-4120-98E3-2FC486744ED8}" name="12325"/>
    <tableColumn id="12339" xr3:uid="{B55B674B-2182-4E33-A10D-7E5831299DE3}" name="12326"/>
    <tableColumn id="12340" xr3:uid="{6F3CC1B2-5374-4D68-8A33-48F7DB6290AF}" name="12327"/>
    <tableColumn id="12341" xr3:uid="{5CFC94DD-2771-4CFE-A2B3-ABB6731C682B}" name="12328"/>
    <tableColumn id="12342" xr3:uid="{91D00BEC-0D05-4917-9146-946885D4E0BB}" name="12329"/>
    <tableColumn id="12343" xr3:uid="{B5275FA1-7D2A-42C5-9D76-DC84E337C447}" name="12330"/>
    <tableColumn id="12344" xr3:uid="{D5085704-770E-4647-A52E-6E15808DCDCD}" name="12331"/>
    <tableColumn id="12345" xr3:uid="{D4098EE7-367C-4CFD-91D3-AA99B1C70E47}" name="12332"/>
    <tableColumn id="12346" xr3:uid="{54542748-6AF7-43B9-A88A-CEF850B67985}" name="12333"/>
    <tableColumn id="12347" xr3:uid="{C5BF1858-2118-4F58-88ED-6B4168F3AB60}" name="12334"/>
    <tableColumn id="12348" xr3:uid="{29CA37AA-30EA-4AE3-9932-232A5C9F5603}" name="12335"/>
    <tableColumn id="12349" xr3:uid="{5B094130-68A0-4991-9EF7-778EF290DACF}" name="12336"/>
    <tableColumn id="12350" xr3:uid="{0D135934-B1A1-4B9E-A439-EAF053B5B6FC}" name="12337"/>
    <tableColumn id="12351" xr3:uid="{2CB7BCC8-1791-4758-8D52-132BE0480E54}" name="12338"/>
    <tableColumn id="12352" xr3:uid="{5C389BC6-420F-477D-B304-09EA22071401}" name="12339"/>
    <tableColumn id="12353" xr3:uid="{4B8475BE-431E-4C54-81A2-29B607D3B6E7}" name="12340"/>
    <tableColumn id="12354" xr3:uid="{157473DA-CA51-47FA-86E2-28E57CEF029A}" name="12341"/>
    <tableColumn id="12355" xr3:uid="{EA8C2F92-B078-4583-92BB-1FDE4CA2E7D8}" name="12342"/>
    <tableColumn id="12356" xr3:uid="{E00D25C6-4AFB-4D84-9C62-6DBFDEAF6A2D}" name="12343"/>
    <tableColumn id="12357" xr3:uid="{F7D85740-8F68-488F-B9FB-55A7A9FDB038}" name="12344"/>
    <tableColumn id="12358" xr3:uid="{B1CE1E1A-35FB-4914-ADE6-ABD886CDD2F2}" name="12345"/>
    <tableColumn id="12359" xr3:uid="{127C079C-96CF-4CBF-96A5-01B1D5E16B0C}" name="12346"/>
    <tableColumn id="12360" xr3:uid="{15412684-E5D8-4AB1-8CFE-80A8B35F89EE}" name="12347"/>
    <tableColumn id="12361" xr3:uid="{EB8644AD-EFD6-4D7B-9FDF-802E911D5B69}" name="12348"/>
    <tableColumn id="12362" xr3:uid="{FC395429-22FC-446E-94FE-4A228959EA9D}" name="12349"/>
    <tableColumn id="12363" xr3:uid="{F1E0E5A5-2EA2-4A84-AA26-F9ED0EB478CE}" name="12350"/>
    <tableColumn id="12364" xr3:uid="{390BA366-B719-44B8-8A85-1A8C702BE035}" name="12351"/>
    <tableColumn id="12365" xr3:uid="{E89F18B2-A040-48B1-8ED0-D30B65AFB99A}" name="12352"/>
    <tableColumn id="12366" xr3:uid="{D21961E5-6680-483C-A73F-2C376C504072}" name="12353"/>
    <tableColumn id="12367" xr3:uid="{1C4BA29B-DB41-4643-AAD8-334502FC313B}" name="12354"/>
    <tableColumn id="12368" xr3:uid="{D05D929A-79FF-415D-8542-DFF8A6AB6836}" name="12355"/>
    <tableColumn id="12369" xr3:uid="{0E051F0C-9B66-4AA2-A9F1-9BC6116848EB}" name="12356"/>
    <tableColumn id="12370" xr3:uid="{8A183F00-B983-4213-820C-BC5690F56C03}" name="12357"/>
    <tableColumn id="12371" xr3:uid="{54160745-AD9A-4EE0-B66B-1B039EC8030F}" name="12358"/>
    <tableColumn id="12372" xr3:uid="{EC6C7B86-0468-432C-A09D-ACFAD7C71737}" name="12359"/>
    <tableColumn id="12373" xr3:uid="{53F04B17-1FF3-450C-AFCB-864ABDAE1E87}" name="12360"/>
    <tableColumn id="12374" xr3:uid="{053DA81A-C445-47D9-99D3-C52CDED227AA}" name="12361"/>
    <tableColumn id="12375" xr3:uid="{771252B7-F621-44AF-9D17-A26796EDB9B0}" name="12362"/>
    <tableColumn id="12376" xr3:uid="{B7397BDB-DCBF-4CEA-9D69-2F70F9C69D12}" name="12363"/>
    <tableColumn id="12377" xr3:uid="{7B471CA7-C884-41FB-A151-2F9BFBAD1346}" name="12364"/>
    <tableColumn id="12378" xr3:uid="{BD6B0F24-B0B8-42FD-A0F0-2A7C2076BA31}" name="12365"/>
    <tableColumn id="12379" xr3:uid="{2F30FD49-0B70-4B2A-B1E8-B5A2989305F0}" name="12366"/>
    <tableColumn id="12380" xr3:uid="{DFDB6A8B-6C2B-44F5-B90D-33F250F1B6EA}" name="12367"/>
    <tableColumn id="12381" xr3:uid="{83068481-095D-4D15-8A94-2C206F940BAA}" name="12368"/>
    <tableColumn id="12382" xr3:uid="{E4569972-55C7-4A52-B955-8EDD3714EF99}" name="12369"/>
    <tableColumn id="12383" xr3:uid="{5B97460B-EDC8-44AB-90FA-359C89771948}" name="12370"/>
    <tableColumn id="12384" xr3:uid="{6069B409-7854-4FEB-9EFF-30D572E44F28}" name="12371"/>
    <tableColumn id="12385" xr3:uid="{A2B59BE0-CF36-461B-B55A-C449F51FD67A}" name="12372"/>
    <tableColumn id="12386" xr3:uid="{5C62F570-D0E2-4223-96C6-843EAAABC8DF}" name="12373"/>
    <tableColumn id="12387" xr3:uid="{67E9D648-553A-4D85-AD5D-E6CEE2A95F4F}" name="12374"/>
    <tableColumn id="12388" xr3:uid="{168198C5-C1CF-4A89-84A9-96F2E007524F}" name="12375"/>
    <tableColumn id="12389" xr3:uid="{1A927CE0-B6E2-44DE-AC72-0EA32D5D9EC2}" name="12376"/>
    <tableColumn id="12390" xr3:uid="{88A4E0C5-490D-46B2-9F6F-670252B311AA}" name="12377"/>
    <tableColumn id="12391" xr3:uid="{EA3E1FC6-F4B9-4B09-833F-FE22D5E3D9B2}" name="12378"/>
    <tableColumn id="12392" xr3:uid="{A9967E2B-20BA-401D-BA40-D26316148E4A}" name="12379"/>
    <tableColumn id="12393" xr3:uid="{9A9418BD-7795-48AE-8E4F-A7868EE608EA}" name="12380"/>
    <tableColumn id="12394" xr3:uid="{E1395857-D55B-48CE-A7F7-8F710FA6FAC5}" name="12381"/>
    <tableColumn id="12395" xr3:uid="{ED53B753-157A-48E8-B413-97DBCCEAAB3D}" name="12382"/>
    <tableColumn id="12396" xr3:uid="{5ED7015D-E4F1-4668-9101-6A89C51A878B}" name="12383"/>
    <tableColumn id="12397" xr3:uid="{5CA9805D-C9D5-4EB8-AC4B-F01FA4D7B027}" name="12384"/>
    <tableColumn id="12398" xr3:uid="{C317BC4C-E8CC-4D47-AE8C-DD0E862C4EB9}" name="12385"/>
    <tableColumn id="12399" xr3:uid="{3BD5003D-9A17-44C9-8266-25A8E1B8E331}" name="12386"/>
    <tableColumn id="12400" xr3:uid="{3A9734DD-422E-4232-9830-7B6C5161ABB8}" name="12387"/>
    <tableColumn id="12401" xr3:uid="{7D2A1AC6-3CA5-4AB2-93D4-FAF7B46945F5}" name="12388"/>
    <tableColumn id="12402" xr3:uid="{6523D6C0-44F6-4B15-87A6-B118A32FF4EC}" name="12389"/>
    <tableColumn id="12403" xr3:uid="{99D31610-7028-4DD8-8E15-B8305285AAD7}" name="12390"/>
    <tableColumn id="12404" xr3:uid="{27E6DA7A-B847-45E5-B6E1-051EED7EAEDE}" name="12391"/>
    <tableColumn id="12405" xr3:uid="{9CF6DD3E-D289-4954-A84F-23FA9F511BE6}" name="12392"/>
    <tableColumn id="12406" xr3:uid="{344132F9-9065-494D-B220-AF84FAC28CC2}" name="12393"/>
    <tableColumn id="12407" xr3:uid="{639EECF2-A70F-46A4-99B3-D007DE095C5B}" name="12394"/>
    <tableColumn id="12408" xr3:uid="{2C04F3E2-FFC1-4A5E-8305-33ED43F353C2}" name="12395"/>
    <tableColumn id="12409" xr3:uid="{9DA33A82-E737-4D19-8157-F09D575E02F8}" name="12396"/>
    <tableColumn id="12410" xr3:uid="{EF62E6F5-D3F2-4491-8367-60AC5B422F0F}" name="12397"/>
    <tableColumn id="12411" xr3:uid="{23C121E0-BD5E-4B4C-876D-85629AAD1AE1}" name="12398"/>
    <tableColumn id="12412" xr3:uid="{8CC9BDBD-2EAF-4056-9761-7B2DB242A99B}" name="12399"/>
    <tableColumn id="12413" xr3:uid="{8EDEFA9D-F8CE-4B5A-8322-40F2AF149CF6}" name="12400"/>
    <tableColumn id="12414" xr3:uid="{D7E55E41-A16B-4033-925A-600049B3A081}" name="12401"/>
    <tableColumn id="12415" xr3:uid="{A79D81E6-67B4-4B84-A96E-E6D04CC5B524}" name="12402"/>
    <tableColumn id="12416" xr3:uid="{451D7125-0FCB-4C71-B0AC-1940C7FA6D52}" name="12403"/>
    <tableColumn id="12417" xr3:uid="{27D00F89-6A63-4ADC-A7AA-7B413E020B6B}" name="12404"/>
    <tableColumn id="12418" xr3:uid="{D1AB7213-418B-4E31-9347-B8F86AD09BA5}" name="12405"/>
    <tableColumn id="12419" xr3:uid="{400F7ECE-C20D-45E0-A43F-6AD37FA54C91}" name="12406"/>
    <tableColumn id="12420" xr3:uid="{5AC91981-926C-4731-9A17-C068D6C8979D}" name="12407"/>
    <tableColumn id="12421" xr3:uid="{A03B5ED8-C4C5-482F-8C6A-75F3E5A998F4}" name="12408"/>
    <tableColumn id="12422" xr3:uid="{7594DDF7-54DA-4EDE-A937-70BF386833D4}" name="12409"/>
    <tableColumn id="12423" xr3:uid="{C7D1CB9C-C698-4A1E-81D0-2786FC135157}" name="12410"/>
    <tableColumn id="12424" xr3:uid="{43D931F3-9277-4E7D-B43D-9677EE47E4E2}" name="12411"/>
    <tableColumn id="12425" xr3:uid="{EB8538E1-B649-465C-B479-CE8313829EA9}" name="12412"/>
    <tableColumn id="12426" xr3:uid="{B585DF7C-B413-436F-BEC9-4B6B16FF92A4}" name="12413"/>
    <tableColumn id="12427" xr3:uid="{E137FBE2-99F6-468D-BC6E-184BAC2923BF}" name="12414"/>
    <tableColumn id="12428" xr3:uid="{4CE5145F-EF68-4A60-8660-D0B5FC2C1EBE}" name="12415"/>
    <tableColumn id="12429" xr3:uid="{562AD528-4327-40DA-ABD5-ABDF8F482DEC}" name="12416"/>
    <tableColumn id="12430" xr3:uid="{1C08EF7C-6E12-43F2-8E8E-CB17628C432C}" name="12417"/>
    <tableColumn id="12431" xr3:uid="{1EF294B2-613D-4BE9-9C83-1FF509DBAC58}" name="12418"/>
    <tableColumn id="12432" xr3:uid="{C0F33A0D-A533-446D-9362-03738EBE7578}" name="12419"/>
    <tableColumn id="12433" xr3:uid="{74DF49BE-E46B-4A2B-8D55-5497D1D8F395}" name="12420"/>
    <tableColumn id="12434" xr3:uid="{43027B66-540B-4317-B78E-1CD311ABFB9B}" name="12421"/>
    <tableColumn id="12435" xr3:uid="{5BB09018-35C4-445E-BE1E-493259BED8C0}" name="12422"/>
    <tableColumn id="12436" xr3:uid="{9195ACEC-D6C5-47BB-ABA2-6CEC0B003F2A}" name="12423"/>
    <tableColumn id="12437" xr3:uid="{F1CAC474-28D1-4123-A7FF-8E1C30F83B6C}" name="12424"/>
    <tableColumn id="12438" xr3:uid="{1A907B56-F207-4C08-A66D-E943A87DFB49}" name="12425"/>
    <tableColumn id="12439" xr3:uid="{304D98FC-D182-4A26-B132-1D63A261798B}" name="12426"/>
    <tableColumn id="12440" xr3:uid="{F2209540-B7A7-4A05-8E42-58244FC5200A}" name="12427"/>
    <tableColumn id="12441" xr3:uid="{38BB5622-44AD-4681-B922-C66CA19EE09B}" name="12428"/>
    <tableColumn id="12442" xr3:uid="{37E48474-0BA6-4506-A19D-95C64A3A61AF}" name="12429"/>
    <tableColumn id="12443" xr3:uid="{35EA9AA2-F5C6-4BCC-A527-6A2DAEABB466}" name="12430"/>
    <tableColumn id="12444" xr3:uid="{A0B84756-58C9-44E9-A6F9-3B431C734C45}" name="12431"/>
    <tableColumn id="12445" xr3:uid="{9629F2A2-FF7E-4D6B-B0BE-C941FB20A585}" name="12432"/>
    <tableColumn id="12446" xr3:uid="{0A149C77-79CD-473D-85D7-0C7C8F4E37E3}" name="12433"/>
    <tableColumn id="12447" xr3:uid="{53556B1C-686E-425B-AE22-0F16D6D904AC}" name="12434"/>
    <tableColumn id="12448" xr3:uid="{20501A21-4FCD-43BD-A146-55F6C016D3FD}" name="12435"/>
    <tableColumn id="12449" xr3:uid="{2FBC9EFB-9A3C-424D-AAAB-4BB0C2BC27FD}" name="12436"/>
    <tableColumn id="12450" xr3:uid="{F483CE0C-3477-468B-9BF4-F83542C09C74}" name="12437"/>
    <tableColumn id="12451" xr3:uid="{14BBDAC9-8CBC-4131-95AD-3B3137AC2658}" name="12438"/>
    <tableColumn id="12452" xr3:uid="{187B6643-15B1-49C3-B8D9-BF3FF823259A}" name="12439"/>
    <tableColumn id="12453" xr3:uid="{589800B5-6B56-40B1-A233-933D7E135443}" name="12440"/>
    <tableColumn id="12454" xr3:uid="{BDDA4012-A21B-4DB4-AD60-B14CFE072D79}" name="12441"/>
    <tableColumn id="12455" xr3:uid="{250B8648-A86E-4C48-8C5D-71298A7BD475}" name="12442"/>
    <tableColumn id="12456" xr3:uid="{0A96C357-F57A-4FB0-A4B6-D895BFA9CA14}" name="12443"/>
    <tableColumn id="12457" xr3:uid="{50CE8D84-F0C5-458D-A0AA-1456F95ADD24}" name="12444"/>
    <tableColumn id="12458" xr3:uid="{8456C67D-FE05-4D63-A44F-369420A152A3}" name="12445"/>
    <tableColumn id="12459" xr3:uid="{5B50C4F0-C5DE-4E29-91B6-31AD0FA985BD}" name="12446"/>
    <tableColumn id="12460" xr3:uid="{E20C2A51-E20E-4219-A9ED-BFEBC5F7955B}" name="12447"/>
    <tableColumn id="12461" xr3:uid="{537AC27A-F1E3-41E4-9E56-B7A61DD90A39}" name="12448"/>
    <tableColumn id="12462" xr3:uid="{73A5C292-8708-47AC-8C6E-35D7794ED73F}" name="12449"/>
    <tableColumn id="12463" xr3:uid="{87C53F2B-BC59-425B-9E21-1522FA59C301}" name="12450"/>
    <tableColumn id="12464" xr3:uid="{049844BA-3A29-41DB-B24D-FE53022BBF98}" name="12451"/>
    <tableColumn id="12465" xr3:uid="{04D15F00-EC87-4DA5-9917-BE05D3C4A590}" name="12452"/>
    <tableColumn id="12466" xr3:uid="{315A8156-E3ED-43EF-8BBE-315D60D030A1}" name="12453"/>
    <tableColumn id="12467" xr3:uid="{49CB937A-C8BE-498A-9AE4-86DA20DE95FF}" name="12454"/>
    <tableColumn id="12468" xr3:uid="{A14CA644-0523-4127-A5EA-6A2ADB7E586F}" name="12455"/>
    <tableColumn id="12469" xr3:uid="{29BEBD70-06F0-40AA-9CCC-92F5204C5042}" name="12456"/>
    <tableColumn id="12470" xr3:uid="{6AA0F512-5D87-44A6-BC24-70BE8CF4519F}" name="12457"/>
    <tableColumn id="12471" xr3:uid="{55CB72E6-0871-459B-88A8-7A16CD8E7AE6}" name="12458"/>
    <tableColumn id="12472" xr3:uid="{CC09639D-5E47-4A97-8108-D41A01C28B5D}" name="12459"/>
    <tableColumn id="12473" xr3:uid="{9C381611-01B5-4E7C-B3B4-B814F042465D}" name="12460"/>
    <tableColumn id="12474" xr3:uid="{E8B1972C-4605-43A6-A584-49C5BBCE3A4C}" name="12461"/>
    <tableColumn id="12475" xr3:uid="{C3D81D54-A41B-4555-BDFC-D0334EE72DEF}" name="12462"/>
    <tableColumn id="12476" xr3:uid="{E41D707B-01DB-4831-9B52-151AA286F744}" name="12463"/>
    <tableColumn id="12477" xr3:uid="{9EAB3137-93B1-4E45-A446-CCA796244399}" name="12464"/>
    <tableColumn id="12478" xr3:uid="{3A045987-FA31-43D8-9874-55E4994DB7CA}" name="12465"/>
    <tableColumn id="12479" xr3:uid="{0915620F-951D-4B6C-B963-784535DA9CEE}" name="12466"/>
    <tableColumn id="12480" xr3:uid="{803E6EBE-3A05-44C0-96E1-7558ACC284E2}" name="12467"/>
    <tableColumn id="12481" xr3:uid="{66130EBE-1A29-40F9-9093-404C4B4460FC}" name="12468"/>
    <tableColumn id="12482" xr3:uid="{68D99984-3AF1-45EB-A01C-E4662AC01289}" name="12469"/>
    <tableColumn id="12483" xr3:uid="{F8A6839D-C1EC-4F63-83EA-644074354316}" name="12470"/>
    <tableColumn id="12484" xr3:uid="{54B7B915-4EBF-47AB-AF4D-61EE9C5A3048}" name="12471"/>
    <tableColumn id="12485" xr3:uid="{36A66D06-E6E7-4ED1-A50E-A654D92529F0}" name="12472"/>
    <tableColumn id="12486" xr3:uid="{6C0F21DE-AE35-41B7-8561-1A732FA4B8C9}" name="12473"/>
    <tableColumn id="12487" xr3:uid="{5A52A078-BDFE-4986-A6F0-0080D60A3AEE}" name="12474"/>
    <tableColumn id="12488" xr3:uid="{7D7C3FDA-7270-46BC-BC26-EA384C2AF22A}" name="12475"/>
    <tableColumn id="12489" xr3:uid="{EA3D0150-68FF-408B-9E7C-37658A4F1BBA}" name="12476"/>
    <tableColumn id="12490" xr3:uid="{4C9D11C7-067C-4829-B30C-523C37CF6570}" name="12477"/>
    <tableColumn id="12491" xr3:uid="{92EA9478-5262-4C36-A4C0-13330BB18D15}" name="12478"/>
    <tableColumn id="12492" xr3:uid="{A0EF92DC-590D-4C27-9DA8-D35CA76C9073}" name="12479"/>
    <tableColumn id="12493" xr3:uid="{3A7C45A1-6CE5-49A9-8F87-5F9FABD5EB0F}" name="12480"/>
    <tableColumn id="12494" xr3:uid="{04B1934F-648D-4C87-BA90-B9EA18065F2A}" name="12481"/>
    <tableColumn id="12495" xr3:uid="{D5DFAF3D-3704-4E18-B2B5-A478A6A98DC7}" name="12482"/>
    <tableColumn id="12496" xr3:uid="{FAB0D11D-E9B0-45E9-9AC6-12DD6FC03E1B}" name="12483"/>
    <tableColumn id="12497" xr3:uid="{D4FC5AE2-0A3D-48F4-B9D3-0D5A32C6427E}" name="12484"/>
    <tableColumn id="12498" xr3:uid="{760C8F8D-FB54-4ED0-BE03-8D49C861BF13}" name="12485"/>
    <tableColumn id="12499" xr3:uid="{3A4E94F8-E531-498A-9FD5-25B93888FF2E}" name="12486"/>
    <tableColumn id="12500" xr3:uid="{98C949F1-FAEC-4575-92FD-0849557E3DE2}" name="12487"/>
    <tableColumn id="12501" xr3:uid="{D3C226E1-3C3A-41F8-A7BF-E9A306EEEE0B}" name="12488"/>
    <tableColumn id="12502" xr3:uid="{A00209C4-CBA0-4F0B-9C01-02BEC4791399}" name="12489"/>
    <tableColumn id="12503" xr3:uid="{80A5EC6D-200C-4D69-9A0A-FECC7718FEA5}" name="12490"/>
    <tableColumn id="12504" xr3:uid="{6DD915BC-8461-4ECC-B090-CFF1A537A2A1}" name="12491"/>
    <tableColumn id="12505" xr3:uid="{411E4E89-654B-4580-BEE8-C2379358591A}" name="12492"/>
    <tableColumn id="12506" xr3:uid="{394A1CCF-388C-4602-BE3D-9727951D1FFA}" name="12493"/>
    <tableColumn id="12507" xr3:uid="{D23989B9-4AF0-45B0-B36E-8F78B1F1E477}" name="12494"/>
    <tableColumn id="12508" xr3:uid="{21496F83-D46E-48BE-8CC9-543056B5F5B1}" name="12495"/>
    <tableColumn id="12509" xr3:uid="{72C16EDC-EE6E-470A-BC12-15D1401387FF}" name="12496"/>
    <tableColumn id="12510" xr3:uid="{0EC8C24F-1B31-4718-800C-848C1532088A}" name="12497"/>
    <tableColumn id="12511" xr3:uid="{AA76BD28-1C89-4B86-B27B-0944CAAB12C5}" name="12498"/>
    <tableColumn id="12512" xr3:uid="{12AA5277-8BAA-40F2-8C8D-848B03149B28}" name="12499"/>
    <tableColumn id="12513" xr3:uid="{FE4917C9-6100-4122-ACBF-88C87440BEA1}" name="12500"/>
    <tableColumn id="12514" xr3:uid="{08CF00CD-777B-4369-963A-FD10D61FBD41}" name="12501"/>
    <tableColumn id="12515" xr3:uid="{7BA6A6A7-21A5-49F9-B529-6688312564C7}" name="12502"/>
    <tableColumn id="12516" xr3:uid="{FC3836CF-3D15-46DD-89DE-4CC51E328D79}" name="12503"/>
    <tableColumn id="12517" xr3:uid="{BF036427-B022-41CA-B316-C65C66B07561}" name="12504"/>
    <tableColumn id="12518" xr3:uid="{0C6C87DC-5765-454E-A8DC-289C64EC846E}" name="12505"/>
    <tableColumn id="12519" xr3:uid="{0D3DA9E8-7A94-473B-931B-3FF2F61CAA53}" name="12506"/>
    <tableColumn id="12520" xr3:uid="{F7DE2833-3351-4965-A6E2-CBFBD61A74D8}" name="12507"/>
    <tableColumn id="12521" xr3:uid="{584797F6-8BF8-4AFF-AC37-F6E36E537932}" name="12508"/>
    <tableColumn id="12522" xr3:uid="{C33B8E90-A784-492D-ACFC-EA07473CA5CC}" name="12509"/>
    <tableColumn id="12523" xr3:uid="{79A06C1F-DB67-4CC8-BBF4-C9BB3B25357E}" name="12510"/>
    <tableColumn id="12524" xr3:uid="{B73DF246-66AD-4D77-A32B-5C9A26B9D397}" name="12511"/>
    <tableColumn id="12525" xr3:uid="{C7E359CE-6456-4EE8-A98B-9B17C2A80783}" name="12512"/>
    <tableColumn id="12526" xr3:uid="{D2744285-A09D-4364-81C0-12EB1546A1D1}" name="12513"/>
    <tableColumn id="12527" xr3:uid="{C81916F6-D5DB-4599-8A65-7FA6A81A3257}" name="12514"/>
    <tableColumn id="12528" xr3:uid="{43BAD2E1-3B55-4E0A-95FF-7F407ED6DF1F}" name="12515"/>
    <tableColumn id="12529" xr3:uid="{34C4482C-C7B0-4CE8-BAFD-81FC8650BFEA}" name="12516"/>
    <tableColumn id="12530" xr3:uid="{37F2FDF4-A766-4F23-8081-C233B761D39F}" name="12517"/>
    <tableColumn id="12531" xr3:uid="{5EDA0F0E-83FF-491C-96A0-1EC3965ACDD6}" name="12518"/>
    <tableColumn id="12532" xr3:uid="{B97F5BF8-AA28-4E30-B922-DDE3074C5D68}" name="12519"/>
    <tableColumn id="12533" xr3:uid="{8EA0D124-37F2-43D0-83AE-0E2587D03C9B}" name="12520"/>
    <tableColumn id="12534" xr3:uid="{6AF46F4E-AF8B-4E61-8D7F-978EFF0F2C27}" name="12521"/>
    <tableColumn id="12535" xr3:uid="{266849C9-B8C5-4647-BCE9-49976DDCE5CD}" name="12522"/>
    <tableColumn id="12536" xr3:uid="{1E881935-49EF-429A-8445-DAFBF72E6DBA}" name="12523"/>
    <tableColumn id="12537" xr3:uid="{8D7960A3-7373-41F1-B6FB-BBC331AC89D1}" name="12524"/>
    <tableColumn id="12538" xr3:uid="{82630A33-9BFD-47E9-91D0-74B891F8B8B8}" name="12525"/>
    <tableColumn id="12539" xr3:uid="{4A2CB062-E338-41C4-87E2-BEF1B47A6774}" name="12526"/>
    <tableColumn id="12540" xr3:uid="{48CBF3DC-BAEF-42B6-9563-4C139FF418F2}" name="12527"/>
    <tableColumn id="12541" xr3:uid="{A9B3ED0E-6B65-487F-8B29-DBB2B08BC08B}" name="12528"/>
    <tableColumn id="12542" xr3:uid="{F89C13CC-BC6C-434B-8766-73AECDB9E430}" name="12529"/>
    <tableColumn id="12543" xr3:uid="{AE56DCBE-3256-4DB3-BECA-D86887FD35AD}" name="12530"/>
    <tableColumn id="12544" xr3:uid="{05C284BE-4318-418B-A611-A35E18F014B5}" name="12531"/>
    <tableColumn id="12545" xr3:uid="{ED57463C-1D1C-43F2-AA94-29A1024490E7}" name="12532"/>
    <tableColumn id="12546" xr3:uid="{D06349A9-63DA-478B-9C30-95762DB0C790}" name="12533"/>
    <tableColumn id="12547" xr3:uid="{8B43CA3B-B583-4287-B53C-D9D6C78FCCF1}" name="12534"/>
    <tableColumn id="12548" xr3:uid="{BDC75A6B-031F-4C69-BE55-EFA83EB18E68}" name="12535"/>
    <tableColumn id="12549" xr3:uid="{8AF90320-D6A2-4A39-81FF-46507ACAAF7B}" name="12536"/>
    <tableColumn id="12550" xr3:uid="{9806210B-7A9F-44EB-8E22-1B67DA08B8A9}" name="12537"/>
    <tableColumn id="12551" xr3:uid="{17C75476-F546-4501-8D13-A164C3D1F584}" name="12538"/>
    <tableColumn id="12552" xr3:uid="{AEBE7A57-7D74-479C-81A0-11F79A5551FC}" name="12539"/>
    <tableColumn id="12553" xr3:uid="{515E1857-C030-4428-AC3D-CC9CC2F9115F}" name="12540"/>
    <tableColumn id="12554" xr3:uid="{704A21EC-F5CF-4B68-B2B8-52A5E713D7B9}" name="12541"/>
    <tableColumn id="12555" xr3:uid="{2AA22E68-C517-436C-AED2-2C36ABEE3A5E}" name="12542"/>
    <tableColumn id="12556" xr3:uid="{1D76F6FC-BA61-4FA0-9A8E-10A50E61FC30}" name="12543"/>
    <tableColumn id="12557" xr3:uid="{D0D43758-D2EF-40D5-B754-52AE6C342C31}" name="12544"/>
    <tableColumn id="12558" xr3:uid="{814A3386-C82C-4EE1-9BFD-3A405F5C5FF6}" name="12545"/>
    <tableColumn id="12559" xr3:uid="{860FFA65-2F0F-4945-A6FE-4616D504B676}" name="12546"/>
    <tableColumn id="12560" xr3:uid="{6462186D-E9BE-4A26-B0FD-AB291ED51CDF}" name="12547"/>
    <tableColumn id="12561" xr3:uid="{FB9CA813-D5E6-4D98-BE55-084E0C8487F1}" name="12548"/>
    <tableColumn id="12562" xr3:uid="{B2A8D923-DC70-4381-BDBF-25D480210C49}" name="12549"/>
    <tableColumn id="12563" xr3:uid="{52DEDCE3-19E4-4647-BFB3-90C70CB512B4}" name="12550"/>
    <tableColumn id="12564" xr3:uid="{C4D26AF6-4D69-46E2-8E79-B0FFDDA0AB4F}" name="12551"/>
    <tableColumn id="12565" xr3:uid="{119F6F14-A840-4C21-9552-3BFC076CB054}" name="12552"/>
    <tableColumn id="12566" xr3:uid="{C59D2D71-2B3A-48ED-B7E2-779749EB3DAC}" name="12553"/>
    <tableColumn id="12567" xr3:uid="{F989E14D-13DC-43CE-ADCD-51780A06076C}" name="12554"/>
    <tableColumn id="12568" xr3:uid="{C46705DE-B072-43A1-A590-EDFA94174633}" name="12555"/>
    <tableColumn id="12569" xr3:uid="{9D0C068E-2D2D-4B97-BC58-90B2BD1DFECE}" name="12556"/>
    <tableColumn id="12570" xr3:uid="{B4C6C47E-7BC2-4421-8CFC-ECE61B0248B0}" name="12557"/>
    <tableColumn id="12571" xr3:uid="{B2EB8158-44E3-4A0A-B2CE-8BE6951CFCCD}" name="12558"/>
    <tableColumn id="12572" xr3:uid="{30B30DC8-FBB6-44AB-8781-E5877C950391}" name="12559"/>
    <tableColumn id="12573" xr3:uid="{CFAE5F94-9831-4305-962B-C69D03423387}" name="12560"/>
    <tableColumn id="12574" xr3:uid="{203982D4-5C2C-4DE7-B826-D9AE201DF37A}" name="12561"/>
    <tableColumn id="12575" xr3:uid="{1817F645-0E70-45C0-9206-3766C9D28350}" name="12562"/>
    <tableColumn id="12576" xr3:uid="{42A45AFA-E6EE-4A5E-B221-2E92B9EB0F71}" name="12563"/>
    <tableColumn id="12577" xr3:uid="{CCC3C8E0-D7BF-4C8F-9D30-837CC792063A}" name="12564"/>
    <tableColumn id="12578" xr3:uid="{AFBEC4CE-ED46-4347-9D85-78EAE7B954D7}" name="12565"/>
    <tableColumn id="12579" xr3:uid="{24B8F20F-43BC-4A71-B230-C959AB78BA54}" name="12566"/>
    <tableColumn id="12580" xr3:uid="{BBFB2541-3A15-4C37-BEB4-D0E48F18C648}" name="12567"/>
    <tableColumn id="12581" xr3:uid="{E9315930-D017-4371-BE9C-0B57910701F1}" name="12568"/>
    <tableColumn id="12582" xr3:uid="{75AF71B7-E7A7-4D81-B482-DE432F255DDF}" name="12569"/>
    <tableColumn id="12583" xr3:uid="{DAFC8F17-A290-4C60-A43A-65D67C729274}" name="12570"/>
    <tableColumn id="12584" xr3:uid="{6E359E5E-9C42-4AFF-A892-5951193A4D7A}" name="12571"/>
    <tableColumn id="12585" xr3:uid="{83ADCD92-D132-4C05-A6CD-A0A10255EA7A}" name="12572"/>
    <tableColumn id="12586" xr3:uid="{FD3FC212-1A48-45CE-ACA4-90BB02841B57}" name="12573"/>
    <tableColumn id="12587" xr3:uid="{89915EE6-FC86-4FCC-A94E-02C03ABBA449}" name="12574"/>
    <tableColumn id="12588" xr3:uid="{842C0F2A-63A1-42D6-A420-F29EEBF07F3C}" name="12575"/>
    <tableColumn id="12589" xr3:uid="{2F4033F7-C3C4-47EE-9254-8A0D69C71A26}" name="12576"/>
    <tableColumn id="12590" xr3:uid="{15755C08-CF7A-408F-A98F-45B18F383B2B}" name="12577"/>
    <tableColumn id="12591" xr3:uid="{EB803144-2AE0-4140-AA96-BB4CBCAF5480}" name="12578"/>
    <tableColumn id="12592" xr3:uid="{10590989-3739-4AD1-809F-E767DE9D63F6}" name="12579"/>
    <tableColumn id="12593" xr3:uid="{13B5B1D1-4CE5-4390-AF9D-9E7D2B2D3C48}" name="12580"/>
    <tableColumn id="12594" xr3:uid="{A6C5097D-C0E6-4F65-BD9E-5EA2FE32ED4A}" name="12581"/>
    <tableColumn id="12595" xr3:uid="{F9EE298E-7DAB-4BFE-88FE-CCC568E0091B}" name="12582"/>
    <tableColumn id="12596" xr3:uid="{6CA06044-0510-48FF-B977-01EAB0CE7209}" name="12583"/>
    <tableColumn id="12597" xr3:uid="{86C825C0-3C11-48F5-A078-090F205EDDE4}" name="12584"/>
    <tableColumn id="12598" xr3:uid="{BA40603C-C5C8-4725-9A79-2D7C3F03F074}" name="12585"/>
    <tableColumn id="12599" xr3:uid="{9668B8E4-67FD-449A-B775-1BD0717535B9}" name="12586"/>
    <tableColumn id="12600" xr3:uid="{3690FBAE-CCDC-429B-9168-14FDC9A94C75}" name="12587"/>
    <tableColumn id="12601" xr3:uid="{C4B430DD-A0DA-4267-B0A2-E3AAAC94E7A9}" name="12588"/>
    <tableColumn id="12602" xr3:uid="{FE8206E7-6E75-4911-B712-176F7EF582CE}" name="12589"/>
    <tableColumn id="12603" xr3:uid="{357F85C6-FA4F-493A-896F-642793271CBE}" name="12590"/>
    <tableColumn id="12604" xr3:uid="{2098078B-41F7-4C26-8AA5-B228ADAD5208}" name="12591"/>
    <tableColumn id="12605" xr3:uid="{DEB8FD73-0190-4F48-98AE-7FDA0FF82ED4}" name="12592"/>
    <tableColumn id="12606" xr3:uid="{2BBBE736-C086-40E9-ABDA-89E5C13C0678}" name="12593"/>
    <tableColumn id="12607" xr3:uid="{57578A2E-B6BE-4AA9-AF62-B70FE4D599C3}" name="12594"/>
    <tableColumn id="12608" xr3:uid="{E9B1106D-A37C-4489-819F-493DD9BA47C8}" name="12595"/>
    <tableColumn id="12609" xr3:uid="{777611D8-CD71-4B88-B638-F9DA3D6F6E4E}" name="12596"/>
    <tableColumn id="12610" xr3:uid="{6CD0A0BB-8DC0-41EE-AD05-AAE10B655819}" name="12597"/>
    <tableColumn id="12611" xr3:uid="{9914F2EF-EDD8-43C8-8A44-CF2FE6F88A2B}" name="12598"/>
    <tableColumn id="12612" xr3:uid="{4E5C8055-525F-4F17-BFB0-276CF28661A6}" name="12599"/>
    <tableColumn id="12613" xr3:uid="{DDC819C1-C33A-4862-B5D1-51BE4C109D6C}" name="12600"/>
    <tableColumn id="12614" xr3:uid="{ADF169CE-8E9D-4150-AC56-208C553DFDBA}" name="12601"/>
    <tableColumn id="12615" xr3:uid="{F3EB4618-D46B-4C32-9263-7D526B821859}" name="12602"/>
    <tableColumn id="12616" xr3:uid="{DCB61760-A559-4143-86D3-5A3F43DA6357}" name="12603"/>
    <tableColumn id="12617" xr3:uid="{F08C806F-DCC2-4AA5-9D52-BB395BD3FDFB}" name="12604"/>
    <tableColumn id="12618" xr3:uid="{BFF3E6AE-29CE-446F-9A15-71A6357AAD09}" name="12605"/>
    <tableColumn id="12619" xr3:uid="{BF7076A8-D892-456A-88B1-D5EDFE33A614}" name="12606"/>
    <tableColumn id="12620" xr3:uid="{10E9AB51-D1DF-44C9-9D5F-597FD65F9DA7}" name="12607"/>
    <tableColumn id="12621" xr3:uid="{CBE0A30E-1CA5-4F32-A2F0-6FC685DE1CB0}" name="12608"/>
    <tableColumn id="12622" xr3:uid="{429D4399-5AC4-4CE4-B041-85ABB3E75BAE}" name="12609"/>
    <tableColumn id="12623" xr3:uid="{86E74099-975C-460E-8E36-1C31BE952361}" name="12610"/>
    <tableColumn id="12624" xr3:uid="{13EA1D15-5B13-4966-9D52-A4583E3D0B01}" name="12611"/>
    <tableColumn id="12625" xr3:uid="{A411593A-C078-4A9C-9446-810A0989369D}" name="12612"/>
    <tableColumn id="12626" xr3:uid="{7280943A-2F83-4A7B-A197-99D06CAAA413}" name="12613"/>
    <tableColumn id="12627" xr3:uid="{715D675E-9BA6-41C3-B7B3-672C700B697F}" name="12614"/>
    <tableColumn id="12628" xr3:uid="{2A036598-2AFB-4142-8BF4-F63F7A6CF94A}" name="12615"/>
    <tableColumn id="12629" xr3:uid="{50FB7CE3-57E6-46F7-B9BA-7A6DA4126324}" name="12616"/>
    <tableColumn id="12630" xr3:uid="{A9C1ABE9-9727-43AA-8EA7-094108E3F6E0}" name="12617"/>
    <tableColumn id="12631" xr3:uid="{48F14526-18E6-4C75-A196-4694D31803CC}" name="12618"/>
    <tableColumn id="12632" xr3:uid="{DF33D41A-448F-4B9B-9DC2-A059C0927A11}" name="12619"/>
    <tableColumn id="12633" xr3:uid="{174B8A8B-EB95-4139-B9F3-91D4F0745864}" name="12620"/>
    <tableColumn id="12634" xr3:uid="{299FBA60-4F1A-4A10-8216-C23E6B0DA5B0}" name="12621"/>
    <tableColumn id="12635" xr3:uid="{123C867C-4E9A-4D27-899D-7AFD38C449A3}" name="12622"/>
    <tableColumn id="12636" xr3:uid="{4C07CB94-5F36-4260-B453-44ACF8043479}" name="12623"/>
    <tableColumn id="12637" xr3:uid="{AD88A73C-AD28-424D-9191-92A157358E5F}" name="12624"/>
    <tableColumn id="12638" xr3:uid="{1D7FBFA9-C15B-4AAF-BD6E-BA6F1097866E}" name="12625"/>
    <tableColumn id="12639" xr3:uid="{508F1B72-C996-4D99-A7C4-6665517FBCE1}" name="12626"/>
    <tableColumn id="12640" xr3:uid="{4DE11527-60D9-4BCC-82A6-37AE6F2D730B}" name="12627"/>
    <tableColumn id="12641" xr3:uid="{9C33B143-F69A-4C98-ABE2-390A7D2D9ACC}" name="12628"/>
    <tableColumn id="12642" xr3:uid="{4D62F124-446B-4475-9F61-0FAC72C94C84}" name="12629"/>
    <tableColumn id="12643" xr3:uid="{6004EB9F-4BED-4A43-A3A1-7C250AA3BBE2}" name="12630"/>
    <tableColumn id="12644" xr3:uid="{E46B840A-5FD9-4B03-BF2F-F609A3A29B82}" name="12631"/>
    <tableColumn id="12645" xr3:uid="{79242BED-AFEE-4416-9EEE-842B789677E5}" name="12632"/>
    <tableColumn id="12646" xr3:uid="{793B9873-1794-4D3D-BFC6-D6E87F72F12A}" name="12633"/>
    <tableColumn id="12647" xr3:uid="{B71B376C-52D0-4C96-BBFE-24260C6E90A6}" name="12634"/>
    <tableColumn id="12648" xr3:uid="{1D5149E4-92BB-4E18-A81F-C19007D2E5EE}" name="12635"/>
    <tableColumn id="12649" xr3:uid="{54280C49-1183-45ED-8C04-201BAA873182}" name="12636"/>
    <tableColumn id="12650" xr3:uid="{16C78E37-9EFE-42E3-81FD-1B3722184B20}" name="12637"/>
    <tableColumn id="12651" xr3:uid="{6C19667B-ECF5-4868-860D-0F495CD98F38}" name="12638"/>
    <tableColumn id="12652" xr3:uid="{85D36496-7646-48E7-84F9-981F6DDE9D81}" name="12639"/>
    <tableColumn id="12653" xr3:uid="{8A55BFB3-ACA4-4A98-BE9A-6BDC5A62023F}" name="12640"/>
    <tableColumn id="12654" xr3:uid="{FE347D35-C796-4F64-9615-A3015FF7BD81}" name="12641"/>
    <tableColumn id="12655" xr3:uid="{6C4D2534-7DBA-4296-B93F-A21E4F38BD66}" name="12642"/>
    <tableColumn id="12656" xr3:uid="{07D62BD6-2CC6-430E-80C0-0AF78B7B9A75}" name="12643"/>
    <tableColumn id="12657" xr3:uid="{9D6C6474-D882-4CC3-83FD-94511D2B5532}" name="12644"/>
    <tableColumn id="12658" xr3:uid="{F463B349-2575-41AB-B295-7C8F7AD7A515}" name="12645"/>
    <tableColumn id="12659" xr3:uid="{1B2869EB-E142-431D-9312-71AFD2B44BA7}" name="12646"/>
    <tableColumn id="12660" xr3:uid="{4369166F-7EC1-49D7-BCF9-053625290B34}" name="12647"/>
    <tableColumn id="12661" xr3:uid="{34D4C7C4-FEAA-4047-9359-5C000F17F1FB}" name="12648"/>
    <tableColumn id="12662" xr3:uid="{D88C374C-05D9-4144-ABF2-46718B857964}" name="12649"/>
    <tableColumn id="12663" xr3:uid="{85B9264B-ECD3-4B58-9CC2-8D5BAC2FBAE9}" name="12650"/>
    <tableColumn id="12664" xr3:uid="{5BEA00CC-6954-42D3-98E3-11D61FB3CBBA}" name="12651"/>
    <tableColumn id="12665" xr3:uid="{2E5E4F48-629B-42F2-B4EE-74F4B5F30142}" name="12652"/>
    <tableColumn id="12666" xr3:uid="{8068168D-B9F3-4D7F-A521-8E02E9B63DB2}" name="12653"/>
    <tableColumn id="12667" xr3:uid="{BE5AE66A-CA11-49CD-ACB4-DEE0E0552F26}" name="12654"/>
    <tableColumn id="12668" xr3:uid="{482ADDEE-5017-4C88-A838-D721EAABD3A1}" name="12655"/>
    <tableColumn id="12669" xr3:uid="{54F2F21D-B34B-4704-A004-8E95C955777A}" name="12656"/>
    <tableColumn id="12670" xr3:uid="{111DB0B6-1004-4DC8-85A2-14D505F306F4}" name="12657"/>
    <tableColumn id="12671" xr3:uid="{F763EAC9-6135-40AE-A2A9-AD10C840D6FE}" name="12658"/>
    <tableColumn id="12672" xr3:uid="{FC99BFF7-649E-43A0-9BC7-3BB8965195DE}" name="12659"/>
    <tableColumn id="12673" xr3:uid="{F5E55672-0DE3-4202-9AE1-EF32C5E4A03B}" name="12660"/>
    <tableColumn id="12674" xr3:uid="{F4434C9B-A4DE-48E1-8728-062575663F15}" name="12661"/>
    <tableColumn id="12675" xr3:uid="{41B9FFA9-BC39-48F9-8B4C-A0B0B51C8471}" name="12662"/>
    <tableColumn id="12676" xr3:uid="{F92FA9BF-8115-48FC-8C8D-E4AA53AA0F2E}" name="12663"/>
    <tableColumn id="12677" xr3:uid="{2EE8AC7D-F9A9-4EFD-8004-36D154E625CB}" name="12664"/>
    <tableColumn id="12678" xr3:uid="{BCDA9DD1-0B6B-442D-A274-B0F1AFD1FEEF}" name="12665"/>
    <tableColumn id="12679" xr3:uid="{46D2FC98-A08F-4EE0-8EF6-E428062F0139}" name="12666"/>
    <tableColumn id="12680" xr3:uid="{A6153964-ADA2-4ECA-9128-310DB4A174A6}" name="12667"/>
    <tableColumn id="12681" xr3:uid="{F709630B-D0CC-47D4-80B2-9E9148571266}" name="12668"/>
    <tableColumn id="12682" xr3:uid="{9F93849D-F182-4D36-9BBE-3DB57EABDAC6}" name="12669"/>
    <tableColumn id="12683" xr3:uid="{54A45D9C-29AA-4A78-BAAC-E239630CE95C}" name="12670"/>
    <tableColumn id="12684" xr3:uid="{4A4B7D42-3A58-4EA8-AE32-E346B9800BFB}" name="12671"/>
    <tableColumn id="12685" xr3:uid="{6E8F30FB-90FE-4C88-9F4C-F5BC3CB46DBE}" name="12672"/>
    <tableColumn id="12686" xr3:uid="{4AA6959F-78D1-4026-BBC8-E5DAFB982CF1}" name="12673"/>
    <tableColumn id="12687" xr3:uid="{D653474D-292D-43B8-A62C-CE99E3B739D9}" name="12674"/>
    <tableColumn id="12688" xr3:uid="{CB85D756-5F04-446B-8D56-B445DDA9D7EE}" name="12675"/>
    <tableColumn id="12689" xr3:uid="{4EE6EC8B-FA53-4B24-9D79-5EDE8EC58B44}" name="12676"/>
    <tableColumn id="12690" xr3:uid="{F2C291FB-6049-4FD1-9AB1-E8E6DD152039}" name="12677"/>
    <tableColumn id="12691" xr3:uid="{A33BF400-AD71-46DD-AA9C-BDD59D908FF4}" name="12678"/>
    <tableColumn id="12692" xr3:uid="{6FACB4ED-4CEF-4849-93CA-08EF4F80B202}" name="12679"/>
    <tableColumn id="12693" xr3:uid="{EDAF73DC-2018-43EB-9F2A-E5026378D161}" name="12680"/>
    <tableColumn id="12694" xr3:uid="{32BCEA56-65C9-4411-B314-859CE9635000}" name="12681"/>
    <tableColumn id="12695" xr3:uid="{573A4EC0-AB02-4CBF-A9AC-822C3D02CF1B}" name="12682"/>
    <tableColumn id="12696" xr3:uid="{9ED6E724-A780-47AF-8992-D3FF93BC7B08}" name="12683"/>
    <tableColumn id="12697" xr3:uid="{CC45ACB2-EB85-4645-B004-7ABA9CC4CC79}" name="12684"/>
    <tableColumn id="12698" xr3:uid="{932BBEA6-4E0F-438B-A111-48A17FA7187D}" name="12685"/>
    <tableColumn id="12699" xr3:uid="{9F35717B-ED54-4036-9097-9C4B7C3AB113}" name="12686"/>
    <tableColumn id="12700" xr3:uid="{1F164C01-1FDD-44EC-B124-5C018FA4EC33}" name="12687"/>
    <tableColumn id="12701" xr3:uid="{2E22F08E-1E07-4A9C-AF25-1A8D382B7D3E}" name="12688"/>
    <tableColumn id="12702" xr3:uid="{0E927B0B-E383-42FB-8AB2-258FF2FD2D8B}" name="12689"/>
    <tableColumn id="12703" xr3:uid="{79613947-48B0-4572-AA34-BA9ADD5FE7F3}" name="12690"/>
    <tableColumn id="12704" xr3:uid="{B0471E8A-308A-4402-9804-BFB5CCAAB18F}" name="12691"/>
    <tableColumn id="12705" xr3:uid="{56C7352C-A407-4E8C-9E53-7989C2C44AAF}" name="12692"/>
    <tableColumn id="12706" xr3:uid="{9F9A6091-E171-490E-8C84-4F7C34555B68}" name="12693"/>
    <tableColumn id="12707" xr3:uid="{F3C16228-BBC1-4076-A7F3-8C3736FED1FF}" name="12694"/>
    <tableColumn id="12708" xr3:uid="{E762808B-F1E0-42F8-B572-C333EEE547FA}" name="12695"/>
    <tableColumn id="12709" xr3:uid="{C7E0CE5A-4F5D-4248-BBE0-BE7A8DDBC78C}" name="12696"/>
    <tableColumn id="12710" xr3:uid="{BA703674-7532-4C48-9C76-BA713488F857}" name="12697"/>
    <tableColumn id="12711" xr3:uid="{3064A1C0-5731-4580-B33F-08A42AA53E5D}" name="12698"/>
    <tableColumn id="12712" xr3:uid="{3153C29E-791D-4EFD-842D-5048BE94233C}" name="12699"/>
    <tableColumn id="12713" xr3:uid="{E6B0D6BC-2E4A-4A5D-89D3-46FF58EC39B6}" name="12700"/>
    <tableColumn id="12714" xr3:uid="{C4C6E9E5-2A27-407A-9B5F-0ABC7A6AA426}" name="12701"/>
    <tableColumn id="12715" xr3:uid="{B2C5DE0E-35E3-478D-AFBB-72FB287D3C8C}" name="12702"/>
    <tableColumn id="12716" xr3:uid="{13D1BA36-74C5-4940-8AAB-2E17C3A4803F}" name="12703"/>
    <tableColumn id="12717" xr3:uid="{0FA82304-48FB-4447-AF29-501CA3E761BF}" name="12704"/>
    <tableColumn id="12718" xr3:uid="{29D18BA3-FC54-448F-826F-BB5BBD4658F3}" name="12705"/>
    <tableColumn id="12719" xr3:uid="{6B3696EB-34F0-4F41-A39B-EBABE2A50CFA}" name="12706"/>
    <tableColumn id="12720" xr3:uid="{A9E17035-3594-4EED-8780-52815446DACC}" name="12707"/>
    <tableColumn id="12721" xr3:uid="{7FF7F984-D7F7-47C6-B1C0-78F82ED60A44}" name="12708"/>
    <tableColumn id="12722" xr3:uid="{67D0224A-FA70-4387-BE9C-D36DEF8D00AA}" name="12709"/>
    <tableColumn id="12723" xr3:uid="{ECA93E80-57ED-445C-81DD-0AC5D4680D84}" name="12710"/>
    <tableColumn id="12724" xr3:uid="{FEC1430E-2559-4963-BB5E-A61C70B0693E}" name="12711"/>
    <tableColumn id="12725" xr3:uid="{D476388E-63C1-4718-A665-BD9E62CCF376}" name="12712"/>
    <tableColumn id="12726" xr3:uid="{100C5CC0-F224-4AF5-9256-D67845A373C0}" name="12713"/>
    <tableColumn id="12727" xr3:uid="{D4C24A9C-06A2-45AA-9393-D1B6202C2F75}" name="12714"/>
    <tableColumn id="12728" xr3:uid="{981A67B2-D903-4677-8594-9B1394AC7A65}" name="12715"/>
    <tableColumn id="12729" xr3:uid="{D7B12D25-A44C-49E8-A29B-78B480041B28}" name="12716"/>
    <tableColumn id="12730" xr3:uid="{286AEEEC-B63C-4716-B3D0-0B18CCB2D119}" name="12717"/>
    <tableColumn id="12731" xr3:uid="{95935261-591F-4280-8561-86549DCC1B85}" name="12718"/>
    <tableColumn id="12732" xr3:uid="{3685AFE3-ADE5-4072-80D2-4B2ADA996F87}" name="12719"/>
    <tableColumn id="12733" xr3:uid="{CFFD453D-4C03-4E62-A133-ADDFAC0E85D7}" name="12720"/>
    <tableColumn id="12734" xr3:uid="{D351C4CF-AC31-4CE2-B2F9-8DB08D2440C9}" name="12721"/>
    <tableColumn id="12735" xr3:uid="{19342BDC-2174-4004-982D-499F305BB3BF}" name="12722"/>
    <tableColumn id="12736" xr3:uid="{26AB4437-0057-4B4E-AFA4-28B5D9AAF548}" name="12723"/>
    <tableColumn id="12737" xr3:uid="{B7B59B46-0467-485F-B202-95C844336D95}" name="12724"/>
    <tableColumn id="12738" xr3:uid="{FF511E9E-7076-4C3C-AE75-9265A08A8626}" name="12725"/>
    <tableColumn id="12739" xr3:uid="{7275E1BD-0EE7-4EF6-8016-60AC7007817E}" name="12726"/>
    <tableColumn id="12740" xr3:uid="{7A23ACDA-4C23-45FD-9330-00227C402B97}" name="12727"/>
    <tableColumn id="12741" xr3:uid="{BD6D39CD-5D8B-4692-81AB-B3340DC39C49}" name="12728"/>
    <tableColumn id="12742" xr3:uid="{C86ECCF4-EAC0-46C3-A40E-645F5FF97D60}" name="12729"/>
    <tableColumn id="12743" xr3:uid="{8037E9AC-4FAE-4FBA-89B8-F8DBD8200CBF}" name="12730"/>
    <tableColumn id="12744" xr3:uid="{96B503D3-D7A1-46B4-A3BB-BC810251A89E}" name="12731"/>
    <tableColumn id="12745" xr3:uid="{5F35A146-E813-4776-802B-1A4EF432B328}" name="12732"/>
    <tableColumn id="12746" xr3:uid="{1B6A763F-D61D-4CE9-93D3-EA8748C7A3C9}" name="12733"/>
    <tableColumn id="12747" xr3:uid="{C15446B4-AEB3-460E-9805-1AC81B39EE5E}" name="12734"/>
    <tableColumn id="12748" xr3:uid="{8894F810-ED7F-4BFC-B679-856DC56F4536}" name="12735"/>
    <tableColumn id="12749" xr3:uid="{107F2D1D-2698-428B-B5FF-0BC6A1285768}" name="12736"/>
    <tableColumn id="12750" xr3:uid="{EB40F188-0910-4795-A749-F8F83F1C6171}" name="12737"/>
    <tableColumn id="12751" xr3:uid="{0BF3CD51-AD7B-466D-B9C2-20819DFCC5AB}" name="12738"/>
    <tableColumn id="12752" xr3:uid="{4A6D8EC9-3037-4270-B3F3-A7D2BEB561A9}" name="12739"/>
    <tableColumn id="12753" xr3:uid="{095F315F-2387-4883-8D99-A01C88229008}" name="12740"/>
    <tableColumn id="12754" xr3:uid="{38183B45-2015-49F5-B7A2-FF908FD3F772}" name="12741"/>
    <tableColumn id="12755" xr3:uid="{BA8413D4-AFEA-402A-AFB2-E4AF23AA0AD9}" name="12742"/>
    <tableColumn id="12756" xr3:uid="{F71B7ECD-5DB2-49F3-8BB8-4E64AE2F1B0C}" name="12743"/>
    <tableColumn id="12757" xr3:uid="{D66E4148-810E-434E-8676-0195D6A08400}" name="12744"/>
    <tableColumn id="12758" xr3:uid="{0E34D8A0-B588-42F3-A757-58650F7F1359}" name="12745"/>
    <tableColumn id="12759" xr3:uid="{237311C3-7205-4FA0-9F3C-C09D63DE46E1}" name="12746"/>
    <tableColumn id="12760" xr3:uid="{D0146311-1AF9-405E-ABA1-C9C6C6B66165}" name="12747"/>
    <tableColumn id="12761" xr3:uid="{988FC058-4A00-4934-8090-610BEFB3CB77}" name="12748"/>
    <tableColumn id="12762" xr3:uid="{BF09DB82-8A99-4CDF-BB1A-DD4A576EA6C2}" name="12749"/>
    <tableColumn id="12763" xr3:uid="{10DFC76E-738F-4B98-BDC8-93217B6FE527}" name="12750"/>
    <tableColumn id="12764" xr3:uid="{09047A11-09E9-4A42-8094-75ECD3177C2B}" name="12751"/>
    <tableColumn id="12765" xr3:uid="{8038A74A-1754-4ABC-8D09-E191BFC5AD42}" name="12752"/>
    <tableColumn id="12766" xr3:uid="{0DA0A869-D8FB-4D74-86B5-EA77649CA262}" name="12753"/>
    <tableColumn id="12767" xr3:uid="{C1D836ED-5545-4456-88A1-B1E4F436BB83}" name="12754"/>
    <tableColumn id="12768" xr3:uid="{9848312A-E91E-4E38-8D06-D5BF8B3C2790}" name="12755"/>
    <tableColumn id="12769" xr3:uid="{68906FC4-0779-4BA1-A5A7-BFF823ED27CA}" name="12756"/>
    <tableColumn id="12770" xr3:uid="{A83A77C6-FCE5-4691-B877-ED6B65D883D9}" name="12757"/>
    <tableColumn id="12771" xr3:uid="{30786846-0534-4FB1-9FD1-E792D9A1384F}" name="12758"/>
    <tableColumn id="12772" xr3:uid="{7C78E82F-C38B-474D-820A-0B9855961919}" name="12759"/>
    <tableColumn id="12773" xr3:uid="{3CAD6A01-2D70-45E3-B41D-A29F3059136F}" name="12760"/>
    <tableColumn id="12774" xr3:uid="{CA1B2838-EEAF-4F87-960E-4BFC5D070DF5}" name="12761"/>
    <tableColumn id="12775" xr3:uid="{30195127-B72B-4800-84F8-878F327D63C7}" name="12762"/>
    <tableColumn id="12776" xr3:uid="{7F624104-BA44-4596-8D21-2D08676EEABE}" name="12763"/>
    <tableColumn id="12777" xr3:uid="{C068F79A-2ECF-42D4-BD94-EE680AA7074A}" name="12764"/>
    <tableColumn id="12778" xr3:uid="{B375447E-29EE-487B-A4E4-F3E5B7F006AA}" name="12765"/>
    <tableColumn id="12779" xr3:uid="{F2C8D2AE-AF59-4C18-B5AD-9F602350744D}" name="12766"/>
    <tableColumn id="12780" xr3:uid="{BDA9CE26-EDB9-4E88-A862-B54873E6306F}" name="12767"/>
    <tableColumn id="12781" xr3:uid="{871D1970-7C7A-4769-8FCD-34FBB2B927B3}" name="12768"/>
    <tableColumn id="12782" xr3:uid="{D4088D47-47F9-49C3-81D6-D7BB8D4B9083}" name="12769"/>
    <tableColumn id="12783" xr3:uid="{1E5622FB-4833-48ED-92C8-514919F70CF9}" name="12770"/>
    <tableColumn id="12784" xr3:uid="{EB0FC663-0A7D-4E8C-A9AE-993A0FE852E4}" name="12771"/>
    <tableColumn id="12785" xr3:uid="{48280E95-D586-454E-970D-E7956327C5B7}" name="12772"/>
    <tableColumn id="12786" xr3:uid="{6C2A3951-0D1A-4290-82EF-46097FE47014}" name="12773"/>
    <tableColumn id="12787" xr3:uid="{CBAF373D-EAB4-47DB-B221-1DED842D6931}" name="12774"/>
    <tableColumn id="12788" xr3:uid="{B90B228F-421E-4D21-B2DA-600EA8503B52}" name="12775"/>
    <tableColumn id="12789" xr3:uid="{4BF5A90B-F57D-44B0-99D4-4F5162BDAB16}" name="12776"/>
    <tableColumn id="12790" xr3:uid="{E2B9E265-F053-4DF6-A94B-3771F6CAF9B7}" name="12777"/>
    <tableColumn id="12791" xr3:uid="{1BAD2480-1B68-416A-89E3-3F9EA1FBC76E}" name="12778"/>
    <tableColumn id="12792" xr3:uid="{10BE268E-62B9-45B4-91CC-2FB927866331}" name="12779"/>
    <tableColumn id="12793" xr3:uid="{8667F087-AFD2-41EB-A931-56C4E7CD5053}" name="12780"/>
    <tableColumn id="12794" xr3:uid="{EC6211DE-E96A-4D69-8BC8-63627CA0A2FA}" name="12781"/>
    <tableColumn id="12795" xr3:uid="{53592D7B-B545-4232-B318-646496902C9D}" name="12782"/>
    <tableColumn id="12796" xr3:uid="{15CCF468-F70B-4830-8F7F-63352E71BF2C}" name="12783"/>
    <tableColumn id="12797" xr3:uid="{AEBA65F5-4DE9-4536-A368-EC56B2D247E7}" name="12784"/>
    <tableColumn id="12798" xr3:uid="{56D88991-50AF-430A-B9A9-203E09A8C700}" name="12785"/>
    <tableColumn id="12799" xr3:uid="{F5C7B4D3-12A3-42A3-ADCD-8653EBA0D611}" name="12786"/>
    <tableColumn id="12800" xr3:uid="{A4A0AC89-DEAB-428A-A423-13FB1148F8B4}" name="12787"/>
    <tableColumn id="12801" xr3:uid="{0D803699-F1B3-4E62-81FC-942AE4703598}" name="12788"/>
    <tableColumn id="12802" xr3:uid="{5CA22315-4075-45EE-AFA3-B77967C167C2}" name="12789"/>
    <tableColumn id="12803" xr3:uid="{D2B78701-578F-429F-BCA5-AF18E8CFBD66}" name="12790"/>
    <tableColumn id="12804" xr3:uid="{8A336D61-EDBD-4492-8B97-2B3590C81068}" name="12791"/>
    <tableColumn id="12805" xr3:uid="{E03CB61D-95C8-4A89-B8A7-C78D34FBBC65}" name="12792"/>
    <tableColumn id="12806" xr3:uid="{9D8464A6-5192-45F4-BB53-BA1A36A8CF60}" name="12793"/>
    <tableColumn id="12807" xr3:uid="{BB1B8084-13CC-4565-A6CD-4C907DEEC147}" name="12794"/>
    <tableColumn id="12808" xr3:uid="{EEBF4A8B-80D2-4041-B46C-5312890E84D9}" name="12795"/>
    <tableColumn id="12809" xr3:uid="{DE02C795-C6F2-401B-8DD6-B02842DAA7E6}" name="12796"/>
    <tableColumn id="12810" xr3:uid="{C2ACA00A-560E-4CF1-B60C-843023A3DB39}" name="12797"/>
    <tableColumn id="12811" xr3:uid="{EAA770CB-7436-4049-B713-3AF55AF00F7C}" name="12798"/>
    <tableColumn id="12812" xr3:uid="{171F70B0-C22D-41E3-8376-61D9E68663A5}" name="12799"/>
    <tableColumn id="12813" xr3:uid="{124DAF2B-F3A8-40C7-B4CB-4C42E33297C4}" name="12800"/>
    <tableColumn id="12814" xr3:uid="{EF389BCA-07DB-4E8A-B223-086B7BD15B63}" name="12801"/>
    <tableColumn id="12815" xr3:uid="{F4D025F2-5F7C-4BF3-A5D5-4F0E96EA6E74}" name="12802"/>
    <tableColumn id="12816" xr3:uid="{9ADC8B11-8416-4660-AE6D-22EA241A3006}" name="12803"/>
    <tableColumn id="12817" xr3:uid="{49AD61FF-9D66-4773-BAA5-6C02B8D1C76F}" name="12804"/>
    <tableColumn id="12818" xr3:uid="{EE86AC78-1DD5-4C00-B30F-300DE5F96601}" name="12805"/>
    <tableColumn id="12819" xr3:uid="{C9680673-4514-4C15-888D-C853B7489CB9}" name="12806"/>
    <tableColumn id="12820" xr3:uid="{D7F350CF-B0FE-423C-B09B-0539CB12523E}" name="12807"/>
    <tableColumn id="12821" xr3:uid="{47A4564B-4880-4C90-8087-FDCD77383143}" name="12808"/>
    <tableColumn id="12822" xr3:uid="{10FF832D-33E1-4F5E-B40B-F6881787DF1A}" name="12809"/>
    <tableColumn id="12823" xr3:uid="{655481B7-ABED-4B12-BCF1-492462C60898}" name="12810"/>
    <tableColumn id="12824" xr3:uid="{0BE7EF47-8B54-477E-8077-3E48EE3023E6}" name="12811"/>
    <tableColumn id="12825" xr3:uid="{E6424469-185E-49C0-AF28-B15D1839CC02}" name="12812"/>
    <tableColumn id="12826" xr3:uid="{D5C4CB13-9E5B-4485-A933-C1C87BEEF3B9}" name="12813"/>
    <tableColumn id="12827" xr3:uid="{EB286069-6EE2-4F95-A480-5CFB46D3B90D}" name="12814"/>
    <tableColumn id="12828" xr3:uid="{B7DABC0C-6DBE-4F17-A803-3922F4780A75}" name="12815"/>
    <tableColumn id="12829" xr3:uid="{CCBEE289-537F-4F73-8DEB-DC1E1B1F8FC3}" name="12816"/>
    <tableColumn id="12830" xr3:uid="{A2B8BAA9-F56E-4678-8773-5625B11FAC73}" name="12817"/>
    <tableColumn id="12831" xr3:uid="{9A2781B0-4D4B-4D57-AEF0-A152A04499F6}" name="12818"/>
    <tableColumn id="12832" xr3:uid="{071EA9D9-77E8-4A7D-B6EC-925F2ED13A0E}" name="12819"/>
    <tableColumn id="12833" xr3:uid="{0BC23E27-160F-4C9C-AAA1-8FBF7ED71D49}" name="12820"/>
    <tableColumn id="12834" xr3:uid="{AA22D97B-B37D-4F7F-A16B-EBE8C07FB0CD}" name="12821"/>
    <tableColumn id="12835" xr3:uid="{6AF72605-BD3A-4CBF-82FA-96414A7586DB}" name="12822"/>
    <tableColumn id="12836" xr3:uid="{2D690878-BFC4-4350-B652-611E6A8CB454}" name="12823"/>
    <tableColumn id="12837" xr3:uid="{D3170BDA-9B15-4730-A9C7-6E949C36D565}" name="12824"/>
    <tableColumn id="12838" xr3:uid="{0794A162-A1F8-4340-93E5-F508B3942EF6}" name="12825"/>
    <tableColumn id="12839" xr3:uid="{CB8F8FBC-A358-4BA3-B547-B896EF8A1F94}" name="12826"/>
    <tableColumn id="12840" xr3:uid="{870AC795-2CCC-489F-B958-2CF5AACD0C05}" name="12827"/>
    <tableColumn id="12841" xr3:uid="{570C3779-7F09-4CAF-84E7-F0C10F03686B}" name="12828"/>
    <tableColumn id="12842" xr3:uid="{4394433B-9894-467E-8713-8A59B9989315}" name="12829"/>
    <tableColumn id="12843" xr3:uid="{F7869D73-07E4-4E10-B1EC-52B08E5B9F3F}" name="12830"/>
    <tableColumn id="12844" xr3:uid="{DFD4D865-2911-4302-97BC-42C8A8F48459}" name="12831"/>
    <tableColumn id="12845" xr3:uid="{006A48BB-47AD-4EC3-A4C0-312B7B48D067}" name="12832"/>
    <tableColumn id="12846" xr3:uid="{375E39BD-5784-47C2-AAE0-5128851A7838}" name="12833"/>
    <tableColumn id="12847" xr3:uid="{5B595F46-646E-483D-A9CA-3DFDDE2EFDC0}" name="12834"/>
    <tableColumn id="12848" xr3:uid="{100830A9-A67F-4D1F-9A24-0917C5569624}" name="12835"/>
    <tableColumn id="12849" xr3:uid="{752FE1DE-7649-415F-BE21-BF4A882E94F5}" name="12836"/>
    <tableColumn id="12850" xr3:uid="{C28E4EC6-5861-4925-817F-EBDB2ADDBC18}" name="12837"/>
    <tableColumn id="12851" xr3:uid="{3FB65F3F-4CFE-443E-85A1-0FE400B051AE}" name="12838"/>
    <tableColumn id="12852" xr3:uid="{5C8F92CB-0F24-4138-BC9A-EB1EE3D1E027}" name="12839"/>
    <tableColumn id="12853" xr3:uid="{15D9BE90-FE04-4176-A47F-D3E0139ECF33}" name="12840"/>
    <tableColumn id="12854" xr3:uid="{8DB2DA9A-E496-499D-89AF-1429CC29DF4E}" name="12841"/>
    <tableColumn id="12855" xr3:uid="{6EE8822A-808F-4A96-B887-1695A10BDA2E}" name="12842"/>
    <tableColumn id="12856" xr3:uid="{ADEF6FD7-E6E6-44D4-9D68-F48293716A55}" name="12843"/>
    <tableColumn id="12857" xr3:uid="{A6752BDD-A2C1-4FAF-81A1-C1FCD2861D3E}" name="12844"/>
    <tableColumn id="12858" xr3:uid="{0812A7A0-4855-41B0-AE2F-F8DA61271A45}" name="12845"/>
    <tableColumn id="12859" xr3:uid="{4947E5E3-C61A-40D1-B894-C5CD36F58247}" name="12846"/>
    <tableColumn id="12860" xr3:uid="{DF390F27-87F0-4810-8B53-73D12100057E}" name="12847"/>
    <tableColumn id="12861" xr3:uid="{BB68EB2B-CBFC-4EA7-B0E4-F2D1A1A9707B}" name="12848"/>
    <tableColumn id="12862" xr3:uid="{E155DA3F-1775-493D-BCA6-B1BF18B4344B}" name="12849"/>
    <tableColumn id="12863" xr3:uid="{DFD7C941-4EDC-4807-8BBA-74818CED0178}" name="12850"/>
    <tableColumn id="12864" xr3:uid="{0E4C49E9-1DBA-48D9-B7DD-2F6085A10E93}" name="12851"/>
    <tableColumn id="12865" xr3:uid="{6D54A2D6-38AB-4FEA-A66A-3562EA7E9283}" name="12852"/>
    <tableColumn id="12866" xr3:uid="{3CCEBDF7-7353-4133-8FED-605359813E86}" name="12853"/>
    <tableColumn id="12867" xr3:uid="{6A58D20F-6E95-4BD6-9AB1-441C6A705E03}" name="12854"/>
    <tableColumn id="12868" xr3:uid="{E5F257D9-B9C7-4F0F-BDD9-146ACBBD8B8F}" name="12855"/>
    <tableColumn id="12869" xr3:uid="{9587F88F-45B7-4DD9-AC06-E6CFDD30FB0D}" name="12856"/>
    <tableColumn id="12870" xr3:uid="{92224164-43A7-43ED-90EE-4FC411D6C4EF}" name="12857"/>
    <tableColumn id="12871" xr3:uid="{664818B0-12DB-49C6-BCC7-C13095F80B20}" name="12858"/>
    <tableColumn id="12872" xr3:uid="{BAEA1822-CE9D-440D-B529-DFDCC6FABBD5}" name="12859"/>
    <tableColumn id="12873" xr3:uid="{45B5EB31-406E-47CE-8766-73CCC59A7AAD}" name="12860"/>
    <tableColumn id="12874" xr3:uid="{82244AC3-15D2-4448-9C32-9220BC96E618}" name="12861"/>
    <tableColumn id="12875" xr3:uid="{19293FEB-7344-4368-B429-FA4FE2A9A4F7}" name="12862"/>
    <tableColumn id="12876" xr3:uid="{CBE96974-65BB-480D-9602-B9B7BF9E30DD}" name="12863"/>
    <tableColumn id="12877" xr3:uid="{5856C617-F214-4BB0-A83F-CDA452AA1E4A}" name="12864"/>
    <tableColumn id="12878" xr3:uid="{357F199F-4DE0-443E-AF63-529BFDB1CE70}" name="12865"/>
    <tableColumn id="12879" xr3:uid="{5AACAA88-ADBA-40A7-A1DB-3032E45E680C}" name="12866"/>
    <tableColumn id="12880" xr3:uid="{E3318BD3-3D66-4661-B282-5D168B68DBA0}" name="12867"/>
    <tableColumn id="12881" xr3:uid="{67BCDCEC-F51A-4E51-A671-B65825655181}" name="12868"/>
    <tableColumn id="12882" xr3:uid="{A26D2B2D-21CF-4309-B9ED-755AFF5F776A}" name="12869"/>
    <tableColumn id="12883" xr3:uid="{A6E327F5-9C05-4015-BF6A-15B3D803440B}" name="12870"/>
    <tableColumn id="12884" xr3:uid="{E423DC60-4321-4580-A0C9-8629230094E5}" name="12871"/>
    <tableColumn id="12885" xr3:uid="{76037650-4337-4721-82B4-7539E74B9D47}" name="12872"/>
    <tableColumn id="12886" xr3:uid="{8382B90C-F929-4D58-BD69-421C2C4FD723}" name="12873"/>
    <tableColumn id="12887" xr3:uid="{618DEE04-27BE-4846-9768-4F40F8FEC3EA}" name="12874"/>
    <tableColumn id="12888" xr3:uid="{7DBEA17A-1BD9-4745-9C7D-7C1FA83452FF}" name="12875"/>
    <tableColumn id="12889" xr3:uid="{0ECC3968-2283-40E6-9114-5F046E838EF4}" name="12876"/>
    <tableColumn id="12890" xr3:uid="{5D2366FD-FAD1-48AC-9C70-59492405B297}" name="12877"/>
    <tableColumn id="12891" xr3:uid="{4D9B81E1-AE70-4855-9E29-D8E0C7ABDFDD}" name="12878"/>
    <tableColumn id="12892" xr3:uid="{02F8646D-1B71-4CDB-9A3D-795D50F7A462}" name="12879"/>
    <tableColumn id="12893" xr3:uid="{937B8F8D-A45D-42DB-B3A7-8231C25BCE34}" name="12880"/>
    <tableColumn id="12894" xr3:uid="{61F7A8BD-204C-42E7-8A97-09A9F92352C6}" name="12881"/>
    <tableColumn id="12895" xr3:uid="{7D591C02-24AC-469A-812A-7527E2977166}" name="12882"/>
    <tableColumn id="12896" xr3:uid="{EBAC7BE6-291D-4C66-B366-06212AAA4DD4}" name="12883"/>
    <tableColumn id="12897" xr3:uid="{A8C06283-6C25-482D-885C-9C24C77A413D}" name="12884"/>
    <tableColumn id="12898" xr3:uid="{5E3342CB-336F-46F1-B763-3FAB8083C9D1}" name="12885"/>
    <tableColumn id="12899" xr3:uid="{24B75254-C06C-4F3C-B817-0D279BD40DC2}" name="12886"/>
    <tableColumn id="12900" xr3:uid="{1C846C94-5F30-4D03-9293-A07960562652}" name="12887"/>
    <tableColumn id="12901" xr3:uid="{A9104471-8093-4038-9565-3E7F39B26AAB}" name="12888"/>
    <tableColumn id="12902" xr3:uid="{E8794BE2-7EAA-4151-BFB7-61BC90E8256F}" name="12889"/>
    <tableColumn id="12903" xr3:uid="{5796D327-95E7-40F4-A100-388D75C2EBCB}" name="12890"/>
    <tableColumn id="12904" xr3:uid="{C60EEBBB-FD39-4557-AFFA-F91259FAD4A6}" name="12891"/>
    <tableColumn id="12905" xr3:uid="{6E4805C6-27D8-415E-8AB4-AB6125D04E97}" name="12892"/>
    <tableColumn id="12906" xr3:uid="{0BBE0E7B-4378-416C-97AC-4A70453C36F2}" name="12893"/>
    <tableColumn id="12907" xr3:uid="{5C1984CD-47F4-4DE9-AE69-9EC0C6569B47}" name="12894"/>
    <tableColumn id="12908" xr3:uid="{AED9C709-D355-4474-841A-62E45A0BDA44}" name="12895"/>
    <tableColumn id="12909" xr3:uid="{912BF1D3-EE21-4C35-BF98-022B4F9AD442}" name="12896"/>
    <tableColumn id="12910" xr3:uid="{BAB207AA-C2B3-4717-BC86-E39842B89BEB}" name="12897"/>
    <tableColumn id="12911" xr3:uid="{E5530E56-F92B-463B-AC47-F443D03FAA99}" name="12898"/>
    <tableColumn id="12912" xr3:uid="{2A820D58-988D-4A4A-9654-D2794476DABC}" name="12899"/>
    <tableColumn id="12913" xr3:uid="{5EEBE92B-4FA2-4832-9FDC-A923E80677BF}" name="12900"/>
    <tableColumn id="12914" xr3:uid="{16E32EE6-2E85-4509-8E35-C37BB361CE56}" name="12901"/>
    <tableColumn id="12915" xr3:uid="{B52857F9-9F10-4230-8379-0B64683F6AE6}" name="12902"/>
    <tableColumn id="12916" xr3:uid="{D3E9C755-D820-4407-9C55-5928734CDCEC}" name="12903"/>
    <tableColumn id="12917" xr3:uid="{80D4B044-15BF-4D9E-8D46-3639BF190BA1}" name="12904"/>
    <tableColumn id="12918" xr3:uid="{71E602D2-8F94-48D6-BF91-5D07D728DD94}" name="12905"/>
    <tableColumn id="12919" xr3:uid="{5CE5A6CD-486B-4276-BFF6-1951BEA072B3}" name="12906"/>
    <tableColumn id="12920" xr3:uid="{F71AA7FE-02FC-4D6F-8373-73EEB902F647}" name="12907"/>
    <tableColumn id="12921" xr3:uid="{6EBA738E-393E-4373-9C98-4A732843F6FF}" name="12908"/>
    <tableColumn id="12922" xr3:uid="{16CC1372-D536-495F-A14F-C6458DF6D800}" name="12909"/>
    <tableColumn id="12923" xr3:uid="{94F267F2-B14E-4CD6-B0E1-0EB728B055D0}" name="12910"/>
    <tableColumn id="12924" xr3:uid="{1F1D3C25-D785-4E5C-9479-3C8612CAAB0E}" name="12911"/>
    <tableColumn id="12925" xr3:uid="{DC06DA62-B2CE-48C3-91CF-AE03C1E949BB}" name="12912"/>
    <tableColumn id="12926" xr3:uid="{6C6602E4-78AC-408B-BE3E-9F3B3D73995C}" name="12913"/>
    <tableColumn id="12927" xr3:uid="{05BFBCC3-7206-45E4-BBB4-A5D5626D6341}" name="12914"/>
    <tableColumn id="12928" xr3:uid="{BA3A141C-3498-424D-BECD-6777DAF60BA3}" name="12915"/>
    <tableColumn id="12929" xr3:uid="{87CEEE15-BEAD-4A05-984F-940432C83452}" name="12916"/>
    <tableColumn id="12930" xr3:uid="{5893EA32-2720-479F-BC0F-3172BC4D38B4}" name="12917"/>
    <tableColumn id="12931" xr3:uid="{C588648D-61C7-49AF-B0B2-D5DE8EC64E51}" name="12918"/>
    <tableColumn id="12932" xr3:uid="{8733F581-BB50-4AC2-81D7-B9552CCE346B}" name="12919"/>
    <tableColumn id="12933" xr3:uid="{2D22E060-27FB-4300-BF24-26E80D106CF0}" name="12920"/>
    <tableColumn id="12934" xr3:uid="{343F7C6A-AB28-4C76-8B04-1DB3837A85A7}" name="12921"/>
    <tableColumn id="12935" xr3:uid="{4B700F8D-C4AD-409C-900F-C1D0658B3867}" name="12922"/>
    <tableColumn id="12936" xr3:uid="{52F50D4D-FBB5-41AB-9C8B-0840D53CF12B}" name="12923"/>
    <tableColumn id="12937" xr3:uid="{E70D5D88-E12F-428C-A544-F9C79B96328B}" name="12924"/>
    <tableColumn id="12938" xr3:uid="{3FD9E37E-7666-4464-B159-E0E1705DB755}" name="12925"/>
    <tableColumn id="12939" xr3:uid="{629DAAF7-05D7-44FD-B63D-31657D4A2F33}" name="12926"/>
    <tableColumn id="12940" xr3:uid="{EE73F7A2-8D07-4C20-A649-50C921012DD6}" name="12927"/>
    <tableColumn id="12941" xr3:uid="{D62E91C2-A2DB-49BF-BA93-7741B963306A}" name="12928"/>
    <tableColumn id="12942" xr3:uid="{21864C3B-751F-481F-8FE1-18BBFCC03E21}" name="12929"/>
    <tableColumn id="12943" xr3:uid="{7A7BCF93-9CF0-4813-9706-720765F58E38}" name="12930"/>
    <tableColumn id="12944" xr3:uid="{26D401D8-4DCB-4DF5-BDF0-BE3BFDD53910}" name="12931"/>
    <tableColumn id="12945" xr3:uid="{F570788D-0133-4FDA-85F6-9CA564485256}" name="12932"/>
    <tableColumn id="12946" xr3:uid="{DC63EB57-0486-48A6-BABF-F3463B26BCB6}" name="12933"/>
    <tableColumn id="12947" xr3:uid="{45BD2FC5-463E-48AE-843C-7A84C4D1622A}" name="12934"/>
    <tableColumn id="12948" xr3:uid="{3F60A1C6-A5C6-4803-B2DA-AD7F23499B98}" name="12935"/>
    <tableColumn id="12949" xr3:uid="{F7C62651-082B-4EDF-A3A1-CCAD54F8049C}" name="12936"/>
    <tableColumn id="12950" xr3:uid="{8A1EC8A1-F8F8-4FBC-B75C-E5207BC0FAC8}" name="12937"/>
    <tableColumn id="12951" xr3:uid="{D54F883B-549C-408B-90F1-3DDB0D95F5E9}" name="12938"/>
    <tableColumn id="12952" xr3:uid="{889A8BF9-FAE3-482E-BE28-6A7D0019B2EA}" name="12939"/>
    <tableColumn id="12953" xr3:uid="{B3A792A7-6011-4C65-852C-CD58E4708E86}" name="12940"/>
    <tableColumn id="12954" xr3:uid="{CB1AAB07-BABF-49FE-9F94-E566F078AC1F}" name="12941"/>
    <tableColumn id="12955" xr3:uid="{7E818000-9EF0-45F9-AF33-3741B09CA72A}" name="12942"/>
    <tableColumn id="12956" xr3:uid="{26DABB97-4D15-4C74-9AF3-9D3E5A39E2F9}" name="12943"/>
    <tableColumn id="12957" xr3:uid="{78DD5DA2-3B02-4F57-9BEF-696AAF9FFE0F}" name="12944"/>
    <tableColumn id="12958" xr3:uid="{E04061E6-3776-4F01-B287-C7661D53B9EF}" name="12945"/>
    <tableColumn id="12959" xr3:uid="{1A50B22B-6BA2-44C5-86C2-536AB0B9B0DA}" name="12946"/>
    <tableColumn id="12960" xr3:uid="{F84D0702-668E-4E55-A7C7-FD7B980883F0}" name="12947"/>
    <tableColumn id="12961" xr3:uid="{570391F6-1D5C-4F7B-86AB-CCC852FB6A16}" name="12948"/>
    <tableColumn id="12962" xr3:uid="{AAFE7312-4469-4ED0-896C-35DFFBBB7236}" name="12949"/>
    <tableColumn id="12963" xr3:uid="{ED853224-1FC9-4DDB-A2AC-431644B96E9A}" name="12950"/>
    <tableColumn id="12964" xr3:uid="{C6B21413-027C-45B3-8412-AC0811BA92D3}" name="12951"/>
    <tableColumn id="12965" xr3:uid="{E875B6E4-652F-464D-A3E7-0402A4B9DB20}" name="12952"/>
    <tableColumn id="12966" xr3:uid="{73689CA0-B43D-44A5-9901-D830D6E5A1C2}" name="12953"/>
    <tableColumn id="12967" xr3:uid="{F3E19B5B-6F63-43BB-9F04-167DC65975A7}" name="12954"/>
    <tableColumn id="12968" xr3:uid="{D0627741-AAD9-4FD9-8D87-A0014481F3AB}" name="12955"/>
    <tableColumn id="12969" xr3:uid="{B01312BB-16D1-461B-A230-E08D9701E823}" name="12956"/>
    <tableColumn id="12970" xr3:uid="{B8B7A703-E59F-4AF4-8BD7-EB0BC3ADE4D1}" name="12957"/>
    <tableColumn id="12971" xr3:uid="{11F71E29-308D-4750-8A9E-36B74954C1FF}" name="12958"/>
    <tableColumn id="12972" xr3:uid="{D0C1882D-9DC6-47C5-BF7E-40571C6D809F}" name="12959"/>
    <tableColumn id="12973" xr3:uid="{79C79AFB-91B4-4600-8ACF-EA598A26BFD5}" name="12960"/>
    <tableColumn id="12974" xr3:uid="{DDCCEF12-D33C-404D-87DD-8BE11E81B1DD}" name="12961"/>
    <tableColumn id="12975" xr3:uid="{956A650B-7B18-49A4-8D97-44A78692570F}" name="12962"/>
    <tableColumn id="12976" xr3:uid="{770F896A-6906-4FA3-B8CB-5CD37D0224A7}" name="12963"/>
    <tableColumn id="12977" xr3:uid="{D92605AD-C241-49A5-A5CF-B0CBAD951BE0}" name="12964"/>
    <tableColumn id="12978" xr3:uid="{30A74788-19CC-4BD1-9D67-3AE3BF97FAB6}" name="12965"/>
    <tableColumn id="12979" xr3:uid="{94006120-D045-4010-909A-A29076546B4E}" name="12966"/>
    <tableColumn id="12980" xr3:uid="{69B27D3A-A668-4473-BD44-76F04EABBBFF}" name="12967"/>
    <tableColumn id="12981" xr3:uid="{D8E91020-FC64-4250-8D2B-74D5A1A30B9A}" name="12968"/>
    <tableColumn id="12982" xr3:uid="{98CC26AE-6F7B-43D2-B553-D666D9B0C700}" name="12969"/>
    <tableColumn id="12983" xr3:uid="{FE32A8F1-68B5-41F2-AA41-0AFD7C623B67}" name="12970"/>
    <tableColumn id="12984" xr3:uid="{CA679D35-39F7-4ABB-9FBB-751347A32929}" name="12971"/>
    <tableColumn id="12985" xr3:uid="{BCB0DE3E-9C73-4F01-8997-BC1136AE3D93}" name="12972"/>
    <tableColumn id="12986" xr3:uid="{CA608B7E-C9DC-4AB8-A3AD-93E731F9C8CE}" name="12973"/>
    <tableColumn id="12987" xr3:uid="{154EA7E3-BB1D-478F-B1B9-9D5B156A8797}" name="12974"/>
    <tableColumn id="12988" xr3:uid="{F01E2302-A55B-41EB-A238-F0155E037F5E}" name="12975"/>
    <tableColumn id="12989" xr3:uid="{B27A9991-66B6-4CA9-9DAD-20A94A8BF815}" name="12976"/>
    <tableColumn id="12990" xr3:uid="{640B560E-AF03-4735-B152-5275BFA0A70C}" name="12977"/>
    <tableColumn id="12991" xr3:uid="{81236F56-43BE-4072-944D-1F0E5D0EE92A}" name="12978"/>
    <tableColumn id="12992" xr3:uid="{A099F291-4F59-43F0-8DFD-5ADCF6A4CE43}" name="12979"/>
    <tableColumn id="12993" xr3:uid="{9B3F7391-AC39-4F34-A920-A7133B082464}" name="12980"/>
    <tableColumn id="12994" xr3:uid="{6D45FD57-B1FC-4A50-BDD0-DD9C8BC1BF46}" name="12981"/>
    <tableColumn id="12995" xr3:uid="{3FA3A4D9-7433-46A6-AE08-E593B3BD5C27}" name="12982"/>
    <tableColumn id="12996" xr3:uid="{136B1516-5402-42C9-B152-3BC31E5A3015}" name="12983"/>
    <tableColumn id="12997" xr3:uid="{A0691A3F-5EDB-4A53-B53C-1F84E4CEC8FB}" name="12984"/>
    <tableColumn id="12998" xr3:uid="{7F0FBACE-939E-4F46-B103-3B88F28FAF83}" name="12985"/>
    <tableColumn id="12999" xr3:uid="{21CC1D82-C1C4-4E55-B8E9-74AB5002A60C}" name="12986"/>
    <tableColumn id="13000" xr3:uid="{579AC8AD-B263-4092-AF1C-5DB6C029250C}" name="12987"/>
    <tableColumn id="13001" xr3:uid="{74E82104-3987-44A3-8B73-4561920C6BA7}" name="12988"/>
    <tableColumn id="13002" xr3:uid="{07899B63-8FF7-4982-A82C-4E3E0DD218AF}" name="12989"/>
    <tableColumn id="13003" xr3:uid="{68630248-88E7-4C19-AF77-8DC8A54973B1}" name="12990"/>
    <tableColumn id="13004" xr3:uid="{8E53B4B4-98A2-449D-8F2E-3257B77D0CF2}" name="12991"/>
    <tableColumn id="13005" xr3:uid="{28E67813-9A13-4034-AFC5-713C4B7019C5}" name="12992"/>
    <tableColumn id="13006" xr3:uid="{C602923D-B233-48F8-A57A-CC56EDFE3722}" name="12993"/>
    <tableColumn id="13007" xr3:uid="{56269494-4223-47BA-868C-6A92B360EBA3}" name="12994"/>
    <tableColumn id="13008" xr3:uid="{E7280FBA-6B80-4B6F-BCEB-CEC5FC466467}" name="12995"/>
    <tableColumn id="13009" xr3:uid="{EE2FA263-5076-44FF-A404-CFA4AAAC74E1}" name="12996"/>
    <tableColumn id="13010" xr3:uid="{4430F332-8365-4DA9-BA09-E5787253D219}" name="12997"/>
    <tableColumn id="13011" xr3:uid="{E577A537-6A93-4519-8A18-669302FF5284}" name="12998"/>
    <tableColumn id="13012" xr3:uid="{81AA4530-1912-47E5-8C9C-CB85E9C6C9B4}" name="12999"/>
    <tableColumn id="13013" xr3:uid="{17DF787B-D5E3-4630-A1D0-CBF293C027CD}" name="13000"/>
    <tableColumn id="13014" xr3:uid="{9FBF44CF-2C4E-4041-93C2-446EA0E6F2B8}" name="13001"/>
    <tableColumn id="13015" xr3:uid="{94511067-F12D-4122-9A30-72C36B414EA2}" name="13002"/>
    <tableColumn id="13016" xr3:uid="{4DFD6006-9129-4758-B247-A9E08A8494B5}" name="13003"/>
    <tableColumn id="13017" xr3:uid="{2F9FE126-0FC2-4008-B3AE-9CD60D3BD349}" name="13004"/>
    <tableColumn id="13018" xr3:uid="{ECC8A53F-9B1B-4DDD-B330-FE80EBCE8E7F}" name="13005"/>
    <tableColumn id="13019" xr3:uid="{A4642B4D-B79D-4C2E-B7B5-8405C19C8F6D}" name="13006"/>
    <tableColumn id="13020" xr3:uid="{32E651B3-F323-442B-B1D5-097D26D1C701}" name="13007"/>
    <tableColumn id="13021" xr3:uid="{FAB3EE63-86FC-4A68-87C8-45BD8BE43115}" name="13008"/>
    <tableColumn id="13022" xr3:uid="{18495F90-E5A7-4085-A159-059B26DF9136}" name="13009"/>
    <tableColumn id="13023" xr3:uid="{F6C09559-8ED9-4CBB-9E4F-58FEA1A9ADEC}" name="13010"/>
    <tableColumn id="13024" xr3:uid="{838AF515-06E6-4025-AA54-F51EE067094A}" name="13011"/>
    <tableColumn id="13025" xr3:uid="{5FDAB371-6BA3-478B-AF25-A991D7D58593}" name="13012"/>
    <tableColumn id="13026" xr3:uid="{A0BF439B-E068-4259-A2DC-CD83DE690080}" name="13013"/>
    <tableColumn id="13027" xr3:uid="{9550AFD9-6E70-47C2-9357-E741E7CB7490}" name="13014"/>
    <tableColumn id="13028" xr3:uid="{58921DA0-E930-40B1-9294-CA901D14D80F}" name="13015"/>
    <tableColumn id="13029" xr3:uid="{99419562-311C-40D9-B275-1526FE0C1022}" name="13016"/>
    <tableColumn id="13030" xr3:uid="{906BF570-7E5C-4358-9F3F-F378E04782A5}" name="13017"/>
    <tableColumn id="13031" xr3:uid="{D7AA949F-39A2-4601-9E8F-A12FF22AD8D1}" name="13018"/>
    <tableColumn id="13032" xr3:uid="{DE700841-F335-4376-AFF0-151D837BCEA6}" name="13019"/>
    <tableColumn id="13033" xr3:uid="{68406B86-96A3-4D41-BBB3-888B0532DC26}" name="13020"/>
    <tableColumn id="13034" xr3:uid="{B046C8E3-8D59-439E-852C-929B8CC7883E}" name="13021"/>
    <tableColumn id="13035" xr3:uid="{F48EFDF1-D95D-4D9B-B2E5-494369A3F065}" name="13022"/>
    <tableColumn id="13036" xr3:uid="{DA68EBAD-26EA-43DB-86C5-BBF0725833EA}" name="13023"/>
    <tableColumn id="13037" xr3:uid="{11EA455C-976D-4069-AAA5-097F80199B00}" name="13024"/>
    <tableColumn id="13038" xr3:uid="{95DECFA7-3144-446D-BAAC-C36EA6A7DD84}" name="13025"/>
    <tableColumn id="13039" xr3:uid="{414A6FE1-C40B-4596-8D77-9DCD6BEA0BA8}" name="13026"/>
    <tableColumn id="13040" xr3:uid="{57B6CFEE-C48E-4068-B3DA-D89B18D04623}" name="13027"/>
    <tableColumn id="13041" xr3:uid="{1F1E6828-176D-47BD-BD07-8FF1B1F4583E}" name="13028"/>
    <tableColumn id="13042" xr3:uid="{1658E444-E9FA-40E0-97DB-61699C19C42C}" name="13029"/>
    <tableColumn id="13043" xr3:uid="{D7FC593A-AEA7-4286-BE4A-D2CA972A6A3B}" name="13030"/>
    <tableColumn id="13044" xr3:uid="{F763C3AF-D025-4CE9-A2EE-7DB85F5900D7}" name="13031"/>
    <tableColumn id="13045" xr3:uid="{252511BD-CFF2-40F6-890D-68826C9BF158}" name="13032"/>
    <tableColumn id="13046" xr3:uid="{47DEF500-836D-4DED-960A-B0F17C11ACC2}" name="13033"/>
    <tableColumn id="13047" xr3:uid="{3E801736-9C7C-4303-AAD2-EBEDD4DF6269}" name="13034"/>
    <tableColumn id="13048" xr3:uid="{B514C1C9-5A4A-4005-A3DC-97FB0782CAD8}" name="13035"/>
    <tableColumn id="13049" xr3:uid="{99C270AB-0C8F-4125-B5B6-082611736446}" name="13036"/>
    <tableColumn id="13050" xr3:uid="{0990522A-00A1-43A7-A8EA-7238DD4793CB}" name="13037"/>
    <tableColumn id="13051" xr3:uid="{C2CA6363-F286-408E-8A4B-004AB61B087D}" name="13038"/>
    <tableColumn id="13052" xr3:uid="{D9BB6A1A-AACE-4F8B-9FE9-FE5F48ACF7D1}" name="13039"/>
    <tableColumn id="13053" xr3:uid="{7B01253D-2488-4A66-943D-992B5AD90245}" name="13040"/>
    <tableColumn id="13054" xr3:uid="{5454BA18-F615-4454-A879-C880171BFBA7}" name="13041"/>
    <tableColumn id="13055" xr3:uid="{A4D16515-0D36-48BA-B411-98CE468B223C}" name="13042"/>
    <tableColumn id="13056" xr3:uid="{0224983B-57E9-42B4-A008-5FCE2BC3E32C}" name="13043"/>
    <tableColumn id="13057" xr3:uid="{226C230D-5003-4F74-84EA-5C0E1EE10B8F}" name="13044"/>
    <tableColumn id="13058" xr3:uid="{7F0EC999-9D1C-456D-B11A-EE7D71C3BE42}" name="13045"/>
    <tableColumn id="13059" xr3:uid="{A309D5BE-F86A-497A-A727-FFBF8832CEAC}" name="13046"/>
    <tableColumn id="13060" xr3:uid="{36EC3347-EBD5-46FB-AF37-42C4187E0E01}" name="13047"/>
    <tableColumn id="13061" xr3:uid="{F376D44C-A73D-431A-8AEB-17CA091FE6DC}" name="13048"/>
    <tableColumn id="13062" xr3:uid="{EAC0DAD0-562D-4EBC-96C9-5C7C56CB6484}" name="13049"/>
    <tableColumn id="13063" xr3:uid="{5DEFDBB0-7A94-4798-9A41-F73F60119726}" name="13050"/>
    <tableColumn id="13064" xr3:uid="{4291A3DD-01DA-4FCF-8C47-BB40D74B3B4B}" name="13051"/>
    <tableColumn id="13065" xr3:uid="{9840DF24-C4CA-4AF8-8F27-3BF7314B5E1E}" name="13052"/>
    <tableColumn id="13066" xr3:uid="{E213724C-11CA-4B2D-B7F6-9022D2775751}" name="13053"/>
    <tableColumn id="13067" xr3:uid="{F3A24248-4F9F-4DDA-8C85-CD9C744D0E10}" name="13054"/>
    <tableColumn id="13068" xr3:uid="{57EE3087-97CE-46C5-B397-069B09808E8E}" name="13055"/>
    <tableColumn id="13069" xr3:uid="{05323545-4A78-4E83-986E-2A5897AE931E}" name="13056"/>
    <tableColumn id="13070" xr3:uid="{9FEF9AE6-F28D-4748-A0D1-2F62941FF746}" name="13057"/>
    <tableColumn id="13071" xr3:uid="{0A57CF4B-48BE-4FD2-B034-8E05DEDDA304}" name="13058"/>
    <tableColumn id="13072" xr3:uid="{43A4BDE7-B09B-42F0-9219-B23B0E741270}" name="13059"/>
    <tableColumn id="13073" xr3:uid="{F7207B2F-CDFF-4978-8D59-72AD6A29F91E}" name="13060"/>
    <tableColumn id="13074" xr3:uid="{212E87DB-F866-4178-8956-69BA68EC634E}" name="13061"/>
    <tableColumn id="13075" xr3:uid="{03C62DC4-A3C7-40C8-9E86-9E700D222D3C}" name="13062"/>
    <tableColumn id="13076" xr3:uid="{E087E0CB-609C-4890-BA94-002817F5FC5A}" name="13063"/>
    <tableColumn id="13077" xr3:uid="{F8517D86-E1CB-452D-9278-B7CAD2A42D7C}" name="13064"/>
    <tableColumn id="13078" xr3:uid="{24C32132-1FB0-4B97-B1FC-D677D04C8D33}" name="13065"/>
    <tableColumn id="13079" xr3:uid="{D6010389-3586-4A37-9009-8C9AF96970E6}" name="13066"/>
    <tableColumn id="13080" xr3:uid="{79EC3E9E-EEAC-480C-AE65-2D9C6770A7D7}" name="13067"/>
    <tableColumn id="13081" xr3:uid="{21BA7E5A-7B70-4CAB-A26D-70E01554F356}" name="13068"/>
    <tableColumn id="13082" xr3:uid="{B1F0E19C-E3DF-43CC-967C-A1ED4C151FE6}" name="13069"/>
    <tableColumn id="13083" xr3:uid="{7E176085-49A5-4488-844F-F6928D23556A}" name="13070"/>
    <tableColumn id="13084" xr3:uid="{CC096144-5D0E-4D3B-B1D2-85A4B642EBDA}" name="13071"/>
    <tableColumn id="13085" xr3:uid="{4A207DD7-CFA3-402D-97FD-7DE09CE04E7C}" name="13072"/>
    <tableColumn id="13086" xr3:uid="{48716F5F-B6EB-43DB-AB80-770841C8A686}" name="13073"/>
    <tableColumn id="13087" xr3:uid="{D93B29F4-AA76-48B7-8FAD-7C449E08D78F}" name="13074"/>
    <tableColumn id="13088" xr3:uid="{FC0019B7-B67D-4E01-9902-7ACCD122FC23}" name="13075"/>
    <tableColumn id="13089" xr3:uid="{B5B17178-C3A6-4F2A-834B-21949F64411C}" name="13076"/>
    <tableColumn id="13090" xr3:uid="{DA8F2D52-961A-4424-837E-64B4D3576CED}" name="13077"/>
    <tableColumn id="13091" xr3:uid="{EFA80E78-32C7-4715-82F4-EBF34F4EFEBE}" name="13078"/>
    <tableColumn id="13092" xr3:uid="{86E25260-B8D1-44FF-B59E-8DB3FEE24203}" name="13079"/>
    <tableColumn id="13093" xr3:uid="{40796CBA-39F6-443E-A346-60F66C7F2C3F}" name="13080"/>
    <tableColumn id="13094" xr3:uid="{D8A7A1FB-4CE0-42F9-A1C1-E2070F5371A4}" name="13081"/>
    <tableColumn id="13095" xr3:uid="{5437B167-A372-464D-951B-A8A93A9E9C43}" name="13082"/>
    <tableColumn id="13096" xr3:uid="{5D260FD1-7A4D-479D-9FB7-F7225E7B21EC}" name="13083"/>
    <tableColumn id="13097" xr3:uid="{9D60A4D0-DCDB-4229-BACA-70E6AF2B36A0}" name="13084"/>
    <tableColumn id="13098" xr3:uid="{FD4EBC8B-BEE3-4392-91DD-991EBF32A6DB}" name="13085"/>
    <tableColumn id="13099" xr3:uid="{9F446776-734C-448F-930C-0994B741083F}" name="13086"/>
    <tableColumn id="13100" xr3:uid="{C01CFBF1-1CD1-41F5-B2BB-C670905901B1}" name="13087"/>
    <tableColumn id="13101" xr3:uid="{8A893A7B-F175-40B4-8BC2-0AAFF7756413}" name="13088"/>
    <tableColumn id="13102" xr3:uid="{A821EE73-F678-4A50-94E2-A71F0BBAA7B7}" name="13089"/>
    <tableColumn id="13103" xr3:uid="{FDC6DC28-E991-4126-93AC-39656BEE3438}" name="13090"/>
    <tableColumn id="13104" xr3:uid="{19A2CAFC-A796-4824-9E7B-FDD03E96C2BC}" name="13091"/>
    <tableColumn id="13105" xr3:uid="{D95E3885-9E22-443D-92BA-AE37FF217A79}" name="13092"/>
    <tableColumn id="13106" xr3:uid="{FDA485B4-23D7-435A-9F93-23DC267AA87B}" name="13093"/>
    <tableColumn id="13107" xr3:uid="{A1DED607-CABE-477D-8B64-7826F523F5F7}" name="13094"/>
    <tableColumn id="13108" xr3:uid="{51E9BC96-E437-423D-AFC5-A6B0D6ACC58F}" name="13095"/>
    <tableColumn id="13109" xr3:uid="{FF64BAF0-11D8-4A54-9044-5BDBD1F4D1F4}" name="13096"/>
    <tableColumn id="13110" xr3:uid="{0072C27A-5BC1-4489-A313-17D40D6A17FA}" name="13097"/>
    <tableColumn id="13111" xr3:uid="{E740A262-1E57-40AF-9F75-71B2D2E5924C}" name="13098"/>
    <tableColumn id="13112" xr3:uid="{CFFB0701-BDAF-47B5-A9C1-5C0C052472E6}" name="13099"/>
    <tableColumn id="13113" xr3:uid="{E5366F5D-771B-4F1C-BEDF-6E67D1C4B370}" name="13100"/>
    <tableColumn id="13114" xr3:uid="{5E442260-468A-4728-A408-CBD04CE6FF71}" name="13101"/>
    <tableColumn id="13115" xr3:uid="{E59C4C57-B84E-4F1A-9B78-0337386F15B1}" name="13102"/>
    <tableColumn id="13116" xr3:uid="{7C4B073A-4879-4D01-BDE6-C96EF85AA368}" name="13103"/>
    <tableColumn id="13117" xr3:uid="{CDCFD701-BF1F-45BD-A57A-BF0AFA503B4E}" name="13104"/>
    <tableColumn id="13118" xr3:uid="{F8DB879B-861A-4205-BA94-E99E4304073C}" name="13105"/>
    <tableColumn id="13119" xr3:uid="{5D302F71-1D16-4380-A618-DD74BBA424D3}" name="13106"/>
    <tableColumn id="13120" xr3:uid="{48D467CA-F88B-473B-89A7-87894F5A68E5}" name="13107"/>
    <tableColumn id="13121" xr3:uid="{F9666779-F088-4261-A575-E511D4A2401E}" name="13108"/>
    <tableColumn id="13122" xr3:uid="{0251EE5E-6423-4D48-A2C5-75DDADAB8571}" name="13109"/>
    <tableColumn id="13123" xr3:uid="{B8BD1B38-3B8B-47B8-968D-FB7976B9EB57}" name="13110"/>
    <tableColumn id="13124" xr3:uid="{5771AF8A-CDEB-43FD-A6D3-0D125260F380}" name="13111"/>
    <tableColumn id="13125" xr3:uid="{7FD09069-0BD6-41F7-99F3-60C99A4FC3B5}" name="13112"/>
    <tableColumn id="13126" xr3:uid="{AE14B409-BA31-45A7-A919-CED8FED4FB6E}" name="13113"/>
    <tableColumn id="13127" xr3:uid="{9EDC4BD6-1BE0-45F1-A4F5-8C7888B0ED37}" name="13114"/>
    <tableColumn id="13128" xr3:uid="{B031054B-B475-4C8F-975A-9F417FED085D}" name="13115"/>
    <tableColumn id="13129" xr3:uid="{A676D001-4AD7-47C6-A4A4-D211C9B55C64}" name="13116"/>
    <tableColumn id="13130" xr3:uid="{9730DD7D-FE20-4190-8677-25BA9EEBDABD}" name="13117"/>
    <tableColumn id="13131" xr3:uid="{17ECFCB8-B3B2-4B3E-93FD-53DBEE3E4D10}" name="13118"/>
    <tableColumn id="13132" xr3:uid="{E8F17327-B35F-4B5B-B085-CDA6A9F98226}" name="13119"/>
    <tableColumn id="13133" xr3:uid="{6AEF72BD-6AC7-4976-8E82-CF4510EFCE52}" name="13120"/>
    <tableColumn id="13134" xr3:uid="{049A6330-66DE-4D35-9731-EF63ABEDA743}" name="13121"/>
    <tableColumn id="13135" xr3:uid="{A7B54CBE-66A6-4A2F-8B6E-8F473D9B9381}" name="13122"/>
    <tableColumn id="13136" xr3:uid="{93193FF9-AC95-47F3-AFC9-B25FA453A522}" name="13123"/>
    <tableColumn id="13137" xr3:uid="{75BCEE4B-E649-446F-8D4D-90D7806E6F36}" name="13124"/>
    <tableColumn id="13138" xr3:uid="{E5095F76-8912-479F-84FA-A0E7CF2D5B99}" name="13125"/>
    <tableColumn id="13139" xr3:uid="{B7AADC19-42F4-4D14-BBB6-5B12F89B05F2}" name="13126"/>
    <tableColumn id="13140" xr3:uid="{D5504A5E-7A2B-41D4-8EC8-D7724F65ACAF}" name="13127"/>
    <tableColumn id="13141" xr3:uid="{61E6BAFF-2017-4A38-BE27-F672CD1B42FF}" name="13128"/>
    <tableColumn id="13142" xr3:uid="{D2953B79-EAEF-455C-B7E8-96D4A6773085}" name="13129"/>
    <tableColumn id="13143" xr3:uid="{5C8BE4AE-3B20-4E60-B62F-6FE11D8FC373}" name="13130"/>
    <tableColumn id="13144" xr3:uid="{BFC7D4D6-0613-4FC6-80AA-008BD8C835D3}" name="13131"/>
    <tableColumn id="13145" xr3:uid="{EE2EF55E-0F26-40C5-96D2-B0BB1E12783E}" name="13132"/>
    <tableColumn id="13146" xr3:uid="{980B4588-AD2E-45B7-B8D4-8D6FEB5ECD61}" name="13133"/>
    <tableColumn id="13147" xr3:uid="{781478B9-3997-4D86-A432-1319AEFF27D3}" name="13134"/>
    <tableColumn id="13148" xr3:uid="{C91D383D-E8CF-4B64-999F-2308276E892D}" name="13135"/>
    <tableColumn id="13149" xr3:uid="{62ABE48F-A508-4988-8A23-DDEF454C97B2}" name="13136"/>
    <tableColumn id="13150" xr3:uid="{55A8F8C6-4F60-406C-97B1-B29FF69C2626}" name="13137"/>
    <tableColumn id="13151" xr3:uid="{8CC7AFBF-C996-445D-9564-ED2D4C2EDA87}" name="13138"/>
    <tableColumn id="13152" xr3:uid="{73F3AF29-208D-4DEE-B23D-EBB8DE3A26A4}" name="13139"/>
    <tableColumn id="13153" xr3:uid="{FE11DE40-DFF0-4DD1-AD79-E6C3B572149B}" name="13140"/>
    <tableColumn id="13154" xr3:uid="{E0F6EA8B-92A0-41EB-B34A-555F466824F0}" name="13141"/>
    <tableColumn id="13155" xr3:uid="{B871CD2F-3172-44DC-8B6C-F5B7657063D7}" name="13142"/>
    <tableColumn id="13156" xr3:uid="{39FCB490-F365-4A94-BA79-C9E8FD18F6C2}" name="13143"/>
    <tableColumn id="13157" xr3:uid="{41CD5601-18CA-40E4-AAE6-900F84669DD1}" name="13144"/>
    <tableColumn id="13158" xr3:uid="{9FDE3492-0516-421F-9550-78C823FA7A17}" name="13145"/>
    <tableColumn id="13159" xr3:uid="{6DE4CFA1-C667-4402-B715-717BF6C635EE}" name="13146"/>
    <tableColumn id="13160" xr3:uid="{9FA7029B-96E3-4CA3-94CD-5056A199D99A}" name="13147"/>
    <tableColumn id="13161" xr3:uid="{F01D41E5-DF9C-44B6-AF9E-B4746E1EE1CA}" name="13148"/>
    <tableColumn id="13162" xr3:uid="{46935C61-5950-49F5-B77F-CA598FF0C343}" name="13149"/>
    <tableColumn id="13163" xr3:uid="{AC131615-D2B2-4210-8C41-2B526D34CB09}" name="13150"/>
    <tableColumn id="13164" xr3:uid="{71F5DAFA-C39B-48BA-8941-D1649C461D3D}" name="13151"/>
    <tableColumn id="13165" xr3:uid="{EA6CE632-39EA-46D5-BDA0-BD1FFDADC511}" name="13152"/>
    <tableColumn id="13166" xr3:uid="{47945906-D925-4350-8E87-1CF3C329379D}" name="13153"/>
    <tableColumn id="13167" xr3:uid="{DD66EE09-A938-46F7-8E73-F6ACEB67CAB8}" name="13154"/>
    <tableColumn id="13168" xr3:uid="{927956EA-7EA2-4EBA-92A3-B71170F7F4AC}" name="13155"/>
    <tableColumn id="13169" xr3:uid="{59E2C379-34A7-4F4C-B0D4-979627BA8A9C}" name="13156"/>
    <tableColumn id="13170" xr3:uid="{C32B0447-0F82-43AE-AB03-727A9A383ABC}" name="13157"/>
    <tableColumn id="13171" xr3:uid="{0A6F0C68-12BF-4ECD-BCDA-F0879BD28D9D}" name="13158"/>
    <tableColumn id="13172" xr3:uid="{680E0E9E-F69B-4144-922E-7FF8E1E99202}" name="13159"/>
    <tableColumn id="13173" xr3:uid="{B80D9F32-36DF-4545-AC62-072D61D7D039}" name="13160"/>
    <tableColumn id="13174" xr3:uid="{4D22814E-C90A-403E-A730-1CE6CA89920E}" name="13161"/>
    <tableColumn id="13175" xr3:uid="{A75AAE40-6C52-4EA6-9E17-C372B7D377A8}" name="13162"/>
    <tableColumn id="13176" xr3:uid="{35E9C28B-EA70-4A52-83BA-7EFB87309474}" name="13163"/>
    <tableColumn id="13177" xr3:uid="{EC945678-8BE9-42B6-824B-2D8403E55D85}" name="13164"/>
    <tableColumn id="13178" xr3:uid="{AB9D57E0-4D4A-4FAB-8CE8-B5AB187E5BE0}" name="13165"/>
    <tableColumn id="13179" xr3:uid="{79D584F5-E256-4992-BF7A-97CBDCBE18F4}" name="13166"/>
    <tableColumn id="13180" xr3:uid="{BE70584D-2401-487D-AE15-AAFACF42171E}" name="13167"/>
    <tableColumn id="13181" xr3:uid="{BD930477-7ABF-4505-A7CD-2988475B5131}" name="13168"/>
    <tableColumn id="13182" xr3:uid="{85D3C27D-C154-4CA2-B93E-36BCEBE7B57E}" name="13169"/>
    <tableColumn id="13183" xr3:uid="{2144C5EE-84E9-4E4F-98B0-3B2A2E1B7947}" name="13170"/>
    <tableColumn id="13184" xr3:uid="{AD67ADA9-EC72-4DD1-82CA-64EFAC63A14E}" name="13171"/>
    <tableColumn id="13185" xr3:uid="{1EEC9AE1-EB30-4F95-83AF-DE4E33FF79DC}" name="13172"/>
    <tableColumn id="13186" xr3:uid="{C6B9D204-4479-44DE-BA9A-18788DBCCE8D}" name="13173"/>
    <tableColumn id="13187" xr3:uid="{5246BAE9-8E2F-4A5D-A2F7-620F592EF8A6}" name="13174"/>
    <tableColumn id="13188" xr3:uid="{E9BFF7BC-8473-416F-8170-88051453A6D1}" name="13175"/>
    <tableColumn id="13189" xr3:uid="{22F6F301-26D3-480C-9FC7-387785A8C1B1}" name="13176"/>
    <tableColumn id="13190" xr3:uid="{06AAF665-B26A-4C2B-8207-AF0069F4DDCE}" name="13177"/>
    <tableColumn id="13191" xr3:uid="{BE949B6D-1560-4E34-8143-FC262EC1D96F}" name="13178"/>
    <tableColumn id="13192" xr3:uid="{AA7CD33F-2B88-4CAF-8350-AFDD314761E7}" name="13179"/>
    <tableColumn id="13193" xr3:uid="{FA0A8E2B-2285-4DEC-985A-4C9B5CD0B6BE}" name="13180"/>
    <tableColumn id="13194" xr3:uid="{B3CACAB9-2F4F-4024-8349-B932EE961C1D}" name="13181"/>
    <tableColumn id="13195" xr3:uid="{10C16DE2-CB7E-4063-ABE9-2B59CF1F9440}" name="13182"/>
    <tableColumn id="13196" xr3:uid="{CD9A09AB-6FA8-44C1-92DA-4968EAE17399}" name="13183"/>
    <tableColumn id="13197" xr3:uid="{B9E8ECCC-7EFB-4168-978D-6211231A92C3}" name="13184"/>
    <tableColumn id="13198" xr3:uid="{C7444040-22ED-411D-B435-2DBA98E5C1CF}" name="13185"/>
    <tableColumn id="13199" xr3:uid="{42F828B7-8B7B-47C6-A43D-992C053E3C00}" name="13186"/>
    <tableColumn id="13200" xr3:uid="{38F59E81-FB8D-4893-ADF1-C275FDC092BD}" name="13187"/>
    <tableColumn id="13201" xr3:uid="{AE0928D2-78E2-4987-A466-CC36EDD443D8}" name="13188"/>
    <tableColumn id="13202" xr3:uid="{55AD34F5-0803-4797-B111-FC01F06AE89C}" name="13189"/>
    <tableColumn id="13203" xr3:uid="{D1F71171-CB09-42B3-9958-A6FE93DB819A}" name="13190"/>
    <tableColumn id="13204" xr3:uid="{759FC248-6F5E-48ED-B79A-36400406EB69}" name="13191"/>
    <tableColumn id="13205" xr3:uid="{0EA64277-2DAB-47EF-8A71-244F11328979}" name="13192"/>
    <tableColumn id="13206" xr3:uid="{6F93FD7B-27C0-427C-88B4-816A7FF7AF3E}" name="13193"/>
    <tableColumn id="13207" xr3:uid="{F838BC64-AFC4-42DF-B6DE-12CB5FA27CAC}" name="13194"/>
    <tableColumn id="13208" xr3:uid="{EFD96BF6-2861-4574-BFD3-B279ED055E85}" name="13195"/>
    <tableColumn id="13209" xr3:uid="{F7665695-D024-4FB7-AE77-40CA54BAEB19}" name="13196"/>
    <tableColumn id="13210" xr3:uid="{4BE0B349-6A6B-4933-9F66-1354D581EB91}" name="13197"/>
    <tableColumn id="13211" xr3:uid="{F0DB8F5F-CC04-44A0-8471-E9FC455A7092}" name="13198"/>
    <tableColumn id="13212" xr3:uid="{41A89C54-744A-4B7D-B916-9AC8945C4B4C}" name="13199"/>
    <tableColumn id="13213" xr3:uid="{C49E4B27-EDD9-4EAE-A1BE-291FC1B33686}" name="13200"/>
    <tableColumn id="13214" xr3:uid="{7B1563A4-FB0A-44EB-B1F0-7346F33B9471}" name="13201"/>
    <tableColumn id="13215" xr3:uid="{3DD8FAE4-5F45-4795-9098-6A91A48E81AF}" name="13202"/>
    <tableColumn id="13216" xr3:uid="{05C7C238-3448-4F86-BBDE-7227075753F8}" name="13203"/>
    <tableColumn id="13217" xr3:uid="{CF674A48-B221-446F-A381-ED0DEC1D7F2D}" name="13204"/>
    <tableColumn id="13218" xr3:uid="{B7251663-C7E7-468B-88B5-25171FF109FD}" name="13205"/>
    <tableColumn id="13219" xr3:uid="{D87EB8B5-83FC-474D-A5FD-6FB537B87281}" name="13206"/>
    <tableColumn id="13220" xr3:uid="{60E53CF0-3D08-4F69-8775-615F0A3E490F}" name="13207"/>
    <tableColumn id="13221" xr3:uid="{A36911D2-08D4-4685-88CC-A668FC89D975}" name="13208"/>
    <tableColumn id="13222" xr3:uid="{972A2A36-BBFE-47D5-8FDC-A8BB39021BBC}" name="13209"/>
    <tableColumn id="13223" xr3:uid="{A86ACDD7-756E-4830-8524-3CCB2180AA85}" name="13210"/>
    <tableColumn id="13224" xr3:uid="{B94C4547-B351-47AB-AE54-939C2A99D1E6}" name="13211"/>
    <tableColumn id="13225" xr3:uid="{12F5DB67-B1F1-4377-B0B2-B62A666B74B5}" name="13212"/>
    <tableColumn id="13226" xr3:uid="{F2156869-B013-4D21-A636-925AC29AEC3D}" name="13213"/>
    <tableColumn id="13227" xr3:uid="{43AF78D8-142F-4945-AB09-D73AB8E0A978}" name="13214"/>
    <tableColumn id="13228" xr3:uid="{24168A4A-F013-4F60-BF0F-17977A8F75DE}" name="13215"/>
    <tableColumn id="13229" xr3:uid="{2607DE4E-A121-41EF-8193-11C8486E048F}" name="13216"/>
    <tableColumn id="13230" xr3:uid="{9DBFEC46-25EB-47ED-9241-32C010A1CD10}" name="13217"/>
    <tableColumn id="13231" xr3:uid="{DEB9C67D-FB78-4312-AC94-F009B57227BD}" name="13218"/>
    <tableColumn id="13232" xr3:uid="{705DA5D7-1031-49CA-88D4-657D6027A328}" name="13219"/>
    <tableColumn id="13233" xr3:uid="{563F9AF9-EAE2-4FAA-AAA1-F56C708F2E75}" name="13220"/>
    <tableColumn id="13234" xr3:uid="{F5F62E7E-058A-4615-90E8-2F17082C6B8B}" name="13221"/>
    <tableColumn id="13235" xr3:uid="{07CF4792-BB83-4095-B644-CE6B12488BB7}" name="13222"/>
    <tableColumn id="13236" xr3:uid="{107BF48D-FC38-40B7-AFD4-1425BAEA60EA}" name="13223"/>
    <tableColumn id="13237" xr3:uid="{813FC9E4-D55A-421C-9195-CD512A9A509F}" name="13224"/>
    <tableColumn id="13238" xr3:uid="{EF1BE0E5-3D39-428D-B093-111AD34022C7}" name="13225"/>
    <tableColumn id="13239" xr3:uid="{5B835D4D-0B93-4767-A7C4-E159AA4BEF6E}" name="13226"/>
    <tableColumn id="13240" xr3:uid="{7B603B4F-2B82-4896-826E-4C8C72D755A2}" name="13227"/>
    <tableColumn id="13241" xr3:uid="{67E22067-C538-415A-A075-0E465AFCBBC9}" name="13228"/>
    <tableColumn id="13242" xr3:uid="{FECB9262-A368-461E-95DD-8A3B66F6AC1F}" name="13229"/>
    <tableColumn id="13243" xr3:uid="{F2FF6E5F-E617-41D1-9129-36899AA47986}" name="13230"/>
    <tableColumn id="13244" xr3:uid="{A79D1E34-5BB7-440E-90F4-63978AF3ACDB}" name="13231"/>
    <tableColumn id="13245" xr3:uid="{305B2B36-213D-4F8A-9CAD-CD0C23A69B71}" name="13232"/>
    <tableColumn id="13246" xr3:uid="{F1FF3840-3EB5-4131-8EFC-25ABFAB9506C}" name="13233"/>
    <tableColumn id="13247" xr3:uid="{686D3CB1-FFCB-4EC7-B428-69176E42F4BA}" name="13234"/>
    <tableColumn id="13248" xr3:uid="{D835A157-ACA0-4647-92DC-2CB870FE1548}" name="13235"/>
    <tableColumn id="13249" xr3:uid="{A996F60D-27B1-4219-A428-70F6259749AB}" name="13236"/>
    <tableColumn id="13250" xr3:uid="{81C3BFA8-26D4-4848-9228-F5580A351E13}" name="13237"/>
    <tableColumn id="13251" xr3:uid="{8B8569A0-C569-43AF-9C05-7A2CFC1A8ACB}" name="13238"/>
    <tableColumn id="13252" xr3:uid="{E7CC4E7B-7E4D-43D3-997F-A34205B246B0}" name="13239"/>
    <tableColumn id="13253" xr3:uid="{74D27B14-8E22-456A-A400-7C156405A491}" name="13240"/>
    <tableColumn id="13254" xr3:uid="{11B65D79-CC2E-41CB-821B-B359F93D3934}" name="13241"/>
    <tableColumn id="13255" xr3:uid="{DD90310E-8030-407C-8230-DE7D9086D7BF}" name="13242"/>
    <tableColumn id="13256" xr3:uid="{AAB8BB30-0FED-41E5-A09F-46A80F5B8901}" name="13243"/>
    <tableColumn id="13257" xr3:uid="{2DAC8C75-F1E3-4561-9A95-B38A2A8CA47A}" name="13244"/>
    <tableColumn id="13258" xr3:uid="{FD368716-7EDF-4229-8853-5BBF7DB1A6F6}" name="13245"/>
    <tableColumn id="13259" xr3:uid="{485E19F7-C323-406E-8C74-2234A1313F0D}" name="13246"/>
    <tableColumn id="13260" xr3:uid="{0B0053A8-64C0-4C02-ACC8-14002C61AD9A}" name="13247"/>
    <tableColumn id="13261" xr3:uid="{F7E8C8DF-B1B1-44E1-AA2C-13FEE6927058}" name="13248"/>
    <tableColumn id="13262" xr3:uid="{FB0A9178-0160-4E1C-81BC-C4F890DC777C}" name="13249"/>
    <tableColumn id="13263" xr3:uid="{0C9F5115-B391-451F-8CA2-53BB0D6F2E6B}" name="13250"/>
    <tableColumn id="13264" xr3:uid="{A99211DD-D9DC-498E-87B1-D249E69364DA}" name="13251"/>
    <tableColumn id="13265" xr3:uid="{3F525284-8878-45DB-BE32-581FE0565125}" name="13252"/>
    <tableColumn id="13266" xr3:uid="{995D9D30-32BE-4B99-A900-FBF674723F6B}" name="13253"/>
    <tableColumn id="13267" xr3:uid="{865BEC28-B06C-4FA9-B0F8-03E858C3B462}" name="13254"/>
    <tableColumn id="13268" xr3:uid="{4F64129C-728C-44A1-8537-ED8C40679135}" name="13255"/>
    <tableColumn id="13269" xr3:uid="{D9AED3D2-15A8-437D-9F2C-659101C17B23}" name="13256"/>
    <tableColumn id="13270" xr3:uid="{767D9CCA-BEF4-47DF-B710-19C358B454DA}" name="13257"/>
    <tableColumn id="13271" xr3:uid="{6717DB76-33D8-4FAE-8219-3AA808638C2F}" name="13258"/>
    <tableColumn id="13272" xr3:uid="{6AA2471D-F29C-43D7-8725-BFF5E75D3D9D}" name="13259"/>
    <tableColumn id="13273" xr3:uid="{69CBD7FD-83E0-4D0C-AB58-FAA1AFDDC799}" name="13260"/>
    <tableColumn id="13274" xr3:uid="{D542F71E-7E13-4344-B050-E5B050D6AF55}" name="13261"/>
    <tableColumn id="13275" xr3:uid="{79868E8C-470B-4ADC-A3EB-D4E72AD07038}" name="13262"/>
    <tableColumn id="13276" xr3:uid="{07B95625-58E7-4DAA-A17E-09AFD31B6306}" name="13263"/>
    <tableColumn id="13277" xr3:uid="{85109AD9-A967-4670-B583-29AB64C70972}" name="13264"/>
    <tableColumn id="13278" xr3:uid="{E0A47B83-C095-4C9E-8369-225150738EF0}" name="13265"/>
    <tableColumn id="13279" xr3:uid="{ACD8FCEE-71C1-4AD7-8F23-9D46B51F5327}" name="13266"/>
    <tableColumn id="13280" xr3:uid="{1D371BB8-A0A6-4813-8EF9-2DDD92A4A038}" name="13267"/>
    <tableColumn id="13281" xr3:uid="{C6595EFA-C31A-4F8D-B234-95624F114268}" name="13268"/>
    <tableColumn id="13282" xr3:uid="{57BD7A67-264F-453E-9956-92665C166BC7}" name="13269"/>
    <tableColumn id="13283" xr3:uid="{49F87368-A8B0-4F70-89EF-8286E4BEBBD5}" name="13270"/>
    <tableColumn id="13284" xr3:uid="{49036D05-BD8D-4C7A-84EB-3F0B8B2FE78D}" name="13271"/>
    <tableColumn id="13285" xr3:uid="{F5AA7D13-6578-4EE8-9022-AB3A61946186}" name="13272"/>
    <tableColumn id="13286" xr3:uid="{B5224463-6917-448C-91DD-676ABC35853D}" name="13273"/>
    <tableColumn id="13287" xr3:uid="{325B8793-4FE3-4959-8512-D1883835D18A}" name="13274"/>
    <tableColumn id="13288" xr3:uid="{B60849E3-5647-459B-996C-13652297AB63}" name="13275"/>
    <tableColumn id="13289" xr3:uid="{08A5D7B0-C1E7-4C3A-94C1-58DD504A3713}" name="13276"/>
    <tableColumn id="13290" xr3:uid="{0B129B9B-DBBE-4FC9-A76D-028A6D6A04F3}" name="13277"/>
    <tableColumn id="13291" xr3:uid="{8CB6D5FB-3ADF-47B8-A48F-69A70CB11C44}" name="13278"/>
    <tableColumn id="13292" xr3:uid="{F05B9037-AF89-45F5-8526-723AC5D83222}" name="13279"/>
    <tableColumn id="13293" xr3:uid="{BEB7E679-7830-4C29-8C3D-6CF1EFF5B835}" name="13280"/>
    <tableColumn id="13294" xr3:uid="{C9310850-843D-4F3C-BCDF-685D3DAF11AE}" name="13281"/>
    <tableColumn id="13295" xr3:uid="{028142EE-02E1-4867-9AA7-33EA5E586E9B}" name="13282"/>
    <tableColumn id="13296" xr3:uid="{33B2AAF0-8571-45A5-9D2A-D2E90601C639}" name="13283"/>
    <tableColumn id="13297" xr3:uid="{E0D11C2D-9490-498A-9071-D51BE340EE15}" name="13284"/>
    <tableColumn id="13298" xr3:uid="{45A1FE51-B53E-49EE-84A5-F1D63CD1B38E}" name="13285"/>
    <tableColumn id="13299" xr3:uid="{61449345-8291-4064-BA2C-B8BB9306F6F5}" name="13286"/>
    <tableColumn id="13300" xr3:uid="{AA880A98-F155-4FA4-AA14-03D10B51E62E}" name="13287"/>
    <tableColumn id="13301" xr3:uid="{F3EF09F3-D07E-4AF2-B7BF-8B55C90C9C1F}" name="13288"/>
    <tableColumn id="13302" xr3:uid="{86F72C76-B1D8-415F-9B80-8B41CDB492FC}" name="13289"/>
    <tableColumn id="13303" xr3:uid="{5C54FE74-4EF1-4189-8F46-3F6CF07DA6EB}" name="13290"/>
    <tableColumn id="13304" xr3:uid="{8D15BA20-B602-46C5-BA28-0FFBF9BEFC83}" name="13291"/>
    <tableColumn id="13305" xr3:uid="{45EDBF61-1066-4BE7-80E3-4A33A3193C89}" name="13292"/>
    <tableColumn id="13306" xr3:uid="{B09AC6D6-0856-4EAB-90DF-0C6B50B49F92}" name="13293"/>
    <tableColumn id="13307" xr3:uid="{5D9827E4-35CD-4A3D-8C7D-D8C27E6E393E}" name="13294"/>
    <tableColumn id="13308" xr3:uid="{F25BD254-DCFB-49CC-BFA1-24C52000B189}" name="13295"/>
    <tableColumn id="13309" xr3:uid="{FD58464F-EACA-4B09-93CE-8163A12385CB}" name="13296"/>
    <tableColumn id="13310" xr3:uid="{FD4A988F-7536-4644-9B58-9936A41A10FD}" name="13297"/>
    <tableColumn id="13311" xr3:uid="{5AFD041E-36EF-447B-8AAD-DEA36CE07CA6}" name="13298"/>
    <tableColumn id="13312" xr3:uid="{998CB284-A4CB-44BD-9F4B-BCF8E3CA446F}" name="13299"/>
    <tableColumn id="13313" xr3:uid="{A0F63B0C-71A9-4AB6-85A4-F2CFF33FBBAE}" name="13300"/>
    <tableColumn id="13314" xr3:uid="{1C315E7E-B33B-4381-8339-473219AFEBD7}" name="13301"/>
    <tableColumn id="13315" xr3:uid="{CB84F1F3-80B3-434D-ACDB-3D5606DB79D4}" name="13302"/>
    <tableColumn id="13316" xr3:uid="{E630A530-5042-42D9-9227-BC9884C893ED}" name="13303"/>
    <tableColumn id="13317" xr3:uid="{112ED8C5-4F46-4172-82D2-4A06F250471C}" name="13304"/>
    <tableColumn id="13318" xr3:uid="{E76B86B6-3B98-4CA6-9034-C3B6F032A8B6}" name="13305"/>
    <tableColumn id="13319" xr3:uid="{243FC1AF-F757-4888-A02B-5039CB3AF181}" name="13306"/>
    <tableColumn id="13320" xr3:uid="{2C923751-70D8-4CB2-9C84-F95C882E1EE9}" name="13307"/>
    <tableColumn id="13321" xr3:uid="{364DAF92-8967-4F41-9605-06C998C09827}" name="13308"/>
    <tableColumn id="13322" xr3:uid="{0F55D1E8-D087-46F6-B711-ACBF8887D100}" name="13309"/>
    <tableColumn id="13323" xr3:uid="{80BBC87B-0B43-4963-98B8-072A99BB287D}" name="13310"/>
    <tableColumn id="13324" xr3:uid="{8EB9CBF8-2DE9-4FF9-B689-401E99B6425D}" name="13311"/>
    <tableColumn id="13325" xr3:uid="{0E923AFA-65CC-4D24-A512-4ACB23C839A3}" name="13312"/>
    <tableColumn id="13326" xr3:uid="{550F83E6-A03E-4352-B795-CC1D6482FB4E}" name="13313"/>
    <tableColumn id="13327" xr3:uid="{5DDB1841-9E8D-415D-8BC8-6BEFD3FA906F}" name="13314"/>
    <tableColumn id="13328" xr3:uid="{2D3D409A-BBC3-4558-8430-4E6CFE11C276}" name="13315"/>
    <tableColumn id="13329" xr3:uid="{9D591DE1-CB86-4466-B777-6DDCF2CE5F5D}" name="13316"/>
    <tableColumn id="13330" xr3:uid="{366AA99B-1B69-4395-8DA0-947E8B0A8C7D}" name="13317"/>
    <tableColumn id="13331" xr3:uid="{70D73EE4-27FF-4BA1-B917-5AB41BDD1BF4}" name="13318"/>
    <tableColumn id="13332" xr3:uid="{DB07A88E-7ED4-44EA-A017-8D2D86B134CA}" name="13319"/>
    <tableColumn id="13333" xr3:uid="{E5C69E20-7867-4745-B03B-CD4359DBCFEB}" name="13320"/>
    <tableColumn id="13334" xr3:uid="{625B6DEA-EB75-4491-B07A-B1BFABD1BFFA}" name="13321"/>
    <tableColumn id="13335" xr3:uid="{9CBBF712-3064-40DD-AFC5-1A65D74540EA}" name="13322"/>
    <tableColumn id="13336" xr3:uid="{B12BF8DF-1C83-44AA-843C-B5BBB982B417}" name="13323"/>
    <tableColumn id="13337" xr3:uid="{ABD9FFDD-3AE7-4612-B661-43E0E662FFF6}" name="13324"/>
    <tableColumn id="13338" xr3:uid="{DC79C646-DD62-48AC-B53C-CA3CBBAECBF9}" name="13325"/>
    <tableColumn id="13339" xr3:uid="{1D2D0127-D25E-4151-B91F-DB0D736901FD}" name="13326"/>
    <tableColumn id="13340" xr3:uid="{716B805D-4CED-425E-9ACA-7118ABA28DAD}" name="13327"/>
    <tableColumn id="13341" xr3:uid="{9F1C5F37-C3B4-47AC-9134-6DB07497E756}" name="13328"/>
    <tableColumn id="13342" xr3:uid="{17BCD851-BA8B-4F6C-AE03-F6ABD61E3453}" name="13329"/>
    <tableColumn id="13343" xr3:uid="{8BB3B455-228E-4574-BAB9-0A0D07959C0A}" name="13330"/>
    <tableColumn id="13344" xr3:uid="{42AEC483-3CAB-4322-BD04-9CBA574797DA}" name="13331"/>
    <tableColumn id="13345" xr3:uid="{EFEACC4B-A435-4793-AAB8-62C8ADAA355B}" name="13332"/>
    <tableColumn id="13346" xr3:uid="{5DD79034-432B-4B2D-B9DB-C7501B068E0D}" name="13333"/>
    <tableColumn id="13347" xr3:uid="{1E5E992F-AD41-49A4-85B4-1A0652FC2640}" name="13334"/>
    <tableColumn id="13348" xr3:uid="{94631ADE-BA80-407B-9AC5-6C4BB8EEEE3A}" name="13335"/>
    <tableColumn id="13349" xr3:uid="{D20F22F9-C9A8-46F7-91A8-F4374788D29E}" name="13336"/>
    <tableColumn id="13350" xr3:uid="{530592EE-5450-444E-B681-B5574C8BDD50}" name="13337"/>
    <tableColumn id="13351" xr3:uid="{D5A9A0E2-1849-4A2D-A0F4-3443BFE76742}" name="13338"/>
    <tableColumn id="13352" xr3:uid="{330D0FBD-3046-4E3C-91DE-C730A403EDD7}" name="13339"/>
    <tableColumn id="13353" xr3:uid="{BEA7BA55-E0E1-44A9-BD01-3A1E309DF5CD}" name="13340"/>
    <tableColumn id="13354" xr3:uid="{EB1F3247-1719-4B73-9B33-84C180F6C9A9}" name="13341"/>
    <tableColumn id="13355" xr3:uid="{670621F7-0A84-41ED-AB0E-07E03BFD742D}" name="13342"/>
    <tableColumn id="13356" xr3:uid="{3651C0DE-9C1F-43D4-A593-FCFC0545C58E}" name="13343"/>
    <tableColumn id="13357" xr3:uid="{F4FF6E87-612C-4295-9C1D-D6D00503D6E2}" name="13344"/>
    <tableColumn id="13358" xr3:uid="{D1F44CC9-2585-45EB-AD3A-BE8EB07C9921}" name="13345"/>
    <tableColumn id="13359" xr3:uid="{0DD5CDE1-BC65-4EE9-975D-2E96E9C231FE}" name="13346"/>
    <tableColumn id="13360" xr3:uid="{F29AE55E-A9AA-45FD-B0C7-B057FBB40FA7}" name="13347"/>
    <tableColumn id="13361" xr3:uid="{E9051191-C0E1-45F3-B846-C14C20887EBD}" name="13348"/>
    <tableColumn id="13362" xr3:uid="{933CD702-CB6A-4E8F-B01E-2D4EBA3E7524}" name="13349"/>
    <tableColumn id="13363" xr3:uid="{6243FC0C-929B-4807-9006-C2D1E982F071}" name="13350"/>
    <tableColumn id="13364" xr3:uid="{EB20AE2D-3EB3-40B0-9CB8-4F9BCB1D3C83}" name="13351"/>
    <tableColumn id="13365" xr3:uid="{5D9FA138-B609-4312-90C6-E38E6F1BEC58}" name="13352"/>
    <tableColumn id="13366" xr3:uid="{6EC506C9-5058-4932-919A-06FD8B854A53}" name="13353"/>
    <tableColumn id="13367" xr3:uid="{FF4B2925-EF51-418E-B81E-25AA6F7E9812}" name="13354"/>
    <tableColumn id="13368" xr3:uid="{6FB8595A-91A8-4AA3-A80C-38D305BA2157}" name="13355"/>
    <tableColumn id="13369" xr3:uid="{09E09E9E-4C18-471A-BBE8-A590942F0CF0}" name="13356"/>
    <tableColumn id="13370" xr3:uid="{8BA8E3E3-CC6D-48DB-8F37-164928A78B82}" name="13357"/>
    <tableColumn id="13371" xr3:uid="{52FBB6A7-722E-4857-85DC-3CA1B247AF1E}" name="13358"/>
    <tableColumn id="13372" xr3:uid="{70320805-5AF1-4FAE-BF20-4BFDD49CCB92}" name="13359"/>
    <tableColumn id="13373" xr3:uid="{4188FBF3-BFF4-4A96-8668-FC18C55448F4}" name="13360"/>
    <tableColumn id="13374" xr3:uid="{8FF2F7B1-3B9A-4A3C-92A1-EF7D39E334C9}" name="13361"/>
    <tableColumn id="13375" xr3:uid="{67556C23-8380-4366-9854-1F5C41404CAF}" name="13362"/>
    <tableColumn id="13376" xr3:uid="{644DDCE6-A817-4C5B-8C08-3CF37FAD852D}" name="13363"/>
    <tableColumn id="13377" xr3:uid="{8EF09E79-D4F7-4DD1-8563-7E15D18E6911}" name="13364"/>
    <tableColumn id="13378" xr3:uid="{8C09C79F-F69D-4D4F-B3B1-B20E93738769}" name="13365"/>
    <tableColumn id="13379" xr3:uid="{7019AA31-C269-4B04-BDF0-BC29C965DF0D}" name="13366"/>
    <tableColumn id="13380" xr3:uid="{1CA7FC3C-B17C-420C-8D40-306A79DF38E2}" name="13367"/>
    <tableColumn id="13381" xr3:uid="{0060B3A2-A820-43D5-B288-752ECB9443A3}" name="13368"/>
    <tableColumn id="13382" xr3:uid="{A1A947BF-E6B4-49B9-BD66-1939D56C8E12}" name="13369"/>
    <tableColumn id="13383" xr3:uid="{3D71D4FC-DB1A-4356-86C6-BB7A2DD6916D}" name="13370"/>
    <tableColumn id="13384" xr3:uid="{08AD48D9-C06A-4950-B446-91652EB2CE00}" name="13371"/>
    <tableColumn id="13385" xr3:uid="{C69DA9E7-E30E-452E-94C3-D9B5CD458D6C}" name="13372"/>
    <tableColumn id="13386" xr3:uid="{95D69445-7004-41A5-B657-5586BAE1817C}" name="13373"/>
    <tableColumn id="13387" xr3:uid="{5F2E4E37-21F0-4ECE-9DD6-39E77E1BC993}" name="13374"/>
    <tableColumn id="13388" xr3:uid="{6D144B33-0CC4-4CFA-84D8-2C2D3D847723}" name="13375"/>
    <tableColumn id="13389" xr3:uid="{043981EF-563E-4EFC-AAFB-E04676A46EEE}" name="13376"/>
    <tableColumn id="13390" xr3:uid="{CA321B72-E98F-41E0-8151-F406219429EB}" name="13377"/>
    <tableColumn id="13391" xr3:uid="{9FEDD3A5-F11F-4ADE-B368-66E4B0EE94CD}" name="13378"/>
    <tableColumn id="13392" xr3:uid="{6788E0E0-3390-4E67-BF32-28589FA99ABF}" name="13379"/>
    <tableColumn id="13393" xr3:uid="{661CE421-3EE7-4F6A-8119-A1E252A08EDE}" name="13380"/>
    <tableColumn id="13394" xr3:uid="{BAF10714-27FF-4FEB-94A9-33E8C18B1567}" name="13381"/>
    <tableColumn id="13395" xr3:uid="{AB61A64E-9CAF-402C-8F57-543A329B499A}" name="13382"/>
    <tableColumn id="13396" xr3:uid="{A44ABF7D-A6FF-414C-951A-5790AEF47801}" name="13383"/>
    <tableColumn id="13397" xr3:uid="{1956C657-046D-4E9B-9AFE-12F4D559FEB7}" name="13384"/>
    <tableColumn id="13398" xr3:uid="{A4E39A5D-1560-483C-A6AB-AAD79A0BF435}" name="13385"/>
    <tableColumn id="13399" xr3:uid="{C29E75D6-7C92-4F69-9852-BF332C9EDE67}" name="13386"/>
    <tableColumn id="13400" xr3:uid="{A293C1E9-293B-4546-8DC9-049ADBF67390}" name="13387"/>
    <tableColumn id="13401" xr3:uid="{2E65D891-947A-44A7-B04E-82F1D2FE4283}" name="13388"/>
    <tableColumn id="13402" xr3:uid="{3A1AB020-D61C-496F-AD12-035B06DDE10F}" name="13389"/>
    <tableColumn id="13403" xr3:uid="{D0D1795E-BFC9-4D45-81CB-C178E9C24110}" name="13390"/>
    <tableColumn id="13404" xr3:uid="{F251445E-12AD-482F-A0A2-BDE65A40CD3F}" name="13391"/>
    <tableColumn id="13405" xr3:uid="{FD9B21B5-D24D-4A59-8747-0FDC3942B895}" name="13392"/>
    <tableColumn id="13406" xr3:uid="{F84AAFD6-BC78-4E64-9CBF-F99448BA2338}" name="13393"/>
    <tableColumn id="13407" xr3:uid="{6B1FD104-3FF5-4F63-94B1-52FCBFC8AA24}" name="13394"/>
    <tableColumn id="13408" xr3:uid="{A2736612-AF33-4F01-BA02-5DA63C949685}" name="13395"/>
    <tableColumn id="13409" xr3:uid="{1011D9BE-F182-41D0-B864-3B5EB420753D}" name="13396"/>
    <tableColumn id="13410" xr3:uid="{1477415C-E120-4AB9-9D20-49B8A8F0ACBA}" name="13397"/>
    <tableColumn id="13411" xr3:uid="{3137AF6C-2C30-46DF-A5AA-90A3E0D9C350}" name="13398"/>
    <tableColumn id="13412" xr3:uid="{EC924495-0CA3-48A9-99D2-7B0948CC7576}" name="13399"/>
    <tableColumn id="13413" xr3:uid="{8CBA78DB-6678-453E-84F5-2DDA94B2F053}" name="13400"/>
    <tableColumn id="13414" xr3:uid="{8BFE2EEB-20FD-4B62-B1ED-580C656D4A02}" name="13401"/>
    <tableColumn id="13415" xr3:uid="{298D8DB0-11C7-4F02-9C8E-F166DABB3D2F}" name="13402"/>
    <tableColumn id="13416" xr3:uid="{B35F0C2C-2862-41D5-B273-DBA2A30186BE}" name="13403"/>
    <tableColumn id="13417" xr3:uid="{6185D55E-B12F-49DC-9121-6EE28C90591F}" name="13404"/>
    <tableColumn id="13418" xr3:uid="{383941D9-A4F5-4E7C-ABC8-67C43A394E17}" name="13405"/>
    <tableColumn id="13419" xr3:uid="{E9B345D1-F64B-4B79-97FA-2E71D2C96BF6}" name="13406"/>
    <tableColumn id="13420" xr3:uid="{9A762201-E36F-4B37-9B9E-2B4B551F85B5}" name="13407"/>
    <tableColumn id="13421" xr3:uid="{73B785C3-094A-4EEC-8B1F-642557F1D577}" name="13408"/>
    <tableColumn id="13422" xr3:uid="{06CE9D59-F92E-4105-A59F-186A0B8DE528}" name="13409"/>
    <tableColumn id="13423" xr3:uid="{36800912-63F2-492A-8464-56B06EAA765B}" name="13410"/>
    <tableColumn id="13424" xr3:uid="{CBC9B22C-7ED4-46AC-903D-8F4055C8CA35}" name="13411"/>
    <tableColumn id="13425" xr3:uid="{A35C29F5-B194-43D5-AD0D-9CAFB727F1EF}" name="13412"/>
    <tableColumn id="13426" xr3:uid="{3DBCCA7D-FFA2-4967-BCED-F9C22069141A}" name="13413"/>
    <tableColumn id="13427" xr3:uid="{50218AC9-60A0-49E9-9261-616E7BA528B9}" name="13414"/>
    <tableColumn id="13428" xr3:uid="{F5A9C127-8A93-4C92-90DE-BC4B5350D425}" name="13415"/>
    <tableColumn id="13429" xr3:uid="{75A91E48-8C9E-4CF8-86B1-983F9D9B1529}" name="13416"/>
    <tableColumn id="13430" xr3:uid="{E2AF19A9-A4DB-4F35-897C-E3621E94665B}" name="13417"/>
    <tableColumn id="13431" xr3:uid="{3EFD5252-2678-4CB7-90D4-07109566B459}" name="13418"/>
    <tableColumn id="13432" xr3:uid="{B80DDBEF-45CA-4DFF-911E-E039894FF0E8}" name="13419"/>
    <tableColumn id="13433" xr3:uid="{C32A4CC2-C389-4D92-8A37-3230ECD1218A}" name="13420"/>
    <tableColumn id="13434" xr3:uid="{E7C28BDA-A517-48F1-8B1B-73D933CBB45E}" name="13421"/>
    <tableColumn id="13435" xr3:uid="{29B8A8A9-5029-4FC6-A781-46BC9A45DFD2}" name="13422"/>
    <tableColumn id="13436" xr3:uid="{0EAC5B07-3A8D-4C45-8422-E3B12F1F2319}" name="13423"/>
    <tableColumn id="13437" xr3:uid="{04E0665D-83A3-4ED2-B3DC-063A02C75FDF}" name="13424"/>
    <tableColumn id="13438" xr3:uid="{FCFC945E-0529-4116-BA74-802181973761}" name="13425"/>
    <tableColumn id="13439" xr3:uid="{30BD06C3-FAC1-42E3-96EA-B809BF3A12ED}" name="13426"/>
    <tableColumn id="13440" xr3:uid="{036A958F-0486-4054-8EB5-A7C6E17E0BF0}" name="13427"/>
    <tableColumn id="13441" xr3:uid="{357CE83B-CA30-47F6-9187-B07B89CFB282}" name="13428"/>
    <tableColumn id="13442" xr3:uid="{93980FC1-34B9-4A71-B84F-77C564280C11}" name="13429"/>
    <tableColumn id="13443" xr3:uid="{6E07C179-39F6-4C9A-A2D0-C02662868911}" name="13430"/>
    <tableColumn id="13444" xr3:uid="{FAAA0C9F-5F2B-4B4F-8D50-908206BB2E11}" name="13431"/>
    <tableColumn id="13445" xr3:uid="{9D2E8653-5FCE-41A4-8273-109B81FD310C}" name="13432"/>
    <tableColumn id="13446" xr3:uid="{ECE4CC2A-0164-4DEE-A6D8-DF013E2684D8}" name="13433"/>
    <tableColumn id="13447" xr3:uid="{BF812E79-E248-430B-A27E-68D24A3BC6B0}" name="13434"/>
    <tableColumn id="13448" xr3:uid="{17F011BD-A7F5-42B3-BE94-DC4102D5EB3C}" name="13435"/>
    <tableColumn id="13449" xr3:uid="{FC6D4460-94EE-41D9-930F-096EACBF02B9}" name="13436"/>
    <tableColumn id="13450" xr3:uid="{E47A0C96-EE5C-4264-A939-921FDA9479DE}" name="13437"/>
    <tableColumn id="13451" xr3:uid="{57B42C22-C607-4F6E-9070-23CF76484311}" name="13438"/>
    <tableColumn id="13452" xr3:uid="{9004366E-777E-4E89-981D-A071DA63F6BF}" name="13439"/>
    <tableColumn id="13453" xr3:uid="{6E763D18-84C1-4BAB-AC99-E9CBB22541BF}" name="13440"/>
    <tableColumn id="13454" xr3:uid="{976FAD6A-0DD6-420E-B6E9-437F0ACC2CEF}" name="13441"/>
    <tableColumn id="13455" xr3:uid="{1F757900-79C4-4A94-AEE7-5D51BD77E375}" name="13442"/>
    <tableColumn id="13456" xr3:uid="{55402BF8-59C9-4CCC-9566-A9A8909345A6}" name="13443"/>
    <tableColumn id="13457" xr3:uid="{F3DD3134-F3B5-49AC-80DC-040E5C167726}" name="13444"/>
    <tableColumn id="13458" xr3:uid="{512B8282-F70F-47DF-85D5-3247F9B495BA}" name="13445"/>
    <tableColumn id="13459" xr3:uid="{6182D01F-767A-4C3C-92FF-691CAC106747}" name="13446"/>
    <tableColumn id="13460" xr3:uid="{59B91E8A-09A3-479B-B14B-F4333C2E459D}" name="13447"/>
    <tableColumn id="13461" xr3:uid="{8D3DD13B-6E12-43E0-A065-6E4E2303303B}" name="13448"/>
    <tableColumn id="13462" xr3:uid="{4933AFFA-7012-426D-B418-D8E6C7D8167F}" name="13449"/>
    <tableColumn id="13463" xr3:uid="{E72F2F64-55D2-4CFC-ACB5-7A95AA22F254}" name="13450"/>
    <tableColumn id="13464" xr3:uid="{A248AAA9-12E5-46B4-BDB2-73E630BE82A7}" name="13451"/>
    <tableColumn id="13465" xr3:uid="{9C68620F-2056-4E68-B40A-6C82A6CA7CF2}" name="13452"/>
    <tableColumn id="13466" xr3:uid="{719B5FDF-E4D4-4AA5-A696-DF040D40B66C}" name="13453"/>
    <tableColumn id="13467" xr3:uid="{7DA0A0CA-A2E2-4799-B6BF-2C3208C6BF17}" name="13454"/>
    <tableColumn id="13468" xr3:uid="{A5FB3DE0-96B6-44EC-A5D3-17FE974C9D29}" name="13455"/>
    <tableColumn id="13469" xr3:uid="{A2CE979F-FE84-4DEF-B771-CA5033CBF457}" name="13456"/>
    <tableColumn id="13470" xr3:uid="{E5260D4B-4EAE-4CE6-9BD2-7C8A939C9FDB}" name="13457"/>
    <tableColumn id="13471" xr3:uid="{2A828512-6CED-492F-B886-4D0D125791FF}" name="13458"/>
    <tableColumn id="13472" xr3:uid="{964C2F9A-419A-4FCA-8BE5-7692E2FEE0A6}" name="13459"/>
    <tableColumn id="13473" xr3:uid="{B4986D7A-8000-4450-87FF-5422C41AEA42}" name="13460"/>
    <tableColumn id="13474" xr3:uid="{66984BBC-9D33-4212-A1A7-B0DA9A32196E}" name="13461"/>
    <tableColumn id="13475" xr3:uid="{B6DF642B-8F30-4C54-BED9-D42C1BB3AA69}" name="13462"/>
    <tableColumn id="13476" xr3:uid="{8566F658-D16A-46DD-A4B7-66C3A111C971}" name="13463"/>
    <tableColumn id="13477" xr3:uid="{75025FB8-CE79-4B0A-ABD0-8FD2BBF01A73}" name="13464"/>
    <tableColumn id="13478" xr3:uid="{E8073D67-577C-4B55-8BD9-2ABF697F5663}" name="13465"/>
    <tableColumn id="13479" xr3:uid="{159E110D-6127-406E-84F7-C7DF61C446AB}" name="13466"/>
    <tableColumn id="13480" xr3:uid="{4BC1498C-2B26-4C4A-B987-FC5F9C5E1F4A}" name="13467"/>
    <tableColumn id="13481" xr3:uid="{05780371-2F3E-4F49-B34A-8C9D8B4FD6B8}" name="13468"/>
    <tableColumn id="13482" xr3:uid="{CFC2B198-0963-4006-941B-3E6DF8C296D3}" name="13469"/>
    <tableColumn id="13483" xr3:uid="{99261BB4-A6D9-4149-A488-A51F93A442E8}" name="13470"/>
    <tableColumn id="13484" xr3:uid="{7B2783B5-6074-4EC4-BCCE-5EE1DE9D0ECF}" name="13471"/>
    <tableColumn id="13485" xr3:uid="{85D751AA-9553-4DB6-A56A-25506AA00BE2}" name="13472"/>
    <tableColumn id="13486" xr3:uid="{CADF8A72-1FF1-47E6-9424-A744DE5B9C12}" name="13473"/>
    <tableColumn id="13487" xr3:uid="{CEDCF77B-5D1E-4B30-A12F-F7C3C13D943A}" name="13474"/>
    <tableColumn id="13488" xr3:uid="{0E596EBC-256C-427F-91D8-E570EB4F7ED7}" name="13475"/>
    <tableColumn id="13489" xr3:uid="{7E2258FE-37F1-4481-91EF-598AC2770C13}" name="13476"/>
    <tableColumn id="13490" xr3:uid="{D6FA2B02-AABE-4F43-BE12-9A5E761E5451}" name="13477"/>
    <tableColumn id="13491" xr3:uid="{A723A333-E7DD-4F09-8A35-C3B9E9CFE0BF}" name="13478"/>
    <tableColumn id="13492" xr3:uid="{9DDDCEFE-664A-446E-B32E-47F8873EE427}" name="13479"/>
    <tableColumn id="13493" xr3:uid="{571D2D63-6C11-4324-9025-4BBBFD02D2A7}" name="13480"/>
    <tableColumn id="13494" xr3:uid="{23DC2C93-E922-45AD-BB31-9931D53EFD0D}" name="13481"/>
    <tableColumn id="13495" xr3:uid="{653B6F91-95FF-4846-B74C-9A2AA29BF93F}" name="13482"/>
    <tableColumn id="13496" xr3:uid="{1F68299A-1225-42E4-BBF9-3243FA73B90E}" name="13483"/>
    <tableColumn id="13497" xr3:uid="{24CB7C9F-7399-4FB7-9696-2813E56FF7FB}" name="13484"/>
    <tableColumn id="13498" xr3:uid="{220B10F2-1977-46B8-B092-00601F308723}" name="13485"/>
    <tableColumn id="13499" xr3:uid="{EFC63AEC-0281-415D-A0F9-F63271EA6F63}" name="13486"/>
    <tableColumn id="13500" xr3:uid="{787863EE-457E-45BB-A502-B52613D82E5A}" name="13487"/>
    <tableColumn id="13501" xr3:uid="{09F62713-41A6-4233-AA41-AE9BCF94FEEF}" name="13488"/>
    <tableColumn id="13502" xr3:uid="{C59A273C-401A-428A-B778-7505533153D0}" name="13489"/>
    <tableColumn id="13503" xr3:uid="{327D37F5-3831-437C-B7E3-6BE1AC81A81C}" name="13490"/>
    <tableColumn id="13504" xr3:uid="{8C3A5F7D-7986-48E4-A708-41E1CD23921D}" name="13491"/>
    <tableColumn id="13505" xr3:uid="{90C8B363-ED23-4739-A3A7-21FD7D6A1C7A}" name="13492"/>
    <tableColumn id="13506" xr3:uid="{2FB54760-5F8B-4A02-8AF0-28802A8A7B34}" name="13493"/>
    <tableColumn id="13507" xr3:uid="{7BF247F8-5475-4DFC-99CE-6273AF44D915}" name="13494"/>
    <tableColumn id="13508" xr3:uid="{11931663-EBA7-41A3-8C28-4B4C74620CE1}" name="13495"/>
    <tableColumn id="13509" xr3:uid="{8A42BBB3-06CC-4441-91CF-F0F46513B68A}" name="13496"/>
    <tableColumn id="13510" xr3:uid="{29EF8B45-895A-4574-9754-082BF3292E37}" name="13497"/>
    <tableColumn id="13511" xr3:uid="{E444636F-C2EE-442C-95C4-1330E3211DF1}" name="13498"/>
    <tableColumn id="13512" xr3:uid="{2DF70901-C4F5-411E-9920-3843DEBE6B37}" name="13499"/>
    <tableColumn id="13513" xr3:uid="{A195B403-E102-49CA-9772-E746677408D9}" name="13500"/>
    <tableColumn id="13514" xr3:uid="{9234EAA4-E5C9-4EF9-8E5A-C5D3D48A3BA3}" name="13501"/>
    <tableColumn id="13515" xr3:uid="{C14CD2D0-7BE2-4F81-BB1A-52A6330A6DD3}" name="13502"/>
    <tableColumn id="13516" xr3:uid="{2B650715-DF4D-46CC-892A-EF277436E2D9}" name="13503"/>
    <tableColumn id="13517" xr3:uid="{50C54163-97C1-4FC8-B57D-1238CFAA4F61}" name="13504"/>
    <tableColumn id="13518" xr3:uid="{8036DEA4-13CF-4F15-898F-901CCEF7677E}" name="13505"/>
    <tableColumn id="13519" xr3:uid="{C4DEACD6-76E0-410E-B739-44829CED660F}" name="13506"/>
    <tableColumn id="13520" xr3:uid="{15125EB5-A216-492F-A69E-5899AD25405F}" name="13507"/>
    <tableColumn id="13521" xr3:uid="{17490CA7-AA2B-4581-AEC3-8E2ABBD133AA}" name="13508"/>
    <tableColumn id="13522" xr3:uid="{04A27E70-BFEA-4484-950F-B749B9CC0559}" name="13509"/>
    <tableColumn id="13523" xr3:uid="{9F6DFD43-B983-40D3-9803-E4AFA52FAD01}" name="13510"/>
    <tableColumn id="13524" xr3:uid="{D59FA144-F386-4B22-96A4-A62715208F14}" name="13511"/>
    <tableColumn id="13525" xr3:uid="{C8220E61-CC44-4584-BFD3-C67905851E2C}" name="13512"/>
    <tableColumn id="13526" xr3:uid="{43CA868D-14F3-4649-82BB-F44F3F24B1B9}" name="13513"/>
    <tableColumn id="13527" xr3:uid="{43D65C6D-1018-4ECE-85CA-9AB33F9439A4}" name="13514"/>
    <tableColumn id="13528" xr3:uid="{0290DBE0-D5C0-45C3-BAEC-F6752339980D}" name="13515"/>
    <tableColumn id="13529" xr3:uid="{DCD7319B-6105-499C-995D-8160E712FC0A}" name="13516"/>
    <tableColumn id="13530" xr3:uid="{24BE3A55-6E3F-4645-B5CC-DA0E3FA04EF2}" name="13517"/>
    <tableColumn id="13531" xr3:uid="{1000008E-C22D-4927-B4C4-8655D0A511B7}" name="13518"/>
    <tableColumn id="13532" xr3:uid="{0E5B442E-FAC7-40BB-A48C-2FE4D017D741}" name="13519"/>
    <tableColumn id="13533" xr3:uid="{BD1CBB7A-9818-475F-A3DA-65F42D1F49FF}" name="13520"/>
    <tableColumn id="13534" xr3:uid="{1F76392B-10C4-4214-93DF-BFDA193F110F}" name="13521"/>
    <tableColumn id="13535" xr3:uid="{960C3609-9E69-4FAC-A559-FAB67594B132}" name="13522"/>
    <tableColumn id="13536" xr3:uid="{69C0FA50-BDFC-485C-A317-882C6E7B499C}" name="13523"/>
    <tableColumn id="13537" xr3:uid="{3E62AC4D-0F9C-4A8E-BC64-AFC8433C849D}" name="13524"/>
    <tableColumn id="13538" xr3:uid="{E699B882-B587-46CD-8F5D-D75981138627}" name="13525"/>
    <tableColumn id="13539" xr3:uid="{7855BCF2-7D37-4655-97E0-62E45C73D49C}" name="13526"/>
    <tableColumn id="13540" xr3:uid="{34434B71-2C0E-4535-8A9B-59391296FECC}" name="13527"/>
    <tableColumn id="13541" xr3:uid="{C15E45CB-7281-4C88-83F1-6D5BE1BC9AE7}" name="13528"/>
    <tableColumn id="13542" xr3:uid="{B11BAE93-66AD-4DC7-B9E3-004A778F9B25}" name="13529"/>
    <tableColumn id="13543" xr3:uid="{AAADE374-5CCA-41DB-9982-269D350F831C}" name="13530"/>
    <tableColumn id="13544" xr3:uid="{B9DF819F-45F7-4E2D-9F4C-DD9B4B34FD10}" name="13531"/>
    <tableColumn id="13545" xr3:uid="{9A0600A2-66B7-4F48-B59F-CEA455F5FCE1}" name="13532"/>
    <tableColumn id="13546" xr3:uid="{1FB34539-7FD6-41F5-9EBE-240D1ADBD0EE}" name="13533"/>
    <tableColumn id="13547" xr3:uid="{8A68168E-F1EB-4DAA-82F0-AC2CFC9FE1D4}" name="13534"/>
    <tableColumn id="13548" xr3:uid="{889A7248-30ED-48DF-8736-F7AFC44800E5}" name="13535"/>
    <tableColumn id="13549" xr3:uid="{A3FCA9BD-5335-4596-BEBE-C05B1CFEED23}" name="13536"/>
    <tableColumn id="13550" xr3:uid="{BFD07AD7-4BA0-49DA-A90C-13715E83FEC0}" name="13537"/>
    <tableColumn id="13551" xr3:uid="{E8E98387-E7DF-4BBF-9EF1-500B2FEBF7CC}" name="13538"/>
    <tableColumn id="13552" xr3:uid="{38574C83-B6F7-4606-8AC2-F7B44F838595}" name="13539"/>
    <tableColumn id="13553" xr3:uid="{33B7EB11-9C17-4EC4-AA0D-D5FB7D1E45CA}" name="13540"/>
    <tableColumn id="13554" xr3:uid="{33802098-6C8E-44EE-AB42-29D24C411D11}" name="13541"/>
    <tableColumn id="13555" xr3:uid="{44309CDD-0A56-4634-8F48-EDFDECE90C01}" name="13542"/>
    <tableColumn id="13556" xr3:uid="{7AF4C3D9-298B-4FFA-BB09-A35B83E62036}" name="13543"/>
    <tableColumn id="13557" xr3:uid="{2F4BD6C6-E64E-4F4A-8C7E-BF9F82EE23BE}" name="13544"/>
    <tableColumn id="13558" xr3:uid="{CB6A4556-3EB5-4749-B0BB-603A3168AE5B}" name="13545"/>
    <tableColumn id="13559" xr3:uid="{39C0FC38-684D-4829-93C9-633A41C6054C}" name="13546"/>
    <tableColumn id="13560" xr3:uid="{2483627C-6448-4268-8F45-71B612A2A27B}" name="13547"/>
    <tableColumn id="13561" xr3:uid="{412A5888-25D8-4B7B-A42A-4D2572F88EC2}" name="13548"/>
    <tableColumn id="13562" xr3:uid="{71C4BBEC-7EE9-498F-9414-5873595910C1}" name="13549"/>
    <tableColumn id="13563" xr3:uid="{ED19A783-FFB6-481F-8161-A40E0E1D8260}" name="13550"/>
    <tableColumn id="13564" xr3:uid="{2FC8ACD6-537D-4D4D-8B27-B65C092F0CA1}" name="13551"/>
    <tableColumn id="13565" xr3:uid="{BDA9A3FC-42AC-4340-9E4F-1E0E81ABD228}" name="13552"/>
    <tableColumn id="13566" xr3:uid="{75123236-9673-44C3-A6F7-90E596E4A0F5}" name="13553"/>
    <tableColumn id="13567" xr3:uid="{D3ED8527-6878-4171-99F4-27A4779ADD30}" name="13554"/>
    <tableColumn id="13568" xr3:uid="{464BDF2F-E5B0-42B8-A079-5C799690DDF8}" name="13555"/>
    <tableColumn id="13569" xr3:uid="{A25011C9-B255-4883-8D45-1ABEAA0D4CC4}" name="13556"/>
    <tableColumn id="13570" xr3:uid="{AE99F9FB-E0DD-4DC3-A60E-F085755F1D21}" name="13557"/>
    <tableColumn id="13571" xr3:uid="{A05BD163-0CAC-40A4-81BF-4ABCCFFDD1D2}" name="13558"/>
    <tableColumn id="13572" xr3:uid="{86DB336F-F81B-484C-ADFF-2503A1E937B1}" name="13559"/>
    <tableColumn id="13573" xr3:uid="{C9EEE2A6-E4BD-49F6-8F9F-B86816E3A4A2}" name="13560"/>
    <tableColumn id="13574" xr3:uid="{C23B0C35-7387-4314-A0F2-CDD4388B3DE2}" name="13561"/>
    <tableColumn id="13575" xr3:uid="{98162F66-6863-475A-93A8-942A244BEF25}" name="13562"/>
    <tableColumn id="13576" xr3:uid="{F45F4CEC-600E-4C7B-9077-A771964B7896}" name="13563"/>
    <tableColumn id="13577" xr3:uid="{90CDEF4B-DB28-4458-B0A8-BCEE5076E074}" name="13564"/>
    <tableColumn id="13578" xr3:uid="{A380D615-ED5C-4CE3-9383-A4AEA3A2D663}" name="13565"/>
    <tableColumn id="13579" xr3:uid="{5E8625D0-872E-42C4-A47B-9EDC167EDEAC}" name="13566"/>
    <tableColumn id="13580" xr3:uid="{01B277A2-BBDB-4148-BA28-C4E6500BE7BA}" name="13567"/>
    <tableColumn id="13581" xr3:uid="{449BC7DF-A825-4711-881F-030EB6BB0A90}" name="13568"/>
    <tableColumn id="13582" xr3:uid="{8D4886F2-0E49-411F-8A1B-AF6C290E28B6}" name="13569"/>
    <tableColumn id="13583" xr3:uid="{259253D8-6D84-4A34-84B2-2F9ED4AD285F}" name="13570"/>
    <tableColumn id="13584" xr3:uid="{2A596869-F147-4E59-8E41-DF3D66AF8EDD}" name="13571"/>
    <tableColumn id="13585" xr3:uid="{4550E385-EC4D-4B8C-8666-BCB8124E27D6}" name="13572"/>
    <tableColumn id="13586" xr3:uid="{F369AD6C-5B87-4086-9340-190CF67C9747}" name="13573"/>
    <tableColumn id="13587" xr3:uid="{4253A4F2-FD3D-4D52-93CF-A8A097A2489C}" name="13574"/>
    <tableColumn id="13588" xr3:uid="{E64981D1-577A-4C12-8F8C-6FC289FC7663}" name="13575"/>
    <tableColumn id="13589" xr3:uid="{8DD3542C-7DF0-4B52-8E9A-7C068D302E89}" name="13576"/>
    <tableColumn id="13590" xr3:uid="{482E0091-6E5A-4CA9-8E23-26CBD2BC694D}" name="13577"/>
    <tableColumn id="13591" xr3:uid="{94FA7B3C-17ED-4ABE-8566-E7E316D9EABB}" name="13578"/>
    <tableColumn id="13592" xr3:uid="{44E53B3B-AAF9-4AE6-B40B-76DAE6F5AF26}" name="13579"/>
    <tableColumn id="13593" xr3:uid="{CDE6C7CB-9287-4F45-9EBB-EDFAD02FDE46}" name="13580"/>
    <tableColumn id="13594" xr3:uid="{F3CF1EED-926C-40F9-AB4E-C8967FCC0C68}" name="13581"/>
    <tableColumn id="13595" xr3:uid="{3132853E-EA3D-4348-9FC4-11A4EC5F7970}" name="13582"/>
    <tableColumn id="13596" xr3:uid="{FCF07FEB-457C-4F1B-A80B-C1AC5A8B51A1}" name="13583"/>
    <tableColumn id="13597" xr3:uid="{E961F9B2-1966-4812-8BFD-AEFB78AC42AE}" name="13584"/>
    <tableColumn id="13598" xr3:uid="{C3E74711-FF38-4F85-BB18-C51063C2538C}" name="13585"/>
    <tableColumn id="13599" xr3:uid="{805B19DF-0C40-4A35-ACB2-E32101F49152}" name="13586"/>
    <tableColumn id="13600" xr3:uid="{18375DF2-80DF-40CB-A7F8-9BD6BE622375}" name="13587"/>
    <tableColumn id="13601" xr3:uid="{B394DF14-E9D6-4F38-A6BF-24023562C823}" name="13588"/>
    <tableColumn id="13602" xr3:uid="{DEF6D364-6133-412D-ACDF-A7ED56728B7F}" name="13589"/>
    <tableColumn id="13603" xr3:uid="{FE715D2D-1465-4ABB-B082-A146931A81F6}" name="13590"/>
    <tableColumn id="13604" xr3:uid="{9AF74A29-AAFF-4CDE-B1D9-09717192B13C}" name="13591"/>
    <tableColumn id="13605" xr3:uid="{4BC8C743-8578-4E2F-BC4A-8381F85E0B91}" name="13592"/>
    <tableColumn id="13606" xr3:uid="{83D714F7-A2D6-40BF-8877-4C61F3B5F62D}" name="13593"/>
    <tableColumn id="13607" xr3:uid="{A0444012-E6FD-46F4-B395-57319D1E3D39}" name="13594"/>
    <tableColumn id="13608" xr3:uid="{206109D7-6B43-4365-AE79-2BFE613F5750}" name="13595"/>
    <tableColumn id="13609" xr3:uid="{4B777869-28FF-4C5A-AC3A-881D34A82C65}" name="13596"/>
    <tableColumn id="13610" xr3:uid="{4AF59592-ABE9-4245-A3C6-522701B0A94B}" name="13597"/>
    <tableColumn id="13611" xr3:uid="{7ABE31FB-7FAE-47C7-A60B-690D44102083}" name="13598"/>
    <tableColumn id="13612" xr3:uid="{0D663435-66F0-45B5-A1B9-29F93850C0DA}" name="13599"/>
    <tableColumn id="13613" xr3:uid="{11DC76FC-BF9A-48CF-9D31-37DB2AE1A304}" name="13600"/>
    <tableColumn id="13614" xr3:uid="{338ABF25-362A-4EDA-AF01-C474B233093D}" name="13601"/>
    <tableColumn id="13615" xr3:uid="{BDC3A4FE-CCA6-47DA-AF46-52983CE1483D}" name="13602"/>
    <tableColumn id="13616" xr3:uid="{50553A85-B79B-42B1-9508-A58371C17ABB}" name="13603"/>
    <tableColumn id="13617" xr3:uid="{63BFCA73-A5C9-4FBB-B43C-556FB9B76622}" name="13604"/>
    <tableColumn id="13618" xr3:uid="{EA41FC1D-E004-4AEF-A942-2AE0C812738B}" name="13605"/>
    <tableColumn id="13619" xr3:uid="{267573B6-0558-48E7-A398-908BBCC64609}" name="13606"/>
    <tableColumn id="13620" xr3:uid="{700F9D59-3026-45A2-B21C-8D38EB20B6CA}" name="13607"/>
    <tableColumn id="13621" xr3:uid="{9AB0A4B6-ED52-4E61-9A8C-690EC831F712}" name="13608"/>
    <tableColumn id="13622" xr3:uid="{7CBD5642-F877-4D2A-B69C-27A75B7A81A2}" name="13609"/>
    <tableColumn id="13623" xr3:uid="{B72F42A6-F0CB-423A-9595-6F1E9E4F7167}" name="13610"/>
    <tableColumn id="13624" xr3:uid="{518778A9-ED49-4BA3-AAC7-212E408746B0}" name="13611"/>
    <tableColumn id="13625" xr3:uid="{F4A7975A-E2A8-4CF6-8DC6-8AF25546AA4C}" name="13612"/>
    <tableColumn id="13626" xr3:uid="{AF4AA66D-9679-4F40-85B4-92621B022A79}" name="13613"/>
    <tableColumn id="13627" xr3:uid="{67A73796-E86A-4F26-A5EE-50C9A96E7DBA}" name="13614"/>
    <tableColumn id="13628" xr3:uid="{6BF0B96E-6633-49EA-A3F2-B73D4F18BB23}" name="13615"/>
    <tableColumn id="13629" xr3:uid="{5CE612DE-7CAF-49FD-8260-7AA113B3DB9F}" name="13616"/>
    <tableColumn id="13630" xr3:uid="{14E4BCFF-5617-4579-AC20-C9C002BA1165}" name="13617"/>
    <tableColumn id="13631" xr3:uid="{D6C65C31-3F5D-4DEF-BF46-05C5AA9A21A4}" name="13618"/>
    <tableColumn id="13632" xr3:uid="{84B9682E-6502-4C47-B729-9622C77C30E3}" name="13619"/>
    <tableColumn id="13633" xr3:uid="{7E48E782-5485-4F8C-8F79-C7E580FA850C}" name="13620"/>
    <tableColumn id="13634" xr3:uid="{4D2C854F-F4FA-41A9-8A63-1E4E5E19D7D1}" name="13621"/>
    <tableColumn id="13635" xr3:uid="{331FD7DA-CAD9-4373-8E10-ED4693EF757E}" name="13622"/>
    <tableColumn id="13636" xr3:uid="{EA127976-1220-4006-8EE4-A8952BF941F4}" name="13623"/>
    <tableColumn id="13637" xr3:uid="{24858A1E-5C72-4D14-ADFE-74782FCA0114}" name="13624"/>
    <tableColumn id="13638" xr3:uid="{F311C139-82D8-4D62-88E1-D74DB2B87250}" name="13625"/>
    <tableColumn id="13639" xr3:uid="{BBBE9D1B-FE50-4F3A-9056-4E883EF39EAC}" name="13626"/>
    <tableColumn id="13640" xr3:uid="{E7400CCC-7246-4F95-AFE9-E3B047BD0E75}" name="13627"/>
    <tableColumn id="13641" xr3:uid="{6C577EDB-4F61-411E-87A0-2408690D4CAC}" name="13628"/>
    <tableColumn id="13642" xr3:uid="{EAC1D346-414D-4081-BA96-0FAFE00488E3}" name="13629"/>
    <tableColumn id="13643" xr3:uid="{AE5821CD-24E1-42C2-94F9-9D8C799BD984}" name="13630"/>
    <tableColumn id="13644" xr3:uid="{D109250D-F15E-4F80-ACD7-9EC3013BF315}" name="13631"/>
    <tableColumn id="13645" xr3:uid="{D059E658-03B3-461B-84A8-73066C27AA9D}" name="13632"/>
    <tableColumn id="13646" xr3:uid="{CF030506-77B2-49B8-9086-E74E9A848609}" name="13633"/>
    <tableColumn id="13647" xr3:uid="{E145550E-76AA-4249-B460-25275BE6753F}" name="13634"/>
    <tableColumn id="13648" xr3:uid="{E60EA55B-B113-4EAD-AFEE-6E9383F08486}" name="13635"/>
    <tableColumn id="13649" xr3:uid="{6F4FD69C-32A5-431B-AA0D-864391772A7A}" name="13636"/>
    <tableColumn id="13650" xr3:uid="{45929C85-5317-4768-975B-3052BDAD7625}" name="13637"/>
    <tableColumn id="13651" xr3:uid="{AF535CC5-8883-454F-8FEC-74E02E229977}" name="13638"/>
    <tableColumn id="13652" xr3:uid="{7FB920CD-8C2D-489C-B4C9-0C97AFE36D57}" name="13639"/>
    <tableColumn id="13653" xr3:uid="{AA1490DF-BE0B-4820-9E09-C0379D774C32}" name="13640"/>
    <tableColumn id="13654" xr3:uid="{22650A0C-2AE8-4BA7-AFA5-4F45EC6C9448}" name="13641"/>
    <tableColumn id="13655" xr3:uid="{BA3AE83B-8E89-41FA-A62A-B87E041E5E9F}" name="13642"/>
    <tableColumn id="13656" xr3:uid="{0F864A87-D13C-4258-8B8D-6B1185D75D01}" name="13643"/>
    <tableColumn id="13657" xr3:uid="{09F7B3CA-4794-4743-B120-A02F56F69FF8}" name="13644"/>
    <tableColumn id="13658" xr3:uid="{E2992142-349D-4E31-B2A9-61CC2CD86E2B}" name="13645"/>
    <tableColumn id="13659" xr3:uid="{EC51712C-8F2C-46EB-9B65-3774E15B593D}" name="13646"/>
    <tableColumn id="13660" xr3:uid="{D9ECFB9B-0EF3-4863-8CA7-6DE7CC3319BB}" name="13647"/>
    <tableColumn id="13661" xr3:uid="{C63C9D8B-7471-4853-9B8E-2E696B44AB9D}" name="13648"/>
    <tableColumn id="13662" xr3:uid="{7A7372D2-A0D0-4554-AD3F-3929F3E5E14C}" name="13649"/>
    <tableColumn id="13663" xr3:uid="{43BC7770-F467-4092-AAAB-E0875E2610C5}" name="13650"/>
    <tableColumn id="13664" xr3:uid="{246DCDC5-F7E4-4CBF-B734-11ADB7C19AE1}" name="13651"/>
    <tableColumn id="13665" xr3:uid="{A404BB9A-903B-4541-9B6F-FFD322DAF649}" name="13652"/>
    <tableColumn id="13666" xr3:uid="{302AED82-C93C-401C-B0D3-37E1CEADF6E8}" name="13653"/>
    <tableColumn id="13667" xr3:uid="{6A9C088F-C61C-43C3-AD53-992DB64C4C2A}" name="13654"/>
    <tableColumn id="13668" xr3:uid="{BBDC2717-1C41-47F1-9B7C-86B12924CB62}" name="13655"/>
    <tableColumn id="13669" xr3:uid="{49287925-E1DE-4B37-AD1B-BF930521D31C}" name="13656"/>
    <tableColumn id="13670" xr3:uid="{FE66F555-C983-4248-88BB-0691EC650A8A}" name="13657"/>
    <tableColumn id="13671" xr3:uid="{AE39DB49-985F-4FBE-A49A-CA1C3D200C8F}" name="13658"/>
    <tableColumn id="13672" xr3:uid="{ED279C76-6C98-47DB-9C82-183839453BFC}" name="13659"/>
    <tableColumn id="13673" xr3:uid="{3801B6E9-9497-421F-AC2F-F4D6510D6A82}" name="13660"/>
    <tableColumn id="13674" xr3:uid="{A1CB2C10-8562-4277-B302-BE12DB936060}" name="13661"/>
    <tableColumn id="13675" xr3:uid="{A427D38B-0FF4-4866-804C-31B3F9325C38}" name="13662"/>
    <tableColumn id="13676" xr3:uid="{44E4BE31-7E0E-4444-B4B3-C3DE44C39FC0}" name="13663"/>
    <tableColumn id="13677" xr3:uid="{D05782DC-E2D3-4000-80B8-C45578C1B45E}" name="13664"/>
    <tableColumn id="13678" xr3:uid="{726ADCAE-6072-4453-88D2-A77E001A0B70}" name="13665"/>
    <tableColumn id="13679" xr3:uid="{AEAAAD07-3B34-4B3D-9618-08E5A0B1E051}" name="13666"/>
    <tableColumn id="13680" xr3:uid="{E84EEDDF-62CB-472F-B8FE-0825488729F2}" name="13667"/>
    <tableColumn id="13681" xr3:uid="{B335E9D7-473D-4BA7-BB3B-7179ACB10B3E}" name="13668"/>
    <tableColumn id="13682" xr3:uid="{D6495B7F-C84D-4FDD-8F88-01B4EC8DBC8A}" name="13669"/>
    <tableColumn id="13683" xr3:uid="{2121182B-1EBB-438C-AFF1-16782639ED41}" name="13670"/>
    <tableColumn id="13684" xr3:uid="{8C75ABF8-1598-4B12-B95E-1BCF2E110A7B}" name="13671"/>
    <tableColumn id="13685" xr3:uid="{FFB45C9B-D3AF-4DF2-A66E-B74C70CA4D2C}" name="13672"/>
    <tableColumn id="13686" xr3:uid="{5998D373-047A-4E75-AFF2-DC4334F7032C}" name="13673"/>
    <tableColumn id="13687" xr3:uid="{9832CC87-B642-4C95-9DD0-6AF2153147EB}" name="13674"/>
    <tableColumn id="13688" xr3:uid="{3EEFB079-BA68-4CA7-B0D7-14F03BA5F1FD}" name="13675"/>
    <tableColumn id="13689" xr3:uid="{D540D2A0-0C94-4CAB-9472-9BF57E52D494}" name="13676"/>
    <tableColumn id="13690" xr3:uid="{45FB20E5-493E-45F6-9493-4CEB20488B6D}" name="13677"/>
    <tableColumn id="13691" xr3:uid="{DFEB052E-792F-4510-95DD-B7DFF42D2E3D}" name="13678"/>
    <tableColumn id="13692" xr3:uid="{BE2954A8-ED01-4F5F-9864-86A675E02A47}" name="13679"/>
    <tableColumn id="13693" xr3:uid="{DB5229D3-D7D7-460C-B6AA-AA0CC45EE9E7}" name="13680"/>
    <tableColumn id="13694" xr3:uid="{A4EEB7C2-801E-4112-B2FB-270332718D65}" name="13681"/>
    <tableColumn id="13695" xr3:uid="{E3756318-5CC8-418E-A92B-1B4E663C017D}" name="13682"/>
    <tableColumn id="13696" xr3:uid="{BE0DDAFF-A89D-480B-AC9B-97172D89D7FB}" name="13683"/>
    <tableColumn id="13697" xr3:uid="{C8437594-DEF1-4B4E-B2BB-D9CB2600A64E}" name="13684"/>
    <tableColumn id="13698" xr3:uid="{B4A418D2-E55E-47A4-9FE2-5D3D9DEBE198}" name="13685"/>
    <tableColumn id="13699" xr3:uid="{1C0C00CA-7E32-4B64-B28E-8E543F5F3BF2}" name="13686"/>
    <tableColumn id="13700" xr3:uid="{F7E9A85D-ECE9-438A-BAAF-2CA099332244}" name="13687"/>
    <tableColumn id="13701" xr3:uid="{510C3519-4A24-4C04-8F3B-6F0547991222}" name="13688"/>
    <tableColumn id="13702" xr3:uid="{89519003-83AE-4A30-A6BB-6718BE2E9774}" name="13689"/>
    <tableColumn id="13703" xr3:uid="{51D1E49D-4B8A-4989-9FAF-FA082AA12F25}" name="13690"/>
    <tableColumn id="13704" xr3:uid="{8CC4D4C1-ABB8-44C2-AB30-7E723A6E8608}" name="13691"/>
    <tableColumn id="13705" xr3:uid="{25B79D0C-C47E-4AB6-9D0E-989CAE3B402E}" name="13692"/>
    <tableColumn id="13706" xr3:uid="{2A2BEF0B-B379-4014-9912-2A3CB954BF09}" name="13693"/>
    <tableColumn id="13707" xr3:uid="{7F2E2E6C-2959-4471-9564-31E8301534E1}" name="13694"/>
    <tableColumn id="13708" xr3:uid="{9A527C72-3A76-4026-8D01-41BBDB2AE978}" name="13695"/>
    <tableColumn id="13709" xr3:uid="{189E12AD-9F66-468F-AC2F-B7B88C91A1B0}" name="13696"/>
    <tableColumn id="13710" xr3:uid="{7496AE53-6B8E-41BE-9BA2-4111E220A8E3}" name="13697"/>
    <tableColumn id="13711" xr3:uid="{3DABC263-E724-4A7D-9F4A-DB3AD4FEF358}" name="13698"/>
    <tableColumn id="13712" xr3:uid="{082A1BDD-91C4-4107-9CB1-8CF7C2E34D51}" name="13699"/>
    <tableColumn id="13713" xr3:uid="{ABE89C47-D2A9-47BF-818C-3446EDC8EC02}" name="13700"/>
    <tableColumn id="13714" xr3:uid="{89099629-04FB-4D84-AAF6-8756969A8009}" name="13701"/>
    <tableColumn id="13715" xr3:uid="{C7EE5DD3-4452-4019-B817-BADF3BC51F3D}" name="13702"/>
    <tableColumn id="13716" xr3:uid="{A78B4626-9B24-43A7-8B96-247213524D13}" name="13703"/>
    <tableColumn id="13717" xr3:uid="{44FCF6F7-95D0-475E-B8C1-0B709A756D47}" name="13704"/>
    <tableColumn id="13718" xr3:uid="{F1175FAA-ECDC-473B-A195-1EDF1E92BE6B}" name="13705"/>
    <tableColumn id="13719" xr3:uid="{D6F9EBB5-3432-4FF8-91BE-2F9B4023AD65}" name="13706"/>
    <tableColumn id="13720" xr3:uid="{DC3DD555-85A4-4475-BDF5-6045DEB6DA70}" name="13707"/>
    <tableColumn id="13721" xr3:uid="{09AE20CA-D4DE-4D7F-A481-91A2B77E1930}" name="13708"/>
    <tableColumn id="13722" xr3:uid="{760CA706-FFF3-451C-AD30-65F095E39847}" name="13709"/>
    <tableColumn id="13723" xr3:uid="{56E92BFE-B6C8-41F5-9D06-32D18A6C632C}" name="13710"/>
    <tableColumn id="13724" xr3:uid="{7E2F8732-1284-4D73-BB75-546D36D06BDF}" name="13711"/>
    <tableColumn id="13725" xr3:uid="{CD1589C3-0517-4002-A439-3FFE9D8A6EC9}" name="13712"/>
    <tableColumn id="13726" xr3:uid="{1E2B070E-76C4-403A-96D9-F31867BDA29F}" name="13713"/>
    <tableColumn id="13727" xr3:uid="{071CA8B3-8DEF-42F5-B157-62173B49F9DE}" name="13714"/>
    <tableColumn id="13728" xr3:uid="{94384E67-3CE3-47F1-86EA-FE1A55229F3A}" name="13715"/>
    <tableColumn id="13729" xr3:uid="{0DF8B60E-84D5-471F-A5BE-4BF4FBF6E666}" name="13716"/>
    <tableColumn id="13730" xr3:uid="{E9C5574B-88FE-4F4B-9F69-D856FA1B84F4}" name="13717"/>
    <tableColumn id="13731" xr3:uid="{91C0E93D-693E-41AC-9307-CEF4571B815A}" name="13718"/>
    <tableColumn id="13732" xr3:uid="{99C0814F-3E8E-42FD-B098-265D94E0854A}" name="13719"/>
    <tableColumn id="13733" xr3:uid="{81AB80F0-4AAE-48B8-8DE5-524867D8ED97}" name="13720"/>
    <tableColumn id="13734" xr3:uid="{5F69B271-7A6D-46D7-B2C9-DD99AF8A74FE}" name="13721"/>
    <tableColumn id="13735" xr3:uid="{915E477F-6543-444C-8BF7-B8B0A70E7643}" name="13722"/>
    <tableColumn id="13736" xr3:uid="{01A22997-A57A-4DE5-8C4B-21ADC6DAF9A2}" name="13723"/>
    <tableColumn id="13737" xr3:uid="{4D75849B-2EF7-4961-8D14-BF2C4E654FEE}" name="13724"/>
    <tableColumn id="13738" xr3:uid="{BDF66D5E-8671-4EF7-B85A-9C6A7D365FA6}" name="13725"/>
    <tableColumn id="13739" xr3:uid="{0E9A6786-5B74-4F9A-8A05-BFF48A95AB2B}" name="13726"/>
    <tableColumn id="13740" xr3:uid="{C504835B-C2D4-4747-B27D-742910006D92}" name="13727"/>
    <tableColumn id="13741" xr3:uid="{6C362611-686A-4707-83E0-536A80CF4629}" name="13728"/>
    <tableColumn id="13742" xr3:uid="{05026A9E-8459-424E-B3BE-1780E7E772CF}" name="13729"/>
    <tableColumn id="13743" xr3:uid="{CAC38D4B-1F97-41D7-95F0-4454C6CB63AF}" name="13730"/>
    <tableColumn id="13744" xr3:uid="{B488A15B-0096-4940-82C5-C5D75212D65F}" name="13731"/>
    <tableColumn id="13745" xr3:uid="{E1246A8B-6D28-4234-BE30-7AB6D9A065F2}" name="13732"/>
    <tableColumn id="13746" xr3:uid="{EB36F4D6-8D11-4F7C-AE3D-129D93A46359}" name="13733"/>
    <tableColumn id="13747" xr3:uid="{F9ACDFBF-7608-4B2F-BEED-6ACE2F80F0AF}" name="13734"/>
    <tableColumn id="13748" xr3:uid="{1AD65D9A-CD16-405F-961B-A3352268305C}" name="13735"/>
    <tableColumn id="13749" xr3:uid="{6549DCF9-3CB3-484B-A5C2-501A01DD7B67}" name="13736"/>
    <tableColumn id="13750" xr3:uid="{6D89EDD2-40B9-4D7C-ADCE-875D18EA2AC2}" name="13737"/>
    <tableColumn id="13751" xr3:uid="{64B0DE93-D0B5-4AB9-BE70-CC10B57689BE}" name="13738"/>
    <tableColumn id="13752" xr3:uid="{55F52BF0-2B2D-444C-B501-41BFAC402ED4}" name="13739"/>
    <tableColumn id="13753" xr3:uid="{214AA6E6-357C-4834-B901-905F669BF9E8}" name="13740"/>
    <tableColumn id="13754" xr3:uid="{3E1BC0AE-9FFA-4503-90E1-E4C45C914EFA}" name="13741"/>
    <tableColumn id="13755" xr3:uid="{9ED23968-351F-4A3F-82A3-22F5B3F10CC4}" name="13742"/>
    <tableColumn id="13756" xr3:uid="{954958E5-D84A-4417-933E-94E2A1A23977}" name="13743"/>
    <tableColumn id="13757" xr3:uid="{9D543BE1-CD58-4610-A08A-4891562AF602}" name="13744"/>
    <tableColumn id="13758" xr3:uid="{820FC2C0-2455-4DC7-83C4-9F96BF8F1E81}" name="13745"/>
    <tableColumn id="13759" xr3:uid="{F4CDDD6F-5DC3-4405-A286-8B47ABEDE1DF}" name="13746"/>
    <tableColumn id="13760" xr3:uid="{5D72B495-67AE-43FE-AE77-16A6176BE9BE}" name="13747"/>
    <tableColumn id="13761" xr3:uid="{513E1809-0E45-494F-AFCF-DEBEF0558A4E}" name="13748"/>
    <tableColumn id="13762" xr3:uid="{254851AE-7F39-48B4-ACB5-93CD5DDA1503}" name="13749"/>
    <tableColumn id="13763" xr3:uid="{48C2E83D-50E7-4E6D-B4E0-A62827D7FBCA}" name="13750"/>
    <tableColumn id="13764" xr3:uid="{56831AF2-3BBB-4329-9CBD-5A0375A568EF}" name="13751"/>
    <tableColumn id="13765" xr3:uid="{DA831C30-9970-4B05-BCC9-AD2B833F6C19}" name="13752"/>
    <tableColumn id="13766" xr3:uid="{846B6C84-629D-428C-8120-9D9024F1B4B0}" name="13753"/>
    <tableColumn id="13767" xr3:uid="{63D83ECA-54FA-418C-A737-FE8AEAA544B4}" name="13754"/>
    <tableColumn id="13768" xr3:uid="{F1C3425F-404D-46E2-B886-F92B910368C5}" name="13755"/>
    <tableColumn id="13769" xr3:uid="{12DC0086-377C-43CC-AD4D-5D1BAF988FDC}" name="13756"/>
    <tableColumn id="13770" xr3:uid="{E5CC5D45-D24B-43E0-88FC-ACC1C1E38806}" name="13757"/>
    <tableColumn id="13771" xr3:uid="{860FDD5C-78D0-43C4-9599-A1C8D30A5F96}" name="13758"/>
    <tableColumn id="13772" xr3:uid="{BD272BB0-6D0F-4810-9944-482DB4E5AE3B}" name="13759"/>
    <tableColumn id="13773" xr3:uid="{4D3017EB-D9E3-42C9-871E-8948E5728DFB}" name="13760"/>
    <tableColumn id="13774" xr3:uid="{5589BE9F-5DDF-442B-B9BE-3164C3D0A677}" name="13761"/>
    <tableColumn id="13775" xr3:uid="{D7C494B7-9CE1-41D1-A773-DC04AC812826}" name="13762"/>
    <tableColumn id="13776" xr3:uid="{A1FAEE87-39CF-4696-97C8-955C83C19390}" name="13763"/>
    <tableColumn id="13777" xr3:uid="{0EBBF850-5366-4BFE-894B-44D1626A2A59}" name="13764"/>
    <tableColumn id="13778" xr3:uid="{239B064A-8978-43DF-AF1D-E4D76983357D}" name="13765"/>
    <tableColumn id="13779" xr3:uid="{230E9693-F176-4DCF-BA84-AD0FE442380A}" name="13766"/>
    <tableColumn id="13780" xr3:uid="{D9AF09E4-F877-4921-A2C3-D32C186B6342}" name="13767"/>
    <tableColumn id="13781" xr3:uid="{0FB121FA-309C-482F-B60E-9B881CAFAED1}" name="13768"/>
    <tableColumn id="13782" xr3:uid="{A88208ED-17EF-4DBD-A378-26132AD305E9}" name="13769"/>
    <tableColumn id="13783" xr3:uid="{1D43A03A-55D6-4A88-8342-13F35EBC1BF8}" name="13770"/>
    <tableColumn id="13784" xr3:uid="{7E52A8AE-3C41-488B-9E90-5E479D1855B2}" name="13771"/>
    <tableColumn id="13785" xr3:uid="{D4101C96-ECB7-47C5-A8CE-C995791C4995}" name="13772"/>
    <tableColumn id="13786" xr3:uid="{858B85E6-DFF0-44F4-B716-1D76C49BC16F}" name="13773"/>
    <tableColumn id="13787" xr3:uid="{0015186E-ABB8-4775-B105-B8899574F14E}" name="13774"/>
    <tableColumn id="13788" xr3:uid="{CC2CEE40-040F-4BDE-A7AE-861BA1AB915A}" name="13775"/>
    <tableColumn id="13789" xr3:uid="{D6B8DDEE-7DDE-42D6-84FC-250E6AE3852C}" name="13776"/>
    <tableColumn id="13790" xr3:uid="{CF7CE75B-6AF8-4746-A82E-DAACE615BEAF}" name="13777"/>
    <tableColumn id="13791" xr3:uid="{B233CD18-CE6A-4FE4-809E-3527EEC920C4}" name="13778"/>
    <tableColumn id="13792" xr3:uid="{7C5539B9-1F96-452B-B4BD-E79876688808}" name="13779"/>
    <tableColumn id="13793" xr3:uid="{847DAA54-508E-4D43-AA33-FA353C4BC7DA}" name="13780"/>
    <tableColumn id="13794" xr3:uid="{2FA243B1-A3F9-4131-ABFE-2C688CCC0EFB}" name="13781"/>
    <tableColumn id="13795" xr3:uid="{5FA4D98B-7686-4A5B-A855-57BAFC1E5064}" name="13782"/>
    <tableColumn id="13796" xr3:uid="{4F2E30B4-CBCD-4732-9104-9B9A4168DBFC}" name="13783"/>
    <tableColumn id="13797" xr3:uid="{0C0958DE-264B-4FB1-A322-CEC6F7E2DF86}" name="13784"/>
    <tableColumn id="13798" xr3:uid="{F01D5785-D8F6-4EA8-9084-8DA58C57CC1D}" name="13785"/>
    <tableColumn id="13799" xr3:uid="{2BD7EE0A-CEA2-4F68-9E9B-0CE6C6418CE8}" name="13786"/>
    <tableColumn id="13800" xr3:uid="{964DD83A-ACE3-4DFB-B8A8-DF3BD08BD6B4}" name="13787"/>
    <tableColumn id="13801" xr3:uid="{AF90DD48-87E4-4C56-81C2-C8AF403EB12F}" name="13788"/>
    <tableColumn id="13802" xr3:uid="{9C5BCAD5-5001-468E-9C89-58E099161E99}" name="13789"/>
    <tableColumn id="13803" xr3:uid="{7F32A33C-53A1-4EB5-9511-9851A50CC3F5}" name="13790"/>
    <tableColumn id="13804" xr3:uid="{08B1FEE8-1250-4F4A-B35D-19EE4BEBFEA6}" name="13791"/>
    <tableColumn id="13805" xr3:uid="{83F1A20E-452A-4767-A6C6-6C7FE326BB56}" name="13792"/>
    <tableColumn id="13806" xr3:uid="{A957066C-10B9-4812-AEF0-3EFDDC4B7F01}" name="13793"/>
    <tableColumn id="13807" xr3:uid="{45C99DF1-46A3-4649-8195-A3820406B29F}" name="13794"/>
    <tableColumn id="13808" xr3:uid="{9F012571-3C31-4477-9789-89E5E6BAFCA3}" name="13795"/>
    <tableColumn id="13809" xr3:uid="{5311AE79-C126-4BA8-BB13-33C80C3CE9EA}" name="13796"/>
    <tableColumn id="13810" xr3:uid="{1F3E27B5-B956-4F3F-8FDB-3256C69B76F7}" name="13797"/>
    <tableColumn id="13811" xr3:uid="{2602DCA8-C035-46D9-A8F2-3114D42F040C}" name="13798"/>
    <tableColumn id="13812" xr3:uid="{0BA35B5D-3394-44AB-BD26-4EC591B76DB8}" name="13799"/>
    <tableColumn id="13813" xr3:uid="{BD2B74A1-8E91-42AF-8541-2EBC1666576B}" name="13800"/>
    <tableColumn id="13814" xr3:uid="{1E51BFAC-DE0B-419E-9C07-348F2356BB6D}" name="13801"/>
    <tableColumn id="13815" xr3:uid="{2E959205-4AF4-4BE1-AEC9-9707D8627F88}" name="13802"/>
    <tableColumn id="13816" xr3:uid="{BF659954-C5C1-427A-9FAB-447CF6A8160D}" name="13803"/>
    <tableColumn id="13817" xr3:uid="{BFB759F2-ADD7-4ECA-B4CF-1E8A5E514945}" name="13804"/>
    <tableColumn id="13818" xr3:uid="{2EF6C4AA-F594-465A-BE89-DFF7E7454130}" name="13805"/>
    <tableColumn id="13819" xr3:uid="{8D510F4A-DFA8-4172-A999-3AC7119CD1AC}" name="13806"/>
    <tableColumn id="13820" xr3:uid="{FFF8C73E-670E-48F7-A45F-52637949B707}" name="13807"/>
    <tableColumn id="13821" xr3:uid="{4D2E85BA-E643-496D-884E-B5CC81CC18BC}" name="13808"/>
    <tableColumn id="13822" xr3:uid="{154E9B1B-7A17-4A6F-999C-4BBE1AD8B101}" name="13809"/>
    <tableColumn id="13823" xr3:uid="{08524452-B8D9-438B-98DF-6911FA25F076}" name="13810"/>
    <tableColumn id="13824" xr3:uid="{AAC13055-DDBE-4159-AC64-A6571C6F3982}" name="13811"/>
    <tableColumn id="13825" xr3:uid="{398EB1B8-E8B5-4203-901A-CE113A0DBBCF}" name="13812"/>
    <tableColumn id="13826" xr3:uid="{4A4498CD-16CF-457C-8350-9E2F573B64CA}" name="13813"/>
    <tableColumn id="13827" xr3:uid="{BBF0BA5C-D491-4F19-8941-858859151D02}" name="13814"/>
    <tableColumn id="13828" xr3:uid="{EB63BDBE-3B26-4EF4-B67C-F5CA222E55F0}" name="13815"/>
    <tableColumn id="13829" xr3:uid="{BB00FE40-A6E0-4CB4-BFFC-7F3303EBDEF6}" name="13816"/>
    <tableColumn id="13830" xr3:uid="{F2AE4868-6761-4454-9602-75E55C646303}" name="13817"/>
    <tableColumn id="13831" xr3:uid="{C9378A1F-051D-4B17-9AFE-D8C00FCF5E5B}" name="13818"/>
    <tableColumn id="13832" xr3:uid="{A658EFFE-0A86-407C-B462-92830261E690}" name="13819"/>
    <tableColumn id="13833" xr3:uid="{98B3F74A-84CC-45E7-9C39-E334B9D28390}" name="13820"/>
    <tableColumn id="13834" xr3:uid="{83047BA9-D59C-4F02-806A-AC76330E6678}" name="13821"/>
    <tableColumn id="13835" xr3:uid="{E446F012-5D39-4D18-8464-69DD73424DA9}" name="13822"/>
    <tableColumn id="13836" xr3:uid="{998BC700-FCDD-4863-AAD2-007C280B191A}" name="13823"/>
    <tableColumn id="13837" xr3:uid="{1F613590-5D8D-45C2-A521-4A744E5AC881}" name="13824"/>
    <tableColumn id="13838" xr3:uid="{51108C4A-8107-467F-9475-DF48D695F98D}" name="13825"/>
    <tableColumn id="13839" xr3:uid="{BF148339-DDA9-4E9A-BCC5-F907D70AEE1E}" name="13826"/>
    <tableColumn id="13840" xr3:uid="{2BB95E19-196D-4FF3-9E52-4375EC10F4CB}" name="13827"/>
    <tableColumn id="13841" xr3:uid="{FB17C578-6A70-4056-AF72-8BD07E2DDB82}" name="13828"/>
    <tableColumn id="13842" xr3:uid="{634A2A34-0772-4E76-8195-D997A5258B10}" name="13829"/>
    <tableColumn id="13843" xr3:uid="{D1CA7577-50F8-4268-82F6-0ED80691D40D}" name="13830"/>
    <tableColumn id="13844" xr3:uid="{82507895-6855-4749-A89F-93817D795B9A}" name="13831"/>
    <tableColumn id="13845" xr3:uid="{11D1CAF2-7F09-4CFF-A1C0-BC5860E5D409}" name="13832"/>
    <tableColumn id="13846" xr3:uid="{91AEC564-F604-4C48-8172-C97C6CB58235}" name="13833"/>
    <tableColumn id="13847" xr3:uid="{5CF72BE3-F32B-4EB6-81E6-316BAB6823FB}" name="13834"/>
    <tableColumn id="13848" xr3:uid="{73D9CD5B-2A10-4604-A518-86BDA4B4CAB0}" name="13835"/>
    <tableColumn id="13849" xr3:uid="{DBBD106B-FE63-4AE4-A6DF-F7EC857C10ED}" name="13836"/>
    <tableColumn id="13850" xr3:uid="{E09713E2-DF5C-45D4-A7BD-57012B677B04}" name="13837"/>
    <tableColumn id="13851" xr3:uid="{59A5D346-094C-4FBE-8834-996A012AB6A6}" name="13838"/>
    <tableColumn id="13852" xr3:uid="{BBE587AD-2C03-491F-8274-03BA134A2BC9}" name="13839"/>
    <tableColumn id="13853" xr3:uid="{C27BF98B-1B69-4BB6-9A6F-0B56552DA8BF}" name="13840"/>
    <tableColumn id="13854" xr3:uid="{29EA8169-33B5-48D6-A4B1-ED39A97922E0}" name="13841"/>
    <tableColumn id="13855" xr3:uid="{CA86D1DA-82BE-4F83-9CC3-D825E11C81E9}" name="13842"/>
    <tableColumn id="13856" xr3:uid="{C9AC7F1D-2BCC-4428-9092-19BA7597B031}" name="13843"/>
    <tableColumn id="13857" xr3:uid="{9F2576B1-20A4-48AC-B2CC-7D0A524C55CB}" name="13844"/>
    <tableColumn id="13858" xr3:uid="{4E6B1360-BFA4-4860-AE70-69848AB9CE8A}" name="13845"/>
    <tableColumn id="13859" xr3:uid="{CF950317-079E-4A53-B48D-B849E6E7B199}" name="13846"/>
    <tableColumn id="13860" xr3:uid="{DAB75075-EC1F-44D7-879E-F331536FB25F}" name="13847"/>
    <tableColumn id="13861" xr3:uid="{16BE87F1-3A94-4DA9-9AFF-A8D3E00C5B82}" name="13848"/>
    <tableColumn id="13862" xr3:uid="{B672CAA9-8083-47F7-AF3E-3D49C9E520FB}" name="13849"/>
    <tableColumn id="13863" xr3:uid="{FB4A1E22-AD01-47B4-8AEE-6DFF26B290F9}" name="13850"/>
    <tableColumn id="13864" xr3:uid="{31DFA85A-3780-41AB-9EF6-4FE46559F96C}" name="13851"/>
    <tableColumn id="13865" xr3:uid="{5B76CBBA-E586-4C22-91B2-EA170297A12E}" name="13852"/>
    <tableColumn id="13866" xr3:uid="{B4BB83E9-E027-49AB-8CB8-DADC083316EA}" name="13853"/>
    <tableColumn id="13867" xr3:uid="{7C7A4CFA-A626-4895-9292-CF5D87B996B8}" name="13854"/>
    <tableColumn id="13868" xr3:uid="{ABF77444-1BB0-48DA-BC67-E55228059245}" name="13855"/>
    <tableColumn id="13869" xr3:uid="{6E9467B4-FE8E-4E4D-8D44-33E439C5FADB}" name="13856"/>
    <tableColumn id="13870" xr3:uid="{5F49C64B-3639-4613-9D73-C134C5F06329}" name="13857"/>
    <tableColumn id="13871" xr3:uid="{59D0F12C-9673-48A1-8F9F-CCD103355B4D}" name="13858"/>
    <tableColumn id="13872" xr3:uid="{C5644994-DFE7-4BE5-B01B-F297AEEF32B3}" name="13859"/>
    <tableColumn id="13873" xr3:uid="{8B151E2A-3DD4-4A23-8C28-91576B9100BA}" name="13860"/>
    <tableColumn id="13874" xr3:uid="{0698728E-CD08-4632-92E4-C0ED13A48EC8}" name="13861"/>
    <tableColumn id="13875" xr3:uid="{85690DFA-3C1F-4109-A81A-6B18F3C4E740}" name="13862"/>
    <tableColumn id="13876" xr3:uid="{DE92E10A-A3D9-4976-8FD3-BA607ACA775A}" name="13863"/>
    <tableColumn id="13877" xr3:uid="{96C9390A-984B-49BE-A88F-5B263E7BE5F4}" name="13864"/>
    <tableColumn id="13878" xr3:uid="{42488D20-79C5-4BAC-8281-67D614822FC1}" name="13865"/>
    <tableColumn id="13879" xr3:uid="{8BC4501C-DD91-4088-8BF2-877A948732CC}" name="13866"/>
    <tableColumn id="13880" xr3:uid="{BD7736D1-1365-4CB8-9D27-3B0E8D866128}" name="13867"/>
    <tableColumn id="13881" xr3:uid="{C0B2FB2A-B647-4F8A-B29F-1496A24082E8}" name="13868"/>
    <tableColumn id="13882" xr3:uid="{904FC2BF-3CD6-450A-A701-C848F06A5E39}" name="13869"/>
    <tableColumn id="13883" xr3:uid="{C0119774-3EB8-4B3E-A92C-C3E9C2441FA2}" name="13870"/>
    <tableColumn id="13884" xr3:uid="{35FBE6DC-8B16-40C9-86DF-14DFE9409289}" name="13871"/>
    <tableColumn id="13885" xr3:uid="{CC907A34-FC68-42C6-9566-B8DF6E2E1897}" name="13872"/>
    <tableColumn id="13886" xr3:uid="{32BA7117-63D4-4963-88A0-A15C0598FD6B}" name="13873"/>
    <tableColumn id="13887" xr3:uid="{6A0CBB53-C832-4D7B-AD1A-C671E61EA618}" name="13874"/>
    <tableColumn id="13888" xr3:uid="{715FC90E-1212-4997-A09F-71A58B73964B}" name="13875"/>
    <tableColumn id="13889" xr3:uid="{7F0B25EA-F27B-45EA-9F03-8C2C38A85F0E}" name="13876"/>
    <tableColumn id="13890" xr3:uid="{1E52538F-79B0-467B-ACA6-02DB22036E61}" name="13877"/>
    <tableColumn id="13891" xr3:uid="{E4515C8A-1950-4C0D-8318-CB852524D6AA}" name="13878"/>
    <tableColumn id="13892" xr3:uid="{CBEA8BED-372D-4F36-8BA4-AC8607DD21B0}" name="13879"/>
    <tableColumn id="13893" xr3:uid="{D3D7CC91-FAD9-459A-8B68-5082C02D1C5C}" name="13880"/>
    <tableColumn id="13894" xr3:uid="{155BF3DE-53AE-4EE7-83B4-AD495D3A3F7A}" name="13881"/>
    <tableColumn id="13895" xr3:uid="{0E8FFC96-3E50-41AB-B491-4E6E0A8A4936}" name="13882"/>
    <tableColumn id="13896" xr3:uid="{0DD0C7DD-3D95-4A7C-892E-B1A14362A4FC}" name="13883"/>
    <tableColumn id="13897" xr3:uid="{9FF8D462-0F4E-4F38-A47A-F4581A5659E4}" name="13884"/>
    <tableColumn id="13898" xr3:uid="{A8DD9220-5C27-49CA-95B0-3BAC2EB479B3}" name="13885"/>
    <tableColumn id="13899" xr3:uid="{82E69CF4-A091-404F-82FC-451B2DCE961A}" name="13886"/>
    <tableColumn id="13900" xr3:uid="{D0ADB414-2684-4C24-909A-8CADFFB825B0}" name="13887"/>
    <tableColumn id="13901" xr3:uid="{CAE0DFE5-FE74-4AE4-89AF-5BD7AE87C514}" name="13888"/>
    <tableColumn id="13902" xr3:uid="{EC2ECF6A-1DAE-4899-988A-DA584027AE07}" name="13889"/>
    <tableColumn id="13903" xr3:uid="{0A570A45-ADB7-47C1-AB1D-92B58983E31A}" name="13890"/>
    <tableColumn id="13904" xr3:uid="{EDE47B00-523D-4A84-A002-9BBC7556E56A}" name="13891"/>
    <tableColumn id="13905" xr3:uid="{D4D2B5A3-D35B-4C48-BCD4-14A36E851426}" name="13892"/>
    <tableColumn id="13906" xr3:uid="{7FA4C44C-8F9D-47C8-9158-9D44D8E0D6A4}" name="13893"/>
    <tableColumn id="13907" xr3:uid="{EA9581AF-2D02-4536-9148-EA28A3D6F943}" name="13894"/>
    <tableColumn id="13908" xr3:uid="{B4E37B8E-33CA-404E-BF1C-BB450EED15DD}" name="13895"/>
    <tableColumn id="13909" xr3:uid="{A613B495-3267-4693-BF35-90F65A1DF206}" name="13896"/>
    <tableColumn id="13910" xr3:uid="{C2AA4275-BD76-464B-83F0-C4BCD31FC4E6}" name="13897"/>
    <tableColumn id="13911" xr3:uid="{F5BF38CD-BAFB-4247-B342-80BC97A44F3C}" name="13898"/>
    <tableColumn id="13912" xr3:uid="{331B6DBE-6919-474A-8BA1-B85379540504}" name="13899"/>
    <tableColumn id="13913" xr3:uid="{894EA253-7FF0-4E0C-A48C-F38BB29516B0}" name="13900"/>
    <tableColumn id="13914" xr3:uid="{9C233E92-160B-4899-93ED-FEDEA1FAA0F9}" name="13901"/>
    <tableColumn id="13915" xr3:uid="{607D15A7-9ED6-4FE3-8964-56D6D2AB0D6C}" name="13902"/>
    <tableColumn id="13916" xr3:uid="{8DC329BB-FA3A-4A92-BB9D-EA88649CAB6E}" name="13903"/>
    <tableColumn id="13917" xr3:uid="{B264DDA4-979C-4B85-B2D3-901D22EF7B11}" name="13904"/>
    <tableColumn id="13918" xr3:uid="{A4F7F2C5-D0F1-43ED-8A27-B969DD4FF4A9}" name="13905"/>
    <tableColumn id="13919" xr3:uid="{429F5FFD-36AD-4948-A56C-ACB2E1200627}" name="13906"/>
    <tableColumn id="13920" xr3:uid="{6F7A18A2-94E0-425F-AAAD-E193731D9C0A}" name="13907"/>
    <tableColumn id="13921" xr3:uid="{FCBEA285-1921-4DD1-BFF3-5C1FD0E9CF9D}" name="13908"/>
    <tableColumn id="13922" xr3:uid="{1BC3BFAA-2B5F-436E-BABF-643A4334D594}" name="13909"/>
    <tableColumn id="13923" xr3:uid="{29F59634-66DC-48F1-A9A7-407A07B0434C}" name="13910"/>
    <tableColumn id="13924" xr3:uid="{EA4FB36F-3DE0-45E2-9CD3-03663FCAC281}" name="13911"/>
    <tableColumn id="13925" xr3:uid="{D4AF95A1-3084-4769-A1AA-C2AC5F83A2CA}" name="13912"/>
    <tableColumn id="13926" xr3:uid="{04AC582D-7BFA-496B-B305-514B7E568E14}" name="13913"/>
    <tableColumn id="13927" xr3:uid="{9590C033-AAF5-438F-B507-B336CBFB6F24}" name="13914"/>
    <tableColumn id="13928" xr3:uid="{29F8EF8F-4526-4F39-85D3-5FC5597D5446}" name="13915"/>
    <tableColumn id="13929" xr3:uid="{FE969EF9-7018-4B14-B5A2-2CE2CF7B64CF}" name="13916"/>
    <tableColumn id="13930" xr3:uid="{05DE9A16-2826-49E3-BD04-30D0ACE99BA3}" name="13917"/>
    <tableColumn id="13931" xr3:uid="{112AF878-1648-4A85-8BAB-CD5F5596AA3D}" name="13918"/>
    <tableColumn id="13932" xr3:uid="{C4ACB7E6-558F-4740-81E9-02C0D7BF237A}" name="13919"/>
    <tableColumn id="13933" xr3:uid="{BE2BAD85-D8E0-4F9C-9C73-D3926B681BFE}" name="13920"/>
    <tableColumn id="13934" xr3:uid="{94EE689B-1879-4746-B9DD-7A9F114E0923}" name="13921"/>
    <tableColumn id="13935" xr3:uid="{4A22F251-CB01-4A5B-8923-3CC1E7134B31}" name="13922"/>
    <tableColumn id="13936" xr3:uid="{3BFFFC68-50C7-4292-B0BA-94C90EB9532B}" name="13923"/>
    <tableColumn id="13937" xr3:uid="{8BB98CD2-00BD-446B-B171-559D3201B705}" name="13924"/>
    <tableColumn id="13938" xr3:uid="{60AF1C01-FD3E-4E72-9127-AF8C25673450}" name="13925"/>
    <tableColumn id="13939" xr3:uid="{F571FF4C-0503-42EA-9B82-C79B4CC14771}" name="13926"/>
    <tableColumn id="13940" xr3:uid="{31C9AFF9-4939-4415-B450-AD49FFB18B66}" name="13927"/>
    <tableColumn id="13941" xr3:uid="{BFBD3F13-A84C-436C-987C-190EF43306B8}" name="13928"/>
    <tableColumn id="13942" xr3:uid="{02D31722-5237-4B09-8341-F86490418CC3}" name="13929"/>
    <tableColumn id="13943" xr3:uid="{26F29274-DBBD-4247-87D8-BF035B6C863A}" name="13930"/>
    <tableColumn id="13944" xr3:uid="{C7ED2E12-E270-4629-9FE8-4FFA36C21798}" name="13931"/>
    <tableColumn id="13945" xr3:uid="{5DC95127-3FE9-495D-8140-0343FDE68D0A}" name="13932"/>
    <tableColumn id="13946" xr3:uid="{FBF41565-DB11-43DF-ABA1-14F9782BD7FC}" name="13933"/>
    <tableColumn id="13947" xr3:uid="{E39F4094-0E68-4221-BA72-6F4BE9C59CFC}" name="13934"/>
    <tableColumn id="13948" xr3:uid="{CD17BD22-5013-4C48-B3E0-81EB727D3F1A}" name="13935"/>
    <tableColumn id="13949" xr3:uid="{B674A7CF-1EB8-455C-8F0C-A7774C78296F}" name="13936"/>
    <tableColumn id="13950" xr3:uid="{65BE5C66-29E8-4EF5-B9CA-8B85D7798B9C}" name="13937"/>
    <tableColumn id="13951" xr3:uid="{B2F0F6C1-78D6-4DBF-B46D-EB04CD2DB644}" name="13938"/>
    <tableColumn id="13952" xr3:uid="{D9FC19FD-68BB-4D58-BE02-00CDFB9ACE95}" name="13939"/>
    <tableColumn id="13953" xr3:uid="{48428494-D246-4C23-A22F-CBD99E8A7787}" name="13940"/>
    <tableColumn id="13954" xr3:uid="{A9059B4F-1D5A-4066-8C18-8FB36DE55984}" name="13941"/>
    <tableColumn id="13955" xr3:uid="{CA597A1B-7BF9-4B6B-AD87-E9C64503CF45}" name="13942"/>
    <tableColumn id="13956" xr3:uid="{8045FADA-5D4E-46DA-8B54-09D544209663}" name="13943"/>
    <tableColumn id="13957" xr3:uid="{F0137743-5B0F-4A29-8127-8B1CC7D07D49}" name="13944"/>
    <tableColumn id="13958" xr3:uid="{7A92EFA3-F7C9-4F95-9723-3909EA682757}" name="13945"/>
    <tableColumn id="13959" xr3:uid="{45CBF1FD-02DD-43F4-8DF2-0FBE0729A5C8}" name="13946"/>
    <tableColumn id="13960" xr3:uid="{F0EBFA08-7065-4379-82A1-71AE88A20E0C}" name="13947"/>
    <tableColumn id="13961" xr3:uid="{956A86F4-F7AB-4D79-9090-A346EC87C5F9}" name="13948"/>
    <tableColumn id="13962" xr3:uid="{0CB2EC38-F6D3-4630-B202-D002C4CB46BA}" name="13949"/>
    <tableColumn id="13963" xr3:uid="{BC6C599C-1542-463E-A168-77051E8F6F4B}" name="13950"/>
    <tableColumn id="13964" xr3:uid="{025996F0-02F0-4BEF-89F8-4D0CC31EC9AC}" name="13951"/>
    <tableColumn id="13965" xr3:uid="{DB8D0950-DD47-4C99-9E5A-DC5B2CA0C674}" name="13952"/>
    <tableColumn id="13966" xr3:uid="{99EF9710-713B-4FBC-9955-EF734802A249}" name="13953"/>
    <tableColumn id="13967" xr3:uid="{6323FD6C-435B-4AD9-BF34-E4D669CE5DF3}" name="13954"/>
    <tableColumn id="13968" xr3:uid="{45BCEA82-FD9E-4197-9570-6F9ED625C012}" name="13955"/>
    <tableColumn id="13969" xr3:uid="{B3583112-90AA-4E9F-A093-FD4A428048AA}" name="13956"/>
    <tableColumn id="13970" xr3:uid="{ABAF0BCA-A8EE-4714-85B6-538FB33C5C69}" name="13957"/>
    <tableColumn id="13971" xr3:uid="{DB2FDD38-F07F-4FA9-AAC7-331D61F9B09B}" name="13958"/>
    <tableColumn id="13972" xr3:uid="{51BE2684-D6FE-4C65-B11A-BBE9E5474463}" name="13959"/>
    <tableColumn id="13973" xr3:uid="{4FDF0DA6-EB27-4EE4-841C-A1F7068568DA}" name="13960"/>
    <tableColumn id="13974" xr3:uid="{B3CB3131-E28E-4AA0-9887-FD29BCD334FD}" name="13961"/>
    <tableColumn id="13975" xr3:uid="{9072AC42-AF7C-455A-BB90-F86246CF2D9C}" name="13962"/>
    <tableColumn id="13976" xr3:uid="{9570A481-9730-4338-8F34-7FB277D42C4B}" name="13963"/>
    <tableColumn id="13977" xr3:uid="{1D3DADFB-85AB-448C-AC49-6AA99216E460}" name="13964"/>
    <tableColumn id="13978" xr3:uid="{3E1C53BB-1BF2-44ED-B769-6CC0DDA70F1B}" name="13965"/>
    <tableColumn id="13979" xr3:uid="{28DA65B9-5D59-480C-8E27-4AABDDFBEE19}" name="13966"/>
    <tableColumn id="13980" xr3:uid="{04BC58D4-A0CE-4250-90D4-B88BC796E265}" name="13967"/>
    <tableColumn id="13981" xr3:uid="{EA3F28DF-6C2D-4D9A-A773-F2195763FBCA}" name="13968"/>
    <tableColumn id="13982" xr3:uid="{1FF09638-B8E9-4EC9-AE8C-191CE94EB326}" name="13969"/>
    <tableColumn id="13983" xr3:uid="{D6A24942-D30E-4722-8748-64453E916E01}" name="13970"/>
    <tableColumn id="13984" xr3:uid="{635C9EED-763A-49C7-BB2C-BA000B1CDFAC}" name="13971"/>
    <tableColumn id="13985" xr3:uid="{5A9DBD5A-5C40-47FD-836A-C666598A45D9}" name="13972"/>
    <tableColumn id="13986" xr3:uid="{B3B71CF5-A0B2-4530-9081-BB011B514D77}" name="13973"/>
    <tableColumn id="13987" xr3:uid="{C529DE0B-D8E8-4D8E-AB5E-53B7F255284A}" name="13974"/>
    <tableColumn id="13988" xr3:uid="{9EF20D91-8C80-4ACA-B6D4-4D67790E7699}" name="13975"/>
    <tableColumn id="13989" xr3:uid="{710BB032-7728-4888-ABCD-C9B3B7B1DD04}" name="13976"/>
    <tableColumn id="13990" xr3:uid="{0122DC6D-1BD5-43D0-991B-C49830107F42}" name="13977"/>
    <tableColumn id="13991" xr3:uid="{4D55E374-A222-4A09-8687-C6B93C52C12D}" name="13978"/>
    <tableColumn id="13992" xr3:uid="{5D865A67-06FA-42F8-B712-B56FAA648C5F}" name="13979"/>
    <tableColumn id="13993" xr3:uid="{B8D9B2C9-349D-4685-860E-797C54B260D2}" name="13980"/>
    <tableColumn id="13994" xr3:uid="{FB7540A5-8CFD-444C-92BD-502786F3F64C}" name="13981"/>
    <tableColumn id="13995" xr3:uid="{EABBA087-8883-4D32-B03D-DCEDD810AC5E}" name="13982"/>
    <tableColumn id="13996" xr3:uid="{116FCEE3-7931-42A5-97FC-BD283FF54542}" name="13983"/>
    <tableColumn id="13997" xr3:uid="{9A90E35F-5FCD-4E5C-887F-BB120E5D3AB7}" name="13984"/>
    <tableColumn id="13998" xr3:uid="{BE5307EB-0B61-476A-A637-9E3F021998B3}" name="13985"/>
    <tableColumn id="13999" xr3:uid="{F43B2E90-AB11-4E67-9130-FA02EAC8167D}" name="13986"/>
    <tableColumn id="14000" xr3:uid="{071D8FE7-7E27-43CF-8510-41B519326FC3}" name="13987"/>
    <tableColumn id="14001" xr3:uid="{BFA4D055-F33A-4F97-A0B4-0BD7B6740746}" name="13988"/>
    <tableColumn id="14002" xr3:uid="{FE4367BB-C2F6-4C88-9F40-47956C60C8BD}" name="13989"/>
    <tableColumn id="14003" xr3:uid="{0898446D-0E18-4ECA-9231-EFA782DCFD4B}" name="13990"/>
    <tableColumn id="14004" xr3:uid="{AE615257-32BB-44C8-8137-BD31A94012FE}" name="13991"/>
    <tableColumn id="14005" xr3:uid="{385CB17C-A40E-42FC-99E0-7B0D5F366987}" name="13992"/>
    <tableColumn id="14006" xr3:uid="{202C67A7-A504-4D5C-845E-072C9313F036}" name="13993"/>
    <tableColumn id="14007" xr3:uid="{DC22E5A0-9C53-4004-B5CD-1F015D52A898}" name="13994"/>
    <tableColumn id="14008" xr3:uid="{C297A709-6417-4129-A379-6384D6EC99E8}" name="13995"/>
    <tableColumn id="14009" xr3:uid="{93E0065A-E66E-4859-BC1C-8FE28DE1664C}" name="13996"/>
    <tableColumn id="14010" xr3:uid="{B5F7035D-B816-40A3-B215-AB58FB1D33B8}" name="13997"/>
    <tableColumn id="14011" xr3:uid="{4199504D-8C67-4DE4-B46C-039C9D346A06}" name="13998"/>
    <tableColumn id="14012" xr3:uid="{DA988E74-E704-4539-93CF-C948F3916637}" name="13999"/>
    <tableColumn id="14013" xr3:uid="{D7711D2D-0E50-4E69-B224-7BA2C9380E6F}" name="14000"/>
    <tableColumn id="14014" xr3:uid="{34F2F74B-8FD2-485E-86A5-F47470EA64E0}" name="14001"/>
    <tableColumn id="14015" xr3:uid="{ED5D7926-AFEC-4CCB-AC1C-C3FBE1FE8656}" name="14002"/>
    <tableColumn id="14016" xr3:uid="{86391752-F13A-4CD8-BCA3-CAC9E7CAD51F}" name="14003"/>
    <tableColumn id="14017" xr3:uid="{699FE9CA-B124-4B11-984B-CA73075C3F76}" name="14004"/>
    <tableColumn id="14018" xr3:uid="{E8124B46-7CE3-41E3-A6BB-26A92D18859B}" name="14005"/>
    <tableColumn id="14019" xr3:uid="{3FA6AC76-45A5-477F-A909-10A450AFF67E}" name="14006"/>
    <tableColumn id="14020" xr3:uid="{5D97A6FA-80AD-493C-BB0C-D45EC873496C}" name="14007"/>
    <tableColumn id="14021" xr3:uid="{96E4AA7A-AEE6-4603-A1DF-F0ED2DE6A975}" name="14008"/>
    <tableColumn id="14022" xr3:uid="{9F35DBC3-1222-4FFB-B1E7-6A94C6B82DB7}" name="14009"/>
    <tableColumn id="14023" xr3:uid="{5A91EF1B-6085-4371-8C4D-784A05B34D69}" name="14010"/>
    <tableColumn id="14024" xr3:uid="{49C891FB-D0AC-48E0-A84E-15B8E5FAFEC6}" name="14011"/>
    <tableColumn id="14025" xr3:uid="{DB014539-C7D6-4CC0-BFA2-32899CF188D2}" name="14012"/>
    <tableColumn id="14026" xr3:uid="{94D121F9-29FD-42C0-AD0F-2FD5DD187EDF}" name="14013"/>
    <tableColumn id="14027" xr3:uid="{BE985740-C029-44E3-9692-B6D6139168F0}" name="14014"/>
    <tableColumn id="14028" xr3:uid="{BCD96444-E99B-4CDD-BF4B-0AED1B9F8CA5}" name="14015"/>
    <tableColumn id="14029" xr3:uid="{206E30C2-5545-47D8-93B6-5752788254E9}" name="14016"/>
    <tableColumn id="14030" xr3:uid="{8111ECC0-41E8-423C-9F88-CA0036BDDED5}" name="14017"/>
    <tableColumn id="14031" xr3:uid="{ECFAECBB-211A-4FA5-9838-67B19890B11C}" name="14018"/>
    <tableColumn id="14032" xr3:uid="{FEF6BE96-C520-4F16-B9D8-A7BB7BE96FDA}" name="14019"/>
    <tableColumn id="14033" xr3:uid="{9F16F660-754F-4763-AA0D-3746C031CC57}" name="14020"/>
    <tableColumn id="14034" xr3:uid="{AC9DF47C-743E-4A1D-BC83-A36E35BE329C}" name="14021"/>
    <tableColumn id="14035" xr3:uid="{CE9E7C00-4FCF-444C-9CA9-449A61D447F6}" name="14022"/>
    <tableColumn id="14036" xr3:uid="{E715AF7E-10BF-410C-98A7-6099D40D85F8}" name="14023"/>
    <tableColumn id="14037" xr3:uid="{188FF61D-D72D-437C-A061-96DF6A7F651F}" name="14024"/>
    <tableColumn id="14038" xr3:uid="{04CEDBA1-7773-448A-BCD6-58FAE8635D8E}" name="14025"/>
    <tableColumn id="14039" xr3:uid="{0EAFEDC8-D9D6-4323-B161-9254DFAB7092}" name="14026"/>
    <tableColumn id="14040" xr3:uid="{7CFBF97E-3368-4699-B0D9-9DD2A4E8075F}" name="14027"/>
    <tableColumn id="14041" xr3:uid="{DF47A216-8F81-4565-A0C6-D2C4711A425F}" name="14028"/>
    <tableColumn id="14042" xr3:uid="{690F3129-7831-417E-B481-4ACCD7060B96}" name="14029"/>
    <tableColumn id="14043" xr3:uid="{97C35484-927F-41F7-9917-10BB7EC9CCBA}" name="14030"/>
    <tableColumn id="14044" xr3:uid="{6D22AF93-611E-478D-97CA-C6F0B7D06617}" name="14031"/>
    <tableColumn id="14045" xr3:uid="{6D66FA45-902F-434A-9818-A46047503480}" name="14032"/>
    <tableColumn id="14046" xr3:uid="{82D03378-6EAE-4824-8C87-6585302DE0AD}" name="14033"/>
    <tableColumn id="14047" xr3:uid="{98088D1B-0D6D-4F04-8CFB-86559BA50972}" name="14034"/>
    <tableColumn id="14048" xr3:uid="{66D4BCC0-0D85-4A52-BA62-0160EFC5177D}" name="14035"/>
    <tableColumn id="14049" xr3:uid="{0C52996E-C398-4936-912A-A4E2074CFE72}" name="14036"/>
    <tableColumn id="14050" xr3:uid="{5051D130-3480-4992-884A-B28E5E9B138B}" name="14037"/>
    <tableColumn id="14051" xr3:uid="{0BDF067E-D25D-453D-ACD1-1ACE4CA1FF31}" name="14038"/>
    <tableColumn id="14052" xr3:uid="{CBAB1C4A-6164-42BA-A90F-76A4F0BA1C4D}" name="14039"/>
    <tableColumn id="14053" xr3:uid="{B5CCDC60-EA22-487F-BC23-5E1C384E78BF}" name="14040"/>
    <tableColumn id="14054" xr3:uid="{1B54E887-C3BB-44F2-A154-3B15E079F6A7}" name="14041"/>
    <tableColumn id="14055" xr3:uid="{7C57B588-A260-4105-B002-9996F0C82596}" name="14042"/>
    <tableColumn id="14056" xr3:uid="{74C46BE3-FD83-46FF-A823-8860DA0BF3D8}" name="14043"/>
    <tableColumn id="14057" xr3:uid="{6D7856BE-797C-41B8-923A-C647513AF364}" name="14044"/>
    <tableColumn id="14058" xr3:uid="{42FBB055-070C-441F-88E8-95722C5B6400}" name="14045"/>
    <tableColumn id="14059" xr3:uid="{2D9B3710-23A6-4EC1-A01D-445ABDE68220}" name="14046"/>
    <tableColumn id="14060" xr3:uid="{DBA0A0A7-6996-4168-A150-6BC5B0B6FBD6}" name="14047"/>
    <tableColumn id="14061" xr3:uid="{46EFF204-C26C-46B5-AE28-F65FFF46AA22}" name="14048"/>
    <tableColumn id="14062" xr3:uid="{C3047491-7991-422F-8811-ED4BCAFC3785}" name="14049"/>
    <tableColumn id="14063" xr3:uid="{087D07D0-141B-430F-B808-01D78E19CC1F}" name="14050"/>
    <tableColumn id="14064" xr3:uid="{F1187F8F-002E-4AFD-BF15-7128905B53D6}" name="14051"/>
    <tableColumn id="14065" xr3:uid="{6D09E458-7BCB-4086-916C-83C7A3F9B72E}" name="14052"/>
    <tableColumn id="14066" xr3:uid="{731821DB-A3CF-4214-94CB-E91B624B1F8F}" name="14053"/>
    <tableColumn id="14067" xr3:uid="{0DCDE8BC-A035-46EE-8D4C-07465861F6FB}" name="14054"/>
    <tableColumn id="14068" xr3:uid="{EE3700B4-7C96-48BA-941B-64F23A4F3834}" name="14055"/>
    <tableColumn id="14069" xr3:uid="{2E60D94D-4B1A-4C54-8489-63DAB1DF198E}" name="14056"/>
    <tableColumn id="14070" xr3:uid="{15BA49D8-667D-4927-9BB5-E21A1F680EEB}" name="14057"/>
    <tableColumn id="14071" xr3:uid="{8258D752-D4F0-4071-8691-7ADC1640D10B}" name="14058"/>
    <tableColumn id="14072" xr3:uid="{F547A4C1-6845-4DB0-AE3A-54CBCDCF3A1C}" name="14059"/>
    <tableColumn id="14073" xr3:uid="{F3A0737B-6A6D-41AF-8C6C-DC58EAD47338}" name="14060"/>
    <tableColumn id="14074" xr3:uid="{270C12F2-7B51-4672-AE33-657ABE6DC018}" name="14061"/>
    <tableColumn id="14075" xr3:uid="{53295A90-4D1D-45E0-BC28-CD877C2AD4E9}" name="14062"/>
    <tableColumn id="14076" xr3:uid="{FFE1D267-937D-4180-9D49-D47C7A9ADDC6}" name="14063"/>
    <tableColumn id="14077" xr3:uid="{CE999524-28FA-4BFF-BD2F-E3E3401EA854}" name="14064"/>
    <tableColumn id="14078" xr3:uid="{1D53EC58-901D-4452-81E4-B72F4C4316AD}" name="14065"/>
    <tableColumn id="14079" xr3:uid="{9A2BB45B-DA70-457A-90F6-FCA0E74B1DA6}" name="14066"/>
    <tableColumn id="14080" xr3:uid="{3BA1586D-FD06-4422-8396-773535070D95}" name="14067"/>
    <tableColumn id="14081" xr3:uid="{42DD86B3-CE42-460D-9AA3-69E6CAE0B42B}" name="14068"/>
    <tableColumn id="14082" xr3:uid="{C7F04221-9C7D-4C2A-B24C-AF0A2A179402}" name="14069"/>
    <tableColumn id="14083" xr3:uid="{4FD33A3F-23F3-4F8C-9CAF-61D323E2F647}" name="14070"/>
    <tableColumn id="14084" xr3:uid="{5FFE8988-DD6D-4F9C-81ED-A3497D040903}" name="14071"/>
    <tableColumn id="14085" xr3:uid="{D29AE449-DE98-4F28-A42B-82C5521AF336}" name="14072"/>
    <tableColumn id="14086" xr3:uid="{6A830EE6-AEDD-4C1E-B2D8-1C9AE9B6B065}" name="14073"/>
    <tableColumn id="14087" xr3:uid="{A22E660F-3D0B-4EFF-AF42-C4F03B86B6BF}" name="14074"/>
    <tableColumn id="14088" xr3:uid="{E1ED1241-439E-4C9B-811C-3F68771F70FB}" name="14075"/>
    <tableColumn id="14089" xr3:uid="{7BD16D31-2257-48AE-9FE0-5481124650DE}" name="14076"/>
    <tableColumn id="14090" xr3:uid="{92060295-B82A-4F86-BD36-FA97CA204BBD}" name="14077"/>
    <tableColumn id="14091" xr3:uid="{4001B23E-5D3A-4D05-AD76-5BE64F7E15C0}" name="14078"/>
    <tableColumn id="14092" xr3:uid="{3D02DE01-7672-4AAA-B0C2-77606922AC96}" name="14079"/>
    <tableColumn id="14093" xr3:uid="{5E0BC8F9-D878-4DD9-A3B7-100B2502489F}" name="14080"/>
    <tableColumn id="14094" xr3:uid="{27FD27C2-94CA-4FE5-980C-C599579CDA53}" name="14081"/>
    <tableColumn id="14095" xr3:uid="{A4E80034-35FB-4302-8694-240D488B991F}" name="14082"/>
    <tableColumn id="14096" xr3:uid="{359B1D8C-85F2-433D-83B6-FA73A93E0434}" name="14083"/>
    <tableColumn id="14097" xr3:uid="{9A7F79FF-506A-4CB8-ABBC-7C266077F939}" name="14084"/>
    <tableColumn id="14098" xr3:uid="{50C94CEB-0357-41D6-BF29-FB890E878F08}" name="14085"/>
    <tableColumn id="14099" xr3:uid="{CED66D9E-E94A-4E00-A263-D21805A22E34}" name="14086"/>
    <tableColumn id="14100" xr3:uid="{90050C7F-C299-440A-BB27-E614CFD4D62D}" name="14087"/>
    <tableColumn id="14101" xr3:uid="{F85FFD8D-CBFF-41DF-8852-B1A0D6F1E7A0}" name="14088"/>
    <tableColumn id="14102" xr3:uid="{9289B6AE-4546-4B52-AF82-727ECB84EFC7}" name="14089"/>
    <tableColumn id="14103" xr3:uid="{39B0A026-9EAF-4C53-A0F3-080A40396EB0}" name="14090"/>
    <tableColumn id="14104" xr3:uid="{02C01186-1CBE-4506-9A19-CC0212CDE84B}" name="14091"/>
    <tableColumn id="14105" xr3:uid="{611A5D7C-4CEE-435F-9971-6781A86AFDF9}" name="14092"/>
    <tableColumn id="14106" xr3:uid="{D322C8D6-91FC-4885-AF62-16D4854CFFAF}" name="14093"/>
    <tableColumn id="14107" xr3:uid="{9861ADBD-A151-4374-BF1A-05CF0C51BA7C}" name="14094"/>
    <tableColumn id="14108" xr3:uid="{E3EC348A-43AA-40A4-9AE3-D50366A1B5E3}" name="14095"/>
    <tableColumn id="14109" xr3:uid="{0F99F9C9-E97F-4A70-A4CD-699453B6BAE2}" name="14096"/>
    <tableColumn id="14110" xr3:uid="{0DDC81D0-AD18-4A5E-BD4E-805A88FAEAD9}" name="14097"/>
    <tableColumn id="14111" xr3:uid="{171DB44D-16EA-48BF-82AB-02340B80829E}" name="14098"/>
    <tableColumn id="14112" xr3:uid="{5059CF35-83A5-4F7F-8E6B-6F16DE3C60D0}" name="14099"/>
    <tableColumn id="14113" xr3:uid="{7C62301F-3BEB-41B3-BB66-F37D1BB5400F}" name="14100"/>
    <tableColumn id="14114" xr3:uid="{AE79ED59-B590-43DA-8FE3-DD7C0E42C6D1}" name="14101"/>
    <tableColumn id="14115" xr3:uid="{7DDAE9A8-75F2-4B81-988D-8B40494FA650}" name="14102"/>
    <tableColumn id="14116" xr3:uid="{164001E7-790D-45C2-A59F-3E4BB3C538F3}" name="14103"/>
    <tableColumn id="14117" xr3:uid="{7DA29721-05F3-49A9-B64F-E02B15FAFD61}" name="14104"/>
    <tableColumn id="14118" xr3:uid="{11D92152-B0FA-4154-94CE-2B38ADCDD95F}" name="14105"/>
    <tableColumn id="14119" xr3:uid="{09EEE57A-EEB3-4215-B9CC-2AF163333E2C}" name="14106"/>
    <tableColumn id="14120" xr3:uid="{8C749C88-80F6-4D73-9BA2-E16BA08BEAD8}" name="14107"/>
    <tableColumn id="14121" xr3:uid="{C56B7098-CBD4-437F-AEF0-2BCC845D672E}" name="14108"/>
    <tableColumn id="14122" xr3:uid="{F04E892A-3AFF-4721-A338-C7FF5F8311CD}" name="14109"/>
    <tableColumn id="14123" xr3:uid="{DA5E49F0-0AE4-4E86-B95A-2D0D57DB5D5F}" name="14110"/>
    <tableColumn id="14124" xr3:uid="{0941A1C9-E3A7-4679-AC77-17D8B45C6A30}" name="14111"/>
    <tableColumn id="14125" xr3:uid="{24E1F9A2-26FA-4CAA-B3B9-22980A1684E2}" name="14112"/>
    <tableColumn id="14126" xr3:uid="{B5345C72-7D31-4B8F-A7AE-6ADD4FD40536}" name="14113"/>
    <tableColumn id="14127" xr3:uid="{650007BC-9A52-42EE-90B4-5513768919CB}" name="14114"/>
    <tableColumn id="14128" xr3:uid="{FEF25D20-2614-47B5-A77A-739F0EBDD83A}" name="14115"/>
    <tableColumn id="14129" xr3:uid="{170D9700-73A6-45FB-B6D8-35CC77EA8F34}" name="14116"/>
    <tableColumn id="14130" xr3:uid="{EB2BE34E-6EF3-4A38-8DE8-B9BD42225DC3}" name="14117"/>
    <tableColumn id="14131" xr3:uid="{E81ECAEE-D150-43AB-BABE-E814307D5670}" name="14118"/>
    <tableColumn id="14132" xr3:uid="{03D503A6-434E-4AA6-8B73-6A5BE6E0B80D}" name="14119"/>
    <tableColumn id="14133" xr3:uid="{3AD8A983-EBF5-4273-9C4B-E0A75C2BB337}" name="14120"/>
    <tableColumn id="14134" xr3:uid="{57EA2A27-B9F1-43B7-9A76-A3FBA4B1BCD8}" name="14121"/>
    <tableColumn id="14135" xr3:uid="{8E27E764-5C14-4350-AAAB-6BD5138363D1}" name="14122"/>
    <tableColumn id="14136" xr3:uid="{9B838193-EEA7-4644-A6B6-71353C5EDA89}" name="14123"/>
    <tableColumn id="14137" xr3:uid="{41015742-1A93-4858-8A3A-ED70695DB884}" name="14124"/>
    <tableColumn id="14138" xr3:uid="{BD4B0CB1-EDCD-420B-BA20-83D43BB9998C}" name="14125"/>
    <tableColumn id="14139" xr3:uid="{16DD071F-6BAF-42E6-8E3D-570508C53720}" name="14126"/>
    <tableColumn id="14140" xr3:uid="{0836D0B9-35D7-449C-824E-A92B9297C678}" name="14127"/>
    <tableColumn id="14141" xr3:uid="{CFB4FAA3-0322-4A86-A526-193CAE0C2BBD}" name="14128"/>
    <tableColumn id="14142" xr3:uid="{9CDA151A-FCE5-4F73-BAA3-E33D03A4CC4E}" name="14129"/>
    <tableColumn id="14143" xr3:uid="{16FD3947-7E0A-4068-BAAF-54180F1D7D2C}" name="14130"/>
    <tableColumn id="14144" xr3:uid="{E88A8EEB-6F98-42A4-A318-9F69D7D16CB9}" name="14131"/>
    <tableColumn id="14145" xr3:uid="{6C9153EE-CE00-4487-B955-914F41ED67A1}" name="14132"/>
    <tableColumn id="14146" xr3:uid="{79BBEA20-9EA4-48BA-B158-21E8BC064FAA}" name="14133"/>
    <tableColumn id="14147" xr3:uid="{D4007217-A61E-410D-A0C8-8C7E49349D4F}" name="14134"/>
    <tableColumn id="14148" xr3:uid="{FA0BEADC-9F3B-4E87-BA8A-24C9387F6085}" name="14135"/>
    <tableColumn id="14149" xr3:uid="{FD8CAA84-B569-4729-84EE-F2BABFE46795}" name="14136"/>
    <tableColumn id="14150" xr3:uid="{8CDCF3E2-43B1-4ED6-946E-A83191531CCE}" name="14137"/>
    <tableColumn id="14151" xr3:uid="{2063E018-7454-45F0-9A66-D9889FCD6A37}" name="14138"/>
    <tableColumn id="14152" xr3:uid="{81B435AC-0F23-471B-B0E3-B4E9B03040CA}" name="14139"/>
    <tableColumn id="14153" xr3:uid="{048625E8-271B-4591-89CF-583A964116ED}" name="14140"/>
    <tableColumn id="14154" xr3:uid="{9A9EE6E6-B1A4-40F9-B658-D6112CC5F055}" name="14141"/>
    <tableColumn id="14155" xr3:uid="{B7020E27-275D-4D13-8C1A-A94F851ADC2D}" name="14142"/>
    <tableColumn id="14156" xr3:uid="{5ED4B6BB-429E-4CF6-BBD3-558DB3C0DFE8}" name="14143"/>
    <tableColumn id="14157" xr3:uid="{07E596F5-EAC8-48A1-8721-35BD568987E2}" name="14144"/>
    <tableColumn id="14158" xr3:uid="{98EFBF18-AC09-4D34-9119-BAA0DC48B19C}" name="14145"/>
    <tableColumn id="14159" xr3:uid="{AF769830-2873-4341-AE4F-7DDD4A4F53A6}" name="14146"/>
    <tableColumn id="14160" xr3:uid="{8C7E804A-A3C0-4620-83A3-CF4634216D80}" name="14147"/>
    <tableColumn id="14161" xr3:uid="{947DB0B8-23F9-4585-A49B-027FDAEDC26E}" name="14148"/>
    <tableColumn id="14162" xr3:uid="{E5A2C9C8-031E-4531-8A3A-53A847F330F3}" name="14149"/>
    <tableColumn id="14163" xr3:uid="{71788673-A0B1-4D00-B81A-BCE7719C7AEC}" name="14150"/>
    <tableColumn id="14164" xr3:uid="{C78506BD-6688-4559-BDB8-130BE2E89C13}" name="14151"/>
    <tableColumn id="14165" xr3:uid="{406421AE-9E93-493F-A3E0-050D2A892BAA}" name="14152"/>
    <tableColumn id="14166" xr3:uid="{3C086DF0-ED7D-46A9-9BF4-07220FA8EAD7}" name="14153"/>
    <tableColumn id="14167" xr3:uid="{106A12B0-2447-4B7B-98C3-873B3D9C8213}" name="14154"/>
    <tableColumn id="14168" xr3:uid="{83B66269-72DC-4321-95E5-228CC57ED9D3}" name="14155"/>
    <tableColumn id="14169" xr3:uid="{3C0B41B9-0D80-4641-9956-3BD2F88CF764}" name="14156"/>
    <tableColumn id="14170" xr3:uid="{FC07D885-4631-47B1-9FEA-5A5159320F6B}" name="14157"/>
    <tableColumn id="14171" xr3:uid="{A52FE3FB-B5E1-4C85-BD55-E4533AFE9F28}" name="14158"/>
    <tableColumn id="14172" xr3:uid="{189EC42B-E146-4FF6-93FD-48149AB12251}" name="14159"/>
    <tableColumn id="14173" xr3:uid="{1EF8B16D-2B1C-4CD2-AAD1-EBC1071E774F}" name="14160"/>
    <tableColumn id="14174" xr3:uid="{84138B77-9937-4889-BDB2-744D972D02BE}" name="14161"/>
    <tableColumn id="14175" xr3:uid="{7041721A-60D3-407C-9AB2-13755A9D9738}" name="14162"/>
    <tableColumn id="14176" xr3:uid="{C99059F6-341D-49D0-9D19-1D634AC7E5C7}" name="14163"/>
    <tableColumn id="14177" xr3:uid="{DD0AE0FC-12AF-4BB8-8F58-ECE30854689C}" name="14164"/>
    <tableColumn id="14178" xr3:uid="{53728374-6521-418B-A8AE-D73EB7A13039}" name="14165"/>
    <tableColumn id="14179" xr3:uid="{C151E890-D45E-4AAA-ADA4-817C6008EA39}" name="14166"/>
    <tableColumn id="14180" xr3:uid="{A42D2F3F-741C-49B9-9E6D-2F73A605D926}" name="14167"/>
    <tableColumn id="14181" xr3:uid="{716E683B-9E23-4DD7-A2FC-6B05A740FC47}" name="14168"/>
    <tableColumn id="14182" xr3:uid="{31B913BF-4679-4D8B-AECD-1D40AA22DFE2}" name="14169"/>
    <tableColumn id="14183" xr3:uid="{58AA14CB-2EAA-4689-8022-704FE6AEC19E}" name="14170"/>
    <tableColumn id="14184" xr3:uid="{739C5528-6D06-4033-9EF2-6BA4F10CCC63}" name="14171"/>
    <tableColumn id="14185" xr3:uid="{34237335-4254-4B4E-9EFA-E5715779D4A3}" name="14172"/>
    <tableColumn id="14186" xr3:uid="{D8510706-702B-4C24-8820-3670DD3B320A}" name="14173"/>
    <tableColumn id="14187" xr3:uid="{9504D323-B910-4957-8EC7-6BDA17726B1F}" name="14174"/>
    <tableColumn id="14188" xr3:uid="{8134C429-7B46-4F02-B74C-8D8556B641DE}" name="14175"/>
    <tableColumn id="14189" xr3:uid="{44460E00-35B0-4A2F-AB5D-28E4C4A98120}" name="14176"/>
    <tableColumn id="14190" xr3:uid="{8B18804D-6FF8-4946-B89B-2412D8F683EA}" name="14177"/>
    <tableColumn id="14191" xr3:uid="{8805321B-AE26-4811-A0B4-39DD10544BC9}" name="14178"/>
    <tableColumn id="14192" xr3:uid="{CC363274-8337-4A8D-9B54-29AEBE785251}" name="14179"/>
    <tableColumn id="14193" xr3:uid="{0201497B-BCC0-46B8-9C17-594BA64CA4A0}" name="14180"/>
    <tableColumn id="14194" xr3:uid="{8F6E2F06-9100-4867-9F0E-FD57F9A2EF15}" name="14181"/>
    <tableColumn id="14195" xr3:uid="{8EB08D12-A1CF-4B49-BF62-C918FADC4F22}" name="14182"/>
    <tableColumn id="14196" xr3:uid="{34E16699-C084-4277-B409-DD5CA7353AC4}" name="14183"/>
    <tableColumn id="14197" xr3:uid="{3CC9A7C5-45A6-45F5-AA0B-372762AB1B28}" name="14184"/>
    <tableColumn id="14198" xr3:uid="{9CD6D00F-6DE3-455D-A3ED-036768A4198E}" name="14185"/>
    <tableColumn id="14199" xr3:uid="{0557598F-F23F-4519-A394-9150BA90323C}" name="14186"/>
    <tableColumn id="14200" xr3:uid="{A72289F9-E302-4863-A6F8-9EA46382E5E6}" name="14187"/>
    <tableColumn id="14201" xr3:uid="{0CD5920D-631B-4DC9-9988-70E956DD4525}" name="14188"/>
    <tableColumn id="14202" xr3:uid="{AE782F23-437F-495C-97F4-64B75087E923}" name="14189"/>
    <tableColumn id="14203" xr3:uid="{A87DD0B0-1DC0-48A7-A18F-25D7AA642DC5}" name="14190"/>
    <tableColumn id="14204" xr3:uid="{BECACC49-376E-407D-B2FA-55F91B128293}" name="14191"/>
    <tableColumn id="14205" xr3:uid="{8354DF25-E92F-4773-A176-2DD48D9F9D99}" name="14192"/>
    <tableColumn id="14206" xr3:uid="{E980D0F3-87AE-4AB1-BB5A-EAD87D10CD68}" name="14193"/>
    <tableColumn id="14207" xr3:uid="{8845439D-A91C-40EA-82B2-4661CAEAFB1B}" name="14194"/>
    <tableColumn id="14208" xr3:uid="{79145722-6769-4DD9-B744-5840790019D9}" name="14195"/>
    <tableColumn id="14209" xr3:uid="{AF563D9D-C6BF-4E1A-BC57-AA43B474197E}" name="14196"/>
    <tableColumn id="14210" xr3:uid="{DEE738CD-38EB-43A6-898C-C1FDB25564DE}" name="14197"/>
    <tableColumn id="14211" xr3:uid="{41248AAC-1329-4D34-BE2D-39C00973349E}" name="14198"/>
    <tableColumn id="14212" xr3:uid="{F9C5EF67-8048-4E7E-A756-9978738B065C}" name="14199"/>
    <tableColumn id="14213" xr3:uid="{AC117F25-3210-4913-B838-46DEA0C8176E}" name="14200"/>
    <tableColumn id="14214" xr3:uid="{9C8BD3EF-5167-4686-B6F1-45805CA27AE3}" name="14201"/>
    <tableColumn id="14215" xr3:uid="{B1DA8015-0E93-48CE-B494-F7B1B8C81FAB}" name="14202"/>
    <tableColumn id="14216" xr3:uid="{CEEA9040-2E23-4BD0-853D-E55FCC988A4D}" name="14203"/>
    <tableColumn id="14217" xr3:uid="{5CD0598C-1E40-4C5C-8597-494A860726C0}" name="14204"/>
    <tableColumn id="14218" xr3:uid="{DDDF29E4-286E-409C-A824-B6EB8474C2B5}" name="14205"/>
    <tableColumn id="14219" xr3:uid="{34142A65-FA10-4CC2-8C02-3804EFE3ED82}" name="14206"/>
    <tableColumn id="14220" xr3:uid="{90AC2526-739F-419F-9E9E-0A2151EC8AF5}" name="14207"/>
    <tableColumn id="14221" xr3:uid="{4E491ABA-C695-413B-9FED-916BE6026788}" name="14208"/>
    <tableColumn id="14222" xr3:uid="{CE729A0B-B46F-4DD6-AB0D-9F4E8BAC8A9C}" name="14209"/>
    <tableColumn id="14223" xr3:uid="{9AC6FD44-81CA-440D-8ED0-DEB5F4E770F5}" name="14210"/>
    <tableColumn id="14224" xr3:uid="{E6CAE982-D3A2-4BEF-B1F3-86BB11C96005}" name="14211"/>
    <tableColumn id="14225" xr3:uid="{E073B06D-9269-408B-BBFD-8F8AF1A193A7}" name="14212"/>
    <tableColumn id="14226" xr3:uid="{C046674C-9B71-4F57-BA6C-DE7EE6DB1B67}" name="14213"/>
    <tableColumn id="14227" xr3:uid="{1536C905-628D-43BC-B875-1F33A79B34CA}" name="14214"/>
    <tableColumn id="14228" xr3:uid="{0FC131FE-990D-4715-91EB-0B5B851D6405}" name="14215"/>
    <tableColumn id="14229" xr3:uid="{4B24B948-2381-4273-AED7-E984BAC20837}" name="14216"/>
    <tableColumn id="14230" xr3:uid="{A08A3A80-A59C-48B9-9A43-AE585737D8E8}" name="14217"/>
    <tableColumn id="14231" xr3:uid="{E839FAD5-4E0A-4082-998D-37F0D2D619FD}" name="14218"/>
    <tableColumn id="14232" xr3:uid="{24655FA9-C715-4363-9239-B39A8897E122}" name="14219"/>
    <tableColumn id="14233" xr3:uid="{E1A51B29-6D69-4183-B448-0027037320F2}" name="14220"/>
    <tableColumn id="14234" xr3:uid="{D6847DF2-4F18-4BC5-8357-785C12E2F915}" name="14221"/>
    <tableColumn id="14235" xr3:uid="{9D6E65C5-C601-42D1-9D66-9425CE62C40E}" name="14222"/>
    <tableColumn id="14236" xr3:uid="{4805BF6C-CFBA-4AD2-A8AC-E6EDBB72B17F}" name="14223"/>
    <tableColumn id="14237" xr3:uid="{E49AF273-2890-4516-A3E0-EB42A86A3C2E}" name="14224"/>
    <tableColumn id="14238" xr3:uid="{16BD1833-1C0E-4150-88A5-12DFE0EA6CC7}" name="14225"/>
    <tableColumn id="14239" xr3:uid="{DA4618F9-C49D-4EFD-BEA6-A65B6966AE67}" name="14226"/>
    <tableColumn id="14240" xr3:uid="{48C1D72E-1E98-4F08-86D4-F3CFAC1E7610}" name="14227"/>
    <tableColumn id="14241" xr3:uid="{A4C8DEBD-DBA0-47B3-9DA4-71D6D5218939}" name="14228"/>
    <tableColumn id="14242" xr3:uid="{92E3222B-F0A0-4C63-A2F3-8E2726FDD433}" name="14229"/>
    <tableColumn id="14243" xr3:uid="{598B4372-CA46-40B5-942E-8264995164A4}" name="14230"/>
    <tableColumn id="14244" xr3:uid="{FEFAFEBB-795F-44FC-961C-C764A17495E1}" name="14231"/>
    <tableColumn id="14245" xr3:uid="{B906B7C2-4F99-4614-A0BE-4077B22785BD}" name="14232"/>
    <tableColumn id="14246" xr3:uid="{29634D3F-272B-49C8-B456-9705792148AE}" name="14233"/>
    <tableColumn id="14247" xr3:uid="{78FEA8E9-4B62-4DDC-9E84-5E313A760010}" name="14234"/>
    <tableColumn id="14248" xr3:uid="{CE83E04B-4B3B-4F1E-B338-914D3A45590F}" name="14235"/>
    <tableColumn id="14249" xr3:uid="{243DB602-896A-4754-9F24-64E4515E72C5}" name="14236"/>
    <tableColumn id="14250" xr3:uid="{17E6AC7D-169E-4F53-A808-CF4D59A7938A}" name="14237"/>
    <tableColumn id="14251" xr3:uid="{36D5D62B-112D-46B8-AD36-19AD44E354C1}" name="14238"/>
    <tableColumn id="14252" xr3:uid="{3DC62087-553F-4FDF-82D3-18EB95CE2AD9}" name="14239"/>
    <tableColumn id="14253" xr3:uid="{3693B3DB-521D-42F1-AA7B-0BF2253D4921}" name="14240"/>
    <tableColumn id="14254" xr3:uid="{3FB6E4E1-ADDF-45EC-863A-5D9CD00663D7}" name="14241"/>
    <tableColumn id="14255" xr3:uid="{1C9B4D97-089F-494D-BDC7-646AF3C15E06}" name="14242"/>
    <tableColumn id="14256" xr3:uid="{818B6961-DE0A-44B2-90FD-EEF65902DCFC}" name="14243"/>
    <tableColumn id="14257" xr3:uid="{4AF5ABC8-6643-4B84-9A33-9484E2EAE521}" name="14244"/>
    <tableColumn id="14258" xr3:uid="{993DBE0C-5826-464E-945C-86E30E1FD0A0}" name="14245"/>
    <tableColumn id="14259" xr3:uid="{DB682747-0CD7-49E8-BBFD-D61E94C2179B}" name="14246"/>
    <tableColumn id="14260" xr3:uid="{20ACF724-21F4-4FA1-A0C1-A71E926CB555}" name="14247"/>
    <tableColumn id="14261" xr3:uid="{39626E3A-63C9-4987-BF68-C580F0CE613B}" name="14248"/>
    <tableColumn id="14262" xr3:uid="{66015B70-2318-4AEF-9A1F-5EE2591DAC71}" name="14249"/>
    <tableColumn id="14263" xr3:uid="{733F36EE-A7A4-47C2-BE19-C3A79B7CCCD9}" name="14250"/>
    <tableColumn id="14264" xr3:uid="{E570D734-C197-4F23-890A-895938CC08A2}" name="14251"/>
    <tableColumn id="14265" xr3:uid="{A70C0EF9-CE61-4BF1-A8E6-F624CB40F90C}" name="14252"/>
    <tableColumn id="14266" xr3:uid="{AFA9B2D8-98A1-4E0A-8147-8D5661579EE1}" name="14253"/>
    <tableColumn id="14267" xr3:uid="{D1774CB4-D542-4FD8-BADB-4E51DD3EE332}" name="14254"/>
    <tableColumn id="14268" xr3:uid="{518999C4-0139-487D-B768-AD69584B89A3}" name="14255"/>
    <tableColumn id="14269" xr3:uid="{D5FC0439-E191-4289-919E-CB73FE2F0E82}" name="14256"/>
    <tableColumn id="14270" xr3:uid="{2012904B-5BF8-49B2-B1F9-7414745269EC}" name="14257"/>
    <tableColumn id="14271" xr3:uid="{73E85558-CE60-4953-9550-DB09DBDBB592}" name="14258"/>
    <tableColumn id="14272" xr3:uid="{42B3AD46-4465-488E-A96F-F46EEB129B1F}" name="14259"/>
    <tableColumn id="14273" xr3:uid="{FAE1EFA2-4D09-4AEA-83D7-A5BE1096BD18}" name="14260"/>
    <tableColumn id="14274" xr3:uid="{C1C23224-619B-45E4-8086-04EB9C3662A6}" name="14261"/>
    <tableColumn id="14275" xr3:uid="{019CE3A6-833A-4F36-AA0B-CC44BE8CBEEB}" name="14262"/>
    <tableColumn id="14276" xr3:uid="{22A5FEC6-899A-4224-ABC0-8C037978C822}" name="14263"/>
    <tableColumn id="14277" xr3:uid="{C55FB1BE-B6FF-48AF-94AC-D786BE095A95}" name="14264"/>
    <tableColumn id="14278" xr3:uid="{9955CA61-2388-409F-80B0-E18B3D634B5E}" name="14265"/>
    <tableColumn id="14279" xr3:uid="{41489415-19A0-4BA9-918D-AD186BD5451B}" name="14266"/>
    <tableColumn id="14280" xr3:uid="{578AA369-C8D9-4DE9-816A-A05A309247D6}" name="14267"/>
    <tableColumn id="14281" xr3:uid="{B6F82544-BB07-4DD1-8370-2A3780893B26}" name="14268"/>
    <tableColumn id="14282" xr3:uid="{14620143-F0F6-4BF5-A7E4-8CDB1FD18FD4}" name="14269"/>
    <tableColumn id="14283" xr3:uid="{CC6DDFED-403B-4135-9FD3-263CA710F225}" name="14270"/>
    <tableColumn id="14284" xr3:uid="{4A4E8042-892E-4767-878C-6C46A6337E4C}" name="14271"/>
    <tableColumn id="14285" xr3:uid="{D6C92485-597A-4EF7-BF7B-497C7DDB8D75}" name="14272"/>
    <tableColumn id="14286" xr3:uid="{FE6D301B-C8E1-44D9-B8EE-2EBF0ED617EC}" name="14273"/>
    <tableColumn id="14287" xr3:uid="{D26AE01D-ED7C-4CAC-BB05-FACEEC169BFD}" name="14274"/>
    <tableColumn id="14288" xr3:uid="{9CA29099-2357-48BB-A552-357FC96BA05A}" name="14275"/>
    <tableColumn id="14289" xr3:uid="{CD622240-FF56-478E-8065-4D45C89BF233}" name="14276"/>
    <tableColumn id="14290" xr3:uid="{1513B71C-9978-47AA-8E3C-E380581AB819}" name="14277"/>
    <tableColumn id="14291" xr3:uid="{B4184B26-0347-4F3D-B185-BABB5F827392}" name="14278"/>
    <tableColumn id="14292" xr3:uid="{35937A88-A151-4C0D-9B50-F6430F46E971}" name="14279"/>
    <tableColumn id="14293" xr3:uid="{8EA46E36-F74C-46AE-9974-77C62E5DD97E}" name="14280"/>
    <tableColumn id="14294" xr3:uid="{8D65F662-38FE-4993-AEE5-AB9AAE7619E1}" name="14281"/>
    <tableColumn id="14295" xr3:uid="{79292A20-2EA4-406A-9373-CEB18C48612C}" name="14282"/>
    <tableColumn id="14296" xr3:uid="{07C09FFA-8864-4257-A275-91F758F50D87}" name="14283"/>
    <tableColumn id="14297" xr3:uid="{EAEB2201-FDAA-4F52-99DB-07A79306FC3C}" name="14284"/>
    <tableColumn id="14298" xr3:uid="{F2FF8266-456C-4016-B43E-14E2EACF3F65}" name="14285"/>
    <tableColumn id="14299" xr3:uid="{F4A091F7-D3F1-40CB-A293-A3AB4667BA48}" name="14286"/>
    <tableColumn id="14300" xr3:uid="{2F89E289-D93C-4936-BE0D-160D90B888C5}" name="14287"/>
    <tableColumn id="14301" xr3:uid="{38115504-E478-46BB-9188-94A6421DFCE5}" name="14288"/>
    <tableColumn id="14302" xr3:uid="{D157D29D-F10D-4340-8C01-34108A73398C}" name="14289"/>
    <tableColumn id="14303" xr3:uid="{A27DCE41-B7FE-412C-BA3C-A02DBE281C6D}" name="14290"/>
    <tableColumn id="14304" xr3:uid="{D6829A85-A71B-4B45-8B38-74118F056F28}" name="14291"/>
    <tableColumn id="14305" xr3:uid="{7D20CFB9-769F-4327-AB00-02D4AB419443}" name="14292"/>
    <tableColumn id="14306" xr3:uid="{D5003D6E-4889-4BCF-B6B8-BD2866D6E32A}" name="14293"/>
    <tableColumn id="14307" xr3:uid="{33A84828-22B3-41AA-92D1-96083FF54CDA}" name="14294"/>
    <tableColumn id="14308" xr3:uid="{4E8A2581-B154-42B5-B3DE-755C1ED43633}" name="14295"/>
    <tableColumn id="14309" xr3:uid="{5FC337A2-2FB9-4D7F-85B5-9BC751A262F4}" name="14296"/>
    <tableColumn id="14310" xr3:uid="{BD94D64F-29AF-4D1C-87CD-10DF173F1965}" name="14297"/>
    <tableColumn id="14311" xr3:uid="{0BD2E444-2668-42B4-A6D1-F7E37B856074}" name="14298"/>
    <tableColumn id="14312" xr3:uid="{848E7EE7-CFFF-42CB-A022-3A0452138988}" name="14299"/>
    <tableColumn id="14313" xr3:uid="{59396CAD-E210-412A-8085-C6B984388B5A}" name="14300"/>
    <tableColumn id="14314" xr3:uid="{BB8519DE-80B0-4AAB-976F-A4F3171FCEEF}" name="14301"/>
    <tableColumn id="14315" xr3:uid="{5D7E73DC-21C4-4D61-9D74-025EE4B17F3D}" name="14302"/>
    <tableColumn id="14316" xr3:uid="{1A3EBBB0-414E-4E0C-9566-A1B74BCE5160}" name="14303"/>
    <tableColumn id="14317" xr3:uid="{490DB6AC-170E-4D33-A386-880ACFB4B6D4}" name="14304"/>
    <tableColumn id="14318" xr3:uid="{1E8ADD01-73AA-4A98-85C6-2463D10349B5}" name="14305"/>
    <tableColumn id="14319" xr3:uid="{ACB87D33-363C-4CDF-9D6A-CD06A4E128EC}" name="14306"/>
    <tableColumn id="14320" xr3:uid="{F912AC8C-1D7A-4AC0-8F60-6C276AA6C3B6}" name="14307"/>
    <tableColumn id="14321" xr3:uid="{880A39FD-7682-4FDD-9236-115B6BE6136D}" name="14308"/>
    <tableColumn id="14322" xr3:uid="{8182D138-11E7-4368-BE07-9B0C68416019}" name="14309"/>
    <tableColumn id="14323" xr3:uid="{9BBB07E2-1732-415A-B5D8-BDA56BAFCD04}" name="14310"/>
    <tableColumn id="14324" xr3:uid="{47D67E1F-C413-45B8-8D72-F69D28BADFBB}" name="14311"/>
    <tableColumn id="14325" xr3:uid="{1F615593-438F-4E14-85BB-96D3AB0339B1}" name="14312"/>
    <tableColumn id="14326" xr3:uid="{0938AE68-216D-4E56-9C8A-37BFEA3A23C3}" name="14313"/>
    <tableColumn id="14327" xr3:uid="{63F0FE0E-EF03-42D3-9704-A7B89F002DEE}" name="14314"/>
    <tableColumn id="14328" xr3:uid="{D4661A2E-86DE-43E1-95E6-7ADACBCCD059}" name="14315"/>
    <tableColumn id="14329" xr3:uid="{C02E740F-623A-495E-9CCA-B88BA3B5E189}" name="14316"/>
    <tableColumn id="14330" xr3:uid="{F13888CE-2E62-47E6-B748-0C10A0AA9DB7}" name="14317"/>
    <tableColumn id="14331" xr3:uid="{76E0010C-692B-418C-8760-214008A1AAAF}" name="14318"/>
    <tableColumn id="14332" xr3:uid="{D806CF3A-1253-4A7A-A009-444FF01C0E93}" name="14319"/>
    <tableColumn id="14333" xr3:uid="{EB82E84D-1CA8-40A1-95CC-289AE89EDE58}" name="14320"/>
    <tableColumn id="14334" xr3:uid="{171EC947-899F-43EA-ADB2-B8FAF5083377}" name="14321"/>
    <tableColumn id="14335" xr3:uid="{CDDC8B04-4CB2-4A14-A81E-8BBF49915D09}" name="14322"/>
    <tableColumn id="14336" xr3:uid="{7160DB4F-76DB-42F3-870C-82F44CA0AF65}" name="14323"/>
    <tableColumn id="14337" xr3:uid="{09905B01-8357-4080-8690-69CD9D778935}" name="14324"/>
    <tableColumn id="14338" xr3:uid="{C9E3227C-EF1F-470A-9E03-E2F7D6DB0948}" name="14325"/>
    <tableColumn id="14339" xr3:uid="{5DB2E7C7-99A8-40D3-9FD3-76268C636584}" name="14326"/>
    <tableColumn id="14340" xr3:uid="{B740C4E1-500B-4241-BA80-2B6A8661CD4C}" name="14327"/>
    <tableColumn id="14341" xr3:uid="{73993066-540E-4CAA-A423-110EF72332A4}" name="14328"/>
    <tableColumn id="14342" xr3:uid="{0BC6AB91-5662-40C3-BC43-57207FED33D0}" name="14329"/>
    <tableColumn id="14343" xr3:uid="{A7B9D9AD-3FBC-4F31-A9DB-FDE9B3EFCD98}" name="14330"/>
    <tableColumn id="14344" xr3:uid="{A0A4C9D9-B51E-4D7B-8126-1664C347FE8F}" name="14331"/>
    <tableColumn id="14345" xr3:uid="{C412312F-5C7B-4C7C-83F3-C001EA1BD9C7}" name="14332"/>
    <tableColumn id="14346" xr3:uid="{9979F72E-AED7-4967-AED9-7D6030EE7303}" name="14333"/>
    <tableColumn id="14347" xr3:uid="{0C6B498A-94FA-4CB1-887C-4A7C6875411F}" name="14334"/>
    <tableColumn id="14348" xr3:uid="{7C5D6507-5EB8-4B10-B3FB-80F18E2F19AF}" name="14335"/>
    <tableColumn id="14349" xr3:uid="{EC97411F-D375-4023-BDD3-A210E9F18F2E}" name="14336"/>
    <tableColumn id="14350" xr3:uid="{863F2DED-9DA1-4818-8BB7-3DD32B60CD3D}" name="14337"/>
    <tableColumn id="14351" xr3:uid="{07E058E2-E824-416F-B5EB-BD6E1F0551D8}" name="14338"/>
    <tableColumn id="14352" xr3:uid="{5D548386-1541-4493-BE4A-7A80E2EF0FF0}" name="14339"/>
    <tableColumn id="14353" xr3:uid="{3B0C4675-AE8E-45A8-8B3E-0573BB80779C}" name="14340"/>
    <tableColumn id="14354" xr3:uid="{71BFBE6B-863B-4E7A-A522-511DD139A201}" name="14341"/>
    <tableColumn id="14355" xr3:uid="{FCE0AC15-8C49-4154-B943-60918C71D008}" name="14342"/>
    <tableColumn id="14356" xr3:uid="{86B6B58D-2CD0-4F90-BA00-D38427AAE7C9}" name="14343"/>
    <tableColumn id="14357" xr3:uid="{2CA73B59-0CAD-4FB8-AE24-2201F9492F52}" name="14344"/>
    <tableColumn id="14358" xr3:uid="{8A527745-8E82-41E2-A782-9B7986B2388F}" name="14345"/>
    <tableColumn id="14359" xr3:uid="{3FD172C5-5181-43E7-BC36-BEECAE0E705E}" name="14346"/>
    <tableColumn id="14360" xr3:uid="{2E758207-B50F-4980-9F3E-C266ABE81ADD}" name="14347"/>
    <tableColumn id="14361" xr3:uid="{1F418DF0-03F1-45B5-99DA-7252B8E14E69}" name="14348"/>
    <tableColumn id="14362" xr3:uid="{39B3D874-AF44-4BE5-B131-D444EB05E58E}" name="14349"/>
    <tableColumn id="14363" xr3:uid="{4DF00275-A979-4FF4-9597-6546D1CF2058}" name="14350"/>
    <tableColumn id="14364" xr3:uid="{F9565DEF-7AAA-4C1C-84EF-D4181C9B207D}" name="14351"/>
    <tableColumn id="14365" xr3:uid="{61501434-A482-4E82-A4EC-5BBAEAB99965}" name="14352"/>
    <tableColumn id="14366" xr3:uid="{6644010E-E070-48A1-9B0D-FAD449E457D6}" name="14353"/>
    <tableColumn id="14367" xr3:uid="{43B99AC3-CCD8-4E74-AE8E-7BCBCEA7179E}" name="14354"/>
    <tableColumn id="14368" xr3:uid="{758D326F-7BEC-464D-84BE-C8C236EA0516}" name="14355"/>
    <tableColumn id="14369" xr3:uid="{08442BED-203F-43CC-A0A2-C4EF0E9AD858}" name="14356"/>
    <tableColumn id="14370" xr3:uid="{F89BB883-E3E4-4671-82C7-2A611F40CA72}" name="14357"/>
    <tableColumn id="14371" xr3:uid="{ED328CCF-1ED2-47E1-8C31-B366D2529894}" name="14358"/>
    <tableColumn id="14372" xr3:uid="{1466175F-BFE7-421A-A717-5F034DE59CD4}" name="14359"/>
    <tableColumn id="14373" xr3:uid="{F7A5A382-E988-4C9E-8B59-03ABD745E369}" name="14360"/>
    <tableColumn id="14374" xr3:uid="{307F5280-12AE-40BA-82EA-B633B13C6DA0}" name="14361"/>
    <tableColumn id="14375" xr3:uid="{F8A00001-E844-4564-A919-9409065E4D46}" name="14362"/>
    <tableColumn id="14376" xr3:uid="{349A5940-DB56-4F3F-852F-10681F5CA531}" name="14363"/>
    <tableColumn id="14377" xr3:uid="{E0BDDC31-AA53-4F64-9EED-1EE9F1CD7270}" name="14364"/>
    <tableColumn id="14378" xr3:uid="{E0CD60F5-4A80-4E6D-8F68-656CE20B7ABD}" name="14365"/>
    <tableColumn id="14379" xr3:uid="{8887597B-71C0-4920-BB61-59A43B3769A5}" name="14366"/>
    <tableColumn id="14380" xr3:uid="{506AD775-436C-42C9-9F70-4BD01B664667}" name="14367"/>
    <tableColumn id="14381" xr3:uid="{03E5C37A-A1CB-49DA-AEE6-17F111569480}" name="14368"/>
    <tableColumn id="14382" xr3:uid="{775F6430-9FA0-4E2A-8E6F-FEC7DB72FC13}" name="14369"/>
    <tableColumn id="14383" xr3:uid="{2777A4BD-3F3E-46AC-9C20-47F934D49A7D}" name="14370"/>
    <tableColumn id="14384" xr3:uid="{61EE2802-83A0-4752-B12F-0A2DCF230825}" name="14371"/>
    <tableColumn id="14385" xr3:uid="{7924A579-EF96-40EC-9E0C-5DF3832E861E}" name="14372"/>
    <tableColumn id="14386" xr3:uid="{D7E63B1E-92CD-4BFA-B706-4C3A0AC1F284}" name="14373"/>
    <tableColumn id="14387" xr3:uid="{0D9FDBC1-F247-4D6A-BCF9-9A1E806C6799}" name="14374"/>
    <tableColumn id="14388" xr3:uid="{710BE16F-2CB2-4024-A852-A1CC420B7EB3}" name="14375"/>
    <tableColumn id="14389" xr3:uid="{3FF3F862-A5A5-4245-9402-9514E335A351}" name="14376"/>
    <tableColumn id="14390" xr3:uid="{E0AFC050-ABA2-4497-9E1E-2A314C0D8ECC}" name="14377"/>
    <tableColumn id="14391" xr3:uid="{138D08E5-5D7D-4A97-B1DB-2B9651B4BA26}" name="14378"/>
    <tableColumn id="14392" xr3:uid="{E94A5B83-D7F9-46AE-8690-873B554591B7}" name="14379"/>
    <tableColumn id="14393" xr3:uid="{56FE45B4-A524-42F3-9ECB-1ED3028777FE}" name="14380"/>
    <tableColumn id="14394" xr3:uid="{D0D6BF15-25EF-48E8-BDDE-1C380AE14150}" name="14381"/>
    <tableColumn id="14395" xr3:uid="{1A4901F0-D03C-4DEB-9382-2C040BD4CA20}" name="14382"/>
    <tableColumn id="14396" xr3:uid="{CD7A2E01-8840-482C-98EA-6FDE1957E312}" name="14383"/>
    <tableColumn id="14397" xr3:uid="{7471F4CB-9E07-4101-99AC-14B41E95098C}" name="14384"/>
    <tableColumn id="14398" xr3:uid="{508EB851-14D7-4D91-B654-F52326E4D484}" name="14385"/>
    <tableColumn id="14399" xr3:uid="{A4B6CA6E-C158-47E4-AB28-CE9705870C37}" name="14386"/>
    <tableColumn id="14400" xr3:uid="{93BCD03B-0059-4A2A-89F8-BCA419CF0314}" name="14387"/>
    <tableColumn id="14401" xr3:uid="{3AAB1312-B0AD-4F08-B18F-5739BBF5754F}" name="14388"/>
    <tableColumn id="14402" xr3:uid="{C7AB71F3-BBAD-4718-997D-BBBE7C739912}" name="14389"/>
    <tableColumn id="14403" xr3:uid="{D5E6C0E5-0656-49F5-A92E-2AA3BE19B976}" name="14390"/>
    <tableColumn id="14404" xr3:uid="{218EA465-D524-4D40-9389-0CD832D8329C}" name="14391"/>
    <tableColumn id="14405" xr3:uid="{51FD2E64-EC08-4364-B4A2-98CBB9A7973D}" name="14392"/>
    <tableColumn id="14406" xr3:uid="{5096D8DC-4456-4475-8CAC-DBC2DD1002D9}" name="14393"/>
    <tableColumn id="14407" xr3:uid="{F63E0630-1021-4028-BF05-CF0009962BC7}" name="14394"/>
    <tableColumn id="14408" xr3:uid="{4DA1CC6C-0166-4A9A-820D-A80D17C8BEFE}" name="14395"/>
    <tableColumn id="14409" xr3:uid="{C29342B9-C7E1-43F5-B361-210E5A6CD6CD}" name="14396"/>
    <tableColumn id="14410" xr3:uid="{3233D697-DCA6-491B-82AB-B55296CB649B}" name="14397"/>
    <tableColumn id="14411" xr3:uid="{F8220F20-5F5B-4893-ADE6-2063D10AF5C5}" name="14398"/>
    <tableColumn id="14412" xr3:uid="{3C0B24C3-F671-45AC-B8F3-BE030A206ECC}" name="14399"/>
    <tableColumn id="14413" xr3:uid="{F872C3CE-0A77-498F-B148-E42327DC2E3F}" name="14400"/>
    <tableColumn id="14414" xr3:uid="{BB2E91F4-8F5B-4873-B96A-890890120213}" name="14401"/>
    <tableColumn id="14415" xr3:uid="{0D3E4438-8808-480B-AFE0-FD24C6815F67}" name="14402"/>
    <tableColumn id="14416" xr3:uid="{A658BF2A-4A5D-47DB-B8EC-36FFA561AA2B}" name="14403"/>
    <tableColumn id="14417" xr3:uid="{2D4E1826-14B9-40F8-8FEE-299010F92233}" name="14404"/>
    <tableColumn id="14418" xr3:uid="{73A9B833-27D9-4ADC-87D7-C2CEACA0B054}" name="14405"/>
    <tableColumn id="14419" xr3:uid="{E5B997DA-5964-40D0-8D74-8CCFC4055AB9}" name="14406"/>
    <tableColumn id="14420" xr3:uid="{4B8E253B-1CC2-49ED-A4FE-C468B8A2CDE1}" name="14407"/>
    <tableColumn id="14421" xr3:uid="{B3741717-AD98-476B-8DDD-891A2A755F3D}" name="14408"/>
    <tableColumn id="14422" xr3:uid="{A62968B6-CE24-4A29-8CE2-54BD26D7E283}" name="14409"/>
    <tableColumn id="14423" xr3:uid="{A714D7AE-5F6F-4752-8C77-44264DCD0C35}" name="14410"/>
    <tableColumn id="14424" xr3:uid="{7EB149E9-F0F8-4623-8A6F-DE6157DBAA48}" name="14411"/>
    <tableColumn id="14425" xr3:uid="{F333D38F-3A70-42AD-B45F-493705273BE2}" name="14412"/>
    <tableColumn id="14426" xr3:uid="{F3AA5FF1-74B4-4E7B-B96C-EEDCC4B6753A}" name="14413"/>
    <tableColumn id="14427" xr3:uid="{50AB8F59-4760-46C6-80F6-B7B222298C8C}" name="14414"/>
    <tableColumn id="14428" xr3:uid="{596DA681-D0FF-414E-A825-17D0EDDDA173}" name="14415"/>
    <tableColumn id="14429" xr3:uid="{EB33ED24-CF94-480B-85FC-0B99FB2DC0AD}" name="14416"/>
    <tableColumn id="14430" xr3:uid="{4F008D7D-E20A-4A3C-B080-84DF0133AEAB}" name="14417"/>
    <tableColumn id="14431" xr3:uid="{C3EFA5E6-0234-4CED-AAFE-740B6ED37A6E}" name="14418"/>
    <tableColumn id="14432" xr3:uid="{AEAE0A6C-52C7-4740-88CF-1E31C1DC0715}" name="14419"/>
    <tableColumn id="14433" xr3:uid="{714A2960-9941-4D96-91C2-42128FEBD9CE}" name="14420"/>
    <tableColumn id="14434" xr3:uid="{8A6F6EA7-B37D-4907-8FC1-8CFD8E5F1AAD}" name="14421"/>
    <tableColumn id="14435" xr3:uid="{C52CBDCB-8010-43E5-9068-8D11424FCB75}" name="14422"/>
    <tableColumn id="14436" xr3:uid="{09FD3B90-D123-48E8-888A-B6BACBBB5C3E}" name="14423"/>
    <tableColumn id="14437" xr3:uid="{58F1AFFB-CDD5-4941-9958-C4BEE53B80EF}" name="14424"/>
    <tableColumn id="14438" xr3:uid="{05441CF0-E9E6-41C8-B896-F541BFAE2A70}" name="14425"/>
    <tableColumn id="14439" xr3:uid="{2A7B0570-8BD5-4C77-9B69-6C8EC2A47EE3}" name="14426"/>
    <tableColumn id="14440" xr3:uid="{1E541239-3C0E-40B2-AFF8-7833DDD272E3}" name="14427"/>
    <tableColumn id="14441" xr3:uid="{53E7FA65-261E-4C98-8EBC-8422378E1107}" name="14428"/>
    <tableColumn id="14442" xr3:uid="{CB4B684B-C7D5-47B1-9A76-D0033AB44545}" name="14429"/>
    <tableColumn id="14443" xr3:uid="{39BC8F04-C402-4CAD-99A7-73CFB296BA53}" name="14430"/>
    <tableColumn id="14444" xr3:uid="{A137D60F-6905-4DA9-B606-FB2D93997436}" name="14431"/>
    <tableColumn id="14445" xr3:uid="{6EE251FE-C720-4C53-B331-B08E3B6751CA}" name="14432"/>
    <tableColumn id="14446" xr3:uid="{904A6E29-50DA-4AAD-9BE3-2DF56E5F988E}" name="14433"/>
    <tableColumn id="14447" xr3:uid="{6FC79B1C-967E-4176-8E67-52332D321D83}" name="14434"/>
    <tableColumn id="14448" xr3:uid="{BC84D206-F9B1-48BE-AABF-507F80F6930F}" name="14435"/>
    <tableColumn id="14449" xr3:uid="{5225D7E0-4030-44B5-B379-07DA40512B2F}" name="14436"/>
    <tableColumn id="14450" xr3:uid="{3CE75806-B49B-46AD-95AC-0E5E2799E933}" name="14437"/>
    <tableColumn id="14451" xr3:uid="{E3BB9F50-5381-421D-8FF6-3DEA51DC71D9}" name="14438"/>
    <tableColumn id="14452" xr3:uid="{DBE6C204-E453-480B-A453-0E52159A02E7}" name="14439"/>
    <tableColumn id="14453" xr3:uid="{6BAA08FC-E793-4AF8-A792-4D76D5F00F72}" name="14440"/>
    <tableColumn id="14454" xr3:uid="{4916C348-0944-4C3A-9660-F0A11F5CE6B7}" name="14441"/>
    <tableColumn id="14455" xr3:uid="{9B6485F9-92A6-41C0-83CC-C8B5AC15EC56}" name="14442"/>
    <tableColumn id="14456" xr3:uid="{3B78F6D3-F0D2-454A-87DE-5D995F45F3EF}" name="14443"/>
    <tableColumn id="14457" xr3:uid="{6178049B-0550-4090-A7AC-0662957D90E1}" name="14444"/>
    <tableColumn id="14458" xr3:uid="{53F24DCD-9974-4C90-9194-1A21543A6461}" name="14445"/>
    <tableColumn id="14459" xr3:uid="{E1417446-A055-4726-B4B0-C084DCFCEA51}" name="14446"/>
    <tableColumn id="14460" xr3:uid="{E1394A9C-365E-4108-88A8-AE524DA1C177}" name="14447"/>
    <tableColumn id="14461" xr3:uid="{6F8F8DF6-A602-4100-99FC-9BEE3750128C}" name="14448"/>
    <tableColumn id="14462" xr3:uid="{4D04AB09-40AA-4B2E-9768-FAE4E12F3E93}" name="14449"/>
    <tableColumn id="14463" xr3:uid="{04423557-E8B8-4D01-986A-2E839DAFA008}" name="14450"/>
    <tableColumn id="14464" xr3:uid="{ED0190F0-41DD-4166-ADFA-12835AD590DD}" name="14451"/>
    <tableColumn id="14465" xr3:uid="{2397701A-E189-4377-BBAF-329B0CF76823}" name="14452"/>
    <tableColumn id="14466" xr3:uid="{DC191D17-C4FD-4370-AC7B-5B0EFD357A34}" name="14453"/>
    <tableColumn id="14467" xr3:uid="{DEC83C5D-A202-4C75-AAB4-623DEE138AD8}" name="14454"/>
    <tableColumn id="14468" xr3:uid="{2D2BC361-1355-46EC-BE7D-B0FA10F9467C}" name="14455"/>
    <tableColumn id="14469" xr3:uid="{80BCCF20-1711-4BA6-8527-7F72481061AB}" name="14456"/>
    <tableColumn id="14470" xr3:uid="{5F94B052-014E-4D63-AA98-D19177B35AEB}" name="14457"/>
    <tableColumn id="14471" xr3:uid="{02C77A0D-B8CD-4C34-8608-F25A1DD83188}" name="14458"/>
    <tableColumn id="14472" xr3:uid="{D8382107-B13F-4957-8AD7-1ABCCFED5455}" name="14459"/>
    <tableColumn id="14473" xr3:uid="{A004B61C-1287-44D6-89B5-E9C9C4CF3CDF}" name="14460"/>
    <tableColumn id="14474" xr3:uid="{B3543F30-4C40-4174-AB08-D87147E8F92F}" name="14461"/>
    <tableColumn id="14475" xr3:uid="{ACC8AAF4-9395-4243-9126-DA5866CFE8AB}" name="14462"/>
    <tableColumn id="14476" xr3:uid="{B2B9AFCE-F03B-4D4C-8F9A-04E9F0C3143A}" name="14463"/>
    <tableColumn id="14477" xr3:uid="{57A851D8-2D97-47DF-89B2-184C9337459A}" name="14464"/>
    <tableColumn id="14478" xr3:uid="{08E7165F-0C82-4463-B864-E00BC0D2796F}" name="14465"/>
    <tableColumn id="14479" xr3:uid="{311DCEDC-2476-4CE9-BBB3-41B7C363E79C}" name="14466"/>
    <tableColumn id="14480" xr3:uid="{FF4C722A-B315-4F49-AF6F-18AA616299C5}" name="14467"/>
    <tableColumn id="14481" xr3:uid="{56FDD96A-5A8F-4A27-ABD0-FC9F2C7EDA9B}" name="14468"/>
    <tableColumn id="14482" xr3:uid="{EBB7D2A3-A1A5-4264-8368-FD931C067150}" name="14469"/>
    <tableColumn id="14483" xr3:uid="{3D761CA1-A258-409F-B188-25197D8F6D76}" name="14470"/>
    <tableColumn id="14484" xr3:uid="{FCA718BB-4B05-41E5-B46C-D89B7088B4D9}" name="14471"/>
    <tableColumn id="14485" xr3:uid="{ED516272-D829-4BD7-8CC9-C2C2500BBA58}" name="14472"/>
    <tableColumn id="14486" xr3:uid="{2F3D1A43-78E2-48BB-86F1-A0308321B168}" name="14473"/>
    <tableColumn id="14487" xr3:uid="{FA4D604E-AD96-4ABC-850A-1058ECF18649}" name="14474"/>
    <tableColumn id="14488" xr3:uid="{A455C7BB-5A35-40ED-828F-072C59D5C9DB}" name="14475"/>
    <tableColumn id="14489" xr3:uid="{3812B401-034E-4904-AAEA-E1D8628D31E7}" name="14476"/>
    <tableColumn id="14490" xr3:uid="{BCE70DF1-51FC-4B81-9713-71207303F9AD}" name="14477"/>
    <tableColumn id="14491" xr3:uid="{E3D6C3D4-32E2-4C20-B3AE-EBEF72FACCC6}" name="14478"/>
    <tableColumn id="14492" xr3:uid="{27096D04-3E7C-4358-9000-09461FA0E359}" name="14479"/>
    <tableColumn id="14493" xr3:uid="{1CA8C08A-311B-42C3-B8DF-8E85E7D9FB16}" name="14480"/>
    <tableColumn id="14494" xr3:uid="{022A3242-2DFB-4488-ACD9-2538852D56BF}" name="14481"/>
    <tableColumn id="14495" xr3:uid="{D44A0D05-FDFF-412B-BE1C-E84335E6E3A3}" name="14482"/>
    <tableColumn id="14496" xr3:uid="{097FBC73-8368-48C5-92BA-0EC512842B05}" name="14483"/>
    <tableColumn id="14497" xr3:uid="{9D91FFC2-304A-4816-A5A4-9F129B07EA4F}" name="14484"/>
    <tableColumn id="14498" xr3:uid="{2852E33D-AD74-461C-BEE4-14A350B1E4B3}" name="14485"/>
    <tableColumn id="14499" xr3:uid="{482FD3FB-B150-4211-BDF7-77068A2604DC}" name="14486"/>
    <tableColumn id="14500" xr3:uid="{808B9E12-33B1-406F-B525-4DEF008B9DE5}" name="14487"/>
    <tableColumn id="14501" xr3:uid="{106EA3F4-E42A-420D-8869-5A827361E08E}" name="14488"/>
    <tableColumn id="14502" xr3:uid="{2D203617-A4A0-4EFF-B3B0-372BE625DEE8}" name="14489"/>
    <tableColumn id="14503" xr3:uid="{60A663ED-1AD2-49A9-B5BA-203EB6ED1B51}" name="14490"/>
    <tableColumn id="14504" xr3:uid="{F6FB3F21-0ACA-46D7-BCE2-2BE7FF979DBC}" name="14491"/>
    <tableColumn id="14505" xr3:uid="{33A7E8F8-A761-4E15-9CC9-609961E4136D}" name="14492"/>
    <tableColumn id="14506" xr3:uid="{BC5DC814-EC93-43B9-9CA3-07F3C895A089}" name="14493"/>
    <tableColumn id="14507" xr3:uid="{CA2FDFB8-1998-4296-935C-3C2C0C7D8A0F}" name="14494"/>
    <tableColumn id="14508" xr3:uid="{C60FF288-8362-4D0D-888D-5B956F655FF0}" name="14495"/>
    <tableColumn id="14509" xr3:uid="{49D7BD6A-69EE-4963-BE8C-B5E75DF78B30}" name="14496"/>
    <tableColumn id="14510" xr3:uid="{7D22C83D-9827-4897-8424-BCF49D38B597}" name="14497"/>
    <tableColumn id="14511" xr3:uid="{F6580788-D25C-484E-A881-858A2B77DC6D}" name="14498"/>
    <tableColumn id="14512" xr3:uid="{AA3DE8A0-A164-483D-B216-6AE6E4A2D090}" name="14499"/>
    <tableColumn id="14513" xr3:uid="{69BC3DB1-D58A-47FB-832B-11CB7F605214}" name="14500"/>
    <tableColumn id="14514" xr3:uid="{E712803D-959E-4113-AEE6-250EA262AD71}" name="14501"/>
    <tableColumn id="14515" xr3:uid="{207302E8-DEEA-4302-8260-C296E3D15CDD}" name="14502"/>
    <tableColumn id="14516" xr3:uid="{CBC843B1-DA5E-4A10-B579-34BCE7E9D73D}" name="14503"/>
    <tableColumn id="14517" xr3:uid="{7E41C3A0-6317-4298-A899-B183A82570CE}" name="14504"/>
    <tableColumn id="14518" xr3:uid="{B25C4032-9020-48E5-BB6B-D65FAE5743A1}" name="14505"/>
    <tableColumn id="14519" xr3:uid="{4F85B02E-07DA-460C-95CB-0DCE12162D6A}" name="14506"/>
    <tableColumn id="14520" xr3:uid="{A888CC50-20B9-472B-821D-7BB1C5829A8F}" name="14507"/>
    <tableColumn id="14521" xr3:uid="{67D13424-82B7-4918-A722-9FF46BEBDA88}" name="14508"/>
    <tableColumn id="14522" xr3:uid="{0208F99F-7F16-4EEC-904A-1683E7B8AB81}" name="14509"/>
    <tableColumn id="14523" xr3:uid="{B2493673-A468-4733-B953-BDC0AE0AFC46}" name="14510"/>
    <tableColumn id="14524" xr3:uid="{4534CB63-4FED-48F9-9A9C-E5AF028CD617}" name="14511"/>
    <tableColumn id="14525" xr3:uid="{2FC708B0-D164-4F20-80E6-9D2B0DE9EC85}" name="14512"/>
    <tableColumn id="14526" xr3:uid="{3203F152-CC2D-459D-ABBE-7E3FD36DC33D}" name="14513"/>
    <tableColumn id="14527" xr3:uid="{774AC605-7027-4BC4-BAD8-5DD3AA4A3B0E}" name="14514"/>
    <tableColumn id="14528" xr3:uid="{1A9FBD20-7A1E-485C-B483-0DB8113A886D}" name="14515"/>
    <tableColumn id="14529" xr3:uid="{AC90B8C2-4953-44E5-8A6B-CF6F94C3A1D7}" name="14516"/>
    <tableColumn id="14530" xr3:uid="{37483FD9-F4E6-4B12-A919-25BAEC54602F}" name="14517"/>
    <tableColumn id="14531" xr3:uid="{EA03231F-A507-4799-A947-55A92A995647}" name="14518"/>
    <tableColumn id="14532" xr3:uid="{AE6F9F0C-481E-4394-81A4-AC8FEB1932B2}" name="14519"/>
    <tableColumn id="14533" xr3:uid="{9B895234-6A9B-45A3-845D-FE94A8D0B656}" name="14520"/>
    <tableColumn id="14534" xr3:uid="{DBA44FDD-74DE-4EAB-B691-CBB488550F4C}" name="14521"/>
    <tableColumn id="14535" xr3:uid="{20E768D9-8F8B-4B79-A4E0-02E5A68E7F6B}" name="14522"/>
    <tableColumn id="14536" xr3:uid="{33F6706B-8828-432E-958E-FE031DF4018A}" name="14523"/>
    <tableColumn id="14537" xr3:uid="{A5F1823A-9B4B-47DA-8B63-F9B1743F7456}" name="14524"/>
    <tableColumn id="14538" xr3:uid="{B4A95F2A-DAEF-4679-90AD-CDC4649F1D38}" name="14525"/>
    <tableColumn id="14539" xr3:uid="{DEA09FD2-D29C-4215-B82F-727E707B8E0C}" name="14526"/>
    <tableColumn id="14540" xr3:uid="{B5747781-1B47-4540-9950-A0130F9B4CFA}" name="14527"/>
    <tableColumn id="14541" xr3:uid="{9EF58270-BD4B-4346-B3C2-AA3ED6AEF236}" name="14528"/>
    <tableColumn id="14542" xr3:uid="{104CBE62-B3CC-4708-83E2-E8FA911981BD}" name="14529"/>
    <tableColumn id="14543" xr3:uid="{D4AF1084-74D1-4F6A-B4F2-414E39E152B7}" name="14530"/>
    <tableColumn id="14544" xr3:uid="{385242F3-DFFC-4C4F-962D-A2B7BDC7B701}" name="14531"/>
    <tableColumn id="14545" xr3:uid="{8494E15C-F17F-4E0C-8598-7A7221881B3F}" name="14532"/>
    <tableColumn id="14546" xr3:uid="{62B8A740-169A-4361-BD30-97C025C287D3}" name="14533"/>
    <tableColumn id="14547" xr3:uid="{B8C99740-6E49-43DA-B8F2-420990F5DA6E}" name="14534"/>
    <tableColumn id="14548" xr3:uid="{534FAD8D-8A42-4192-A001-29994082B06D}" name="14535"/>
    <tableColumn id="14549" xr3:uid="{821121CF-B7D5-487E-AD44-DA58946AF1DB}" name="14536"/>
    <tableColumn id="14550" xr3:uid="{5608EE6A-11E4-4BF3-B9BF-3DCC9992753A}" name="14537"/>
    <tableColumn id="14551" xr3:uid="{EE55E3CC-EF7A-4A78-ADA8-BC1267413186}" name="14538"/>
    <tableColumn id="14552" xr3:uid="{15722973-0D42-4209-8E19-041BCF44A320}" name="14539"/>
    <tableColumn id="14553" xr3:uid="{044CF30B-192D-44E2-8FBC-4CCCE717615E}" name="14540"/>
    <tableColumn id="14554" xr3:uid="{77EE07B6-5129-4095-8A8E-9DE4BAF5D550}" name="14541"/>
    <tableColumn id="14555" xr3:uid="{F0DCFFD0-C0BB-4FF3-B175-7557FCA38309}" name="14542"/>
    <tableColumn id="14556" xr3:uid="{1A64A579-0E0E-4B9D-AF53-F67C50832B49}" name="14543"/>
    <tableColumn id="14557" xr3:uid="{69D1BF88-73CA-4E44-BC3C-1691DC52D42F}" name="14544"/>
    <tableColumn id="14558" xr3:uid="{99A0418A-017B-467D-9DB5-870079E1C111}" name="14545"/>
    <tableColumn id="14559" xr3:uid="{9B04FE6C-925D-43D1-AE7C-52137A062B22}" name="14546"/>
    <tableColumn id="14560" xr3:uid="{B8C374A4-7204-48EF-971B-243C2A04FCE4}" name="14547"/>
    <tableColumn id="14561" xr3:uid="{92F88C75-3519-4B87-960D-97E9A1FA69A5}" name="14548"/>
    <tableColumn id="14562" xr3:uid="{7841E98D-B85C-4391-916B-DC6229795D9B}" name="14549"/>
    <tableColumn id="14563" xr3:uid="{13E1DBE4-24F3-43E5-918D-CFBD959F3388}" name="14550"/>
    <tableColumn id="14564" xr3:uid="{F7288649-458C-4F0E-9E64-51C98CD20A2E}" name="14551"/>
    <tableColumn id="14565" xr3:uid="{8FE323B8-FCF1-403E-A080-041714526093}" name="14552"/>
    <tableColumn id="14566" xr3:uid="{96A865B0-2AE1-4014-9112-3CE27DBC170E}" name="14553"/>
    <tableColumn id="14567" xr3:uid="{7158450A-4165-4819-A993-CD0710DFA2E7}" name="14554"/>
    <tableColumn id="14568" xr3:uid="{C200B5D9-BA14-4AE2-A6F7-A86AA26AF282}" name="14555"/>
    <tableColumn id="14569" xr3:uid="{361F2C66-438E-4CFA-9B32-862A09046126}" name="14556"/>
    <tableColumn id="14570" xr3:uid="{FF294D6D-264D-4E7C-B3F5-8ACCC558A84F}" name="14557"/>
    <tableColumn id="14571" xr3:uid="{4ED7FFAF-4455-4D65-974E-037B30199A90}" name="14558"/>
    <tableColumn id="14572" xr3:uid="{4D1DC5FF-4CDF-476A-8FE3-5409357CA21D}" name="14559"/>
    <tableColumn id="14573" xr3:uid="{685A641F-C8E5-4AF3-ADAD-E0658A7B77A8}" name="14560"/>
    <tableColumn id="14574" xr3:uid="{3879958A-BA94-4FEE-BD65-AC61B2B471F9}" name="14561"/>
    <tableColumn id="14575" xr3:uid="{D34C7A0A-2F8B-4B93-B4C7-8D3ED512BAD5}" name="14562"/>
    <tableColumn id="14576" xr3:uid="{6C67BA9C-546B-4D1E-AC6D-BAF4A92108D0}" name="14563"/>
    <tableColumn id="14577" xr3:uid="{4E1F32BB-2EF2-4611-A3A2-BE10C3E29ACC}" name="14564"/>
    <tableColumn id="14578" xr3:uid="{51164800-5022-456A-9A22-3AD55286F8F3}" name="14565"/>
    <tableColumn id="14579" xr3:uid="{AA36C386-2E0D-456E-9941-32232B7AF7BC}" name="14566"/>
    <tableColumn id="14580" xr3:uid="{F22C47C3-B35E-4B8E-8F75-510AD552BB89}" name="14567"/>
    <tableColumn id="14581" xr3:uid="{D060D833-0CAB-4E75-B806-B97679FE39BE}" name="14568"/>
    <tableColumn id="14582" xr3:uid="{96E75FBD-EF25-4666-9C0D-7D55BE9E2365}" name="14569"/>
    <tableColumn id="14583" xr3:uid="{D6FE9F13-295F-4984-A373-2D7D9E84C565}" name="14570"/>
    <tableColumn id="14584" xr3:uid="{3DA12509-6E82-43D6-A7D4-4F2996052C75}" name="14571"/>
    <tableColumn id="14585" xr3:uid="{834ADAB8-08C8-44DD-8122-B4CCB98B8A33}" name="14572"/>
    <tableColumn id="14586" xr3:uid="{2EC81DEB-69A8-4E2F-BD94-CB5761292A28}" name="14573"/>
    <tableColumn id="14587" xr3:uid="{8C584916-1179-480E-B3E2-39602932582E}" name="14574"/>
    <tableColumn id="14588" xr3:uid="{D6DC5A51-0EB1-46D7-A555-9749FA5C20A0}" name="14575"/>
    <tableColumn id="14589" xr3:uid="{C7A4913D-6E80-477C-9618-DE7A6CD1C6E2}" name="14576"/>
    <tableColumn id="14590" xr3:uid="{37415C49-64F9-43DB-BC5C-436E243AC4AC}" name="14577"/>
    <tableColumn id="14591" xr3:uid="{A60F9540-64A2-44A0-B53D-C3D2F2DD9718}" name="14578"/>
    <tableColumn id="14592" xr3:uid="{0C15CD49-FADE-4A77-B028-B4DB719F1EB7}" name="14579"/>
    <tableColumn id="14593" xr3:uid="{BC8DB8FA-9F79-4C16-8F15-3ED377CD33DF}" name="14580"/>
    <tableColumn id="14594" xr3:uid="{BC213EE4-CC0B-4E9D-894E-C7072B8B6693}" name="14581"/>
    <tableColumn id="14595" xr3:uid="{DDA5509E-C879-4145-A2A1-CBE0842D2CCC}" name="14582"/>
    <tableColumn id="14596" xr3:uid="{4926B01F-276D-4CD5-9218-29ED3AC0F77C}" name="14583"/>
    <tableColumn id="14597" xr3:uid="{2A6E4DC8-CC39-4EF8-B7CF-A21DD34B0F73}" name="14584"/>
    <tableColumn id="14598" xr3:uid="{8EF60C97-D524-4EA6-A276-DF54AE61E958}" name="14585"/>
    <tableColumn id="14599" xr3:uid="{E0E6A65E-3D7F-4583-83B9-ACD6CCBA3A01}" name="14586"/>
    <tableColumn id="14600" xr3:uid="{418706D6-46A1-47BC-BD3D-BEDDC2EFC6CF}" name="14587"/>
    <tableColumn id="14601" xr3:uid="{F2367305-2C06-4709-886F-0BE200E111E8}" name="14588"/>
    <tableColumn id="14602" xr3:uid="{207E78F8-787A-40D9-B152-EF458CE605C8}" name="14589"/>
    <tableColumn id="14603" xr3:uid="{A194E954-537A-4B52-956F-276F1EE04BC9}" name="14590"/>
    <tableColumn id="14604" xr3:uid="{FEDE44AD-9D54-4E35-88B7-186D3FFFE5A9}" name="14591"/>
    <tableColumn id="14605" xr3:uid="{17E339F7-72C6-41BE-97AC-006789A6F9F0}" name="14592"/>
    <tableColumn id="14606" xr3:uid="{4C0D6C9B-FAC8-4D0D-92BA-6AD2584C782E}" name="14593"/>
    <tableColumn id="14607" xr3:uid="{235B9DE9-9F4A-4756-8DBC-4E7B57CCA798}" name="14594"/>
    <tableColumn id="14608" xr3:uid="{ACB0DC50-DE37-4706-A8BB-3E86313CBAB7}" name="14595"/>
    <tableColumn id="14609" xr3:uid="{B0A95F99-2AE5-46E9-B9B5-A1731077F0B2}" name="14596"/>
    <tableColumn id="14610" xr3:uid="{5CA2AE58-5F6A-4324-9608-F5180FFFB3B6}" name="14597"/>
    <tableColumn id="14611" xr3:uid="{9AB5A773-5849-4D73-818E-47F17B350925}" name="14598"/>
    <tableColumn id="14612" xr3:uid="{5ED1D1D4-4B4E-4E12-AC23-E469849D31FD}" name="14599"/>
    <tableColumn id="14613" xr3:uid="{AD91A8A6-D648-420C-AE2F-55748385674C}" name="14600"/>
    <tableColumn id="14614" xr3:uid="{8ED4DFF9-C6CF-4BF3-924C-D81A43F007CF}" name="14601"/>
    <tableColumn id="14615" xr3:uid="{FD13B4EE-50CA-444B-862B-7A793A0720E3}" name="14602"/>
    <tableColumn id="14616" xr3:uid="{81522372-41A0-4CAE-9403-0E115C528791}" name="14603"/>
    <tableColumn id="14617" xr3:uid="{14EF427F-93E1-4527-92BB-E18876445656}" name="14604"/>
    <tableColumn id="14618" xr3:uid="{B12C044F-B46D-474C-B82B-327CC08685BD}" name="14605"/>
    <tableColumn id="14619" xr3:uid="{62CC6549-0F15-4C68-9B61-7855EE91CD23}" name="14606"/>
    <tableColumn id="14620" xr3:uid="{53A9C44E-44E3-4876-86BF-F3F5754BD8FC}" name="14607"/>
    <tableColumn id="14621" xr3:uid="{5DFFA62A-4C80-4075-A2BC-216A350D5BA6}" name="14608"/>
    <tableColumn id="14622" xr3:uid="{AA1FCF39-B5D4-4420-BF13-528626737B76}" name="14609"/>
    <tableColumn id="14623" xr3:uid="{1CAA2E9F-9614-4811-A8CE-F4FAC5C9AB20}" name="14610"/>
    <tableColumn id="14624" xr3:uid="{1DFF4A7B-8CAD-4739-9312-2559839F844C}" name="14611"/>
    <tableColumn id="14625" xr3:uid="{F7D68EA5-6CFF-4222-895C-E8D01BCD71AC}" name="14612"/>
    <tableColumn id="14626" xr3:uid="{A16EE117-B46C-4F8C-AA32-2227CF8C8236}" name="14613"/>
    <tableColumn id="14627" xr3:uid="{F8171EB1-CB33-4B1D-B2BE-CF89F59AEC58}" name="14614"/>
    <tableColumn id="14628" xr3:uid="{0BAA0447-0156-406C-811E-4846622E4EC3}" name="14615"/>
    <tableColumn id="14629" xr3:uid="{D757B0E4-6C18-49DE-84E2-296E0F8F0E91}" name="14616"/>
    <tableColumn id="14630" xr3:uid="{E80DF7F9-520E-40E1-8C6C-03407D71B671}" name="14617"/>
    <tableColumn id="14631" xr3:uid="{4A9D9F8B-FC04-43E7-BF5A-690B35BAC62F}" name="14618"/>
    <tableColumn id="14632" xr3:uid="{D89F5375-EF1F-40A6-B314-F87F65B5996A}" name="14619"/>
    <tableColumn id="14633" xr3:uid="{8BA4707B-F2B3-4BFB-947C-1B06B2A98317}" name="14620"/>
    <tableColumn id="14634" xr3:uid="{AC81251A-B46B-4D74-8773-CE16DE9EF77F}" name="14621"/>
    <tableColumn id="14635" xr3:uid="{9452ED02-81CB-41A9-9340-4A5DA7ACEEC5}" name="14622"/>
    <tableColumn id="14636" xr3:uid="{96331A8F-1584-41B1-BF8D-FBBB65A31D51}" name="14623"/>
    <tableColumn id="14637" xr3:uid="{E3F7647A-AEE5-4114-B285-C52783C7AE8B}" name="14624"/>
    <tableColumn id="14638" xr3:uid="{95AF529C-77D9-450A-BFCA-1080D8A0E0A4}" name="14625"/>
    <tableColumn id="14639" xr3:uid="{825BB512-A8ED-4335-BB0C-B92092E7C9BF}" name="14626"/>
    <tableColumn id="14640" xr3:uid="{17D91576-1C6C-4182-8079-3580419DE4D8}" name="14627"/>
    <tableColumn id="14641" xr3:uid="{A4A054C8-BA96-4972-839B-610D57CD00B5}" name="14628"/>
    <tableColumn id="14642" xr3:uid="{2FA5A6F9-A182-4EB0-A2D0-4F82A88F79BF}" name="14629"/>
    <tableColumn id="14643" xr3:uid="{5541FA28-E278-4B03-BA54-B65A42C5BB42}" name="14630"/>
    <tableColumn id="14644" xr3:uid="{8888A241-2F7C-4F3B-83E9-735EACE3E64F}" name="14631"/>
    <tableColumn id="14645" xr3:uid="{E5C0C59D-F360-4A2E-BE2A-CF47D6733003}" name="14632"/>
    <tableColumn id="14646" xr3:uid="{86439307-5264-436F-975B-3BF52AE19162}" name="14633"/>
    <tableColumn id="14647" xr3:uid="{12414146-C852-4F33-8B31-2CEC5B256015}" name="14634"/>
    <tableColumn id="14648" xr3:uid="{C2BDB725-2385-4BCE-AE6D-EABA35FE7FAD}" name="14635"/>
    <tableColumn id="14649" xr3:uid="{28F657F0-0F97-4CF3-8851-D7537D4B5042}" name="14636"/>
    <tableColumn id="14650" xr3:uid="{26573453-C502-409F-B3F3-F54123F25C4F}" name="14637"/>
    <tableColumn id="14651" xr3:uid="{0D725C76-A9D9-40E5-B338-9E667C603F53}" name="14638"/>
    <tableColumn id="14652" xr3:uid="{CD39839E-8DC8-40FC-AF93-7729203801BC}" name="14639"/>
    <tableColumn id="14653" xr3:uid="{1E285A20-71E1-4041-96C7-1F22BB4E7DC2}" name="14640"/>
    <tableColumn id="14654" xr3:uid="{2CAAD2F3-A2ED-4D87-ADD1-9B708BBCF8A9}" name="14641"/>
    <tableColumn id="14655" xr3:uid="{E7BBFD23-EF90-47B5-8A7B-F8D14713288E}" name="14642"/>
    <tableColumn id="14656" xr3:uid="{E43B95E8-3F95-4B1F-A31E-7EC5B2ABD0FA}" name="14643"/>
    <tableColumn id="14657" xr3:uid="{874296C6-33C8-486C-840D-92FF479F3545}" name="14644"/>
    <tableColumn id="14658" xr3:uid="{8405F4D1-059C-4EF1-9918-7AAC0392C05E}" name="14645"/>
    <tableColumn id="14659" xr3:uid="{EBBA2C88-DD72-4A33-AA55-64DCE4F81F61}" name="14646"/>
    <tableColumn id="14660" xr3:uid="{F41492CC-9820-420D-A651-5A128ABF5968}" name="14647"/>
    <tableColumn id="14661" xr3:uid="{442B066A-54EE-4B95-BB64-83A3BB368DFC}" name="14648"/>
    <tableColumn id="14662" xr3:uid="{75F80EE2-5B8F-4679-A1ED-A4CE955B1219}" name="14649"/>
    <tableColumn id="14663" xr3:uid="{866AAF5B-544A-47AA-B86B-7DCA406744D3}" name="14650"/>
    <tableColumn id="14664" xr3:uid="{F48D57E3-27B0-4BD5-9511-D48228D3EB71}" name="14651"/>
    <tableColumn id="14665" xr3:uid="{95B896C5-8D6A-4AE8-96D0-6BF751A5D6B6}" name="14652"/>
    <tableColumn id="14666" xr3:uid="{11939391-E3F2-4832-8235-B27557AC5FE8}" name="14653"/>
    <tableColumn id="14667" xr3:uid="{5C1096CC-0493-4B78-9186-E30055AD2C23}" name="14654"/>
    <tableColumn id="14668" xr3:uid="{93FA051D-29A3-4703-93AC-4614F8CB15EA}" name="14655"/>
    <tableColumn id="14669" xr3:uid="{997B5A2C-4C96-4DEF-B1DE-B798850B508E}" name="14656"/>
    <tableColumn id="14670" xr3:uid="{1B187AC9-833E-41F4-80BB-7AA42B913DD9}" name="14657"/>
    <tableColumn id="14671" xr3:uid="{5E17147F-E4D9-4466-BA62-DA40052278D1}" name="14658"/>
    <tableColumn id="14672" xr3:uid="{F49442B1-9D70-4747-B417-7BE0BDA44C01}" name="14659"/>
    <tableColumn id="14673" xr3:uid="{F9C4D9BE-D201-4886-9C34-AAF1712EBD7B}" name="14660"/>
    <tableColumn id="14674" xr3:uid="{E2CBA643-E9E1-40BE-97A7-14516DB3509E}" name="14661"/>
    <tableColumn id="14675" xr3:uid="{B41C022D-13C6-465B-9D26-521525B45FA8}" name="14662"/>
    <tableColumn id="14676" xr3:uid="{355C8F04-15AC-405D-80C5-BB58A0883B8B}" name="14663"/>
    <tableColumn id="14677" xr3:uid="{5E824D7E-A0E4-4F54-BBFE-97C1FE3D8071}" name="14664"/>
    <tableColumn id="14678" xr3:uid="{8DE4F7CD-871B-4CF2-BD7A-588B90D952B2}" name="14665"/>
    <tableColumn id="14679" xr3:uid="{B43899EB-106E-46CD-AD09-02486FE39F1E}" name="14666"/>
    <tableColumn id="14680" xr3:uid="{35469F86-8D2A-4761-80DA-7FA7416C2C9C}" name="14667"/>
    <tableColumn id="14681" xr3:uid="{C3068B4F-9EDD-48C1-9109-12297F14F7A2}" name="14668"/>
    <tableColumn id="14682" xr3:uid="{A8FA939B-DF2A-4AE5-8CFC-0A34045FFE2D}" name="14669"/>
    <tableColumn id="14683" xr3:uid="{AE5B1B61-5FCB-439F-91DF-641724C4FB88}" name="14670"/>
    <tableColumn id="14684" xr3:uid="{A1E5A93F-4A61-443E-97ED-5EBFFB0C3F7F}" name="14671"/>
    <tableColumn id="14685" xr3:uid="{0609AB06-B9C5-4FB7-9856-C3AFBC4ECE12}" name="14672"/>
    <tableColumn id="14686" xr3:uid="{AF6BE6BA-2BEA-4B79-B8C9-759AEE358035}" name="14673"/>
    <tableColumn id="14687" xr3:uid="{5E0A0855-506F-40E6-BA19-D41155012CE6}" name="14674"/>
    <tableColumn id="14688" xr3:uid="{ABA0EAA0-9F4B-49CB-A387-6281650B149F}" name="14675"/>
    <tableColumn id="14689" xr3:uid="{2BB972BB-060D-4D57-8B7A-CD1AA9166245}" name="14676"/>
    <tableColumn id="14690" xr3:uid="{AA373408-2E7D-4859-A937-A1B2361F2D65}" name="14677"/>
    <tableColumn id="14691" xr3:uid="{B8E01163-C976-4CF1-8437-C3221B82DB5D}" name="14678"/>
    <tableColumn id="14692" xr3:uid="{9C93AF51-3706-49CA-AB8B-35153E8FFAC1}" name="14679"/>
    <tableColumn id="14693" xr3:uid="{27DF121C-65BF-49AD-B1C4-687329DC4F98}" name="14680"/>
    <tableColumn id="14694" xr3:uid="{BD94FC28-E8CA-495E-8576-D194457F1872}" name="14681"/>
    <tableColumn id="14695" xr3:uid="{E9AA2DD2-844B-4DEF-86DD-8B0F72D758F6}" name="14682"/>
    <tableColumn id="14696" xr3:uid="{4CDBEC97-3206-48F7-A1B4-20E32B8D4E4D}" name="14683"/>
    <tableColumn id="14697" xr3:uid="{AA940425-6BA9-4C51-A724-242E2BD40F93}" name="14684"/>
    <tableColumn id="14698" xr3:uid="{B427A430-E30D-4EB7-9503-F7F93729CC2E}" name="14685"/>
    <tableColumn id="14699" xr3:uid="{0EE1A04F-0E2C-4065-9B4D-2D05934FAD66}" name="14686"/>
    <tableColumn id="14700" xr3:uid="{E1F75A27-3FA8-485B-AE7A-B3E679ACB895}" name="14687"/>
    <tableColumn id="14701" xr3:uid="{30178F36-CE2E-4C5F-A41E-B946A5841A88}" name="14688"/>
    <tableColumn id="14702" xr3:uid="{705C5E2F-18BE-489F-A4D4-2122C43620BF}" name="14689"/>
    <tableColumn id="14703" xr3:uid="{39A0D538-E66A-492C-A8C6-C74F4465B83E}" name="14690"/>
    <tableColumn id="14704" xr3:uid="{736D3AD6-5E62-4B3E-84CA-1ABD7AABF771}" name="14691"/>
    <tableColumn id="14705" xr3:uid="{AA9F754D-6B92-4C45-A009-6559D4DA86DF}" name="14692"/>
    <tableColumn id="14706" xr3:uid="{24FB0E9D-4A56-4F6D-8D9F-CB3BF7C5B940}" name="14693"/>
    <tableColumn id="14707" xr3:uid="{2B095F57-4FE8-4465-8678-8A8FFA3E404F}" name="14694"/>
    <tableColumn id="14708" xr3:uid="{8AE107D5-AB35-46E5-8BE8-4BF771715D2E}" name="14695"/>
    <tableColumn id="14709" xr3:uid="{EC61E434-8116-49B1-8D24-A7508F896C18}" name="14696"/>
    <tableColumn id="14710" xr3:uid="{8CDDD8B8-03B9-4339-A72F-562DC6151541}" name="14697"/>
    <tableColumn id="14711" xr3:uid="{1890DBD1-74B5-45C0-8E55-23E4E06ED396}" name="14698"/>
    <tableColumn id="14712" xr3:uid="{F7444930-84FD-44E7-9874-C0E6718D8722}" name="14699"/>
    <tableColumn id="14713" xr3:uid="{4E4C62EB-D816-4ABE-8AE5-02F83E967CDD}" name="14700"/>
    <tableColumn id="14714" xr3:uid="{008C2790-A1DA-4715-85D5-548A01491D8A}" name="14701"/>
    <tableColumn id="14715" xr3:uid="{7D7DB7A1-870F-43F8-8560-1DC0FB5A9247}" name="14702"/>
    <tableColumn id="14716" xr3:uid="{53C13A68-E650-4368-801A-6A4F66C883F2}" name="14703"/>
    <tableColumn id="14717" xr3:uid="{1A4F5206-6D6D-44AF-B9F6-76DF7FE575DE}" name="14704"/>
    <tableColumn id="14718" xr3:uid="{1C5F2E1E-A368-42F1-990A-F7082EFEF4DB}" name="14705"/>
    <tableColumn id="14719" xr3:uid="{2842D422-4C45-47A2-9EC9-1EE0146DB8E3}" name="14706"/>
    <tableColumn id="14720" xr3:uid="{AB78E539-CDB7-4D6C-8138-86C0B8688C5E}" name="14707"/>
    <tableColumn id="14721" xr3:uid="{E3B27C90-B3EC-45D8-97C1-CFEC7CFA7138}" name="14708"/>
    <tableColumn id="14722" xr3:uid="{AD65595D-AFCC-406D-894B-D5CD1D6EB559}" name="14709"/>
    <tableColumn id="14723" xr3:uid="{A7516223-A113-4288-B509-07077DED55B2}" name="14710"/>
    <tableColumn id="14724" xr3:uid="{A2DCBB33-1200-4D16-B80D-ED06CEF7DF20}" name="14711"/>
    <tableColumn id="14725" xr3:uid="{DF582B26-01C0-42C2-9239-1D471D4B4393}" name="14712"/>
    <tableColumn id="14726" xr3:uid="{3F2AE14D-D661-41C7-B4ED-DD8B0BB55C5B}" name="14713"/>
    <tableColumn id="14727" xr3:uid="{228C1BE5-D5F3-43D9-A3BE-13B5E7CB4524}" name="14714"/>
    <tableColumn id="14728" xr3:uid="{61DF8357-28E6-4D53-BCF1-3218DD3FF454}" name="14715"/>
    <tableColumn id="14729" xr3:uid="{6C52B06A-48E8-45EB-97B7-56313E1AF61A}" name="14716"/>
    <tableColumn id="14730" xr3:uid="{1E6E23EA-1B6F-488B-89BE-A76D710BDC87}" name="14717"/>
    <tableColumn id="14731" xr3:uid="{F718891C-D928-4DE1-B1AA-F452D8CD78BC}" name="14718"/>
    <tableColumn id="14732" xr3:uid="{A8528D2F-E173-47B3-96D1-0EE3B99CEAE6}" name="14719"/>
    <tableColumn id="14733" xr3:uid="{58130132-A074-4528-A26D-A51562ECB73D}" name="14720"/>
    <tableColumn id="14734" xr3:uid="{AB24EB1F-8191-4242-9733-05A8FB4E6F31}" name="14721"/>
    <tableColumn id="14735" xr3:uid="{CF75DF56-0AFA-4F35-8168-9F904B7FFF09}" name="14722"/>
    <tableColumn id="14736" xr3:uid="{1AD23C38-CFD0-4981-850E-04D9C733CC9E}" name="14723"/>
    <tableColumn id="14737" xr3:uid="{4C31E495-C156-4648-8ED8-898996D66DD8}" name="14724"/>
    <tableColumn id="14738" xr3:uid="{EF7D9BFD-FB0C-4951-8D69-EE4DF52539BA}" name="14725"/>
    <tableColumn id="14739" xr3:uid="{1D3CB883-42A4-48FD-B943-130E14AC549D}" name="14726"/>
    <tableColumn id="14740" xr3:uid="{5FCD3D12-725C-4E17-A322-E76609924216}" name="14727"/>
    <tableColumn id="14741" xr3:uid="{8BC2CA75-07E1-4A24-BB75-A03E1E0CEC8A}" name="14728"/>
    <tableColumn id="14742" xr3:uid="{5C9EB340-45CE-4CFD-8D2A-285AE94D7678}" name="14729"/>
    <tableColumn id="14743" xr3:uid="{D61EBA63-EAF4-4F7F-90BC-22B88C1A4486}" name="14730"/>
    <tableColumn id="14744" xr3:uid="{B379B600-F506-43BC-817A-43AEE34D84D7}" name="14731"/>
    <tableColumn id="14745" xr3:uid="{26C5633D-F872-48FE-9602-705A3E3227E4}" name="14732"/>
    <tableColumn id="14746" xr3:uid="{5F701ADB-14FA-44F0-ACC6-93CAFBF822C9}" name="14733"/>
    <tableColumn id="14747" xr3:uid="{0F3830AA-1D0F-4372-A084-7B0CA263F20B}" name="14734"/>
    <tableColumn id="14748" xr3:uid="{9C565C19-8C99-4848-ABD9-B0726CA502FC}" name="14735"/>
    <tableColumn id="14749" xr3:uid="{915B0BAF-0FEC-42AB-B3A3-49FD0AD249D5}" name="14736"/>
    <tableColumn id="14750" xr3:uid="{CD79757A-D25F-4578-83CA-D807478EDC50}" name="14737"/>
    <tableColumn id="14751" xr3:uid="{2663D231-774A-4575-853E-7FDF8C6275F2}" name="14738"/>
    <tableColumn id="14752" xr3:uid="{F0F1168D-0FDE-49D3-B34F-69B7F436FFC7}" name="14739"/>
    <tableColumn id="14753" xr3:uid="{72BABF91-E067-4656-BA6B-91BF62491598}" name="14740"/>
    <tableColumn id="14754" xr3:uid="{10560BD0-3D35-4936-B773-3669FB69AD38}" name="14741"/>
    <tableColumn id="14755" xr3:uid="{FD4E6929-29C6-45D9-A212-3749A40370B5}" name="14742"/>
    <tableColumn id="14756" xr3:uid="{526F1F6A-8474-4D93-A22B-CAC78A3576B2}" name="14743"/>
    <tableColumn id="14757" xr3:uid="{8FA1560B-67AB-4CD4-A7C6-DF798460B020}" name="14744"/>
    <tableColumn id="14758" xr3:uid="{4F350FAF-08D0-4AC7-BD1B-EE136C62E384}" name="14745"/>
    <tableColumn id="14759" xr3:uid="{67DD7BDF-B09C-406F-8654-8A0862858F05}" name="14746"/>
    <tableColumn id="14760" xr3:uid="{85DBD566-848A-4E63-A41A-A6158B17AE4B}" name="14747"/>
    <tableColumn id="14761" xr3:uid="{790749BC-A60F-43D9-A70E-ABC7E05367DB}" name="14748"/>
    <tableColumn id="14762" xr3:uid="{80E38F6C-C85E-4D55-B142-AF8AACFCA36E}" name="14749"/>
    <tableColumn id="14763" xr3:uid="{2E921B71-27E6-4D31-9981-48E1B3327BD3}" name="14750"/>
    <tableColumn id="14764" xr3:uid="{F24451ED-02BA-457C-AF81-B289C6863DAA}" name="14751"/>
    <tableColumn id="14765" xr3:uid="{2C823B67-9A89-47FF-96B2-B5BBE4F765C8}" name="14752"/>
    <tableColumn id="14766" xr3:uid="{2AA5B535-AF88-41CB-8E7A-69C456E5D5B7}" name="14753"/>
    <tableColumn id="14767" xr3:uid="{4350D6D6-B09C-49F9-B0D5-BD8586DF0F22}" name="14754"/>
    <tableColumn id="14768" xr3:uid="{3BFF7603-A3F6-45CD-8E91-040C8B63C7E5}" name="14755"/>
    <tableColumn id="14769" xr3:uid="{5BD25F2D-4A06-4351-9E6D-2EB677CE18DA}" name="14756"/>
    <tableColumn id="14770" xr3:uid="{6B2EC82E-2D1A-4920-A5B5-29588679FC18}" name="14757"/>
    <tableColumn id="14771" xr3:uid="{10614F76-E02B-49F7-85E6-387D9B20F474}" name="14758"/>
    <tableColumn id="14772" xr3:uid="{A54C6842-FE61-4FF6-9163-16258AA47378}" name="14759"/>
    <tableColumn id="14773" xr3:uid="{07EB3519-0462-4A34-9FA9-9CB29B545C1F}" name="14760"/>
    <tableColumn id="14774" xr3:uid="{533887CD-276D-4102-814F-D64DAC6D8C60}" name="14761"/>
    <tableColumn id="14775" xr3:uid="{19E23E6F-9728-436F-B942-EDFDDD7D236C}" name="14762"/>
    <tableColumn id="14776" xr3:uid="{A88BB005-4BA3-4E3D-8549-BF02FC1DE73F}" name="14763"/>
    <tableColumn id="14777" xr3:uid="{6D51616F-5824-4AC9-B8C4-22FE0275EF1B}" name="14764"/>
    <tableColumn id="14778" xr3:uid="{76D3FB6E-A437-4717-92A5-D5818EA4D0CB}" name="14765"/>
    <tableColumn id="14779" xr3:uid="{732CC818-3944-431C-92AA-8F117C432409}" name="14766"/>
    <tableColumn id="14780" xr3:uid="{A5E0D981-9B2F-4EC0-9A57-15326FFE77A5}" name="14767"/>
    <tableColumn id="14781" xr3:uid="{B676360C-CED2-4A53-8C14-BCFD464BACAF}" name="14768"/>
    <tableColumn id="14782" xr3:uid="{445F8700-58D7-41CA-8E54-D0FF86CB1111}" name="14769"/>
    <tableColumn id="14783" xr3:uid="{8E9F5611-6332-4FFD-98B4-1D6BA0F0ED8C}" name="14770"/>
    <tableColumn id="14784" xr3:uid="{C7DF4B16-D278-4DEF-A5E8-FD8E17A4BC1A}" name="14771"/>
    <tableColumn id="14785" xr3:uid="{517FFED3-F09D-419E-9B90-7B49B8664DB0}" name="14772"/>
    <tableColumn id="14786" xr3:uid="{90E4EBC3-7A89-4867-91DE-6B1302E0B325}" name="14773"/>
    <tableColumn id="14787" xr3:uid="{528CFD96-730D-4979-A93B-317B22A48B7C}" name="14774"/>
    <tableColumn id="14788" xr3:uid="{40F11040-B20F-457D-BABE-7931163F9C2F}" name="14775"/>
    <tableColumn id="14789" xr3:uid="{D0D365EE-06F4-4831-A6F1-1F55F4AA1433}" name="14776"/>
    <tableColumn id="14790" xr3:uid="{514E4878-C8DE-46D2-969A-B01C7B6C23CD}" name="14777"/>
    <tableColumn id="14791" xr3:uid="{45657D0C-1259-4352-BAA6-A82F21048B00}" name="14778"/>
    <tableColumn id="14792" xr3:uid="{84F08441-EDDC-41AE-B858-C6D036D85F39}" name="14779"/>
    <tableColumn id="14793" xr3:uid="{BF5C23DB-1798-4813-9057-1265E378E752}" name="14780"/>
    <tableColumn id="14794" xr3:uid="{B32AD974-2D21-4F13-BE0A-7B9D5430F81E}" name="14781"/>
    <tableColumn id="14795" xr3:uid="{57F48D7C-403D-4829-9AD6-B5E4242AC440}" name="14782"/>
    <tableColumn id="14796" xr3:uid="{F3E4FEC0-C548-477D-A535-CD77DEFF9880}" name="14783"/>
    <tableColumn id="14797" xr3:uid="{91E032EA-469D-4B56-A0AD-1AA20FFA041B}" name="14784"/>
    <tableColumn id="14798" xr3:uid="{AA618767-7BDC-4C42-AB2F-3F4EC288DE4D}" name="14785"/>
    <tableColumn id="14799" xr3:uid="{F887589E-B138-433F-801A-B0E11BD156D9}" name="14786"/>
    <tableColumn id="14800" xr3:uid="{ABBBB4F2-4E7E-4E50-9544-49DC5532B2FB}" name="14787"/>
    <tableColumn id="14801" xr3:uid="{A7C21180-550B-4390-8CF8-3B494E680948}" name="14788"/>
    <tableColumn id="14802" xr3:uid="{1F00BDFF-9322-43CA-BD2C-8694320D0CC3}" name="14789"/>
    <tableColumn id="14803" xr3:uid="{5F17C38C-CD0B-416E-827C-521A9AD8B966}" name="14790"/>
    <tableColumn id="14804" xr3:uid="{53363AE9-BADF-4AA4-8C20-85487321F568}" name="14791"/>
    <tableColumn id="14805" xr3:uid="{3E0CE725-A016-4514-BD72-771AF1B812C6}" name="14792"/>
    <tableColumn id="14806" xr3:uid="{B7858F21-3587-45FD-9881-D365119AC077}" name="14793"/>
    <tableColumn id="14807" xr3:uid="{02BF0D5E-21D9-437F-8C1D-CACD6DB787E4}" name="14794"/>
    <tableColumn id="14808" xr3:uid="{A800AB12-F62F-489A-A193-FFE6E4F469A8}" name="14795"/>
    <tableColumn id="14809" xr3:uid="{E2FCA020-87C9-445A-9925-3BBCCFFE3E9B}" name="14796"/>
    <tableColumn id="14810" xr3:uid="{3A6A79FA-C637-49D9-8018-7D3A02982C83}" name="14797"/>
    <tableColumn id="14811" xr3:uid="{BD4CACEE-F339-4537-B484-9CAEA75EADE0}" name="14798"/>
    <tableColumn id="14812" xr3:uid="{E09ECA5A-214B-4F2F-BBDE-4EA5B74589C8}" name="14799"/>
    <tableColumn id="14813" xr3:uid="{277F5D09-7528-4F0A-A7B2-17A310055990}" name="14800"/>
    <tableColumn id="14814" xr3:uid="{08981543-5924-4679-8CB0-434C92BBB6F2}" name="14801"/>
    <tableColumn id="14815" xr3:uid="{8C01D8E2-61C4-4378-927C-0115D5880CE9}" name="14802"/>
    <tableColumn id="14816" xr3:uid="{2CCAEA3F-5729-4938-931B-F72433DAE074}" name="14803"/>
    <tableColumn id="14817" xr3:uid="{EECEB1F0-C3F2-49AD-B2AF-95DDFE5ACA13}" name="14804"/>
    <tableColumn id="14818" xr3:uid="{4D839DDC-3E81-4473-86B3-1335A052B262}" name="14805"/>
    <tableColumn id="14819" xr3:uid="{CE4FB953-360B-450E-BCFF-2658121F4A0D}" name="14806"/>
    <tableColumn id="14820" xr3:uid="{966C63C9-D6A4-4414-AD86-3B537ABF1167}" name="14807"/>
    <tableColumn id="14821" xr3:uid="{9177F0A5-1508-42C1-A170-1461D9D122D7}" name="14808"/>
    <tableColumn id="14822" xr3:uid="{F472C2DA-0F59-4C72-90B7-5453086EE6DF}" name="14809"/>
    <tableColumn id="14823" xr3:uid="{AB737798-87EF-4CFD-832C-1CE01A0211AD}" name="14810"/>
    <tableColumn id="14824" xr3:uid="{18AC71B3-B19B-4DF3-B25A-8D2386804AF1}" name="14811"/>
    <tableColumn id="14825" xr3:uid="{0BF50E68-AAE9-4976-A0B9-AAD288D32145}" name="14812"/>
    <tableColumn id="14826" xr3:uid="{34441BC5-1BA6-40AB-8758-E32032BA413A}" name="14813"/>
    <tableColumn id="14827" xr3:uid="{8EFE77D2-CB0E-4927-A7EC-8A29C46E0452}" name="14814"/>
    <tableColumn id="14828" xr3:uid="{2EFFD468-EBDC-47C9-A462-731EDF77484F}" name="14815"/>
    <tableColumn id="14829" xr3:uid="{24189EFF-C025-4D19-A633-F4B4B78A8B09}" name="14816"/>
    <tableColumn id="14830" xr3:uid="{DB222301-A15D-4D36-91E8-BF0BBE515BC4}" name="14817"/>
    <tableColumn id="14831" xr3:uid="{7CA156C5-5624-4085-BBAF-7285D12BF650}" name="14818"/>
    <tableColumn id="14832" xr3:uid="{4D9C3C92-9597-4DE1-8004-A687B2EAB1D3}" name="14819"/>
    <tableColumn id="14833" xr3:uid="{F4E01164-47CB-4A23-9EAC-ED6EA5D3242E}" name="14820"/>
    <tableColumn id="14834" xr3:uid="{AEC275F7-2F79-4FF4-B0AB-B5A4797008D7}" name="14821"/>
    <tableColumn id="14835" xr3:uid="{677F4BCE-15A5-4DB1-A885-9FA6D03485C0}" name="14822"/>
    <tableColumn id="14836" xr3:uid="{BE345D5D-87DA-4329-A3FC-B7D79F402FAB}" name="14823"/>
    <tableColumn id="14837" xr3:uid="{E11CF478-4330-4C83-A730-61C96A8EA8EB}" name="14824"/>
    <tableColumn id="14838" xr3:uid="{6681374D-E3EA-421F-BF29-4A9B973A12B7}" name="14825"/>
    <tableColumn id="14839" xr3:uid="{02D13265-BD1B-4205-B7C5-BE8E97C278BE}" name="14826"/>
    <tableColumn id="14840" xr3:uid="{0B7919FF-DBD0-40CC-BCC9-8F1AFEFA3E5F}" name="14827"/>
    <tableColumn id="14841" xr3:uid="{CD4EDF10-A0D4-42AC-AECA-BD9843831A04}" name="14828"/>
    <tableColumn id="14842" xr3:uid="{7D605CBD-9BB1-4B20-B2F4-7CFB758F4C93}" name="14829"/>
    <tableColumn id="14843" xr3:uid="{16891984-3E9B-41D9-B3C7-676F7E9AF489}" name="14830"/>
    <tableColumn id="14844" xr3:uid="{AB43F95C-3B58-48B0-A217-2B3A023B2FF0}" name="14831"/>
    <tableColumn id="14845" xr3:uid="{EF214B8F-09E7-4141-A122-FFB7A21A9948}" name="14832"/>
    <tableColumn id="14846" xr3:uid="{A06F0C38-DB5D-42C2-A103-A63A449777F0}" name="14833"/>
    <tableColumn id="14847" xr3:uid="{686D193F-DA09-42EA-9A79-D0D9B373971C}" name="14834"/>
    <tableColumn id="14848" xr3:uid="{68EEC8E5-86A4-4BF0-90AD-A7C33B2F9761}" name="14835"/>
    <tableColumn id="14849" xr3:uid="{D8A9DDC9-DCD6-41E5-A4D4-781BD19DEEDD}" name="14836"/>
    <tableColumn id="14850" xr3:uid="{3E4DA368-6ECB-47BB-B5D8-FE432FD7B740}" name="14837"/>
    <tableColumn id="14851" xr3:uid="{B79321D0-2364-4E8B-A211-1CBBF3DE5BCA}" name="14838"/>
    <tableColumn id="14852" xr3:uid="{4BD9343A-D7DE-4F51-83BB-1EC77E29386F}" name="14839"/>
    <tableColumn id="14853" xr3:uid="{B80A85A6-F12A-4AAD-827C-5C97A416A09C}" name="14840"/>
    <tableColumn id="14854" xr3:uid="{00E6BBF6-D9B5-48C2-9BE7-55BC76725F9D}" name="14841"/>
    <tableColumn id="14855" xr3:uid="{9B73748E-EC40-45C0-BE12-EA5E20A2DC4D}" name="14842"/>
    <tableColumn id="14856" xr3:uid="{921FF3F4-1EEA-48DD-BA5B-9EEB5A683C4D}" name="14843"/>
    <tableColumn id="14857" xr3:uid="{055109FD-0133-44B4-AB89-D4594E6310D7}" name="14844"/>
    <tableColumn id="14858" xr3:uid="{6A89892E-1F09-41DC-BF64-44B25FACC20A}" name="14845"/>
    <tableColumn id="14859" xr3:uid="{36F824B6-714D-48AD-B3E7-150D004A06EE}" name="14846"/>
    <tableColumn id="14860" xr3:uid="{C29EBA7F-CD4A-429D-B4F3-DE2D287E043F}" name="14847"/>
    <tableColumn id="14861" xr3:uid="{6698DE6B-0E20-47DA-8434-A5027CC3BECC}" name="14848"/>
    <tableColumn id="14862" xr3:uid="{6EE09971-9CCE-41AA-A655-BD74F43ED2DC}" name="14849"/>
    <tableColumn id="14863" xr3:uid="{40CCBBA2-50AD-4D79-A455-3CEE11141BF0}" name="14850"/>
    <tableColumn id="14864" xr3:uid="{2160D480-7222-4243-8A60-E7BB292FF080}" name="14851"/>
    <tableColumn id="14865" xr3:uid="{4B4F3543-B81F-421B-8A3B-62F69A886238}" name="14852"/>
    <tableColumn id="14866" xr3:uid="{43E39AEA-1831-41B2-91C0-FF88F8C5CC23}" name="14853"/>
    <tableColumn id="14867" xr3:uid="{03600DC0-6A40-4752-B05F-1BA84683FC97}" name="14854"/>
    <tableColumn id="14868" xr3:uid="{A3734B51-C69E-40DB-9497-21144441A044}" name="14855"/>
    <tableColumn id="14869" xr3:uid="{99554C97-D7E9-4E70-9AF5-195335124CE9}" name="14856"/>
    <tableColumn id="14870" xr3:uid="{7835601E-43FE-4894-A571-2A69E0A3060D}" name="14857"/>
    <tableColumn id="14871" xr3:uid="{C2E68A5D-8C3D-4865-8EC2-5B7556D303E2}" name="14858"/>
    <tableColumn id="14872" xr3:uid="{29C54807-CDD4-42CC-BD3D-FC69EBEA4B16}" name="14859"/>
    <tableColumn id="14873" xr3:uid="{48229165-4336-4B63-90DA-A826D1F30AC8}" name="14860"/>
    <tableColumn id="14874" xr3:uid="{D7CBE661-ED2D-49FA-B975-5EA63F7D824F}" name="14861"/>
    <tableColumn id="14875" xr3:uid="{33CBD3EE-CB6C-4813-ADFE-052AF19D8EC2}" name="14862"/>
    <tableColumn id="14876" xr3:uid="{8DCE3253-3D2A-4971-B521-092AF03F9563}" name="14863"/>
    <tableColumn id="14877" xr3:uid="{B8A70868-461C-4BE2-B0DA-C8EC505E4447}" name="14864"/>
    <tableColumn id="14878" xr3:uid="{385F41ED-A5CF-4272-AD26-377F24EE5A3A}" name="14865"/>
    <tableColumn id="14879" xr3:uid="{B82A9513-EB80-4663-BF5A-1D79C4906AF1}" name="14866"/>
    <tableColumn id="14880" xr3:uid="{B0FBC588-D1FD-4D8D-96CF-77582AD66A40}" name="14867"/>
    <tableColumn id="14881" xr3:uid="{83904800-8C8D-4107-B437-D05731898640}" name="14868"/>
    <tableColumn id="14882" xr3:uid="{5FBEA278-0A4A-43F5-8E82-879E108BC86E}" name="14869"/>
    <tableColumn id="14883" xr3:uid="{2FF264B7-AC95-4F6A-84DB-C25695457221}" name="14870"/>
    <tableColumn id="14884" xr3:uid="{E70CEDD6-A10A-4A5B-B33A-A5F04491A6D6}" name="14871"/>
    <tableColumn id="14885" xr3:uid="{E12FDA45-76DB-44E9-A5A1-9D0D2C1AC551}" name="14872"/>
    <tableColumn id="14886" xr3:uid="{C4D5C505-B7F3-4C00-A807-FE9AF743C641}" name="14873"/>
    <tableColumn id="14887" xr3:uid="{E8AD9659-4DBB-4B9D-AA74-CC95B83CF2A8}" name="14874"/>
    <tableColumn id="14888" xr3:uid="{54D33AC1-B349-40F1-A730-71C107D46354}" name="14875"/>
    <tableColumn id="14889" xr3:uid="{4CD40BEB-E715-4F4F-84DF-54A28AC09BFF}" name="14876"/>
    <tableColumn id="14890" xr3:uid="{E28C8D3E-492E-4B1A-9C8A-AB592518919A}" name="14877"/>
    <tableColumn id="14891" xr3:uid="{DD9F66E2-C74B-4926-9AB7-8182CC6803AC}" name="14878"/>
    <tableColumn id="14892" xr3:uid="{3BFB2FA5-B75E-4082-B195-B442FD8E70E4}" name="14879"/>
    <tableColumn id="14893" xr3:uid="{593D494B-D5BD-4605-BB2A-284E20A4CCA7}" name="14880"/>
    <tableColumn id="14894" xr3:uid="{FB54ECBF-504C-4023-AE23-D36F5BBFEA1D}" name="14881"/>
    <tableColumn id="14895" xr3:uid="{3A2E42CB-9A4C-4749-B1E7-46539D72CB5C}" name="14882"/>
    <tableColumn id="14896" xr3:uid="{C0B392CB-8B2F-4D59-93B3-9459791FF479}" name="14883"/>
    <tableColumn id="14897" xr3:uid="{8051E844-7977-40E3-A884-40ABFE939D51}" name="14884"/>
    <tableColumn id="14898" xr3:uid="{0DA713B5-70B1-42D4-9B59-84E45DD61E74}" name="14885"/>
    <tableColumn id="14899" xr3:uid="{205DB9E5-9838-43F6-B1BD-63037DA830BA}" name="14886"/>
    <tableColumn id="14900" xr3:uid="{8A1D69DA-ECEA-4DBA-A5D2-340835EF9170}" name="14887"/>
    <tableColumn id="14901" xr3:uid="{21CB6F0E-C01B-4824-99DE-5DFB260BB572}" name="14888"/>
    <tableColumn id="14902" xr3:uid="{540113F1-4C13-4771-924A-08F1F706F2AD}" name="14889"/>
    <tableColumn id="14903" xr3:uid="{A93CEA41-5106-416B-981B-B733FD8E1F53}" name="14890"/>
    <tableColumn id="14904" xr3:uid="{4C40304E-F275-4AE7-A8AB-882A594F9CA4}" name="14891"/>
    <tableColumn id="14905" xr3:uid="{439566C6-D132-4DB0-A0FD-E0D35242622D}" name="14892"/>
    <tableColumn id="14906" xr3:uid="{D840B830-D043-4CDE-87FC-47902876C820}" name="14893"/>
    <tableColumn id="14907" xr3:uid="{C48798CA-D185-4C19-A6CB-3056EDC8949F}" name="14894"/>
    <tableColumn id="14908" xr3:uid="{8624C692-CA5E-4122-8626-A37C692E4527}" name="14895"/>
    <tableColumn id="14909" xr3:uid="{AC665EEA-C849-4513-842B-3C2264018D78}" name="14896"/>
    <tableColumn id="14910" xr3:uid="{F38CDCF8-F0D9-47C5-9E61-9847947AF5E8}" name="14897"/>
    <tableColumn id="14911" xr3:uid="{116E5791-8C60-4D30-917F-23A3215AA440}" name="14898"/>
    <tableColumn id="14912" xr3:uid="{9E905CD8-3308-4DF4-A19A-A3194E3DFFA1}" name="14899"/>
    <tableColumn id="14913" xr3:uid="{B8E2D94A-863F-4EFD-B04B-D70BC9116FC1}" name="14900"/>
    <tableColumn id="14914" xr3:uid="{1C7F64AD-8D5D-4B0C-B6FF-B9AEEC784E7D}" name="14901"/>
    <tableColumn id="14915" xr3:uid="{2D93932C-6FDE-4AE2-8A33-BCD9BE5AFC23}" name="14902"/>
    <tableColumn id="14916" xr3:uid="{CE2EE914-65DF-4EBF-B88B-52C50E5A6B8F}" name="14903"/>
    <tableColumn id="14917" xr3:uid="{42A06926-0994-4568-8F8B-B5EE7618E7AC}" name="14904"/>
    <tableColumn id="14918" xr3:uid="{ACB5FAFA-E66A-44D8-91D0-C658881C722C}" name="14905"/>
    <tableColumn id="14919" xr3:uid="{9899F8D7-0C98-4627-8ECF-4BF5D2BEC20D}" name="14906"/>
    <tableColumn id="14920" xr3:uid="{F970998D-4F8B-42D6-9072-E9E2B495664B}" name="14907"/>
    <tableColumn id="14921" xr3:uid="{563E8699-7621-40E4-94DD-FBFF5BC71864}" name="14908"/>
    <tableColumn id="14922" xr3:uid="{22034BA5-F36F-4DED-B2F2-724AF24CF4A3}" name="14909"/>
    <tableColumn id="14923" xr3:uid="{6BDC258A-9392-459E-8341-8CE7207EF618}" name="14910"/>
    <tableColumn id="14924" xr3:uid="{4E559C2D-690E-48F3-9BF4-F46CF1EC280F}" name="14911"/>
    <tableColumn id="14925" xr3:uid="{3507C5C4-E33A-404B-A68F-7E15F315FFAE}" name="14912"/>
    <tableColumn id="14926" xr3:uid="{F1BCDF23-DEC7-4ED7-9D83-D31F1C4D02DF}" name="14913"/>
    <tableColumn id="14927" xr3:uid="{4EC7D4D0-6F91-442F-8CDF-DB33D1E04672}" name="14914"/>
    <tableColumn id="14928" xr3:uid="{097CF877-C892-4636-9E3F-ACE028F1C302}" name="14915"/>
    <tableColumn id="14929" xr3:uid="{633448CC-4D2B-4C4D-9BD4-74BD0C241D6B}" name="14916"/>
    <tableColumn id="14930" xr3:uid="{36F020C6-D6BB-43E3-AF2E-84EBE9C51316}" name="14917"/>
    <tableColumn id="14931" xr3:uid="{F76FB883-61D7-40D2-AC1D-75C0C4B4B78F}" name="14918"/>
    <tableColumn id="14932" xr3:uid="{B30DC920-4DE5-4FB5-B156-C018B781C450}" name="14919"/>
    <tableColumn id="14933" xr3:uid="{9461B3DB-1698-42CA-A1DD-6A6FD240E395}" name="14920"/>
    <tableColumn id="14934" xr3:uid="{7C33D926-54E8-453D-B926-13C9EC0A15DF}" name="14921"/>
    <tableColumn id="14935" xr3:uid="{70BFE74B-FF14-43CE-AC3E-8B5B3FFE8043}" name="14922"/>
    <tableColumn id="14936" xr3:uid="{02416E82-5546-4936-A58C-D212FC43F641}" name="14923"/>
    <tableColumn id="14937" xr3:uid="{C574ED31-21D6-410F-B17D-DBFA545D02C9}" name="14924"/>
    <tableColumn id="14938" xr3:uid="{11CCC352-9559-4214-AF8F-D56B2D2F7E4A}" name="14925"/>
    <tableColumn id="14939" xr3:uid="{E3144C2D-BACB-4D76-B835-BE51214E76D8}" name="14926"/>
    <tableColumn id="14940" xr3:uid="{759BEC52-882E-4A8E-9E94-4CA6A1887550}" name="14927"/>
    <tableColumn id="14941" xr3:uid="{774550A6-7F85-4A4D-897D-5946F04C86E7}" name="14928"/>
    <tableColumn id="14942" xr3:uid="{07B642A8-188C-4346-B3F7-128587AFA506}" name="14929"/>
    <tableColumn id="14943" xr3:uid="{C01C151F-F807-45D4-B50F-7EA4AB586BFA}" name="14930"/>
    <tableColumn id="14944" xr3:uid="{400AFBCB-F019-4480-8FBB-D151165D2A8A}" name="14931"/>
    <tableColumn id="14945" xr3:uid="{6470ECFB-E236-489E-96B6-7CB148B53D27}" name="14932"/>
    <tableColumn id="14946" xr3:uid="{CF2EBFF3-B0FF-475E-BE13-D37111FF4D35}" name="14933"/>
    <tableColumn id="14947" xr3:uid="{B5C2D5C2-3CD7-4314-A9D9-84EA59084EDC}" name="14934"/>
    <tableColumn id="14948" xr3:uid="{569103C0-82B9-497D-9033-9BD1702D6CE3}" name="14935"/>
    <tableColumn id="14949" xr3:uid="{07E1BDCA-7446-4A75-9AB9-2376748D1EE0}" name="14936"/>
    <tableColumn id="14950" xr3:uid="{FCB81706-19A7-45C4-88BF-A0FA49FFAC96}" name="14937"/>
    <tableColumn id="14951" xr3:uid="{FFB5E17A-F3E3-496C-B93A-BEE2CB0567B5}" name="14938"/>
    <tableColumn id="14952" xr3:uid="{AAD456DB-A329-44FD-9BFC-23E243D6BA27}" name="14939"/>
    <tableColumn id="14953" xr3:uid="{BAA03672-6AEF-4E69-902C-4FD196AE16F3}" name="14940"/>
    <tableColumn id="14954" xr3:uid="{89D2AEF8-8BC5-497A-80F2-2BF9133BF399}" name="14941"/>
    <tableColumn id="14955" xr3:uid="{5E7C5821-FDEA-4C58-87F6-AE03EC4B557B}" name="14942"/>
    <tableColumn id="14956" xr3:uid="{373306DE-3564-4B16-BE76-5FBB60B9538E}" name="14943"/>
    <tableColumn id="14957" xr3:uid="{FB6186D3-8D68-445D-874D-BE5133349DC5}" name="14944"/>
    <tableColumn id="14958" xr3:uid="{BB4782FA-4602-4ED6-A5EA-17708A73FA59}" name="14945"/>
    <tableColumn id="14959" xr3:uid="{D65441D2-2A80-40D3-801C-B0A90DC0587E}" name="14946"/>
    <tableColumn id="14960" xr3:uid="{309229EE-05E8-46A4-BE9C-D74CF41B967F}" name="14947"/>
    <tableColumn id="14961" xr3:uid="{B23AD854-6C38-41AC-BA50-A75239887CF1}" name="14948"/>
    <tableColumn id="14962" xr3:uid="{19AD8D01-E1EF-4860-A8A2-B84A272A5F90}" name="14949"/>
    <tableColumn id="14963" xr3:uid="{B662C0D2-D1B3-4CFB-9432-BE1EEAD1251E}" name="14950"/>
    <tableColumn id="14964" xr3:uid="{BC0A56C0-EEE5-4E90-9E6B-722B3CD56B6F}" name="14951"/>
    <tableColumn id="14965" xr3:uid="{B4E67DC2-F5ED-4421-900B-90712285B238}" name="14952"/>
    <tableColumn id="14966" xr3:uid="{68080996-D425-483C-AC51-8B2AE029C4EA}" name="14953"/>
    <tableColumn id="14967" xr3:uid="{CE84E030-F83F-4657-A1EF-1852BBC53CC9}" name="14954"/>
    <tableColumn id="14968" xr3:uid="{91AC6A5E-7AB2-440D-9747-7D251C2B2A85}" name="14955"/>
    <tableColumn id="14969" xr3:uid="{2CC6EFEB-6EB9-4DA9-A712-9D1B88B4ECCE}" name="14956"/>
    <tableColumn id="14970" xr3:uid="{84C48DB1-28F5-4190-80BD-1B49A4CFD2DF}" name="14957"/>
    <tableColumn id="14971" xr3:uid="{A0FFBC02-851A-4885-BC2E-3FD384124965}" name="14958"/>
    <tableColumn id="14972" xr3:uid="{EAE034CA-D242-498D-8255-E2E6BA5EA4E2}" name="14959"/>
    <tableColumn id="14973" xr3:uid="{93E91EC1-71AA-4537-9D03-A74E519018DF}" name="14960"/>
    <tableColumn id="14974" xr3:uid="{1DF25FB2-01CA-480F-85EA-FA9D6EDD0DFC}" name="14961"/>
    <tableColumn id="14975" xr3:uid="{FBD0FA81-B905-44DA-BA78-157B44CAF8CD}" name="14962"/>
    <tableColumn id="14976" xr3:uid="{82D99347-ECA6-40D1-A7A6-25375FA4188D}" name="14963"/>
    <tableColumn id="14977" xr3:uid="{0B808076-C07C-4633-8ACD-7044EFCEE27A}" name="14964"/>
    <tableColumn id="14978" xr3:uid="{87C30EC5-A3C7-4828-94C0-80E1371DF61D}" name="14965"/>
    <tableColumn id="14979" xr3:uid="{8903ED7E-FDD8-4D12-BEE9-42247AD67B6A}" name="14966"/>
    <tableColumn id="14980" xr3:uid="{DB7454AB-A90D-43C3-9152-AC84D2A05E43}" name="14967"/>
    <tableColumn id="14981" xr3:uid="{6B79F4A7-25BA-4CF0-856A-224FC43750A3}" name="14968"/>
    <tableColumn id="14982" xr3:uid="{FE4304D1-CA9E-4451-9879-EA3AAD418971}" name="14969"/>
    <tableColumn id="14983" xr3:uid="{8A391300-7A76-4D1D-A451-D9009548E305}" name="14970"/>
    <tableColumn id="14984" xr3:uid="{7DEE4A31-F92F-49BF-818B-183B83C0F31E}" name="14971"/>
    <tableColumn id="14985" xr3:uid="{CB400BF5-8A0D-4A69-8EE8-C9A9F2B400CB}" name="14972"/>
    <tableColumn id="14986" xr3:uid="{56A82E01-54F4-46B6-91F6-034D054010F4}" name="14973"/>
    <tableColumn id="14987" xr3:uid="{23E890B8-18B9-4690-BACE-3359606A2850}" name="14974"/>
    <tableColumn id="14988" xr3:uid="{4E2F2CCF-C250-4ADD-8843-C2C6B2FDAF92}" name="14975"/>
    <tableColumn id="14989" xr3:uid="{C1E3AA0F-7AD5-40CB-8A95-CDD8EC1CCBFA}" name="14976"/>
    <tableColumn id="14990" xr3:uid="{003E0960-BA35-4A85-AFED-0E0FD60499A4}" name="14977"/>
    <tableColumn id="14991" xr3:uid="{AC77E5C1-C33D-484C-A110-554A0DAA1816}" name="14978"/>
    <tableColumn id="14992" xr3:uid="{9EC8AB22-D135-4A8B-9E30-E8D0D93C0775}" name="14979"/>
    <tableColumn id="14993" xr3:uid="{C0F653AA-A5BE-474E-953F-713AAA5C34D9}" name="14980"/>
    <tableColumn id="14994" xr3:uid="{3EF437AE-6484-401A-91D9-99E5AB8AABEC}" name="14981"/>
    <tableColumn id="14995" xr3:uid="{311219BE-17B3-4272-B07C-EF741A2037B8}" name="14982"/>
    <tableColumn id="14996" xr3:uid="{26614CB4-7DEF-44FA-A761-E3F220AB8D3A}" name="14983"/>
    <tableColumn id="14997" xr3:uid="{37D55158-A240-4D44-BA46-3FE2477C7869}" name="14984"/>
    <tableColumn id="14998" xr3:uid="{30DB519D-D7C7-4CEE-876C-D96F3DFDE349}" name="14985"/>
    <tableColumn id="14999" xr3:uid="{3AB03043-4D49-49BF-8E06-7CFDCCC97B11}" name="14986"/>
    <tableColumn id="15000" xr3:uid="{C7C60C4A-505F-44F3-86EF-0FF3CBAE5CF6}" name="14987"/>
    <tableColumn id="15001" xr3:uid="{D4098C4F-CC8F-464D-976A-5DD82F3A4A8C}" name="14988"/>
    <tableColumn id="15002" xr3:uid="{B3FADEF2-461B-4CBA-9789-7A15E2752EA0}" name="14989"/>
    <tableColumn id="15003" xr3:uid="{E8B26924-7BC9-4201-8A71-473011D16525}" name="14990"/>
    <tableColumn id="15004" xr3:uid="{28DD5148-332F-4DAB-98AA-CD2BF509DB28}" name="14991"/>
    <tableColumn id="15005" xr3:uid="{CDA458C7-4877-4969-808B-92C3C81B8390}" name="14992"/>
    <tableColumn id="15006" xr3:uid="{1F6F6BDD-22D0-4C71-B8E7-E19BD34A0DC7}" name="14993"/>
    <tableColumn id="15007" xr3:uid="{B781382A-A672-47EF-92FB-E474080FBC75}" name="14994"/>
    <tableColumn id="15008" xr3:uid="{E3BC2BBE-6BEB-4982-8D3A-05195A1BB716}" name="14995"/>
    <tableColumn id="15009" xr3:uid="{AC1E9C9F-3A02-4B62-BFD4-F276E227C1AB}" name="14996"/>
    <tableColumn id="15010" xr3:uid="{0F9D68C1-48ED-4924-B7A3-A2899F9F40E9}" name="14997"/>
    <tableColumn id="15011" xr3:uid="{3FC5A0D7-58E1-4335-A5BD-2EE397B0B01C}" name="14998"/>
    <tableColumn id="15012" xr3:uid="{233317BF-1815-4DFF-A57C-C9D9D6F74DA7}" name="14999"/>
    <tableColumn id="15013" xr3:uid="{6AE28C79-EFE8-4C74-BC01-6C4801A005F3}" name="15000"/>
    <tableColumn id="15014" xr3:uid="{6AC337FE-3740-4C54-BF5A-AE9326D09B84}" name="15001"/>
    <tableColumn id="15015" xr3:uid="{57F0409E-9A2D-40B3-9435-5DCC59F46375}" name="15002"/>
    <tableColumn id="15016" xr3:uid="{31EAD6F9-C467-41CB-AEFF-B398F0994008}" name="15003"/>
    <tableColumn id="15017" xr3:uid="{565D3F78-9B14-49E9-B480-7B3835158379}" name="15004"/>
    <tableColumn id="15018" xr3:uid="{FCCDAEFC-B2B3-4282-A0E7-418585982457}" name="15005"/>
    <tableColumn id="15019" xr3:uid="{37E6500D-BFD0-4C9C-9FC5-694E8768E2A4}" name="15006"/>
    <tableColumn id="15020" xr3:uid="{01FA1F33-FC82-43D9-B6D9-0628BD62C42A}" name="15007"/>
    <tableColumn id="15021" xr3:uid="{C9BF03C3-5D36-4DAA-BFF1-4FDCA6E648A2}" name="15008"/>
    <tableColumn id="15022" xr3:uid="{FDBE2A83-E85B-4FF3-B377-2189F7E75DBE}" name="15009"/>
    <tableColumn id="15023" xr3:uid="{FA95C277-7DC8-4538-99AA-6B1FABC6C140}" name="15010"/>
    <tableColumn id="15024" xr3:uid="{2B22BE6C-9A5B-403A-A517-0B2846D190E1}" name="15011"/>
    <tableColumn id="15025" xr3:uid="{96BF812A-AED6-4269-96F6-F85FB6FC21DE}" name="15012"/>
    <tableColumn id="15026" xr3:uid="{69012124-714D-475F-8995-3597EFF9D99D}" name="15013"/>
    <tableColumn id="15027" xr3:uid="{CDEC7C86-EA36-4FC8-A4CA-ECF21CBCD08B}" name="15014"/>
    <tableColumn id="15028" xr3:uid="{7A69FB7C-E152-49F8-AE2C-2A35EFB6F927}" name="15015"/>
    <tableColumn id="15029" xr3:uid="{1009C72D-D187-4574-9A4D-2EBDEB3697A2}" name="15016"/>
    <tableColumn id="15030" xr3:uid="{E4351523-3248-4148-8C4A-A4F58CCA2263}" name="15017"/>
    <tableColumn id="15031" xr3:uid="{1672B22D-ABB1-4ACE-B0A7-52199E595190}" name="15018"/>
    <tableColumn id="15032" xr3:uid="{8CB10FCA-08FF-40C4-8211-49D1BBFEC969}" name="15019"/>
    <tableColumn id="15033" xr3:uid="{D610D4D1-AD84-4961-9B32-30BEB9A2686D}" name="15020"/>
    <tableColumn id="15034" xr3:uid="{85C5DB10-BA04-4A97-B020-3924BE0FFA52}" name="15021"/>
    <tableColumn id="15035" xr3:uid="{0C6C42D1-E8A2-46A9-9571-EBD3D09B1D0A}" name="15022"/>
    <tableColumn id="15036" xr3:uid="{E0319B79-87B8-4D7B-AC21-22DBD211DBDA}" name="15023"/>
    <tableColumn id="15037" xr3:uid="{B214EB28-1D4F-48E6-973A-D705395B8527}" name="15024"/>
    <tableColumn id="15038" xr3:uid="{0D816ED9-D91A-4F66-BF25-4874B8687A0A}" name="15025"/>
    <tableColumn id="15039" xr3:uid="{12BE5F9F-4030-46B4-9819-383A1131DE6A}" name="15026"/>
    <tableColumn id="15040" xr3:uid="{7C3BB845-56FF-451A-AFA2-A24CE8D01646}" name="15027"/>
    <tableColumn id="15041" xr3:uid="{15C2CF32-537B-43EF-AB79-12F248734D94}" name="15028"/>
    <tableColumn id="15042" xr3:uid="{772DBECF-30E7-4C14-9601-82EADC101CC9}" name="15029"/>
    <tableColumn id="15043" xr3:uid="{BA421798-D956-418D-A215-0BB363FCA040}" name="15030"/>
    <tableColumn id="15044" xr3:uid="{91453001-F7D6-40DC-8636-A2DE177500B0}" name="15031"/>
    <tableColumn id="15045" xr3:uid="{85401259-7188-44C7-A1B0-D9BAB79EFFAB}" name="15032"/>
    <tableColumn id="15046" xr3:uid="{58A6B179-63EF-4A93-9A1C-F0E82F61C206}" name="15033"/>
    <tableColumn id="15047" xr3:uid="{D1669E9C-E9CB-43FF-B3E5-F6D059C7A537}" name="15034"/>
    <tableColumn id="15048" xr3:uid="{2C173D04-DA2E-440A-9129-E9E613842F3D}" name="15035"/>
    <tableColumn id="15049" xr3:uid="{39EC62E9-2EE6-4A69-9C98-5523BC96046A}" name="15036"/>
    <tableColumn id="15050" xr3:uid="{D1A81B51-293A-40D0-9EED-503244955CA5}" name="15037"/>
    <tableColumn id="15051" xr3:uid="{268A5AF6-C52E-496D-8749-D0230009B378}" name="15038"/>
    <tableColumn id="15052" xr3:uid="{7324FED8-2E71-4061-9414-05D0C14743EA}" name="15039"/>
    <tableColumn id="15053" xr3:uid="{8777A714-69B3-46FA-8058-048C6382A01C}" name="15040"/>
    <tableColumn id="15054" xr3:uid="{2B637860-75C0-4297-9EA8-B9B7C3C14625}" name="15041"/>
    <tableColumn id="15055" xr3:uid="{B6970C09-4C0D-4221-AF4B-C071781CDC10}" name="15042"/>
    <tableColumn id="15056" xr3:uid="{6CBA929F-4FCC-4EB8-A5D7-70A848C6CA71}" name="15043"/>
    <tableColumn id="15057" xr3:uid="{2EE33998-2815-4192-B5DB-E9A772E5F22D}" name="15044"/>
    <tableColumn id="15058" xr3:uid="{315A959B-73B8-4605-8EC2-983726B45D12}" name="15045"/>
    <tableColumn id="15059" xr3:uid="{E24E5D70-C7FB-46D8-8DDD-7B13E020867A}" name="15046"/>
    <tableColumn id="15060" xr3:uid="{C5466709-CF16-439B-B4A7-00D1368F76AB}" name="15047"/>
    <tableColumn id="15061" xr3:uid="{5EA7EFA2-4D5D-43BE-8D51-619E47D10AE5}" name="15048"/>
    <tableColumn id="15062" xr3:uid="{F5A38D5F-5D03-4EBE-8B0D-948B33C95CBE}" name="15049"/>
    <tableColumn id="15063" xr3:uid="{F2031461-0052-42EF-8DB5-B81751420083}" name="15050"/>
    <tableColumn id="15064" xr3:uid="{54592D20-B87A-4E16-A4F5-839E54A72FB0}" name="15051"/>
    <tableColumn id="15065" xr3:uid="{C6DCCE08-290B-4175-81AF-6FAA56A54486}" name="15052"/>
    <tableColumn id="15066" xr3:uid="{CDC990F6-2698-433D-9CB1-4B6D911C28ED}" name="15053"/>
    <tableColumn id="15067" xr3:uid="{87E65706-2A9D-4A70-8A94-A6F19E9A8336}" name="15054"/>
    <tableColumn id="15068" xr3:uid="{3CE41AC6-DD20-4F66-ADB2-675BBE095135}" name="15055"/>
    <tableColumn id="15069" xr3:uid="{2D3AAF92-D956-47D3-8117-46E943116911}" name="15056"/>
    <tableColumn id="15070" xr3:uid="{B14E8C32-F7E5-4B49-8F31-B302A5652EF8}" name="15057"/>
    <tableColumn id="15071" xr3:uid="{DE410EA3-6365-49F2-BE1D-F08153188C29}" name="15058"/>
    <tableColumn id="15072" xr3:uid="{C13EBF35-3926-48F4-885A-9C0E95E4E4AF}" name="15059"/>
    <tableColumn id="15073" xr3:uid="{AC59343C-42EF-4EEA-A814-11ABD8C08979}" name="15060"/>
    <tableColumn id="15074" xr3:uid="{E1EE6843-3D01-4E61-902E-20F75F3ED2A8}" name="15061"/>
    <tableColumn id="15075" xr3:uid="{410016AC-1A0A-4C76-9673-0AFC7E85E4B3}" name="15062"/>
    <tableColumn id="15076" xr3:uid="{1667AA48-04C5-4213-A5E8-F9ACF597FA2D}" name="15063"/>
    <tableColumn id="15077" xr3:uid="{2B908DB1-D20A-4C80-BD90-E8DCA62694E4}" name="15064"/>
    <tableColumn id="15078" xr3:uid="{3AFF5BB6-E97C-4D6A-8C54-47D4511BE9BE}" name="15065"/>
    <tableColumn id="15079" xr3:uid="{9A3C6F9F-38CF-4043-AC67-B27E92BDD0E9}" name="15066"/>
    <tableColumn id="15080" xr3:uid="{E071D496-988D-499E-8C91-B9002201CD44}" name="15067"/>
    <tableColumn id="15081" xr3:uid="{6857939F-C3E0-44D7-8C82-92E709C18D3D}" name="15068"/>
    <tableColumn id="15082" xr3:uid="{D83CE96B-F6E0-461A-AFD6-90163DC0C88C}" name="15069"/>
    <tableColumn id="15083" xr3:uid="{0522AE33-4DCF-4525-8CB8-E113C7433BDC}" name="15070"/>
    <tableColumn id="15084" xr3:uid="{FB7212E9-D284-4334-9A35-9322B63102A3}" name="15071"/>
    <tableColumn id="15085" xr3:uid="{E1766FA1-D38F-4227-A9AB-3993287E82D7}" name="15072"/>
    <tableColumn id="15086" xr3:uid="{AEDBE850-31DF-4503-B608-E8696795EAA6}" name="15073"/>
    <tableColumn id="15087" xr3:uid="{B585E8AE-7A8A-4A67-A06A-B5CE1B9B8ED1}" name="15074"/>
    <tableColumn id="15088" xr3:uid="{76223DF9-AD21-45FA-810F-776FCB996698}" name="15075"/>
    <tableColumn id="15089" xr3:uid="{1B5D6CA2-0754-4AF9-8005-35708CBF49D9}" name="15076"/>
    <tableColumn id="15090" xr3:uid="{7DFE0EBA-21CE-44DC-9CE0-8D67C13DE6F4}" name="15077"/>
    <tableColumn id="15091" xr3:uid="{86327785-13DB-4CB4-8F1A-E05A10FA2BFA}" name="15078"/>
    <tableColumn id="15092" xr3:uid="{80A02289-9018-42FF-AE65-3224C80F0168}" name="15079"/>
    <tableColumn id="15093" xr3:uid="{029E0B05-2355-4A42-AE10-365E1B898C59}" name="15080"/>
    <tableColumn id="15094" xr3:uid="{4EB01597-556A-4258-ACD4-85F6DDEE2BED}" name="15081"/>
    <tableColumn id="15095" xr3:uid="{CC6B5D3F-1B13-417F-8699-131F9AB68F3A}" name="15082"/>
    <tableColumn id="15096" xr3:uid="{FCC37C85-ED96-4012-9F2E-1F8518588E89}" name="15083"/>
    <tableColumn id="15097" xr3:uid="{914FDB27-E502-4E80-BE61-D9BC0A11B3BC}" name="15084"/>
    <tableColumn id="15098" xr3:uid="{5BCC703D-D240-45DB-A48E-9111CBC58067}" name="15085"/>
    <tableColumn id="15099" xr3:uid="{7B63ED70-0824-4ADB-92BE-BCEE80DA697D}" name="15086"/>
    <tableColumn id="15100" xr3:uid="{8CAA76B5-C01D-40BA-B564-0BE28F75D0BC}" name="15087"/>
    <tableColumn id="15101" xr3:uid="{7958DC56-41E0-458B-89BD-724A9FB89C73}" name="15088"/>
    <tableColumn id="15102" xr3:uid="{44D3373A-2532-4831-ACF8-731A10A29C12}" name="15089"/>
    <tableColumn id="15103" xr3:uid="{FD51A9C4-C08E-4B23-8F2F-3FC916503314}" name="15090"/>
    <tableColumn id="15104" xr3:uid="{7E7C4E27-2E08-4A66-B3B0-FB6C7D38692F}" name="15091"/>
    <tableColumn id="15105" xr3:uid="{E5883D8E-45F2-4BAC-992A-976A86AC4116}" name="15092"/>
    <tableColumn id="15106" xr3:uid="{D87B0DA4-1329-43D0-AC30-E9C3AC7D18E5}" name="15093"/>
    <tableColumn id="15107" xr3:uid="{D0602BC8-1DF5-4C0D-8173-905324628AC7}" name="15094"/>
    <tableColumn id="15108" xr3:uid="{235B298B-5600-4C56-8AC4-BF3A98E28B30}" name="15095"/>
    <tableColumn id="15109" xr3:uid="{AAC4C3E8-420D-4DC5-8EB5-3144D3C43836}" name="15096"/>
    <tableColumn id="15110" xr3:uid="{14BEFFBF-0E3E-4B46-B188-57F7FBAB09E2}" name="15097"/>
    <tableColumn id="15111" xr3:uid="{28387C92-D849-4C38-AC1B-50AA02505593}" name="15098"/>
    <tableColumn id="15112" xr3:uid="{5753D2B3-DED9-42A2-AD49-53B4E061F1E1}" name="15099"/>
    <tableColumn id="15113" xr3:uid="{C47E0880-C20A-4999-BC05-13560E3EA2F8}" name="15100"/>
    <tableColumn id="15114" xr3:uid="{4981F5EC-712D-40A9-8D57-206858E7B8DE}" name="15101"/>
    <tableColumn id="15115" xr3:uid="{05C2312D-6544-49FA-832A-AC0FCC8598E2}" name="15102"/>
    <tableColumn id="15116" xr3:uid="{000AA34A-2138-4E2D-8F62-F3D15F559159}" name="15103"/>
    <tableColumn id="15117" xr3:uid="{61CBB07F-6C22-42AF-A21A-AD23179A8AB5}" name="15104"/>
    <tableColumn id="15118" xr3:uid="{33FEB9E9-179D-414A-BE40-7EA841B688EA}" name="15105"/>
    <tableColumn id="15119" xr3:uid="{5598B9CE-D25F-47DC-95AB-D58F465E4E57}" name="15106"/>
    <tableColumn id="15120" xr3:uid="{CEFB2AE7-71BD-4587-AAF5-C4504873264F}" name="15107"/>
    <tableColumn id="15121" xr3:uid="{4BE1F783-2D41-4937-8BE2-B87F7006983D}" name="15108"/>
    <tableColumn id="15122" xr3:uid="{E8D4C727-1B88-45F3-AB3B-12FDBD97A441}" name="15109"/>
    <tableColumn id="15123" xr3:uid="{C23E5F53-578B-4C41-B30A-69B5EBC591C8}" name="15110"/>
    <tableColumn id="15124" xr3:uid="{35E21E94-E65C-4902-9DF7-565BF4FBB64F}" name="15111"/>
    <tableColumn id="15125" xr3:uid="{7BE0B97A-8EAE-49B6-91BA-F256CB935518}" name="15112"/>
    <tableColumn id="15126" xr3:uid="{442BF46D-B315-4D55-9A73-89A34FC5781F}" name="15113"/>
    <tableColumn id="15127" xr3:uid="{837EBF7F-F922-4943-8145-7D5E9D81587F}" name="15114"/>
    <tableColumn id="15128" xr3:uid="{E2C8C568-1AEB-4332-8D11-307841E8F6B6}" name="15115"/>
    <tableColumn id="15129" xr3:uid="{D0541492-50A6-4FBD-8EA0-593014FB3A45}" name="15116"/>
    <tableColumn id="15130" xr3:uid="{F458063E-1CFA-4997-A467-D38784330A54}" name="15117"/>
    <tableColumn id="15131" xr3:uid="{4A215D04-F860-469E-8561-87F12C2A012D}" name="15118"/>
    <tableColumn id="15132" xr3:uid="{7864868C-A0E2-4127-9305-3F35E0BF7D27}" name="15119"/>
    <tableColumn id="15133" xr3:uid="{228EA53B-B5A2-4FC8-9E57-9F04215CD565}" name="15120"/>
    <tableColumn id="15134" xr3:uid="{2F1AB8AF-1BB2-41BC-87B6-6E03E0FD28FE}" name="15121"/>
    <tableColumn id="15135" xr3:uid="{AFEBD4FA-2151-4BCE-8E61-C0A0201DE2ED}" name="15122"/>
    <tableColumn id="15136" xr3:uid="{F1DE93EA-FB1D-4277-9DE5-D22D4FE06FA6}" name="15123"/>
    <tableColumn id="15137" xr3:uid="{D19C58CD-400F-4BE9-944A-264C659C99D4}" name="15124"/>
    <tableColumn id="15138" xr3:uid="{9B26DE97-E3E8-41A1-A896-A49FE481B277}" name="15125"/>
    <tableColumn id="15139" xr3:uid="{BFB3EF3D-9134-4EF7-96BE-4AC158E343AB}" name="15126"/>
    <tableColumn id="15140" xr3:uid="{7D67D265-B858-4C07-901E-0034C4D56970}" name="15127"/>
    <tableColumn id="15141" xr3:uid="{6A957953-C23C-4445-8884-40514D4ACAFE}" name="15128"/>
    <tableColumn id="15142" xr3:uid="{F2426225-1F07-4A65-B496-80721CC64FFF}" name="15129"/>
    <tableColumn id="15143" xr3:uid="{B6FEFAA5-076F-4015-81D8-CAC7221F5F8F}" name="15130"/>
    <tableColumn id="15144" xr3:uid="{E72ED80C-5176-4D09-A88F-43E64121653B}" name="15131"/>
    <tableColumn id="15145" xr3:uid="{86095646-BEFF-4684-B74A-45CB05B613B0}" name="15132"/>
    <tableColumn id="15146" xr3:uid="{E26EB6E1-26D5-47AC-9963-63EA00FB6863}" name="15133"/>
    <tableColumn id="15147" xr3:uid="{9B0E6D4E-13A7-4CAB-9307-5884A9441171}" name="15134"/>
    <tableColumn id="15148" xr3:uid="{C60BEC35-0833-49D5-8B4D-104A62DA53C9}" name="15135"/>
    <tableColumn id="15149" xr3:uid="{8479FC25-2156-488D-989B-BE92CBD38B37}" name="15136"/>
    <tableColumn id="15150" xr3:uid="{F570B587-9B29-440C-8E0C-B9F756F47E1D}" name="15137"/>
    <tableColumn id="15151" xr3:uid="{4CC6046C-4721-43BA-8899-BE07072164F4}" name="15138"/>
    <tableColumn id="15152" xr3:uid="{3D7605D1-582C-40AD-872F-167B06D6448F}" name="15139"/>
    <tableColumn id="15153" xr3:uid="{4C0BED9F-530A-48D7-AD75-03430627B08F}" name="15140"/>
    <tableColumn id="15154" xr3:uid="{7EFAB451-1112-4BF1-B7B7-AC40028DAD6C}" name="15141"/>
    <tableColumn id="15155" xr3:uid="{39AAA7C4-42BD-4D98-BD10-6B562DE7C43C}" name="15142"/>
    <tableColumn id="15156" xr3:uid="{5F7FCCD9-22E2-454E-A0F4-B8AFBFC7AE72}" name="15143"/>
    <tableColumn id="15157" xr3:uid="{07CF6437-CF74-4AEE-B779-61FC5CBFDD1F}" name="15144"/>
    <tableColumn id="15158" xr3:uid="{A6F598CB-3905-40EB-93AF-D6424E0FB5A5}" name="15145"/>
    <tableColumn id="15159" xr3:uid="{7D1D7B96-F955-4106-9A14-DBB51FD5E624}" name="15146"/>
    <tableColumn id="15160" xr3:uid="{AE4D6BFE-0300-45D0-BA90-A34B342044E2}" name="15147"/>
    <tableColumn id="15161" xr3:uid="{7821E2CF-F90D-4CEF-8B6D-E1712A3C5ECC}" name="15148"/>
    <tableColumn id="15162" xr3:uid="{AFA295A4-3E3C-4DB3-AE30-479495C21787}" name="15149"/>
    <tableColumn id="15163" xr3:uid="{A6DFA660-9D7F-4E62-BC4F-1A4A9E724180}" name="15150"/>
    <tableColumn id="15164" xr3:uid="{21CF2F33-1619-4837-AA7E-EFCE29E19785}" name="15151"/>
    <tableColumn id="15165" xr3:uid="{F3B15D7A-C61B-4433-9103-BC09ABBF94AE}" name="15152"/>
    <tableColumn id="15166" xr3:uid="{592C9B8D-EC3E-4CCD-9ABE-6B329CED248B}" name="15153"/>
    <tableColumn id="15167" xr3:uid="{24BCF0A1-4D2A-41CE-98B1-8B07B8D53EB1}" name="15154"/>
    <tableColumn id="15168" xr3:uid="{2D9103A2-D0FB-4BA5-92BA-FA1086FFE70D}" name="15155"/>
    <tableColumn id="15169" xr3:uid="{E51EF7B7-D419-4E53-97F2-04FE7429341C}" name="15156"/>
    <tableColumn id="15170" xr3:uid="{BD6A2CAF-1A0B-4913-8362-12D5D31073BA}" name="15157"/>
    <tableColumn id="15171" xr3:uid="{5CDC880C-78F1-439B-9032-7F54C8C6A568}" name="15158"/>
    <tableColumn id="15172" xr3:uid="{37F2E91F-5139-4B9C-B540-124E2ED75923}" name="15159"/>
    <tableColumn id="15173" xr3:uid="{2E941CBF-46A3-4BDA-B21A-10C55CE16A45}" name="15160"/>
    <tableColumn id="15174" xr3:uid="{7316C5BB-9CCF-4EC6-82C6-1A99D66BE5D1}" name="15161"/>
    <tableColumn id="15175" xr3:uid="{1EA70E42-1E38-4611-9642-BA00347D7E6B}" name="15162"/>
    <tableColumn id="15176" xr3:uid="{8CA24DF2-091A-4D28-A5EE-3C2C0B36DF05}" name="15163"/>
    <tableColumn id="15177" xr3:uid="{70AB8D6B-C622-4A98-836B-FE0EFE36C92A}" name="15164"/>
    <tableColumn id="15178" xr3:uid="{6C0E1430-794E-433F-AB23-D767C1972AB1}" name="15165"/>
    <tableColumn id="15179" xr3:uid="{604D950D-4D6D-4488-9E47-A905067FFEC0}" name="15166"/>
    <tableColumn id="15180" xr3:uid="{FF054D0C-A05B-46C0-9751-942AC4C671CE}" name="15167"/>
    <tableColumn id="15181" xr3:uid="{F0A97B35-1D95-4BBE-A62C-8869B38C79FF}" name="15168"/>
    <tableColumn id="15182" xr3:uid="{14A7661E-85C1-4E5C-AA56-84C95F9479E1}" name="15169"/>
    <tableColumn id="15183" xr3:uid="{3B5ADA97-732A-45FB-8E26-4F16619E2A5A}" name="15170"/>
    <tableColumn id="15184" xr3:uid="{A9C5D881-9DB9-412D-80A9-C2F62AE4B9F2}" name="15171"/>
    <tableColumn id="15185" xr3:uid="{8D1AD487-5767-463F-BD77-0A119B745DB6}" name="15172"/>
    <tableColumn id="15186" xr3:uid="{4BE0ECCB-5086-4454-B9E6-7A112113E96A}" name="15173"/>
    <tableColumn id="15187" xr3:uid="{AA7BFBEE-F44B-4866-B1DC-E3910DD40A74}" name="15174"/>
    <tableColumn id="15188" xr3:uid="{05054E29-5D63-4A5E-8DC7-287E85AD9B59}" name="15175"/>
    <tableColumn id="15189" xr3:uid="{A5809E2F-1743-489B-A71D-0B02CD669252}" name="15176"/>
    <tableColumn id="15190" xr3:uid="{35E4EDEC-6841-48BC-9E4C-2E3A1E3247C5}" name="15177"/>
    <tableColumn id="15191" xr3:uid="{2C8D3C27-733F-416C-895A-BBB26F59AF67}" name="15178"/>
    <tableColumn id="15192" xr3:uid="{EDDDB3AF-B11F-4C41-995B-1C1195312C76}" name="15179"/>
    <tableColumn id="15193" xr3:uid="{C0B17E99-9A15-4A4E-A3D5-ECC64BB071D9}" name="15180"/>
    <tableColumn id="15194" xr3:uid="{1C730E6F-74DD-42A6-94D4-A4AC9879B337}" name="15181"/>
    <tableColumn id="15195" xr3:uid="{5690D7F5-169B-470D-91B0-709B045E3E83}" name="15182"/>
    <tableColumn id="15196" xr3:uid="{825ECC02-BB61-4B02-B580-820FC4931159}" name="15183"/>
    <tableColumn id="15197" xr3:uid="{4C366D44-7491-439D-BEBB-AFF8886C85EA}" name="15184"/>
    <tableColumn id="15198" xr3:uid="{A8594FF4-7FDF-4E52-AF4F-99F9539AA232}" name="15185"/>
    <tableColumn id="15199" xr3:uid="{23D6385A-F83B-4F8A-8089-9DC67A5C7A0B}" name="15186"/>
    <tableColumn id="15200" xr3:uid="{8E7FC7A9-52E4-4FBB-B7A5-0D4F7FD118F4}" name="15187"/>
    <tableColumn id="15201" xr3:uid="{E7291EE4-44CC-428D-987C-BFDBD482A656}" name="15188"/>
    <tableColumn id="15202" xr3:uid="{BDC5F938-AFFD-4421-9FC2-5F941DE52830}" name="15189"/>
    <tableColumn id="15203" xr3:uid="{8A3070C7-B5C1-4117-9ACF-E45CA891B593}" name="15190"/>
    <tableColumn id="15204" xr3:uid="{B8279A13-ECDF-4D42-ACB4-47EFD77F1FD8}" name="15191"/>
    <tableColumn id="15205" xr3:uid="{C93AE2E2-BF4A-49B6-875D-AC23FDE1F330}" name="15192"/>
    <tableColumn id="15206" xr3:uid="{BCD4CC9B-D7F6-41E6-A7EB-D05142BB945A}" name="15193"/>
    <tableColumn id="15207" xr3:uid="{FEB3DE36-8536-43AE-87A9-355779612976}" name="15194"/>
    <tableColumn id="15208" xr3:uid="{07092250-EE66-4626-AD2C-1FEDD84E7B51}" name="15195"/>
    <tableColumn id="15209" xr3:uid="{99F832CA-1FA7-461C-883E-59C8A63EB4B1}" name="15196"/>
    <tableColumn id="15210" xr3:uid="{44FDA678-012B-4D0B-AAE7-B8C50001A7D0}" name="15197"/>
    <tableColumn id="15211" xr3:uid="{3BC8F2DF-F6A6-4D8A-AC00-5BFB48CC7330}" name="15198"/>
    <tableColumn id="15212" xr3:uid="{C76D7A18-48CE-482A-88BD-1634D525E62D}" name="15199"/>
    <tableColumn id="15213" xr3:uid="{80C815A2-79A6-48B9-9666-2D386669943A}" name="15200"/>
    <tableColumn id="15214" xr3:uid="{E20FFD11-F884-413F-93C4-2FF8467FD433}" name="15201"/>
    <tableColumn id="15215" xr3:uid="{7A33D7B3-2492-4E83-87A9-ADBD9B953EA2}" name="15202"/>
    <tableColumn id="15216" xr3:uid="{E6CCA38B-A947-4200-8586-58D982E2F37A}" name="15203"/>
    <tableColumn id="15217" xr3:uid="{26D24125-0346-43FA-A4A1-7A266E8DA786}" name="15204"/>
    <tableColumn id="15218" xr3:uid="{CDC5CAC3-221A-4EA5-ADCD-758A9AE443C2}" name="15205"/>
    <tableColumn id="15219" xr3:uid="{A5D8D2A5-EE4F-4A3F-ABFF-E4D31AB640BD}" name="15206"/>
    <tableColumn id="15220" xr3:uid="{AAE4314F-9F90-457D-A06F-EFE644AEA89A}" name="15207"/>
    <tableColumn id="15221" xr3:uid="{27198628-0C06-4EDE-BD08-7A9B80F9C47D}" name="15208"/>
    <tableColumn id="15222" xr3:uid="{98596115-CCA9-44E7-A6BA-0AAEAFF229E6}" name="15209"/>
    <tableColumn id="15223" xr3:uid="{44A75CBA-FC58-4D21-8C2B-EF0BEA806A6D}" name="15210"/>
    <tableColumn id="15224" xr3:uid="{BC9D1F18-24F9-4B76-9388-9EE1D5BEFBDE}" name="15211"/>
    <tableColumn id="15225" xr3:uid="{11D2BF63-BB7A-4257-ADB2-48D55F92FB52}" name="15212"/>
    <tableColumn id="15226" xr3:uid="{63D48595-16ED-423D-8283-E83D956C411E}" name="15213"/>
    <tableColumn id="15227" xr3:uid="{386B5EDC-425D-4ED9-BE0E-B92BC6F934E9}" name="15214"/>
    <tableColumn id="15228" xr3:uid="{407C4F25-EC15-4D74-A78C-5560E5B282C3}" name="15215"/>
    <tableColumn id="15229" xr3:uid="{A03F43EF-A05B-4451-9599-856E6DBE3618}" name="15216"/>
    <tableColumn id="15230" xr3:uid="{406DDA50-0C16-425A-AB20-62066FBE8297}" name="15217"/>
    <tableColumn id="15231" xr3:uid="{BDAE8987-542F-4146-BF46-5091AD3F864A}" name="15218"/>
    <tableColumn id="15232" xr3:uid="{35338CC3-1C8D-4847-AF09-44D39B34A973}" name="15219"/>
    <tableColumn id="15233" xr3:uid="{33F16CC5-8744-47ED-9F34-C3B64D953B96}" name="15220"/>
    <tableColumn id="15234" xr3:uid="{DFFE80FB-B571-4AAC-839A-DF59AACBD25D}" name="15221"/>
    <tableColumn id="15235" xr3:uid="{81969691-034F-4295-A9D8-89FD4D89C656}" name="15222"/>
    <tableColumn id="15236" xr3:uid="{0FD7F335-22B4-423E-8D4E-174643CB911B}" name="15223"/>
    <tableColumn id="15237" xr3:uid="{AFF99A64-556C-4A5A-8288-D4E58C03B7AA}" name="15224"/>
    <tableColumn id="15238" xr3:uid="{AAB864CF-A95E-4CE2-8738-E2E71BBE017C}" name="15225"/>
    <tableColumn id="15239" xr3:uid="{3550D7A5-FA5E-405D-94B8-6092F6BA1ADD}" name="15226"/>
    <tableColumn id="15240" xr3:uid="{8A439043-6C0E-40FD-8333-5108B77BE6CE}" name="15227"/>
    <tableColumn id="15241" xr3:uid="{F49B7113-4E28-4A63-86F0-9020988D9048}" name="15228"/>
    <tableColumn id="15242" xr3:uid="{A8F429E0-5C72-429F-A337-C847D2BFF0BD}" name="15229"/>
    <tableColumn id="15243" xr3:uid="{81582A27-3763-4E7B-8DF2-225268CF7823}" name="15230"/>
    <tableColumn id="15244" xr3:uid="{613461BD-2321-4F2D-BEC1-5DBD03F77E5A}" name="15231"/>
    <tableColumn id="15245" xr3:uid="{BE48DEDD-CD0F-4587-8444-1B9F9F3FC5D1}" name="15232"/>
    <tableColumn id="15246" xr3:uid="{2343DEB0-44E7-49FC-88DE-1D6D57657A0E}" name="15233"/>
    <tableColumn id="15247" xr3:uid="{BE2F8839-23C2-41A3-9825-95AD2CDE3E37}" name="15234"/>
    <tableColumn id="15248" xr3:uid="{DE7F2CE5-0D3B-4FB1-BA83-3F4F59ED5DAD}" name="15235"/>
    <tableColumn id="15249" xr3:uid="{DCDF3FAA-EDE5-4EFD-85C0-ECA6562A4198}" name="15236"/>
    <tableColumn id="15250" xr3:uid="{2C7C615D-528D-4658-82CB-C58CAF8C6F05}" name="15237"/>
    <tableColumn id="15251" xr3:uid="{3B1D3577-00EC-4C33-82F6-1ADFA99FEB16}" name="15238"/>
    <tableColumn id="15252" xr3:uid="{DD686F1E-D296-406E-9BC6-29AF26981576}" name="15239"/>
    <tableColumn id="15253" xr3:uid="{C207BE45-BF74-4049-AFA4-1B25F8D22B0B}" name="15240"/>
    <tableColumn id="15254" xr3:uid="{B17B8A13-8072-4C86-B6CC-AE821D0EFD33}" name="15241"/>
    <tableColumn id="15255" xr3:uid="{82850811-35E2-4995-A76E-74B8123B9271}" name="15242"/>
    <tableColumn id="15256" xr3:uid="{5C48AC6F-1B79-4440-8511-1E715255699D}" name="15243"/>
    <tableColumn id="15257" xr3:uid="{36C8E7C1-0242-41D2-9581-92946BB1D1E0}" name="15244"/>
    <tableColumn id="15258" xr3:uid="{C520E3C8-C95A-4D70-A529-C5EDB3DFF83A}" name="15245"/>
    <tableColumn id="15259" xr3:uid="{9FF1AB5E-E7C7-4356-96D6-2692D80077B5}" name="15246"/>
    <tableColumn id="15260" xr3:uid="{ED267DB6-D806-4818-80E8-E07E3B905EB6}" name="15247"/>
    <tableColumn id="15261" xr3:uid="{8891983E-9623-4DBD-A9AD-7D7B5A7158A5}" name="15248"/>
    <tableColumn id="15262" xr3:uid="{F5ACE183-A25A-4DC0-8882-B5C6DF606D31}" name="15249"/>
    <tableColumn id="15263" xr3:uid="{F898E7E7-6649-44F8-9288-7EC601633888}" name="15250"/>
    <tableColumn id="15264" xr3:uid="{C6DC2A54-BA24-45BE-9EA2-FD4E755EA599}" name="15251"/>
    <tableColumn id="15265" xr3:uid="{91BD0666-C4EA-42CA-859C-174DE642B215}" name="15252"/>
    <tableColumn id="15266" xr3:uid="{9320EEEF-0301-411B-B26A-40C7F258CCD9}" name="15253"/>
    <tableColumn id="15267" xr3:uid="{AA6C4733-D3CD-456D-9060-18B11F820F95}" name="15254"/>
    <tableColumn id="15268" xr3:uid="{2C9188E7-9493-4E4D-924E-45BB9B71483F}" name="15255"/>
    <tableColumn id="15269" xr3:uid="{FC54CCEE-4786-4DA8-8F1A-CEE772033D64}" name="15256"/>
    <tableColumn id="15270" xr3:uid="{C49049F4-591F-406E-965D-752697D0724E}" name="15257"/>
    <tableColumn id="15271" xr3:uid="{3DB03895-98BB-4765-8926-1F444C296BB2}" name="15258"/>
    <tableColumn id="15272" xr3:uid="{F4DA97A1-7EA2-446B-AE6F-25DD5D8B5F03}" name="15259"/>
    <tableColumn id="15273" xr3:uid="{B39B41D6-C746-425E-ADF4-D324ACD5AB65}" name="15260"/>
    <tableColumn id="15274" xr3:uid="{DD860E7F-278F-48AD-87D0-7EF9C47B124B}" name="15261"/>
    <tableColumn id="15275" xr3:uid="{69196B45-FBBF-495C-B396-F01B6D4C56B7}" name="15262"/>
    <tableColumn id="15276" xr3:uid="{ED4EE5F8-F9D7-4C6A-8BD2-6A03ECC87876}" name="15263"/>
    <tableColumn id="15277" xr3:uid="{C134781E-EAE9-4CE1-B6BF-997BFC02A094}" name="15264"/>
    <tableColumn id="15278" xr3:uid="{B17BB3A4-E5BB-4052-8188-3387A5FAC9E1}" name="15265"/>
    <tableColumn id="15279" xr3:uid="{905F9D95-27DE-4627-9830-0D7546CFA761}" name="15266"/>
    <tableColumn id="15280" xr3:uid="{A657B3A3-579B-4A37-A68A-8702477CCCA5}" name="15267"/>
    <tableColumn id="15281" xr3:uid="{4B9629F4-8871-4078-8C9B-2D7D32B5BDD3}" name="15268"/>
    <tableColumn id="15282" xr3:uid="{CAE28876-EE32-4FA5-9A8D-F754585BFD3C}" name="15269"/>
    <tableColumn id="15283" xr3:uid="{FDC4C2C2-4F5D-4AA1-99DE-24AA21B2243A}" name="15270"/>
    <tableColumn id="15284" xr3:uid="{66DE792D-6894-4578-B97A-C85E85C07EA0}" name="15271"/>
    <tableColumn id="15285" xr3:uid="{7D869893-E127-448C-BE11-941CDC73A2A7}" name="15272"/>
    <tableColumn id="15286" xr3:uid="{8E09B357-C1A1-45AF-B786-0F410E4A17D2}" name="15273"/>
    <tableColumn id="15287" xr3:uid="{296E8656-1B94-4396-A034-F6E00F923EF6}" name="15274"/>
    <tableColumn id="15288" xr3:uid="{484AB4F0-BA72-45EB-ADA5-97E86C8563C6}" name="15275"/>
    <tableColumn id="15289" xr3:uid="{45B08668-F04A-491D-9283-199AD56FFBFB}" name="15276"/>
    <tableColumn id="15290" xr3:uid="{8BCFA2E2-A8F0-4EAE-A1E2-A5D4F25782C1}" name="15277"/>
    <tableColumn id="15291" xr3:uid="{F7076FE8-910D-4ECF-9C03-6C6FE494B3B6}" name="15278"/>
    <tableColumn id="15292" xr3:uid="{6B11B341-DF99-4592-B1F1-326EB061A90C}" name="15279"/>
    <tableColumn id="15293" xr3:uid="{5B6F6A11-0756-4E49-B99F-DB0B427AB6F7}" name="15280"/>
    <tableColumn id="15294" xr3:uid="{EB80B53E-FAC9-4BEE-AF4D-02B3702CB446}" name="15281"/>
    <tableColumn id="15295" xr3:uid="{92FD4744-20A2-4AB2-A621-6FD57B94F95F}" name="15282"/>
    <tableColumn id="15296" xr3:uid="{134462BA-A3C8-4FB4-A590-2D694E178B3E}" name="15283"/>
    <tableColumn id="15297" xr3:uid="{1E9B735F-E9E7-4DB2-9BD8-AC65A5ED0B45}" name="15284"/>
    <tableColumn id="15298" xr3:uid="{A68C2AC4-E6F5-483C-90B7-EEEED96FC833}" name="15285"/>
    <tableColumn id="15299" xr3:uid="{D8467601-8E2C-4CA8-A791-6D6834FBE3B5}" name="15286"/>
    <tableColumn id="15300" xr3:uid="{B7195574-7B49-4EBB-A658-4DD3CDCC69F3}" name="15287"/>
    <tableColumn id="15301" xr3:uid="{D2A1FA4A-7E1A-42BF-809A-3C8A8966F4B6}" name="15288"/>
    <tableColumn id="15302" xr3:uid="{92088BBA-3AA2-40A2-994C-CCDE70137C49}" name="15289"/>
    <tableColumn id="15303" xr3:uid="{85E6B6E2-8F1D-4BED-8B5A-42A918E95388}" name="15290"/>
    <tableColumn id="15304" xr3:uid="{5DBBFD61-142F-4BB6-91CA-495F2F610887}" name="15291"/>
    <tableColumn id="15305" xr3:uid="{27CDF745-73EE-4463-8B41-64BFD80A1529}" name="15292"/>
    <tableColumn id="15306" xr3:uid="{2BADC11F-5B93-46C6-953E-9742E4D2FE75}" name="15293"/>
    <tableColumn id="15307" xr3:uid="{F4865679-BB07-4B45-9DDE-803800D97B42}" name="15294"/>
    <tableColumn id="15308" xr3:uid="{2118D192-517E-4EF5-A6BB-D06A8EA5905C}" name="15295"/>
    <tableColumn id="15309" xr3:uid="{054B9AB1-9441-42B6-9079-235EA7AE021B}" name="15296"/>
    <tableColumn id="15310" xr3:uid="{EF7354D4-6A7A-4215-8F7B-1055745E0FEA}" name="15297"/>
    <tableColumn id="15311" xr3:uid="{C3564FB2-B244-4F4C-AE75-957DF0258945}" name="15298"/>
    <tableColumn id="15312" xr3:uid="{2D64D7DF-46E5-4346-840B-8B03CBC73831}" name="15299"/>
    <tableColumn id="15313" xr3:uid="{D0FA9A53-8ED7-4079-BD85-AE27EBEEF9B1}" name="15300"/>
    <tableColumn id="15314" xr3:uid="{0ACA2B6A-2FC5-423C-BA06-CA0DCDF01E70}" name="15301"/>
    <tableColumn id="15315" xr3:uid="{9AF26FF9-168F-4508-A814-8A8CD42417D7}" name="15302"/>
    <tableColumn id="15316" xr3:uid="{5958B94A-A7EC-4468-9FC2-5643DD747EAB}" name="15303"/>
    <tableColumn id="15317" xr3:uid="{24F5DA07-506F-4589-9C16-70FDB35AF987}" name="15304"/>
    <tableColumn id="15318" xr3:uid="{1323BBC4-C96A-4B64-A072-814D72B822B3}" name="15305"/>
    <tableColumn id="15319" xr3:uid="{7D4B5C74-8C09-4075-9366-72E389F64170}" name="15306"/>
    <tableColumn id="15320" xr3:uid="{8C69A877-55B8-4516-BB93-2D10893B1D2F}" name="15307"/>
    <tableColumn id="15321" xr3:uid="{C8377505-6B06-4769-9EB8-96C404FAF983}" name="15308"/>
    <tableColumn id="15322" xr3:uid="{1A828740-7899-4E20-A042-756AC0E49BD3}" name="15309"/>
    <tableColumn id="15323" xr3:uid="{342071EF-F857-445A-8567-D6D6BFE27829}" name="15310"/>
    <tableColumn id="15324" xr3:uid="{06CF9AF3-9118-4029-816A-311DBFFAFBC3}" name="15311"/>
    <tableColumn id="15325" xr3:uid="{C30F798B-1238-4DD1-BF3A-71995E6ED4FA}" name="15312"/>
    <tableColumn id="15326" xr3:uid="{AF264EAC-5E84-4ADA-8A1B-9B926BAA15B8}" name="15313"/>
    <tableColumn id="15327" xr3:uid="{6B2A772B-6112-4980-B87C-967ED5ABB2E1}" name="15314"/>
    <tableColumn id="15328" xr3:uid="{ECCC7787-D369-451A-8AEB-B18CAAA71353}" name="15315"/>
    <tableColumn id="15329" xr3:uid="{8C5DC9E2-1AF1-4577-B77E-72EF01BFE5B0}" name="15316"/>
    <tableColumn id="15330" xr3:uid="{7D024418-787F-4EC3-B9BA-7754008469F4}" name="15317"/>
    <tableColumn id="15331" xr3:uid="{CC785104-201A-400E-B1E3-0723C9219CFD}" name="15318"/>
    <tableColumn id="15332" xr3:uid="{6E903466-64C7-40E3-986A-79E37AC295E4}" name="15319"/>
    <tableColumn id="15333" xr3:uid="{1F6D4A3F-EF08-4FC6-A56A-7C4608A0884D}" name="15320"/>
    <tableColumn id="15334" xr3:uid="{95F2705E-0ECE-4ADD-90B9-33A99C0CFAFC}" name="15321"/>
    <tableColumn id="15335" xr3:uid="{68041A13-7E3A-4B7D-9730-772E0EC12C69}" name="15322"/>
    <tableColumn id="15336" xr3:uid="{0E7BDDD6-936A-46E7-89ED-57276FAAB3C5}" name="15323"/>
    <tableColumn id="15337" xr3:uid="{ACC73176-77FF-4267-90A9-E2429C261DB1}" name="15324"/>
    <tableColumn id="15338" xr3:uid="{86B552A1-68FB-4161-8EF5-19599502FC5B}" name="15325"/>
    <tableColumn id="15339" xr3:uid="{DB089DDA-4AC5-4BBE-A107-9332F1B5446E}" name="15326"/>
    <tableColumn id="15340" xr3:uid="{6F6AEC83-2B8D-4E2A-A588-2DDB659E14A6}" name="15327"/>
    <tableColumn id="15341" xr3:uid="{FEE775E5-AC25-4014-A624-08A13AC30F50}" name="15328"/>
    <tableColumn id="15342" xr3:uid="{BE5F1689-32EE-42EE-ADF3-83AC7769AE63}" name="15329"/>
    <tableColumn id="15343" xr3:uid="{152739A6-EACC-4D2B-9F78-572E1D37A39D}" name="15330"/>
    <tableColumn id="15344" xr3:uid="{694BAB3C-5877-42E0-893B-006E2D49BCF1}" name="15331"/>
    <tableColumn id="15345" xr3:uid="{1AF15AE4-4F46-446C-8FF2-2B3CD64770C6}" name="15332"/>
    <tableColumn id="15346" xr3:uid="{4594BCE0-B144-409D-A416-4A6E87278860}" name="15333"/>
    <tableColumn id="15347" xr3:uid="{35396E8A-D9D6-4009-98AA-F1178F7E7D13}" name="15334"/>
    <tableColumn id="15348" xr3:uid="{0573E0AA-CE97-44C4-BC01-BACB419DDE3C}" name="15335"/>
    <tableColumn id="15349" xr3:uid="{43AF8C26-21FA-4E28-8FE0-0962B4C91093}" name="15336"/>
    <tableColumn id="15350" xr3:uid="{7365F057-5598-408F-9D73-F589BB322BA2}" name="15337"/>
    <tableColumn id="15351" xr3:uid="{02230FEC-8F19-4540-9E68-4C8F91FDF499}" name="15338"/>
    <tableColumn id="15352" xr3:uid="{A822F6D5-BEA5-42C5-B88B-BD0EBC7B078A}" name="15339"/>
    <tableColumn id="15353" xr3:uid="{74EFF2D1-6CF4-499F-8F4E-B118B903A72F}" name="15340"/>
    <tableColumn id="15354" xr3:uid="{50BFD523-CEAD-48B5-BCA9-F90DCF301CFC}" name="15341"/>
    <tableColumn id="15355" xr3:uid="{B7785E1C-C546-46BF-8DB8-4B56A4D8E1DD}" name="15342"/>
    <tableColumn id="15356" xr3:uid="{99604757-0460-4831-8E34-0213F7C380A2}" name="15343"/>
    <tableColumn id="15357" xr3:uid="{FB6958A0-D3E8-4A53-9E00-861E0B295294}" name="15344"/>
    <tableColumn id="15358" xr3:uid="{0169F298-0565-4E44-A329-CD1913B8ED63}" name="15345"/>
    <tableColumn id="15359" xr3:uid="{2F8A83CD-F2C5-4DDB-A6F3-DF142C8FE5E0}" name="15346"/>
    <tableColumn id="15360" xr3:uid="{54FF8D95-04FD-4FB0-8892-BA75807E849A}" name="15347"/>
    <tableColumn id="15361" xr3:uid="{95C179B0-CC45-4D5B-9094-632410DD9CCF}" name="15348"/>
    <tableColumn id="15362" xr3:uid="{4D5A265B-DB97-4711-B8D4-81E4C5A3E8A6}" name="15349"/>
    <tableColumn id="15363" xr3:uid="{0B2A81B1-B547-4F71-8275-BD7F9FFF9800}" name="15350"/>
    <tableColumn id="15364" xr3:uid="{43CFCC0B-2797-451A-96E6-D390DAB7231A}" name="15351"/>
    <tableColumn id="15365" xr3:uid="{F820EFEA-C6F8-4647-94E1-F7AE97D667B7}" name="15352"/>
    <tableColumn id="15366" xr3:uid="{082012C3-FF2B-4CD7-A5D3-B8CDCB31E7CD}" name="15353"/>
    <tableColumn id="15367" xr3:uid="{DC4A2FC7-6662-4C6B-A699-303E2D18C804}" name="15354"/>
    <tableColumn id="15368" xr3:uid="{A988C499-A218-414C-B921-2518C7761B50}" name="15355"/>
    <tableColumn id="15369" xr3:uid="{6C9C50EA-2B18-4035-972F-D7E26535D6AB}" name="15356"/>
    <tableColumn id="15370" xr3:uid="{A1F88FB8-5C5F-4C42-A1C5-691BA2116CDE}" name="15357"/>
    <tableColumn id="15371" xr3:uid="{62415090-6DCF-4CE6-B691-868AC76FAF4E}" name="15358"/>
    <tableColumn id="15372" xr3:uid="{49EDAE26-AA83-4AE4-B3A2-D5454CCC0F2E}" name="15359"/>
    <tableColumn id="15373" xr3:uid="{1EB55213-5A4C-4A95-8397-D708CD7A88E9}" name="15360"/>
    <tableColumn id="15374" xr3:uid="{798552C9-3A79-45B3-8F27-A24762C8E536}" name="15361"/>
    <tableColumn id="15375" xr3:uid="{6E12EDA6-36D2-4FFD-ABF3-399213985C7C}" name="15362"/>
    <tableColumn id="15376" xr3:uid="{C5010311-A12A-481E-BECA-290B7E81209A}" name="15363"/>
    <tableColumn id="15377" xr3:uid="{5D19A960-DB23-4E32-82AF-CA73BE3CB60A}" name="15364"/>
    <tableColumn id="15378" xr3:uid="{5DB9BA0F-FCD2-4AF7-A965-36F00A885AC0}" name="15365"/>
    <tableColumn id="15379" xr3:uid="{B8DF2453-54C3-4A55-9CC9-F42712107CFF}" name="15366"/>
    <tableColumn id="15380" xr3:uid="{0F207060-D761-4256-8969-CCA56F13D989}" name="15367"/>
    <tableColumn id="15381" xr3:uid="{2C3D4D9F-D470-49CD-B3AC-25E6F3A87CB0}" name="15368"/>
    <tableColumn id="15382" xr3:uid="{A27D7B2D-DB1D-42BF-9C67-284E811CC37B}" name="15369"/>
    <tableColumn id="15383" xr3:uid="{1DD85CFB-6587-4E1D-B02C-36E947E9553E}" name="15370"/>
    <tableColumn id="15384" xr3:uid="{4E976FCA-F06C-43D6-A1C6-94787F85F83B}" name="15371"/>
    <tableColumn id="15385" xr3:uid="{81DB0CEE-A90E-43B2-A309-65208A94B8B4}" name="15372"/>
    <tableColumn id="15386" xr3:uid="{3F66A6EE-0EFC-4F63-8009-F9AB5C15669C}" name="15373"/>
    <tableColumn id="15387" xr3:uid="{B235A649-C28D-4053-A43D-13C1CC710DC6}" name="15374"/>
    <tableColumn id="15388" xr3:uid="{A6DF2DF7-086D-4782-BC25-E2560C9C5B78}" name="15375"/>
    <tableColumn id="15389" xr3:uid="{46DFAFA0-3D99-4450-9B8F-C217A2D9D660}" name="15376"/>
    <tableColumn id="15390" xr3:uid="{6F609C9D-6F05-4454-B91C-6A701A7FA51F}" name="15377"/>
    <tableColumn id="15391" xr3:uid="{1246C099-F165-4A8D-8D82-25B257E8AD5C}" name="15378"/>
    <tableColumn id="15392" xr3:uid="{13D01647-0D0C-423E-9341-576B788EF16F}" name="15379"/>
    <tableColumn id="15393" xr3:uid="{B362567E-9DC5-452E-AF45-3736DCC5DEE3}" name="15380"/>
    <tableColumn id="15394" xr3:uid="{C093D0E5-5050-4C10-AE44-79D559DACEC2}" name="15381"/>
    <tableColumn id="15395" xr3:uid="{11C4333A-7EDB-46F3-8C25-E475B9684958}" name="15382"/>
    <tableColumn id="15396" xr3:uid="{449443B1-4C14-4F7D-B743-7C6CA6A44F65}" name="15383"/>
    <tableColumn id="15397" xr3:uid="{731AE120-F6D2-47BA-B1BE-305A4A23BB54}" name="15384"/>
    <tableColumn id="15398" xr3:uid="{9E2E05FF-8218-4ABF-B6B6-3C8F6CF76657}" name="15385"/>
    <tableColumn id="15399" xr3:uid="{D262A111-E3D5-4910-AF9C-79F46C2B2CF8}" name="15386"/>
    <tableColumn id="15400" xr3:uid="{CE0F2E81-A72E-46FC-AA74-5486D6D71DC0}" name="15387"/>
    <tableColumn id="15401" xr3:uid="{E43D779F-F886-45A3-B332-0D7D81CF2D93}" name="15388"/>
    <tableColumn id="15402" xr3:uid="{929389FF-8390-436B-B588-57AF8B064887}" name="15389"/>
    <tableColumn id="15403" xr3:uid="{69B29C87-F2FE-4205-AA2E-DBC0E7678DBF}" name="15390"/>
    <tableColumn id="15404" xr3:uid="{4A351A9C-8CF3-4FF1-91B3-5435CE57F3D3}" name="15391"/>
    <tableColumn id="15405" xr3:uid="{0961F6A0-88D8-4997-B9F3-81C7EA1C090B}" name="15392"/>
    <tableColumn id="15406" xr3:uid="{62DA8AF2-1E4B-4345-8D38-E3D11FF8836B}" name="15393"/>
    <tableColumn id="15407" xr3:uid="{7B86E3AB-E674-4275-A1EC-DC70E0CF97D4}" name="15394"/>
    <tableColumn id="15408" xr3:uid="{6CC92DE3-15F7-45EE-AA2A-D585B735E4F1}" name="15395"/>
    <tableColumn id="15409" xr3:uid="{42001379-F86D-49EB-93DE-EBCE16B3D9E1}" name="15396"/>
    <tableColumn id="15410" xr3:uid="{672D27C2-8176-4C9A-A0B9-ED838ED096CF}" name="15397"/>
    <tableColumn id="15411" xr3:uid="{7EF81838-0CA8-49D8-BF3F-48A46760045E}" name="15398"/>
    <tableColumn id="15412" xr3:uid="{458BF47B-3D54-4A1C-A878-67C44440A17E}" name="15399"/>
    <tableColumn id="15413" xr3:uid="{566B44D1-5028-4617-BD42-AFA57D6B75C7}" name="15400"/>
    <tableColumn id="15414" xr3:uid="{735CA9B0-C163-4750-93C6-3B1A1CB97AAE}" name="15401"/>
    <tableColumn id="15415" xr3:uid="{64BD868C-BE28-4C43-A2F0-EC059F1BCC1E}" name="15402"/>
    <tableColumn id="15416" xr3:uid="{3F39F96F-DD94-4696-92FE-FC00D87B6CAB}" name="15403"/>
    <tableColumn id="15417" xr3:uid="{B34AC1A6-1B65-4316-8CF9-9B096033F716}" name="15404"/>
    <tableColumn id="15418" xr3:uid="{A78F70A7-8CAC-4F7B-B0CF-D5F3F9ABF8E6}" name="15405"/>
    <tableColumn id="15419" xr3:uid="{6458C3CC-D300-4CDF-B158-9A62FDF35007}" name="15406"/>
    <tableColumn id="15420" xr3:uid="{73614484-35E4-42AC-86B0-E15057BFDCDC}" name="15407"/>
    <tableColumn id="15421" xr3:uid="{C39FDAB7-BCC6-4BFA-A066-74A354BC4FB0}" name="15408"/>
    <tableColumn id="15422" xr3:uid="{DFA09BBA-ED98-4399-A00C-FB34135D1822}" name="15409"/>
    <tableColumn id="15423" xr3:uid="{3B2481AD-D564-4CD1-BF79-7CB31F8FBC3B}" name="15410"/>
    <tableColumn id="15424" xr3:uid="{2ABC4F0C-FFA9-45EA-A789-3F332C9D6C9F}" name="15411"/>
    <tableColumn id="15425" xr3:uid="{A191F8E9-8646-4F51-A4B3-280C0ED0A76E}" name="15412"/>
    <tableColumn id="15426" xr3:uid="{C92C91B8-980B-46EA-91B5-5A7110EC8FAB}" name="15413"/>
    <tableColumn id="15427" xr3:uid="{C6B27F8E-5315-4A17-8143-38FFC446C1D8}" name="15414"/>
    <tableColumn id="15428" xr3:uid="{D43613CB-4D69-4075-B67A-5E5F75F7617F}" name="15415"/>
    <tableColumn id="15429" xr3:uid="{0E0B2829-1FC8-4AE8-BAEB-8415E0909B9D}" name="15416"/>
    <tableColumn id="15430" xr3:uid="{82F84ED6-0D03-4670-8A13-D5FB1C776851}" name="15417"/>
    <tableColumn id="15431" xr3:uid="{75E65B6C-F347-43B3-A65B-2766C53310C9}" name="15418"/>
    <tableColumn id="15432" xr3:uid="{3F0853F9-39D5-4467-BD9B-00D5C7E983A7}" name="15419"/>
    <tableColumn id="15433" xr3:uid="{D7707BF2-AA21-4DAC-A2BF-5AB254932EC1}" name="15420"/>
    <tableColumn id="15434" xr3:uid="{20D13671-03B7-4D00-BEE7-4A0529E9D92A}" name="15421"/>
    <tableColumn id="15435" xr3:uid="{CB71A2D1-7468-440C-95AB-EDD6C1F7A653}" name="15422"/>
    <tableColumn id="15436" xr3:uid="{0AD25B2E-0E27-4F98-8B99-821D8E471AD8}" name="15423"/>
    <tableColumn id="15437" xr3:uid="{6A287962-FF68-4D81-B281-A3107CF7B161}" name="15424"/>
    <tableColumn id="15438" xr3:uid="{E37A606B-0286-4D3E-A6F2-8FC3F7089A05}" name="15425"/>
    <tableColumn id="15439" xr3:uid="{E68D533E-DC4A-4524-886C-449B5DB2BF91}" name="15426"/>
    <tableColumn id="15440" xr3:uid="{0D9331B7-EC62-402F-A07F-EE13D9894A1B}" name="15427"/>
    <tableColumn id="15441" xr3:uid="{F81B2522-EE5D-4B06-B7F2-0306BC4D9021}" name="15428"/>
    <tableColumn id="15442" xr3:uid="{109001C5-53CF-4955-BB95-BC65066B30B4}" name="15429"/>
    <tableColumn id="15443" xr3:uid="{51B19C66-D92B-41FA-95C3-E3680F82F85A}" name="15430"/>
    <tableColumn id="15444" xr3:uid="{AD7EE5B0-7F21-4038-9D97-3660B6B02F00}" name="15431"/>
    <tableColumn id="15445" xr3:uid="{9585B32C-6E5B-4E88-8DAD-A04BE5C28F46}" name="15432"/>
    <tableColumn id="15446" xr3:uid="{F7FB1832-8994-40F6-917C-42D4D7829A22}" name="15433"/>
    <tableColumn id="15447" xr3:uid="{8D2B63E1-4C53-454B-BD45-25F1172E7A10}" name="15434"/>
    <tableColumn id="15448" xr3:uid="{2F3CAAAC-F65C-47FA-80D5-42D8997B621D}" name="15435"/>
    <tableColumn id="15449" xr3:uid="{82A20910-D28A-4FE8-A06C-C01E52C9E46A}" name="15436"/>
    <tableColumn id="15450" xr3:uid="{78D65A72-D2C0-437F-82F3-EB21FCCD8E4D}" name="15437"/>
    <tableColumn id="15451" xr3:uid="{318A2788-A9F0-494B-B2FD-5888EB84506A}" name="15438"/>
    <tableColumn id="15452" xr3:uid="{71B5C2D6-D754-47D4-9830-07AE85A7A88B}" name="15439"/>
    <tableColumn id="15453" xr3:uid="{7A4BBAEA-CF52-4CBF-BBF5-6C73FA7EDB5E}" name="15440"/>
    <tableColumn id="15454" xr3:uid="{71EE01BE-86C1-4987-AB38-B6AEDD3E00C3}" name="15441"/>
    <tableColumn id="15455" xr3:uid="{C99B64FC-35B6-4C78-B5E4-F1CDFC4CBDB4}" name="15442"/>
    <tableColumn id="15456" xr3:uid="{12C7B4A4-2DA7-4190-9F0B-8904512D7D58}" name="15443"/>
    <tableColumn id="15457" xr3:uid="{A8ECD37D-F984-4849-A20D-434DB4FB374D}" name="15444"/>
    <tableColumn id="15458" xr3:uid="{3A589B54-0782-4B47-A451-B83BAB8F20E2}" name="15445"/>
    <tableColumn id="15459" xr3:uid="{B4F90820-D72C-447C-8413-17D638BCBAF3}" name="15446"/>
    <tableColumn id="15460" xr3:uid="{DC2FA0DE-EFDC-4AFB-8857-311DF7B8EC4B}" name="15447"/>
    <tableColumn id="15461" xr3:uid="{74E445F8-0901-4B0D-AF35-AAFF7C484A40}" name="15448"/>
    <tableColumn id="15462" xr3:uid="{A6AAA7AD-CA08-44A6-9034-A70645FB1D11}" name="15449"/>
    <tableColumn id="15463" xr3:uid="{79023D7D-DC36-4916-BBD8-02421AFFE1A9}" name="15450"/>
    <tableColumn id="15464" xr3:uid="{9353CF44-DB40-47BC-B245-234D74DBFF9F}" name="15451"/>
    <tableColumn id="15465" xr3:uid="{8E1816CC-9112-4BFE-87BA-B873DD8ED663}" name="15452"/>
    <tableColumn id="15466" xr3:uid="{1B45E2DA-A210-4E35-AE5F-282589F6CA1A}" name="15453"/>
    <tableColumn id="15467" xr3:uid="{A416267B-37B4-4D2F-8A28-59037EFF0AB4}" name="15454"/>
    <tableColumn id="15468" xr3:uid="{F91863BA-0E59-4162-BCE6-8E9EFE285446}" name="15455"/>
    <tableColumn id="15469" xr3:uid="{3CD9BD51-C466-4F7A-85FB-1CF51EDFA12D}" name="15456"/>
    <tableColumn id="15470" xr3:uid="{4F4B76C4-D255-4B34-8D3F-55BFC3A82E22}" name="15457"/>
    <tableColumn id="15471" xr3:uid="{DE6CC14B-86AE-4DBD-A43C-4AE277FF25A5}" name="15458"/>
    <tableColumn id="15472" xr3:uid="{6EABB6F4-0FA6-49BE-A7FF-D7FD2FC6A3D7}" name="15459"/>
    <tableColumn id="15473" xr3:uid="{D5ADDE42-7764-470C-8EF9-541239F773F8}" name="15460"/>
    <tableColumn id="15474" xr3:uid="{6F8C8867-B72D-4E86-8659-32C639D5B08C}" name="15461"/>
    <tableColumn id="15475" xr3:uid="{561ACD23-E2C3-49FF-AA43-167911039632}" name="15462"/>
    <tableColumn id="15476" xr3:uid="{12753C03-D1D5-4C28-957C-C21C10EBC64A}" name="15463"/>
    <tableColumn id="15477" xr3:uid="{7FF681D0-E8D1-4B5C-8EFF-9695F0709C21}" name="15464"/>
    <tableColumn id="15478" xr3:uid="{D62BF4FA-434C-4005-B3ED-5EB3C410D2DA}" name="15465"/>
    <tableColumn id="15479" xr3:uid="{966438EB-DA39-49CB-B863-8CFCC41BD532}" name="15466"/>
    <tableColumn id="15480" xr3:uid="{04BAB84A-3456-41A6-96D3-58ECA61DA398}" name="15467"/>
    <tableColumn id="15481" xr3:uid="{F876ADCB-354F-4CF4-B83C-90A30FBA76D6}" name="15468"/>
    <tableColumn id="15482" xr3:uid="{11480C06-63EC-43D2-9BB0-6727CC263C5C}" name="15469"/>
    <tableColumn id="15483" xr3:uid="{EA259F23-2155-4D6A-847F-E5C8BB9432EA}" name="15470"/>
    <tableColumn id="15484" xr3:uid="{78D680F5-00EE-4070-BFBE-149EAD94C8E5}" name="15471"/>
    <tableColumn id="15485" xr3:uid="{502BC563-266A-4CDE-B046-29A65D579C94}" name="15472"/>
    <tableColumn id="15486" xr3:uid="{7243D307-0007-4B1E-92A3-BF017F68C2FB}" name="15473"/>
    <tableColumn id="15487" xr3:uid="{F734ECD6-8590-4BEC-AD2E-B45388EB40FB}" name="15474"/>
    <tableColumn id="15488" xr3:uid="{A7431C35-B5D9-40CE-84D9-DDA28E0B860F}" name="15475"/>
    <tableColumn id="15489" xr3:uid="{1BD611E3-4404-4CE8-B4AD-0E7CE41AFD53}" name="15476"/>
    <tableColumn id="15490" xr3:uid="{6C2ECDB8-3C15-495A-91B3-F6B6ECD0CA09}" name="15477"/>
    <tableColumn id="15491" xr3:uid="{8820D250-3DBE-43A5-8D06-07358DB56800}" name="15478"/>
    <tableColumn id="15492" xr3:uid="{40879A73-6363-4377-B15A-00B79CD07E07}" name="15479"/>
    <tableColumn id="15493" xr3:uid="{4BC54FD2-7F8C-475C-81C5-68DA325091F3}" name="15480"/>
    <tableColumn id="15494" xr3:uid="{7150C079-964E-4D90-A250-A15B401BD736}" name="15481"/>
    <tableColumn id="15495" xr3:uid="{98B8272A-56D8-4F5C-9830-42F363077653}" name="15482"/>
    <tableColumn id="15496" xr3:uid="{699DE656-99FA-4700-A911-77C6B8CC6FDF}" name="15483"/>
    <tableColumn id="15497" xr3:uid="{6457B145-2922-4966-877A-33F06593B912}" name="15484"/>
    <tableColumn id="15498" xr3:uid="{5BF5A5A8-CB0E-4418-A551-D5B210B11AFB}" name="15485"/>
    <tableColumn id="15499" xr3:uid="{0FAE7E10-88F3-44C7-9F99-A23E678C6278}" name="15486"/>
    <tableColumn id="15500" xr3:uid="{2B318942-D28C-4D71-A656-3508502030A2}" name="15487"/>
    <tableColumn id="15501" xr3:uid="{86705D01-7ADB-484F-805C-8AF5FF6EE469}" name="15488"/>
    <tableColumn id="15502" xr3:uid="{3BF8A3AB-A72C-4C57-8437-1AF396359F93}" name="15489"/>
    <tableColumn id="15503" xr3:uid="{F6EE9891-2DBA-4D69-9FAD-AD3765C67687}" name="15490"/>
    <tableColumn id="15504" xr3:uid="{C4D464A1-3B61-413F-9678-C9D98736FAAB}" name="15491"/>
    <tableColumn id="15505" xr3:uid="{4A6B0934-773B-4967-B677-BE9959CF22FE}" name="15492"/>
    <tableColumn id="15506" xr3:uid="{2E8B60F9-DB4A-40C0-BB56-7240BEFA225B}" name="15493"/>
    <tableColumn id="15507" xr3:uid="{676DE972-0799-428C-B76D-1C9B24B70A32}" name="15494"/>
    <tableColumn id="15508" xr3:uid="{6251BEDB-4255-437D-90DD-B3A43D3DD459}" name="15495"/>
    <tableColumn id="15509" xr3:uid="{1944EABB-634B-4C9D-875E-B161DF34C633}" name="15496"/>
    <tableColumn id="15510" xr3:uid="{95E0FD81-F292-4042-BEAF-096EB64E3A92}" name="15497"/>
    <tableColumn id="15511" xr3:uid="{32C312CB-0FA4-41C7-8C49-A1D793FE0428}" name="15498"/>
    <tableColumn id="15512" xr3:uid="{8766338C-F969-4DFA-ADE5-176825DB49D8}" name="15499"/>
    <tableColumn id="15513" xr3:uid="{30152D18-FD19-4C84-BCB7-DC8B5C68DF45}" name="15500"/>
    <tableColumn id="15514" xr3:uid="{F78D0277-4FA1-46DC-A661-B48A75882ACF}" name="15501"/>
    <tableColumn id="15515" xr3:uid="{D3C1E6A6-1A27-4517-B1C8-E3F14D716D93}" name="15502"/>
    <tableColumn id="15516" xr3:uid="{B2CDB319-3AB5-44E0-B7AB-2E7E8A872CCF}" name="15503"/>
    <tableColumn id="15517" xr3:uid="{5211C838-942F-4D6E-85E5-1CEA49334E3F}" name="15504"/>
    <tableColumn id="15518" xr3:uid="{C4A965D4-4532-48EB-A093-7A67314D5BEA}" name="15505"/>
    <tableColumn id="15519" xr3:uid="{21018D1E-C47B-41E3-B27E-2CA2C775F4A8}" name="15506"/>
    <tableColumn id="15520" xr3:uid="{4E49FC2A-F640-43DE-9E1E-9724D13A930B}" name="15507"/>
    <tableColumn id="15521" xr3:uid="{68531979-6448-414E-BFC7-0E35E660A882}" name="15508"/>
    <tableColumn id="15522" xr3:uid="{5CC42033-F754-4895-A49F-DCC46446B730}" name="15509"/>
    <tableColumn id="15523" xr3:uid="{37F312BC-C296-441E-9D78-96E130F51624}" name="15510"/>
    <tableColumn id="15524" xr3:uid="{DFA5944E-72C2-4D30-AE4D-DC858BEA81A6}" name="15511"/>
    <tableColumn id="15525" xr3:uid="{A957EEF5-F7D8-4763-AE24-FB6206C9860C}" name="15512"/>
    <tableColumn id="15526" xr3:uid="{C80984FE-713D-4B67-AE35-595AD7137A4B}" name="15513"/>
    <tableColumn id="15527" xr3:uid="{DB70D686-4B99-4D19-8672-6AB03062D104}" name="15514"/>
    <tableColumn id="15528" xr3:uid="{77F21DEC-5906-447E-A730-3905ECF1EB23}" name="15515"/>
    <tableColumn id="15529" xr3:uid="{54F0E667-9ED6-4EED-9E37-CB60D485CCFF}" name="15516"/>
    <tableColumn id="15530" xr3:uid="{8512BDE6-AC6E-434D-B6C5-6648B19F6D9C}" name="15517"/>
    <tableColumn id="15531" xr3:uid="{3BEBA649-3FF3-4A60-A2DA-25BD865CDE7D}" name="15518"/>
    <tableColumn id="15532" xr3:uid="{02BB4290-E870-4A29-87F3-6E4480102BBD}" name="15519"/>
    <tableColumn id="15533" xr3:uid="{138D03C1-5E3A-45AC-BC86-6A82A02C613B}" name="15520"/>
    <tableColumn id="15534" xr3:uid="{A10A6036-61BA-45DE-8FAA-45FADCFDF53B}" name="15521"/>
    <tableColumn id="15535" xr3:uid="{3A5261F5-6CD2-49A0-8A9F-89E390342730}" name="15522"/>
    <tableColumn id="15536" xr3:uid="{1D174691-B808-4882-ACAB-84682BD6130B}" name="15523"/>
    <tableColumn id="15537" xr3:uid="{5031B6CD-67DE-48B6-9B86-B6D5B782FEA9}" name="15524"/>
    <tableColumn id="15538" xr3:uid="{17662607-A50C-4E96-BA78-3659563F7A8C}" name="15525"/>
    <tableColumn id="15539" xr3:uid="{522D8BFC-A798-4606-AC75-2770F85837B0}" name="15526"/>
    <tableColumn id="15540" xr3:uid="{CC72DD7E-DAEA-4E2D-B4D4-55278B1C50CD}" name="15527"/>
    <tableColumn id="15541" xr3:uid="{2EEFF232-FD9F-4FBA-B90B-9A25E3096C4C}" name="15528"/>
    <tableColumn id="15542" xr3:uid="{1300D9B3-6E55-4C0E-853B-1DFCE9A10970}" name="15529"/>
    <tableColumn id="15543" xr3:uid="{B475BE51-BF0E-4F7D-89E6-C7A5B0AFDDCF}" name="15530"/>
    <tableColumn id="15544" xr3:uid="{A393F3D3-314E-4E60-A7AD-43598BA64962}" name="15531"/>
    <tableColumn id="15545" xr3:uid="{96D5BACF-2333-4295-B48D-8AA330B5E5BA}" name="15532"/>
    <tableColumn id="15546" xr3:uid="{6D049E96-7624-4728-A81A-0F60719BAA35}" name="15533"/>
    <tableColumn id="15547" xr3:uid="{46AFE7A6-17BE-4892-B7F9-2CC06FE576E5}" name="15534"/>
    <tableColumn id="15548" xr3:uid="{52BAB597-E426-4DAD-9AB1-E8A0803B6966}" name="15535"/>
    <tableColumn id="15549" xr3:uid="{146DB4E2-FA3B-4CE9-B69F-8D15D79547F2}" name="15536"/>
    <tableColumn id="15550" xr3:uid="{85062E1F-4B7A-4FA3-8CAF-4BE62E710DBD}" name="15537"/>
    <tableColumn id="15551" xr3:uid="{42298354-E391-4ACE-98E3-914894E79A59}" name="15538"/>
    <tableColumn id="15552" xr3:uid="{8A8A84D9-58B8-4E97-B44F-BFBDD028CD13}" name="15539"/>
    <tableColumn id="15553" xr3:uid="{7FF8E881-9EC4-437D-B2E6-DEA15DF858D7}" name="15540"/>
    <tableColumn id="15554" xr3:uid="{23C0C2DF-4B99-4BC3-8F2F-DA6B41CB31A7}" name="15541"/>
    <tableColumn id="15555" xr3:uid="{D78EC2C0-468D-4663-B7E1-1C67E406227B}" name="15542"/>
    <tableColumn id="15556" xr3:uid="{9858590B-94FE-4B67-827F-8B1EB42407BB}" name="15543"/>
    <tableColumn id="15557" xr3:uid="{2E4A0B02-1F65-4F61-9880-E703169690B1}" name="15544"/>
    <tableColumn id="15558" xr3:uid="{6291EA46-CBED-46CB-A624-435FFE94292A}" name="15545"/>
    <tableColumn id="15559" xr3:uid="{181EA9A1-2FE8-4861-A97E-E1EFD935120F}" name="15546"/>
    <tableColumn id="15560" xr3:uid="{A994DEDB-E194-48CA-BC7D-5DD9B51BDB59}" name="15547"/>
    <tableColumn id="15561" xr3:uid="{8217BE8E-E931-4F81-B756-CCC7A796B6B7}" name="15548"/>
    <tableColumn id="15562" xr3:uid="{B65FF8F0-62CE-4747-B51B-2700264441B0}" name="15549"/>
    <tableColumn id="15563" xr3:uid="{04F01614-FAFD-44A2-91F3-F6744758E36F}" name="15550"/>
    <tableColumn id="15564" xr3:uid="{E9DEE504-66AD-477C-9BEF-F4F4FBE33DF2}" name="15551"/>
    <tableColumn id="15565" xr3:uid="{68BB8F64-168A-4CF5-9F37-BF6A546A3B96}" name="15552"/>
    <tableColumn id="15566" xr3:uid="{AC070B3B-F888-4CF3-99A7-4FF112D79DE8}" name="15553"/>
    <tableColumn id="15567" xr3:uid="{7B820982-551A-475B-9135-A16BEDF312C4}" name="15554"/>
    <tableColumn id="15568" xr3:uid="{E1D4D6AF-17FA-4C02-8F85-87B803B998A1}" name="15555"/>
    <tableColumn id="15569" xr3:uid="{835989FB-70E8-45E0-9783-CD05D5FFD5AD}" name="15556"/>
    <tableColumn id="15570" xr3:uid="{EE94C7E7-21BB-42FB-BEE9-2B20BCBAD14D}" name="15557"/>
    <tableColumn id="15571" xr3:uid="{EFE1683C-5AE3-49FC-93EA-7CEFC6D58BE5}" name="15558"/>
    <tableColumn id="15572" xr3:uid="{A19C0B87-2727-43AE-86DE-BF46FF3E8C1A}" name="15559"/>
    <tableColumn id="15573" xr3:uid="{B337D258-38A9-4923-8418-4E3DD013B80B}" name="15560"/>
    <tableColumn id="15574" xr3:uid="{7E7EECDF-EF79-4125-AE88-345A97C863EF}" name="15561"/>
    <tableColumn id="15575" xr3:uid="{E2B19756-A493-442F-832D-58D9F4E40A8B}" name="15562"/>
    <tableColumn id="15576" xr3:uid="{C01A97CF-6C9C-41FB-A649-C407F24111BD}" name="15563"/>
    <tableColumn id="15577" xr3:uid="{9198E3D4-5566-401F-9085-5D942694C389}" name="15564"/>
    <tableColumn id="15578" xr3:uid="{1B0A1661-E16B-4CD6-BA25-56EA8764FF08}" name="15565"/>
    <tableColumn id="15579" xr3:uid="{E07C5649-EDCD-40EE-8C9E-47BC6CFD8A7E}" name="15566"/>
    <tableColumn id="15580" xr3:uid="{A0CDC6AE-548A-4F57-BE36-0530949CA49E}" name="15567"/>
    <tableColumn id="15581" xr3:uid="{D7E5D2CB-FC48-483E-A0F3-0F3B995B61B6}" name="15568"/>
    <tableColumn id="15582" xr3:uid="{9D35490A-0B41-4E09-9EBD-988C36D4078B}" name="15569"/>
    <tableColumn id="15583" xr3:uid="{B99839B9-E2D1-48DA-8BB8-85CB54FF873C}" name="15570"/>
    <tableColumn id="15584" xr3:uid="{3E9E754C-0310-408D-AD5A-44C5533307A8}" name="15571"/>
    <tableColumn id="15585" xr3:uid="{F579E329-AEDB-45B9-837A-895C1C4D991A}" name="15572"/>
    <tableColumn id="15586" xr3:uid="{1CA6821A-D29E-4534-9712-3A453B2E21B8}" name="15573"/>
    <tableColumn id="15587" xr3:uid="{6904A7D9-E52D-45C5-AE4E-A47973E3CD54}" name="15574"/>
    <tableColumn id="15588" xr3:uid="{EEA01DBF-3C92-4140-A2CF-3C98754B9219}" name="15575"/>
    <tableColumn id="15589" xr3:uid="{20E45B21-D63A-4617-B054-2CFE080FE86D}" name="15576"/>
    <tableColumn id="15590" xr3:uid="{4D235330-B096-4B1B-AEF1-6BA4C6982D4F}" name="15577"/>
    <tableColumn id="15591" xr3:uid="{5383EBDC-AD97-4834-9EEF-C6A051EE145F}" name="15578"/>
    <tableColumn id="15592" xr3:uid="{29EBFB79-1442-4B10-9D3D-47ADA42BF9A5}" name="15579"/>
    <tableColumn id="15593" xr3:uid="{5B1608AF-4FED-4D54-8FEB-28723FB1E69F}" name="15580"/>
    <tableColumn id="15594" xr3:uid="{CDE6AD01-E155-40EE-97B0-6BF233F06ADC}" name="15581"/>
    <tableColumn id="15595" xr3:uid="{22208B3C-B839-43CB-BC8A-5E1F0C1DD248}" name="15582"/>
    <tableColumn id="15596" xr3:uid="{F4691EB7-A7C2-4C79-B1F6-A96288778E7A}" name="15583"/>
    <tableColumn id="15597" xr3:uid="{CB7A9F64-F680-450A-BCF6-31E46714A812}" name="15584"/>
    <tableColumn id="15598" xr3:uid="{9E164585-D9B3-4452-AFEB-32763E164335}" name="15585"/>
    <tableColumn id="15599" xr3:uid="{68547DD8-64C0-468D-BEAE-D4A80D7C7412}" name="15586"/>
    <tableColumn id="15600" xr3:uid="{90FD562D-1D95-4ECC-99FC-7E2628AC589F}" name="15587"/>
    <tableColumn id="15601" xr3:uid="{1EA0B45E-D08D-462E-81A7-0D58454A1B56}" name="15588"/>
    <tableColumn id="15602" xr3:uid="{C77021CA-C99B-44ED-A3C2-56E7FEACE2EA}" name="15589"/>
    <tableColumn id="15603" xr3:uid="{C047A410-B883-4168-A989-DA40606A0A48}" name="15590"/>
    <tableColumn id="15604" xr3:uid="{42CFE8A2-C4B0-4787-94D4-038FFC3497EB}" name="15591"/>
    <tableColumn id="15605" xr3:uid="{A0D302D1-5E79-4976-B945-C4936C939A56}" name="15592"/>
    <tableColumn id="15606" xr3:uid="{3A934F59-3753-4C48-9C9D-CF0003B01B9D}" name="15593"/>
    <tableColumn id="15607" xr3:uid="{80D7307A-3162-4355-8882-837BF40C4B62}" name="15594"/>
    <tableColumn id="15608" xr3:uid="{81DB0E8C-9139-488E-B4AC-6C0A4A0278E4}" name="15595"/>
    <tableColumn id="15609" xr3:uid="{2E50A18E-0A3A-4333-89DA-B5DD7BA42EF6}" name="15596"/>
    <tableColumn id="15610" xr3:uid="{C40994B8-3B5A-4173-A283-266C5E3CBA97}" name="15597"/>
    <tableColumn id="15611" xr3:uid="{6E5BA82A-34FA-49A8-AFBC-F74FB15B1C1B}" name="15598"/>
    <tableColumn id="15612" xr3:uid="{F3681F81-A874-454F-9DF5-225A417AB9A5}" name="15599"/>
    <tableColumn id="15613" xr3:uid="{4275E237-1224-4EA5-AC30-EEE88309CDA3}" name="15600"/>
    <tableColumn id="15614" xr3:uid="{E62CE992-9E15-416F-B8B2-89B9C7182597}" name="15601"/>
    <tableColumn id="15615" xr3:uid="{CFD879EB-2975-42B1-80D6-0E3FC7603B07}" name="15602"/>
    <tableColumn id="15616" xr3:uid="{946AA9C0-6458-46CA-865C-30085B2B8A20}" name="15603"/>
    <tableColumn id="15617" xr3:uid="{071152AB-6F6C-4111-B3E3-F61FAE70B02C}" name="15604"/>
    <tableColumn id="15618" xr3:uid="{10CFB2A2-C873-406A-85A7-E39B9D3B519C}" name="15605"/>
    <tableColumn id="15619" xr3:uid="{CF58986D-4A01-4339-93EB-00A1C137D694}" name="15606"/>
    <tableColumn id="15620" xr3:uid="{110BCC37-4F22-4CD3-98F8-AA4ED71AF309}" name="15607"/>
    <tableColumn id="15621" xr3:uid="{F5FC14A3-D214-49A7-90C0-0D176B63BB03}" name="15608"/>
    <tableColumn id="15622" xr3:uid="{CD202E15-C9CA-4A7A-9FB3-8281C3AD4D0B}" name="15609"/>
    <tableColumn id="15623" xr3:uid="{5474B8D5-0A25-4334-BF69-2E8955D3017B}" name="15610"/>
    <tableColumn id="15624" xr3:uid="{812470E7-EE54-4C18-8923-1AAD7C9B0D6F}" name="15611"/>
    <tableColumn id="15625" xr3:uid="{D2041929-CC04-4F31-B0F6-EC90F3832D11}" name="15612"/>
    <tableColumn id="15626" xr3:uid="{48311738-04B4-488C-92DF-7B4D743B6EA3}" name="15613"/>
    <tableColumn id="15627" xr3:uid="{C28C893B-E8A6-4EF5-BA9D-F0446E402116}" name="15614"/>
    <tableColumn id="15628" xr3:uid="{167A8527-C593-4895-92E3-E3D5EE14E725}" name="15615"/>
    <tableColumn id="15629" xr3:uid="{E207D320-C148-4A2C-BC7E-E94FF1463270}" name="15616"/>
    <tableColumn id="15630" xr3:uid="{564CFB14-C24B-4384-8239-98F56D72D020}" name="15617"/>
    <tableColumn id="15631" xr3:uid="{1DF32182-ABD5-4F0E-9D1A-E14080550443}" name="15618"/>
    <tableColumn id="15632" xr3:uid="{50502F3B-9D39-476F-AEDB-B3034174E5D3}" name="15619"/>
    <tableColumn id="15633" xr3:uid="{688639BF-D395-49B7-B09F-B669F54A906F}" name="15620"/>
    <tableColumn id="15634" xr3:uid="{F6517E24-4283-4A79-98B7-8DEC9253E8A3}" name="15621"/>
    <tableColumn id="15635" xr3:uid="{40992BAB-551B-4DD5-B429-AC1E558A5400}" name="15622"/>
    <tableColumn id="15636" xr3:uid="{54AC3A15-3F87-4757-8176-E7A68C5D2D89}" name="15623"/>
    <tableColumn id="15637" xr3:uid="{65CD028C-9B57-4B41-ABC1-EF1E5200867D}" name="15624"/>
    <tableColumn id="15638" xr3:uid="{6C6A3086-7B50-4B69-B087-955E9DC080E4}" name="15625"/>
    <tableColumn id="15639" xr3:uid="{1D04A52E-309E-4474-8C46-9DCA08C6BEFB}" name="15626"/>
    <tableColumn id="15640" xr3:uid="{9B18EC3A-C4E7-4311-B009-2BC5F5504A76}" name="15627"/>
    <tableColumn id="15641" xr3:uid="{A95E1EFF-C402-4E2B-9D22-4397A15B52B9}" name="15628"/>
    <tableColumn id="15642" xr3:uid="{9F12727F-6309-4D6E-A768-6D9CE1550F61}" name="15629"/>
    <tableColumn id="15643" xr3:uid="{500C861C-2F8A-40A9-80D6-477A0AC08472}" name="15630"/>
    <tableColumn id="15644" xr3:uid="{02A130DA-F5C1-4121-8D76-E17E07F6A154}" name="15631"/>
    <tableColumn id="15645" xr3:uid="{5269189E-1B2A-4113-B3BD-A8BC06CCE363}" name="15632"/>
    <tableColumn id="15646" xr3:uid="{786A2F75-572F-4A5E-84E6-F0BD921DE0B8}" name="15633"/>
    <tableColumn id="15647" xr3:uid="{E06A0850-8BB1-4612-9C49-37AEFD591CDB}" name="15634"/>
    <tableColumn id="15648" xr3:uid="{C8552D7A-61EC-4094-A47F-36DBF355A994}" name="15635"/>
    <tableColumn id="15649" xr3:uid="{6C716B13-9C3E-4A73-8467-87CA5CBE4C8A}" name="15636"/>
    <tableColumn id="15650" xr3:uid="{55F96F19-2FAC-4BF7-B1A4-CC26F21050A2}" name="15637"/>
    <tableColumn id="15651" xr3:uid="{EB700ACF-49CA-4A9F-B98B-8E623913A7DA}" name="15638"/>
    <tableColumn id="15652" xr3:uid="{F6DAD8D5-A198-4080-9A73-C99A633A2E57}" name="15639"/>
    <tableColumn id="15653" xr3:uid="{DB3062A3-D02C-40D9-88FD-4439FF99D6EA}" name="15640"/>
    <tableColumn id="15654" xr3:uid="{BAD1E96C-589A-4576-8A2E-6AA445D3110C}" name="15641"/>
    <tableColumn id="15655" xr3:uid="{7F2B99C4-AE5C-4BF7-B7B3-ABF6E6F00994}" name="15642"/>
    <tableColumn id="15656" xr3:uid="{8E4D3BD9-DD1C-4ED6-9072-E465FF9B9293}" name="15643"/>
    <tableColumn id="15657" xr3:uid="{F5B2EEA6-17BD-4C89-9060-8EA57645917E}" name="15644"/>
    <tableColumn id="15658" xr3:uid="{7B201A6E-5856-489F-85CA-45F3AEB4D7F8}" name="15645"/>
    <tableColumn id="15659" xr3:uid="{8F0223E0-68A9-4111-882E-94BF78BBEE7F}" name="15646"/>
    <tableColumn id="15660" xr3:uid="{B7F03737-492F-4DC6-B0EC-C483AF0537BC}" name="15647"/>
    <tableColumn id="15661" xr3:uid="{E152737B-3A2B-4D2C-939E-3070AF61F813}" name="15648"/>
    <tableColumn id="15662" xr3:uid="{EB4960FA-E068-453F-933C-FD990283DD5F}" name="15649"/>
    <tableColumn id="15663" xr3:uid="{12861136-7688-4415-A912-69C65D8552A2}" name="15650"/>
    <tableColumn id="15664" xr3:uid="{9339DB16-0C0B-415F-A4A1-05123C03FF21}" name="15651"/>
    <tableColumn id="15665" xr3:uid="{E71C7D28-8C7D-42E5-B70C-5A30F2C41061}" name="15652"/>
    <tableColumn id="15666" xr3:uid="{7245889F-A0C6-422E-B365-A962E291E13E}" name="15653"/>
    <tableColumn id="15667" xr3:uid="{3E9ECB7F-CD3E-4D65-985F-4CC99175FDA5}" name="15654"/>
    <tableColumn id="15668" xr3:uid="{CEA09736-BBC8-405C-B9F1-A81E0EFB6CD2}" name="15655"/>
    <tableColumn id="15669" xr3:uid="{126CA793-D685-40E1-A853-60E15954A072}" name="15656"/>
    <tableColumn id="15670" xr3:uid="{B9190A7B-23B5-4D7A-8740-3083840B6F91}" name="15657"/>
    <tableColumn id="15671" xr3:uid="{87758931-9252-407F-AB01-18973A0D42BA}" name="15658"/>
    <tableColumn id="15672" xr3:uid="{A0EF4403-C4D1-4BA9-9E29-83B1F7AFB108}" name="15659"/>
    <tableColumn id="15673" xr3:uid="{F059C7F7-8FE6-42FA-A4CE-115B4D21D8BB}" name="15660"/>
    <tableColumn id="15674" xr3:uid="{E859DBF1-1FE0-49D4-A970-4ABCCDB60005}" name="15661"/>
    <tableColumn id="15675" xr3:uid="{4FBD7B4A-2502-41D3-98CC-CE96D9FFED58}" name="15662"/>
    <tableColumn id="15676" xr3:uid="{52A7DB1D-C517-4021-BB32-D26D55465882}" name="15663"/>
    <tableColumn id="15677" xr3:uid="{95D12221-6C51-48D9-95EC-531C68D30902}" name="15664"/>
    <tableColumn id="15678" xr3:uid="{83051304-1283-4546-BB36-248E1C7304D3}" name="15665"/>
    <tableColumn id="15679" xr3:uid="{46B15A6C-E9C2-41AB-B62E-A38355664AA3}" name="15666"/>
    <tableColumn id="15680" xr3:uid="{2B3DA42F-57D4-4131-B1C7-CE4660E2CAED}" name="15667"/>
    <tableColumn id="15681" xr3:uid="{01B24E10-DC59-42D9-99F5-E77DEC7331CB}" name="15668"/>
    <tableColumn id="15682" xr3:uid="{B4738136-4E55-4D64-A28F-BD5897BC2066}" name="15669"/>
    <tableColumn id="15683" xr3:uid="{1A4A2755-74ED-45B8-8C4A-DED2588DC639}" name="15670"/>
    <tableColumn id="15684" xr3:uid="{D25B7959-BAE4-4544-8957-15C34D629129}" name="15671"/>
    <tableColumn id="15685" xr3:uid="{21AB8ADA-B6A7-464F-B416-BF0942FF231A}" name="15672"/>
    <tableColumn id="15686" xr3:uid="{80F53981-AA06-4E01-9BEB-01F94AE77172}" name="15673"/>
    <tableColumn id="15687" xr3:uid="{CA00F560-69B3-47CF-A7FB-950785A3689F}" name="15674"/>
    <tableColumn id="15688" xr3:uid="{52B2637C-907A-4BE9-9767-30BD83A4BF6A}" name="15675"/>
    <tableColumn id="15689" xr3:uid="{6AEF9DB2-86D7-4456-8BB9-9BF07154C7E0}" name="15676"/>
    <tableColumn id="15690" xr3:uid="{80C89FA9-BCF5-4FB1-A756-9EBBB28D9343}" name="15677"/>
    <tableColumn id="15691" xr3:uid="{E0A9DC33-C6F8-4144-B4FB-A274A092F4C3}" name="15678"/>
    <tableColumn id="15692" xr3:uid="{C7A26C74-F5D2-4E9B-8C6F-6791CFF409AC}" name="15679"/>
    <tableColumn id="15693" xr3:uid="{3330FC7F-61E0-473E-808D-C428CF5642C8}" name="15680"/>
    <tableColumn id="15694" xr3:uid="{E037F003-D56B-404D-9D97-BE34F9FD77BB}" name="15681"/>
    <tableColumn id="15695" xr3:uid="{B8FF3376-6D44-4B48-958C-572F4DFFBCD5}" name="15682"/>
    <tableColumn id="15696" xr3:uid="{899BDC7A-9F3F-407F-A34D-44E7A9735EF9}" name="15683"/>
    <tableColumn id="15697" xr3:uid="{482BFBD2-71E2-4A79-9354-C85ABF34A756}" name="15684"/>
    <tableColumn id="15698" xr3:uid="{406C9AEE-EE1C-4753-AEB9-A1598EB81D26}" name="15685"/>
    <tableColumn id="15699" xr3:uid="{DBAFD34E-467A-427D-9BA7-C77BE59F9D6D}" name="15686"/>
    <tableColumn id="15700" xr3:uid="{8EB0D7D5-5FA7-4E06-917B-9E850629E4EC}" name="15687"/>
    <tableColumn id="15701" xr3:uid="{5F5A3F04-A787-45BA-85C7-51287C0C5760}" name="15688"/>
    <tableColumn id="15702" xr3:uid="{39184B1E-B866-426A-8EE7-C3CF58F799B3}" name="15689"/>
    <tableColumn id="15703" xr3:uid="{4764FD77-3B0D-479A-B169-3EE26AF04296}" name="15690"/>
    <tableColumn id="15704" xr3:uid="{DCF0B73E-77A5-4473-A86F-160A8C195BB2}" name="15691"/>
    <tableColumn id="15705" xr3:uid="{F35FAF64-BBA9-4722-99D1-3BCD546FB8FA}" name="15692"/>
    <tableColumn id="15706" xr3:uid="{1888867D-C04E-4A0B-B8D9-96DAF8D62217}" name="15693"/>
    <tableColumn id="15707" xr3:uid="{0049B8FA-FB51-4AA1-A048-1DA5788EF948}" name="15694"/>
    <tableColumn id="15708" xr3:uid="{33194375-1DDB-454D-B3E5-DB088927FE34}" name="15695"/>
    <tableColumn id="15709" xr3:uid="{8B5323A1-FCC2-4077-886B-7BEE06F57FC4}" name="15696"/>
    <tableColumn id="15710" xr3:uid="{82D22F0C-0BDE-40B7-B348-6E85672199F7}" name="15697"/>
    <tableColumn id="15711" xr3:uid="{8F538FF3-1129-4974-A090-931A669832E4}" name="15698"/>
    <tableColumn id="15712" xr3:uid="{6E38B815-E689-4A5F-B12A-ECD1C27E47A5}" name="15699"/>
    <tableColumn id="15713" xr3:uid="{2DFEBC68-1B25-4AFA-88C6-7C8F1059C61D}" name="15700"/>
    <tableColumn id="15714" xr3:uid="{96BA2FF7-3AFB-459F-9D3C-657076CEC452}" name="15701"/>
    <tableColumn id="15715" xr3:uid="{52A2CB32-A160-4895-9FB7-F309CE03B1C2}" name="15702"/>
    <tableColumn id="15716" xr3:uid="{E132C1E4-A24F-43C2-8E61-87ADEBBEEF19}" name="15703"/>
    <tableColumn id="15717" xr3:uid="{437A291D-299F-49A4-8974-1232ED01DC1B}" name="15704"/>
    <tableColumn id="15718" xr3:uid="{2D490482-264B-477C-9410-75DD99555816}" name="15705"/>
    <tableColumn id="15719" xr3:uid="{8F1AEF9F-9691-4398-8206-C98596D1F630}" name="15706"/>
    <tableColumn id="15720" xr3:uid="{20EB348E-4CAD-43BC-B2FB-F3D08B9575CF}" name="15707"/>
    <tableColumn id="15721" xr3:uid="{68E3B927-8AA7-4F71-9EA3-978AFC145991}" name="15708"/>
    <tableColumn id="15722" xr3:uid="{CEFE824D-D400-411F-8161-DDC13694CFBC}" name="15709"/>
    <tableColumn id="15723" xr3:uid="{C1F42330-3196-48B8-885A-052C89C4A903}" name="15710"/>
    <tableColumn id="15724" xr3:uid="{812F9592-F149-40C6-82A2-D06774F663B1}" name="15711"/>
    <tableColumn id="15725" xr3:uid="{F0E56576-C3A5-49CC-86B0-926625B2780E}" name="15712"/>
    <tableColumn id="15726" xr3:uid="{B5A70293-1AC1-482F-AA2B-822D52C69E51}" name="15713"/>
    <tableColumn id="15727" xr3:uid="{6C086522-5664-4985-9D67-66CBBA7416DB}" name="15714"/>
    <tableColumn id="15728" xr3:uid="{6F6D888C-D618-4F1E-B6EF-E93392EEAACA}" name="15715"/>
    <tableColumn id="15729" xr3:uid="{E11E1BD2-063E-4ED2-969A-FA5DAE491AF6}" name="15716"/>
    <tableColumn id="15730" xr3:uid="{E9FD25FE-4E9F-45E7-9286-A8F14A7E8EB9}" name="15717"/>
    <tableColumn id="15731" xr3:uid="{5057C7C4-6C8B-4C10-80CA-CF15029A3505}" name="15718"/>
    <tableColumn id="15732" xr3:uid="{3CE693C2-F177-4027-A19C-258A95153ED2}" name="15719"/>
    <tableColumn id="15733" xr3:uid="{B650BCF3-395A-4AB2-AECB-E5F77B53E309}" name="15720"/>
    <tableColumn id="15734" xr3:uid="{601E8EF3-1CBA-4BE7-A0D9-AD5770595971}" name="15721"/>
    <tableColumn id="15735" xr3:uid="{992F77F5-0A32-4547-97F4-21D891B9A92A}" name="15722"/>
    <tableColumn id="15736" xr3:uid="{FA80DF27-47FF-4085-ADE2-9BD387BFC112}" name="15723"/>
    <tableColumn id="15737" xr3:uid="{831F0204-1491-4708-B8B8-E61548016E87}" name="15724"/>
    <tableColumn id="15738" xr3:uid="{B63710B6-33F2-4724-9377-D410B4093978}" name="15725"/>
    <tableColumn id="15739" xr3:uid="{12DBFA17-5CA7-452F-9AE4-F2B2A5F79093}" name="15726"/>
    <tableColumn id="15740" xr3:uid="{78C00A04-FEE6-48DA-9005-39954C6BA0E1}" name="15727"/>
    <tableColumn id="15741" xr3:uid="{5D86298C-F4B8-4F2B-9C1A-9093FD03B70A}" name="15728"/>
    <tableColumn id="15742" xr3:uid="{09631E33-4EE8-45DE-83B6-CE666D0389A8}" name="15729"/>
    <tableColumn id="15743" xr3:uid="{E1BD22B9-01D7-4BE0-83D1-46DB36D6B0CE}" name="15730"/>
    <tableColumn id="15744" xr3:uid="{21D2510E-B283-439E-91DC-E32327DE1D63}" name="15731"/>
    <tableColumn id="15745" xr3:uid="{2451E56A-031D-4DD4-8D49-E4FBAB4ECA7A}" name="15732"/>
    <tableColumn id="15746" xr3:uid="{B88EC4DE-21BA-499C-9452-A04A0CC59AFD}" name="15733"/>
    <tableColumn id="15747" xr3:uid="{768FF318-7B15-4B08-A3A6-2E74797E445A}" name="15734"/>
    <tableColumn id="15748" xr3:uid="{25811A8B-1ED6-4944-9C27-D0062B37DD5A}" name="15735"/>
    <tableColumn id="15749" xr3:uid="{1AB3AAF2-0F6A-4D0C-8354-9EA38AE1F27F}" name="15736"/>
    <tableColumn id="15750" xr3:uid="{5EDF8D7F-7AE1-4728-8212-D423C7037A67}" name="15737"/>
    <tableColumn id="15751" xr3:uid="{1009F0A0-B0A7-41F5-BA3C-6635B630A5B1}" name="15738"/>
    <tableColumn id="15752" xr3:uid="{AC1DB1E4-3F0F-4FB1-B070-C47B62FD4370}" name="15739"/>
    <tableColumn id="15753" xr3:uid="{89D5384C-B59F-4EBF-B3B6-DED2FB42DCA9}" name="15740"/>
    <tableColumn id="15754" xr3:uid="{21FFE795-0B33-4635-B2FB-FE7FE88A18F1}" name="15741"/>
    <tableColumn id="15755" xr3:uid="{8B1CB0C1-333A-46D6-853F-BCF1CEC912C1}" name="15742"/>
    <tableColumn id="15756" xr3:uid="{176CCF3C-C2CB-4AC3-8D6D-67C668EBFC2F}" name="15743"/>
    <tableColumn id="15757" xr3:uid="{07138BBB-E7B6-48B3-B331-E6E819647491}" name="15744"/>
    <tableColumn id="15758" xr3:uid="{1C9FBAFC-49C1-4F76-B74D-0BF3A61470ED}" name="15745"/>
    <tableColumn id="15759" xr3:uid="{4488329B-66BC-4D1D-A2F8-40F12569884A}" name="15746"/>
    <tableColumn id="15760" xr3:uid="{318A77B2-2338-40D7-898D-D85DD652B7B6}" name="15747"/>
    <tableColumn id="15761" xr3:uid="{3E5C82C2-F7F1-43AC-892C-3F095715900C}" name="15748"/>
    <tableColumn id="15762" xr3:uid="{ABF12FEF-B504-4EFA-8A43-D1ED538ACE4C}" name="15749"/>
    <tableColumn id="15763" xr3:uid="{400912D8-2658-4DBC-8095-45AB4F41AB80}" name="15750"/>
    <tableColumn id="15764" xr3:uid="{C251E2D9-42CB-4BB3-B134-58A02D90AFDD}" name="15751"/>
    <tableColumn id="15765" xr3:uid="{98DF2D3B-4653-4564-AF17-CEA155561E55}" name="15752"/>
    <tableColumn id="15766" xr3:uid="{A95E4A6E-4382-49A1-89F4-718C44ECBC93}" name="15753"/>
    <tableColumn id="15767" xr3:uid="{7397065C-A88A-47F0-9CC3-7B7B1B4A5886}" name="15754"/>
    <tableColumn id="15768" xr3:uid="{E45D7CDF-A305-44CC-8434-6F424201CDCA}" name="15755"/>
    <tableColumn id="15769" xr3:uid="{19C02345-ECC6-4278-B069-8DF209EA1AE7}" name="15756"/>
    <tableColumn id="15770" xr3:uid="{9CDBDA1A-CC22-4073-86E1-15FDCB2DC26A}" name="15757"/>
    <tableColumn id="15771" xr3:uid="{1059A8C2-2781-4583-8878-2564B7BE6E03}" name="15758"/>
    <tableColumn id="15772" xr3:uid="{C1363E23-929A-49B6-8AAC-661AD068A22E}" name="15759"/>
    <tableColumn id="15773" xr3:uid="{2CDD4333-F973-42B1-8FFE-60F64EC9CC12}" name="15760"/>
    <tableColumn id="15774" xr3:uid="{ED6345A1-A3F9-41A8-93B1-AF1525B7A520}" name="15761"/>
    <tableColumn id="15775" xr3:uid="{5305EA4B-607D-4847-835E-66865E82CAAC}" name="15762"/>
    <tableColumn id="15776" xr3:uid="{73420A40-FB39-4AE6-B0B1-6B87ED694636}" name="15763"/>
    <tableColumn id="15777" xr3:uid="{DAB0115D-1532-4E13-A060-6F3A18DE4089}" name="15764"/>
    <tableColumn id="15778" xr3:uid="{7A773F38-3780-41D6-BC5D-A4CCAA7DD22A}" name="15765"/>
    <tableColumn id="15779" xr3:uid="{00A309C8-7926-413C-9613-4139451482B0}" name="15766"/>
    <tableColumn id="15780" xr3:uid="{0CE03866-77FE-4EB8-B49E-8C73F6C56AEE}" name="15767"/>
    <tableColumn id="15781" xr3:uid="{7EB4DF43-CDCC-47EC-848F-46CB4EE53232}" name="15768"/>
    <tableColumn id="15782" xr3:uid="{B60F543E-610D-4B5F-A454-51CCFDE7568B}" name="15769"/>
    <tableColumn id="15783" xr3:uid="{19201F80-2999-46D0-B7DD-84CCBDEEDFE2}" name="15770"/>
    <tableColumn id="15784" xr3:uid="{E5165ACD-62CE-4576-9E85-F9192C85B80E}" name="15771"/>
    <tableColumn id="15785" xr3:uid="{B0966BE2-95A4-4614-8FFD-00C75D7F9832}" name="15772"/>
    <tableColumn id="15786" xr3:uid="{BC8E5A61-9309-4C16-B1AE-95A4DB50BDEA}" name="15773"/>
    <tableColumn id="15787" xr3:uid="{61D7C8CE-D41C-4DF4-AA8B-A0BDE6597C9F}" name="15774"/>
    <tableColumn id="15788" xr3:uid="{053C87B7-15CE-4001-8607-EE2E74CA4F32}" name="15775"/>
    <tableColumn id="15789" xr3:uid="{6816F12E-840A-4CBA-9CFB-856ED8944D07}" name="15776"/>
    <tableColumn id="15790" xr3:uid="{EB672B5F-657C-4EA8-A913-75F421899836}" name="15777"/>
    <tableColumn id="15791" xr3:uid="{580F4BDC-AFF9-4D28-AB00-59728D27A726}" name="15778"/>
    <tableColumn id="15792" xr3:uid="{7A1F59CB-E5C2-4AD8-9D73-46A3DC6D382B}" name="15779"/>
    <tableColumn id="15793" xr3:uid="{2D56D50D-3C47-466C-BB5B-552C78508D36}" name="15780"/>
    <tableColumn id="15794" xr3:uid="{4C0B2379-BC77-4A5C-B584-15ED9386072B}" name="15781"/>
    <tableColumn id="15795" xr3:uid="{42BC0553-5826-430E-BDF2-5E4E42AA11BC}" name="15782"/>
    <tableColumn id="15796" xr3:uid="{59C3D421-A076-4556-A760-D49DF70B53B0}" name="15783"/>
    <tableColumn id="15797" xr3:uid="{0DC14C0B-6E73-4DBA-BBF6-A19A0F99C5AD}" name="15784"/>
    <tableColumn id="15798" xr3:uid="{3B05AB23-1B31-4951-9E7C-7BE691E786AE}" name="15785"/>
    <tableColumn id="15799" xr3:uid="{75CB712B-7144-4905-96DD-A2FB227DD105}" name="15786"/>
    <tableColumn id="15800" xr3:uid="{158ACDE8-B737-4F27-B94A-706B152AE4B1}" name="15787"/>
    <tableColumn id="15801" xr3:uid="{DC36CAE0-E312-497E-BDE7-4A3C0C6A81DB}" name="15788"/>
    <tableColumn id="15802" xr3:uid="{1A41A806-87A4-491D-BC47-6FBF1173D977}" name="15789"/>
    <tableColumn id="15803" xr3:uid="{51AF14FA-FE00-40F0-9B18-09ED2E7EBF31}" name="15790"/>
    <tableColumn id="15804" xr3:uid="{FFA76C0B-9147-4DAC-B600-35D8216CEC2D}" name="15791"/>
    <tableColumn id="15805" xr3:uid="{BDFCE3AB-612D-472F-B211-27E52E9D89ED}" name="15792"/>
    <tableColumn id="15806" xr3:uid="{DB23E07C-0657-4ACF-985A-95B265EDF14E}" name="15793"/>
    <tableColumn id="15807" xr3:uid="{7D8A8605-B044-4FE9-81C5-AAAA5C6EF19D}" name="15794"/>
    <tableColumn id="15808" xr3:uid="{8B5739C5-9507-48F6-B701-2C5BFE36D6CD}" name="15795"/>
    <tableColumn id="15809" xr3:uid="{B88118A2-02D4-4606-9CD8-F47870A7E44E}" name="15796"/>
    <tableColumn id="15810" xr3:uid="{1E0F86F3-96D9-496E-BEEB-E4EC37997032}" name="15797"/>
    <tableColumn id="15811" xr3:uid="{39B43439-35D7-4263-85C4-DCE134CE2144}" name="15798"/>
    <tableColumn id="15812" xr3:uid="{03162977-C060-4F8E-B1F5-A9F70672BF03}" name="15799"/>
    <tableColumn id="15813" xr3:uid="{496D0A1A-4063-4C7B-938A-EED9ABB82187}" name="15800"/>
    <tableColumn id="15814" xr3:uid="{8327EA83-F1C6-4287-8B19-6CA072009C91}" name="15801"/>
    <tableColumn id="15815" xr3:uid="{C6C7E249-5973-46F3-8D26-1249727235B6}" name="15802"/>
    <tableColumn id="15816" xr3:uid="{756CAFF7-F1CB-4CFC-9DB7-D4C486337A25}" name="15803"/>
    <tableColumn id="15817" xr3:uid="{D0DC1C67-E0E3-4EF0-B060-5EBFDBBEF71E}" name="15804"/>
    <tableColumn id="15818" xr3:uid="{5CA34289-5C5A-4E35-99E1-83025577B94E}" name="15805"/>
    <tableColumn id="15819" xr3:uid="{AF0B5F4B-9BDF-4380-9D47-0DADC4185949}" name="15806"/>
    <tableColumn id="15820" xr3:uid="{610942BA-232B-402D-8935-10786B602BCB}" name="15807"/>
    <tableColumn id="15821" xr3:uid="{6136680D-2BA6-4B21-8FE3-26A06F786579}" name="15808"/>
    <tableColumn id="15822" xr3:uid="{749DEA05-E1FB-467A-8C07-DE0A01895DAE}" name="15809"/>
    <tableColumn id="15823" xr3:uid="{2F2158FC-C6C7-49DB-8D5B-A6FF660FED11}" name="15810"/>
    <tableColumn id="15824" xr3:uid="{BFCAB22A-FFC3-46BD-9C2F-5AABED07F7CB}" name="15811"/>
    <tableColumn id="15825" xr3:uid="{F569F2E6-3A93-4AE5-BC60-B250B57C2888}" name="15812"/>
    <tableColumn id="15826" xr3:uid="{B1227106-A987-4B48-A0A1-16EE2A2A8523}" name="15813"/>
    <tableColumn id="15827" xr3:uid="{51E63C24-C208-4F49-AE48-9B425E3EE39F}" name="15814"/>
    <tableColumn id="15828" xr3:uid="{AAD8231E-7771-4338-9E37-FCAD1AECFB40}" name="15815"/>
    <tableColumn id="15829" xr3:uid="{7003D0D0-EC87-424A-9DE1-6FCC8108F7F0}" name="15816"/>
    <tableColumn id="15830" xr3:uid="{953D3902-FAAC-4EB7-A078-94D0BECFDDE2}" name="15817"/>
    <tableColumn id="15831" xr3:uid="{B85AEAA8-3014-4501-B4FB-5C3826ED7749}" name="15818"/>
    <tableColumn id="15832" xr3:uid="{AF8FD03F-A500-4D9B-BE4D-6F9968A54F27}" name="15819"/>
    <tableColumn id="15833" xr3:uid="{383D05E5-5AB6-4045-B499-9C9ED4E02285}" name="15820"/>
    <tableColumn id="15834" xr3:uid="{DEBF9DCA-8254-409D-951E-EBB2EF46440A}" name="15821"/>
    <tableColumn id="15835" xr3:uid="{3EC26DE2-DB67-43C8-B66E-7270F7C3473A}" name="15822"/>
    <tableColumn id="15836" xr3:uid="{8B497E6D-7522-4F1B-9DF8-5218354D2843}" name="15823"/>
    <tableColumn id="15837" xr3:uid="{50F27A6E-5C49-4179-8F29-5079B0A23DAA}" name="15824"/>
    <tableColumn id="15838" xr3:uid="{32F63FDB-980A-49B5-A562-C087AEB688B4}" name="15825"/>
    <tableColumn id="15839" xr3:uid="{DE57D5E5-CB7F-47A2-AB94-7FDAFBF355ED}" name="15826"/>
    <tableColumn id="15840" xr3:uid="{F3B6398B-0CEA-4607-A0B3-3C62439EF2E4}" name="15827"/>
    <tableColumn id="15841" xr3:uid="{83829F80-0785-4695-873A-252AACB7867C}" name="15828"/>
    <tableColumn id="15842" xr3:uid="{EFEC8EB2-F20D-4EA7-B638-2D791A13562D}" name="15829"/>
    <tableColumn id="15843" xr3:uid="{179C18CE-A096-48C6-B3CB-1520C4D7DEB0}" name="15830"/>
    <tableColumn id="15844" xr3:uid="{A56FA64B-FF1D-4ED2-B4F5-C26B28D67F0C}" name="15831"/>
    <tableColumn id="15845" xr3:uid="{53CEE44D-198D-4922-AFB9-00B19869BA31}" name="15832"/>
    <tableColumn id="15846" xr3:uid="{AC1397BC-B13D-4079-8A7B-1A316401F497}" name="15833"/>
    <tableColumn id="15847" xr3:uid="{4678A53E-AE6A-4E78-9C1A-F3B81D1A9F4D}" name="15834"/>
    <tableColumn id="15848" xr3:uid="{65C51FEF-97F4-48F5-A9E9-DBF49826C948}" name="15835"/>
    <tableColumn id="15849" xr3:uid="{6F558111-7D93-412B-8A4F-253F35576A16}" name="15836"/>
    <tableColumn id="15850" xr3:uid="{DEA6E484-085F-422D-8C46-38F414921BA9}" name="15837"/>
    <tableColumn id="15851" xr3:uid="{D5573423-4042-41C9-BE81-4178187C80AE}" name="15838"/>
    <tableColumn id="15852" xr3:uid="{A8065256-DF24-4846-A771-93D65C42C71B}" name="15839"/>
    <tableColumn id="15853" xr3:uid="{96D74D50-68A1-4EA5-B2B9-ED14B334B003}" name="15840"/>
    <tableColumn id="15854" xr3:uid="{42E2327E-2CA5-40E0-81D4-A31E43806829}" name="15841"/>
    <tableColumn id="15855" xr3:uid="{9DAA5DFF-3473-485B-B2B4-ADCD6D03337F}" name="15842"/>
    <tableColumn id="15856" xr3:uid="{AA79FA72-388E-46E8-B13B-D918BE40119C}" name="15843"/>
    <tableColumn id="15857" xr3:uid="{93B7592B-2F5B-4BBA-9CD0-C727AAB9D4F7}" name="15844"/>
    <tableColumn id="15858" xr3:uid="{9D39A6C7-192F-4C7D-976B-6EFC01303D24}" name="15845"/>
    <tableColumn id="15859" xr3:uid="{90D0EF9C-C048-4544-8737-068D5707992B}" name="15846"/>
    <tableColumn id="15860" xr3:uid="{D9F86C3E-85CC-40EB-8EB7-0098DCA0B8DD}" name="15847"/>
    <tableColumn id="15861" xr3:uid="{22E2F517-4F9F-4024-BC35-86038F75AF6D}" name="15848"/>
    <tableColumn id="15862" xr3:uid="{1C37F2C4-8A7E-49C0-9AEA-D16F1E09BD66}" name="15849"/>
    <tableColumn id="15863" xr3:uid="{4F72676E-460D-4501-84E0-A0AE756D84F7}" name="15850"/>
    <tableColumn id="15864" xr3:uid="{E67420A3-1D9F-4020-88D1-E66323BF2B6E}" name="15851"/>
    <tableColumn id="15865" xr3:uid="{C3B80D5C-BCA5-4034-A04C-9106DB569F06}" name="15852"/>
    <tableColumn id="15866" xr3:uid="{5105F7B8-FC0F-497E-BA4D-5E5E914D1731}" name="15853"/>
    <tableColumn id="15867" xr3:uid="{012E3864-3E0A-4FAC-98DC-9FFA3111008B}" name="15854"/>
    <tableColumn id="15868" xr3:uid="{C53955B8-08E1-427E-AB6E-18E910802978}" name="15855"/>
    <tableColumn id="15869" xr3:uid="{E4F6561C-CDCA-4D46-80F8-A409EBFB741B}" name="15856"/>
    <tableColumn id="15870" xr3:uid="{63E04BC5-7D20-4D0D-BD24-815E4B33D61B}" name="15857"/>
    <tableColumn id="15871" xr3:uid="{ABFFC859-CCB7-45C2-9B3D-D97C4E7D938B}" name="15858"/>
    <tableColumn id="15872" xr3:uid="{25820B15-548F-49C9-B1A0-D69C882B0EEF}" name="15859"/>
    <tableColumn id="15873" xr3:uid="{B8EAF9C4-B5DE-4163-A6CC-0EBB7E92F046}" name="15860"/>
    <tableColumn id="15874" xr3:uid="{B249831A-D229-4CB7-99A1-102FCCE967A1}" name="15861"/>
    <tableColumn id="15875" xr3:uid="{F54A676A-A51D-4931-9B73-C4479C87FF0E}" name="15862"/>
    <tableColumn id="15876" xr3:uid="{C22E4182-F71E-4C30-AC02-1101F8AD79A5}" name="15863"/>
    <tableColumn id="15877" xr3:uid="{6702832B-6D7E-40E3-A048-36536AD1E374}" name="15864"/>
    <tableColumn id="15878" xr3:uid="{3E63EC1D-C756-41D5-9F46-D7494E882893}" name="15865"/>
    <tableColumn id="15879" xr3:uid="{EB757074-AF54-4DCA-B439-6F5CF059BEB2}" name="15866"/>
    <tableColumn id="15880" xr3:uid="{580F4441-96E7-44A2-809D-D8D25B5A22EE}" name="15867"/>
    <tableColumn id="15881" xr3:uid="{448918F3-B40B-4BC4-AA02-96BDFF87A728}" name="15868"/>
    <tableColumn id="15882" xr3:uid="{A3405B05-9452-47A1-BEC7-30BC42F672EA}" name="15869"/>
    <tableColumn id="15883" xr3:uid="{D7C1340A-6B4E-469A-BCA8-0E3CEEEDDC25}" name="15870"/>
    <tableColumn id="15884" xr3:uid="{2F2A0CEC-588D-49B7-86E0-91B7B762A319}" name="15871"/>
    <tableColumn id="15885" xr3:uid="{C2777701-C5B1-437E-AFF8-13F4496AEA90}" name="15872"/>
    <tableColumn id="15886" xr3:uid="{B94AF983-5990-40FB-A62B-5BE80531622E}" name="15873"/>
    <tableColumn id="15887" xr3:uid="{A273A8CC-A733-442D-B384-BED713FDF379}" name="15874"/>
    <tableColumn id="15888" xr3:uid="{2A218733-E863-43EA-9969-F9ED4C5955D3}" name="15875"/>
    <tableColumn id="15889" xr3:uid="{76E7D028-2D6D-4B99-9E0F-E420537991E7}" name="15876"/>
    <tableColumn id="15890" xr3:uid="{5DEA1775-FAA8-4B38-AE40-4CE0F2852AC1}" name="15877"/>
    <tableColumn id="15891" xr3:uid="{9B197323-E25B-4A91-BBB4-77C10417BE8D}" name="15878"/>
    <tableColumn id="15892" xr3:uid="{66725E7F-ADF3-43AE-B9B9-3376673AF99C}" name="15879"/>
    <tableColumn id="15893" xr3:uid="{08C2B06A-0A88-4E90-B043-227651DB7C95}" name="15880"/>
    <tableColumn id="15894" xr3:uid="{42002808-D380-476C-B210-0136B7611D9A}" name="15881"/>
    <tableColumn id="15895" xr3:uid="{762BE41D-C629-4A7B-8621-0B4477DFB36A}" name="15882"/>
    <tableColumn id="15896" xr3:uid="{EA23553B-1A1F-4371-B7FF-B804DF992FBC}" name="15883"/>
    <tableColumn id="15897" xr3:uid="{BD2381E3-A402-415F-99C7-53F0FF1D1A8E}" name="15884"/>
    <tableColumn id="15898" xr3:uid="{DEF8B842-0FA2-48D0-81C8-FCC84ED07840}" name="15885"/>
    <tableColumn id="15899" xr3:uid="{BE1212D0-2739-4071-AB03-71BE1A26CCE8}" name="15886"/>
    <tableColumn id="15900" xr3:uid="{CC15BDAB-F4C5-4154-ACCA-33CDE49CF7B3}" name="15887"/>
    <tableColumn id="15901" xr3:uid="{3820F855-383E-4253-AE29-C6FCEDB0B1A5}" name="15888"/>
    <tableColumn id="15902" xr3:uid="{9DA39350-E6A9-4885-A07B-5CAA63AC4BC4}" name="15889"/>
    <tableColumn id="15903" xr3:uid="{FEA30293-FD29-4899-8EE2-834C7C284BB4}" name="15890"/>
    <tableColumn id="15904" xr3:uid="{3F56774A-FF56-4961-95E6-095575E2494B}" name="15891"/>
    <tableColumn id="15905" xr3:uid="{85455E77-1B08-4C34-9364-FC8AB9A5C35A}" name="15892"/>
    <tableColumn id="15906" xr3:uid="{D012D151-5AE0-437A-A02C-D40C5B12583F}" name="15893"/>
    <tableColumn id="15907" xr3:uid="{5CCDEDE5-D1B2-4D08-B57B-8FCD460882AD}" name="15894"/>
    <tableColumn id="15908" xr3:uid="{C0DD4A0D-8730-45D7-86E0-16EC61F3F79F}" name="15895"/>
    <tableColumn id="15909" xr3:uid="{55B5334B-4D73-4022-B008-33B26F63F6E0}" name="15896"/>
    <tableColumn id="15910" xr3:uid="{AE0693CC-AFF6-4393-8454-8997F333A01A}" name="15897"/>
    <tableColumn id="15911" xr3:uid="{461B47F1-E5FA-4429-9419-01FA5FDA92F1}" name="15898"/>
    <tableColumn id="15912" xr3:uid="{6CF32355-AF4C-4AC6-9425-BA92EC89261B}" name="15899"/>
    <tableColumn id="15913" xr3:uid="{22AFF4F3-8F6A-489F-9094-8D00DBEDE6D3}" name="15900"/>
    <tableColumn id="15914" xr3:uid="{737176FA-AEA9-4D42-BB8E-B33796E9CBD8}" name="15901"/>
    <tableColumn id="15915" xr3:uid="{9C85BFBE-CE15-461E-8669-335029ECED42}" name="15902"/>
    <tableColumn id="15916" xr3:uid="{B617ABA7-4C03-46FE-A532-B43AA96DEB41}" name="15903"/>
    <tableColumn id="15917" xr3:uid="{496CBFE0-AB16-4C1C-8E7F-889A21694783}" name="15904"/>
    <tableColumn id="15918" xr3:uid="{AF51350B-E930-4563-AD52-64968AFBFD31}" name="15905"/>
    <tableColumn id="15919" xr3:uid="{9B9E22A8-9DD6-47A0-9189-508D224FABF6}" name="15906"/>
    <tableColumn id="15920" xr3:uid="{79670ECD-DFFA-4EB8-B607-20AD349678AC}" name="15907"/>
    <tableColumn id="15921" xr3:uid="{5F34822B-BD97-4360-968E-55B28D321A8B}" name="15908"/>
    <tableColumn id="15922" xr3:uid="{8A42BA0D-2D60-46A7-ACB4-5EAF74365868}" name="15909"/>
    <tableColumn id="15923" xr3:uid="{611F337B-2B4E-4946-AAC2-AA98F96E952A}" name="15910"/>
    <tableColumn id="15924" xr3:uid="{982973E2-9C0D-49AA-BB25-8F4749B299B5}" name="15911"/>
    <tableColumn id="15925" xr3:uid="{36837E43-32E2-4784-9860-B1DF0CF2B360}" name="15912"/>
    <tableColumn id="15926" xr3:uid="{8D185525-0177-4B50-8B6D-1DF21A1ABE06}" name="15913"/>
    <tableColumn id="15927" xr3:uid="{C867E492-6B84-4BD9-A664-FFFD609ACBD9}" name="15914"/>
    <tableColumn id="15928" xr3:uid="{55E4A1C9-AC69-47E9-BDA5-BCECD730E674}" name="15915"/>
    <tableColumn id="15929" xr3:uid="{4DE6C31D-502D-4062-8A84-BD0A4EDD86BA}" name="15916"/>
    <tableColumn id="15930" xr3:uid="{37CFD47F-93F2-4BBF-BC90-8F94BC07FC73}" name="15917"/>
    <tableColumn id="15931" xr3:uid="{A45C2550-25BC-45CF-8CDC-14D24BB9689B}" name="15918"/>
    <tableColumn id="15932" xr3:uid="{26FFAE0D-7447-4B9A-948C-986316FE35C8}" name="15919"/>
    <tableColumn id="15933" xr3:uid="{2280C36C-E898-4563-B664-CA6AECE32FAB}" name="15920"/>
    <tableColumn id="15934" xr3:uid="{79E2EF55-75E9-41E4-8353-DA8424BC1465}" name="15921"/>
    <tableColumn id="15935" xr3:uid="{C709D55A-A69B-401F-BAE4-D4AFBA4EA591}" name="15922"/>
    <tableColumn id="15936" xr3:uid="{CBD659DA-A7D9-4B87-9A5E-709CA3FF183E}" name="15923"/>
    <tableColumn id="15937" xr3:uid="{30C4B036-7F9C-4212-BCF3-2E59FAD8C726}" name="15924"/>
    <tableColumn id="15938" xr3:uid="{6C217E7B-99FF-4424-A65B-8F28F4E1DA9E}" name="15925"/>
    <tableColumn id="15939" xr3:uid="{190EADBD-A0ED-4168-8A45-0D1263DE4BA7}" name="15926"/>
    <tableColumn id="15940" xr3:uid="{22E77378-A14F-4B46-A0FE-1B199F15AB43}" name="15927"/>
    <tableColumn id="15941" xr3:uid="{8E3923EA-253D-4A72-94C6-E973D0CC31DC}" name="15928"/>
    <tableColumn id="15942" xr3:uid="{ABD5C971-44DE-4A5D-81CF-098E4C5224DD}" name="15929"/>
    <tableColumn id="15943" xr3:uid="{35326F02-7F3E-4625-BE9F-5C7F9270C2B8}" name="15930"/>
    <tableColumn id="15944" xr3:uid="{E3C10E1B-711E-450B-AAA1-0BABE9285B54}" name="15931"/>
    <tableColumn id="15945" xr3:uid="{526C5B3C-DE1A-429B-B55A-0BF2DB30E25F}" name="15932"/>
    <tableColumn id="15946" xr3:uid="{871B4228-B161-4B97-82C8-245C45F92785}" name="15933"/>
    <tableColumn id="15947" xr3:uid="{3F13BA7C-86B6-4A81-BB4F-8E1721C3ACA5}" name="15934"/>
    <tableColumn id="15948" xr3:uid="{F6604CE4-0BCD-49C1-9BC0-F08F820AF51B}" name="15935"/>
    <tableColumn id="15949" xr3:uid="{1F9063E6-BA1A-4156-A264-9255B085C34C}" name="15936"/>
    <tableColumn id="15950" xr3:uid="{7C850664-8184-4B2D-8341-18F49CB0771C}" name="15937"/>
    <tableColumn id="15951" xr3:uid="{4D450A9F-A716-4E50-AC9D-F8F9254E4A1C}" name="15938"/>
    <tableColumn id="15952" xr3:uid="{3D5D4A99-B2F4-4C5A-AE48-E40ED65DB8A0}" name="15939"/>
    <tableColumn id="15953" xr3:uid="{323812AF-C450-440C-8858-BD58E0EF3B4B}" name="15940"/>
    <tableColumn id="15954" xr3:uid="{3410CEE9-F7FA-4935-9BD3-61D71BBDDA88}" name="15941"/>
    <tableColumn id="15955" xr3:uid="{7F5D9D49-2ECE-4ED8-A91C-924976B3981F}" name="15942"/>
    <tableColumn id="15956" xr3:uid="{E1AE02B4-EE88-4C47-95A1-BEB540954F6E}" name="15943"/>
    <tableColumn id="15957" xr3:uid="{BD5544AA-1DC6-4156-84B8-EB5141EA1F2C}" name="15944"/>
    <tableColumn id="15958" xr3:uid="{50F469FD-C38E-4DF5-BC02-1019201EB579}" name="15945"/>
    <tableColumn id="15959" xr3:uid="{00B3D86C-6324-4C06-8788-2ECF296A8FBD}" name="15946"/>
    <tableColumn id="15960" xr3:uid="{D04242AB-7EB2-4E2A-ABC3-6CFE58437C34}" name="15947"/>
    <tableColumn id="15961" xr3:uid="{7897B87F-7AF7-44E4-A864-184CADCE6DB9}" name="15948"/>
    <tableColumn id="15962" xr3:uid="{7A406C53-239A-4909-B521-129C8620F1C0}" name="15949"/>
    <tableColumn id="15963" xr3:uid="{0DAE816C-3735-4AA6-A6B5-F3A0B97354AA}" name="15950"/>
    <tableColumn id="15964" xr3:uid="{02DE17F3-B6FD-414E-8779-9729DA491BC3}" name="15951"/>
    <tableColumn id="15965" xr3:uid="{2AB1A343-5514-43EC-A3B2-7B28F40FCA1D}" name="15952"/>
    <tableColumn id="15966" xr3:uid="{6DB12AF4-276A-49FC-B7B9-459E7F9DCC97}" name="15953"/>
    <tableColumn id="15967" xr3:uid="{ADFCDB6C-5533-49CE-8F4B-6BDDADB60D7C}" name="15954"/>
    <tableColumn id="15968" xr3:uid="{9E8DE133-D370-491C-B354-F47A800F722D}" name="15955"/>
    <tableColumn id="15969" xr3:uid="{83BC8D6A-5FAF-4175-8096-4A958D2A4C79}" name="15956"/>
    <tableColumn id="15970" xr3:uid="{05D4A8BA-51FB-4C46-AF3E-3885AC908993}" name="15957"/>
    <tableColumn id="15971" xr3:uid="{8C7B7481-B2D0-4AB3-8A1E-4E620CA3B802}" name="15958"/>
    <tableColumn id="15972" xr3:uid="{5DB5C1B0-0504-42EC-A600-3D19766F8716}" name="15959"/>
    <tableColumn id="15973" xr3:uid="{2BBFEB2F-9043-424E-B1F0-FFDEF2AB2C94}" name="15960"/>
    <tableColumn id="15974" xr3:uid="{B6DD0A63-2BEF-4503-8510-813C6FD28BE6}" name="15961"/>
    <tableColumn id="15975" xr3:uid="{E4C00C49-D10F-4F0F-89D2-24C5472B7367}" name="15962"/>
    <tableColumn id="15976" xr3:uid="{A35E780A-4D50-4CC2-AD00-A33D46F1187E}" name="15963"/>
    <tableColumn id="15977" xr3:uid="{D5EA4D69-C5AA-4836-8342-AA648BBA5D1A}" name="15964"/>
    <tableColumn id="15978" xr3:uid="{21078E55-3AE3-4606-8037-CC99E2EDAB2A}" name="15965"/>
    <tableColumn id="15979" xr3:uid="{2CB6BA33-8D1D-455E-8E26-A31FDFD350DE}" name="15966"/>
    <tableColumn id="15980" xr3:uid="{6B17EBDC-1F37-4B28-8921-F39C7FB6110D}" name="15967"/>
    <tableColumn id="15981" xr3:uid="{8860F827-90F5-4ABA-B756-7FFC19FFE296}" name="15968"/>
    <tableColumn id="15982" xr3:uid="{EDE1CCC8-A792-4822-963D-A180A77A962A}" name="15969"/>
    <tableColumn id="15983" xr3:uid="{DB2DF140-0E2C-482A-B7C5-56D5652CF93D}" name="15970"/>
    <tableColumn id="15984" xr3:uid="{F8708034-6E7F-4415-BE9C-9680692F8CDA}" name="15971"/>
    <tableColumn id="15985" xr3:uid="{9A32906F-550C-443D-B076-9B4765BB5AA3}" name="15972"/>
    <tableColumn id="15986" xr3:uid="{9836BF0A-93C6-44CE-9DFB-F770F2B6D3A0}" name="15973"/>
    <tableColumn id="15987" xr3:uid="{69DCD10E-4A8D-4C50-A7E6-0580B0AD6DF8}" name="15974"/>
    <tableColumn id="15988" xr3:uid="{61160DB5-BD2F-4082-AE0C-763697CE3627}" name="15975"/>
    <tableColumn id="15989" xr3:uid="{BA3E8E75-0C92-4D1F-BED9-BCD33A551868}" name="15976"/>
    <tableColumn id="15990" xr3:uid="{8935715B-B303-478E-B7F0-351AB522BAC8}" name="15977"/>
    <tableColumn id="15991" xr3:uid="{78FF743D-69BE-467D-B6B6-72854FA28BCB}" name="15978"/>
    <tableColumn id="15992" xr3:uid="{C566C6A8-AF97-49A6-BB04-C2E89AD9B2C6}" name="15979"/>
    <tableColumn id="15993" xr3:uid="{224A1192-2108-49D1-B354-82708C179BA0}" name="15980"/>
    <tableColumn id="15994" xr3:uid="{6DF7E791-7EDA-4E0C-B992-095DC9B83C8A}" name="15981"/>
    <tableColumn id="15995" xr3:uid="{AFFF0AFE-715E-4504-87F2-69F4854EBF2E}" name="15982"/>
    <tableColumn id="15996" xr3:uid="{FF60A456-D7B1-4D64-9E5B-C134DEEAC55D}" name="15983"/>
    <tableColumn id="15997" xr3:uid="{FFBD56D1-B1CC-44FE-86F7-F252C9591A14}" name="15984"/>
    <tableColumn id="15998" xr3:uid="{771063E3-9590-4392-8D7F-8A94D332DEBF}" name="15985"/>
    <tableColumn id="15999" xr3:uid="{B709AC5F-0CE2-4CED-8886-76A0DCFED0CF}" name="15986"/>
    <tableColumn id="16000" xr3:uid="{6FBBC93D-B605-46C5-80DE-0A4E966E618C}" name="15987"/>
    <tableColumn id="16001" xr3:uid="{4223BDAD-2E39-423F-862D-872465BADC9A}" name="15988"/>
    <tableColumn id="16002" xr3:uid="{2CB8D7A5-07D7-43D1-A514-C431632B6A0C}" name="15989"/>
    <tableColumn id="16003" xr3:uid="{AEF3A628-9612-4336-82C8-56B3F36B94E2}" name="15990"/>
    <tableColumn id="16004" xr3:uid="{013753F6-CC72-4C98-9F6E-3C8E247992CE}" name="15991"/>
    <tableColumn id="16005" xr3:uid="{3DF233FB-AFC8-4FF4-A582-287BDCE5B590}" name="15992"/>
    <tableColumn id="16006" xr3:uid="{66005572-B5D0-4D81-8FD9-AED3263D999A}" name="15993"/>
    <tableColumn id="16007" xr3:uid="{9E7F0315-52FC-441E-8B83-ED74A293FF90}" name="15994"/>
    <tableColumn id="16008" xr3:uid="{0122D038-51EA-47F6-ACB6-F0178B435A4B}" name="15995"/>
    <tableColumn id="16009" xr3:uid="{46CF7EBF-2E3C-42B3-8C07-AFC03B2A9C09}" name="15996"/>
    <tableColumn id="16010" xr3:uid="{A5CF139D-93A5-48C2-99AD-7FD2FE0B591E}" name="15997"/>
    <tableColumn id="16011" xr3:uid="{13EF9FC4-5445-49A4-B249-4ADD516DA3CF}" name="15998"/>
    <tableColumn id="16012" xr3:uid="{C9C69D86-C181-4599-9E74-D5F243FE0CB9}" name="15999"/>
    <tableColumn id="16013" xr3:uid="{DA503A0F-EBF0-4748-B595-F949A604C72A}" name="16000"/>
    <tableColumn id="16014" xr3:uid="{BEE09894-5DEF-47B5-A96E-3668199FAF1B}" name="16001"/>
    <tableColumn id="16015" xr3:uid="{08226FAB-F2F9-4619-9953-D02CAD98C583}" name="16002"/>
    <tableColumn id="16016" xr3:uid="{06D83EB3-2B70-4A51-A646-CFA1AFCB5B0D}" name="16003"/>
    <tableColumn id="16017" xr3:uid="{CCE394A8-6821-4D5A-8CF2-AF458ACF08F5}" name="16004"/>
    <tableColumn id="16018" xr3:uid="{AD9FD242-24BA-4388-9586-C9883191E014}" name="16005"/>
    <tableColumn id="16019" xr3:uid="{A14F1625-1CC1-4677-985E-5995D42BBE54}" name="16006"/>
    <tableColumn id="16020" xr3:uid="{B43105D7-AC2B-4DE1-9740-10A64B6E88C9}" name="16007"/>
    <tableColumn id="16021" xr3:uid="{29F37AD5-921F-48B5-80EA-222A79CE2EF3}" name="16008"/>
    <tableColumn id="16022" xr3:uid="{7832D6FF-743D-4276-911D-A05DDADAE76C}" name="16009"/>
    <tableColumn id="16023" xr3:uid="{F5A04E66-E65C-4536-9381-2DC8A3E332DC}" name="16010"/>
    <tableColumn id="16024" xr3:uid="{35CC4DD5-A819-4E0A-BD7A-633F326991DE}" name="16011"/>
    <tableColumn id="16025" xr3:uid="{BFB1C31B-9096-457D-8E8B-C251B7F91D34}" name="16012"/>
    <tableColumn id="16026" xr3:uid="{1FA1FB6E-EA5F-42D5-881F-43C5DE5BBF6D}" name="16013"/>
    <tableColumn id="16027" xr3:uid="{51B98B23-0829-46AE-A892-8C9BD67F5B35}" name="16014"/>
    <tableColumn id="16028" xr3:uid="{43FFA2CC-FAA2-4C19-81F5-379C2BC9DAAD}" name="16015"/>
    <tableColumn id="16029" xr3:uid="{7B4FE275-0A05-43BF-9E17-AA36F548236A}" name="16016"/>
    <tableColumn id="16030" xr3:uid="{374D9CE2-613C-48D7-B810-82A6D7EEC38C}" name="16017"/>
    <tableColumn id="16031" xr3:uid="{3494C1BD-3592-4F72-B917-59804D6B94AA}" name="16018"/>
    <tableColumn id="16032" xr3:uid="{A5DDFF8C-A2F5-43A1-A41A-B2C83244ADA3}" name="16019"/>
    <tableColumn id="16033" xr3:uid="{6D2ACD35-342C-4406-B5CF-8775A0046AE7}" name="16020"/>
    <tableColumn id="16034" xr3:uid="{49D282AF-971D-491A-ABBB-CE4BAC0D7D52}" name="16021"/>
    <tableColumn id="16035" xr3:uid="{D6A4EC81-C6F6-4A5E-A927-850B4B2BF68B}" name="16022"/>
    <tableColumn id="16036" xr3:uid="{BE37160A-47A4-4355-A92B-1C30889B0DD2}" name="16023"/>
    <tableColumn id="16037" xr3:uid="{3E4B3158-CA2F-4B18-B129-AF49BE802686}" name="16024"/>
    <tableColumn id="16038" xr3:uid="{C310E8CE-5619-45DF-B663-639E51D536B2}" name="16025"/>
    <tableColumn id="16039" xr3:uid="{95690A63-A455-47DD-A7BD-7996CA4E05C1}" name="16026"/>
    <tableColumn id="16040" xr3:uid="{B419CA0F-1A02-44B1-B3EC-8DE08FEE2FE4}" name="16027"/>
    <tableColumn id="16041" xr3:uid="{7709C392-091B-4F18-9A2B-B01034DE988D}" name="16028"/>
    <tableColumn id="16042" xr3:uid="{3A0DFF44-535B-41E8-AE63-23F62EA86F78}" name="16029"/>
    <tableColumn id="16043" xr3:uid="{FA3576EB-C6AC-4DC9-BF66-08C7FA31A5A2}" name="16030"/>
    <tableColumn id="16044" xr3:uid="{E46A40CB-86DC-4127-94BF-12D318B9C5E0}" name="16031"/>
    <tableColumn id="16045" xr3:uid="{76EDB898-72D4-4D04-B213-121150EAD0E0}" name="16032"/>
    <tableColumn id="16046" xr3:uid="{4D8A879A-145D-4066-A198-EBD4DA63490F}" name="16033"/>
    <tableColumn id="16047" xr3:uid="{4069ADA5-C07B-48F5-A040-5ACE0700D2D6}" name="16034"/>
    <tableColumn id="16048" xr3:uid="{C3576C07-A7C2-4265-AF2D-27DAEE5DF013}" name="16035"/>
    <tableColumn id="16049" xr3:uid="{A9181CD3-8E52-4D17-9461-22E09825CB1A}" name="16036"/>
    <tableColumn id="16050" xr3:uid="{15C9E922-D7FE-4C23-8003-0B01696A3F34}" name="16037"/>
    <tableColumn id="16051" xr3:uid="{F643EB9E-3677-4065-9AED-A144E920461C}" name="16038"/>
    <tableColumn id="16052" xr3:uid="{3ED4E0D3-D3C8-470C-B90F-960B5D570F8B}" name="16039"/>
    <tableColumn id="16053" xr3:uid="{BE1231C5-5577-4839-AFC8-FA91D51A96C1}" name="16040"/>
    <tableColumn id="16054" xr3:uid="{24AFCDE6-4329-478F-9B3B-58DD63927F8F}" name="16041"/>
    <tableColumn id="16055" xr3:uid="{F2A0E147-F8AB-4640-ABD2-CF1AF998E1AB}" name="16042"/>
    <tableColumn id="16056" xr3:uid="{A742699A-D3D1-46B0-B605-942F8683DCCC}" name="16043"/>
    <tableColumn id="16057" xr3:uid="{A87DECC5-BC62-46DD-90A1-663478F0F74D}" name="16044"/>
    <tableColumn id="16058" xr3:uid="{6276BCDD-22D5-4897-9B47-7317F29081FD}" name="16045"/>
    <tableColumn id="16059" xr3:uid="{49670019-E6CB-4281-A600-1DEC3D47824A}" name="16046"/>
    <tableColumn id="16060" xr3:uid="{96C68742-D42E-4B4E-BA6E-D0C867E9B15D}" name="16047"/>
    <tableColumn id="16061" xr3:uid="{31028BFA-D88A-4AE8-8413-57A98AB2F613}" name="16048"/>
    <tableColumn id="16062" xr3:uid="{034BF083-41AF-4236-8631-4CA9DB19274A}" name="16049"/>
    <tableColumn id="16063" xr3:uid="{D30113B1-B54E-4695-B9E7-D44C63D85005}" name="16050"/>
    <tableColumn id="16064" xr3:uid="{C81661CE-A7C0-4C3D-ACD4-7A2263E6BB79}" name="16051"/>
    <tableColumn id="16065" xr3:uid="{95934F03-44B4-40D0-A171-0A94F7301A8E}" name="16052"/>
    <tableColumn id="16066" xr3:uid="{277D1A5F-71AF-4BA2-A915-EA9958077E39}" name="16053"/>
    <tableColumn id="16067" xr3:uid="{941C5196-1C5F-4752-B6A1-AD8D09215F30}" name="16054"/>
    <tableColumn id="16068" xr3:uid="{27858AD9-3354-4908-8EA4-9CA45C4E123A}" name="16055"/>
    <tableColumn id="16069" xr3:uid="{7DBCCB57-093B-4BAF-A989-49C2D12A48FC}" name="16056"/>
    <tableColumn id="16070" xr3:uid="{44A4A497-5DB7-4F5E-9C93-BF688D1886C5}" name="16057"/>
    <tableColumn id="16071" xr3:uid="{F42F7368-1B03-40CE-B8A1-FEAB12EE3C51}" name="16058"/>
    <tableColumn id="16072" xr3:uid="{BB65190E-65C5-4EA9-A3FE-D5283CDD70A5}" name="16059"/>
    <tableColumn id="16073" xr3:uid="{FC43A0D6-959C-4E17-AD27-F6AA6ADEA74F}" name="16060"/>
    <tableColumn id="16074" xr3:uid="{30C6FF34-E5CF-4BF0-86F3-A7CA816DD37A}" name="16061"/>
    <tableColumn id="16075" xr3:uid="{64C5CFDC-A074-4FE3-B39B-FB4F01B962A9}" name="16062"/>
    <tableColumn id="16076" xr3:uid="{D2E7F57F-3414-4CA4-9F76-AED1D6E1AABF}" name="16063"/>
    <tableColumn id="16077" xr3:uid="{EA157D2A-98DB-4777-A5DA-F7D850C99205}" name="16064"/>
    <tableColumn id="16078" xr3:uid="{4D8AD2DA-2253-48A0-BF17-19FE0E116DD9}" name="16065"/>
    <tableColumn id="16079" xr3:uid="{75EC4FA7-8C6D-4ECA-B4D4-234A2CB99D60}" name="16066"/>
    <tableColumn id="16080" xr3:uid="{1143B027-7816-4F24-B02A-73AB230A7CFA}" name="16067"/>
    <tableColumn id="16081" xr3:uid="{1496997C-E4BA-4109-9006-27A5C5536D80}" name="16068"/>
    <tableColumn id="16082" xr3:uid="{43EA883E-0920-4327-A181-939F529754D1}" name="16069"/>
    <tableColumn id="16083" xr3:uid="{9F968154-D98F-47CB-A02D-CD055B1B70EE}" name="16070"/>
    <tableColumn id="16084" xr3:uid="{27E9DD12-69C9-4C1C-97D7-52CA9FB07DF8}" name="16071"/>
    <tableColumn id="16085" xr3:uid="{DFB1A7B3-B6F5-4DBF-9776-20A24E8B247C}" name="16072"/>
    <tableColumn id="16086" xr3:uid="{AC031428-76A4-4D6C-A574-7026E4A0F42C}" name="16073"/>
    <tableColumn id="16087" xr3:uid="{B4DE8397-9169-4AA1-8584-4C2ED4B31F4D}" name="16074"/>
    <tableColumn id="16088" xr3:uid="{9EE6D44A-873C-4D42-A626-46AE5E1297EB}" name="16075"/>
    <tableColumn id="16089" xr3:uid="{57DAA26C-ACE2-449B-8F93-E48CFCDD5630}" name="16076"/>
    <tableColumn id="16090" xr3:uid="{A883296E-628F-4BA4-8C39-D5E2C6E0465E}" name="16077"/>
    <tableColumn id="16091" xr3:uid="{6E4A7593-34CF-4A2B-956C-F7D07166BAC4}" name="16078"/>
    <tableColumn id="16092" xr3:uid="{1E2A1366-B4AB-4E1B-ACB9-0CDE822DB94C}" name="16079"/>
    <tableColumn id="16093" xr3:uid="{94023BCE-2537-4EF7-9206-BF63C445F759}" name="16080"/>
    <tableColumn id="16094" xr3:uid="{48D3A95B-41D9-4429-8D2C-DC8265205025}" name="16081"/>
    <tableColumn id="16095" xr3:uid="{416FAB23-DA81-41B7-A347-0FB72BFB66E5}" name="16082"/>
    <tableColumn id="16096" xr3:uid="{2CBB26C9-51B4-4E24-BA82-F2B04EFD8736}" name="16083"/>
    <tableColumn id="16097" xr3:uid="{30CF4485-317F-425A-9979-222636C63C5C}" name="16084"/>
    <tableColumn id="16098" xr3:uid="{92F32909-214C-44DF-9144-9756EFBE21E7}" name="16085"/>
    <tableColumn id="16099" xr3:uid="{F3BB11C4-9D6D-4F92-9A07-86F66CADF9A0}" name="16086"/>
    <tableColumn id="16100" xr3:uid="{D84725B8-9C40-4AF9-818A-754CE914C712}" name="16087"/>
    <tableColumn id="16101" xr3:uid="{817C5D4C-7F49-42E9-B722-38574A4E912E}" name="16088"/>
    <tableColumn id="16102" xr3:uid="{06DCEA03-97EA-4144-9877-C6A0E9912081}" name="16089"/>
    <tableColumn id="16103" xr3:uid="{CC727629-CC72-417C-9941-55109E7F3295}" name="16090"/>
    <tableColumn id="16104" xr3:uid="{AAB401F0-5138-4AE2-AA75-A072750B5500}" name="16091"/>
    <tableColumn id="16105" xr3:uid="{A6B1CC4F-6C71-447A-978A-8DBA7E5D62B2}" name="16092"/>
    <tableColumn id="16106" xr3:uid="{727B5E67-23CC-470F-8E8D-EA584DC10E67}" name="16093"/>
    <tableColumn id="16107" xr3:uid="{1CFBF5F2-BF28-47E9-A833-C8F9A81609BA}" name="16094"/>
    <tableColumn id="16108" xr3:uid="{352BDA7E-BAF8-4D27-B873-4BC2776C65CB}" name="16095"/>
    <tableColumn id="16109" xr3:uid="{3A820F26-9B06-45A4-BA30-69A003CC1EEF}" name="16096"/>
    <tableColumn id="16110" xr3:uid="{B0E665D6-8096-4C64-8AD0-012DC98781DC}" name="16097"/>
    <tableColumn id="16111" xr3:uid="{A9543CE3-28EC-495E-A473-EB80FED4C257}" name="16098"/>
    <tableColumn id="16112" xr3:uid="{94B1459B-6189-4C84-9442-B530BDEC91BA}" name="16099"/>
    <tableColumn id="16113" xr3:uid="{6706D1B0-FFCB-4DC3-92DA-53BC0AAF5E85}" name="16100"/>
    <tableColumn id="16114" xr3:uid="{0412C383-7783-44B4-8CB7-AF162DA55533}" name="16101"/>
    <tableColumn id="16115" xr3:uid="{521AF40D-78B7-408D-AE01-5CFA5B5014E9}" name="16102"/>
    <tableColumn id="16116" xr3:uid="{A1BF0469-5276-444B-BEE1-560B4FB9698C}" name="16103"/>
    <tableColumn id="16117" xr3:uid="{94AA73EB-678C-4A30-B445-12D81D51829A}" name="16104"/>
    <tableColumn id="16118" xr3:uid="{B483A53B-991E-4861-A479-55279EFFD8A8}" name="16105"/>
    <tableColumn id="16119" xr3:uid="{88431D8D-EBE2-4CC3-9D38-B693C5530F83}" name="16106"/>
    <tableColumn id="16120" xr3:uid="{E4378D07-7639-403E-AFD8-2E9AFDFD341D}" name="16107"/>
    <tableColumn id="16121" xr3:uid="{80DA0BAD-CD26-4F30-8B91-595D46456CCA}" name="16108"/>
    <tableColumn id="16122" xr3:uid="{388FE728-8E73-4368-B2B4-7A460DCBA6DA}" name="16109"/>
    <tableColumn id="16123" xr3:uid="{299F6797-C929-4269-818B-7682E5D5A289}" name="16110"/>
    <tableColumn id="16124" xr3:uid="{F96066B2-D582-4AC3-AD23-A850A8D86775}" name="16111"/>
    <tableColumn id="16125" xr3:uid="{156A47ED-0132-404B-80DA-5936D7AD628D}" name="16112"/>
    <tableColumn id="16126" xr3:uid="{04CC5671-70B1-4CE4-80D2-5688F504A1BE}" name="16113"/>
    <tableColumn id="16127" xr3:uid="{3DFB819C-6477-4EDC-AB39-CDCA7C66F336}" name="16114"/>
    <tableColumn id="16128" xr3:uid="{73715267-53B0-4A15-AF62-6BF5FA7BC412}" name="16115"/>
    <tableColumn id="16129" xr3:uid="{A75BDABF-5473-4259-9C32-07521C656CB1}" name="16116"/>
    <tableColumn id="16130" xr3:uid="{EFD83ECE-A44F-4E6F-A884-FAA9A10F54F7}" name="16117"/>
    <tableColumn id="16131" xr3:uid="{9571D448-DB50-4438-A80A-3EF587D2C4EF}" name="16118"/>
    <tableColumn id="16132" xr3:uid="{0ECF0AF9-7536-49B9-AB35-1CB0FA9585BC}" name="16119"/>
    <tableColumn id="16133" xr3:uid="{3B21775A-7B1E-46B2-9007-003CD3FD75EA}" name="16120"/>
    <tableColumn id="16134" xr3:uid="{17F99E29-EE76-4B0D-959B-47604A49DE42}" name="16121"/>
    <tableColumn id="16135" xr3:uid="{D76A1C66-ED77-4565-9367-D8A36B7A6685}" name="16122"/>
    <tableColumn id="16136" xr3:uid="{41CA44D1-27C7-4317-8215-EEA1F5AFE343}" name="16123"/>
    <tableColumn id="16137" xr3:uid="{208A63E3-29A7-45CD-AED1-399E4FD6D08F}" name="16124"/>
    <tableColumn id="16138" xr3:uid="{B457709C-445E-4958-84F2-C3F5E02D6FA1}" name="16125"/>
    <tableColumn id="16139" xr3:uid="{774D5E59-460F-46D4-BD50-C3A9391336BE}" name="16126"/>
    <tableColumn id="16140" xr3:uid="{1DF630D7-4969-4B68-B53D-0C371CEED2BF}" name="16127"/>
    <tableColumn id="16141" xr3:uid="{D092FA53-0C22-440A-97A4-D696EABE2406}" name="16128"/>
    <tableColumn id="16142" xr3:uid="{BC23D6D1-E1AE-49BC-9D35-0DFA089327B9}" name="16129"/>
    <tableColumn id="16143" xr3:uid="{81564609-04D6-4B5E-A9E1-C04EFA25275E}" name="16130"/>
    <tableColumn id="16144" xr3:uid="{FCC1D637-BB1A-4B44-B034-1AB6D7B296EC}" name="16131"/>
    <tableColumn id="16145" xr3:uid="{0B15747F-E9BC-4B4D-B895-7032AEC3EBFF}" name="16132"/>
    <tableColumn id="16146" xr3:uid="{D9F39631-6AFA-47AD-84ED-18DD2934E329}" name="16133"/>
    <tableColumn id="16147" xr3:uid="{8585A186-29A4-4295-A299-BDA38336C172}" name="16134"/>
    <tableColumn id="16148" xr3:uid="{38C9DF3A-1619-450A-8B60-343A8583CCBB}" name="16135"/>
    <tableColumn id="16149" xr3:uid="{63676DE6-8538-415E-B34B-26F37F748D62}" name="16136"/>
    <tableColumn id="16150" xr3:uid="{298132D3-67E4-476A-A563-188687D7C9D5}" name="16137"/>
    <tableColumn id="16151" xr3:uid="{54272B18-FCFA-4F94-8966-06497BB50A10}" name="16138"/>
    <tableColumn id="16152" xr3:uid="{E3A5C349-27BF-42E0-AF78-CD003E6D3DC4}" name="16139"/>
    <tableColumn id="16153" xr3:uid="{1BB14F51-DB05-4307-B265-5E4E085D7546}" name="16140"/>
    <tableColumn id="16154" xr3:uid="{149103FF-DA22-4516-A648-2DC3CD6268D9}" name="16141"/>
    <tableColumn id="16155" xr3:uid="{958BBF97-C1FE-4F0B-8CFB-3B16DA019917}" name="16142"/>
    <tableColumn id="16156" xr3:uid="{D2607221-C9E2-4BA9-B0AA-94AE2945200E}" name="16143"/>
    <tableColumn id="16157" xr3:uid="{AFBF788A-E028-4299-9D6E-8F1AD102267F}" name="16144"/>
    <tableColumn id="16158" xr3:uid="{6D1CE917-45E5-4E69-8A05-F684BEF96F42}" name="16145"/>
    <tableColumn id="16159" xr3:uid="{A725ABE5-E07E-4AF7-A437-884160791CA8}" name="16146"/>
    <tableColumn id="16160" xr3:uid="{AF4C8CD7-25D0-4007-9525-8F6F8700EA45}" name="16147"/>
    <tableColumn id="16161" xr3:uid="{3345E054-CD8D-4473-9CCD-282ADAF64857}" name="16148"/>
    <tableColumn id="16162" xr3:uid="{8DBA0715-607E-4616-8B59-E0853CA2FB07}" name="16149"/>
    <tableColumn id="16163" xr3:uid="{B52206B7-5239-4E3C-B9BC-08E7CEB120F8}" name="16150"/>
    <tableColumn id="16164" xr3:uid="{165856B6-D2B4-4DD5-84E2-4A436AB1561C}" name="16151"/>
    <tableColumn id="16165" xr3:uid="{55CBADA6-3059-442F-BD13-D7A16C1FF49F}" name="16152"/>
    <tableColumn id="16166" xr3:uid="{7D7AA0CB-94F8-4E9A-B0EB-84EB2F354BC7}" name="16153"/>
    <tableColumn id="16167" xr3:uid="{0EF47F82-1E41-4D52-902B-A488DF57B091}" name="16154"/>
    <tableColumn id="16168" xr3:uid="{182DFAE4-00E3-4BA3-A0E7-C058201F8DF8}" name="16155"/>
    <tableColumn id="16169" xr3:uid="{D4A25184-EEFA-4C27-8E14-1B67140CB3F1}" name="16156"/>
    <tableColumn id="16170" xr3:uid="{610DAA68-EE61-42CC-9922-9BDE7E58048C}" name="16157"/>
    <tableColumn id="16171" xr3:uid="{5D4A1D13-8EEE-4D91-B23A-B4912B33B51F}" name="16158"/>
    <tableColumn id="16172" xr3:uid="{C1456341-B5C1-42E7-B68A-45619B4D955D}" name="16159"/>
    <tableColumn id="16173" xr3:uid="{D9BD9AEC-651E-42EF-8984-A0CD5B6BBECB}" name="16160"/>
    <tableColumn id="16174" xr3:uid="{DAC1B18A-A8BF-4B5F-B7E9-B741B9395134}" name="16161"/>
    <tableColumn id="16175" xr3:uid="{F9DFAB05-7F1A-41EA-90F8-CA320EEE55BD}" name="16162"/>
    <tableColumn id="16176" xr3:uid="{3C20F8DC-E588-43C1-9463-9F67D157C6DB}" name="16163"/>
    <tableColumn id="16177" xr3:uid="{4272E864-13A1-4AD0-9C24-9CEB94115C56}" name="16164"/>
    <tableColumn id="16178" xr3:uid="{71599254-006A-49C4-A173-535BBEA60468}" name="16165"/>
    <tableColumn id="16179" xr3:uid="{C0B41300-C230-495B-A10B-87C6BF2D2DA6}" name="16166"/>
    <tableColumn id="16180" xr3:uid="{297A9CCC-945B-46D7-9940-D4383B3D5C06}" name="16167"/>
    <tableColumn id="16181" xr3:uid="{9EC076BF-DA41-4A3B-A91A-D329F346958C}" name="16168"/>
    <tableColumn id="16182" xr3:uid="{E6447A39-9FD4-438E-951B-5C0BDCFD1A6E}" name="16169"/>
    <tableColumn id="16183" xr3:uid="{E28BFF58-5537-4E50-8B03-3910C5D65BB7}" name="16170"/>
    <tableColumn id="16184" xr3:uid="{773300E0-9B56-4AA0-B334-4A76ECF2BEBF}" name="16171"/>
    <tableColumn id="16185" xr3:uid="{67521323-27F7-45B5-99A0-78BB6D24DA02}" name="16172"/>
    <tableColumn id="16186" xr3:uid="{C5B41A50-CBA0-480E-AE11-6879B3DE9ECA}" name="16173"/>
    <tableColumn id="16187" xr3:uid="{8DB83A3F-BC74-4E66-B4A1-4E542B1F618A}" name="16174"/>
    <tableColumn id="16188" xr3:uid="{24BD8AB5-066C-482D-ABC8-AFA9FD0482B3}" name="16175"/>
    <tableColumn id="16189" xr3:uid="{C01823F3-04BE-4F7A-91C1-55D97C5C3C55}" name="16176"/>
    <tableColumn id="16190" xr3:uid="{2BB0AE06-CD5A-4469-A08B-2086B21741FA}" name="16177"/>
    <tableColumn id="16191" xr3:uid="{2A9FF0A4-C41A-4FFE-96C2-C1A0B64B508A}" name="16178"/>
    <tableColumn id="16192" xr3:uid="{7B8C2CC9-EBF0-4E2D-B022-182A857C6665}" name="16179"/>
    <tableColumn id="16193" xr3:uid="{0472DF69-B205-4B1B-AFD8-284638BA08C4}" name="16180"/>
    <tableColumn id="16194" xr3:uid="{3E86AD95-FFA1-4DA9-B46B-CEF2F77E9C29}" name="16181"/>
    <tableColumn id="16195" xr3:uid="{9BE6124A-7236-493E-B627-83CBC2DB0123}" name="16182"/>
    <tableColumn id="16196" xr3:uid="{E9B5AFE3-E204-4EA0-A860-93C380B645AB}" name="16183"/>
    <tableColumn id="16197" xr3:uid="{7E558822-AED1-49A7-8185-B39F3D6AFF27}" name="16184"/>
    <tableColumn id="16198" xr3:uid="{F617BF39-2635-4F9F-89A1-78B5386B6549}" name="16185"/>
    <tableColumn id="16199" xr3:uid="{B0AA5D60-6138-4464-AB24-2DD1154C3231}" name="16186"/>
    <tableColumn id="16200" xr3:uid="{57F768B0-245A-4157-9E14-C5AC2921E165}" name="16187"/>
    <tableColumn id="16201" xr3:uid="{B36DC342-EED4-425A-ADFC-9E8ADD2538A3}" name="16188"/>
    <tableColumn id="16202" xr3:uid="{A0F250B9-77E2-4714-86E7-9AC36ACDD67C}" name="16189"/>
    <tableColumn id="16203" xr3:uid="{4E1703C0-4104-4016-AD32-52272AFF9C86}" name="16190"/>
    <tableColumn id="16204" xr3:uid="{C58D2EA1-75D0-4B3E-9AAE-453377F7728A}" name="16191"/>
    <tableColumn id="16205" xr3:uid="{74AF33F7-5691-4D26-AFE5-7F62DB361317}" name="16192"/>
    <tableColumn id="16206" xr3:uid="{25B0C3C0-7C12-4242-8673-CF63292B768C}" name="16193"/>
    <tableColumn id="16207" xr3:uid="{D983A087-9FCE-4186-95F4-BC81C72B194C}" name="16194"/>
    <tableColumn id="16208" xr3:uid="{8EDB498B-839A-4F54-BF6C-1FBB551512CD}" name="16195"/>
    <tableColumn id="16209" xr3:uid="{7D74C709-67ED-47B3-BB6B-15C3547AE150}" name="16196"/>
    <tableColumn id="16210" xr3:uid="{CBA82119-35EB-43AD-96C0-EAAFD09961DE}" name="16197"/>
    <tableColumn id="16211" xr3:uid="{946E6478-9CEF-44A0-B38C-63780CF896C0}" name="16198"/>
    <tableColumn id="16212" xr3:uid="{28F2EF4D-B040-4E85-822B-DCE60539E280}" name="16199"/>
    <tableColumn id="16213" xr3:uid="{A539F1C7-B1CF-4F85-A059-808C09875468}" name="16200"/>
    <tableColumn id="16214" xr3:uid="{78B214A6-02C2-43F7-9052-13B43DEE145A}" name="16201"/>
    <tableColumn id="16215" xr3:uid="{B18C814E-76A4-4C70-9946-E0FCE21F715A}" name="16202"/>
    <tableColumn id="16216" xr3:uid="{704D4656-39A7-4484-B132-49E5363237A0}" name="16203"/>
    <tableColumn id="16217" xr3:uid="{62660AD3-5186-483A-B054-105D0FFE78EF}" name="16204"/>
    <tableColumn id="16218" xr3:uid="{18FE9683-6591-474B-BC08-E6199A306025}" name="16205"/>
    <tableColumn id="16219" xr3:uid="{4901CBA9-836A-45BD-BB1C-419CEB67AFFA}" name="16206"/>
    <tableColumn id="16220" xr3:uid="{16712DD5-1428-4D85-A842-B9E0DB3D5359}" name="16207"/>
    <tableColumn id="16221" xr3:uid="{8F70E244-AC84-4268-9B79-9B5359D907DF}" name="16208"/>
    <tableColumn id="16222" xr3:uid="{209E5A9F-A116-4997-9AA7-47AAB470BC67}" name="16209"/>
    <tableColumn id="16223" xr3:uid="{EF20C2C5-F2AA-42B5-B421-D12306C39940}" name="16210"/>
    <tableColumn id="16224" xr3:uid="{D7C8D779-3C95-4586-9016-D49C1B5D79A4}" name="16211"/>
    <tableColumn id="16225" xr3:uid="{DFFA6BBB-3A1C-4266-802A-718EF1BE45AC}" name="16212"/>
    <tableColumn id="16226" xr3:uid="{46088C5F-CA09-416B-9FDA-21EA797B8D16}" name="16213"/>
    <tableColumn id="16227" xr3:uid="{89D243EE-6055-4E6B-A9C6-6649A830A153}" name="16214"/>
    <tableColumn id="16228" xr3:uid="{494EA303-EAAD-4ED0-A2B4-E583896C2406}" name="16215"/>
    <tableColumn id="16229" xr3:uid="{C1414D23-CF58-47F3-8A0C-6D4A4619B134}" name="16216"/>
    <tableColumn id="16230" xr3:uid="{00E2D7C4-164E-4CDC-A463-DC16A429DF8C}" name="16217"/>
    <tableColumn id="16231" xr3:uid="{E8D6F46B-0D1B-4E31-9FAE-EAD9DEB6A09C}" name="16218"/>
    <tableColumn id="16232" xr3:uid="{0D14FA83-C48B-40CF-B5AD-D2EE1F33206E}" name="16219"/>
    <tableColumn id="16233" xr3:uid="{27597E3E-B223-4776-9783-A8F4DD836E43}" name="16220"/>
    <tableColumn id="16234" xr3:uid="{E20871F7-5443-4472-8544-04AF64F0DC61}" name="16221"/>
    <tableColumn id="16235" xr3:uid="{FBCFA9AA-CA5F-41D0-AF4C-A64832AD2B05}" name="16222"/>
    <tableColumn id="16236" xr3:uid="{F9B29942-7270-45FD-920C-959102A4DF3E}" name="16223"/>
    <tableColumn id="16237" xr3:uid="{5381F240-4041-452F-B076-A23CE1D30E67}" name="16224"/>
    <tableColumn id="16238" xr3:uid="{7C731010-E5CB-4CC7-9107-4109AD9CC7CD}" name="16225"/>
    <tableColumn id="16239" xr3:uid="{4FDFAAEB-E67D-47CE-8656-88515F3EA552}" name="16226"/>
    <tableColumn id="16240" xr3:uid="{C8256FA1-D2AD-4409-86B4-407D17AA9722}" name="16227"/>
    <tableColumn id="16241" xr3:uid="{5D7F7226-6A87-48B9-A66B-30F328967E8E}" name="16228"/>
    <tableColumn id="16242" xr3:uid="{F60041CF-170D-4C39-8226-5E8D3142E1E4}" name="16229"/>
    <tableColumn id="16243" xr3:uid="{FF3D1189-EE4D-405D-88DC-5F867761B983}" name="16230"/>
    <tableColumn id="16244" xr3:uid="{AEB2741B-E334-4B34-B38B-CF1D81E72A4A}" name="16231"/>
    <tableColumn id="16245" xr3:uid="{A2CA42D3-3656-4F49-9F45-8C164B045933}" name="16232"/>
    <tableColumn id="16246" xr3:uid="{F6AC0371-BD2C-49BC-B9CA-6E8B93ADC3FA}" name="16233"/>
    <tableColumn id="16247" xr3:uid="{608330A2-D334-4513-B600-EF0D48AD0BED}" name="16234"/>
    <tableColumn id="16248" xr3:uid="{45A107A5-63F9-478E-B22A-EDBA28519EA1}" name="16235"/>
    <tableColumn id="16249" xr3:uid="{53C95D3F-7643-4F22-A01C-FA2AED89921A}" name="16236"/>
    <tableColumn id="16250" xr3:uid="{4FB3D0BE-DAB3-4D9F-81B2-FD8053F13D8E}" name="16237"/>
    <tableColumn id="16251" xr3:uid="{A1B7F672-AEFD-4091-A06F-E83DD59AABF8}" name="16238"/>
    <tableColumn id="16252" xr3:uid="{0C38A080-FFF5-48F4-B116-73896EDCA32A}" name="16239"/>
    <tableColumn id="16253" xr3:uid="{E04B826B-A971-449C-8F8B-27CF22077508}" name="16240"/>
    <tableColumn id="16254" xr3:uid="{9B9A79B3-55F5-4F1C-8ABB-0F98AFF2C698}" name="16241"/>
    <tableColumn id="16255" xr3:uid="{B52AA700-2D3B-4D10-B678-FB13D3135FEB}" name="16242"/>
    <tableColumn id="16256" xr3:uid="{503FEB01-D0F4-40DD-BA12-70A456929753}" name="16243"/>
    <tableColumn id="16257" xr3:uid="{353EB794-8015-489E-97BB-716696BC9875}" name="16244"/>
    <tableColumn id="16258" xr3:uid="{12DE93EC-6196-41EB-8024-E58BEC86E870}" name="16245"/>
    <tableColumn id="16259" xr3:uid="{EE2E2F05-4BC7-4648-B223-814AB8963935}" name="16246"/>
    <tableColumn id="16260" xr3:uid="{582D6F57-38CD-43EB-8451-035FE473FFE4}" name="16247"/>
    <tableColumn id="16261" xr3:uid="{B4DB3660-4E0B-4EB9-BEFD-673A1EACD8ED}" name="16248"/>
    <tableColumn id="16262" xr3:uid="{09F45B63-DCF9-4F4A-9267-F631180B1794}" name="16249"/>
    <tableColumn id="16263" xr3:uid="{89EA3E12-31E9-440A-B954-A2CFBF463BB2}" name="16250"/>
    <tableColumn id="16264" xr3:uid="{9277DE4D-B6BE-4A56-A4C0-C3B91B29B551}" name="16251"/>
    <tableColumn id="16265" xr3:uid="{0BA51CB1-B66B-4A70-B1D6-49753D60345D}" name="16252"/>
    <tableColumn id="16266" xr3:uid="{F6A68B4D-AE12-4B4B-8A55-6532A920DF6F}" name="16253"/>
    <tableColumn id="16267" xr3:uid="{D7E42EA6-01FA-4D8B-A018-9B0DEBA5E001}" name="16254"/>
    <tableColumn id="16268" xr3:uid="{5BF94C69-9CA1-44A7-AFAD-6F203EC60FA2}" name="16255"/>
    <tableColumn id="16269" xr3:uid="{54983F4C-7073-4325-B848-8D0968319ABE}" name="16256"/>
    <tableColumn id="16270" xr3:uid="{F0B54544-6ADB-4517-867E-AF8984183D12}" name="16257"/>
    <tableColumn id="16271" xr3:uid="{5A1D74FA-70BC-49BD-8222-14C71B12990D}" name="16258"/>
    <tableColumn id="16272" xr3:uid="{38DA332E-47EC-4279-B8B4-85D0545BFBDC}" name="16259"/>
    <tableColumn id="16273" xr3:uid="{8A7C3A30-C47F-4105-8B94-860322C6423B}" name="16260"/>
    <tableColumn id="16274" xr3:uid="{178F4816-65B6-4D88-9409-2B0F301CED10}" name="16261"/>
    <tableColumn id="16275" xr3:uid="{9D6805FB-5610-4EB6-9636-A20139700B6D}" name="16262"/>
    <tableColumn id="16276" xr3:uid="{9E55B850-E1B5-4454-8D33-833BF1F17573}" name="16263"/>
    <tableColumn id="16277" xr3:uid="{A08CBA36-248A-47E7-A3A9-F59AF5214C48}" name="16264"/>
    <tableColumn id="16278" xr3:uid="{832D9FF3-8E37-4335-919C-1F395D312463}" name="16265"/>
    <tableColumn id="16279" xr3:uid="{66B57C07-BA80-4DBF-8CD9-FB59DE16A39F}" name="16266"/>
    <tableColumn id="16280" xr3:uid="{67ED3CAB-ADB3-495F-9E15-AC0C565C762F}" name="16267"/>
    <tableColumn id="16281" xr3:uid="{6C3BBD9A-F600-4AFC-848E-93729644BEF0}" name="16268"/>
    <tableColumn id="16282" xr3:uid="{CC7F6641-8319-4DDA-97FB-6CCFE7C315EB}" name="16269"/>
    <tableColumn id="16283" xr3:uid="{CD0BACF0-8BCD-4F2F-8EF6-4FE91D862A61}" name="16270"/>
    <tableColumn id="16284" xr3:uid="{22D09E4B-1E7C-42F1-8515-A12D9F90CEC4}" name="16271"/>
    <tableColumn id="16285" xr3:uid="{037322DB-247A-4848-B5F9-875984C28595}" name="16272"/>
    <tableColumn id="16286" xr3:uid="{F4823F17-6F0D-46F6-8617-9F1D88693CF1}" name="16273"/>
    <tableColumn id="16287" xr3:uid="{B171A437-090E-4DA5-8209-DCCCF79ADA40}" name="16274"/>
    <tableColumn id="16288" xr3:uid="{BD66646B-F40D-4CC6-A8CE-55E5401332B1}" name="16275"/>
    <tableColumn id="16289" xr3:uid="{A7B714D4-A453-43D8-92DD-B25CFD7512DD}" name="16276"/>
    <tableColumn id="16290" xr3:uid="{2E1D9E79-5270-43E7-BB99-A4F75185C801}" name="16277"/>
    <tableColumn id="16291" xr3:uid="{6B58B27E-0CDB-4A3B-8E7C-B3BB0BC036A8}" name="16278"/>
    <tableColumn id="16292" xr3:uid="{2D26978E-BADC-4748-A569-86660BB7673B}" name="16279"/>
    <tableColumn id="16293" xr3:uid="{F31FE0EB-82DC-4423-9274-9781E737C4F5}" name="16280"/>
    <tableColumn id="16294" xr3:uid="{B5A1F026-CBBF-4C10-A455-C96D1BA3362C}" name="16281"/>
    <tableColumn id="16295" xr3:uid="{D2877454-57C7-4137-8EF2-F7B4C9C1030B}" name="16282"/>
    <tableColumn id="16296" xr3:uid="{C2A58FBC-168F-435F-B22E-FA64D1BEC7A5}" name="16283"/>
    <tableColumn id="16297" xr3:uid="{701C28D3-CB3E-4AFC-ACE2-655DC4EC76AC}" name="16284"/>
    <tableColumn id="16298" xr3:uid="{563F494E-7358-4E02-B338-537D4453B55F}" name="16285"/>
    <tableColumn id="16299" xr3:uid="{1AE6E9D7-6EBF-4836-B2D1-A1023DCBA0DD}" name="16286"/>
    <tableColumn id="16300" xr3:uid="{5B7E389A-0E89-4D39-919A-B46AFEDCD574}" name="16287"/>
    <tableColumn id="16301" xr3:uid="{C055D508-952B-4708-AC26-97138F635D29}" name="16288"/>
    <tableColumn id="16302" xr3:uid="{5D588C23-9968-4E27-8E59-1FA4EC681994}" name="16289"/>
    <tableColumn id="16303" xr3:uid="{15D7AA2D-3903-4B04-8559-FA23DF8D030F}" name="16290"/>
    <tableColumn id="16304" xr3:uid="{BC2BDE7B-64A5-4E48-BC62-11D5800E57E2}" name="16291"/>
    <tableColumn id="16305" xr3:uid="{0014BC9A-7E6C-41C0-8EBA-1AC6749E508A}" name="16292"/>
    <tableColumn id="16306" xr3:uid="{BAD08F6A-7BA7-4FCA-82C5-2C81AB6B6EAE}" name="16293"/>
    <tableColumn id="16307" xr3:uid="{A6A274D9-1692-4D53-B5F8-A9499A073894}" name="16294"/>
    <tableColumn id="16308" xr3:uid="{36D7958D-F143-4257-B4A8-9AA578B3D3DF}" name="16295"/>
    <tableColumn id="16309" xr3:uid="{E8D9C0AE-D573-4EBF-BD88-48272E45545E}" name="16296"/>
    <tableColumn id="16310" xr3:uid="{0D2358AB-DFDE-4B62-81E7-4215933F3B7C}" name="16297"/>
    <tableColumn id="16311" xr3:uid="{5916D6AB-9972-4FA3-8EC5-21D71051A8FC}" name="16298"/>
    <tableColumn id="16312" xr3:uid="{B99B9AB7-3D3E-48C3-A498-0A83CEECFA8F}" name="16299"/>
    <tableColumn id="16313" xr3:uid="{19D441A2-78CC-4D5E-B15B-52DFCA07A11B}" name="16300"/>
    <tableColumn id="16314" xr3:uid="{08625618-AFB6-49DE-AC4D-FB12274973D7}" name="16301"/>
    <tableColumn id="16315" xr3:uid="{E2B66F1A-F819-454D-8596-5165EAF9333C}" name="16302"/>
    <tableColumn id="16316" xr3:uid="{B66910F3-10A4-476A-9ED3-81A9E3394E5E}" name="16303"/>
    <tableColumn id="16317" xr3:uid="{DCB7137F-9D86-4764-A1C3-B161F3C4EBC2}" name="16304"/>
    <tableColumn id="16318" xr3:uid="{D9B0B4D8-CD86-4A0B-8A73-456E37F85848}" name="16305"/>
    <tableColumn id="16319" xr3:uid="{1184F811-3481-476A-AF2F-E9F53CAED9BF}" name="16306"/>
    <tableColumn id="16320" xr3:uid="{336824D4-545D-4734-8D73-8A53B2B75E66}" name="16307"/>
    <tableColumn id="16321" xr3:uid="{DC097A0E-31AE-4BC4-8273-61B0D0844665}" name="16308"/>
    <tableColumn id="16322" xr3:uid="{44D03ECC-54C1-4EE8-BF25-1AB778B89C45}" name="16309"/>
    <tableColumn id="16323" xr3:uid="{E0F1B16C-1EE7-4B90-9FC0-E9244CEFEEB7}" name="16310"/>
    <tableColumn id="16324" xr3:uid="{776E5D86-B09E-47E2-9D13-3F9E77A04758}" name="16311"/>
    <tableColumn id="16325" xr3:uid="{F700227E-7C65-4CAD-B625-B7A713C462C0}" name="16312"/>
    <tableColumn id="16326" xr3:uid="{CF767101-7719-4FFE-A10F-3590C4B0F828}" name="16313"/>
    <tableColumn id="16327" xr3:uid="{3D1C8622-9973-44A0-80C2-E9A28FE6526B}" name="16314"/>
    <tableColumn id="16328" xr3:uid="{10AC7D63-A97A-448D-9E98-0FFF2E1423DB}" name="16315"/>
    <tableColumn id="16329" xr3:uid="{3EEF0126-C3EF-401E-A447-13B085CF52FD}" name="16316"/>
    <tableColumn id="16330" xr3:uid="{DF483C02-6841-4F08-8671-6ACB448268B7}" name="16317"/>
    <tableColumn id="16331" xr3:uid="{91C22A34-E0D7-43B2-AF75-69547B0185F0}" name="16318"/>
    <tableColumn id="16332" xr3:uid="{33E71278-136B-4053-BC7C-322DEED5479A}" name="16319"/>
    <tableColumn id="16333" xr3:uid="{19E41B7C-BCDE-48B8-ADCC-DFD8672D9830}" name="16320"/>
    <tableColumn id="16334" xr3:uid="{1B82837B-CD47-4091-8DB6-7EBD68441362}" name="16321"/>
    <tableColumn id="16335" xr3:uid="{336654CE-7472-4BC7-A466-5ECE70A37AE4}" name="16322"/>
    <tableColumn id="16336" xr3:uid="{75DD18A2-E8AE-45CA-ABF0-0824391FE47E}" name="16323"/>
    <tableColumn id="16337" xr3:uid="{EFA41D19-C38A-4E60-9A30-DAC3B14A66A0}" name="16324"/>
    <tableColumn id="16338" xr3:uid="{139E380A-1B67-4638-9AB9-FD32FBD2912A}" name="16325"/>
    <tableColumn id="16339" xr3:uid="{9FD8F6A0-55FA-442C-B498-12DF1C427B83}" name="16326"/>
    <tableColumn id="16340" xr3:uid="{DC460494-438B-43C0-94C3-64A6B05C8BCD}" name="16327"/>
    <tableColumn id="16341" xr3:uid="{9B3DFAC4-E677-4977-BC9F-98DEF31F089E}" name="16328"/>
    <tableColumn id="16342" xr3:uid="{ECF7E41C-E5BB-4D8C-BC7D-F6943E8EDFE9}" name="16329"/>
    <tableColumn id="16343" xr3:uid="{D3CF69FA-2FDE-4B2E-97C8-FDDC3B6990C4}" name="16330"/>
    <tableColumn id="16344" xr3:uid="{45614437-25EE-4323-BB13-B5021869CA1D}" name="16331"/>
    <tableColumn id="16345" xr3:uid="{63DD5CFE-C537-4A8B-A9E0-EC9382287163}" name="16332"/>
    <tableColumn id="16346" xr3:uid="{96E27C51-AE70-4483-ACB8-E12A7710D99D}" name="16333"/>
    <tableColumn id="16347" xr3:uid="{985A6DEC-BD1B-4EBD-A381-00450F90F4EC}" name="16334"/>
    <tableColumn id="16348" xr3:uid="{DAD60D2A-7A0F-42FD-977B-183E79149C7D}" name="16335"/>
    <tableColumn id="16349" xr3:uid="{25C66F3A-7870-477B-8B53-27B3D8C2F80D}" name="16336"/>
    <tableColumn id="16350" xr3:uid="{2A3E2E19-AAEA-4A11-B220-7BD4D69CFE40}" name="16337"/>
    <tableColumn id="16351" xr3:uid="{A5B8C545-C916-40F3-8CF5-8BFA261B419F}" name="16338"/>
    <tableColumn id="16352" xr3:uid="{18971196-2698-4F9A-B907-0936E8C5408A}" name="16339"/>
    <tableColumn id="16353" xr3:uid="{A2AA73E0-310D-4927-80DB-A7EDE30E259C}" name="16340"/>
    <tableColumn id="16354" xr3:uid="{A7B8BA97-38D8-4367-A11C-7B470426B1CF}" name="16341"/>
    <tableColumn id="16355" xr3:uid="{FD3536F3-730D-4F43-A63D-0078851A68A2}" name="16342"/>
    <tableColumn id="16356" xr3:uid="{D145A85B-C03B-494C-989D-758FD549FF38}" name="16343"/>
    <tableColumn id="16357" xr3:uid="{B868014E-1735-4294-AD16-3C24120F2C6B}" name="16344"/>
    <tableColumn id="16358" xr3:uid="{093A17FA-988C-458F-8C62-A0D02787D23D}" name="16345"/>
    <tableColumn id="16359" xr3:uid="{FF7A9BDA-D835-494F-AC7B-562B71489C0A}" name="16346"/>
    <tableColumn id="16360" xr3:uid="{0C9E4CB8-7D5E-48C0-B5BD-E00747C30F1A}" name="16347"/>
    <tableColumn id="16361" xr3:uid="{973F219D-40C8-4508-93C2-B4E27B936872}" name="16348"/>
    <tableColumn id="16362" xr3:uid="{762BD9E5-70ED-402B-9DB3-8BF8299B971A}" name="16349"/>
    <tableColumn id="16363" xr3:uid="{D7A39B1A-CFCE-4DFB-8F26-1C8C776DC070}" name="16350"/>
    <tableColumn id="16364" xr3:uid="{4D8DCB10-2021-451D-8749-7DE07AA390EE}" name="16351"/>
    <tableColumn id="16365" xr3:uid="{48618295-BD8D-43BB-9F13-AF1EF2DC4412}" name="16352"/>
    <tableColumn id="16366" xr3:uid="{A255DC15-C88F-4349-8962-D52EA904ED9B}" name="16353"/>
    <tableColumn id="16367" xr3:uid="{AE07C384-B4B5-47C2-910B-B5DE0D937266}" name="16354"/>
    <tableColumn id="16368" xr3:uid="{856FD9FB-CCDB-4D2A-BEA9-050E9D226474}" name="16355"/>
    <tableColumn id="16369" xr3:uid="{72BBDEC2-CA55-4DA2-8AC4-E7273F806ACA}" name="16356"/>
    <tableColumn id="16370" xr3:uid="{5F878A9F-FEB1-44F4-8058-95D0D942D190}" name="16357"/>
    <tableColumn id="16371" xr3:uid="{B7951CBF-29CC-449F-9F2F-82CD8AD66794}" name="16358"/>
    <tableColumn id="16372" xr3:uid="{61609DD7-3358-4981-8EF5-70CCBD987840}" name="16359"/>
    <tableColumn id="16373" xr3:uid="{E82AD5BC-A162-4362-A592-F90185577B41}" name="16360"/>
    <tableColumn id="16374" xr3:uid="{D149FEA9-8205-41C2-91D0-5B01A93D9B44}" name="16361"/>
    <tableColumn id="16375" xr3:uid="{E6626697-4723-4D79-8DFD-EBD00F8F58CA}" name="16362"/>
    <tableColumn id="16376" xr3:uid="{4FB70BAD-94C9-4D2C-9AC6-85901831BECD}" name="16363"/>
    <tableColumn id="16377" xr3:uid="{9E3E0A40-9853-4A78-9A04-943A9D14F0E2}" name="16364"/>
    <tableColumn id="16378" xr3:uid="{B4D244C1-E8C0-4BFF-A69D-498C0357B79C}" name="16365"/>
    <tableColumn id="16379" xr3:uid="{0F4E6F64-A7F0-45F8-BF0F-251EB8015639}" name="16366"/>
    <tableColumn id="16380" xr3:uid="{E27F6205-C09C-4611-A36E-7D8E3F03A692}" name="16367"/>
    <tableColumn id="16381" xr3:uid="{167F26A1-5480-4C24-A0E6-346A572F6E09}" name="16368"/>
    <tableColumn id="16382" xr3:uid="{88FB0721-B331-4689-8F31-01E366EDCB4D}" name="16369"/>
    <tableColumn id="16383" xr3:uid="{0C6EF3AF-ECB9-43C9-B0BF-BC84B00010FC}" name="16370"/>
    <tableColumn id="16384" xr3:uid="{5EB1D449-E7DA-4D3D-977B-88ED34A37598}" name="1637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80123D-38DF-471F-91C3-843B581F804A}" name="Tableau1" displayName="Tableau1" ref="A2:AO2140" totalsRowShown="0" headerRowDxfId="52" dataDxfId="51">
  <autoFilter ref="A2:AO2140" xr:uid="{B380123D-38DF-471F-91C3-843B581F804A}">
    <filterColumn colId="6">
      <filters>
        <filter val="1900"/>
        <filter val="2025"/>
      </filters>
    </filterColumn>
  </autoFilter>
  <tableColumns count="41">
    <tableColumn id="1" xr3:uid="{AE0A8BEA-4897-4276-93B5-CFBB547A9D62}" name="COMP" dataDxfId="50"/>
    <tableColumn id="2" xr3:uid="{2745C3D1-0B9C-4DDC-94A1-474D0C58E509}" name="N° FACT" dataDxfId="49">
      <calculatedColumnFormula>+RIGHT(D3,3)</calculatedColumnFormula>
    </tableColumn>
    <tableColumn id="3" xr3:uid="{BCC67281-2C44-4166-9665-D390AE4FFEC1}" name="DIFF N FACT" dataDxfId="48">
      <calculatedColumnFormula>A3-B3</calculatedColumnFormula>
    </tableColumn>
    <tableColumn id="4" xr3:uid="{BE0056ED-1E05-4B5F-8B38-5F968D4161E4}" name="Num Piéce" dataDxfId="47"/>
    <tableColumn id="5" xr3:uid="{5C52AC32-C70D-441C-921A-B220E2AFB7B2}" name="N° FAE" dataDxfId="46">
      <calculatedColumnFormula>RIGHT(D3,3)</calculatedColumnFormula>
    </tableColumn>
    <tableColumn id="6" xr3:uid="{A59C44C0-4345-4E18-8740-8C98D386FDD7}" name="Date Facture" dataDxfId="45"/>
    <tableColumn id="7" xr3:uid="{C250ACF0-0BC7-4398-BEE5-28594996B911}" name="ANNEE" dataDxfId="44">
      <calculatedColumnFormula>+YEAR(F3)</calculatedColumnFormula>
    </tableColumn>
    <tableColumn id="8" xr3:uid="{13B0AF3A-1A6B-4914-B549-4267501101AB}" name="Code" dataDxfId="43"/>
    <tableColumn id="9" xr3:uid="{5CDA9289-AB98-49E4-9D0E-96A5A3741CC0}" name="Désignation Client" dataDxfId="42"/>
    <tableColumn id="10" xr3:uid="{77D5EA5D-4B31-4757-8087-6BAFA822CA7F}" name="DEVISE" dataDxfId="41"/>
    <tableColumn id="11" xr3:uid="{39F6705D-4CA9-403C-BAE3-79BB8855C0D4}" name="CA TND" dataDxfId="40">
      <calculatedColumnFormula>+L3*M3</calculatedColumnFormula>
    </tableColumn>
    <tableColumn id="12" xr3:uid="{3B483D04-88B3-4CDC-B277-4C7984053D6F}" name="cours" dataDxfId="39"/>
    <tableColumn id="13" xr3:uid="{1F94D991-F4D2-4441-983B-D8E1BE4E8C97}" name="MT FACT EN DEVISE" dataDxfId="38"/>
    <tableColumn id="14" xr3:uid="{0C2BA07C-0089-4294-B1C6-0319FB093D77}" name="LIVRAISON" dataDxfId="37"/>
    <tableColumn id="15" xr3:uid="{2A3AF56E-A6AA-4AF0-8E9F-157803FBE494}" name="PAYS LIV" dataDxfId="36"/>
    <tableColumn id="16" xr3:uid="{80880C8A-2BEB-498A-A31A-934BDAF0DED3}" name="DATE LIVRAISON" dataDxfId="35"/>
    <tableColumn id="17" xr3:uid="{C38CD8BA-D1B1-438E-B37A-C2806D41C127}" name="Couscous LIV" dataDxfId="34"/>
    <tableColumn id="18" xr3:uid="{722E79CB-67B7-46AF-84FA-1A9DC94EFE79}" name="P. Coupée LIV" dataDxfId="33"/>
    <tableColumn id="19" xr3:uid="{DF646B0F-63F4-4FD1-905B-BE3D69A056EE}" name="P.Long LIV" dataDxfId="32"/>
    <tableColumn id="20" xr3:uid="{CBDA48B7-D9BB-4515-9DA8-017D917CFA01}" name="P.spécial LIV" dataDxfId="31"/>
    <tableColumn id="21" xr3:uid="{C401DE37-08FE-467B-B995-6396F2AF51D5}" name="TOTAL QT" dataDxfId="30">
      <calculatedColumnFormula>SUM(Q3:T3)</calculatedColumnFormula>
    </tableColumn>
    <tableColumn id="22" xr3:uid="{FA0210F5-AC89-4E11-B1E9-A4139EBA0A07}" name="REGL" dataDxfId="29"/>
    <tableColumn id="23" xr3:uid="{63CCC428-B72A-49B6-BFB1-C1E5754A9BD3}" name="P.Couscous VAL" dataDxfId="28"/>
    <tableColumn id="24" xr3:uid="{7BD176D0-FA34-4B4D-A07A-139438A4E57F}" name="P. Coupée VAL" dataDxfId="27"/>
    <tableColumn id="25" xr3:uid="{979D7F3C-EAAA-4353-9E8B-5CDCA5D9C7AE}" name="P.Long VAL" dataDxfId="26"/>
    <tableColumn id="26" xr3:uid="{96A5560F-6C29-4F01-98CC-93FE5C402487}" name="P.spécial VAL" dataDxfId="25"/>
    <tableColumn id="27" xr3:uid="{87DA5C9B-76BE-45FA-916E-480078E897BE}" name="P.Couscous P UN" dataDxfId="24">
      <calculatedColumnFormula>+W3/Q3</calculatedColumnFormula>
    </tableColumn>
    <tableColumn id="28" xr3:uid="{F2BC644A-6F39-454C-B9C1-488C03C67852}" name="P. Coupée P UN" dataDxfId="23">
      <calculatedColumnFormula>+X3/R3</calculatedColumnFormula>
    </tableColumn>
    <tableColumn id="29" xr3:uid="{CD94BF44-A922-4209-9BF1-504788588808}" name="P.Long P UN" dataDxfId="22">
      <calculatedColumnFormula>+Y3/S3</calculatedColumnFormula>
    </tableColumn>
    <tableColumn id="30" xr3:uid="{EBEF2A4E-00D3-4024-8A64-970AF0F38B43}" name="P.spécial P UN" dataDxfId="21">
      <calculatedColumnFormula>Z3/T3</calculatedColumnFormula>
    </tableColumn>
    <tableColumn id="31" xr3:uid="{7AF2109A-C9BC-43A1-A788-978EB32C63A2}" name="FOPRODEX" dataDxfId="20"/>
    <tableColumn id="32" xr3:uid="{395E87B1-C381-428E-8FC9-726DB13904D3}" name="TRANSPORT" dataDxfId="19"/>
    <tableColumn id="33" xr3:uid="{5C5FE5F5-334C-46EF-B22A-3DDB9A2D7C45}" name="trans/kg" dataDxfId="18">
      <calculatedColumnFormula>AF3/U3</calculatedColumnFormula>
    </tableColumn>
    <tableColumn id="34" xr3:uid="{7D75C69B-A201-4524-9ADC-E610F41A4524}" name="COUS S TRANSPORT" dataDxfId="17">
      <calculatedColumnFormula>AA3-AG3</calculatedColumnFormula>
    </tableColumn>
    <tableColumn id="35" xr3:uid="{1547A808-E6CD-4F86-BFEE-5060D7410092}" name="P. Coupée S TRANSPORT" dataDxfId="16">
      <calculatedColumnFormula>AB3-AG3</calculatedColumnFormula>
    </tableColumn>
    <tableColumn id="36" xr3:uid="{BB2FD032-1E5D-497A-B46A-B89126586F77}" name="P.Long S TRANSPORT" dataDxfId="15">
      <calculatedColumnFormula>AC3-AG3</calculatedColumnFormula>
    </tableColumn>
    <tableColumn id="37" xr3:uid="{ACBB4D4A-FB7E-4409-989D-674D3AABA70D}" name="P.spécial S TRANSPORT" dataDxfId="14">
      <calculatedColumnFormula>AD3-AG3</calculatedColumnFormula>
    </tableColumn>
    <tableColumn id="38" xr3:uid="{A5ED1D73-A102-4AB0-B512-E258051761FE}" name="INTEG COUSC" dataDxfId="13"/>
    <tableColumn id="39" xr3:uid="{5F94F6DD-6340-4BD1-BD01-6FCCBA25521B}" name="INTEG PC" dataDxfId="12"/>
    <tableColumn id="40" xr3:uid="{DF0B13FD-DC75-47D9-91CD-C5D363A81150}" name="INTEG PL" dataDxfId="11"/>
    <tableColumn id="41" xr3:uid="{D48F8333-D7EE-43E5-B9C2-D7D6095A4FB4}" name="INTEG PS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367B278-00AE-468B-AD59-97F46B0AA89B}" name="Tableau5" displayName="Tableau5" ref="A1:W300" totalsRowShown="0" tableBorderDxfId="0">
  <autoFilter ref="A1:W300" xr:uid="{E367B278-00AE-468B-AD59-97F46B0AA89B}"/>
  <tableColumns count="23">
    <tableColumn id="1" xr3:uid="{6256ACE8-CBDA-4A47-86FC-29E23C3B4555}" name="Quantité (kg)"/>
    <tableColumn id="2" xr3:uid="{39A2CEFD-99F5-4AE4-8894-8A39099B50A5}" name="Valeur (DT)"/>
    <tableColumn id="3" xr3:uid="{181FB798-6374-4720-8CCA-DCC73A22A51B}" name="Client"/>
    <tableColumn id="4" xr3:uid="{41352F1C-9B61-4C5E-A48E-FC76BDC92EA1}" name="N° Facture"/>
    <tableColumn id="5" xr3:uid="{B15B804A-A2E5-4A78-A35A-4B825AFB9E01}" name="Colonne1"/>
    <tableColumn id="6" xr3:uid="{D7E2ABFE-EB0D-4E32-BF06-6FC5C0AE66C6}" name="2024"/>
    <tableColumn id="7" xr3:uid="{BE180939-AB02-4B60-BAEC-462D155AF5F0}" name="Date Fact."/>
    <tableColumn id="8" xr3:uid="{3302F087-F8D7-4DA4-A230-605FF0FEC670}" name="COUS "/>
    <tableColumn id="9" xr3:uid="{9D4099B1-B693-489D-84EE-D66FA5BF3E61}" name="PATCP"/>
    <tableColumn id="10" xr3:uid="{14AD04F9-D398-4E68-A0C4-A18AA8A081A8}" name="PATLG"/>
    <tableColumn id="11" xr3:uid="{780BA330-7542-4555-A19D-99C048D87CF9}" name="PATSP"/>
    <tableColumn id="12" xr3:uid="{57182A57-6681-41E4-9355-2D89FA6E91D0}" name="Marque"/>
    <tableColumn id="13" xr3:uid="{DFEA1B19-D548-4AE2-B028-764ABDB5CEFE}" name="N° TC"/>
    <tableColumn id="14" xr3:uid="{2E3B62AD-2D43-40BF-BB37-A7EC21A56949}" name="Destination"/>
    <tableColumn id="15" xr3:uid="{9933345D-8242-4F8C-9CBA-A5C24D952DC0}" name="DATE LIV"/>
    <tableColumn id="16" xr3:uid="{292B9B57-D2C8-43EF-AC65-B539D0886A3B}" name="FRET EN TND"/>
    <tableColumn id="17" xr3:uid="{B87DE589-49A8-4852-8476-BE9A12371AE5}" name="FRET / KG"/>
    <tableColumn id="18" xr3:uid="{F07A65EE-1EB9-48B0-9AA7-967F034016F6}" name="FRET COUS"/>
    <tableColumn id="19" xr3:uid="{F3296819-ABCA-4CED-A7BB-AD5756C20F89}" name="FRET PATCP"/>
    <tableColumn id="20" xr3:uid="{6AA9A0B2-26F0-4E83-81FB-0F6ED3F87BBB}" name="FRET PATLG"/>
    <tableColumn id="21" xr3:uid="{ED5A930A-C1A9-46E6-A6A0-413C9A8043DF}" name="FRET SP"/>
    <tableColumn id="22" xr3:uid="{A899FD5E-AE20-4283-A719-9302DAC8AEEE}" name="Colonne2"/>
    <tableColumn id="23" xr3:uid="{26E3A1EB-61BD-4050-AF51-026608328A23}" name="Colonne3"/>
  </tableColumns>
  <tableStyleInfo name="Actifs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XFD303"/>
  <sheetViews>
    <sheetView showOutlineSymbols="0" topLeftCell="A289" workbookViewId="0">
      <selection activeCell="J303" sqref="J303"/>
    </sheetView>
  </sheetViews>
  <sheetFormatPr defaultColWidth="6.85546875" defaultRowHeight="12.75" customHeight="1"/>
  <cols>
    <col min="1" max="1" width="9.28515625" customWidth="1"/>
    <col min="2" max="2" width="5" style="281" customWidth="1"/>
    <col min="3" max="3" width="36" bestFit="1" customWidth="1"/>
    <col min="4" max="4" width="6.42578125" customWidth="1"/>
    <col min="5" max="5" width="15" bestFit="1" customWidth="1"/>
    <col min="6" max="6" width="15.5703125" bestFit="1" customWidth="1"/>
    <col min="7" max="7" width="8.7109375" bestFit="1" customWidth="1"/>
    <col min="8" max="8" width="38.85546875" bestFit="1" customWidth="1"/>
    <col min="9" max="9" width="12" bestFit="1" customWidth="1"/>
    <col min="10" max="10" width="31" bestFit="1" customWidth="1"/>
    <col min="11" max="11" width="15" bestFit="1" customWidth="1"/>
    <col min="12" max="12" width="8.140625" bestFit="1" customWidth="1"/>
    <col min="13" max="13" width="4" bestFit="1" customWidth="1"/>
    <col min="14" max="14" width="4.85546875" bestFit="1" customWidth="1"/>
  </cols>
  <sheetData>
    <row r="1" spans="1:16384" ht="12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59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ht="12.6">
      <c r="A2" t="s">
        <v>16384</v>
      </c>
      <c r="B2" t="s">
        <v>1</v>
      </c>
      <c r="C2" t="s">
        <v>16385</v>
      </c>
      <c r="D2" t="s">
        <v>3</v>
      </c>
      <c r="E2" t="s">
        <v>4</v>
      </c>
      <c r="G2" t="s">
        <v>16386</v>
      </c>
      <c r="H2" t="s">
        <v>16387</v>
      </c>
      <c r="I2" t="s">
        <v>8</v>
      </c>
      <c r="J2" t="s">
        <v>16388</v>
      </c>
      <c r="K2" t="s">
        <v>12</v>
      </c>
      <c r="M2" s="59">
        <v>0</v>
      </c>
      <c r="N2" t="s">
        <v>16389</v>
      </c>
    </row>
    <row r="3" spans="1:16384" ht="12.6">
      <c r="A3" t="s">
        <v>16390</v>
      </c>
      <c r="B3" t="s">
        <v>1</v>
      </c>
      <c r="C3" t="s">
        <v>16391</v>
      </c>
      <c r="D3" t="s">
        <v>3</v>
      </c>
      <c r="E3" t="s">
        <v>4</v>
      </c>
      <c r="G3" t="s">
        <v>16392</v>
      </c>
      <c r="H3" t="s">
        <v>16393</v>
      </c>
      <c r="I3" t="s">
        <v>8</v>
      </c>
      <c r="J3" t="s">
        <v>16394</v>
      </c>
      <c r="K3" t="s">
        <v>12</v>
      </c>
      <c r="M3" s="59">
        <v>0</v>
      </c>
      <c r="N3" t="s">
        <v>16395</v>
      </c>
    </row>
    <row r="4" spans="1:16384" ht="12.6">
      <c r="A4" t="s">
        <v>16396</v>
      </c>
      <c r="B4" t="s">
        <v>1</v>
      </c>
      <c r="C4" t="s">
        <v>16397</v>
      </c>
      <c r="D4" t="s">
        <v>3</v>
      </c>
      <c r="E4" t="s">
        <v>4</v>
      </c>
      <c r="G4" t="s">
        <v>16392</v>
      </c>
      <c r="H4" t="s">
        <v>16398</v>
      </c>
      <c r="I4" t="s">
        <v>8</v>
      </c>
      <c r="J4" t="s">
        <v>16388</v>
      </c>
      <c r="K4" t="s">
        <v>12</v>
      </c>
      <c r="M4" s="59">
        <v>0</v>
      </c>
      <c r="N4" t="s">
        <v>16389</v>
      </c>
    </row>
    <row r="5" spans="1:16384" ht="12.6">
      <c r="A5" t="s">
        <v>16399</v>
      </c>
      <c r="B5" t="s">
        <v>1</v>
      </c>
      <c r="C5" t="s">
        <v>16400</v>
      </c>
      <c r="D5" t="s">
        <v>16401</v>
      </c>
      <c r="E5" t="s">
        <v>4</v>
      </c>
      <c r="G5" t="s">
        <v>6</v>
      </c>
      <c r="H5" t="s">
        <v>16402</v>
      </c>
      <c r="I5" t="s">
        <v>8</v>
      </c>
      <c r="K5" t="s">
        <v>12</v>
      </c>
      <c r="M5" s="59">
        <v>0</v>
      </c>
      <c r="N5" t="s">
        <v>16403</v>
      </c>
    </row>
    <row r="6" spans="1:16384" ht="12.6">
      <c r="A6" t="s">
        <v>16404</v>
      </c>
      <c r="B6" t="s">
        <v>1</v>
      </c>
      <c r="C6" t="s">
        <v>16405</v>
      </c>
      <c r="D6" t="s">
        <v>3</v>
      </c>
      <c r="E6" t="s">
        <v>4</v>
      </c>
      <c r="G6" t="s">
        <v>16392</v>
      </c>
      <c r="H6" t="s">
        <v>16406</v>
      </c>
      <c r="I6" t="s">
        <v>8</v>
      </c>
      <c r="K6" t="s">
        <v>12</v>
      </c>
      <c r="M6" s="59">
        <v>0</v>
      </c>
      <c r="N6" t="s">
        <v>16389</v>
      </c>
    </row>
    <row r="7" spans="1:16384" ht="12.6">
      <c r="A7" t="s">
        <v>16407</v>
      </c>
      <c r="B7" t="s">
        <v>1</v>
      </c>
      <c r="C7" t="s">
        <v>16408</v>
      </c>
      <c r="D7" t="s">
        <v>16401</v>
      </c>
      <c r="E7" t="s">
        <v>4</v>
      </c>
      <c r="G7" t="s">
        <v>16409</v>
      </c>
      <c r="H7" t="s">
        <v>16410</v>
      </c>
      <c r="I7" t="s">
        <v>8</v>
      </c>
      <c r="K7" t="s">
        <v>12</v>
      </c>
      <c r="M7" s="59">
        <v>0</v>
      </c>
      <c r="N7" t="s">
        <v>16403</v>
      </c>
    </row>
    <row r="8" spans="1:16384" ht="12.6">
      <c r="A8" t="s">
        <v>16411</v>
      </c>
      <c r="B8" t="s">
        <v>1</v>
      </c>
      <c r="C8" t="s">
        <v>16412</v>
      </c>
      <c r="D8" t="s">
        <v>16401</v>
      </c>
      <c r="E8" t="s">
        <v>4</v>
      </c>
      <c r="G8" t="s">
        <v>16409</v>
      </c>
      <c r="H8" t="s">
        <v>16413</v>
      </c>
      <c r="I8" t="s">
        <v>8</v>
      </c>
      <c r="K8" t="s">
        <v>12</v>
      </c>
      <c r="M8" s="59">
        <v>0</v>
      </c>
      <c r="N8" t="s">
        <v>16389</v>
      </c>
    </row>
    <row r="9" spans="1:16384" ht="12.6">
      <c r="A9" t="s">
        <v>16414</v>
      </c>
      <c r="B9" t="s">
        <v>1</v>
      </c>
      <c r="C9" t="s">
        <v>16415</v>
      </c>
      <c r="D9" t="s">
        <v>16401</v>
      </c>
      <c r="E9" t="s">
        <v>4</v>
      </c>
      <c r="G9" t="s">
        <v>16409</v>
      </c>
      <c r="H9" t="s">
        <v>16416</v>
      </c>
      <c r="I9" t="s">
        <v>8</v>
      </c>
      <c r="K9" t="s">
        <v>12</v>
      </c>
      <c r="M9" s="59">
        <v>0</v>
      </c>
      <c r="N9" t="s">
        <v>16403</v>
      </c>
    </row>
    <row r="10" spans="1:16384" ht="12.6">
      <c r="A10" t="s">
        <v>16417</v>
      </c>
      <c r="B10" t="s">
        <v>1</v>
      </c>
      <c r="C10" t="s">
        <v>16418</v>
      </c>
      <c r="D10" t="s">
        <v>16401</v>
      </c>
      <c r="E10" t="s">
        <v>4</v>
      </c>
      <c r="G10" t="s">
        <v>16409</v>
      </c>
      <c r="H10" t="s">
        <v>16419</v>
      </c>
      <c r="I10" t="s">
        <v>8</v>
      </c>
      <c r="K10" t="s">
        <v>12</v>
      </c>
      <c r="M10" s="59">
        <v>0</v>
      </c>
      <c r="N10" t="s">
        <v>16403</v>
      </c>
    </row>
    <row r="11" spans="1:16384" ht="12.6">
      <c r="A11" t="s">
        <v>16420</v>
      </c>
      <c r="B11" t="s">
        <v>1</v>
      </c>
      <c r="C11" t="s">
        <v>16421</v>
      </c>
      <c r="D11" t="s">
        <v>16401</v>
      </c>
      <c r="E11" t="s">
        <v>4</v>
      </c>
      <c r="G11" t="s">
        <v>16409</v>
      </c>
      <c r="H11" t="s">
        <v>16422</v>
      </c>
      <c r="I11" t="s">
        <v>8</v>
      </c>
      <c r="K11" t="s">
        <v>12</v>
      </c>
      <c r="M11" s="59">
        <v>0</v>
      </c>
      <c r="N11" t="s">
        <v>16403</v>
      </c>
    </row>
    <row r="12" spans="1:16384" ht="12.6">
      <c r="A12" t="s">
        <v>16423</v>
      </c>
      <c r="B12" t="s">
        <v>1</v>
      </c>
      <c r="C12" t="s">
        <v>16424</v>
      </c>
      <c r="D12" t="s">
        <v>16401</v>
      </c>
      <c r="E12" t="s">
        <v>4</v>
      </c>
      <c r="G12" t="s">
        <v>16409</v>
      </c>
      <c r="H12" t="s">
        <v>16425</v>
      </c>
      <c r="I12" t="s">
        <v>8</v>
      </c>
      <c r="K12" t="s">
        <v>12</v>
      </c>
      <c r="M12" s="59">
        <v>0</v>
      </c>
      <c r="N12" t="s">
        <v>16389</v>
      </c>
    </row>
    <row r="13" spans="1:16384" ht="12.6">
      <c r="A13" t="s">
        <v>16426</v>
      </c>
      <c r="B13" t="s">
        <v>1</v>
      </c>
      <c r="C13" t="s">
        <v>16427</v>
      </c>
      <c r="D13" t="s">
        <v>16401</v>
      </c>
      <c r="E13" t="s">
        <v>4</v>
      </c>
      <c r="G13" t="s">
        <v>16409</v>
      </c>
      <c r="H13" t="s">
        <v>16428</v>
      </c>
      <c r="I13" t="s">
        <v>8</v>
      </c>
      <c r="K13" t="s">
        <v>12</v>
      </c>
      <c r="M13" s="59">
        <v>0</v>
      </c>
      <c r="N13" t="s">
        <v>16389</v>
      </c>
    </row>
    <row r="14" spans="1:16384" ht="12.6">
      <c r="A14" t="s">
        <v>16429</v>
      </c>
      <c r="B14" t="s">
        <v>1</v>
      </c>
      <c r="C14" t="s">
        <v>16430</v>
      </c>
      <c r="D14" t="s">
        <v>16401</v>
      </c>
      <c r="E14" t="s">
        <v>4</v>
      </c>
      <c r="G14" t="s">
        <v>16409</v>
      </c>
      <c r="H14" t="s">
        <v>16431</v>
      </c>
      <c r="I14" t="s">
        <v>8</v>
      </c>
      <c r="K14" t="s">
        <v>12</v>
      </c>
      <c r="M14" s="59">
        <v>0</v>
      </c>
      <c r="N14" t="s">
        <v>16403</v>
      </c>
    </row>
    <row r="15" spans="1:16384" ht="12.6">
      <c r="A15" t="s">
        <v>16432</v>
      </c>
      <c r="B15" t="s">
        <v>1</v>
      </c>
      <c r="C15" t="s">
        <v>16433</v>
      </c>
      <c r="D15" t="s">
        <v>3</v>
      </c>
      <c r="E15" t="s">
        <v>4</v>
      </c>
      <c r="F15" t="s">
        <v>16434</v>
      </c>
      <c r="G15" t="s">
        <v>16392</v>
      </c>
      <c r="H15" t="s">
        <v>16435</v>
      </c>
      <c r="I15" t="s">
        <v>16393</v>
      </c>
      <c r="J15" t="s">
        <v>16388</v>
      </c>
      <c r="K15" t="s">
        <v>4</v>
      </c>
      <c r="L15" t="s">
        <v>16436</v>
      </c>
      <c r="M15" s="59">
        <v>150</v>
      </c>
      <c r="N15" t="s">
        <v>16389</v>
      </c>
    </row>
    <row r="16" spans="1:16384" ht="12.6">
      <c r="A16" t="s">
        <v>16437</v>
      </c>
      <c r="B16" t="s">
        <v>1</v>
      </c>
      <c r="C16" t="s">
        <v>16438</v>
      </c>
      <c r="D16" t="s">
        <v>16401</v>
      </c>
      <c r="E16" t="s">
        <v>4</v>
      </c>
      <c r="G16" t="s">
        <v>16409</v>
      </c>
      <c r="H16" t="s">
        <v>16439</v>
      </c>
      <c r="I16" t="s">
        <v>8</v>
      </c>
      <c r="K16" t="s">
        <v>12</v>
      </c>
      <c r="M16" s="59">
        <v>0</v>
      </c>
      <c r="N16" t="s">
        <v>16403</v>
      </c>
    </row>
    <row r="17" spans="1:14" ht="12.6">
      <c r="A17" t="s">
        <v>16440</v>
      </c>
      <c r="B17" t="s">
        <v>1</v>
      </c>
      <c r="C17" t="s">
        <v>16441</v>
      </c>
      <c r="D17" t="s">
        <v>16401</v>
      </c>
      <c r="E17" t="s">
        <v>4</v>
      </c>
      <c r="G17" t="s">
        <v>16442</v>
      </c>
      <c r="H17" t="s">
        <v>16443</v>
      </c>
      <c r="I17" t="s">
        <v>8</v>
      </c>
      <c r="K17" t="s">
        <v>12</v>
      </c>
      <c r="M17" s="59">
        <v>0</v>
      </c>
      <c r="N17" t="s">
        <v>16389</v>
      </c>
    </row>
    <row r="18" spans="1:14" ht="12.6">
      <c r="A18" t="s">
        <v>16444</v>
      </c>
      <c r="B18" t="s">
        <v>1</v>
      </c>
      <c r="C18" t="s">
        <v>16445</v>
      </c>
      <c r="D18" t="s">
        <v>3</v>
      </c>
      <c r="E18" t="s">
        <v>4</v>
      </c>
      <c r="G18" t="s">
        <v>16446</v>
      </c>
      <c r="H18" t="s">
        <v>16447</v>
      </c>
      <c r="I18" t="s">
        <v>8</v>
      </c>
      <c r="J18" t="s">
        <v>16388</v>
      </c>
      <c r="K18" t="s">
        <v>12</v>
      </c>
      <c r="M18" s="59">
        <v>0</v>
      </c>
      <c r="N18" t="s">
        <v>16389</v>
      </c>
    </row>
    <row r="19" spans="1:14" ht="12.6">
      <c r="A19" t="s">
        <v>16448</v>
      </c>
      <c r="B19" t="s">
        <v>1</v>
      </c>
      <c r="C19" t="s">
        <v>16449</v>
      </c>
      <c r="D19" t="s">
        <v>3</v>
      </c>
      <c r="E19" t="s">
        <v>4</v>
      </c>
      <c r="G19" t="s">
        <v>16450</v>
      </c>
      <c r="H19" t="s">
        <v>16451</v>
      </c>
      <c r="I19" t="s">
        <v>8</v>
      </c>
      <c r="K19" t="s">
        <v>12</v>
      </c>
      <c r="M19" s="59">
        <v>0</v>
      </c>
      <c r="N19" t="s">
        <v>16403</v>
      </c>
    </row>
    <row r="20" spans="1:14" ht="12.6">
      <c r="A20" t="s">
        <v>16452</v>
      </c>
      <c r="B20" t="s">
        <v>1</v>
      </c>
      <c r="C20" t="s">
        <v>16453</v>
      </c>
      <c r="D20" t="s">
        <v>16401</v>
      </c>
      <c r="E20" t="s">
        <v>4</v>
      </c>
      <c r="G20" t="s">
        <v>16450</v>
      </c>
      <c r="H20" t="s">
        <v>16454</v>
      </c>
      <c r="I20" t="s">
        <v>8</v>
      </c>
      <c r="K20" t="s">
        <v>12</v>
      </c>
      <c r="M20" s="59">
        <v>0</v>
      </c>
      <c r="N20" t="s">
        <v>16403</v>
      </c>
    </row>
    <row r="21" spans="1:14" ht="12.6">
      <c r="A21" t="s">
        <v>16455</v>
      </c>
      <c r="B21" t="s">
        <v>1</v>
      </c>
      <c r="C21" t="s">
        <v>16456</v>
      </c>
      <c r="D21" t="s">
        <v>16401</v>
      </c>
      <c r="E21" t="s">
        <v>4</v>
      </c>
      <c r="G21" t="s">
        <v>16442</v>
      </c>
      <c r="H21" t="s">
        <v>16457</v>
      </c>
      <c r="I21" t="s">
        <v>8</v>
      </c>
      <c r="K21" t="s">
        <v>12</v>
      </c>
      <c r="M21" s="59">
        <v>0</v>
      </c>
      <c r="N21" t="s">
        <v>16389</v>
      </c>
    </row>
    <row r="22" spans="1:14" ht="12.6">
      <c r="A22" t="s">
        <v>16458</v>
      </c>
      <c r="B22" t="s">
        <v>1</v>
      </c>
      <c r="C22" t="s">
        <v>16459</v>
      </c>
      <c r="D22" t="s">
        <v>16401</v>
      </c>
      <c r="E22" t="s">
        <v>4</v>
      </c>
      <c r="G22" t="s">
        <v>16442</v>
      </c>
      <c r="H22" t="s">
        <v>16460</v>
      </c>
      <c r="I22" t="s">
        <v>8</v>
      </c>
      <c r="K22" t="s">
        <v>12</v>
      </c>
      <c r="M22" s="59">
        <v>0</v>
      </c>
      <c r="N22" t="s">
        <v>16389</v>
      </c>
    </row>
    <row r="23" spans="1:14" ht="12.6">
      <c r="A23" t="s">
        <v>16461</v>
      </c>
      <c r="B23" t="s">
        <v>1</v>
      </c>
      <c r="C23" t="s">
        <v>16462</v>
      </c>
      <c r="D23" t="s">
        <v>16401</v>
      </c>
      <c r="E23" t="s">
        <v>4</v>
      </c>
      <c r="G23" t="s">
        <v>6</v>
      </c>
      <c r="H23" t="s">
        <v>16463</v>
      </c>
      <c r="I23" t="s">
        <v>8</v>
      </c>
      <c r="K23" t="s">
        <v>12</v>
      </c>
      <c r="M23" s="59">
        <v>0</v>
      </c>
      <c r="N23" t="s">
        <v>16403</v>
      </c>
    </row>
    <row r="24" spans="1:14" ht="12.6">
      <c r="A24" t="s">
        <v>16464</v>
      </c>
      <c r="B24" t="s">
        <v>1</v>
      </c>
      <c r="C24" t="s">
        <v>16465</v>
      </c>
      <c r="D24" t="s">
        <v>16401</v>
      </c>
      <c r="E24" t="s">
        <v>4</v>
      </c>
      <c r="G24" t="s">
        <v>6</v>
      </c>
      <c r="H24" t="s">
        <v>16466</v>
      </c>
      <c r="I24" t="s">
        <v>8</v>
      </c>
      <c r="K24" t="s">
        <v>12</v>
      </c>
      <c r="M24" s="59">
        <v>0</v>
      </c>
      <c r="N24" t="s">
        <v>16403</v>
      </c>
    </row>
    <row r="25" spans="1:14" ht="12.6">
      <c r="A25" t="s">
        <v>16467</v>
      </c>
      <c r="B25" t="s">
        <v>1</v>
      </c>
      <c r="C25" t="s">
        <v>16468</v>
      </c>
      <c r="D25" t="s">
        <v>16401</v>
      </c>
      <c r="E25" t="s">
        <v>4</v>
      </c>
      <c r="G25" t="s">
        <v>6</v>
      </c>
      <c r="H25" t="s">
        <v>16469</v>
      </c>
      <c r="I25" t="s">
        <v>8</v>
      </c>
      <c r="K25" t="s">
        <v>12</v>
      </c>
      <c r="M25" s="59">
        <v>0</v>
      </c>
      <c r="N25" t="s">
        <v>16403</v>
      </c>
    </row>
    <row r="26" spans="1:14" ht="12.6">
      <c r="A26" t="s">
        <v>16470</v>
      </c>
      <c r="B26" t="s">
        <v>1</v>
      </c>
      <c r="C26" t="s">
        <v>16471</v>
      </c>
      <c r="D26" t="s">
        <v>16401</v>
      </c>
      <c r="E26" t="s">
        <v>4</v>
      </c>
      <c r="G26" t="s">
        <v>6</v>
      </c>
      <c r="H26" t="s">
        <v>16472</v>
      </c>
      <c r="I26" t="s">
        <v>8</v>
      </c>
      <c r="J26" t="s">
        <v>16473</v>
      </c>
      <c r="K26" t="s">
        <v>12</v>
      </c>
      <c r="M26" s="59">
        <v>0</v>
      </c>
      <c r="N26" t="s">
        <v>16403</v>
      </c>
    </row>
    <row r="27" spans="1:14" ht="12.6">
      <c r="A27" t="s">
        <v>16474</v>
      </c>
      <c r="B27" t="s">
        <v>1</v>
      </c>
      <c r="C27" t="s">
        <v>16475</v>
      </c>
      <c r="D27" t="s">
        <v>16401</v>
      </c>
      <c r="E27" t="s">
        <v>4</v>
      </c>
      <c r="G27" t="s">
        <v>16442</v>
      </c>
      <c r="H27" t="s">
        <v>16476</v>
      </c>
      <c r="I27" t="s">
        <v>8</v>
      </c>
      <c r="K27" t="s">
        <v>12</v>
      </c>
      <c r="M27" s="59">
        <v>0</v>
      </c>
      <c r="N27" t="s">
        <v>16389</v>
      </c>
    </row>
    <row r="28" spans="1:14" ht="12.6">
      <c r="A28" t="s">
        <v>16477</v>
      </c>
      <c r="B28" t="s">
        <v>1</v>
      </c>
      <c r="C28" t="s">
        <v>16478</v>
      </c>
      <c r="D28" t="s">
        <v>16401</v>
      </c>
      <c r="E28" t="s">
        <v>4</v>
      </c>
      <c r="G28" t="s">
        <v>16403</v>
      </c>
      <c r="H28" t="s">
        <v>16479</v>
      </c>
      <c r="I28" t="s">
        <v>8</v>
      </c>
      <c r="K28" t="s">
        <v>12</v>
      </c>
      <c r="M28" s="59">
        <v>0</v>
      </c>
      <c r="N28" t="s">
        <v>16403</v>
      </c>
    </row>
    <row r="29" spans="1:14" ht="12.6">
      <c r="A29" t="s">
        <v>16480</v>
      </c>
      <c r="B29" t="s">
        <v>1</v>
      </c>
      <c r="C29" t="s">
        <v>16481</v>
      </c>
      <c r="D29" t="s">
        <v>16482</v>
      </c>
      <c r="E29" t="s">
        <v>16483</v>
      </c>
      <c r="G29" t="s">
        <v>16403</v>
      </c>
      <c r="H29" t="s">
        <v>16484</v>
      </c>
      <c r="I29" t="s">
        <v>8</v>
      </c>
      <c r="J29" t="s">
        <v>16485</v>
      </c>
      <c r="L29" t="s">
        <v>16436</v>
      </c>
      <c r="M29" s="59">
        <v>1</v>
      </c>
      <c r="N29" t="s">
        <v>16403</v>
      </c>
    </row>
    <row r="30" spans="1:14" ht="12.6">
      <c r="A30" t="s">
        <v>16486</v>
      </c>
      <c r="B30" t="s">
        <v>1</v>
      </c>
      <c r="C30" t="s">
        <v>16487</v>
      </c>
      <c r="D30" t="s">
        <v>16401</v>
      </c>
      <c r="E30" t="s">
        <v>4</v>
      </c>
      <c r="G30" t="s">
        <v>16403</v>
      </c>
      <c r="H30" t="s">
        <v>16488</v>
      </c>
      <c r="I30" t="s">
        <v>8</v>
      </c>
      <c r="K30" t="s">
        <v>12</v>
      </c>
      <c r="M30" s="59">
        <v>0</v>
      </c>
      <c r="N30" t="s">
        <v>16403</v>
      </c>
    </row>
    <row r="31" spans="1:14" ht="12.6">
      <c r="A31" t="s">
        <v>16489</v>
      </c>
      <c r="B31" t="s">
        <v>1</v>
      </c>
      <c r="C31" t="s">
        <v>16490</v>
      </c>
      <c r="D31" t="s">
        <v>16401</v>
      </c>
      <c r="E31" t="s">
        <v>16491</v>
      </c>
      <c r="G31" t="s">
        <v>16450</v>
      </c>
      <c r="H31" t="s">
        <v>16416</v>
      </c>
      <c r="I31" t="s">
        <v>8</v>
      </c>
      <c r="K31" t="s">
        <v>16491</v>
      </c>
      <c r="M31" s="59">
        <v>0</v>
      </c>
      <c r="N31" t="s">
        <v>16403</v>
      </c>
    </row>
    <row r="32" spans="1:14" ht="12.6">
      <c r="A32" t="s">
        <v>16492</v>
      </c>
      <c r="B32" t="s">
        <v>1</v>
      </c>
      <c r="C32" t="s">
        <v>16493</v>
      </c>
      <c r="D32" t="s">
        <v>16401</v>
      </c>
      <c r="E32" t="s">
        <v>16491</v>
      </c>
      <c r="G32" t="s">
        <v>16403</v>
      </c>
      <c r="H32" t="s">
        <v>16494</v>
      </c>
      <c r="I32" t="s">
        <v>8</v>
      </c>
      <c r="J32" t="s">
        <v>16495</v>
      </c>
      <c r="K32" t="s">
        <v>16491</v>
      </c>
      <c r="L32" t="s">
        <v>16436</v>
      </c>
      <c r="M32" s="59">
        <v>1</v>
      </c>
      <c r="N32" t="s">
        <v>16403</v>
      </c>
    </row>
    <row r="33" spans="1:14" ht="12.6">
      <c r="A33" t="s">
        <v>16496</v>
      </c>
      <c r="B33" t="s">
        <v>1</v>
      </c>
      <c r="C33" t="s">
        <v>16497</v>
      </c>
      <c r="D33" t="s">
        <v>16401</v>
      </c>
      <c r="E33" t="s">
        <v>16491</v>
      </c>
      <c r="F33" t="s">
        <v>16434</v>
      </c>
      <c r="G33" t="s">
        <v>16386</v>
      </c>
      <c r="H33" t="s">
        <v>16498</v>
      </c>
      <c r="I33" t="s">
        <v>8</v>
      </c>
      <c r="K33" t="s">
        <v>16491</v>
      </c>
      <c r="M33" s="59">
        <v>0</v>
      </c>
      <c r="N33" t="s">
        <v>16403</v>
      </c>
    </row>
    <row r="34" spans="1:14" ht="12.6">
      <c r="A34" t="s">
        <v>16499</v>
      </c>
      <c r="B34" t="s">
        <v>1</v>
      </c>
      <c r="C34" t="s">
        <v>16500</v>
      </c>
      <c r="D34" t="s">
        <v>16401</v>
      </c>
      <c r="E34" t="s">
        <v>4</v>
      </c>
      <c r="G34" t="s">
        <v>16442</v>
      </c>
      <c r="H34" t="s">
        <v>16501</v>
      </c>
      <c r="I34" t="s">
        <v>8</v>
      </c>
      <c r="K34" t="s">
        <v>12</v>
      </c>
      <c r="M34" s="59">
        <v>0</v>
      </c>
      <c r="N34" t="s">
        <v>16389</v>
      </c>
    </row>
    <row r="35" spans="1:14" ht="12.6">
      <c r="A35" t="s">
        <v>16502</v>
      </c>
      <c r="B35" t="s">
        <v>1</v>
      </c>
      <c r="C35" t="s">
        <v>16503</v>
      </c>
      <c r="D35" t="s">
        <v>16401</v>
      </c>
      <c r="E35" t="s">
        <v>4</v>
      </c>
      <c r="G35" t="s">
        <v>16442</v>
      </c>
      <c r="H35" t="s">
        <v>16504</v>
      </c>
      <c r="I35" t="s">
        <v>8</v>
      </c>
      <c r="K35" t="s">
        <v>12</v>
      </c>
      <c r="M35" s="59">
        <v>0</v>
      </c>
      <c r="N35" t="s">
        <v>16389</v>
      </c>
    </row>
    <row r="36" spans="1:14" ht="12.6">
      <c r="A36" t="s">
        <v>16505</v>
      </c>
      <c r="B36" t="s">
        <v>1</v>
      </c>
      <c r="C36" t="s">
        <v>16506</v>
      </c>
      <c r="D36" t="s">
        <v>16401</v>
      </c>
      <c r="E36" t="s">
        <v>4</v>
      </c>
      <c r="G36" t="s">
        <v>6</v>
      </c>
      <c r="H36" t="s">
        <v>16507</v>
      </c>
      <c r="I36" t="s">
        <v>8</v>
      </c>
      <c r="K36" t="s">
        <v>12</v>
      </c>
      <c r="M36" s="59">
        <v>0</v>
      </c>
      <c r="N36" t="s">
        <v>16403</v>
      </c>
    </row>
    <row r="37" spans="1:14" ht="12.6">
      <c r="A37" t="s">
        <v>16508</v>
      </c>
      <c r="B37" t="s">
        <v>1</v>
      </c>
      <c r="C37" t="s">
        <v>16509</v>
      </c>
      <c r="D37" t="s">
        <v>16401</v>
      </c>
      <c r="E37" t="s">
        <v>4</v>
      </c>
      <c r="G37" t="s">
        <v>6</v>
      </c>
      <c r="H37" t="s">
        <v>16510</v>
      </c>
      <c r="I37" t="s">
        <v>8</v>
      </c>
      <c r="K37" t="s">
        <v>12</v>
      </c>
      <c r="M37" s="59">
        <v>0</v>
      </c>
      <c r="N37" t="s">
        <v>16403</v>
      </c>
    </row>
    <row r="38" spans="1:14" ht="12.6">
      <c r="A38" t="s">
        <v>16511</v>
      </c>
      <c r="B38" t="s">
        <v>1</v>
      </c>
      <c r="C38" t="s">
        <v>16512</v>
      </c>
      <c r="D38" t="s">
        <v>16401</v>
      </c>
      <c r="E38" t="s">
        <v>4</v>
      </c>
      <c r="G38" t="s">
        <v>6</v>
      </c>
      <c r="H38" t="s">
        <v>16513</v>
      </c>
      <c r="I38" t="s">
        <v>8</v>
      </c>
      <c r="K38" t="s">
        <v>12</v>
      </c>
      <c r="M38" s="59">
        <v>0</v>
      </c>
      <c r="N38" t="s">
        <v>16403</v>
      </c>
    </row>
    <row r="39" spans="1:14" ht="12.6">
      <c r="A39" t="s">
        <v>16514</v>
      </c>
      <c r="B39" t="s">
        <v>1</v>
      </c>
      <c r="C39" t="s">
        <v>16515</v>
      </c>
      <c r="D39" t="s">
        <v>16401</v>
      </c>
      <c r="E39" t="s">
        <v>4</v>
      </c>
      <c r="G39" t="s">
        <v>16442</v>
      </c>
      <c r="H39" t="s">
        <v>16516</v>
      </c>
      <c r="I39" t="s">
        <v>8</v>
      </c>
      <c r="K39" t="s">
        <v>12</v>
      </c>
      <c r="M39" s="59">
        <v>0</v>
      </c>
      <c r="N39" t="s">
        <v>16389</v>
      </c>
    </row>
    <row r="40" spans="1:14" ht="12.6">
      <c r="A40" t="s">
        <v>16517</v>
      </c>
      <c r="B40" t="s">
        <v>1</v>
      </c>
      <c r="C40" t="s">
        <v>16518</v>
      </c>
      <c r="D40" t="s">
        <v>16401</v>
      </c>
      <c r="E40" t="s">
        <v>4</v>
      </c>
      <c r="G40" t="s">
        <v>16442</v>
      </c>
      <c r="H40" t="s">
        <v>16519</v>
      </c>
      <c r="I40" t="s">
        <v>8</v>
      </c>
      <c r="K40" t="s">
        <v>12</v>
      </c>
      <c r="M40" s="59">
        <v>0</v>
      </c>
      <c r="N40" t="s">
        <v>16389</v>
      </c>
    </row>
    <row r="41" spans="1:14" ht="12.6">
      <c r="A41" t="s">
        <v>16520</v>
      </c>
      <c r="B41" t="s">
        <v>1</v>
      </c>
      <c r="C41" t="s">
        <v>16521</v>
      </c>
      <c r="D41" t="s">
        <v>16401</v>
      </c>
      <c r="E41" t="s">
        <v>4</v>
      </c>
      <c r="G41" t="s">
        <v>6</v>
      </c>
      <c r="H41" t="s">
        <v>16522</v>
      </c>
      <c r="I41" t="s">
        <v>8</v>
      </c>
      <c r="K41" t="s">
        <v>12</v>
      </c>
      <c r="M41" s="59">
        <v>0</v>
      </c>
      <c r="N41" t="s">
        <v>16403</v>
      </c>
    </row>
    <row r="42" spans="1:14" ht="12.6">
      <c r="A42" t="s">
        <v>16523</v>
      </c>
      <c r="B42" t="s">
        <v>1</v>
      </c>
      <c r="C42" t="s">
        <v>16524</v>
      </c>
      <c r="D42" t="s">
        <v>16401</v>
      </c>
      <c r="E42" t="s">
        <v>4</v>
      </c>
      <c r="G42" t="s">
        <v>16403</v>
      </c>
      <c r="H42" t="s">
        <v>16525</v>
      </c>
      <c r="I42" t="s">
        <v>8</v>
      </c>
      <c r="K42" t="s">
        <v>12</v>
      </c>
      <c r="M42" s="59">
        <v>0</v>
      </c>
      <c r="N42" t="s">
        <v>16403</v>
      </c>
    </row>
    <row r="43" spans="1:14" ht="12.6">
      <c r="A43" t="s">
        <v>16526</v>
      </c>
      <c r="B43" t="s">
        <v>1</v>
      </c>
      <c r="C43" t="s">
        <v>16527</v>
      </c>
      <c r="D43" t="s">
        <v>16401</v>
      </c>
      <c r="E43" t="s">
        <v>4</v>
      </c>
      <c r="G43" t="s">
        <v>16403</v>
      </c>
      <c r="H43" t="s">
        <v>16528</v>
      </c>
      <c r="I43" t="s">
        <v>8</v>
      </c>
      <c r="K43" t="s">
        <v>12</v>
      </c>
      <c r="M43" s="59">
        <v>0</v>
      </c>
      <c r="N43" t="s">
        <v>16403</v>
      </c>
    </row>
    <row r="44" spans="1:14" ht="12.6">
      <c r="A44" t="s">
        <v>16529</v>
      </c>
      <c r="B44" t="s">
        <v>1</v>
      </c>
      <c r="C44" t="s">
        <v>16530</v>
      </c>
      <c r="D44" t="s">
        <v>16401</v>
      </c>
      <c r="E44" t="s">
        <v>4</v>
      </c>
      <c r="G44" t="s">
        <v>6</v>
      </c>
      <c r="H44" t="s">
        <v>16531</v>
      </c>
      <c r="I44" t="s">
        <v>8</v>
      </c>
      <c r="K44" t="s">
        <v>12</v>
      </c>
      <c r="M44" s="59">
        <v>0</v>
      </c>
      <c r="N44" t="s">
        <v>16403</v>
      </c>
    </row>
    <row r="45" spans="1:14" ht="12.6">
      <c r="A45" t="s">
        <v>16532</v>
      </c>
      <c r="B45" t="s">
        <v>1</v>
      </c>
      <c r="C45" t="s">
        <v>16533</v>
      </c>
      <c r="D45" t="s">
        <v>16401</v>
      </c>
      <c r="E45" t="s">
        <v>4</v>
      </c>
      <c r="G45" t="s">
        <v>6</v>
      </c>
      <c r="H45" t="s">
        <v>16534</v>
      </c>
      <c r="I45" t="s">
        <v>8</v>
      </c>
      <c r="K45" t="s">
        <v>12</v>
      </c>
      <c r="M45" s="59">
        <v>0</v>
      </c>
      <c r="N45" t="s">
        <v>16403</v>
      </c>
    </row>
    <row r="46" spans="1:14" ht="12.6">
      <c r="A46" t="s">
        <v>16535</v>
      </c>
      <c r="B46" t="s">
        <v>1</v>
      </c>
      <c r="C46" t="s">
        <v>16536</v>
      </c>
      <c r="D46" t="s">
        <v>16401</v>
      </c>
      <c r="E46" t="s">
        <v>4</v>
      </c>
      <c r="G46" t="s">
        <v>16403</v>
      </c>
      <c r="H46" t="s">
        <v>16537</v>
      </c>
      <c r="I46" t="s">
        <v>8</v>
      </c>
      <c r="K46" t="s">
        <v>12</v>
      </c>
      <c r="M46" s="59">
        <v>0</v>
      </c>
      <c r="N46" t="s">
        <v>16403</v>
      </c>
    </row>
    <row r="47" spans="1:14" ht="12.6">
      <c r="A47" t="s">
        <v>16538</v>
      </c>
      <c r="B47" t="s">
        <v>1</v>
      </c>
      <c r="C47" t="s">
        <v>16539</v>
      </c>
      <c r="D47" t="s">
        <v>16401</v>
      </c>
      <c r="E47" t="s">
        <v>4</v>
      </c>
      <c r="G47" t="s">
        <v>16450</v>
      </c>
      <c r="H47" t="s">
        <v>16540</v>
      </c>
      <c r="I47" t="s">
        <v>8</v>
      </c>
      <c r="K47" t="s">
        <v>12</v>
      </c>
      <c r="M47" s="59">
        <v>0</v>
      </c>
      <c r="N47" t="s">
        <v>16403</v>
      </c>
    </row>
    <row r="48" spans="1:14" ht="12.6">
      <c r="A48" t="s">
        <v>16541</v>
      </c>
      <c r="B48" t="s">
        <v>1</v>
      </c>
      <c r="C48" t="s">
        <v>16542</v>
      </c>
      <c r="D48" t="s">
        <v>16482</v>
      </c>
      <c r="E48" t="s">
        <v>16491</v>
      </c>
      <c r="F48" t="s">
        <v>16434</v>
      </c>
      <c r="G48" t="s">
        <v>6</v>
      </c>
      <c r="H48" t="s">
        <v>16543</v>
      </c>
      <c r="I48" t="s">
        <v>8</v>
      </c>
      <c r="J48" t="s">
        <v>16544</v>
      </c>
      <c r="K48" t="s">
        <v>16491</v>
      </c>
      <c r="L48" t="s">
        <v>16436</v>
      </c>
      <c r="M48" s="59">
        <v>1</v>
      </c>
      <c r="N48" t="s">
        <v>16403</v>
      </c>
    </row>
    <row r="49" spans="1:14" ht="12.6">
      <c r="A49" t="s">
        <v>16545</v>
      </c>
      <c r="B49" t="s">
        <v>1</v>
      </c>
      <c r="C49" t="s">
        <v>16546</v>
      </c>
      <c r="D49" t="s">
        <v>16401</v>
      </c>
      <c r="E49" t="s">
        <v>4</v>
      </c>
      <c r="G49" t="s">
        <v>6</v>
      </c>
      <c r="H49" t="s">
        <v>16547</v>
      </c>
      <c r="I49" t="s">
        <v>8</v>
      </c>
      <c r="K49" t="s">
        <v>12</v>
      </c>
      <c r="M49" s="59">
        <v>0</v>
      </c>
      <c r="N49" t="s">
        <v>16403</v>
      </c>
    </row>
    <row r="50" spans="1:14" ht="12.6">
      <c r="A50" t="s">
        <v>16548</v>
      </c>
      <c r="B50" t="s">
        <v>1</v>
      </c>
      <c r="C50" t="s">
        <v>16549</v>
      </c>
      <c r="D50" t="s">
        <v>16401</v>
      </c>
      <c r="E50" t="s">
        <v>4</v>
      </c>
      <c r="G50" t="s">
        <v>16442</v>
      </c>
      <c r="H50" t="s">
        <v>16550</v>
      </c>
      <c r="I50" t="s">
        <v>8</v>
      </c>
      <c r="K50" t="s">
        <v>12</v>
      </c>
      <c r="M50" s="59">
        <v>0</v>
      </c>
      <c r="N50" t="s">
        <v>16389</v>
      </c>
    </row>
    <row r="51" spans="1:14" ht="12.6">
      <c r="A51" t="s">
        <v>16551</v>
      </c>
      <c r="B51" t="s">
        <v>1</v>
      </c>
      <c r="C51" t="s">
        <v>16552</v>
      </c>
      <c r="D51" t="s">
        <v>16401</v>
      </c>
      <c r="E51" t="s">
        <v>4</v>
      </c>
      <c r="G51" t="s">
        <v>16403</v>
      </c>
      <c r="H51" t="s">
        <v>16553</v>
      </c>
      <c r="I51" t="s">
        <v>8</v>
      </c>
      <c r="K51" t="s">
        <v>12</v>
      </c>
      <c r="M51" s="59">
        <v>0</v>
      </c>
      <c r="N51" t="s">
        <v>16403</v>
      </c>
    </row>
    <row r="52" spans="1:14" ht="12.6">
      <c r="A52" t="s">
        <v>16554</v>
      </c>
      <c r="B52" t="s">
        <v>1</v>
      </c>
      <c r="C52" t="s">
        <v>16555</v>
      </c>
      <c r="D52" t="s">
        <v>16401</v>
      </c>
      <c r="E52" t="s">
        <v>4</v>
      </c>
      <c r="G52" t="s">
        <v>6</v>
      </c>
      <c r="H52" t="s">
        <v>16556</v>
      </c>
      <c r="I52" t="s">
        <v>8</v>
      </c>
      <c r="K52" t="s">
        <v>12</v>
      </c>
      <c r="M52" s="59">
        <v>0</v>
      </c>
      <c r="N52" t="s">
        <v>16403</v>
      </c>
    </row>
    <row r="53" spans="1:14" ht="12.6">
      <c r="A53" t="s">
        <v>16557</v>
      </c>
      <c r="B53" t="s">
        <v>1</v>
      </c>
      <c r="C53" t="s">
        <v>16558</v>
      </c>
      <c r="D53" t="s">
        <v>16401</v>
      </c>
      <c r="E53" t="s">
        <v>4</v>
      </c>
      <c r="G53" t="s">
        <v>6</v>
      </c>
      <c r="H53" t="s">
        <v>16559</v>
      </c>
      <c r="I53" t="s">
        <v>8</v>
      </c>
      <c r="K53" t="s">
        <v>12</v>
      </c>
      <c r="M53" s="59">
        <v>0</v>
      </c>
      <c r="N53" t="s">
        <v>16403</v>
      </c>
    </row>
    <row r="54" spans="1:14" ht="12.6">
      <c r="A54" t="s">
        <v>16560</v>
      </c>
      <c r="B54" t="s">
        <v>1</v>
      </c>
      <c r="C54" t="s">
        <v>16561</v>
      </c>
      <c r="D54" t="s">
        <v>16482</v>
      </c>
      <c r="E54" t="s">
        <v>4</v>
      </c>
      <c r="G54" t="s">
        <v>16403</v>
      </c>
      <c r="H54" t="s">
        <v>16562</v>
      </c>
      <c r="I54" t="s">
        <v>8</v>
      </c>
      <c r="J54" t="s">
        <v>16563</v>
      </c>
      <c r="K54" t="s">
        <v>12</v>
      </c>
      <c r="M54" s="59">
        <v>0</v>
      </c>
      <c r="N54" t="s">
        <v>16403</v>
      </c>
    </row>
    <row r="55" spans="1:14" ht="12.6">
      <c r="A55" t="s">
        <v>16564</v>
      </c>
      <c r="B55" t="s">
        <v>1</v>
      </c>
      <c r="C55" t="s">
        <v>16565</v>
      </c>
      <c r="D55" t="s">
        <v>16401</v>
      </c>
      <c r="E55" t="s">
        <v>4</v>
      </c>
      <c r="G55" t="s">
        <v>16403</v>
      </c>
      <c r="H55" t="s">
        <v>16566</v>
      </c>
      <c r="I55" t="s">
        <v>8</v>
      </c>
      <c r="K55" t="s">
        <v>12</v>
      </c>
      <c r="M55" s="59">
        <v>0</v>
      </c>
      <c r="N55" t="s">
        <v>16403</v>
      </c>
    </row>
    <row r="56" spans="1:14" ht="12.6">
      <c r="A56" t="s">
        <v>16567</v>
      </c>
      <c r="B56" t="s">
        <v>1</v>
      </c>
      <c r="C56" t="s">
        <v>16568</v>
      </c>
      <c r="D56" t="s">
        <v>16401</v>
      </c>
      <c r="E56" t="s">
        <v>4</v>
      </c>
      <c r="G56" t="s">
        <v>6</v>
      </c>
      <c r="H56" t="s">
        <v>16569</v>
      </c>
      <c r="I56" t="s">
        <v>8</v>
      </c>
      <c r="K56" t="s">
        <v>12</v>
      </c>
      <c r="M56" s="59">
        <v>0</v>
      </c>
      <c r="N56" t="s">
        <v>16403</v>
      </c>
    </row>
    <row r="57" spans="1:14" ht="12.6">
      <c r="A57" t="s">
        <v>16570</v>
      </c>
      <c r="B57" t="s">
        <v>1</v>
      </c>
      <c r="C57" t="s">
        <v>16571</v>
      </c>
      <c r="D57" t="s">
        <v>16401</v>
      </c>
      <c r="E57" t="s">
        <v>4</v>
      </c>
      <c r="G57" t="s">
        <v>16403</v>
      </c>
      <c r="H57" t="s">
        <v>16572</v>
      </c>
      <c r="I57" t="s">
        <v>8</v>
      </c>
      <c r="K57" t="s">
        <v>12</v>
      </c>
      <c r="M57" s="59">
        <v>0</v>
      </c>
      <c r="N57" t="s">
        <v>16403</v>
      </c>
    </row>
    <row r="58" spans="1:14" ht="12.6">
      <c r="A58" t="s">
        <v>16573</v>
      </c>
      <c r="B58" t="s">
        <v>1</v>
      </c>
      <c r="C58" t="s">
        <v>16574</v>
      </c>
      <c r="D58" t="s">
        <v>3</v>
      </c>
      <c r="E58" t="s">
        <v>16575</v>
      </c>
      <c r="F58" t="s">
        <v>16434</v>
      </c>
      <c r="G58" t="s">
        <v>16392</v>
      </c>
      <c r="H58" t="s">
        <v>16576</v>
      </c>
      <c r="I58" t="s">
        <v>8</v>
      </c>
      <c r="K58" t="s">
        <v>16577</v>
      </c>
      <c r="M58" s="59">
        <v>0</v>
      </c>
      <c r="N58" t="s">
        <v>16389</v>
      </c>
    </row>
    <row r="59" spans="1:14" ht="12.6">
      <c r="A59" t="s">
        <v>16578</v>
      </c>
      <c r="B59" t="s">
        <v>1</v>
      </c>
      <c r="C59" t="s">
        <v>16579</v>
      </c>
      <c r="D59" t="s">
        <v>16401</v>
      </c>
      <c r="E59" t="s">
        <v>4</v>
      </c>
      <c r="G59" t="s">
        <v>16392</v>
      </c>
      <c r="H59" t="s">
        <v>16580</v>
      </c>
      <c r="I59" t="s">
        <v>8</v>
      </c>
      <c r="K59" t="s">
        <v>12</v>
      </c>
      <c r="M59" s="59">
        <v>0</v>
      </c>
      <c r="N59" t="s">
        <v>16389</v>
      </c>
    </row>
    <row r="60" spans="1:14" ht="12.6">
      <c r="A60" t="s">
        <v>16581</v>
      </c>
      <c r="B60" t="s">
        <v>1</v>
      </c>
      <c r="C60" t="s">
        <v>16582</v>
      </c>
      <c r="D60" t="s">
        <v>16401</v>
      </c>
      <c r="E60" t="s">
        <v>4</v>
      </c>
      <c r="G60" t="s">
        <v>16442</v>
      </c>
      <c r="H60" t="s">
        <v>16583</v>
      </c>
      <c r="I60" t="s">
        <v>8</v>
      </c>
      <c r="K60" t="s">
        <v>12</v>
      </c>
      <c r="M60" s="59">
        <v>0</v>
      </c>
      <c r="N60" t="s">
        <v>16389</v>
      </c>
    </row>
    <row r="61" spans="1:14" ht="12.6">
      <c r="A61" t="s">
        <v>16584</v>
      </c>
      <c r="B61" t="s">
        <v>1</v>
      </c>
      <c r="C61" t="s">
        <v>16585</v>
      </c>
      <c r="D61" t="s">
        <v>16401</v>
      </c>
      <c r="E61" t="s">
        <v>4</v>
      </c>
      <c r="G61" t="s">
        <v>6</v>
      </c>
      <c r="H61" t="s">
        <v>16586</v>
      </c>
      <c r="I61" t="s">
        <v>8</v>
      </c>
      <c r="K61" t="s">
        <v>12</v>
      </c>
      <c r="M61" s="59">
        <v>0</v>
      </c>
      <c r="N61" t="s">
        <v>16403</v>
      </c>
    </row>
    <row r="62" spans="1:14" ht="12.6">
      <c r="A62" t="s">
        <v>16587</v>
      </c>
      <c r="B62" t="s">
        <v>1</v>
      </c>
      <c r="C62" t="s">
        <v>16588</v>
      </c>
      <c r="D62" t="s">
        <v>16401</v>
      </c>
      <c r="E62" t="s">
        <v>4</v>
      </c>
      <c r="G62" t="s">
        <v>16409</v>
      </c>
      <c r="H62" t="s">
        <v>16589</v>
      </c>
      <c r="I62" t="s">
        <v>8</v>
      </c>
      <c r="K62" t="s">
        <v>12</v>
      </c>
      <c r="M62" s="59">
        <v>0</v>
      </c>
      <c r="N62" t="s">
        <v>16403</v>
      </c>
    </row>
    <row r="63" spans="1:14" ht="12.6">
      <c r="A63" t="s">
        <v>16590</v>
      </c>
      <c r="B63" t="s">
        <v>1</v>
      </c>
      <c r="C63" t="s">
        <v>16591</v>
      </c>
      <c r="D63" t="s">
        <v>16401</v>
      </c>
      <c r="E63" t="s">
        <v>4</v>
      </c>
      <c r="G63" t="s">
        <v>16592</v>
      </c>
      <c r="H63" t="s">
        <v>16593</v>
      </c>
      <c r="I63" t="s">
        <v>8</v>
      </c>
      <c r="K63" t="s">
        <v>12</v>
      </c>
      <c r="M63" s="59">
        <v>0</v>
      </c>
      <c r="N63" t="s">
        <v>16403</v>
      </c>
    </row>
    <row r="64" spans="1:14" ht="12.6">
      <c r="A64" t="s">
        <v>16594</v>
      </c>
      <c r="B64" t="s">
        <v>1</v>
      </c>
      <c r="C64" t="s">
        <v>16595</v>
      </c>
      <c r="D64" t="s">
        <v>16401</v>
      </c>
      <c r="E64" t="s">
        <v>4</v>
      </c>
      <c r="G64" t="s">
        <v>6</v>
      </c>
      <c r="H64" t="s">
        <v>16596</v>
      </c>
      <c r="I64" t="s">
        <v>8</v>
      </c>
      <c r="K64" t="s">
        <v>12</v>
      </c>
      <c r="M64" s="59">
        <v>0</v>
      </c>
      <c r="N64" t="s">
        <v>16403</v>
      </c>
    </row>
    <row r="65" spans="1:14" ht="12.6">
      <c r="A65" t="s">
        <v>16597</v>
      </c>
      <c r="B65" t="s">
        <v>1</v>
      </c>
      <c r="C65" t="s">
        <v>16598</v>
      </c>
      <c r="D65" t="s">
        <v>16401</v>
      </c>
      <c r="E65" t="s">
        <v>4</v>
      </c>
      <c r="G65" t="s">
        <v>16403</v>
      </c>
      <c r="H65" t="s">
        <v>16599</v>
      </c>
      <c r="I65" t="s">
        <v>8</v>
      </c>
      <c r="K65" t="s">
        <v>12</v>
      </c>
      <c r="M65" s="59">
        <v>0</v>
      </c>
      <c r="N65" t="s">
        <v>16403</v>
      </c>
    </row>
    <row r="66" spans="1:14" ht="12.6">
      <c r="A66" t="s">
        <v>16600</v>
      </c>
      <c r="B66" t="s">
        <v>1</v>
      </c>
      <c r="C66" t="s">
        <v>16601</v>
      </c>
      <c r="D66" t="s">
        <v>16401</v>
      </c>
      <c r="E66" t="s">
        <v>4</v>
      </c>
      <c r="G66" t="s">
        <v>16442</v>
      </c>
      <c r="H66" t="s">
        <v>16602</v>
      </c>
      <c r="I66" t="s">
        <v>8</v>
      </c>
      <c r="K66" t="s">
        <v>12</v>
      </c>
      <c r="M66" s="59">
        <v>0</v>
      </c>
      <c r="N66" t="s">
        <v>16389</v>
      </c>
    </row>
    <row r="67" spans="1:14" ht="12.6">
      <c r="A67" t="s">
        <v>16603</v>
      </c>
      <c r="B67" t="s">
        <v>1</v>
      </c>
      <c r="C67" t="s">
        <v>16604</v>
      </c>
      <c r="D67" t="s">
        <v>16401</v>
      </c>
      <c r="E67" t="s">
        <v>4</v>
      </c>
      <c r="G67" t="s">
        <v>16450</v>
      </c>
      <c r="H67" t="s">
        <v>16605</v>
      </c>
      <c r="I67" t="s">
        <v>8</v>
      </c>
      <c r="K67" t="s">
        <v>12</v>
      </c>
      <c r="M67" s="59">
        <v>0</v>
      </c>
      <c r="N67" t="s">
        <v>16403</v>
      </c>
    </row>
    <row r="68" spans="1:14" ht="12.6">
      <c r="A68" t="s">
        <v>16606</v>
      </c>
      <c r="B68" t="s">
        <v>1</v>
      </c>
      <c r="C68" t="s">
        <v>16607</v>
      </c>
      <c r="D68" t="s">
        <v>16401</v>
      </c>
      <c r="E68" t="s">
        <v>4</v>
      </c>
      <c r="G68" t="s">
        <v>6</v>
      </c>
      <c r="H68" t="s">
        <v>16608</v>
      </c>
      <c r="I68" t="s">
        <v>8</v>
      </c>
      <c r="K68" t="s">
        <v>12</v>
      </c>
      <c r="M68" s="59">
        <v>0</v>
      </c>
      <c r="N68" t="s">
        <v>16403</v>
      </c>
    </row>
    <row r="69" spans="1:14" ht="12.6">
      <c r="A69" t="s">
        <v>16609</v>
      </c>
      <c r="B69" t="s">
        <v>1</v>
      </c>
      <c r="C69" t="s">
        <v>16610</v>
      </c>
      <c r="D69" t="s">
        <v>16401</v>
      </c>
      <c r="E69" t="s">
        <v>4</v>
      </c>
      <c r="G69" t="s">
        <v>6</v>
      </c>
      <c r="H69" t="s">
        <v>16611</v>
      </c>
      <c r="I69" t="s">
        <v>8</v>
      </c>
      <c r="K69" t="s">
        <v>12</v>
      </c>
      <c r="M69" s="59">
        <v>0</v>
      </c>
      <c r="N69" t="s">
        <v>16403</v>
      </c>
    </row>
    <row r="70" spans="1:14" ht="12.6">
      <c r="A70" t="s">
        <v>16612</v>
      </c>
      <c r="B70" t="s">
        <v>1</v>
      </c>
      <c r="C70" t="s">
        <v>16613</v>
      </c>
      <c r="D70" t="s">
        <v>16401</v>
      </c>
      <c r="E70" t="s">
        <v>4</v>
      </c>
      <c r="G70" t="s">
        <v>6</v>
      </c>
      <c r="H70" t="s">
        <v>16614</v>
      </c>
      <c r="I70" t="s">
        <v>8</v>
      </c>
      <c r="K70" t="s">
        <v>12</v>
      </c>
      <c r="M70" s="59">
        <v>0</v>
      </c>
      <c r="N70" t="s">
        <v>16403</v>
      </c>
    </row>
    <row r="71" spans="1:14" ht="12.6">
      <c r="A71" t="s">
        <v>16615</v>
      </c>
      <c r="B71" t="s">
        <v>1</v>
      </c>
      <c r="C71" t="s">
        <v>16616</v>
      </c>
      <c r="D71" t="s">
        <v>16482</v>
      </c>
      <c r="E71" t="s">
        <v>4</v>
      </c>
      <c r="G71" t="s">
        <v>16403</v>
      </c>
      <c r="H71" t="s">
        <v>16617</v>
      </c>
      <c r="I71" t="s">
        <v>8</v>
      </c>
      <c r="K71" t="s">
        <v>12</v>
      </c>
      <c r="M71" s="59">
        <v>0</v>
      </c>
      <c r="N71" t="s">
        <v>16403</v>
      </c>
    </row>
    <row r="72" spans="1:14" ht="12.6">
      <c r="A72" t="s">
        <v>16618</v>
      </c>
      <c r="B72" t="s">
        <v>1</v>
      </c>
      <c r="C72" t="s">
        <v>16619</v>
      </c>
      <c r="D72" t="s">
        <v>16401</v>
      </c>
      <c r="E72" t="s">
        <v>4</v>
      </c>
      <c r="G72" t="s">
        <v>6</v>
      </c>
      <c r="H72" t="s">
        <v>16620</v>
      </c>
      <c r="I72" t="s">
        <v>8</v>
      </c>
      <c r="K72" t="s">
        <v>12</v>
      </c>
      <c r="M72" s="59">
        <v>0</v>
      </c>
      <c r="N72" t="s">
        <v>16389</v>
      </c>
    </row>
    <row r="73" spans="1:14" ht="12.6">
      <c r="A73" t="s">
        <v>16621</v>
      </c>
      <c r="B73" t="s">
        <v>1</v>
      </c>
      <c r="C73" t="s">
        <v>16622</v>
      </c>
      <c r="D73" t="s">
        <v>16401</v>
      </c>
      <c r="E73" t="s">
        <v>4</v>
      </c>
      <c r="G73" t="s">
        <v>16403</v>
      </c>
      <c r="H73" t="s">
        <v>16623</v>
      </c>
      <c r="I73" t="s">
        <v>8</v>
      </c>
      <c r="K73" t="s">
        <v>12</v>
      </c>
      <c r="M73" s="59">
        <v>0</v>
      </c>
      <c r="N73" t="s">
        <v>16403</v>
      </c>
    </row>
    <row r="74" spans="1:14" ht="12.6">
      <c r="A74" t="s">
        <v>16624</v>
      </c>
      <c r="B74" t="s">
        <v>1</v>
      </c>
      <c r="C74" t="s">
        <v>16625</v>
      </c>
      <c r="D74" t="s">
        <v>3</v>
      </c>
      <c r="E74" t="s">
        <v>4</v>
      </c>
      <c r="G74" t="s">
        <v>16392</v>
      </c>
      <c r="H74" t="s">
        <v>16626</v>
      </c>
      <c r="I74" t="s">
        <v>8</v>
      </c>
      <c r="K74" t="s">
        <v>4</v>
      </c>
      <c r="M74" s="59">
        <v>0</v>
      </c>
      <c r="N74" t="s">
        <v>16389</v>
      </c>
    </row>
    <row r="75" spans="1:14" ht="12.6">
      <c r="A75" t="s">
        <v>16627</v>
      </c>
      <c r="B75" t="s">
        <v>1</v>
      </c>
      <c r="C75" t="s">
        <v>16628</v>
      </c>
      <c r="D75" t="s">
        <v>16482</v>
      </c>
      <c r="G75" t="s">
        <v>16403</v>
      </c>
      <c r="H75" t="s">
        <v>16629</v>
      </c>
      <c r="I75" t="s">
        <v>8</v>
      </c>
      <c r="J75" t="s">
        <v>16630</v>
      </c>
      <c r="L75" t="s">
        <v>16436</v>
      </c>
      <c r="M75" s="59">
        <v>1</v>
      </c>
      <c r="N75" t="s">
        <v>16403</v>
      </c>
    </row>
    <row r="76" spans="1:14" ht="12.6">
      <c r="A76" t="s">
        <v>16631</v>
      </c>
      <c r="B76" t="s">
        <v>1</v>
      </c>
      <c r="C76" t="s">
        <v>16632</v>
      </c>
      <c r="D76" t="s">
        <v>16482</v>
      </c>
      <c r="E76" t="s">
        <v>4</v>
      </c>
      <c r="G76" t="s">
        <v>16403</v>
      </c>
      <c r="H76" t="s">
        <v>16633</v>
      </c>
      <c r="I76" t="s">
        <v>8</v>
      </c>
      <c r="K76" t="s">
        <v>12</v>
      </c>
      <c r="M76" s="59">
        <v>0</v>
      </c>
      <c r="N76" t="s">
        <v>16403</v>
      </c>
    </row>
    <row r="77" spans="1:14" ht="12.6">
      <c r="A77" t="s">
        <v>16634</v>
      </c>
      <c r="B77" t="s">
        <v>1</v>
      </c>
      <c r="C77" t="s">
        <v>16635</v>
      </c>
      <c r="D77" t="s">
        <v>16401</v>
      </c>
      <c r="E77" t="s">
        <v>4</v>
      </c>
      <c r="G77" t="s">
        <v>16403</v>
      </c>
      <c r="H77" t="s">
        <v>16636</v>
      </c>
      <c r="I77" t="s">
        <v>8</v>
      </c>
      <c r="K77" t="s">
        <v>12</v>
      </c>
      <c r="M77" s="59">
        <v>0</v>
      </c>
      <c r="N77" t="s">
        <v>16403</v>
      </c>
    </row>
    <row r="78" spans="1:14" ht="12.6">
      <c r="A78" t="s">
        <v>16637</v>
      </c>
      <c r="B78" t="s">
        <v>1</v>
      </c>
      <c r="C78" t="s">
        <v>16638</v>
      </c>
      <c r="D78" t="s">
        <v>16401</v>
      </c>
      <c r="E78" t="s">
        <v>4</v>
      </c>
      <c r="G78" t="s">
        <v>16403</v>
      </c>
      <c r="H78" t="s">
        <v>16639</v>
      </c>
      <c r="I78" t="s">
        <v>8</v>
      </c>
      <c r="K78" t="s">
        <v>12</v>
      </c>
      <c r="M78" s="59">
        <v>0</v>
      </c>
      <c r="N78" t="s">
        <v>16403</v>
      </c>
    </row>
    <row r="79" spans="1:14" ht="12.6">
      <c r="A79" t="s">
        <v>16640</v>
      </c>
      <c r="B79" t="s">
        <v>1</v>
      </c>
      <c r="C79" t="s">
        <v>16641</v>
      </c>
      <c r="D79" t="s">
        <v>16401</v>
      </c>
      <c r="E79" t="s">
        <v>4</v>
      </c>
      <c r="G79" t="s">
        <v>16450</v>
      </c>
      <c r="H79" t="s">
        <v>16642</v>
      </c>
      <c r="I79" t="s">
        <v>8</v>
      </c>
      <c r="K79" t="s">
        <v>12</v>
      </c>
      <c r="M79" s="59">
        <v>0</v>
      </c>
      <c r="N79" t="s">
        <v>16403</v>
      </c>
    </row>
    <row r="80" spans="1:14" ht="12.6">
      <c r="A80" t="s">
        <v>16643</v>
      </c>
      <c r="B80" t="s">
        <v>1</v>
      </c>
      <c r="C80" t="s">
        <v>16644</v>
      </c>
      <c r="D80" t="s">
        <v>16482</v>
      </c>
      <c r="E80" t="s">
        <v>4</v>
      </c>
      <c r="G80" t="s">
        <v>6</v>
      </c>
      <c r="H80" t="s">
        <v>16645</v>
      </c>
      <c r="I80" t="s">
        <v>8</v>
      </c>
      <c r="J80" t="s">
        <v>16473</v>
      </c>
      <c r="K80" t="s">
        <v>12</v>
      </c>
      <c r="M80" s="59">
        <v>0</v>
      </c>
      <c r="N80" t="s">
        <v>16403</v>
      </c>
    </row>
    <row r="81" spans="1:14" ht="12.6">
      <c r="A81" t="s">
        <v>16646</v>
      </c>
      <c r="B81" t="s">
        <v>1</v>
      </c>
      <c r="C81" t="s">
        <v>16647</v>
      </c>
      <c r="D81" t="s">
        <v>16401</v>
      </c>
      <c r="E81" t="s">
        <v>4</v>
      </c>
      <c r="G81" t="s">
        <v>16403</v>
      </c>
      <c r="H81" t="s">
        <v>16648</v>
      </c>
      <c r="I81" t="s">
        <v>8</v>
      </c>
      <c r="K81" t="s">
        <v>12</v>
      </c>
      <c r="M81" s="59">
        <v>0</v>
      </c>
      <c r="N81" t="s">
        <v>16403</v>
      </c>
    </row>
    <row r="82" spans="1:14" ht="12.6">
      <c r="A82" t="s">
        <v>16649</v>
      </c>
      <c r="B82" t="s">
        <v>1</v>
      </c>
      <c r="C82" t="s">
        <v>16650</v>
      </c>
      <c r="D82" t="s">
        <v>16401</v>
      </c>
      <c r="E82" t="s">
        <v>16651</v>
      </c>
      <c r="G82" t="s">
        <v>6</v>
      </c>
      <c r="H82" t="s">
        <v>16652</v>
      </c>
      <c r="I82" t="s">
        <v>8</v>
      </c>
      <c r="J82" t="s">
        <v>16653</v>
      </c>
      <c r="K82" t="s">
        <v>16651</v>
      </c>
      <c r="L82" t="s">
        <v>16436</v>
      </c>
      <c r="M82" s="59">
        <v>1</v>
      </c>
      <c r="N82" t="s">
        <v>16403</v>
      </c>
    </row>
    <row r="83" spans="1:14" ht="12.6">
      <c r="A83" t="s">
        <v>16654</v>
      </c>
      <c r="B83" t="s">
        <v>1</v>
      </c>
      <c r="C83" t="s">
        <v>16655</v>
      </c>
      <c r="D83" t="s">
        <v>16482</v>
      </c>
      <c r="E83" t="s">
        <v>16483</v>
      </c>
      <c r="F83" t="s">
        <v>16434</v>
      </c>
      <c r="G83" t="s">
        <v>16403</v>
      </c>
      <c r="H83" t="s">
        <v>16656</v>
      </c>
      <c r="I83" t="s">
        <v>8</v>
      </c>
      <c r="J83" t="s">
        <v>16657</v>
      </c>
      <c r="K83" t="s">
        <v>16483</v>
      </c>
      <c r="L83" t="s">
        <v>16436</v>
      </c>
      <c r="M83" s="59">
        <v>1</v>
      </c>
      <c r="N83" t="s">
        <v>16403</v>
      </c>
    </row>
    <row r="84" spans="1:14" ht="12.6">
      <c r="A84" t="s">
        <v>16658</v>
      </c>
      <c r="B84" t="s">
        <v>1</v>
      </c>
      <c r="C84" t="s">
        <v>16659</v>
      </c>
      <c r="D84" t="s">
        <v>16401</v>
      </c>
      <c r="E84" t="s">
        <v>4</v>
      </c>
      <c r="G84" t="s">
        <v>16403</v>
      </c>
      <c r="H84" t="s">
        <v>16660</v>
      </c>
      <c r="I84" t="s">
        <v>8</v>
      </c>
      <c r="K84" t="s">
        <v>12</v>
      </c>
      <c r="M84" s="59">
        <v>0</v>
      </c>
      <c r="N84" t="s">
        <v>16403</v>
      </c>
    </row>
    <row r="85" spans="1:14" ht="12.6">
      <c r="A85" t="s">
        <v>16661</v>
      </c>
      <c r="B85" t="s">
        <v>1</v>
      </c>
      <c r="C85" t="s">
        <v>16662</v>
      </c>
      <c r="D85" t="s">
        <v>16401</v>
      </c>
      <c r="E85" t="s">
        <v>4</v>
      </c>
      <c r="G85" t="s">
        <v>6</v>
      </c>
      <c r="H85" t="s">
        <v>16663</v>
      </c>
      <c r="I85" t="s">
        <v>8</v>
      </c>
      <c r="K85" t="s">
        <v>12</v>
      </c>
      <c r="M85" s="59">
        <v>0</v>
      </c>
      <c r="N85" t="s">
        <v>16403</v>
      </c>
    </row>
    <row r="86" spans="1:14" ht="12.6">
      <c r="A86" t="s">
        <v>16664</v>
      </c>
      <c r="B86" t="s">
        <v>1</v>
      </c>
      <c r="C86" t="s">
        <v>16665</v>
      </c>
      <c r="D86" t="s">
        <v>16401</v>
      </c>
      <c r="E86" t="s">
        <v>4</v>
      </c>
      <c r="G86" t="s">
        <v>16450</v>
      </c>
      <c r="H86" t="s">
        <v>16666</v>
      </c>
      <c r="I86" t="s">
        <v>8</v>
      </c>
      <c r="K86" t="s">
        <v>12</v>
      </c>
      <c r="M86" s="59">
        <v>0</v>
      </c>
      <c r="N86" t="s">
        <v>16403</v>
      </c>
    </row>
    <row r="87" spans="1:14" ht="12.6">
      <c r="A87" t="s">
        <v>16667</v>
      </c>
      <c r="B87" t="s">
        <v>1</v>
      </c>
      <c r="C87" t="s">
        <v>16668</v>
      </c>
      <c r="D87" t="s">
        <v>16401</v>
      </c>
      <c r="E87" t="s">
        <v>4</v>
      </c>
      <c r="G87" t="s">
        <v>6</v>
      </c>
      <c r="H87" t="s">
        <v>16669</v>
      </c>
      <c r="I87" t="s">
        <v>8</v>
      </c>
      <c r="K87" t="s">
        <v>12</v>
      </c>
      <c r="M87" s="59">
        <v>0</v>
      </c>
      <c r="N87" t="s">
        <v>16403</v>
      </c>
    </row>
    <row r="88" spans="1:14" ht="12.6">
      <c r="A88" t="s">
        <v>16670</v>
      </c>
      <c r="B88" t="s">
        <v>1</v>
      </c>
      <c r="C88" t="s">
        <v>16671</v>
      </c>
      <c r="D88" t="s">
        <v>16401</v>
      </c>
      <c r="E88" t="s">
        <v>4</v>
      </c>
      <c r="G88" t="s">
        <v>6</v>
      </c>
      <c r="H88" t="s">
        <v>16672</v>
      </c>
      <c r="I88" t="s">
        <v>8</v>
      </c>
      <c r="K88" t="s">
        <v>12</v>
      </c>
      <c r="M88" s="59">
        <v>0</v>
      </c>
      <c r="N88" t="s">
        <v>16403</v>
      </c>
    </row>
    <row r="89" spans="1:14" ht="12.6">
      <c r="A89" t="s">
        <v>16673</v>
      </c>
      <c r="B89" t="s">
        <v>1</v>
      </c>
      <c r="C89" t="s">
        <v>16674</v>
      </c>
      <c r="D89" t="s">
        <v>3</v>
      </c>
      <c r="E89" t="s">
        <v>4</v>
      </c>
      <c r="G89" t="s">
        <v>16386</v>
      </c>
      <c r="H89" t="s">
        <v>16675</v>
      </c>
      <c r="I89" t="s">
        <v>8</v>
      </c>
      <c r="K89" t="s">
        <v>12</v>
      </c>
      <c r="M89" s="59">
        <v>0</v>
      </c>
      <c r="N89" t="s">
        <v>16389</v>
      </c>
    </row>
    <row r="90" spans="1:14" ht="12.6">
      <c r="A90" t="s">
        <v>16676</v>
      </c>
      <c r="B90" t="s">
        <v>1</v>
      </c>
      <c r="C90" t="s">
        <v>16677</v>
      </c>
      <c r="D90" t="s">
        <v>16401</v>
      </c>
      <c r="E90" t="s">
        <v>4</v>
      </c>
      <c r="G90" t="s">
        <v>6</v>
      </c>
      <c r="H90" t="s">
        <v>16678</v>
      </c>
      <c r="I90" t="s">
        <v>8</v>
      </c>
      <c r="K90" t="s">
        <v>12</v>
      </c>
      <c r="M90" s="59">
        <v>0</v>
      </c>
      <c r="N90" t="s">
        <v>16403</v>
      </c>
    </row>
    <row r="91" spans="1:14" ht="12.6">
      <c r="A91" t="s">
        <v>16679</v>
      </c>
      <c r="B91" t="s">
        <v>1</v>
      </c>
      <c r="C91" t="s">
        <v>16680</v>
      </c>
      <c r="D91" t="s">
        <v>16401</v>
      </c>
      <c r="E91" t="s">
        <v>4</v>
      </c>
      <c r="G91" t="s">
        <v>6</v>
      </c>
      <c r="H91" t="s">
        <v>16681</v>
      </c>
      <c r="I91" t="s">
        <v>8</v>
      </c>
      <c r="K91" t="s">
        <v>12</v>
      </c>
      <c r="M91" s="59">
        <v>0</v>
      </c>
      <c r="N91" t="s">
        <v>16389</v>
      </c>
    </row>
    <row r="92" spans="1:14" ht="12.6">
      <c r="A92" t="s">
        <v>16682</v>
      </c>
      <c r="B92" t="s">
        <v>1</v>
      </c>
      <c r="C92" t="s">
        <v>16683</v>
      </c>
      <c r="D92" t="s">
        <v>16401</v>
      </c>
      <c r="E92" t="s">
        <v>4</v>
      </c>
      <c r="G92" t="s">
        <v>6</v>
      </c>
      <c r="H92" t="s">
        <v>16684</v>
      </c>
      <c r="I92" t="s">
        <v>8</v>
      </c>
      <c r="K92" t="s">
        <v>12</v>
      </c>
      <c r="M92" s="59">
        <v>0</v>
      </c>
      <c r="N92" t="s">
        <v>16389</v>
      </c>
    </row>
    <row r="93" spans="1:14" ht="12.6">
      <c r="A93" t="s">
        <v>16685</v>
      </c>
      <c r="B93" t="s">
        <v>1</v>
      </c>
      <c r="C93" t="s">
        <v>16686</v>
      </c>
      <c r="D93" t="s">
        <v>16401</v>
      </c>
      <c r="E93" t="s">
        <v>4</v>
      </c>
      <c r="G93" t="s">
        <v>6</v>
      </c>
      <c r="H93" t="s">
        <v>16687</v>
      </c>
      <c r="I93" t="s">
        <v>8</v>
      </c>
      <c r="K93" t="s">
        <v>12</v>
      </c>
      <c r="M93" s="59">
        <v>0</v>
      </c>
      <c r="N93" t="s">
        <v>16403</v>
      </c>
    </row>
    <row r="94" spans="1:14" ht="12.6">
      <c r="A94" t="s">
        <v>16688</v>
      </c>
      <c r="B94" t="s">
        <v>1</v>
      </c>
      <c r="C94" t="s">
        <v>16689</v>
      </c>
      <c r="D94" t="s">
        <v>16482</v>
      </c>
      <c r="E94" t="s">
        <v>4</v>
      </c>
      <c r="G94" t="s">
        <v>6</v>
      </c>
      <c r="H94" t="s">
        <v>16690</v>
      </c>
      <c r="I94" t="s">
        <v>8</v>
      </c>
      <c r="K94" t="s">
        <v>12</v>
      </c>
      <c r="M94" s="59">
        <v>0</v>
      </c>
      <c r="N94" t="s">
        <v>16403</v>
      </c>
    </row>
    <row r="95" spans="1:14" ht="12.6">
      <c r="A95" t="s">
        <v>16691</v>
      </c>
      <c r="B95" t="s">
        <v>1</v>
      </c>
      <c r="C95" t="s">
        <v>16692</v>
      </c>
      <c r="D95" t="s">
        <v>3</v>
      </c>
      <c r="E95" t="s">
        <v>4</v>
      </c>
      <c r="G95" t="s">
        <v>16450</v>
      </c>
      <c r="H95" t="s">
        <v>16693</v>
      </c>
      <c r="I95" t="s">
        <v>8</v>
      </c>
      <c r="K95" t="s">
        <v>12</v>
      </c>
      <c r="M95" s="59">
        <v>0</v>
      </c>
      <c r="N95" t="s">
        <v>16403</v>
      </c>
    </row>
    <row r="96" spans="1:14" ht="12.6">
      <c r="A96" t="s">
        <v>16694</v>
      </c>
      <c r="B96" t="s">
        <v>1</v>
      </c>
      <c r="C96" t="s">
        <v>16695</v>
      </c>
      <c r="D96" t="s">
        <v>16401</v>
      </c>
      <c r="E96" t="s">
        <v>16491</v>
      </c>
      <c r="F96" t="s">
        <v>16434</v>
      </c>
      <c r="G96" t="s">
        <v>6</v>
      </c>
      <c r="H96" t="s">
        <v>16696</v>
      </c>
      <c r="I96" t="s">
        <v>8</v>
      </c>
      <c r="J96" t="s">
        <v>16388</v>
      </c>
      <c r="K96" t="s">
        <v>16491</v>
      </c>
      <c r="L96" t="s">
        <v>16436</v>
      </c>
      <c r="M96" s="59">
        <v>1</v>
      </c>
      <c r="N96" t="s">
        <v>16403</v>
      </c>
    </row>
    <row r="97" spans="1:14" ht="12.6">
      <c r="A97" t="s">
        <v>16697</v>
      </c>
      <c r="B97" t="s">
        <v>1</v>
      </c>
      <c r="C97" t="s">
        <v>16698</v>
      </c>
      <c r="D97" t="s">
        <v>16401</v>
      </c>
      <c r="E97" t="s">
        <v>4</v>
      </c>
      <c r="G97" t="s">
        <v>16450</v>
      </c>
      <c r="H97" t="s">
        <v>16699</v>
      </c>
      <c r="I97" t="s">
        <v>8</v>
      </c>
      <c r="K97" t="s">
        <v>12</v>
      </c>
      <c r="M97" s="59">
        <v>0</v>
      </c>
      <c r="N97" t="s">
        <v>16403</v>
      </c>
    </row>
    <row r="98" spans="1:14" ht="12.6">
      <c r="A98" t="s">
        <v>16700</v>
      </c>
      <c r="B98" t="s">
        <v>1</v>
      </c>
      <c r="C98" t="s">
        <v>16701</v>
      </c>
      <c r="D98" t="s">
        <v>16401</v>
      </c>
      <c r="E98" t="s">
        <v>4</v>
      </c>
      <c r="G98" t="s">
        <v>16450</v>
      </c>
      <c r="H98" t="s">
        <v>16702</v>
      </c>
      <c r="I98" t="s">
        <v>8</v>
      </c>
      <c r="K98" t="s">
        <v>12</v>
      </c>
      <c r="M98" s="59">
        <v>0</v>
      </c>
      <c r="N98" t="s">
        <v>16403</v>
      </c>
    </row>
    <row r="99" spans="1:14" ht="12.6">
      <c r="A99" t="s">
        <v>16703</v>
      </c>
      <c r="B99" t="s">
        <v>1</v>
      </c>
      <c r="C99" t="s">
        <v>16704</v>
      </c>
      <c r="D99" t="s">
        <v>16401</v>
      </c>
      <c r="E99" t="s">
        <v>4</v>
      </c>
      <c r="G99" t="s">
        <v>6</v>
      </c>
      <c r="H99" t="s">
        <v>16705</v>
      </c>
      <c r="I99" t="s">
        <v>8</v>
      </c>
      <c r="K99" t="s">
        <v>12</v>
      </c>
      <c r="M99" s="59">
        <v>0</v>
      </c>
      <c r="N99" t="s">
        <v>16403</v>
      </c>
    </row>
    <row r="100" spans="1:14" ht="12.6">
      <c r="A100" t="s">
        <v>16706</v>
      </c>
      <c r="B100" t="s">
        <v>1</v>
      </c>
      <c r="C100" t="s">
        <v>16707</v>
      </c>
      <c r="D100" t="s">
        <v>16401</v>
      </c>
      <c r="E100" t="s">
        <v>16708</v>
      </c>
      <c r="G100" t="s">
        <v>6</v>
      </c>
      <c r="H100" t="s">
        <v>16709</v>
      </c>
      <c r="I100" t="s">
        <v>16710</v>
      </c>
      <c r="M100" s="59">
        <v>1</v>
      </c>
    </row>
    <row r="101" spans="1:14" ht="12.6">
      <c r="A101" t="s">
        <v>16711</v>
      </c>
      <c r="B101" t="s">
        <v>1</v>
      </c>
      <c r="C101" t="s">
        <v>16712</v>
      </c>
      <c r="D101" t="s">
        <v>16401</v>
      </c>
      <c r="E101" t="s">
        <v>4</v>
      </c>
      <c r="G101" t="s">
        <v>6</v>
      </c>
      <c r="H101" t="s">
        <v>16713</v>
      </c>
      <c r="I101" t="s">
        <v>8</v>
      </c>
      <c r="K101" t="s">
        <v>12</v>
      </c>
      <c r="M101" s="59">
        <v>0</v>
      </c>
      <c r="N101" t="s">
        <v>16403</v>
      </c>
    </row>
    <row r="102" spans="1:14" ht="12.6">
      <c r="A102" t="s">
        <v>16714</v>
      </c>
      <c r="B102" t="s">
        <v>1</v>
      </c>
      <c r="C102" t="s">
        <v>16715</v>
      </c>
      <c r="D102" t="s">
        <v>3</v>
      </c>
      <c r="E102" t="s">
        <v>4</v>
      </c>
      <c r="G102" t="s">
        <v>16442</v>
      </c>
      <c r="H102" t="s">
        <v>16716</v>
      </c>
      <c r="I102" t="s">
        <v>8</v>
      </c>
      <c r="K102" t="s">
        <v>12</v>
      </c>
      <c r="M102" s="59">
        <v>0</v>
      </c>
      <c r="N102" t="s">
        <v>16389</v>
      </c>
    </row>
    <row r="103" spans="1:14" ht="12.6">
      <c r="A103" t="s">
        <v>16717</v>
      </c>
      <c r="B103" t="s">
        <v>1</v>
      </c>
      <c r="C103" t="s">
        <v>16718</v>
      </c>
      <c r="D103" t="s">
        <v>16401</v>
      </c>
      <c r="E103" t="s">
        <v>4</v>
      </c>
      <c r="G103" t="s">
        <v>6</v>
      </c>
      <c r="H103" t="s">
        <v>16719</v>
      </c>
      <c r="I103" t="s">
        <v>8</v>
      </c>
      <c r="K103" t="s">
        <v>12</v>
      </c>
      <c r="M103" s="59">
        <v>0</v>
      </c>
      <c r="N103" t="s">
        <v>16403</v>
      </c>
    </row>
    <row r="104" spans="1:14" ht="12.6">
      <c r="A104" t="s">
        <v>16720</v>
      </c>
      <c r="B104" t="s">
        <v>1</v>
      </c>
      <c r="C104" t="s">
        <v>16721</v>
      </c>
      <c r="D104" t="s">
        <v>16482</v>
      </c>
      <c r="E104" t="s">
        <v>4</v>
      </c>
      <c r="G104" t="s">
        <v>6</v>
      </c>
      <c r="H104" t="s">
        <v>16722</v>
      </c>
      <c r="I104" t="s">
        <v>8</v>
      </c>
      <c r="K104" t="s">
        <v>12</v>
      </c>
      <c r="M104" s="59">
        <v>0</v>
      </c>
      <c r="N104" t="s">
        <v>16403</v>
      </c>
    </row>
    <row r="105" spans="1:14" ht="12.6">
      <c r="A105" t="s">
        <v>16723</v>
      </c>
      <c r="B105" t="s">
        <v>1</v>
      </c>
      <c r="C105" t="s">
        <v>16724</v>
      </c>
      <c r="D105" t="s">
        <v>16401</v>
      </c>
      <c r="E105" t="s">
        <v>4</v>
      </c>
      <c r="G105" t="s">
        <v>6</v>
      </c>
      <c r="H105" t="s">
        <v>16725</v>
      </c>
      <c r="I105" t="s">
        <v>8</v>
      </c>
      <c r="K105" t="s">
        <v>12</v>
      </c>
      <c r="M105" s="59">
        <v>0</v>
      </c>
      <c r="N105" t="s">
        <v>16403</v>
      </c>
    </row>
    <row r="106" spans="1:14" ht="12.6">
      <c r="A106" t="s">
        <v>16726</v>
      </c>
      <c r="B106" t="s">
        <v>1</v>
      </c>
      <c r="C106" t="s">
        <v>16727</v>
      </c>
      <c r="D106" t="s">
        <v>16482</v>
      </c>
      <c r="E106" t="s">
        <v>4</v>
      </c>
      <c r="G106" t="s">
        <v>6</v>
      </c>
      <c r="H106" t="s">
        <v>16728</v>
      </c>
      <c r="I106" t="s">
        <v>8</v>
      </c>
      <c r="K106" t="s">
        <v>12</v>
      </c>
      <c r="M106" s="59">
        <v>0</v>
      </c>
      <c r="N106" t="s">
        <v>16403</v>
      </c>
    </row>
    <row r="107" spans="1:14" ht="12.6">
      <c r="A107" t="s">
        <v>16729</v>
      </c>
      <c r="B107" t="s">
        <v>1</v>
      </c>
      <c r="C107" t="s">
        <v>16730</v>
      </c>
      <c r="D107" t="s">
        <v>16482</v>
      </c>
      <c r="E107" t="s">
        <v>4</v>
      </c>
      <c r="G107" t="s">
        <v>6</v>
      </c>
      <c r="H107" t="s">
        <v>16731</v>
      </c>
      <c r="I107" t="s">
        <v>8</v>
      </c>
      <c r="M107" s="59">
        <v>0</v>
      </c>
      <c r="N107" t="s">
        <v>16403</v>
      </c>
    </row>
    <row r="108" spans="1:14" ht="12.6">
      <c r="A108" t="s">
        <v>16732</v>
      </c>
      <c r="B108" t="s">
        <v>1</v>
      </c>
      <c r="C108" t="s">
        <v>16733</v>
      </c>
      <c r="D108" t="s">
        <v>16482</v>
      </c>
      <c r="E108" t="s">
        <v>16491</v>
      </c>
      <c r="G108" t="s">
        <v>6</v>
      </c>
      <c r="H108" t="s">
        <v>16734</v>
      </c>
      <c r="I108" t="s">
        <v>8</v>
      </c>
      <c r="K108" t="s">
        <v>16491</v>
      </c>
      <c r="M108" s="59">
        <v>0</v>
      </c>
      <c r="N108" t="s">
        <v>16403</v>
      </c>
    </row>
    <row r="109" spans="1:14" ht="12.6">
      <c r="A109" t="s">
        <v>16735</v>
      </c>
      <c r="B109" t="s">
        <v>1</v>
      </c>
      <c r="C109" t="s">
        <v>16736</v>
      </c>
      <c r="D109" t="s">
        <v>16401</v>
      </c>
      <c r="E109" t="s">
        <v>4</v>
      </c>
      <c r="G109" t="s">
        <v>16450</v>
      </c>
      <c r="H109" t="s">
        <v>16737</v>
      </c>
      <c r="I109" t="s">
        <v>8</v>
      </c>
      <c r="K109" t="s">
        <v>12</v>
      </c>
      <c r="M109" s="59">
        <v>0</v>
      </c>
      <c r="N109" t="s">
        <v>16403</v>
      </c>
    </row>
    <row r="110" spans="1:14" ht="12.6">
      <c r="A110" t="s">
        <v>16738</v>
      </c>
      <c r="B110" t="s">
        <v>1</v>
      </c>
      <c r="C110" t="s">
        <v>16739</v>
      </c>
      <c r="D110" t="s">
        <v>16482</v>
      </c>
      <c r="E110" t="s">
        <v>4</v>
      </c>
      <c r="G110" t="s">
        <v>6</v>
      </c>
      <c r="H110" t="s">
        <v>16740</v>
      </c>
      <c r="I110" t="s">
        <v>8</v>
      </c>
      <c r="K110" t="s">
        <v>12</v>
      </c>
      <c r="M110" s="59">
        <v>0</v>
      </c>
      <c r="N110" t="s">
        <v>16403</v>
      </c>
    </row>
    <row r="111" spans="1:14" ht="12.6">
      <c r="A111" t="s">
        <v>16741</v>
      </c>
      <c r="B111" t="s">
        <v>1</v>
      </c>
      <c r="C111" t="s">
        <v>16742</v>
      </c>
      <c r="D111" t="s">
        <v>16401</v>
      </c>
      <c r="E111" t="s">
        <v>4</v>
      </c>
      <c r="G111" t="s">
        <v>16450</v>
      </c>
      <c r="H111" t="s">
        <v>16743</v>
      </c>
      <c r="I111" t="s">
        <v>8</v>
      </c>
      <c r="K111" t="s">
        <v>12</v>
      </c>
      <c r="M111" s="59">
        <v>0</v>
      </c>
      <c r="N111" t="s">
        <v>16403</v>
      </c>
    </row>
    <row r="112" spans="1:14" ht="12.6">
      <c r="A112" t="s">
        <v>16744</v>
      </c>
      <c r="B112" t="s">
        <v>1</v>
      </c>
      <c r="C112" t="s">
        <v>16745</v>
      </c>
      <c r="D112" t="s">
        <v>16482</v>
      </c>
      <c r="E112" t="s">
        <v>12</v>
      </c>
      <c r="F112" t="s">
        <v>16434</v>
      </c>
      <c r="G112" t="s">
        <v>6</v>
      </c>
      <c r="H112" t="s">
        <v>16746</v>
      </c>
      <c r="I112" t="s">
        <v>8</v>
      </c>
      <c r="J112" t="s">
        <v>16747</v>
      </c>
      <c r="K112" t="s">
        <v>17</v>
      </c>
      <c r="L112" t="s">
        <v>16436</v>
      </c>
      <c r="M112" s="59">
        <v>1</v>
      </c>
      <c r="N112" t="s">
        <v>16403</v>
      </c>
    </row>
    <row r="113" spans="1:14" ht="12.6">
      <c r="A113" t="s">
        <v>16748</v>
      </c>
      <c r="B113" t="s">
        <v>1</v>
      </c>
      <c r="C113" t="s">
        <v>16749</v>
      </c>
      <c r="D113" t="s">
        <v>16401</v>
      </c>
      <c r="E113" t="s">
        <v>4</v>
      </c>
      <c r="G113" t="s">
        <v>16446</v>
      </c>
      <c r="I113" t="s">
        <v>8</v>
      </c>
      <c r="M113" s="59">
        <v>0</v>
      </c>
      <c r="N113" t="s">
        <v>16403</v>
      </c>
    </row>
    <row r="114" spans="1:14" ht="12.6">
      <c r="A114" t="s">
        <v>16750</v>
      </c>
      <c r="B114" t="s">
        <v>1</v>
      </c>
      <c r="C114" t="s">
        <v>16751</v>
      </c>
      <c r="D114" t="s">
        <v>16401</v>
      </c>
      <c r="E114" t="s">
        <v>4</v>
      </c>
      <c r="G114" t="s">
        <v>16446</v>
      </c>
      <c r="I114" t="s">
        <v>8</v>
      </c>
      <c r="M114" s="59">
        <v>0</v>
      </c>
      <c r="N114" t="s">
        <v>16403</v>
      </c>
    </row>
    <row r="115" spans="1:14" ht="12.6">
      <c r="A115" t="s">
        <v>16752</v>
      </c>
      <c r="B115" t="s">
        <v>1</v>
      </c>
      <c r="C115" t="s">
        <v>16753</v>
      </c>
      <c r="D115" t="s">
        <v>16401</v>
      </c>
      <c r="E115" t="s">
        <v>4</v>
      </c>
      <c r="G115" t="s">
        <v>16446</v>
      </c>
      <c r="I115" t="s">
        <v>16393</v>
      </c>
      <c r="M115" s="59">
        <v>0</v>
      </c>
      <c r="N115" t="s">
        <v>16403</v>
      </c>
    </row>
    <row r="116" spans="1:14" ht="12.6">
      <c r="A116" t="s">
        <v>16754</v>
      </c>
      <c r="B116" t="s">
        <v>1</v>
      </c>
      <c r="C116" t="s">
        <v>16755</v>
      </c>
      <c r="D116" t="s">
        <v>16401</v>
      </c>
      <c r="E116" t="s">
        <v>4</v>
      </c>
      <c r="G116" t="s">
        <v>16446</v>
      </c>
      <c r="I116" t="s">
        <v>16393</v>
      </c>
      <c r="L116" t="s">
        <v>16436</v>
      </c>
      <c r="M116" s="59">
        <v>1</v>
      </c>
      <c r="N116" t="s">
        <v>16403</v>
      </c>
    </row>
    <row r="117" spans="1:14" ht="12.6">
      <c r="A117" t="s">
        <v>16756</v>
      </c>
      <c r="B117" t="s">
        <v>1</v>
      </c>
      <c r="C117" t="s">
        <v>16757</v>
      </c>
      <c r="D117" t="s">
        <v>16401</v>
      </c>
      <c r="E117" t="s">
        <v>4</v>
      </c>
      <c r="G117" t="s">
        <v>6</v>
      </c>
      <c r="I117" t="s">
        <v>16710</v>
      </c>
      <c r="M117" s="59">
        <v>1</v>
      </c>
    </row>
    <row r="118" spans="1:14" ht="12.6">
      <c r="A118" t="s">
        <v>16758</v>
      </c>
      <c r="B118" t="s">
        <v>1</v>
      </c>
      <c r="C118" t="s">
        <v>16759</v>
      </c>
      <c r="D118" t="s">
        <v>3</v>
      </c>
      <c r="E118" t="s">
        <v>16760</v>
      </c>
      <c r="F118" t="s">
        <v>16761</v>
      </c>
      <c r="G118" t="s">
        <v>6</v>
      </c>
      <c r="H118" t="s">
        <v>16762</v>
      </c>
      <c r="I118" t="s">
        <v>8</v>
      </c>
      <c r="J118" t="s">
        <v>16388</v>
      </c>
      <c r="K118" t="s">
        <v>16763</v>
      </c>
      <c r="M118" s="59">
        <v>150</v>
      </c>
      <c r="N118" t="s">
        <v>16403</v>
      </c>
    </row>
    <row r="119" spans="1:14" ht="12.6">
      <c r="A119" t="s">
        <v>16764</v>
      </c>
      <c r="B119" t="s">
        <v>1</v>
      </c>
      <c r="C119" t="s">
        <v>16765</v>
      </c>
      <c r="D119" t="s">
        <v>3</v>
      </c>
      <c r="E119" t="s">
        <v>16766</v>
      </c>
      <c r="G119" t="s">
        <v>6</v>
      </c>
      <c r="H119" t="s">
        <v>16540</v>
      </c>
      <c r="I119" t="s">
        <v>16710</v>
      </c>
      <c r="K119" t="s">
        <v>16766</v>
      </c>
      <c r="M119" s="59">
        <v>1</v>
      </c>
    </row>
    <row r="120" spans="1:14" ht="12.6">
      <c r="A120" t="s">
        <v>16767</v>
      </c>
      <c r="B120" t="s">
        <v>1</v>
      </c>
      <c r="C120" t="s">
        <v>16768</v>
      </c>
      <c r="D120" t="s">
        <v>16482</v>
      </c>
      <c r="E120" t="s">
        <v>16769</v>
      </c>
      <c r="G120" t="s">
        <v>6</v>
      </c>
      <c r="H120" t="s">
        <v>16770</v>
      </c>
      <c r="I120" t="s">
        <v>16710</v>
      </c>
      <c r="J120" t="s">
        <v>16771</v>
      </c>
      <c r="M120" s="59">
        <v>1</v>
      </c>
    </row>
    <row r="121" spans="1:14" ht="12.6">
      <c r="A121" t="s">
        <v>16772</v>
      </c>
      <c r="B121" t="s">
        <v>1</v>
      </c>
      <c r="C121" t="s">
        <v>16773</v>
      </c>
      <c r="D121" t="s">
        <v>16482</v>
      </c>
      <c r="E121" t="s">
        <v>4</v>
      </c>
      <c r="G121" t="s">
        <v>6</v>
      </c>
      <c r="H121" t="s">
        <v>16774</v>
      </c>
      <c r="I121" t="s">
        <v>16710</v>
      </c>
      <c r="J121" t="s">
        <v>16388</v>
      </c>
      <c r="M121" s="59">
        <v>1</v>
      </c>
    </row>
    <row r="122" spans="1:14" ht="12.6">
      <c r="A122" t="s">
        <v>16775</v>
      </c>
      <c r="B122" t="s">
        <v>1</v>
      </c>
      <c r="C122" t="s">
        <v>16776</v>
      </c>
      <c r="D122" t="s">
        <v>16482</v>
      </c>
      <c r="E122" t="s">
        <v>4</v>
      </c>
      <c r="G122" t="s">
        <v>6</v>
      </c>
      <c r="H122" t="s">
        <v>16777</v>
      </c>
      <c r="I122" t="s">
        <v>16710</v>
      </c>
      <c r="J122" t="s">
        <v>16778</v>
      </c>
      <c r="M122" s="59">
        <v>1</v>
      </c>
    </row>
    <row r="123" spans="1:14" ht="12.6">
      <c r="A123" t="s">
        <v>16779</v>
      </c>
      <c r="B123" t="s">
        <v>1</v>
      </c>
      <c r="C123" t="s">
        <v>16780</v>
      </c>
      <c r="D123" t="s">
        <v>16482</v>
      </c>
      <c r="E123" t="s">
        <v>4</v>
      </c>
      <c r="G123" t="s">
        <v>6</v>
      </c>
      <c r="H123" t="s">
        <v>16781</v>
      </c>
      <c r="I123" t="s">
        <v>16710</v>
      </c>
      <c r="J123" t="s">
        <v>16782</v>
      </c>
      <c r="M123" s="59">
        <v>1</v>
      </c>
    </row>
    <row r="124" spans="1:14" ht="12.6">
      <c r="A124" t="s">
        <v>16783</v>
      </c>
      <c r="B124" t="s">
        <v>1</v>
      </c>
      <c r="C124" t="s">
        <v>16784</v>
      </c>
      <c r="D124" t="s">
        <v>16401</v>
      </c>
      <c r="E124" t="s">
        <v>16785</v>
      </c>
      <c r="G124" t="s">
        <v>16450</v>
      </c>
      <c r="H124" t="s">
        <v>16786</v>
      </c>
      <c r="I124" t="s">
        <v>16710</v>
      </c>
      <c r="J124" t="s">
        <v>16787</v>
      </c>
      <c r="K124" t="s">
        <v>16785</v>
      </c>
      <c r="L124" t="s">
        <v>16436</v>
      </c>
      <c r="M124" s="59">
        <v>1</v>
      </c>
    </row>
    <row r="125" spans="1:14" ht="12.6">
      <c r="A125" t="s">
        <v>16788</v>
      </c>
      <c r="B125" t="s">
        <v>1</v>
      </c>
      <c r="C125" t="s">
        <v>16789</v>
      </c>
      <c r="D125" t="s">
        <v>16401</v>
      </c>
      <c r="E125" t="s">
        <v>4</v>
      </c>
      <c r="F125" t="s">
        <v>16434</v>
      </c>
      <c r="G125" t="s">
        <v>6</v>
      </c>
      <c r="H125" t="s">
        <v>16790</v>
      </c>
      <c r="I125" t="s">
        <v>16710</v>
      </c>
      <c r="J125" t="s">
        <v>16791</v>
      </c>
      <c r="M125" s="59">
        <v>1</v>
      </c>
    </row>
    <row r="126" spans="1:14" ht="12.6">
      <c r="A126" t="s">
        <v>16792</v>
      </c>
      <c r="B126" t="s">
        <v>1</v>
      </c>
      <c r="C126" t="s">
        <v>16793</v>
      </c>
      <c r="D126" t="s">
        <v>16401</v>
      </c>
      <c r="E126" t="s">
        <v>4</v>
      </c>
      <c r="F126" t="s">
        <v>16434</v>
      </c>
      <c r="G126" t="s">
        <v>6</v>
      </c>
      <c r="H126" t="s">
        <v>16794</v>
      </c>
      <c r="I126" t="s">
        <v>16710</v>
      </c>
      <c r="J126" t="s">
        <v>16795</v>
      </c>
      <c r="M126" s="59">
        <v>1</v>
      </c>
    </row>
    <row r="127" spans="1:14" ht="12.6">
      <c r="A127" t="s">
        <v>16796</v>
      </c>
      <c r="B127" t="s">
        <v>1</v>
      </c>
      <c r="C127" t="s">
        <v>16797</v>
      </c>
      <c r="D127" t="s">
        <v>16401</v>
      </c>
      <c r="E127" t="s">
        <v>4</v>
      </c>
      <c r="F127" t="s">
        <v>16434</v>
      </c>
      <c r="G127" t="s">
        <v>6</v>
      </c>
      <c r="H127" t="s">
        <v>16798</v>
      </c>
      <c r="I127" t="s">
        <v>16710</v>
      </c>
      <c r="J127" t="s">
        <v>16799</v>
      </c>
      <c r="M127" s="59">
        <v>1</v>
      </c>
    </row>
    <row r="128" spans="1:14" ht="12.6">
      <c r="A128" t="s">
        <v>16800</v>
      </c>
      <c r="B128" t="s">
        <v>1</v>
      </c>
      <c r="C128" t="s">
        <v>16801</v>
      </c>
      <c r="D128" t="s">
        <v>16482</v>
      </c>
      <c r="E128" t="s">
        <v>4</v>
      </c>
      <c r="F128" t="s">
        <v>16434</v>
      </c>
      <c r="G128" t="s">
        <v>6</v>
      </c>
      <c r="H128" t="s">
        <v>16802</v>
      </c>
      <c r="I128" t="s">
        <v>16710</v>
      </c>
      <c r="J128" t="s">
        <v>16803</v>
      </c>
      <c r="L128" t="s">
        <v>16436</v>
      </c>
      <c r="M128" s="59">
        <v>1</v>
      </c>
    </row>
    <row r="129" spans="1:13" ht="12.6">
      <c r="A129" t="s">
        <v>16804</v>
      </c>
      <c r="B129" t="s">
        <v>1</v>
      </c>
      <c r="C129" t="s">
        <v>16805</v>
      </c>
      <c r="D129" t="s">
        <v>16401</v>
      </c>
      <c r="E129" t="s">
        <v>4</v>
      </c>
      <c r="F129" t="s">
        <v>16434</v>
      </c>
      <c r="G129" t="s">
        <v>6</v>
      </c>
      <c r="H129" t="s">
        <v>16806</v>
      </c>
      <c r="I129" t="s">
        <v>16710</v>
      </c>
      <c r="J129" t="s">
        <v>16807</v>
      </c>
      <c r="M129" s="59">
        <v>1</v>
      </c>
    </row>
    <row r="130" spans="1:13" ht="12.6">
      <c r="A130" t="s">
        <v>16808</v>
      </c>
      <c r="B130" t="s">
        <v>1</v>
      </c>
      <c r="C130" t="s">
        <v>16809</v>
      </c>
      <c r="D130" t="s">
        <v>16482</v>
      </c>
      <c r="E130" t="s">
        <v>16491</v>
      </c>
      <c r="F130" t="s">
        <v>16434</v>
      </c>
      <c r="G130" t="s">
        <v>6</v>
      </c>
      <c r="H130" t="s">
        <v>16810</v>
      </c>
      <c r="I130" t="s">
        <v>16710</v>
      </c>
      <c r="J130" t="s">
        <v>16771</v>
      </c>
      <c r="K130" t="s">
        <v>16491</v>
      </c>
      <c r="M130" s="59">
        <v>1</v>
      </c>
    </row>
    <row r="131" spans="1:13" ht="12.6">
      <c r="A131" t="s">
        <v>16811</v>
      </c>
      <c r="B131" t="s">
        <v>1</v>
      </c>
      <c r="C131" t="s">
        <v>16812</v>
      </c>
      <c r="D131" t="s">
        <v>16401</v>
      </c>
      <c r="E131" t="s">
        <v>4</v>
      </c>
      <c r="F131" t="s">
        <v>16434</v>
      </c>
      <c r="G131" t="s">
        <v>6</v>
      </c>
      <c r="H131" t="s">
        <v>16813</v>
      </c>
      <c r="I131" t="s">
        <v>16710</v>
      </c>
      <c r="J131" t="s">
        <v>16814</v>
      </c>
      <c r="M131" s="59">
        <v>1</v>
      </c>
    </row>
    <row r="132" spans="1:13" ht="12.6">
      <c r="A132" t="s">
        <v>16815</v>
      </c>
      <c r="B132" t="s">
        <v>1</v>
      </c>
      <c r="C132" t="s">
        <v>16816</v>
      </c>
      <c r="D132" t="s">
        <v>16401</v>
      </c>
      <c r="E132" t="s">
        <v>4</v>
      </c>
      <c r="F132" t="s">
        <v>16434</v>
      </c>
      <c r="G132" t="s">
        <v>6</v>
      </c>
      <c r="H132" t="s">
        <v>16817</v>
      </c>
      <c r="I132" t="s">
        <v>16710</v>
      </c>
      <c r="J132" t="s">
        <v>16818</v>
      </c>
      <c r="L132" t="s">
        <v>16436</v>
      </c>
      <c r="M132" s="59">
        <v>1</v>
      </c>
    </row>
    <row r="133" spans="1:13" ht="12.6">
      <c r="A133" t="s">
        <v>16819</v>
      </c>
      <c r="B133" t="s">
        <v>1</v>
      </c>
      <c r="C133" t="s">
        <v>16820</v>
      </c>
      <c r="D133" t="s">
        <v>16401</v>
      </c>
      <c r="E133" t="s">
        <v>4</v>
      </c>
      <c r="F133" t="s">
        <v>16434</v>
      </c>
      <c r="G133" t="s">
        <v>6</v>
      </c>
      <c r="H133" t="s">
        <v>16821</v>
      </c>
      <c r="I133" t="s">
        <v>16710</v>
      </c>
      <c r="J133" t="s">
        <v>16822</v>
      </c>
      <c r="L133" t="s">
        <v>16436</v>
      </c>
      <c r="M133" s="59">
        <v>1</v>
      </c>
    </row>
    <row r="134" spans="1:13" ht="12.6">
      <c r="A134" t="s">
        <v>16823</v>
      </c>
      <c r="B134" t="s">
        <v>1</v>
      </c>
      <c r="C134" t="s">
        <v>16824</v>
      </c>
      <c r="D134" t="s">
        <v>16401</v>
      </c>
      <c r="E134" t="s">
        <v>4</v>
      </c>
      <c r="F134" t="s">
        <v>16434</v>
      </c>
      <c r="G134" t="s">
        <v>6</v>
      </c>
      <c r="H134" t="s">
        <v>16825</v>
      </c>
      <c r="I134" t="s">
        <v>16826</v>
      </c>
      <c r="J134" t="s">
        <v>16827</v>
      </c>
      <c r="L134" t="s">
        <v>16436</v>
      </c>
      <c r="M134" s="59">
        <v>1</v>
      </c>
    </row>
    <row r="135" spans="1:13" ht="12.6">
      <c r="A135" t="s">
        <v>16828</v>
      </c>
      <c r="B135" t="s">
        <v>1</v>
      </c>
      <c r="C135" t="s">
        <v>16829</v>
      </c>
      <c r="D135" t="s">
        <v>16482</v>
      </c>
      <c r="E135" t="s">
        <v>4</v>
      </c>
      <c r="F135" t="s">
        <v>16434</v>
      </c>
      <c r="G135" t="s">
        <v>6</v>
      </c>
      <c r="H135" t="s">
        <v>16802</v>
      </c>
      <c r="I135" t="s">
        <v>16710</v>
      </c>
      <c r="J135" t="s">
        <v>16803</v>
      </c>
      <c r="L135" t="s">
        <v>16436</v>
      </c>
      <c r="M135" s="59">
        <v>1</v>
      </c>
    </row>
    <row r="136" spans="1:13" ht="12.6">
      <c r="A136" t="s">
        <v>16830</v>
      </c>
      <c r="B136" t="s">
        <v>1</v>
      </c>
      <c r="C136" t="s">
        <v>16831</v>
      </c>
      <c r="D136" t="s">
        <v>16482</v>
      </c>
      <c r="E136" t="s">
        <v>4</v>
      </c>
      <c r="F136" t="s">
        <v>16434</v>
      </c>
      <c r="G136" t="s">
        <v>6</v>
      </c>
      <c r="H136" t="s">
        <v>16832</v>
      </c>
      <c r="I136" t="s">
        <v>16710</v>
      </c>
      <c r="J136" t="s">
        <v>16833</v>
      </c>
      <c r="M136" s="59">
        <v>1</v>
      </c>
    </row>
    <row r="137" spans="1:13" ht="12.6">
      <c r="A137" t="s">
        <v>16834</v>
      </c>
      <c r="B137" t="s">
        <v>1</v>
      </c>
      <c r="C137" t="s">
        <v>16835</v>
      </c>
      <c r="D137" t="s">
        <v>3</v>
      </c>
      <c r="E137" t="s">
        <v>4</v>
      </c>
      <c r="F137" t="s">
        <v>16836</v>
      </c>
      <c r="G137" t="s">
        <v>6</v>
      </c>
      <c r="H137" t="s">
        <v>16837</v>
      </c>
      <c r="I137" t="s">
        <v>16710</v>
      </c>
      <c r="J137" t="s">
        <v>16388</v>
      </c>
      <c r="M137" s="59">
        <v>150</v>
      </c>
    </row>
    <row r="138" spans="1:13" ht="12.6">
      <c r="A138" t="s">
        <v>16838</v>
      </c>
      <c r="B138" t="s">
        <v>1</v>
      </c>
      <c r="C138" t="s">
        <v>16839</v>
      </c>
      <c r="D138" t="s">
        <v>3</v>
      </c>
      <c r="E138" t="s">
        <v>16840</v>
      </c>
      <c r="F138" t="s">
        <v>16841</v>
      </c>
      <c r="G138" t="s">
        <v>6</v>
      </c>
      <c r="H138" t="s">
        <v>16842</v>
      </c>
      <c r="I138" t="s">
        <v>16710</v>
      </c>
      <c r="J138" t="s">
        <v>16388</v>
      </c>
      <c r="M138" s="59">
        <v>150</v>
      </c>
    </row>
    <row r="139" spans="1:13" ht="12.6">
      <c r="A139" t="s">
        <v>16843</v>
      </c>
      <c r="B139" t="s">
        <v>1</v>
      </c>
      <c r="C139" t="s">
        <v>16844</v>
      </c>
      <c r="D139" t="s">
        <v>16482</v>
      </c>
      <c r="E139" t="s">
        <v>4</v>
      </c>
      <c r="F139" t="s">
        <v>16434</v>
      </c>
      <c r="G139" t="s">
        <v>6</v>
      </c>
      <c r="H139" t="s">
        <v>16845</v>
      </c>
      <c r="I139" t="s">
        <v>16710</v>
      </c>
      <c r="J139" t="s">
        <v>16544</v>
      </c>
      <c r="M139" s="59">
        <v>1</v>
      </c>
    </row>
    <row r="140" spans="1:13" ht="12.6">
      <c r="A140" t="s">
        <v>16846</v>
      </c>
      <c r="B140" t="s">
        <v>1</v>
      </c>
      <c r="C140" t="s">
        <v>16847</v>
      </c>
      <c r="D140" t="s">
        <v>16401</v>
      </c>
      <c r="E140" t="s">
        <v>4</v>
      </c>
      <c r="F140" t="s">
        <v>16434</v>
      </c>
      <c r="G140" t="s">
        <v>6</v>
      </c>
      <c r="H140" t="s">
        <v>16848</v>
      </c>
      <c r="I140" t="s">
        <v>16710</v>
      </c>
      <c r="J140" t="s">
        <v>16849</v>
      </c>
      <c r="M140" s="59">
        <v>1</v>
      </c>
    </row>
    <row r="141" spans="1:13" ht="12.6">
      <c r="A141" t="s">
        <v>16850</v>
      </c>
      <c r="B141" t="s">
        <v>1</v>
      </c>
      <c r="C141" t="s">
        <v>16851</v>
      </c>
      <c r="D141" t="s">
        <v>16482</v>
      </c>
      <c r="E141" t="s">
        <v>4</v>
      </c>
      <c r="F141" t="s">
        <v>16434</v>
      </c>
      <c r="G141" t="s">
        <v>6</v>
      </c>
      <c r="H141" t="s">
        <v>16852</v>
      </c>
      <c r="I141" t="s">
        <v>16710</v>
      </c>
      <c r="J141" t="s">
        <v>16778</v>
      </c>
      <c r="M141" s="59">
        <v>1</v>
      </c>
    </row>
    <row r="142" spans="1:13" ht="12.6">
      <c r="A142" t="s">
        <v>16853</v>
      </c>
      <c r="B142" t="s">
        <v>1</v>
      </c>
      <c r="C142" t="s">
        <v>16854</v>
      </c>
      <c r="D142" t="s">
        <v>16482</v>
      </c>
      <c r="E142" t="s">
        <v>4</v>
      </c>
      <c r="F142" t="s">
        <v>16434</v>
      </c>
      <c r="G142" t="s">
        <v>6</v>
      </c>
      <c r="H142" t="s">
        <v>16852</v>
      </c>
      <c r="I142" t="s">
        <v>16710</v>
      </c>
      <c r="J142" t="s">
        <v>16778</v>
      </c>
      <c r="M142" s="59">
        <v>1</v>
      </c>
    </row>
    <row r="143" spans="1:13" ht="12.6">
      <c r="A143" t="s">
        <v>16855</v>
      </c>
      <c r="B143" t="s">
        <v>1</v>
      </c>
      <c r="C143" t="s">
        <v>16856</v>
      </c>
      <c r="D143" t="s">
        <v>3</v>
      </c>
      <c r="E143" t="s">
        <v>16857</v>
      </c>
      <c r="F143" t="s">
        <v>16858</v>
      </c>
      <c r="G143" t="s">
        <v>6</v>
      </c>
      <c r="H143" t="s">
        <v>16859</v>
      </c>
      <c r="I143" t="s">
        <v>16393</v>
      </c>
      <c r="J143" t="s">
        <v>16388</v>
      </c>
      <c r="L143" t="s">
        <v>16436</v>
      </c>
      <c r="M143" s="59">
        <v>140</v>
      </c>
    </row>
    <row r="144" spans="1:13" ht="12.6">
      <c r="A144" t="s">
        <v>16860</v>
      </c>
      <c r="B144" t="s">
        <v>1</v>
      </c>
      <c r="C144" t="s">
        <v>16861</v>
      </c>
      <c r="D144" t="s">
        <v>3</v>
      </c>
      <c r="E144" t="s">
        <v>16862</v>
      </c>
      <c r="F144" t="s">
        <v>16863</v>
      </c>
      <c r="G144" t="s">
        <v>16442</v>
      </c>
      <c r="H144" t="s">
        <v>16826</v>
      </c>
      <c r="I144" t="s">
        <v>16826</v>
      </c>
      <c r="J144" t="s">
        <v>16388</v>
      </c>
      <c r="L144" t="s">
        <v>16436</v>
      </c>
      <c r="M144" s="59">
        <v>12</v>
      </c>
    </row>
    <row r="145" spans="1:14" ht="12.6">
      <c r="A145" t="s">
        <v>16864</v>
      </c>
      <c r="B145" t="s">
        <v>1</v>
      </c>
      <c r="C145" t="s">
        <v>16865</v>
      </c>
      <c r="D145" t="s">
        <v>16482</v>
      </c>
      <c r="E145" t="s">
        <v>4</v>
      </c>
      <c r="F145" t="s">
        <v>16434</v>
      </c>
      <c r="G145" t="s">
        <v>6</v>
      </c>
      <c r="I145" t="s">
        <v>8</v>
      </c>
      <c r="M145" s="59">
        <v>0</v>
      </c>
    </row>
    <row r="146" spans="1:14" ht="12.6">
      <c r="A146" t="s">
        <v>16866</v>
      </c>
      <c r="B146" t="s">
        <v>1</v>
      </c>
      <c r="C146" t="s">
        <v>16867</v>
      </c>
      <c r="D146" t="s">
        <v>16401</v>
      </c>
      <c r="E146" t="s">
        <v>4</v>
      </c>
      <c r="F146" t="s">
        <v>16434</v>
      </c>
      <c r="G146" t="s">
        <v>6</v>
      </c>
      <c r="H146" t="s">
        <v>16868</v>
      </c>
      <c r="I146" t="s">
        <v>16710</v>
      </c>
      <c r="J146" t="s">
        <v>16869</v>
      </c>
      <c r="L146" t="s">
        <v>16436</v>
      </c>
      <c r="M146" s="59">
        <v>1</v>
      </c>
    </row>
    <row r="147" spans="1:14" ht="12.6">
      <c r="A147" t="s">
        <v>16870</v>
      </c>
      <c r="B147" t="s">
        <v>1</v>
      </c>
      <c r="C147" t="s">
        <v>16871</v>
      </c>
      <c r="D147" t="s">
        <v>16482</v>
      </c>
      <c r="E147" t="s">
        <v>4</v>
      </c>
      <c r="F147" t="s">
        <v>16434</v>
      </c>
      <c r="G147" t="s">
        <v>6</v>
      </c>
      <c r="H147" t="s">
        <v>16802</v>
      </c>
      <c r="I147" t="s">
        <v>16710</v>
      </c>
      <c r="J147" t="s">
        <v>16803</v>
      </c>
      <c r="M147" s="59">
        <v>1</v>
      </c>
    </row>
    <row r="148" spans="1:14" ht="12.6">
      <c r="A148" t="s">
        <v>16872</v>
      </c>
      <c r="B148" t="s">
        <v>1</v>
      </c>
      <c r="C148" t="s">
        <v>16873</v>
      </c>
      <c r="D148" t="s">
        <v>16401</v>
      </c>
      <c r="E148" t="s">
        <v>16491</v>
      </c>
      <c r="F148" t="s">
        <v>16434</v>
      </c>
      <c r="G148" t="s">
        <v>6</v>
      </c>
      <c r="H148" t="s">
        <v>16874</v>
      </c>
      <c r="I148" t="s">
        <v>8</v>
      </c>
      <c r="J148" t="s">
        <v>16875</v>
      </c>
      <c r="K148" t="s">
        <v>16491</v>
      </c>
      <c r="L148" t="s">
        <v>16436</v>
      </c>
      <c r="M148" s="59">
        <v>1</v>
      </c>
    </row>
    <row r="149" spans="1:14" ht="12.6">
      <c r="A149" t="s">
        <v>16876</v>
      </c>
      <c r="B149" t="s">
        <v>1</v>
      </c>
      <c r="C149" t="s">
        <v>16877</v>
      </c>
      <c r="D149" t="s">
        <v>16482</v>
      </c>
      <c r="F149" t="s">
        <v>16434</v>
      </c>
      <c r="G149" t="s">
        <v>6</v>
      </c>
      <c r="H149" t="s">
        <v>16878</v>
      </c>
      <c r="I149" t="s">
        <v>16710</v>
      </c>
      <c r="J149" t="s">
        <v>16879</v>
      </c>
      <c r="L149" t="s">
        <v>16436</v>
      </c>
      <c r="M149" s="59">
        <v>1</v>
      </c>
    </row>
    <row r="150" spans="1:14" ht="12.6">
      <c r="A150" t="s">
        <v>16880</v>
      </c>
      <c r="B150" t="s">
        <v>1</v>
      </c>
      <c r="C150" t="s">
        <v>16881</v>
      </c>
      <c r="D150" t="s">
        <v>16401</v>
      </c>
      <c r="E150" t="s">
        <v>16491</v>
      </c>
      <c r="F150" t="s">
        <v>16434</v>
      </c>
      <c r="G150" t="s">
        <v>6</v>
      </c>
      <c r="H150" t="s">
        <v>16882</v>
      </c>
      <c r="I150" t="s">
        <v>16710</v>
      </c>
      <c r="J150" t="s">
        <v>16883</v>
      </c>
      <c r="L150" t="s">
        <v>16436</v>
      </c>
      <c r="M150" s="59">
        <v>1</v>
      </c>
      <c r="N150" t="s">
        <v>16389</v>
      </c>
    </row>
    <row r="151" spans="1:14" ht="12.6">
      <c r="A151" t="s">
        <v>16884</v>
      </c>
      <c r="B151" t="s">
        <v>1</v>
      </c>
      <c r="C151" t="s">
        <v>16885</v>
      </c>
      <c r="D151" t="s">
        <v>16401</v>
      </c>
      <c r="E151" t="s">
        <v>16886</v>
      </c>
      <c r="F151" t="s">
        <v>16434</v>
      </c>
      <c r="G151" t="s">
        <v>6</v>
      </c>
      <c r="H151" t="s">
        <v>16887</v>
      </c>
      <c r="I151" t="s">
        <v>16710</v>
      </c>
      <c r="J151" t="s">
        <v>16888</v>
      </c>
      <c r="L151" t="s">
        <v>16436</v>
      </c>
      <c r="M151" s="59">
        <v>100</v>
      </c>
      <c r="N151" t="s">
        <v>16389</v>
      </c>
    </row>
    <row r="152" spans="1:14" ht="12.6">
      <c r="A152" t="s">
        <v>16889</v>
      </c>
      <c r="B152" t="s">
        <v>1</v>
      </c>
      <c r="C152" t="s">
        <v>16890</v>
      </c>
      <c r="D152" t="s">
        <v>16401</v>
      </c>
      <c r="E152" t="s">
        <v>16891</v>
      </c>
      <c r="F152" t="s">
        <v>16434</v>
      </c>
      <c r="G152" t="s">
        <v>6</v>
      </c>
      <c r="H152" t="s">
        <v>16892</v>
      </c>
      <c r="I152" t="s">
        <v>16710</v>
      </c>
      <c r="J152" t="s">
        <v>16893</v>
      </c>
      <c r="L152" t="s">
        <v>16436</v>
      </c>
      <c r="M152" s="59">
        <v>1</v>
      </c>
      <c r="N152" t="s">
        <v>16389</v>
      </c>
    </row>
    <row r="153" spans="1:14" ht="12.6">
      <c r="A153" t="s">
        <v>16894</v>
      </c>
      <c r="B153" t="s">
        <v>1</v>
      </c>
      <c r="C153" t="s">
        <v>16895</v>
      </c>
      <c r="D153" t="s">
        <v>16482</v>
      </c>
      <c r="E153" t="s">
        <v>16896</v>
      </c>
      <c r="F153" t="s">
        <v>16434</v>
      </c>
      <c r="G153" t="s">
        <v>6</v>
      </c>
      <c r="H153" t="s">
        <v>16897</v>
      </c>
      <c r="I153" t="s">
        <v>16710</v>
      </c>
      <c r="J153" t="s">
        <v>16898</v>
      </c>
      <c r="L153" t="s">
        <v>16436</v>
      </c>
      <c r="M153" s="59">
        <v>1</v>
      </c>
      <c r="N153" t="s">
        <v>16389</v>
      </c>
    </row>
    <row r="154" spans="1:14" ht="12.6">
      <c r="A154" t="s">
        <v>16899</v>
      </c>
      <c r="B154" t="s">
        <v>1</v>
      </c>
      <c r="C154" t="s">
        <v>16900</v>
      </c>
      <c r="D154" t="s">
        <v>3</v>
      </c>
      <c r="E154" t="s">
        <v>16901</v>
      </c>
      <c r="F154" t="s">
        <v>16902</v>
      </c>
      <c r="G154" t="s">
        <v>6</v>
      </c>
      <c r="H154" t="s">
        <v>16903</v>
      </c>
      <c r="I154" t="s">
        <v>16393</v>
      </c>
      <c r="J154" t="s">
        <v>16388</v>
      </c>
      <c r="L154" t="s">
        <v>16436</v>
      </c>
      <c r="M154" s="59">
        <v>150</v>
      </c>
      <c r="N154" t="s">
        <v>16389</v>
      </c>
    </row>
    <row r="155" spans="1:14" ht="12.6">
      <c r="A155" t="s">
        <v>16904</v>
      </c>
      <c r="B155" t="s">
        <v>1</v>
      </c>
      <c r="C155" t="s">
        <v>16905</v>
      </c>
      <c r="D155" t="s">
        <v>16482</v>
      </c>
      <c r="E155" t="s">
        <v>16906</v>
      </c>
      <c r="F155" t="s">
        <v>16434</v>
      </c>
      <c r="G155" t="s">
        <v>6</v>
      </c>
      <c r="H155" t="s">
        <v>16907</v>
      </c>
      <c r="I155" t="s">
        <v>16710</v>
      </c>
      <c r="J155" t="s">
        <v>16908</v>
      </c>
      <c r="L155" t="s">
        <v>16436</v>
      </c>
      <c r="M155" s="59">
        <v>1</v>
      </c>
      <c r="N155" t="s">
        <v>16389</v>
      </c>
    </row>
    <row r="156" spans="1:14" ht="12.6">
      <c r="A156" t="s">
        <v>16909</v>
      </c>
      <c r="B156" t="s">
        <v>1</v>
      </c>
      <c r="C156" t="s">
        <v>16910</v>
      </c>
      <c r="D156" t="s">
        <v>16401</v>
      </c>
      <c r="E156" t="s">
        <v>16911</v>
      </c>
      <c r="F156" t="s">
        <v>16434</v>
      </c>
      <c r="G156" t="s">
        <v>6</v>
      </c>
      <c r="H156" t="s">
        <v>16912</v>
      </c>
      <c r="I156" t="s">
        <v>16710</v>
      </c>
      <c r="J156" t="s">
        <v>16913</v>
      </c>
      <c r="L156" t="s">
        <v>16436</v>
      </c>
      <c r="M156" s="59">
        <v>1</v>
      </c>
      <c r="N156" t="s">
        <v>16389</v>
      </c>
    </row>
    <row r="157" spans="1:14" ht="12.6">
      <c r="A157" t="s">
        <v>16914</v>
      </c>
      <c r="B157" t="s">
        <v>1</v>
      </c>
      <c r="C157" t="s">
        <v>16915</v>
      </c>
      <c r="D157" t="s">
        <v>3</v>
      </c>
      <c r="E157" t="s">
        <v>16916</v>
      </c>
      <c r="F157" t="s">
        <v>16917</v>
      </c>
      <c r="G157" t="s">
        <v>6</v>
      </c>
      <c r="H157" t="s">
        <v>16918</v>
      </c>
      <c r="I157" t="s">
        <v>16393</v>
      </c>
      <c r="J157" t="s">
        <v>16388</v>
      </c>
      <c r="L157" t="s">
        <v>16436</v>
      </c>
      <c r="M157" s="59">
        <v>150</v>
      </c>
      <c r="N157" t="s">
        <v>16389</v>
      </c>
    </row>
    <row r="158" spans="1:14" ht="12.6">
      <c r="A158" t="s">
        <v>16919</v>
      </c>
      <c r="B158" t="s">
        <v>1</v>
      </c>
      <c r="C158" t="s">
        <v>16920</v>
      </c>
      <c r="D158" t="s">
        <v>16401</v>
      </c>
      <c r="E158" t="s">
        <v>16921</v>
      </c>
      <c r="F158" t="s">
        <v>16434</v>
      </c>
      <c r="G158" t="s">
        <v>6</v>
      </c>
      <c r="H158" t="s">
        <v>16922</v>
      </c>
      <c r="I158" t="s">
        <v>16710</v>
      </c>
      <c r="J158" t="s">
        <v>16923</v>
      </c>
      <c r="L158" t="s">
        <v>16436</v>
      </c>
      <c r="M158" s="59">
        <v>1</v>
      </c>
      <c r="N158" t="s">
        <v>16389</v>
      </c>
    </row>
    <row r="159" spans="1:14" ht="12.6">
      <c r="A159" t="s">
        <v>16924</v>
      </c>
      <c r="B159" t="s">
        <v>1</v>
      </c>
      <c r="C159" t="s">
        <v>16925</v>
      </c>
      <c r="D159" t="s">
        <v>16482</v>
      </c>
      <c r="E159" t="s">
        <v>16926</v>
      </c>
      <c r="F159" t="s">
        <v>16434</v>
      </c>
      <c r="G159" t="s">
        <v>6</v>
      </c>
      <c r="H159" t="s">
        <v>16927</v>
      </c>
      <c r="I159" t="s">
        <v>16710</v>
      </c>
      <c r="J159" t="s">
        <v>16778</v>
      </c>
      <c r="L159" t="s">
        <v>16436</v>
      </c>
      <c r="M159" s="59">
        <v>1</v>
      </c>
      <c r="N159" t="s">
        <v>16389</v>
      </c>
    </row>
    <row r="160" spans="1:14" ht="12.6">
      <c r="A160" t="s">
        <v>16928</v>
      </c>
      <c r="B160" t="s">
        <v>1</v>
      </c>
      <c r="C160" t="s">
        <v>16929</v>
      </c>
      <c r="D160" t="s">
        <v>16482</v>
      </c>
      <c r="E160" t="s">
        <v>16930</v>
      </c>
      <c r="F160" t="s">
        <v>16931</v>
      </c>
      <c r="G160" t="s">
        <v>6</v>
      </c>
      <c r="H160" t="s">
        <v>16932</v>
      </c>
      <c r="I160" t="s">
        <v>16710</v>
      </c>
      <c r="J160" t="s">
        <v>16388</v>
      </c>
      <c r="L160" t="s">
        <v>16436</v>
      </c>
      <c r="M160" s="59">
        <v>1</v>
      </c>
      <c r="N160" t="s">
        <v>16389</v>
      </c>
    </row>
    <row r="161" spans="1:14" ht="12.6">
      <c r="A161" t="s">
        <v>16933</v>
      </c>
      <c r="B161" t="s">
        <v>1</v>
      </c>
      <c r="C161" t="s">
        <v>16934</v>
      </c>
      <c r="D161" t="s">
        <v>16482</v>
      </c>
      <c r="E161" t="s">
        <v>16935</v>
      </c>
      <c r="F161" t="s">
        <v>16434</v>
      </c>
      <c r="G161" t="s">
        <v>6</v>
      </c>
      <c r="H161" t="s">
        <v>16936</v>
      </c>
      <c r="I161" t="s">
        <v>16710</v>
      </c>
      <c r="J161" t="s">
        <v>16778</v>
      </c>
      <c r="L161" t="s">
        <v>16436</v>
      </c>
      <c r="M161" s="59">
        <v>1</v>
      </c>
      <c r="N161" t="s">
        <v>16389</v>
      </c>
    </row>
    <row r="162" spans="1:14" ht="12.6">
      <c r="A162" t="s">
        <v>16937</v>
      </c>
      <c r="B162" t="s">
        <v>1</v>
      </c>
      <c r="C162" t="s">
        <v>16938</v>
      </c>
      <c r="D162" t="s">
        <v>3</v>
      </c>
      <c r="E162" t="s">
        <v>16939</v>
      </c>
      <c r="F162" t="s">
        <v>16940</v>
      </c>
      <c r="G162" t="s">
        <v>6</v>
      </c>
      <c r="H162" t="s">
        <v>16941</v>
      </c>
      <c r="I162" t="s">
        <v>16826</v>
      </c>
      <c r="J162" t="s">
        <v>16388</v>
      </c>
      <c r="L162" t="s">
        <v>16436</v>
      </c>
      <c r="M162" s="59">
        <v>1</v>
      </c>
      <c r="N162" t="s">
        <v>16389</v>
      </c>
    </row>
    <row r="163" spans="1:14" ht="12.6">
      <c r="A163" t="s">
        <v>16942</v>
      </c>
      <c r="B163" t="s">
        <v>1</v>
      </c>
      <c r="C163" t="s">
        <v>16943</v>
      </c>
      <c r="D163" t="s">
        <v>16401</v>
      </c>
      <c r="E163" t="s">
        <v>16944</v>
      </c>
      <c r="F163" t="s">
        <v>16434</v>
      </c>
      <c r="G163" t="s">
        <v>6</v>
      </c>
      <c r="H163" t="s">
        <v>16945</v>
      </c>
      <c r="I163" t="s">
        <v>16710</v>
      </c>
      <c r="J163" t="s">
        <v>16946</v>
      </c>
      <c r="L163" t="s">
        <v>16436</v>
      </c>
      <c r="M163" s="59">
        <v>1</v>
      </c>
      <c r="N163" t="s">
        <v>16389</v>
      </c>
    </row>
    <row r="164" spans="1:14" ht="12.6">
      <c r="A164" t="s">
        <v>16947</v>
      </c>
      <c r="B164" t="s">
        <v>1</v>
      </c>
      <c r="C164" t="s">
        <v>16948</v>
      </c>
      <c r="D164" t="s">
        <v>16482</v>
      </c>
      <c r="E164" t="s">
        <v>16949</v>
      </c>
      <c r="F164" t="s">
        <v>16434</v>
      </c>
      <c r="G164" t="s">
        <v>6</v>
      </c>
      <c r="H164" t="s">
        <v>16950</v>
      </c>
      <c r="I164" t="s">
        <v>16710</v>
      </c>
      <c r="J164" t="s">
        <v>16951</v>
      </c>
      <c r="L164" t="s">
        <v>16436</v>
      </c>
      <c r="M164" s="59">
        <v>1</v>
      </c>
      <c r="N164" t="s">
        <v>16389</v>
      </c>
    </row>
    <row r="165" spans="1:14" ht="12.6">
      <c r="A165" t="s">
        <v>16952</v>
      </c>
      <c r="B165" t="s">
        <v>1</v>
      </c>
      <c r="C165" t="s">
        <v>16953</v>
      </c>
      <c r="D165" t="s">
        <v>3</v>
      </c>
      <c r="E165" t="s">
        <v>16954</v>
      </c>
      <c r="F165" t="s">
        <v>16955</v>
      </c>
      <c r="G165" t="s">
        <v>6</v>
      </c>
      <c r="H165" t="s">
        <v>16956</v>
      </c>
      <c r="I165" t="s">
        <v>16710</v>
      </c>
      <c r="J165" t="s">
        <v>16388</v>
      </c>
      <c r="K165" t="s">
        <v>16954</v>
      </c>
      <c r="L165" t="s">
        <v>16436</v>
      </c>
      <c r="M165" s="59">
        <v>8</v>
      </c>
      <c r="N165" t="s">
        <v>16389</v>
      </c>
    </row>
    <row r="166" spans="1:14" ht="12.6">
      <c r="A166" t="s">
        <v>16957</v>
      </c>
      <c r="B166" t="s">
        <v>1</v>
      </c>
      <c r="C166" t="s">
        <v>16958</v>
      </c>
      <c r="D166" t="s">
        <v>16401</v>
      </c>
      <c r="F166" t="s">
        <v>16434</v>
      </c>
      <c r="G166" t="s">
        <v>6</v>
      </c>
      <c r="H166" t="s">
        <v>16959</v>
      </c>
      <c r="I166" t="s">
        <v>16710</v>
      </c>
      <c r="J166" t="s">
        <v>16960</v>
      </c>
      <c r="L166" t="s">
        <v>16436</v>
      </c>
      <c r="M166" s="59">
        <v>100</v>
      </c>
      <c r="N166" t="s">
        <v>16389</v>
      </c>
    </row>
    <row r="167" spans="1:14" ht="12.6">
      <c r="A167" t="s">
        <v>16961</v>
      </c>
      <c r="B167" t="s">
        <v>1</v>
      </c>
      <c r="C167" t="s">
        <v>16962</v>
      </c>
      <c r="D167" t="s">
        <v>3</v>
      </c>
      <c r="F167" t="s">
        <v>16963</v>
      </c>
      <c r="G167" t="s">
        <v>6</v>
      </c>
      <c r="H167" t="s">
        <v>16964</v>
      </c>
      <c r="I167" t="s">
        <v>16393</v>
      </c>
      <c r="J167" t="s">
        <v>16388</v>
      </c>
      <c r="L167" t="s">
        <v>16436</v>
      </c>
      <c r="M167" s="59">
        <v>150</v>
      </c>
      <c r="N167" t="s">
        <v>16389</v>
      </c>
    </row>
    <row r="168" spans="1:14" ht="12.6">
      <c r="A168" t="s">
        <v>16965</v>
      </c>
      <c r="B168" t="s">
        <v>1</v>
      </c>
      <c r="C168" t="s">
        <v>16966</v>
      </c>
      <c r="D168" t="s">
        <v>3</v>
      </c>
      <c r="E168" t="s">
        <v>16967</v>
      </c>
      <c r="F168" t="s">
        <v>16968</v>
      </c>
      <c r="G168" t="s">
        <v>6</v>
      </c>
      <c r="H168" t="s">
        <v>16969</v>
      </c>
      <c r="I168" t="s">
        <v>16970</v>
      </c>
      <c r="J168" t="s">
        <v>16388</v>
      </c>
      <c r="K168" t="s">
        <v>16971</v>
      </c>
      <c r="L168" t="s">
        <v>16436</v>
      </c>
      <c r="M168" s="59">
        <v>150</v>
      </c>
      <c r="N168" t="s">
        <v>16389</v>
      </c>
    </row>
    <row r="169" spans="1:14" ht="12.6">
      <c r="A169" t="s">
        <v>16972</v>
      </c>
      <c r="B169" t="s">
        <v>1</v>
      </c>
      <c r="C169" t="s">
        <v>16973</v>
      </c>
      <c r="D169" t="s">
        <v>3</v>
      </c>
      <c r="E169" t="s">
        <v>16974</v>
      </c>
      <c r="F169" t="s">
        <v>16975</v>
      </c>
      <c r="G169" t="s">
        <v>6</v>
      </c>
      <c r="H169" t="s">
        <v>16976</v>
      </c>
      <c r="I169" t="s">
        <v>16710</v>
      </c>
      <c r="J169" t="s">
        <v>16388</v>
      </c>
      <c r="L169" t="s">
        <v>16436</v>
      </c>
      <c r="M169" s="59">
        <v>150</v>
      </c>
      <c r="N169" t="s">
        <v>16389</v>
      </c>
    </row>
    <row r="170" spans="1:14" ht="12.6">
      <c r="A170" t="s">
        <v>16977</v>
      </c>
      <c r="B170" t="s">
        <v>1</v>
      </c>
      <c r="C170" t="s">
        <v>16978</v>
      </c>
      <c r="D170" t="s">
        <v>16401</v>
      </c>
      <c r="E170" t="s">
        <v>16979</v>
      </c>
      <c r="F170" t="s">
        <v>16434</v>
      </c>
      <c r="G170" t="s">
        <v>6</v>
      </c>
      <c r="H170" t="s">
        <v>16980</v>
      </c>
      <c r="I170" t="s">
        <v>16710</v>
      </c>
      <c r="J170" t="s">
        <v>16981</v>
      </c>
      <c r="L170" t="s">
        <v>16436</v>
      </c>
      <c r="M170" s="59">
        <v>1</v>
      </c>
      <c r="N170" t="s">
        <v>16389</v>
      </c>
    </row>
    <row r="171" spans="1:14" ht="12.6">
      <c r="A171" t="s">
        <v>16982</v>
      </c>
      <c r="B171" t="s">
        <v>1</v>
      </c>
      <c r="C171" t="s">
        <v>16983</v>
      </c>
      <c r="D171" t="s">
        <v>16401</v>
      </c>
      <c r="E171" t="s">
        <v>16984</v>
      </c>
      <c r="F171" t="s">
        <v>16434</v>
      </c>
      <c r="G171" t="s">
        <v>6</v>
      </c>
      <c r="H171" t="s">
        <v>16985</v>
      </c>
      <c r="I171" t="s">
        <v>16710</v>
      </c>
      <c r="J171" t="s">
        <v>16986</v>
      </c>
      <c r="L171" t="s">
        <v>16436</v>
      </c>
      <c r="M171" s="59">
        <v>1</v>
      </c>
      <c r="N171" t="s">
        <v>16389</v>
      </c>
    </row>
    <row r="172" spans="1:14" ht="12.6">
      <c r="A172" t="s">
        <v>16987</v>
      </c>
      <c r="B172" t="s">
        <v>1</v>
      </c>
      <c r="C172" t="s">
        <v>16988</v>
      </c>
      <c r="D172" t="s">
        <v>3</v>
      </c>
      <c r="E172" t="s">
        <v>16989</v>
      </c>
      <c r="F172" t="s">
        <v>16434</v>
      </c>
      <c r="G172" t="s">
        <v>16386</v>
      </c>
      <c r="H172" t="s">
        <v>16990</v>
      </c>
      <c r="I172" t="s">
        <v>8</v>
      </c>
      <c r="J172" t="s">
        <v>16388</v>
      </c>
      <c r="L172" t="s">
        <v>16436</v>
      </c>
      <c r="M172" s="59">
        <v>1</v>
      </c>
      <c r="N172" t="s">
        <v>16389</v>
      </c>
    </row>
    <row r="173" spans="1:14" ht="12.6">
      <c r="A173" t="s">
        <v>16991</v>
      </c>
      <c r="B173" t="s">
        <v>1</v>
      </c>
      <c r="C173" t="s">
        <v>16992</v>
      </c>
      <c r="D173" t="s">
        <v>3</v>
      </c>
      <c r="E173" t="s">
        <v>16993</v>
      </c>
      <c r="F173" t="s">
        <v>16994</v>
      </c>
      <c r="G173" t="s">
        <v>6</v>
      </c>
      <c r="H173" t="s">
        <v>16995</v>
      </c>
      <c r="I173" t="s">
        <v>16393</v>
      </c>
      <c r="J173" t="s">
        <v>16388</v>
      </c>
      <c r="L173" t="s">
        <v>16436</v>
      </c>
      <c r="M173" s="59">
        <v>150</v>
      </c>
      <c r="N173" t="s">
        <v>16389</v>
      </c>
    </row>
    <row r="174" spans="1:14" ht="12.6">
      <c r="A174" t="s">
        <v>16996</v>
      </c>
      <c r="B174" t="s">
        <v>1</v>
      </c>
      <c r="C174" t="s">
        <v>16997</v>
      </c>
      <c r="D174" t="s">
        <v>16482</v>
      </c>
      <c r="E174" t="s">
        <v>16998</v>
      </c>
      <c r="F174" t="s">
        <v>16434</v>
      </c>
      <c r="G174" t="s">
        <v>6</v>
      </c>
      <c r="H174" t="s">
        <v>16999</v>
      </c>
      <c r="I174" t="s">
        <v>16710</v>
      </c>
      <c r="J174" t="s">
        <v>16782</v>
      </c>
      <c r="L174" t="s">
        <v>16436</v>
      </c>
      <c r="M174" s="59">
        <v>1</v>
      </c>
      <c r="N174" t="s">
        <v>16389</v>
      </c>
    </row>
    <row r="175" spans="1:14" ht="12.6">
      <c r="A175" t="s">
        <v>17000</v>
      </c>
      <c r="B175" t="s">
        <v>1</v>
      </c>
      <c r="C175" t="s">
        <v>17001</v>
      </c>
      <c r="D175" t="s">
        <v>16401</v>
      </c>
      <c r="F175" t="s">
        <v>16434</v>
      </c>
      <c r="G175" t="s">
        <v>6</v>
      </c>
      <c r="H175" t="s">
        <v>17002</v>
      </c>
      <c r="I175" t="s">
        <v>16710</v>
      </c>
      <c r="J175" t="s">
        <v>17003</v>
      </c>
      <c r="L175" t="s">
        <v>16436</v>
      </c>
      <c r="M175" s="59">
        <v>10</v>
      </c>
      <c r="N175" t="s">
        <v>16389</v>
      </c>
    </row>
    <row r="176" spans="1:14" ht="12.6">
      <c r="A176" t="s">
        <v>17004</v>
      </c>
      <c r="B176" t="s">
        <v>1</v>
      </c>
      <c r="C176" t="s">
        <v>17005</v>
      </c>
      <c r="D176" t="s">
        <v>16482</v>
      </c>
      <c r="F176" t="s">
        <v>16434</v>
      </c>
      <c r="G176" t="s">
        <v>6</v>
      </c>
      <c r="H176" t="s">
        <v>17006</v>
      </c>
      <c r="I176" t="s">
        <v>16710</v>
      </c>
      <c r="J176" t="s">
        <v>17007</v>
      </c>
      <c r="L176" t="s">
        <v>16436</v>
      </c>
      <c r="M176" s="59">
        <v>130</v>
      </c>
      <c r="N176" t="s">
        <v>16389</v>
      </c>
    </row>
    <row r="177" spans="1:14" ht="12.6">
      <c r="A177" t="s">
        <v>17008</v>
      </c>
      <c r="B177" t="s">
        <v>1</v>
      </c>
      <c r="C177" t="s">
        <v>17009</v>
      </c>
      <c r="D177" t="s">
        <v>16482</v>
      </c>
      <c r="F177" t="s">
        <v>16434</v>
      </c>
      <c r="G177" t="s">
        <v>6</v>
      </c>
      <c r="H177" t="s">
        <v>17010</v>
      </c>
      <c r="I177" t="s">
        <v>16710</v>
      </c>
      <c r="J177" t="s">
        <v>17011</v>
      </c>
      <c r="L177" t="s">
        <v>16436</v>
      </c>
      <c r="M177" s="59">
        <v>120</v>
      </c>
      <c r="N177" t="s">
        <v>16389</v>
      </c>
    </row>
    <row r="178" spans="1:14" ht="12.6">
      <c r="A178" t="s">
        <v>17012</v>
      </c>
      <c r="B178" t="s">
        <v>1</v>
      </c>
      <c r="C178" t="s">
        <v>17013</v>
      </c>
      <c r="D178" t="s">
        <v>16482</v>
      </c>
      <c r="E178" t="s">
        <v>17014</v>
      </c>
      <c r="F178" t="s">
        <v>16434</v>
      </c>
      <c r="G178" t="s">
        <v>6</v>
      </c>
      <c r="H178" t="s">
        <v>17015</v>
      </c>
      <c r="I178" t="s">
        <v>16710</v>
      </c>
      <c r="J178" t="s">
        <v>17016</v>
      </c>
      <c r="L178" t="s">
        <v>16436</v>
      </c>
      <c r="M178" s="59">
        <v>120</v>
      </c>
      <c r="N178" t="s">
        <v>16389</v>
      </c>
    </row>
    <row r="179" spans="1:14" ht="12.6">
      <c r="A179" t="s">
        <v>17017</v>
      </c>
      <c r="B179" t="s">
        <v>1</v>
      </c>
      <c r="C179" t="s">
        <v>17018</v>
      </c>
      <c r="D179" t="s">
        <v>3</v>
      </c>
      <c r="F179" t="s">
        <v>17019</v>
      </c>
      <c r="G179" t="s">
        <v>6</v>
      </c>
      <c r="H179" t="s">
        <v>17020</v>
      </c>
      <c r="I179" t="s">
        <v>16710</v>
      </c>
      <c r="J179" t="s">
        <v>16388</v>
      </c>
      <c r="L179" t="s">
        <v>16436</v>
      </c>
      <c r="M179" s="59">
        <v>120</v>
      </c>
      <c r="N179" t="s">
        <v>16389</v>
      </c>
    </row>
    <row r="180" spans="1:14" ht="12.6">
      <c r="A180" t="s">
        <v>17021</v>
      </c>
      <c r="B180" t="s">
        <v>1</v>
      </c>
      <c r="C180" t="s">
        <v>17022</v>
      </c>
      <c r="D180" t="s">
        <v>3</v>
      </c>
      <c r="E180" t="s">
        <v>17023</v>
      </c>
      <c r="F180" t="s">
        <v>16434</v>
      </c>
      <c r="G180" t="s">
        <v>6</v>
      </c>
      <c r="H180" t="s">
        <v>17024</v>
      </c>
      <c r="I180" t="s">
        <v>16710</v>
      </c>
      <c r="J180" t="s">
        <v>16388</v>
      </c>
      <c r="L180" t="s">
        <v>16436</v>
      </c>
      <c r="M180" s="59">
        <v>200</v>
      </c>
      <c r="N180" t="s">
        <v>16389</v>
      </c>
    </row>
    <row r="181" spans="1:14" ht="12.6">
      <c r="A181" t="s">
        <v>17025</v>
      </c>
      <c r="B181" t="s">
        <v>1</v>
      </c>
      <c r="C181" t="s">
        <v>17026</v>
      </c>
      <c r="D181" t="s">
        <v>3</v>
      </c>
      <c r="E181" t="s">
        <v>17027</v>
      </c>
      <c r="F181" t="s">
        <v>17028</v>
      </c>
      <c r="G181" t="s">
        <v>6</v>
      </c>
      <c r="H181" t="s">
        <v>17029</v>
      </c>
      <c r="I181" t="s">
        <v>16710</v>
      </c>
      <c r="J181" t="s">
        <v>16388</v>
      </c>
      <c r="K181" t="s">
        <v>17030</v>
      </c>
      <c r="L181" t="s">
        <v>16436</v>
      </c>
      <c r="M181" s="59">
        <v>200</v>
      </c>
      <c r="N181" t="s">
        <v>16389</v>
      </c>
    </row>
    <row r="182" spans="1:14" ht="12.6">
      <c r="A182" t="s">
        <v>17031</v>
      </c>
      <c r="B182" t="s">
        <v>1</v>
      </c>
      <c r="C182" t="s">
        <v>17032</v>
      </c>
      <c r="D182" t="s">
        <v>16401</v>
      </c>
      <c r="E182" t="s">
        <v>17033</v>
      </c>
      <c r="F182" t="s">
        <v>17034</v>
      </c>
      <c r="G182" t="s">
        <v>6</v>
      </c>
      <c r="H182" t="s">
        <v>17035</v>
      </c>
      <c r="I182" t="s">
        <v>16710</v>
      </c>
      <c r="J182" t="s">
        <v>16388</v>
      </c>
      <c r="L182" t="s">
        <v>16436</v>
      </c>
      <c r="M182" s="59">
        <v>1</v>
      </c>
      <c r="N182" t="s">
        <v>16389</v>
      </c>
    </row>
    <row r="183" spans="1:14" ht="12.6">
      <c r="A183" t="s">
        <v>17036</v>
      </c>
      <c r="B183" t="s">
        <v>1</v>
      </c>
      <c r="C183" t="s">
        <v>17037</v>
      </c>
      <c r="D183" t="s">
        <v>16401</v>
      </c>
      <c r="E183" t="s">
        <v>16491</v>
      </c>
      <c r="F183" t="s">
        <v>16434</v>
      </c>
      <c r="G183" t="s">
        <v>6</v>
      </c>
      <c r="H183" t="s">
        <v>17038</v>
      </c>
      <c r="I183" t="s">
        <v>16710</v>
      </c>
      <c r="J183" t="s">
        <v>17039</v>
      </c>
      <c r="L183" t="s">
        <v>16436</v>
      </c>
      <c r="M183" s="59">
        <v>1</v>
      </c>
      <c r="N183" t="s">
        <v>16389</v>
      </c>
    </row>
    <row r="184" spans="1:14" ht="12.6">
      <c r="A184" t="s">
        <v>17040</v>
      </c>
      <c r="B184" t="s">
        <v>1</v>
      </c>
      <c r="C184" t="s">
        <v>17041</v>
      </c>
      <c r="D184" t="s">
        <v>16482</v>
      </c>
      <c r="E184" t="s">
        <v>17042</v>
      </c>
      <c r="F184" t="s">
        <v>16434</v>
      </c>
      <c r="G184" t="s">
        <v>6</v>
      </c>
      <c r="H184" t="s">
        <v>17043</v>
      </c>
      <c r="I184" t="s">
        <v>16710</v>
      </c>
      <c r="J184" t="s">
        <v>17044</v>
      </c>
      <c r="L184" t="s">
        <v>16436</v>
      </c>
      <c r="M184" s="59">
        <v>1</v>
      </c>
      <c r="N184" t="s">
        <v>16389</v>
      </c>
    </row>
    <row r="185" spans="1:14" ht="12.6">
      <c r="A185" t="s">
        <v>17045</v>
      </c>
      <c r="B185" t="s">
        <v>1</v>
      </c>
      <c r="C185" t="s">
        <v>17046</v>
      </c>
      <c r="D185" t="s">
        <v>3</v>
      </c>
      <c r="E185" t="s">
        <v>17047</v>
      </c>
      <c r="F185" t="s">
        <v>16434</v>
      </c>
      <c r="G185" t="s">
        <v>6</v>
      </c>
      <c r="H185" t="s">
        <v>16540</v>
      </c>
      <c r="I185" t="s">
        <v>16710</v>
      </c>
      <c r="J185" t="s">
        <v>16787</v>
      </c>
      <c r="L185" t="s">
        <v>16436</v>
      </c>
      <c r="M185" s="59">
        <v>1</v>
      </c>
      <c r="N185" t="s">
        <v>16389</v>
      </c>
    </row>
    <row r="186" spans="1:14" ht="12.6">
      <c r="A186" t="s">
        <v>17048</v>
      </c>
      <c r="B186" t="s">
        <v>1</v>
      </c>
      <c r="C186" t="s">
        <v>17049</v>
      </c>
      <c r="D186" t="s">
        <v>16482</v>
      </c>
      <c r="E186" t="s">
        <v>17050</v>
      </c>
      <c r="F186" t="s">
        <v>16434</v>
      </c>
      <c r="G186" t="s">
        <v>6</v>
      </c>
      <c r="H186" t="s">
        <v>17051</v>
      </c>
      <c r="I186" t="s">
        <v>16710</v>
      </c>
      <c r="J186" t="s">
        <v>17052</v>
      </c>
      <c r="L186" t="s">
        <v>16436</v>
      </c>
      <c r="M186" s="59">
        <v>1</v>
      </c>
      <c r="N186" t="s">
        <v>16389</v>
      </c>
    </row>
    <row r="187" spans="1:14" ht="12.6">
      <c r="A187" t="s">
        <v>17053</v>
      </c>
      <c r="B187" t="s">
        <v>1</v>
      </c>
      <c r="C187" t="s">
        <v>17054</v>
      </c>
      <c r="D187" t="s">
        <v>16401</v>
      </c>
      <c r="E187" t="s">
        <v>17055</v>
      </c>
      <c r="F187" t="s">
        <v>16434</v>
      </c>
      <c r="G187" t="s">
        <v>6</v>
      </c>
      <c r="H187" t="s">
        <v>17056</v>
      </c>
      <c r="I187" t="s">
        <v>16710</v>
      </c>
      <c r="J187" t="s">
        <v>17057</v>
      </c>
      <c r="L187" t="s">
        <v>16436</v>
      </c>
      <c r="M187" s="59">
        <v>1</v>
      </c>
      <c r="N187" t="s">
        <v>16389</v>
      </c>
    </row>
    <row r="188" spans="1:14" ht="12.6">
      <c r="A188" t="s">
        <v>17058</v>
      </c>
      <c r="B188" t="s">
        <v>1</v>
      </c>
      <c r="C188" t="s">
        <v>17059</v>
      </c>
      <c r="D188" t="s">
        <v>3</v>
      </c>
      <c r="E188" t="s">
        <v>17060</v>
      </c>
      <c r="F188" t="s">
        <v>16434</v>
      </c>
      <c r="G188" t="s">
        <v>6</v>
      </c>
      <c r="H188" t="s">
        <v>17061</v>
      </c>
      <c r="I188" t="s">
        <v>16826</v>
      </c>
      <c r="J188" t="s">
        <v>16388</v>
      </c>
      <c r="K188" t="s">
        <v>17060</v>
      </c>
      <c r="L188" t="s">
        <v>16436</v>
      </c>
      <c r="M188" s="59">
        <v>1</v>
      </c>
      <c r="N188" t="s">
        <v>16389</v>
      </c>
    </row>
    <row r="189" spans="1:14" ht="12.6">
      <c r="A189" t="s">
        <v>17062</v>
      </c>
      <c r="B189" t="s">
        <v>1</v>
      </c>
      <c r="C189" t="s">
        <v>17063</v>
      </c>
      <c r="D189" t="s">
        <v>3</v>
      </c>
      <c r="E189" t="s">
        <v>17064</v>
      </c>
      <c r="F189" t="s">
        <v>16434</v>
      </c>
      <c r="G189" t="s">
        <v>6</v>
      </c>
      <c r="H189" t="s">
        <v>16540</v>
      </c>
      <c r="I189" t="s">
        <v>16710</v>
      </c>
      <c r="J189" t="s">
        <v>16787</v>
      </c>
      <c r="L189" t="s">
        <v>16436</v>
      </c>
      <c r="M189" s="59">
        <v>1</v>
      </c>
      <c r="N189" t="s">
        <v>16389</v>
      </c>
    </row>
    <row r="190" spans="1:14" ht="12.6">
      <c r="A190" t="s">
        <v>17065</v>
      </c>
      <c r="B190" t="s">
        <v>1</v>
      </c>
      <c r="C190" t="s">
        <v>17066</v>
      </c>
      <c r="D190" t="s">
        <v>3</v>
      </c>
      <c r="E190" t="s">
        <v>17067</v>
      </c>
      <c r="F190" t="s">
        <v>16434</v>
      </c>
      <c r="G190" t="s">
        <v>6</v>
      </c>
      <c r="H190" t="s">
        <v>17068</v>
      </c>
      <c r="I190" t="s">
        <v>16710</v>
      </c>
      <c r="J190" t="s">
        <v>17069</v>
      </c>
      <c r="L190" t="s">
        <v>16436</v>
      </c>
      <c r="M190" s="59">
        <v>1</v>
      </c>
      <c r="N190" t="s">
        <v>16389</v>
      </c>
    </row>
    <row r="191" spans="1:14" ht="12.6">
      <c r="A191" t="s">
        <v>17070</v>
      </c>
      <c r="B191" t="s">
        <v>1</v>
      </c>
      <c r="C191" t="s">
        <v>17071</v>
      </c>
      <c r="D191" t="s">
        <v>16482</v>
      </c>
      <c r="E191" t="s">
        <v>17072</v>
      </c>
      <c r="F191" t="s">
        <v>16434</v>
      </c>
      <c r="G191" t="s">
        <v>6</v>
      </c>
      <c r="H191" t="s">
        <v>17073</v>
      </c>
      <c r="I191" t="s">
        <v>16710</v>
      </c>
      <c r="J191" t="s">
        <v>17074</v>
      </c>
      <c r="L191" t="s">
        <v>16436</v>
      </c>
      <c r="M191" s="59">
        <v>1</v>
      </c>
      <c r="N191" t="s">
        <v>16389</v>
      </c>
    </row>
    <row r="192" spans="1:14" ht="12.6">
      <c r="A192" t="s">
        <v>17075</v>
      </c>
      <c r="B192" t="s">
        <v>1</v>
      </c>
      <c r="C192" t="s">
        <v>17076</v>
      </c>
      <c r="D192" t="s">
        <v>16482</v>
      </c>
      <c r="E192" t="s">
        <v>17077</v>
      </c>
      <c r="F192" t="s">
        <v>16434</v>
      </c>
      <c r="G192" t="s">
        <v>6</v>
      </c>
      <c r="H192" t="s">
        <v>17078</v>
      </c>
      <c r="I192" t="s">
        <v>16710</v>
      </c>
      <c r="J192" t="s">
        <v>17079</v>
      </c>
      <c r="L192" t="s">
        <v>16436</v>
      </c>
      <c r="M192" s="59">
        <v>1</v>
      </c>
      <c r="N192" t="s">
        <v>16389</v>
      </c>
    </row>
    <row r="193" spans="1:14" ht="12.6">
      <c r="A193" t="s">
        <v>17080</v>
      </c>
      <c r="B193" t="s">
        <v>1</v>
      </c>
      <c r="C193" t="s">
        <v>17081</v>
      </c>
      <c r="D193" t="s">
        <v>3</v>
      </c>
      <c r="E193" t="s">
        <v>17082</v>
      </c>
      <c r="F193" t="s">
        <v>17083</v>
      </c>
      <c r="G193" t="s">
        <v>6</v>
      </c>
      <c r="H193" t="s">
        <v>17084</v>
      </c>
      <c r="I193" t="s">
        <v>16710</v>
      </c>
      <c r="J193" t="s">
        <v>16388</v>
      </c>
      <c r="K193" t="s">
        <v>17085</v>
      </c>
      <c r="L193" t="s">
        <v>16436</v>
      </c>
      <c r="M193" s="59">
        <v>150</v>
      </c>
      <c r="N193" t="s">
        <v>16389</v>
      </c>
    </row>
    <row r="194" spans="1:14" ht="12.6">
      <c r="A194" t="s">
        <v>17086</v>
      </c>
      <c r="B194" t="s">
        <v>1</v>
      </c>
      <c r="C194" t="s">
        <v>17087</v>
      </c>
      <c r="D194" t="s">
        <v>16482</v>
      </c>
      <c r="E194" t="s">
        <v>17088</v>
      </c>
      <c r="F194" t="s">
        <v>17089</v>
      </c>
      <c r="G194" t="s">
        <v>6</v>
      </c>
      <c r="H194" t="s">
        <v>17090</v>
      </c>
      <c r="I194" t="s">
        <v>16826</v>
      </c>
      <c r="J194" t="s">
        <v>16388</v>
      </c>
      <c r="K194" t="s">
        <v>17091</v>
      </c>
      <c r="L194" t="s">
        <v>16436</v>
      </c>
      <c r="M194" s="59">
        <v>1</v>
      </c>
      <c r="N194" t="s">
        <v>16389</v>
      </c>
    </row>
    <row r="195" spans="1:14" ht="12.6">
      <c r="A195" t="s">
        <v>17092</v>
      </c>
      <c r="B195" t="s">
        <v>1</v>
      </c>
      <c r="C195" t="s">
        <v>17093</v>
      </c>
      <c r="D195" t="s">
        <v>3</v>
      </c>
      <c r="E195" t="s">
        <v>17094</v>
      </c>
      <c r="F195" t="s">
        <v>16434</v>
      </c>
      <c r="G195" t="s">
        <v>6</v>
      </c>
      <c r="H195" t="s">
        <v>17095</v>
      </c>
      <c r="I195" t="s">
        <v>16710</v>
      </c>
      <c r="J195" t="s">
        <v>17096</v>
      </c>
      <c r="L195" t="s">
        <v>16436</v>
      </c>
      <c r="M195" s="59">
        <v>1</v>
      </c>
      <c r="N195" t="s">
        <v>16389</v>
      </c>
    </row>
    <row r="196" spans="1:14" ht="12.6">
      <c r="A196" t="s">
        <v>17097</v>
      </c>
      <c r="B196" t="s">
        <v>1</v>
      </c>
      <c r="C196" t="s">
        <v>17098</v>
      </c>
      <c r="D196" t="s">
        <v>3</v>
      </c>
      <c r="E196" t="s">
        <v>17099</v>
      </c>
      <c r="F196" t="s">
        <v>17100</v>
      </c>
      <c r="G196" t="s">
        <v>6</v>
      </c>
      <c r="H196" t="s">
        <v>17101</v>
      </c>
      <c r="I196" t="s">
        <v>16393</v>
      </c>
      <c r="J196" t="s">
        <v>16388</v>
      </c>
      <c r="L196" t="s">
        <v>16436</v>
      </c>
      <c r="M196" s="59">
        <v>150</v>
      </c>
      <c r="N196" t="s">
        <v>16389</v>
      </c>
    </row>
    <row r="197" spans="1:14" ht="12.6">
      <c r="A197" t="s">
        <v>17102</v>
      </c>
      <c r="B197" t="s">
        <v>1</v>
      </c>
      <c r="C197" t="s">
        <v>17103</v>
      </c>
      <c r="D197" t="s">
        <v>16482</v>
      </c>
      <c r="E197" t="s">
        <v>17104</v>
      </c>
      <c r="F197" t="s">
        <v>16434</v>
      </c>
      <c r="G197" t="s">
        <v>6</v>
      </c>
      <c r="H197" t="s">
        <v>17105</v>
      </c>
      <c r="I197" t="s">
        <v>16710</v>
      </c>
      <c r="J197" t="s">
        <v>17106</v>
      </c>
      <c r="L197" t="s">
        <v>16436</v>
      </c>
      <c r="M197" s="59">
        <v>1</v>
      </c>
      <c r="N197" t="s">
        <v>16403</v>
      </c>
    </row>
    <row r="198" spans="1:14" ht="12.6">
      <c r="A198" t="s">
        <v>17107</v>
      </c>
      <c r="B198" t="s">
        <v>1</v>
      </c>
      <c r="C198" t="s">
        <v>17108</v>
      </c>
      <c r="D198" t="s">
        <v>3</v>
      </c>
      <c r="E198" t="s">
        <v>17109</v>
      </c>
      <c r="F198" t="s">
        <v>16434</v>
      </c>
      <c r="G198" t="s">
        <v>6</v>
      </c>
      <c r="H198" t="s">
        <v>17110</v>
      </c>
      <c r="I198" t="s">
        <v>16710</v>
      </c>
      <c r="J198" t="s">
        <v>16787</v>
      </c>
      <c r="L198" t="s">
        <v>16436</v>
      </c>
      <c r="M198" s="59">
        <v>1</v>
      </c>
      <c r="N198" t="s">
        <v>16403</v>
      </c>
    </row>
    <row r="199" spans="1:14" ht="12.6">
      <c r="A199" t="s">
        <v>17111</v>
      </c>
      <c r="B199" t="s">
        <v>1</v>
      </c>
      <c r="C199" t="s">
        <v>17112</v>
      </c>
      <c r="D199" t="s">
        <v>3</v>
      </c>
      <c r="E199" t="s">
        <v>17113</v>
      </c>
      <c r="F199" t="s">
        <v>16434</v>
      </c>
      <c r="G199" t="s">
        <v>6</v>
      </c>
      <c r="H199" t="s">
        <v>17114</v>
      </c>
      <c r="I199" t="s">
        <v>16710</v>
      </c>
      <c r="J199" t="s">
        <v>16787</v>
      </c>
      <c r="L199" t="s">
        <v>16436</v>
      </c>
      <c r="M199" s="59">
        <v>1</v>
      </c>
      <c r="N199" t="s">
        <v>16403</v>
      </c>
    </row>
    <row r="200" spans="1:14" ht="12.6">
      <c r="A200" t="s">
        <v>17115</v>
      </c>
      <c r="B200" t="s">
        <v>1</v>
      </c>
      <c r="C200" t="s">
        <v>17116</v>
      </c>
      <c r="D200" t="s">
        <v>3</v>
      </c>
      <c r="E200" t="s">
        <v>17117</v>
      </c>
      <c r="F200" t="s">
        <v>16434</v>
      </c>
      <c r="G200" t="s">
        <v>6</v>
      </c>
      <c r="H200" t="s">
        <v>17118</v>
      </c>
      <c r="I200" t="s">
        <v>16710</v>
      </c>
      <c r="J200" t="s">
        <v>16787</v>
      </c>
      <c r="L200" t="s">
        <v>16436</v>
      </c>
      <c r="M200" s="59">
        <v>1</v>
      </c>
      <c r="N200" t="s">
        <v>16403</v>
      </c>
    </row>
    <row r="201" spans="1:14" ht="12.6">
      <c r="A201" t="s">
        <v>17119</v>
      </c>
      <c r="B201" t="s">
        <v>1</v>
      </c>
      <c r="C201" t="s">
        <v>17120</v>
      </c>
      <c r="D201" t="s">
        <v>16401</v>
      </c>
      <c r="F201" t="s">
        <v>16434</v>
      </c>
      <c r="G201" t="s">
        <v>6</v>
      </c>
      <c r="H201" t="s">
        <v>17121</v>
      </c>
      <c r="I201" t="s">
        <v>16826</v>
      </c>
      <c r="J201" t="s">
        <v>16827</v>
      </c>
      <c r="L201" t="s">
        <v>16436</v>
      </c>
      <c r="M201" s="59">
        <v>100</v>
      </c>
    </row>
    <row r="202" spans="1:14" ht="12.6">
      <c r="A202" t="s">
        <v>17122</v>
      </c>
      <c r="B202" t="s">
        <v>1</v>
      </c>
      <c r="C202" t="s">
        <v>17123</v>
      </c>
      <c r="D202" t="s">
        <v>16482</v>
      </c>
      <c r="F202" t="s">
        <v>16434</v>
      </c>
      <c r="G202" t="s">
        <v>6</v>
      </c>
      <c r="H202" t="s">
        <v>17124</v>
      </c>
      <c r="I202" t="s">
        <v>16710</v>
      </c>
      <c r="J202" t="s">
        <v>17125</v>
      </c>
      <c r="L202" t="s">
        <v>16436</v>
      </c>
      <c r="M202" s="59">
        <v>100</v>
      </c>
      <c r="N202" t="s">
        <v>16389</v>
      </c>
    </row>
    <row r="203" spans="1:14" ht="12.6">
      <c r="A203" t="s">
        <v>17126</v>
      </c>
      <c r="B203" t="s">
        <v>1</v>
      </c>
      <c r="C203" t="s">
        <v>17127</v>
      </c>
      <c r="D203" t="s">
        <v>3</v>
      </c>
      <c r="E203" t="s">
        <v>17128</v>
      </c>
      <c r="F203" t="s">
        <v>17129</v>
      </c>
      <c r="G203" t="s">
        <v>6</v>
      </c>
      <c r="H203" t="s">
        <v>17130</v>
      </c>
      <c r="I203" t="s">
        <v>16710</v>
      </c>
      <c r="J203" t="s">
        <v>16388</v>
      </c>
      <c r="K203" t="s">
        <v>17131</v>
      </c>
      <c r="L203" t="s">
        <v>16436</v>
      </c>
      <c r="M203" s="59">
        <v>150</v>
      </c>
      <c r="N203" t="s">
        <v>16389</v>
      </c>
    </row>
    <row r="204" spans="1:14" ht="12.6">
      <c r="A204" t="s">
        <v>17132</v>
      </c>
      <c r="B204" t="s">
        <v>1</v>
      </c>
      <c r="C204" t="s">
        <v>17133</v>
      </c>
      <c r="D204" t="s">
        <v>3</v>
      </c>
      <c r="E204" t="s">
        <v>17134</v>
      </c>
      <c r="F204" t="s">
        <v>17135</v>
      </c>
      <c r="G204" t="s">
        <v>6</v>
      </c>
      <c r="H204" t="s">
        <v>17136</v>
      </c>
      <c r="I204" t="s">
        <v>16710</v>
      </c>
      <c r="J204" t="s">
        <v>16388</v>
      </c>
      <c r="L204" t="s">
        <v>16436</v>
      </c>
      <c r="M204" s="59">
        <v>1</v>
      </c>
      <c r="N204" t="s">
        <v>16389</v>
      </c>
    </row>
    <row r="205" spans="1:14" ht="12.6">
      <c r="A205" t="s">
        <v>17137</v>
      </c>
      <c r="B205" t="s">
        <v>1</v>
      </c>
      <c r="C205" t="s">
        <v>17138</v>
      </c>
      <c r="D205" t="s">
        <v>3</v>
      </c>
      <c r="E205" t="s">
        <v>17139</v>
      </c>
      <c r="F205" t="s">
        <v>16434</v>
      </c>
      <c r="G205" t="s">
        <v>6</v>
      </c>
      <c r="H205" t="s">
        <v>17140</v>
      </c>
      <c r="I205" t="s">
        <v>16710</v>
      </c>
      <c r="J205" t="s">
        <v>16778</v>
      </c>
      <c r="L205" t="s">
        <v>16436</v>
      </c>
      <c r="M205" s="59">
        <v>1</v>
      </c>
      <c r="N205" t="s">
        <v>16403</v>
      </c>
    </row>
    <row r="206" spans="1:14" ht="12.6">
      <c r="A206" t="s">
        <v>17141</v>
      </c>
      <c r="B206" t="s">
        <v>1</v>
      </c>
      <c r="C206" t="s">
        <v>17142</v>
      </c>
      <c r="D206" t="s">
        <v>16482</v>
      </c>
      <c r="E206" t="s">
        <v>17143</v>
      </c>
      <c r="F206" t="s">
        <v>16434</v>
      </c>
      <c r="G206" t="s">
        <v>6</v>
      </c>
      <c r="H206" t="s">
        <v>17144</v>
      </c>
      <c r="I206" t="s">
        <v>16710</v>
      </c>
      <c r="J206" t="s">
        <v>17145</v>
      </c>
      <c r="L206" t="s">
        <v>16436</v>
      </c>
      <c r="M206" s="59">
        <v>1</v>
      </c>
      <c r="N206" t="s">
        <v>16389</v>
      </c>
    </row>
    <row r="207" spans="1:14" ht="12.6">
      <c r="A207" t="s">
        <v>17146</v>
      </c>
      <c r="B207" t="s">
        <v>1</v>
      </c>
      <c r="C207" t="s">
        <v>17147</v>
      </c>
      <c r="D207" t="s">
        <v>16401</v>
      </c>
      <c r="E207" t="s">
        <v>17148</v>
      </c>
      <c r="F207" t="s">
        <v>16434</v>
      </c>
      <c r="G207" t="s">
        <v>6</v>
      </c>
      <c r="H207" t="s">
        <v>17149</v>
      </c>
      <c r="I207" t="s">
        <v>16710</v>
      </c>
      <c r="J207" t="s">
        <v>16787</v>
      </c>
      <c r="L207" t="s">
        <v>16436</v>
      </c>
      <c r="M207" s="59">
        <v>1</v>
      </c>
      <c r="N207" t="s">
        <v>16403</v>
      </c>
    </row>
    <row r="208" spans="1:14" ht="12.6">
      <c r="A208" t="s">
        <v>17150</v>
      </c>
      <c r="B208" t="s">
        <v>1</v>
      </c>
      <c r="C208" t="s">
        <v>17151</v>
      </c>
      <c r="D208" t="s">
        <v>16482</v>
      </c>
      <c r="E208" t="s">
        <v>17152</v>
      </c>
      <c r="F208" t="s">
        <v>16434</v>
      </c>
      <c r="G208" t="s">
        <v>6</v>
      </c>
      <c r="H208" t="s">
        <v>17153</v>
      </c>
      <c r="I208" t="s">
        <v>16710</v>
      </c>
      <c r="J208" t="s">
        <v>17154</v>
      </c>
      <c r="K208" t="s">
        <v>17155</v>
      </c>
      <c r="L208" t="s">
        <v>16436</v>
      </c>
      <c r="M208" s="59">
        <v>1</v>
      </c>
      <c r="N208" t="s">
        <v>16403</v>
      </c>
    </row>
    <row r="209" spans="1:14" ht="12.6">
      <c r="A209" t="s">
        <v>17156</v>
      </c>
      <c r="B209" t="s">
        <v>1</v>
      </c>
      <c r="C209" t="s">
        <v>17157</v>
      </c>
      <c r="D209" t="s">
        <v>3</v>
      </c>
      <c r="E209" t="s">
        <v>17158</v>
      </c>
      <c r="F209" t="s">
        <v>17159</v>
      </c>
      <c r="G209" t="s">
        <v>6</v>
      </c>
      <c r="H209" t="s">
        <v>17160</v>
      </c>
      <c r="I209" t="s">
        <v>16710</v>
      </c>
      <c r="J209" t="s">
        <v>16388</v>
      </c>
      <c r="K209" t="s">
        <v>17161</v>
      </c>
      <c r="L209" t="s">
        <v>16436</v>
      </c>
      <c r="M209" s="59">
        <v>150</v>
      </c>
      <c r="N209" t="s">
        <v>16389</v>
      </c>
    </row>
    <row r="210" spans="1:14" ht="12.6">
      <c r="A210" t="s">
        <v>17162</v>
      </c>
      <c r="B210" t="s">
        <v>1</v>
      </c>
      <c r="C210" t="s">
        <v>17163</v>
      </c>
      <c r="D210" t="s">
        <v>16482</v>
      </c>
      <c r="E210" t="s">
        <v>17164</v>
      </c>
      <c r="F210" t="s">
        <v>16434</v>
      </c>
      <c r="G210" t="s">
        <v>6</v>
      </c>
      <c r="H210" t="s">
        <v>17165</v>
      </c>
      <c r="I210" t="s">
        <v>16710</v>
      </c>
      <c r="J210" t="s">
        <v>16778</v>
      </c>
      <c r="L210" t="s">
        <v>16436</v>
      </c>
      <c r="M210" s="59">
        <v>1</v>
      </c>
      <c r="N210" t="s">
        <v>16403</v>
      </c>
    </row>
    <row r="211" spans="1:14" ht="12.6">
      <c r="A211" t="s">
        <v>17166</v>
      </c>
      <c r="B211" t="s">
        <v>1</v>
      </c>
      <c r="C211" t="s">
        <v>17167</v>
      </c>
      <c r="D211" t="s">
        <v>3</v>
      </c>
      <c r="F211" t="s">
        <v>17168</v>
      </c>
      <c r="G211" t="s">
        <v>6</v>
      </c>
      <c r="H211" t="s">
        <v>17169</v>
      </c>
      <c r="I211" t="s">
        <v>16710</v>
      </c>
      <c r="J211" t="s">
        <v>16388</v>
      </c>
      <c r="L211" t="s">
        <v>16436</v>
      </c>
      <c r="M211" s="59">
        <v>150</v>
      </c>
      <c r="N211" t="s">
        <v>16389</v>
      </c>
    </row>
    <row r="212" spans="1:14" ht="12.6">
      <c r="A212" t="s">
        <v>17170</v>
      </c>
      <c r="B212" t="s">
        <v>1</v>
      </c>
      <c r="C212" t="s">
        <v>17171</v>
      </c>
      <c r="D212" t="s">
        <v>16401</v>
      </c>
      <c r="E212" t="s">
        <v>16491</v>
      </c>
      <c r="F212" t="s">
        <v>16434</v>
      </c>
      <c r="G212" t="s">
        <v>6</v>
      </c>
      <c r="H212" t="s">
        <v>16540</v>
      </c>
      <c r="I212" t="s">
        <v>16710</v>
      </c>
      <c r="J212" t="s">
        <v>16787</v>
      </c>
      <c r="L212" t="s">
        <v>16436</v>
      </c>
      <c r="M212" s="59">
        <v>1</v>
      </c>
      <c r="N212" t="s">
        <v>16403</v>
      </c>
    </row>
    <row r="213" spans="1:14" ht="12.6">
      <c r="A213" t="s">
        <v>17172</v>
      </c>
      <c r="B213" t="s">
        <v>1</v>
      </c>
      <c r="C213" t="s">
        <v>17173</v>
      </c>
      <c r="D213" t="s">
        <v>16482</v>
      </c>
      <c r="E213" t="s">
        <v>17174</v>
      </c>
      <c r="F213" t="s">
        <v>16434</v>
      </c>
      <c r="G213" t="s">
        <v>6</v>
      </c>
      <c r="H213" t="s">
        <v>17175</v>
      </c>
      <c r="I213" t="s">
        <v>16710</v>
      </c>
      <c r="J213" t="s">
        <v>16778</v>
      </c>
      <c r="L213" t="s">
        <v>16436</v>
      </c>
      <c r="M213" s="59">
        <v>1</v>
      </c>
      <c r="N213" t="s">
        <v>16403</v>
      </c>
    </row>
    <row r="214" spans="1:14" ht="12.6">
      <c r="A214" t="s">
        <v>17176</v>
      </c>
      <c r="B214" t="s">
        <v>1</v>
      </c>
      <c r="C214" t="s">
        <v>17177</v>
      </c>
      <c r="D214" t="s">
        <v>16401</v>
      </c>
      <c r="E214" t="s">
        <v>16491</v>
      </c>
      <c r="F214" t="s">
        <v>16434</v>
      </c>
      <c r="G214" t="s">
        <v>6</v>
      </c>
      <c r="H214" t="s">
        <v>16540</v>
      </c>
      <c r="I214" t="s">
        <v>16710</v>
      </c>
      <c r="J214" t="s">
        <v>16787</v>
      </c>
      <c r="L214" t="s">
        <v>16436</v>
      </c>
      <c r="M214" s="59">
        <v>1</v>
      </c>
      <c r="N214" t="s">
        <v>16403</v>
      </c>
    </row>
    <row r="215" spans="1:14" ht="12.6">
      <c r="A215" t="s">
        <v>17178</v>
      </c>
      <c r="B215" t="s">
        <v>1</v>
      </c>
      <c r="C215" t="s">
        <v>17179</v>
      </c>
      <c r="D215" t="s">
        <v>3</v>
      </c>
      <c r="E215" t="s">
        <v>17180</v>
      </c>
      <c r="F215" t="s">
        <v>16434</v>
      </c>
      <c r="G215" t="s">
        <v>6</v>
      </c>
      <c r="H215" t="s">
        <v>16540</v>
      </c>
      <c r="I215" t="s">
        <v>16710</v>
      </c>
      <c r="J215" t="s">
        <v>16787</v>
      </c>
      <c r="L215" t="s">
        <v>16436</v>
      </c>
      <c r="M215" s="59">
        <v>1</v>
      </c>
      <c r="N215" t="s">
        <v>16403</v>
      </c>
    </row>
    <row r="216" spans="1:14" ht="12.6">
      <c r="A216" t="s">
        <v>17181</v>
      </c>
      <c r="B216" t="s">
        <v>1</v>
      </c>
      <c r="C216" t="s">
        <v>17182</v>
      </c>
      <c r="D216" t="s">
        <v>16401</v>
      </c>
      <c r="E216" t="s">
        <v>17183</v>
      </c>
      <c r="F216" t="s">
        <v>16434</v>
      </c>
      <c r="G216" t="s">
        <v>6</v>
      </c>
      <c r="H216" t="s">
        <v>17184</v>
      </c>
      <c r="I216" t="s">
        <v>16710</v>
      </c>
      <c r="J216" t="s">
        <v>16771</v>
      </c>
      <c r="L216" t="s">
        <v>16436</v>
      </c>
      <c r="M216" s="59">
        <v>1</v>
      </c>
      <c r="N216" t="s">
        <v>16403</v>
      </c>
    </row>
    <row r="217" spans="1:14" ht="12.6">
      <c r="A217" t="s">
        <v>17185</v>
      </c>
      <c r="B217" t="s">
        <v>1</v>
      </c>
      <c r="C217" t="s">
        <v>17186</v>
      </c>
      <c r="D217" t="s">
        <v>3</v>
      </c>
      <c r="E217" t="s">
        <v>17187</v>
      </c>
      <c r="F217" t="s">
        <v>17188</v>
      </c>
      <c r="G217" t="s">
        <v>6</v>
      </c>
      <c r="H217" t="s">
        <v>17189</v>
      </c>
      <c r="I217" t="s">
        <v>16710</v>
      </c>
      <c r="J217" t="s">
        <v>17190</v>
      </c>
      <c r="L217" t="s">
        <v>16436</v>
      </c>
      <c r="M217" s="59">
        <v>30</v>
      </c>
      <c r="N217" t="s">
        <v>16389</v>
      </c>
    </row>
    <row r="218" spans="1:14" ht="12.6">
      <c r="A218" t="s">
        <v>17191</v>
      </c>
      <c r="B218" t="s">
        <v>1</v>
      </c>
      <c r="C218" t="s">
        <v>17192</v>
      </c>
      <c r="D218" t="s">
        <v>3</v>
      </c>
      <c r="E218" t="s">
        <v>17193</v>
      </c>
      <c r="F218" t="s">
        <v>17194</v>
      </c>
      <c r="G218" t="s">
        <v>6</v>
      </c>
      <c r="H218" t="s">
        <v>17195</v>
      </c>
      <c r="I218" t="s">
        <v>16710</v>
      </c>
      <c r="J218" t="s">
        <v>16388</v>
      </c>
      <c r="K218" t="s">
        <v>17196</v>
      </c>
      <c r="L218" t="s">
        <v>16436</v>
      </c>
      <c r="M218" s="59">
        <v>150</v>
      </c>
      <c r="N218" t="s">
        <v>16389</v>
      </c>
    </row>
    <row r="219" spans="1:14" ht="12.6">
      <c r="A219" t="s">
        <v>17197</v>
      </c>
      <c r="B219" t="s">
        <v>1</v>
      </c>
      <c r="C219" t="s">
        <v>17198</v>
      </c>
      <c r="D219" t="s">
        <v>16401</v>
      </c>
      <c r="E219" t="s">
        <v>17199</v>
      </c>
      <c r="F219" t="s">
        <v>16434</v>
      </c>
      <c r="G219" t="s">
        <v>6</v>
      </c>
      <c r="H219" t="s">
        <v>16540</v>
      </c>
      <c r="I219" t="s">
        <v>16710</v>
      </c>
      <c r="J219" t="s">
        <v>16787</v>
      </c>
      <c r="L219" t="s">
        <v>16436</v>
      </c>
      <c r="M219" s="59">
        <v>1</v>
      </c>
      <c r="N219" t="s">
        <v>16403</v>
      </c>
    </row>
    <row r="220" spans="1:14" ht="12.6">
      <c r="A220" t="s">
        <v>17200</v>
      </c>
      <c r="B220" t="s">
        <v>1</v>
      </c>
      <c r="C220" t="s">
        <v>17201</v>
      </c>
      <c r="D220" t="s">
        <v>16482</v>
      </c>
      <c r="F220" t="s">
        <v>16434</v>
      </c>
      <c r="G220" t="s">
        <v>6</v>
      </c>
      <c r="H220" t="s">
        <v>16656</v>
      </c>
      <c r="I220" t="s">
        <v>16710</v>
      </c>
      <c r="J220" t="s">
        <v>17202</v>
      </c>
      <c r="L220" t="s">
        <v>16436</v>
      </c>
      <c r="M220" s="59">
        <v>1</v>
      </c>
      <c r="N220" t="s">
        <v>16403</v>
      </c>
    </row>
    <row r="221" spans="1:14" ht="12.6">
      <c r="A221" t="s">
        <v>17203</v>
      </c>
      <c r="B221" t="s">
        <v>17204</v>
      </c>
      <c r="C221" t="s">
        <v>17205</v>
      </c>
      <c r="D221" t="s">
        <v>16401</v>
      </c>
      <c r="H221" t="s">
        <v>17206</v>
      </c>
      <c r="J221" t="s">
        <v>17206</v>
      </c>
      <c r="L221" t="s">
        <v>16436</v>
      </c>
      <c r="M221" s="59"/>
    </row>
    <row r="222" spans="1:14" ht="12.6">
      <c r="A222" t="s">
        <v>17207</v>
      </c>
      <c r="B222" t="s">
        <v>1</v>
      </c>
      <c r="C222" t="s">
        <v>17208</v>
      </c>
      <c r="D222" t="s">
        <v>3</v>
      </c>
      <c r="I222" t="s">
        <v>16710</v>
      </c>
      <c r="J222" t="s">
        <v>16388</v>
      </c>
      <c r="L222" t="s">
        <v>16436</v>
      </c>
      <c r="M222" s="59">
        <v>1</v>
      </c>
      <c r="N222" t="s">
        <v>16403</v>
      </c>
    </row>
    <row r="223" spans="1:14" ht="12.75" customHeight="1">
      <c r="A223" s="258" t="s">
        <v>17209</v>
      </c>
      <c r="B223" t="s">
        <v>17204</v>
      </c>
      <c r="C223" t="s">
        <v>17210</v>
      </c>
      <c r="D223" t="s">
        <v>16401</v>
      </c>
      <c r="H223" t="s">
        <v>17211</v>
      </c>
      <c r="J223" t="s">
        <v>17212</v>
      </c>
      <c r="L223" t="s">
        <v>16436</v>
      </c>
    </row>
    <row r="224" spans="1:14" ht="12.75" customHeight="1">
      <c r="A224" t="s">
        <v>17213</v>
      </c>
      <c r="B224" t="s">
        <v>1</v>
      </c>
      <c r="C224" t="s">
        <v>17214</v>
      </c>
      <c r="D224" t="s">
        <v>16401</v>
      </c>
      <c r="F224" t="s">
        <v>17215</v>
      </c>
      <c r="G224" t="s">
        <v>6</v>
      </c>
      <c r="H224" t="s">
        <v>17216</v>
      </c>
      <c r="I224" t="s">
        <v>16710</v>
      </c>
      <c r="J224" t="s">
        <v>17216</v>
      </c>
      <c r="L224" t="s">
        <v>16436</v>
      </c>
    </row>
    <row r="225" spans="1:12" ht="12.75" customHeight="1">
      <c r="A225" t="s">
        <v>17217</v>
      </c>
      <c r="B225" t="s">
        <v>1</v>
      </c>
      <c r="C225" t="s">
        <v>17218</v>
      </c>
      <c r="D225" t="s">
        <v>16482</v>
      </c>
      <c r="L225" t="s">
        <v>16436</v>
      </c>
    </row>
    <row r="226" spans="1:12" ht="12.75" customHeight="1">
      <c r="A226" t="s">
        <v>17219</v>
      </c>
      <c r="B226" t="s">
        <v>1</v>
      </c>
      <c r="C226" t="s">
        <v>17220</v>
      </c>
      <c r="D226" t="s">
        <v>16401</v>
      </c>
      <c r="L226" t="s">
        <v>16436</v>
      </c>
    </row>
    <row r="227" spans="1:12" ht="12.75" customHeight="1">
      <c r="A227" t="s">
        <v>17221</v>
      </c>
      <c r="B227" t="s">
        <v>1</v>
      </c>
      <c r="C227" t="s">
        <v>17222</v>
      </c>
      <c r="D227" t="s">
        <v>3</v>
      </c>
      <c r="L227" t="s">
        <v>16436</v>
      </c>
    </row>
    <row r="228" spans="1:12" ht="12.75" customHeight="1">
      <c r="A228" t="s">
        <v>17223</v>
      </c>
      <c r="B228" t="s">
        <v>1</v>
      </c>
      <c r="C228" s="258" t="s">
        <v>17224</v>
      </c>
      <c r="D228" t="s">
        <v>3</v>
      </c>
      <c r="F228" t="s">
        <v>17215</v>
      </c>
      <c r="G228" t="s">
        <v>6</v>
      </c>
      <c r="H228" t="s">
        <v>17225</v>
      </c>
      <c r="I228" t="s">
        <v>16710</v>
      </c>
      <c r="J228" t="s">
        <v>16388</v>
      </c>
      <c r="L228" t="s">
        <v>16436</v>
      </c>
    </row>
    <row r="229" spans="1:12" ht="12.75" customHeight="1">
      <c r="A229" t="s">
        <v>17226</v>
      </c>
      <c r="B229" t="s">
        <v>1</v>
      </c>
      <c r="C229" s="258" t="s">
        <v>17227</v>
      </c>
      <c r="D229" t="s">
        <v>3</v>
      </c>
      <c r="F229" t="s">
        <v>17228</v>
      </c>
      <c r="G229" t="s">
        <v>6</v>
      </c>
      <c r="H229" t="s">
        <v>17225</v>
      </c>
      <c r="I229" t="s">
        <v>17229</v>
      </c>
      <c r="J229" t="s">
        <v>16388</v>
      </c>
      <c r="L229" t="s">
        <v>16436</v>
      </c>
    </row>
    <row r="230" spans="1:12" ht="12.75" customHeight="1">
      <c r="A230" t="s">
        <v>17230</v>
      </c>
      <c r="B230" t="s">
        <v>1</v>
      </c>
      <c r="C230" s="258" t="s">
        <v>17231</v>
      </c>
      <c r="D230" t="s">
        <v>16482</v>
      </c>
      <c r="G230" t="s">
        <v>6</v>
      </c>
      <c r="H230" t="s">
        <v>17232</v>
      </c>
      <c r="J230" t="s">
        <v>16394</v>
      </c>
      <c r="L230" t="s">
        <v>16436</v>
      </c>
    </row>
    <row r="231" spans="1:12" ht="12.75" customHeight="1">
      <c r="A231" t="s">
        <v>17233</v>
      </c>
      <c r="B231" t="s">
        <v>1</v>
      </c>
      <c r="C231" s="258" t="s">
        <v>17234</v>
      </c>
      <c r="D231" t="s">
        <v>16401</v>
      </c>
      <c r="G231" t="s">
        <v>6</v>
      </c>
      <c r="J231" t="s">
        <v>17235</v>
      </c>
      <c r="L231" t="s">
        <v>16436</v>
      </c>
    </row>
    <row r="232" spans="1:12" ht="12.75" customHeight="1">
      <c r="A232" t="s">
        <v>17236</v>
      </c>
      <c r="B232" t="s">
        <v>1</v>
      </c>
      <c r="C232" t="s">
        <v>17237</v>
      </c>
      <c r="D232" t="s">
        <v>16401</v>
      </c>
      <c r="G232" t="s">
        <v>6</v>
      </c>
      <c r="J232" t="s">
        <v>17238</v>
      </c>
      <c r="L232" t="s">
        <v>16436</v>
      </c>
    </row>
    <row r="233" spans="1:12" ht="12.75" customHeight="1">
      <c r="A233" t="s">
        <v>17239</v>
      </c>
      <c r="B233" t="s">
        <v>1</v>
      </c>
      <c r="C233" s="258" t="s">
        <v>17240</v>
      </c>
      <c r="D233" t="s">
        <v>16482</v>
      </c>
      <c r="G233" t="s">
        <v>6</v>
      </c>
      <c r="H233" t="s">
        <v>17241</v>
      </c>
      <c r="J233" t="s">
        <v>16394</v>
      </c>
      <c r="L233" t="s">
        <v>16436</v>
      </c>
    </row>
    <row r="234" spans="1:12" ht="12.75" customHeight="1">
      <c r="A234" t="s">
        <v>17242</v>
      </c>
      <c r="B234" t="s">
        <v>1</v>
      </c>
      <c r="C234" s="258" t="s">
        <v>17243</v>
      </c>
      <c r="D234" t="s">
        <v>16401</v>
      </c>
      <c r="G234" t="s">
        <v>6</v>
      </c>
      <c r="J234" t="s">
        <v>17235</v>
      </c>
      <c r="L234" t="s">
        <v>16436</v>
      </c>
    </row>
    <row r="235" spans="1:12" ht="12.75" customHeight="1">
      <c r="A235" t="s">
        <v>17244</v>
      </c>
      <c r="B235" t="s">
        <v>1</v>
      </c>
      <c r="C235" s="258" t="s">
        <v>17245</v>
      </c>
      <c r="D235" t="s">
        <v>3</v>
      </c>
      <c r="F235" t="s">
        <v>17246</v>
      </c>
      <c r="G235" t="s">
        <v>6</v>
      </c>
      <c r="H235" t="s">
        <v>17247</v>
      </c>
      <c r="J235" t="s">
        <v>16388</v>
      </c>
      <c r="L235" t="s">
        <v>16436</v>
      </c>
    </row>
    <row r="236" spans="1:12" ht="12.75" customHeight="1">
      <c r="A236" t="s">
        <v>17248</v>
      </c>
      <c r="B236" t="s">
        <v>1</v>
      </c>
      <c r="C236" s="258" t="s">
        <v>17249</v>
      </c>
      <c r="D236" t="s">
        <v>16401</v>
      </c>
      <c r="G236" t="s">
        <v>6</v>
      </c>
      <c r="H236" t="s">
        <v>17250</v>
      </c>
      <c r="J236" t="s">
        <v>16814</v>
      </c>
      <c r="L236" t="s">
        <v>16436</v>
      </c>
    </row>
    <row r="237" spans="1:12" ht="12.75" customHeight="1">
      <c r="A237" t="s">
        <v>17251</v>
      </c>
      <c r="B237" t="s">
        <v>1</v>
      </c>
      <c r="C237" s="258" t="s">
        <v>17252</v>
      </c>
      <c r="D237" t="s">
        <v>16401</v>
      </c>
      <c r="G237" t="s">
        <v>6</v>
      </c>
      <c r="J237" t="s">
        <v>17235</v>
      </c>
      <c r="L237" t="s">
        <v>16436</v>
      </c>
    </row>
    <row r="238" spans="1:12" ht="12.75" customHeight="1">
      <c r="A238" t="s">
        <v>17253</v>
      </c>
      <c r="B238" t="s">
        <v>17204</v>
      </c>
      <c r="C238" s="258" t="s">
        <v>17254</v>
      </c>
      <c r="D238" t="s">
        <v>16401</v>
      </c>
      <c r="G238" t="s">
        <v>6</v>
      </c>
      <c r="J238" t="s">
        <v>17235</v>
      </c>
      <c r="L238" t="s">
        <v>16436</v>
      </c>
    </row>
    <row r="239" spans="1:12" ht="12.75" customHeight="1">
      <c r="A239" t="s">
        <v>17255</v>
      </c>
      <c r="B239" t="s">
        <v>1</v>
      </c>
      <c r="C239" s="258" t="s">
        <v>17256</v>
      </c>
      <c r="D239" t="s">
        <v>3</v>
      </c>
      <c r="G239" t="s">
        <v>6</v>
      </c>
      <c r="J239" t="s">
        <v>16388</v>
      </c>
      <c r="L239" t="s">
        <v>16436</v>
      </c>
    </row>
    <row r="240" spans="1:12" ht="12.75" customHeight="1">
      <c r="A240" t="s">
        <v>17257</v>
      </c>
      <c r="B240" t="s">
        <v>1</v>
      </c>
      <c r="C240" s="258" t="s">
        <v>17258</v>
      </c>
      <c r="D240" t="s">
        <v>16401</v>
      </c>
      <c r="G240" t="s">
        <v>6</v>
      </c>
      <c r="J240" t="s">
        <v>16807</v>
      </c>
      <c r="L240" t="s">
        <v>16436</v>
      </c>
    </row>
    <row r="241" spans="1:12" ht="12.75" customHeight="1">
      <c r="A241" t="s">
        <v>17259</v>
      </c>
      <c r="B241" t="s">
        <v>1</v>
      </c>
      <c r="C241" s="258" t="s">
        <v>17260</v>
      </c>
      <c r="D241" t="s">
        <v>16401</v>
      </c>
      <c r="G241" t="s">
        <v>6</v>
      </c>
      <c r="J241" t="s">
        <v>17261</v>
      </c>
      <c r="L241" t="s">
        <v>16436</v>
      </c>
    </row>
    <row r="242" spans="1:12" ht="12.75" customHeight="1">
      <c r="A242" t="s">
        <v>17262</v>
      </c>
      <c r="B242" t="s">
        <v>1</v>
      </c>
      <c r="C242" s="258" t="s">
        <v>17263</v>
      </c>
      <c r="D242" t="s">
        <v>16482</v>
      </c>
      <c r="G242" t="s">
        <v>6</v>
      </c>
      <c r="J242" t="s">
        <v>16394</v>
      </c>
      <c r="L242" t="s">
        <v>16436</v>
      </c>
    </row>
    <row r="243" spans="1:12" ht="12.75" customHeight="1">
      <c r="A243" t="s">
        <v>17264</v>
      </c>
      <c r="B243" t="s">
        <v>1</v>
      </c>
      <c r="C243" s="258" t="s">
        <v>17265</v>
      </c>
      <c r="D243" t="s">
        <v>16401</v>
      </c>
      <c r="G243" t="s">
        <v>6</v>
      </c>
      <c r="J243" t="s">
        <v>17266</v>
      </c>
      <c r="L243" t="s">
        <v>16436</v>
      </c>
    </row>
    <row r="244" spans="1:12" ht="12.75" customHeight="1">
      <c r="A244" t="s">
        <v>17267</v>
      </c>
      <c r="B244" t="s">
        <v>1</v>
      </c>
      <c r="C244" s="258" t="s">
        <v>17268</v>
      </c>
      <c r="D244" t="s">
        <v>16401</v>
      </c>
      <c r="G244" t="s">
        <v>6</v>
      </c>
      <c r="J244" t="s">
        <v>17269</v>
      </c>
      <c r="L244" t="s">
        <v>16436</v>
      </c>
    </row>
    <row r="245" spans="1:12" ht="12.75" customHeight="1">
      <c r="A245" t="s">
        <v>17270</v>
      </c>
      <c r="B245" t="s">
        <v>1</v>
      </c>
      <c r="C245" s="258" t="s">
        <v>17271</v>
      </c>
      <c r="D245" t="s">
        <v>16482</v>
      </c>
      <c r="J245" t="s">
        <v>16394</v>
      </c>
      <c r="L245" t="s">
        <v>16436</v>
      </c>
    </row>
    <row r="246" spans="1:12" ht="12.75" customHeight="1">
      <c r="A246" t="s">
        <v>17272</v>
      </c>
      <c r="B246" t="s">
        <v>1</v>
      </c>
      <c r="C246" s="258" t="s">
        <v>17273</v>
      </c>
      <c r="D246" t="s">
        <v>3</v>
      </c>
      <c r="G246" t="s">
        <v>6</v>
      </c>
      <c r="J246" t="s">
        <v>16388</v>
      </c>
      <c r="L246" t="s">
        <v>16436</v>
      </c>
    </row>
    <row r="247" spans="1:12" ht="12.75" customHeight="1">
      <c r="A247" t="s">
        <v>17274</v>
      </c>
      <c r="B247" t="s">
        <v>1</v>
      </c>
      <c r="C247" s="258" t="s">
        <v>17275</v>
      </c>
      <c r="D247" t="s">
        <v>16482</v>
      </c>
      <c r="G247" t="s">
        <v>6</v>
      </c>
      <c r="J247" t="s">
        <v>16394</v>
      </c>
      <c r="L247" t="s">
        <v>16436</v>
      </c>
    </row>
    <row r="248" spans="1:12" ht="12.75" customHeight="1">
      <c r="A248" t="s">
        <v>17276</v>
      </c>
      <c r="B248" t="s">
        <v>1</v>
      </c>
      <c r="C248" t="s">
        <v>17277</v>
      </c>
      <c r="D248" t="s">
        <v>16482</v>
      </c>
      <c r="G248" t="s">
        <v>6</v>
      </c>
      <c r="J248" t="s">
        <v>17011</v>
      </c>
      <c r="L248" t="s">
        <v>16436</v>
      </c>
    </row>
    <row r="249" spans="1:12" ht="12.75" customHeight="1">
      <c r="A249" t="s">
        <v>17278</v>
      </c>
      <c r="B249" t="s">
        <v>1</v>
      </c>
      <c r="C249" t="s">
        <v>17279</v>
      </c>
      <c r="D249" t="s">
        <v>16482</v>
      </c>
      <c r="G249" t="s">
        <v>6</v>
      </c>
      <c r="J249" t="s">
        <v>17280</v>
      </c>
    </row>
    <row r="250" spans="1:12" ht="12.75" customHeight="1">
      <c r="A250" t="s">
        <v>17281</v>
      </c>
      <c r="B250" t="s">
        <v>1</v>
      </c>
      <c r="C250" t="s">
        <v>17282</v>
      </c>
      <c r="D250" t="s">
        <v>3</v>
      </c>
      <c r="F250" t="s">
        <v>17283</v>
      </c>
      <c r="G250" t="s">
        <v>6</v>
      </c>
      <c r="J250" t="s">
        <v>16388</v>
      </c>
    </row>
    <row r="251" spans="1:12" ht="12.75" customHeight="1">
      <c r="A251" t="s">
        <v>17284</v>
      </c>
      <c r="B251" t="s">
        <v>1</v>
      </c>
      <c r="C251" t="s">
        <v>17285</v>
      </c>
      <c r="D251" t="s">
        <v>3</v>
      </c>
      <c r="F251" t="s">
        <v>17286</v>
      </c>
      <c r="G251" t="s">
        <v>6</v>
      </c>
      <c r="J251" t="s">
        <v>16388</v>
      </c>
    </row>
    <row r="252" spans="1:12" ht="12.75" customHeight="1">
      <c r="A252" t="s">
        <v>17287</v>
      </c>
      <c r="B252" t="s">
        <v>1</v>
      </c>
      <c r="C252" t="s">
        <v>17288</v>
      </c>
      <c r="D252" t="s">
        <v>3</v>
      </c>
      <c r="G252" t="s">
        <v>6</v>
      </c>
      <c r="J252" t="s">
        <v>16388</v>
      </c>
    </row>
    <row r="253" spans="1:12" ht="12.75" customHeight="1">
      <c r="A253" t="s">
        <v>17289</v>
      </c>
      <c r="B253" t="s">
        <v>1</v>
      </c>
      <c r="C253" t="s">
        <v>17290</v>
      </c>
      <c r="D253" t="s">
        <v>3</v>
      </c>
      <c r="G253" t="s">
        <v>6</v>
      </c>
      <c r="J253" t="s">
        <v>16388</v>
      </c>
    </row>
    <row r="254" spans="1:12" ht="12.75" customHeight="1">
      <c r="A254" t="s">
        <v>17291</v>
      </c>
      <c r="B254" t="s">
        <v>1</v>
      </c>
      <c r="C254" t="s">
        <v>17292</v>
      </c>
      <c r="D254" t="s">
        <v>16482</v>
      </c>
      <c r="G254" t="s">
        <v>6</v>
      </c>
      <c r="J254" t="s">
        <v>17202</v>
      </c>
    </row>
    <row r="255" spans="1:12" ht="12.75" customHeight="1">
      <c r="A255" t="s">
        <v>17293</v>
      </c>
      <c r="B255" t="s">
        <v>1</v>
      </c>
      <c r="C255" t="s">
        <v>17294</v>
      </c>
      <c r="D255" t="s">
        <v>3</v>
      </c>
      <c r="G255" t="s">
        <v>6</v>
      </c>
      <c r="J255" t="s">
        <v>16388</v>
      </c>
    </row>
    <row r="256" spans="1:12" ht="12.75" customHeight="1">
      <c r="A256" t="s">
        <v>17295</v>
      </c>
      <c r="B256" t="s">
        <v>1</v>
      </c>
      <c r="C256" t="s">
        <v>17296</v>
      </c>
      <c r="D256" t="s">
        <v>3</v>
      </c>
      <c r="G256" t="s">
        <v>6</v>
      </c>
      <c r="J256" t="s">
        <v>16388</v>
      </c>
    </row>
    <row r="257" spans="1:10" ht="12.75" customHeight="1">
      <c r="A257" t="s">
        <v>17297</v>
      </c>
      <c r="B257" t="s">
        <v>1</v>
      </c>
      <c r="C257" t="s">
        <v>17298</v>
      </c>
      <c r="D257" t="s">
        <v>3</v>
      </c>
      <c r="G257" t="s">
        <v>6</v>
      </c>
      <c r="J257" t="s">
        <v>16388</v>
      </c>
    </row>
    <row r="258" spans="1:10" ht="12.75" customHeight="1">
      <c r="A258" t="s">
        <v>17299</v>
      </c>
      <c r="B258" t="s">
        <v>1</v>
      </c>
      <c r="C258" t="s">
        <v>17300</v>
      </c>
      <c r="D258" t="s">
        <v>16482</v>
      </c>
      <c r="G258" t="s">
        <v>6</v>
      </c>
      <c r="J258" t="s">
        <v>17301</v>
      </c>
    </row>
    <row r="259" spans="1:10" ht="12.75" customHeight="1">
      <c r="A259" t="s">
        <v>17302</v>
      </c>
      <c r="B259" t="s">
        <v>1</v>
      </c>
      <c r="C259" t="s">
        <v>17303</v>
      </c>
      <c r="D259" t="s">
        <v>16482</v>
      </c>
      <c r="G259" t="s">
        <v>6</v>
      </c>
      <c r="J259" t="s">
        <v>16394</v>
      </c>
    </row>
    <row r="260" spans="1:10" ht="12.75" customHeight="1">
      <c r="A260" t="s">
        <v>17304</v>
      </c>
      <c r="B260" t="s">
        <v>1</v>
      </c>
      <c r="C260" t="s">
        <v>17305</v>
      </c>
      <c r="D260" t="s">
        <v>17306</v>
      </c>
      <c r="G260" t="s">
        <v>6</v>
      </c>
      <c r="J260" t="s">
        <v>16814</v>
      </c>
    </row>
    <row r="261" spans="1:10" ht="12.75" customHeight="1">
      <c r="A261" t="s">
        <v>17307</v>
      </c>
      <c r="B261" s="281" t="s">
        <v>1</v>
      </c>
      <c r="C261" t="s">
        <v>17308</v>
      </c>
      <c r="D261" t="s">
        <v>16401</v>
      </c>
      <c r="G261" t="s">
        <v>6</v>
      </c>
      <c r="J261" t="s">
        <v>17235</v>
      </c>
    </row>
    <row r="262" spans="1:10" ht="12.75" customHeight="1">
      <c r="A262" t="s">
        <v>17309</v>
      </c>
      <c r="B262" s="281" t="s">
        <v>1</v>
      </c>
      <c r="C262" t="s">
        <v>17310</v>
      </c>
      <c r="D262" t="s">
        <v>3</v>
      </c>
      <c r="G262" t="s">
        <v>6</v>
      </c>
      <c r="J262" t="s">
        <v>16388</v>
      </c>
    </row>
    <row r="263" spans="1:10" ht="12.75" customHeight="1">
      <c r="A263" t="s">
        <v>17311</v>
      </c>
      <c r="B263" s="281" t="s">
        <v>1</v>
      </c>
      <c r="C263" t="s">
        <v>17312</v>
      </c>
      <c r="D263" t="s">
        <v>16401</v>
      </c>
      <c r="G263" t="s">
        <v>6</v>
      </c>
      <c r="J263" t="s">
        <v>17313</v>
      </c>
    </row>
    <row r="264" spans="1:10" ht="12.75" customHeight="1">
      <c r="A264" t="s">
        <v>17314</v>
      </c>
      <c r="B264" s="281" t="s">
        <v>1</v>
      </c>
      <c r="C264" t="s">
        <v>17315</v>
      </c>
      <c r="D264" t="s">
        <v>16401</v>
      </c>
      <c r="G264" t="s">
        <v>6</v>
      </c>
      <c r="J264" t="s">
        <v>17316</v>
      </c>
    </row>
    <row r="265" spans="1:10" ht="12.75" customHeight="1">
      <c r="A265" t="s">
        <v>17317</v>
      </c>
      <c r="B265" s="281" t="s">
        <v>1</v>
      </c>
      <c r="C265" t="s">
        <v>17318</v>
      </c>
      <c r="D265" t="s">
        <v>3</v>
      </c>
      <c r="G265" t="s">
        <v>6</v>
      </c>
      <c r="J265" t="s">
        <v>16388</v>
      </c>
    </row>
    <row r="266" spans="1:10" ht="12.75" customHeight="1">
      <c r="A266" t="s">
        <v>17319</v>
      </c>
      <c r="B266" s="281" t="s">
        <v>1</v>
      </c>
      <c r="C266" t="s">
        <v>17320</v>
      </c>
      <c r="D266" t="s">
        <v>16401</v>
      </c>
      <c r="G266" t="s">
        <v>6</v>
      </c>
      <c r="J266" t="s">
        <v>17235</v>
      </c>
    </row>
    <row r="267" spans="1:10" ht="12.75" customHeight="1">
      <c r="A267" t="s">
        <v>17321</v>
      </c>
      <c r="B267" s="281" t="s">
        <v>1</v>
      </c>
      <c r="C267" t="s">
        <v>17322</v>
      </c>
      <c r="D267" t="s">
        <v>16401</v>
      </c>
      <c r="G267" t="s">
        <v>6</v>
      </c>
      <c r="J267" t="s">
        <v>17235</v>
      </c>
    </row>
    <row r="268" spans="1:10" ht="12.75" customHeight="1">
      <c r="A268" t="s">
        <v>17323</v>
      </c>
      <c r="B268" s="281" t="s">
        <v>1</v>
      </c>
      <c r="C268" t="s">
        <v>17324</v>
      </c>
      <c r="D268" t="s">
        <v>16401</v>
      </c>
      <c r="G268" t="s">
        <v>6</v>
      </c>
      <c r="J268" t="s">
        <v>17325</v>
      </c>
    </row>
    <row r="269" spans="1:10" ht="12.75" customHeight="1">
      <c r="A269" t="s">
        <v>17326</v>
      </c>
      <c r="B269" s="281" t="s">
        <v>1</v>
      </c>
      <c r="C269" t="s">
        <v>17327</v>
      </c>
      <c r="D269" t="s">
        <v>16482</v>
      </c>
      <c r="G269" t="s">
        <v>6</v>
      </c>
      <c r="J269" t="s">
        <v>17328</v>
      </c>
    </row>
    <row r="270" spans="1:10" ht="12.75" customHeight="1">
      <c r="A270" t="s">
        <v>17329</v>
      </c>
      <c r="B270" s="281" t="s">
        <v>1</v>
      </c>
      <c r="C270" t="s">
        <v>17330</v>
      </c>
      <c r="D270" t="s">
        <v>16401</v>
      </c>
      <c r="G270" t="s">
        <v>6</v>
      </c>
      <c r="J270" t="s">
        <v>17331</v>
      </c>
    </row>
    <row r="271" spans="1:10" ht="12.75" customHeight="1">
      <c r="A271" t="s">
        <v>17332</v>
      </c>
      <c r="B271" s="281" t="s">
        <v>1</v>
      </c>
      <c r="C271" t="s">
        <v>17333</v>
      </c>
      <c r="D271" t="s">
        <v>3</v>
      </c>
      <c r="G271" t="s">
        <v>6</v>
      </c>
      <c r="J271" t="s">
        <v>16388</v>
      </c>
    </row>
    <row r="272" spans="1:10" ht="12.75" customHeight="1">
      <c r="A272" t="s">
        <v>17334</v>
      </c>
      <c r="B272" s="281" t="s">
        <v>1</v>
      </c>
      <c r="C272" t="s">
        <v>17335</v>
      </c>
      <c r="D272" t="s">
        <v>3</v>
      </c>
      <c r="G272" t="s">
        <v>6</v>
      </c>
      <c r="J272" t="s">
        <v>16388</v>
      </c>
    </row>
    <row r="273" spans="1:10" ht="12.75" customHeight="1">
      <c r="A273" t="s">
        <v>17336</v>
      </c>
      <c r="B273" s="281" t="s">
        <v>1</v>
      </c>
      <c r="C273" t="s">
        <v>17337</v>
      </c>
      <c r="D273" t="s">
        <v>16401</v>
      </c>
      <c r="G273" t="s">
        <v>6</v>
      </c>
      <c r="J273" t="s">
        <v>17235</v>
      </c>
    </row>
    <row r="274" spans="1:10" ht="12.75" customHeight="1">
      <c r="A274" t="s">
        <v>17338</v>
      </c>
      <c r="B274" s="281" t="s">
        <v>1</v>
      </c>
      <c r="C274" t="s">
        <v>17339</v>
      </c>
      <c r="D274" t="s">
        <v>3</v>
      </c>
      <c r="G274" t="s">
        <v>6</v>
      </c>
      <c r="J274" t="s">
        <v>16388</v>
      </c>
    </row>
    <row r="275" spans="1:10" ht="12.75" customHeight="1">
      <c r="A275" t="s">
        <v>17340</v>
      </c>
      <c r="B275" s="281" t="s">
        <v>1</v>
      </c>
      <c r="C275" t="s">
        <v>17341</v>
      </c>
      <c r="D275" t="s">
        <v>16401</v>
      </c>
      <c r="G275" t="s">
        <v>6</v>
      </c>
      <c r="J275" t="s">
        <v>17328</v>
      </c>
    </row>
    <row r="276" spans="1:10" ht="12.75" customHeight="1">
      <c r="A276" t="s">
        <v>17342</v>
      </c>
      <c r="B276" s="281" t="s">
        <v>1</v>
      </c>
      <c r="C276" t="s">
        <v>17343</v>
      </c>
      <c r="D276" t="s">
        <v>16482</v>
      </c>
      <c r="G276" t="s">
        <v>6</v>
      </c>
      <c r="J276" t="s">
        <v>17202</v>
      </c>
    </row>
    <row r="277" spans="1:10" ht="12.75" customHeight="1">
      <c r="A277" t="s">
        <v>17344</v>
      </c>
      <c r="B277" s="281" t="s">
        <v>1</v>
      </c>
      <c r="C277" t="s">
        <v>17345</v>
      </c>
      <c r="D277" t="s">
        <v>16401</v>
      </c>
      <c r="G277" t="s">
        <v>6</v>
      </c>
      <c r="J277" t="s">
        <v>17313</v>
      </c>
    </row>
    <row r="278" spans="1:10" ht="12.75" customHeight="1">
      <c r="A278" t="s">
        <v>17346</v>
      </c>
      <c r="B278" s="281" t="s">
        <v>1</v>
      </c>
      <c r="C278" t="s">
        <v>17347</v>
      </c>
      <c r="D278" t="s">
        <v>16401</v>
      </c>
      <c r="G278" t="s">
        <v>6</v>
      </c>
      <c r="J278" t="s">
        <v>17348</v>
      </c>
    </row>
    <row r="279" spans="1:10" ht="12.75" customHeight="1">
      <c r="A279" t="s">
        <v>17349</v>
      </c>
      <c r="B279" s="281" t="s">
        <v>1</v>
      </c>
      <c r="C279" t="s">
        <v>17350</v>
      </c>
      <c r="D279" t="s">
        <v>16401</v>
      </c>
      <c r="G279" t="s">
        <v>6</v>
      </c>
      <c r="J279" t="s">
        <v>17351</v>
      </c>
    </row>
    <row r="280" spans="1:10" ht="12.75" customHeight="1">
      <c r="A280" t="s">
        <v>17352</v>
      </c>
      <c r="B280" s="281" t="s">
        <v>1</v>
      </c>
      <c r="C280" t="s">
        <v>17353</v>
      </c>
      <c r="D280" t="s">
        <v>16401</v>
      </c>
      <c r="G280" t="s">
        <v>6</v>
      </c>
      <c r="J280" t="s">
        <v>17235</v>
      </c>
    </row>
    <row r="281" spans="1:10" ht="12.75" customHeight="1">
      <c r="A281" t="s">
        <v>17354</v>
      </c>
      <c r="B281" s="281" t="s">
        <v>1</v>
      </c>
      <c r="C281" t="s">
        <v>17355</v>
      </c>
      <c r="D281" t="s">
        <v>16482</v>
      </c>
      <c r="G281" t="s">
        <v>6</v>
      </c>
      <c r="J281" t="s">
        <v>17356</v>
      </c>
    </row>
    <row r="282" spans="1:10" ht="12.75" customHeight="1">
      <c r="A282" t="s">
        <v>17357</v>
      </c>
      <c r="B282" s="281" t="s">
        <v>1</v>
      </c>
      <c r="C282" t="s">
        <v>17358</v>
      </c>
      <c r="D282" t="s">
        <v>16401</v>
      </c>
      <c r="G282" t="s">
        <v>6</v>
      </c>
      <c r="J282" t="s">
        <v>16498</v>
      </c>
    </row>
    <row r="283" spans="1:10" ht="12.75" customHeight="1">
      <c r="A283" t="s">
        <v>17359</v>
      </c>
      <c r="B283" s="281" t="s">
        <v>1</v>
      </c>
      <c r="C283" t="s">
        <v>17360</v>
      </c>
      <c r="D283" t="s">
        <v>16401</v>
      </c>
      <c r="G283" t="s">
        <v>6</v>
      </c>
      <c r="J283" t="s">
        <v>17361</v>
      </c>
    </row>
    <row r="284" spans="1:10" ht="12.75" customHeight="1">
      <c r="A284" t="s">
        <v>17362</v>
      </c>
      <c r="B284" s="281" t="s">
        <v>1</v>
      </c>
      <c r="C284" t="s">
        <v>17363</v>
      </c>
      <c r="D284" t="s">
        <v>16482</v>
      </c>
      <c r="G284" t="s">
        <v>6</v>
      </c>
      <c r="J284" t="s">
        <v>16653</v>
      </c>
    </row>
    <row r="285" spans="1:10" ht="12.75" customHeight="1">
      <c r="A285" t="s">
        <v>17364</v>
      </c>
      <c r="B285" s="281" t="s">
        <v>1</v>
      </c>
      <c r="C285" t="s">
        <v>17365</v>
      </c>
      <c r="D285" t="s">
        <v>16401</v>
      </c>
      <c r="G285" t="s">
        <v>6</v>
      </c>
      <c r="J285" t="s">
        <v>17366</v>
      </c>
    </row>
    <row r="286" spans="1:10" ht="12.75" customHeight="1">
      <c r="A286" t="s">
        <v>17367</v>
      </c>
      <c r="B286" s="281" t="s">
        <v>1</v>
      </c>
      <c r="C286" t="s">
        <v>17368</v>
      </c>
      <c r="D286" t="s">
        <v>16401</v>
      </c>
      <c r="G286" t="s">
        <v>6</v>
      </c>
      <c r="J286" t="s">
        <v>17369</v>
      </c>
    </row>
    <row r="287" spans="1:10" ht="12.75" customHeight="1">
      <c r="A287" t="s">
        <v>17370</v>
      </c>
      <c r="B287" s="281" t="s">
        <v>1</v>
      </c>
      <c r="C287" t="s">
        <v>17371</v>
      </c>
      <c r="D287" t="s">
        <v>16401</v>
      </c>
      <c r="G287" t="s">
        <v>6</v>
      </c>
      <c r="J287" t="s">
        <v>17280</v>
      </c>
    </row>
    <row r="288" spans="1:10" ht="12.75" customHeight="1">
      <c r="A288" t="s">
        <v>17372</v>
      </c>
      <c r="B288" s="281" t="s">
        <v>1</v>
      </c>
      <c r="C288" t="s">
        <v>17373</v>
      </c>
      <c r="D288" t="s">
        <v>16401</v>
      </c>
      <c r="G288" t="s">
        <v>6</v>
      </c>
      <c r="J288" t="s">
        <v>17325</v>
      </c>
    </row>
    <row r="289" spans="1:10" ht="12.75" customHeight="1">
      <c r="A289" t="s">
        <v>17374</v>
      </c>
      <c r="B289" s="281" t="s">
        <v>1</v>
      </c>
      <c r="C289" t="s">
        <v>17375</v>
      </c>
      <c r="D289" t="s">
        <v>16482</v>
      </c>
      <c r="G289" t="s">
        <v>6</v>
      </c>
      <c r="J289" t="s">
        <v>17280</v>
      </c>
    </row>
    <row r="290" spans="1:10" ht="12.75" customHeight="1">
      <c r="A290" t="s">
        <v>17376</v>
      </c>
      <c r="B290" s="281" t="s">
        <v>1</v>
      </c>
      <c r="C290" t="s">
        <v>17377</v>
      </c>
      <c r="D290" t="s">
        <v>3</v>
      </c>
      <c r="G290" t="s">
        <v>17378</v>
      </c>
      <c r="J290" t="s">
        <v>17235</v>
      </c>
    </row>
    <row r="291" spans="1:10" ht="12.75" customHeight="1">
      <c r="A291" t="s">
        <v>17379</v>
      </c>
      <c r="B291" s="281" t="s">
        <v>1</v>
      </c>
      <c r="C291" t="s">
        <v>17380</v>
      </c>
      <c r="D291" t="s">
        <v>3</v>
      </c>
      <c r="G291" t="s">
        <v>6</v>
      </c>
      <c r="J291" t="s">
        <v>16388</v>
      </c>
    </row>
    <row r="292" spans="1:10" ht="12.75" customHeight="1">
      <c r="A292" t="s">
        <v>17381</v>
      </c>
      <c r="B292" s="281" t="s">
        <v>1</v>
      </c>
      <c r="C292" t="s">
        <v>17382</v>
      </c>
      <c r="D292" t="s">
        <v>16401</v>
      </c>
      <c r="G292" t="s">
        <v>17378</v>
      </c>
      <c r="J292" t="s">
        <v>17383</v>
      </c>
    </row>
    <row r="293" spans="1:10" ht="12.75" customHeight="1">
      <c r="A293" t="s">
        <v>17384</v>
      </c>
      <c r="B293" s="281" t="s">
        <v>1</v>
      </c>
      <c r="C293" t="s">
        <v>17385</v>
      </c>
      <c r="D293" t="s">
        <v>3</v>
      </c>
      <c r="G293" t="s">
        <v>6</v>
      </c>
      <c r="J293" t="s">
        <v>16388</v>
      </c>
    </row>
    <row r="294" spans="1:10" ht="12.75" customHeight="1">
      <c r="A294" t="s">
        <v>17386</v>
      </c>
      <c r="B294" s="281" t="s">
        <v>1</v>
      </c>
      <c r="C294" t="s">
        <v>17387</v>
      </c>
      <c r="D294" t="s">
        <v>3</v>
      </c>
      <c r="G294" t="s">
        <v>6</v>
      </c>
      <c r="J294" t="s">
        <v>16388</v>
      </c>
    </row>
    <row r="295" spans="1:10" ht="12.75" customHeight="1">
      <c r="A295" t="s">
        <v>17388</v>
      </c>
      <c r="B295" s="281" t="s">
        <v>1</v>
      </c>
      <c r="C295" t="s">
        <v>17389</v>
      </c>
      <c r="D295" t="s">
        <v>16401</v>
      </c>
      <c r="G295" t="s">
        <v>6</v>
      </c>
      <c r="J295" t="s">
        <v>17331</v>
      </c>
    </row>
    <row r="296" spans="1:10" ht="12.75" customHeight="1">
      <c r="A296" t="s">
        <v>17390</v>
      </c>
      <c r="B296" s="281" t="s">
        <v>1</v>
      </c>
      <c r="C296" t="s">
        <v>17391</v>
      </c>
      <c r="D296" t="s">
        <v>16401</v>
      </c>
      <c r="G296" t="s">
        <v>17378</v>
      </c>
      <c r="J296" t="s">
        <v>17235</v>
      </c>
    </row>
    <row r="297" spans="1:10" ht="12.75" customHeight="1">
      <c r="A297" t="s">
        <v>17392</v>
      </c>
      <c r="B297" s="281" t="s">
        <v>1</v>
      </c>
      <c r="C297" t="s">
        <v>17393</v>
      </c>
      <c r="D297" t="s">
        <v>16401</v>
      </c>
      <c r="G297" t="s">
        <v>17378</v>
      </c>
      <c r="J297" t="s">
        <v>17235</v>
      </c>
    </row>
    <row r="298" spans="1:10" ht="12.75" customHeight="1">
      <c r="A298" t="s">
        <v>17394</v>
      </c>
      <c r="B298" s="281" t="s">
        <v>1</v>
      </c>
      <c r="C298" t="s">
        <v>17395</v>
      </c>
      <c r="D298" t="s">
        <v>3</v>
      </c>
      <c r="G298" t="s">
        <v>17378</v>
      </c>
      <c r="J298" t="s">
        <v>17235</v>
      </c>
    </row>
    <row r="299" spans="1:10" ht="12.75" customHeight="1">
      <c r="A299" t="s">
        <v>17396</v>
      </c>
      <c r="B299" s="281" t="s">
        <v>1</v>
      </c>
      <c r="C299" t="s">
        <v>17397</v>
      </c>
      <c r="D299" t="s">
        <v>16401</v>
      </c>
      <c r="G299" t="s">
        <v>6</v>
      </c>
      <c r="J299" t="s">
        <v>17398</v>
      </c>
    </row>
    <row r="300" spans="1:10" ht="12.75" customHeight="1">
      <c r="A300" t="s">
        <v>17399</v>
      </c>
      <c r="B300" s="281" t="s">
        <v>1</v>
      </c>
      <c r="C300" t="s">
        <v>16742</v>
      </c>
      <c r="D300" t="s">
        <v>3</v>
      </c>
      <c r="G300" t="s">
        <v>6</v>
      </c>
      <c r="J300" t="s">
        <v>16388</v>
      </c>
    </row>
    <row r="301" spans="1:10" ht="12.75" customHeight="1">
      <c r="A301" t="s">
        <v>17400</v>
      </c>
      <c r="B301" s="281" t="s">
        <v>1</v>
      </c>
      <c r="C301" t="s">
        <v>17401</v>
      </c>
      <c r="D301" t="s">
        <v>16401</v>
      </c>
      <c r="G301" t="s">
        <v>16403</v>
      </c>
      <c r="J301" t="s">
        <v>17003</v>
      </c>
    </row>
    <row r="302" spans="1:10" ht="12.75" customHeight="1">
      <c r="A302" t="s">
        <v>17402</v>
      </c>
      <c r="B302" s="281" t="s">
        <v>1</v>
      </c>
      <c r="C302" t="s">
        <v>17403</v>
      </c>
      <c r="D302" t="s">
        <v>16401</v>
      </c>
      <c r="G302" t="s">
        <v>6</v>
      </c>
      <c r="J302" t="s">
        <v>17313</v>
      </c>
    </row>
    <row r="303" spans="1:10" ht="12.75" customHeight="1">
      <c r="A303" t="s">
        <v>17404</v>
      </c>
      <c r="B303" s="281" t="s">
        <v>1</v>
      </c>
      <c r="C303" t="s">
        <v>17405</v>
      </c>
      <c r="D303" t="s">
        <v>16401</v>
      </c>
      <c r="G303" t="s">
        <v>6</v>
      </c>
      <c r="J303" t="s">
        <v>17398</v>
      </c>
    </row>
  </sheetData>
  <phoneticPr fontId="6" type="noConversion"/>
  <pageMargins left="0" right="0" top="0" bottom="0" header="0" footer="0"/>
  <pageSetup paperSize="9" fitToWidth="0" fitToHeight="0" orientation="landscape" horizontalDpi="0" verticalDpi="0" copies="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7">
    <tabColor rgb="FFFFFF00"/>
  </sheetPr>
  <dimension ref="A1:AB1867"/>
  <sheetViews>
    <sheetView zoomScale="85" workbookViewId="0">
      <pane ySplit="1" topLeftCell="A1857" activePane="bottomLeft" state="frozen"/>
      <selection pane="bottomLeft" activeCell="D1875" sqref="D1875"/>
    </sheetView>
  </sheetViews>
  <sheetFormatPr defaultColWidth="6.85546875" defaultRowHeight="12.6"/>
  <cols>
    <col min="1" max="1" width="12.85546875" bestFit="1" customWidth="1"/>
    <col min="2" max="2" width="11.7109375" bestFit="1" customWidth="1"/>
    <col min="3" max="3" width="7.5703125" bestFit="1" customWidth="1"/>
    <col min="4" max="4" width="36.85546875" bestFit="1" customWidth="1"/>
    <col min="5" max="5" width="6.5703125" bestFit="1" customWidth="1"/>
    <col min="6" max="6" width="12.5703125" bestFit="1" customWidth="1"/>
    <col min="7" max="7" width="11.140625" style="259" bestFit="1" customWidth="1"/>
    <col min="8" max="8" width="12.5703125" style="259" bestFit="1" customWidth="1"/>
    <col min="9" max="10" width="11.140625" style="259" bestFit="1" customWidth="1"/>
    <col min="11" max="11" width="17.42578125" style="260" bestFit="1" customWidth="1"/>
    <col min="12" max="12" width="17.85546875" style="260" bestFit="1" customWidth="1"/>
    <col min="13" max="13" width="15" style="260" bestFit="1" customWidth="1"/>
    <col min="14" max="14" width="16.85546875" style="260" bestFit="1" customWidth="1"/>
    <col min="15" max="15" width="11.140625" style="261" customWidth="1"/>
    <col min="16" max="16" width="12.5703125" style="261" bestFit="1" customWidth="1"/>
    <col min="17" max="18" width="11.140625" style="261" customWidth="1"/>
    <col min="19" max="19" width="12.5703125" bestFit="1" customWidth="1"/>
    <col min="20" max="20" width="11.7109375" bestFit="1" customWidth="1"/>
    <col min="21" max="21" width="23.140625" bestFit="1" customWidth="1"/>
    <col min="23" max="23" width="12.5703125" style="60" bestFit="1" customWidth="1"/>
    <col min="24" max="24" width="11.7109375" bestFit="1" customWidth="1"/>
    <col min="25" max="25" width="15" bestFit="1" customWidth="1"/>
    <col min="26" max="28" width="12" bestFit="1" customWidth="1"/>
  </cols>
  <sheetData>
    <row r="1" spans="1:28">
      <c r="A1" t="s">
        <v>17406</v>
      </c>
      <c r="B1" t="s">
        <v>17407</v>
      </c>
      <c r="C1" t="s">
        <v>17408</v>
      </c>
      <c r="D1" t="s">
        <v>17409</v>
      </c>
      <c r="E1" t="s">
        <v>17410</v>
      </c>
      <c r="F1" t="s">
        <v>17411</v>
      </c>
      <c r="G1" s="259" t="s">
        <v>17412</v>
      </c>
      <c r="H1" s="259" t="s">
        <v>17413</v>
      </c>
      <c r="I1" s="259" t="s">
        <v>17414</v>
      </c>
      <c r="J1" s="259" t="s">
        <v>17415</v>
      </c>
      <c r="K1" s="260" t="s">
        <v>17416</v>
      </c>
      <c r="L1" s="260" t="s">
        <v>17417</v>
      </c>
      <c r="M1" s="260" t="s">
        <v>17418</v>
      </c>
      <c r="N1" s="260" t="s">
        <v>17419</v>
      </c>
      <c r="O1" s="261" t="s">
        <v>17412</v>
      </c>
      <c r="P1" s="261" t="s">
        <v>17413</v>
      </c>
      <c r="Q1" s="261" t="s">
        <v>17414</v>
      </c>
      <c r="R1" s="261" t="s">
        <v>17415</v>
      </c>
      <c r="U1" t="s">
        <v>17420</v>
      </c>
    </row>
    <row r="2" spans="1:28">
      <c r="A2" t="s">
        <v>17421</v>
      </c>
      <c r="B2" s="262">
        <v>43467</v>
      </c>
      <c r="C2" t="s">
        <v>16838</v>
      </c>
      <c r="D2" t="s">
        <v>16839</v>
      </c>
      <c r="E2" s="60">
        <v>0</v>
      </c>
      <c r="F2" s="60">
        <v>142831.92000000001</v>
      </c>
      <c r="G2" s="263">
        <v>0</v>
      </c>
      <c r="H2" s="263">
        <v>142831.92000000001</v>
      </c>
      <c r="I2" s="263">
        <v>0</v>
      </c>
      <c r="J2" s="263">
        <v>0</v>
      </c>
      <c r="O2" s="264"/>
      <c r="P2" s="264"/>
      <c r="Q2" s="264"/>
      <c r="R2" s="264"/>
      <c r="S2" s="60"/>
      <c r="T2" s="60"/>
      <c r="U2" t="s">
        <v>17422</v>
      </c>
      <c r="W2"/>
    </row>
    <row r="3" spans="1:28">
      <c r="A3" t="s">
        <v>17423</v>
      </c>
      <c r="B3" s="262">
        <v>43467</v>
      </c>
      <c r="C3" t="s">
        <v>16972</v>
      </c>
      <c r="D3" t="s">
        <v>17424</v>
      </c>
      <c r="E3" s="60">
        <v>0</v>
      </c>
      <c r="F3" s="60">
        <v>165200</v>
      </c>
      <c r="G3" s="263">
        <v>0</v>
      </c>
      <c r="H3" s="263">
        <v>0</v>
      </c>
      <c r="I3" s="263">
        <v>165200</v>
      </c>
      <c r="J3" s="263">
        <v>0</v>
      </c>
      <c r="O3" s="264"/>
      <c r="P3" s="264"/>
      <c r="Q3" s="264"/>
      <c r="R3" s="264"/>
      <c r="S3" s="60"/>
      <c r="T3" s="60"/>
      <c r="U3" t="s">
        <v>17425</v>
      </c>
      <c r="W3"/>
    </row>
    <row r="4" spans="1:28">
      <c r="A4" t="s">
        <v>17426</v>
      </c>
      <c r="B4" s="262">
        <v>43467</v>
      </c>
      <c r="C4" t="s">
        <v>16880</v>
      </c>
      <c r="D4" t="s">
        <v>16881</v>
      </c>
      <c r="E4" s="60">
        <v>0</v>
      </c>
      <c r="F4" s="60">
        <v>68149.133000000002</v>
      </c>
      <c r="G4" s="263">
        <v>20906.770499999999</v>
      </c>
      <c r="H4" s="263">
        <v>47242.362575000006</v>
      </c>
      <c r="I4" s="263">
        <v>0</v>
      </c>
      <c r="J4" s="263">
        <v>0</v>
      </c>
      <c r="O4" s="264"/>
      <c r="P4" s="264"/>
      <c r="Q4" s="264"/>
      <c r="R4" s="264"/>
      <c r="S4" s="60"/>
      <c r="T4" s="60"/>
      <c r="U4" t="s">
        <v>17427</v>
      </c>
      <c r="W4"/>
    </row>
    <row r="5" spans="1:28">
      <c r="A5" t="s">
        <v>17428</v>
      </c>
      <c r="B5" s="262">
        <v>43497</v>
      </c>
      <c r="C5" t="s">
        <v>16977</v>
      </c>
      <c r="D5" t="s">
        <v>16978</v>
      </c>
      <c r="E5" s="60">
        <v>0</v>
      </c>
      <c r="F5" s="60">
        <v>33787.563999999998</v>
      </c>
      <c r="G5" s="263">
        <v>0</v>
      </c>
      <c r="H5" s="263">
        <v>0</v>
      </c>
      <c r="I5" s="263">
        <v>0</v>
      </c>
      <c r="J5" s="263">
        <v>33787.564000000006</v>
      </c>
      <c r="O5" s="264"/>
      <c r="P5" s="264"/>
      <c r="Q5" s="264"/>
      <c r="R5" s="264"/>
      <c r="S5" s="60"/>
      <c r="T5" s="60"/>
      <c r="W5"/>
    </row>
    <row r="6" spans="1:28">
      <c r="A6" t="s">
        <v>17429</v>
      </c>
      <c r="B6" s="262">
        <v>43467</v>
      </c>
      <c r="C6" t="s">
        <v>17017</v>
      </c>
      <c r="D6" t="s">
        <v>17430</v>
      </c>
      <c r="E6" s="60">
        <v>0</v>
      </c>
      <c r="F6" s="60">
        <v>50400</v>
      </c>
      <c r="G6" s="263">
        <v>0</v>
      </c>
      <c r="H6" s="263">
        <v>0</v>
      </c>
      <c r="I6" s="263">
        <v>50400</v>
      </c>
      <c r="J6" s="263">
        <v>0</v>
      </c>
      <c r="O6" s="264"/>
      <c r="P6" s="264"/>
      <c r="Q6" s="264"/>
      <c r="R6" s="264"/>
      <c r="S6" s="60"/>
      <c r="T6" s="60"/>
      <c r="U6" t="s">
        <v>17431</v>
      </c>
      <c r="W6"/>
    </row>
    <row r="7" spans="1:28">
      <c r="A7" t="s">
        <v>17432</v>
      </c>
      <c r="B7" s="262">
        <v>43467</v>
      </c>
      <c r="C7" t="s">
        <v>16643</v>
      </c>
      <c r="D7" t="s">
        <v>16644</v>
      </c>
      <c r="E7" s="60">
        <v>0</v>
      </c>
      <c r="F7" s="60">
        <v>71516.544999999998</v>
      </c>
      <c r="G7" s="263">
        <v>0</v>
      </c>
      <c r="H7" s="263">
        <v>53704.205099999999</v>
      </c>
      <c r="I7" s="263">
        <v>0</v>
      </c>
      <c r="J7" s="263">
        <v>0</v>
      </c>
      <c r="O7" s="264"/>
      <c r="P7" s="264"/>
      <c r="Q7" s="264"/>
      <c r="R7" s="264"/>
      <c r="S7" s="60"/>
      <c r="T7" s="60"/>
      <c r="U7" t="s">
        <v>17433</v>
      </c>
      <c r="W7"/>
    </row>
    <row r="8" spans="1:28">
      <c r="A8" t="s">
        <v>17434</v>
      </c>
      <c r="B8" s="262">
        <v>43473</v>
      </c>
      <c r="C8" t="s">
        <v>16838</v>
      </c>
      <c r="D8" t="s">
        <v>16839</v>
      </c>
      <c r="E8" s="60">
        <v>0</v>
      </c>
      <c r="F8" s="60">
        <v>144152.4</v>
      </c>
      <c r="G8" s="263">
        <v>0</v>
      </c>
      <c r="H8" s="263">
        <v>144152.4</v>
      </c>
      <c r="I8" s="263">
        <v>0</v>
      </c>
      <c r="J8" s="263">
        <v>0</v>
      </c>
      <c r="O8" s="264"/>
      <c r="P8" s="264"/>
      <c r="Q8" s="264"/>
      <c r="R8" s="264"/>
      <c r="S8" s="60"/>
      <c r="T8" s="60"/>
      <c r="U8" t="s">
        <v>17422</v>
      </c>
      <c r="W8"/>
    </row>
    <row r="9" spans="1:28">
      <c r="A9" t="s">
        <v>17435</v>
      </c>
      <c r="B9" s="262">
        <v>43473</v>
      </c>
      <c r="C9" t="s">
        <v>16444</v>
      </c>
      <c r="D9" t="s">
        <v>16445</v>
      </c>
      <c r="E9" s="60">
        <v>0</v>
      </c>
      <c r="F9" s="60">
        <v>107367.6</v>
      </c>
      <c r="G9" s="263">
        <v>55858.8</v>
      </c>
      <c r="H9" s="263">
        <v>51508.800000000003</v>
      </c>
      <c r="I9" s="263">
        <v>0</v>
      </c>
      <c r="J9" s="263">
        <v>0</v>
      </c>
      <c r="O9" s="264"/>
      <c r="P9" s="264"/>
      <c r="Q9" s="264"/>
      <c r="R9" s="264"/>
      <c r="S9" s="60"/>
      <c r="T9" s="60"/>
      <c r="U9" t="s">
        <v>17436</v>
      </c>
      <c r="W9"/>
      <c r="Y9" s="297" t="s">
        <v>17437</v>
      </c>
      <c r="Z9" s="62" t="s">
        <v>17438</v>
      </c>
      <c r="AA9" s="63"/>
      <c r="AB9" s="64"/>
    </row>
    <row r="10" spans="1:28">
      <c r="A10" t="s">
        <v>17439</v>
      </c>
      <c r="B10" s="262">
        <v>43473</v>
      </c>
      <c r="C10" t="s">
        <v>16904</v>
      </c>
      <c r="D10" t="s">
        <v>16905</v>
      </c>
      <c r="E10" s="60">
        <v>0</v>
      </c>
      <c r="F10" s="60">
        <v>51091.335999999996</v>
      </c>
      <c r="G10" s="263">
        <v>0</v>
      </c>
      <c r="H10" s="263">
        <v>27906.534018000002</v>
      </c>
      <c r="I10" s="263">
        <v>12620.7549</v>
      </c>
      <c r="J10" s="263">
        <v>2353.3266869999998</v>
      </c>
      <c r="O10" s="264"/>
      <c r="P10" s="264"/>
      <c r="Q10" s="264"/>
      <c r="R10" s="264"/>
      <c r="S10" s="60"/>
      <c r="T10" s="60"/>
      <c r="U10" t="s">
        <v>17440</v>
      </c>
      <c r="W10"/>
      <c r="Y10" s="62" t="s">
        <v>17441</v>
      </c>
      <c r="Z10" s="62">
        <v>2019</v>
      </c>
      <c r="AA10" s="65">
        <v>2020</v>
      </c>
      <c r="AB10" s="95" t="s">
        <v>17442</v>
      </c>
    </row>
    <row r="11" spans="1:28">
      <c r="A11" t="s">
        <v>17443</v>
      </c>
      <c r="B11" s="262">
        <v>43473</v>
      </c>
      <c r="C11" t="s">
        <v>16904</v>
      </c>
      <c r="D11" t="s">
        <v>16905</v>
      </c>
      <c r="E11" s="60">
        <v>0</v>
      </c>
      <c r="F11" s="60">
        <v>40186.053</v>
      </c>
      <c r="G11" s="263">
        <v>0</v>
      </c>
      <c r="H11" s="263">
        <v>31975.333199999997</v>
      </c>
      <c r="I11" s="263">
        <v>0</v>
      </c>
      <c r="J11" s="263">
        <v>0</v>
      </c>
      <c r="O11" s="264"/>
      <c r="P11" s="264"/>
      <c r="Q11" s="264"/>
      <c r="R11" s="264"/>
      <c r="S11" s="60"/>
      <c r="T11" s="60"/>
      <c r="U11" t="s">
        <v>17444</v>
      </c>
      <c r="W11"/>
      <c r="Y11" s="62">
        <v>1</v>
      </c>
      <c r="Z11" s="62">
        <v>2300266.5409999997</v>
      </c>
      <c r="AA11" s="65">
        <v>3042819.3390000002</v>
      </c>
      <c r="AB11" s="95">
        <v>5343085.88</v>
      </c>
    </row>
    <row r="12" spans="1:28">
      <c r="A12" t="s">
        <v>17445</v>
      </c>
      <c r="B12" s="262">
        <v>43473</v>
      </c>
      <c r="C12" t="s">
        <v>16904</v>
      </c>
      <c r="D12" t="s">
        <v>16905</v>
      </c>
      <c r="E12" s="60">
        <v>0</v>
      </c>
      <c r="F12" s="60">
        <v>40186.053</v>
      </c>
      <c r="G12" s="263">
        <v>0</v>
      </c>
      <c r="H12" s="263">
        <v>31975.333199999997</v>
      </c>
      <c r="I12" s="263">
        <v>0</v>
      </c>
      <c r="J12" s="263">
        <v>0</v>
      </c>
      <c r="O12" s="264"/>
      <c r="P12" s="264"/>
      <c r="Q12" s="264"/>
      <c r="R12" s="264"/>
      <c r="S12" s="60"/>
      <c r="T12" s="60"/>
      <c r="U12" t="s">
        <v>17446</v>
      </c>
      <c r="W12"/>
      <c r="Y12" s="66">
        <v>2</v>
      </c>
      <c r="Z12" s="66">
        <v>3856813.7610000004</v>
      </c>
      <c r="AA12">
        <v>3260298.784</v>
      </c>
      <c r="AB12" s="265">
        <v>7117112.5449999999</v>
      </c>
    </row>
    <row r="13" spans="1:28">
      <c r="A13" t="s">
        <v>17447</v>
      </c>
      <c r="B13" s="262">
        <v>43473</v>
      </c>
      <c r="C13" t="s">
        <v>17119</v>
      </c>
      <c r="D13" t="s">
        <v>17120</v>
      </c>
      <c r="E13" s="60">
        <v>0</v>
      </c>
      <c r="F13" s="60">
        <v>78333.710000000006</v>
      </c>
      <c r="G13" s="263">
        <v>50601.800466000001</v>
      </c>
      <c r="H13" s="263">
        <v>15709.709295000001</v>
      </c>
      <c r="I13" s="263">
        <v>0</v>
      </c>
      <c r="J13" s="263">
        <v>0</v>
      </c>
      <c r="O13" s="264"/>
      <c r="P13" s="264"/>
      <c r="Q13" s="264"/>
      <c r="R13" s="264"/>
      <c r="S13" s="60"/>
      <c r="T13" s="60"/>
      <c r="U13" t="s">
        <v>17448</v>
      </c>
      <c r="W13"/>
      <c r="Y13" s="66">
        <v>3</v>
      </c>
      <c r="Z13" s="66">
        <v>2711774.2680000002</v>
      </c>
      <c r="AA13">
        <v>1429951.9639999999</v>
      </c>
      <c r="AB13" s="265">
        <v>4141726.2319999998</v>
      </c>
    </row>
    <row r="14" spans="1:28">
      <c r="A14" t="s">
        <v>17449</v>
      </c>
      <c r="B14" s="262">
        <v>43473</v>
      </c>
      <c r="C14" t="s">
        <v>16384</v>
      </c>
      <c r="D14" t="s">
        <v>16385</v>
      </c>
      <c r="E14" s="60">
        <v>0</v>
      </c>
      <c r="F14" s="60">
        <v>341600</v>
      </c>
      <c r="G14" s="263">
        <v>0</v>
      </c>
      <c r="H14" s="263">
        <v>0</v>
      </c>
      <c r="I14" s="263">
        <v>341600</v>
      </c>
      <c r="J14" s="263">
        <v>0</v>
      </c>
      <c r="O14" s="264"/>
      <c r="P14" s="264"/>
      <c r="Q14" s="264"/>
      <c r="R14" s="264"/>
      <c r="S14" s="60"/>
      <c r="T14" s="60"/>
      <c r="U14" t="s">
        <v>17425</v>
      </c>
      <c r="W14"/>
      <c r="Y14" s="66">
        <v>4</v>
      </c>
      <c r="Z14" s="66">
        <v>2753326.2069999999</v>
      </c>
      <c r="AA14">
        <v>1619958.1410000001</v>
      </c>
      <c r="AB14" s="265">
        <v>4373284.3480000002</v>
      </c>
    </row>
    <row r="15" spans="1:28">
      <c r="A15" t="s">
        <v>17450</v>
      </c>
      <c r="B15" s="262">
        <v>43473</v>
      </c>
      <c r="C15" t="s">
        <v>16957</v>
      </c>
      <c r="D15" t="s">
        <v>17451</v>
      </c>
      <c r="E15" s="60">
        <v>0</v>
      </c>
      <c r="F15" s="60">
        <v>41765.700000000004</v>
      </c>
      <c r="G15" s="263">
        <v>41765.699999999997</v>
      </c>
      <c r="H15" s="263">
        <v>0</v>
      </c>
      <c r="I15" s="263">
        <v>0</v>
      </c>
      <c r="J15" s="263">
        <v>0</v>
      </c>
      <c r="O15" s="264"/>
      <c r="P15" s="264"/>
      <c r="Q15" s="264"/>
      <c r="R15" s="264"/>
      <c r="S15" s="60"/>
      <c r="T15" s="60"/>
      <c r="U15" t="s">
        <v>17452</v>
      </c>
      <c r="W15"/>
      <c r="Y15" s="66">
        <v>5</v>
      </c>
      <c r="Z15" s="66">
        <v>3841291.3949999996</v>
      </c>
      <c r="AA15">
        <v>2795293.6030000001</v>
      </c>
      <c r="AB15" s="265">
        <v>6636584.9979999997</v>
      </c>
    </row>
    <row r="16" spans="1:28">
      <c r="A16" t="s">
        <v>17453</v>
      </c>
      <c r="B16" s="262">
        <v>43475</v>
      </c>
      <c r="C16" t="s">
        <v>17176</v>
      </c>
      <c r="D16" t="s">
        <v>17454</v>
      </c>
      <c r="E16" s="60">
        <v>0</v>
      </c>
      <c r="F16" s="60">
        <v>498003</v>
      </c>
      <c r="G16" s="263">
        <v>0</v>
      </c>
      <c r="H16" s="263">
        <v>414975.93983999937</v>
      </c>
      <c r="I16" s="263">
        <v>83027.060159999994</v>
      </c>
      <c r="J16" s="263">
        <v>0</v>
      </c>
      <c r="O16" s="264"/>
      <c r="P16" s="264"/>
      <c r="Q16" s="264"/>
      <c r="R16" s="264"/>
      <c r="S16" s="60"/>
      <c r="T16" s="60"/>
      <c r="W16"/>
      <c r="Y16" s="66">
        <v>6</v>
      </c>
      <c r="Z16" s="66">
        <v>2374272.1910000006</v>
      </c>
      <c r="AA16">
        <v>6333266.4829999981</v>
      </c>
      <c r="AB16" s="265">
        <v>8707538.6739999987</v>
      </c>
    </row>
    <row r="17" spans="1:28">
      <c r="A17" t="s">
        <v>17455</v>
      </c>
      <c r="B17" s="262">
        <v>43476</v>
      </c>
      <c r="C17" t="s">
        <v>16444</v>
      </c>
      <c r="D17" t="s">
        <v>16445</v>
      </c>
      <c r="E17" s="60">
        <v>0</v>
      </c>
      <c r="F17" s="60">
        <v>35850.239999999998</v>
      </c>
      <c r="G17" s="263">
        <v>0</v>
      </c>
      <c r="H17" s="263">
        <v>0</v>
      </c>
      <c r="I17" s="263">
        <v>35850.239999999998</v>
      </c>
      <c r="J17" s="263">
        <v>0</v>
      </c>
      <c r="O17" s="264"/>
      <c r="P17" s="264"/>
      <c r="Q17" s="264"/>
      <c r="R17" s="264"/>
      <c r="S17" s="60"/>
      <c r="T17" s="60"/>
      <c r="U17" t="s">
        <v>17456</v>
      </c>
      <c r="W17"/>
      <c r="Y17" s="66">
        <v>7</v>
      </c>
      <c r="Z17" s="66">
        <v>2976111.7169999997</v>
      </c>
      <c r="AA17">
        <v>3760896.3199999994</v>
      </c>
      <c r="AB17" s="265">
        <v>6737008.0369999986</v>
      </c>
    </row>
    <row r="18" spans="1:28">
      <c r="A18" t="s">
        <v>17457</v>
      </c>
      <c r="B18" s="262">
        <v>43476</v>
      </c>
      <c r="C18" t="s">
        <v>16444</v>
      </c>
      <c r="D18" t="s">
        <v>16445</v>
      </c>
      <c r="E18" s="60">
        <v>0</v>
      </c>
      <c r="F18" s="60">
        <v>35850.239999999998</v>
      </c>
      <c r="G18" s="263">
        <v>0</v>
      </c>
      <c r="H18" s="263">
        <v>0</v>
      </c>
      <c r="I18" s="263">
        <v>35850.239999999998</v>
      </c>
      <c r="J18" s="263">
        <v>0</v>
      </c>
      <c r="O18" s="264"/>
      <c r="P18" s="264"/>
      <c r="Q18" s="264"/>
      <c r="R18" s="264"/>
      <c r="S18" s="60"/>
      <c r="T18" s="60"/>
      <c r="U18" t="s">
        <v>17456</v>
      </c>
      <c r="W18"/>
      <c r="Y18" s="66">
        <v>8</v>
      </c>
      <c r="Z18" s="66">
        <v>2180315.2110000001</v>
      </c>
      <c r="AA18">
        <v>4943868.1470000008</v>
      </c>
      <c r="AB18" s="265">
        <v>7124183.3580000009</v>
      </c>
    </row>
    <row r="19" spans="1:28">
      <c r="A19" t="s">
        <v>17458</v>
      </c>
      <c r="B19" s="262">
        <v>43497</v>
      </c>
      <c r="C19" t="s">
        <v>16899</v>
      </c>
      <c r="D19" t="s">
        <v>17459</v>
      </c>
      <c r="E19" s="60">
        <v>0</v>
      </c>
      <c r="F19" s="60">
        <v>81024</v>
      </c>
      <c r="G19" s="263">
        <v>81024</v>
      </c>
      <c r="H19" s="263">
        <v>0</v>
      </c>
      <c r="I19" s="263">
        <v>0</v>
      </c>
      <c r="J19" s="263">
        <v>0</v>
      </c>
      <c r="O19" s="264"/>
      <c r="P19" s="264"/>
      <c r="Q19" s="264"/>
      <c r="R19" s="264"/>
      <c r="S19" s="60"/>
      <c r="T19" s="60"/>
      <c r="U19" t="s">
        <v>17460</v>
      </c>
      <c r="W19"/>
      <c r="Y19" s="66">
        <v>9</v>
      </c>
      <c r="Z19" s="66">
        <v>2583109.63</v>
      </c>
      <c r="AA19">
        <v>6543355.2020000005</v>
      </c>
      <c r="AB19" s="265">
        <v>9126464.8320000004</v>
      </c>
    </row>
    <row r="20" spans="1:28">
      <c r="A20" t="s">
        <v>17461</v>
      </c>
      <c r="B20" s="262">
        <v>43482</v>
      </c>
      <c r="C20" t="s">
        <v>17017</v>
      </c>
      <c r="D20" t="s">
        <v>17430</v>
      </c>
      <c r="E20" s="60">
        <v>0</v>
      </c>
      <c r="F20" s="60">
        <v>27600</v>
      </c>
      <c r="G20" s="263">
        <v>0</v>
      </c>
      <c r="H20" s="263">
        <v>27600</v>
      </c>
      <c r="I20" s="263">
        <v>0</v>
      </c>
      <c r="J20" s="263">
        <v>0</v>
      </c>
      <c r="O20" s="264"/>
      <c r="P20" s="264"/>
      <c r="Q20" s="264"/>
      <c r="R20" s="264"/>
      <c r="S20" s="60"/>
      <c r="T20" s="60"/>
      <c r="U20" t="s">
        <v>17462</v>
      </c>
      <c r="W20"/>
      <c r="Y20" s="66">
        <v>10</v>
      </c>
      <c r="Z20" s="66">
        <v>1434108.4709999999</v>
      </c>
      <c r="AA20">
        <v>3431571.5780000002</v>
      </c>
      <c r="AB20" s="265">
        <v>4865680.0490000006</v>
      </c>
    </row>
    <row r="21" spans="1:28">
      <c r="A21" t="s">
        <v>17463</v>
      </c>
      <c r="B21" s="262">
        <v>43482</v>
      </c>
      <c r="C21" t="s">
        <v>17017</v>
      </c>
      <c r="D21" t="s">
        <v>17430</v>
      </c>
      <c r="E21" s="60">
        <v>0</v>
      </c>
      <c r="F21" s="60">
        <v>55200</v>
      </c>
      <c r="G21" s="263">
        <v>0</v>
      </c>
      <c r="H21" s="263">
        <v>55200</v>
      </c>
      <c r="I21" s="263">
        <v>0</v>
      </c>
      <c r="J21" s="263">
        <v>0</v>
      </c>
      <c r="O21" s="264"/>
      <c r="P21" s="264"/>
      <c r="Q21" s="264"/>
      <c r="R21" s="264"/>
      <c r="S21" s="60"/>
      <c r="T21" s="60"/>
      <c r="U21" t="s">
        <v>17464</v>
      </c>
      <c r="W21"/>
      <c r="Y21" s="66">
        <v>11</v>
      </c>
      <c r="Z21" s="66">
        <v>2617364.1460000002</v>
      </c>
      <c r="AB21" s="265">
        <v>2617364.1460000002</v>
      </c>
    </row>
    <row r="22" spans="1:28">
      <c r="A22" t="s">
        <v>17465</v>
      </c>
      <c r="B22" s="262">
        <v>43497</v>
      </c>
      <c r="C22" t="s">
        <v>17017</v>
      </c>
      <c r="D22" t="s">
        <v>17430</v>
      </c>
      <c r="E22" s="60">
        <v>0</v>
      </c>
      <c r="F22" s="60">
        <v>31887.360000000001</v>
      </c>
      <c r="G22" s="263">
        <v>0</v>
      </c>
      <c r="H22" s="263">
        <v>26139.360000000001</v>
      </c>
      <c r="I22" s="263">
        <v>3408</v>
      </c>
      <c r="J22" s="263">
        <v>2340</v>
      </c>
      <c r="O22" s="264"/>
      <c r="P22" s="264"/>
      <c r="Q22" s="264"/>
      <c r="R22" s="264"/>
      <c r="S22" s="60"/>
      <c r="T22" s="60"/>
      <c r="U22" t="s">
        <v>17466</v>
      </c>
      <c r="W22"/>
      <c r="Y22" s="66">
        <v>12</v>
      </c>
      <c r="Z22" s="66">
        <v>3608590.9710000004</v>
      </c>
      <c r="AB22" s="265">
        <v>3608590.9710000004</v>
      </c>
    </row>
    <row r="23" spans="1:28">
      <c r="A23" t="s">
        <v>17467</v>
      </c>
      <c r="B23" s="262">
        <v>43497</v>
      </c>
      <c r="C23" t="s">
        <v>17017</v>
      </c>
      <c r="D23" t="s">
        <v>17430</v>
      </c>
      <c r="E23" s="60">
        <v>0</v>
      </c>
      <c r="F23" s="60">
        <v>18295.36</v>
      </c>
      <c r="G23" s="263">
        <v>0</v>
      </c>
      <c r="H23" s="263">
        <v>3680.32</v>
      </c>
      <c r="I23" s="263">
        <v>13499.04</v>
      </c>
      <c r="J23" s="263">
        <v>1116</v>
      </c>
      <c r="O23" s="264"/>
      <c r="P23" s="264"/>
      <c r="Q23" s="264"/>
      <c r="R23" s="264"/>
      <c r="S23" s="60"/>
      <c r="T23" s="60"/>
      <c r="U23" t="s">
        <v>17468</v>
      </c>
      <c r="W23"/>
      <c r="Y23" s="67" t="s">
        <v>17442</v>
      </c>
      <c r="Z23" s="67">
        <v>33237344.509000003</v>
      </c>
      <c r="AA23" s="266">
        <v>37161279.561000004</v>
      </c>
      <c r="AB23" s="61">
        <v>70398624.070000008</v>
      </c>
    </row>
    <row r="24" spans="1:28">
      <c r="A24" t="s">
        <v>17469</v>
      </c>
      <c r="B24" s="262">
        <v>43486</v>
      </c>
      <c r="C24" t="s">
        <v>16838</v>
      </c>
      <c r="D24" t="s">
        <v>16839</v>
      </c>
      <c r="E24" s="60">
        <v>0</v>
      </c>
      <c r="F24" s="60">
        <v>34348.5</v>
      </c>
      <c r="G24" s="263">
        <v>0</v>
      </c>
      <c r="H24" s="263">
        <v>28560</v>
      </c>
      <c r="I24" s="263">
        <v>0</v>
      </c>
      <c r="J24" s="263">
        <v>5788.5</v>
      </c>
      <c r="O24" s="264"/>
      <c r="P24" s="264"/>
      <c r="Q24" s="264"/>
      <c r="R24" s="264"/>
      <c r="S24" s="60"/>
      <c r="T24" s="60"/>
      <c r="U24" t="s">
        <v>17470</v>
      </c>
      <c r="W24"/>
    </row>
    <row r="25" spans="1:28">
      <c r="A25" t="s">
        <v>17471</v>
      </c>
      <c r="B25" s="262">
        <v>43487</v>
      </c>
      <c r="C25" t="s">
        <v>17172</v>
      </c>
      <c r="D25" t="s">
        <v>17173</v>
      </c>
      <c r="E25" s="60">
        <v>0</v>
      </c>
      <c r="F25" s="60">
        <v>43667.192000000003</v>
      </c>
      <c r="G25" s="263">
        <v>0</v>
      </c>
      <c r="H25" s="263">
        <v>0</v>
      </c>
      <c r="I25" s="263">
        <v>37446.301750000006</v>
      </c>
      <c r="J25" s="263">
        <v>0</v>
      </c>
      <c r="O25" s="264"/>
      <c r="P25" s="264"/>
      <c r="Q25" s="264"/>
      <c r="R25" s="264"/>
      <c r="S25" s="60"/>
      <c r="T25" s="60"/>
      <c r="U25" t="s">
        <v>17472</v>
      </c>
      <c r="W25"/>
    </row>
    <row r="26" spans="1:28">
      <c r="A26" t="s">
        <v>17473</v>
      </c>
      <c r="B26" s="262">
        <v>43487</v>
      </c>
      <c r="C26" t="s">
        <v>17172</v>
      </c>
      <c r="D26" t="s">
        <v>17173</v>
      </c>
      <c r="E26" s="60">
        <v>0</v>
      </c>
      <c r="F26" s="60">
        <v>42850.387999999999</v>
      </c>
      <c r="G26" s="263">
        <v>0</v>
      </c>
      <c r="H26" s="263">
        <v>0</v>
      </c>
      <c r="I26" s="263">
        <v>37336.86825</v>
      </c>
      <c r="J26" s="263">
        <v>0</v>
      </c>
      <c r="O26" s="264"/>
      <c r="P26" s="264"/>
      <c r="Q26" s="264"/>
      <c r="R26" s="264"/>
      <c r="S26" s="60"/>
      <c r="T26" s="60"/>
      <c r="U26" t="s">
        <v>17474</v>
      </c>
      <c r="W26"/>
    </row>
    <row r="27" spans="1:28">
      <c r="A27" t="s">
        <v>17475</v>
      </c>
      <c r="B27" s="262">
        <v>43487</v>
      </c>
      <c r="C27" t="s">
        <v>16470</v>
      </c>
      <c r="D27" t="s">
        <v>16471</v>
      </c>
      <c r="E27" s="60">
        <v>0</v>
      </c>
      <c r="F27" s="60">
        <v>184116.53100000002</v>
      </c>
      <c r="G27" s="263">
        <v>0</v>
      </c>
      <c r="H27" s="263">
        <v>147958.97566679999</v>
      </c>
      <c r="I27" s="263">
        <v>0</v>
      </c>
      <c r="J27" s="263">
        <v>0</v>
      </c>
      <c r="O27" s="264"/>
      <c r="P27" s="264"/>
      <c r="Q27" s="264"/>
      <c r="R27" s="264"/>
      <c r="S27" s="60"/>
      <c r="T27" s="60"/>
      <c r="U27" t="s">
        <v>17433</v>
      </c>
      <c r="W27"/>
    </row>
    <row r="28" spans="1:28">
      <c r="A28" t="s">
        <v>17476</v>
      </c>
      <c r="B28" s="262">
        <v>43497</v>
      </c>
      <c r="C28" t="s">
        <v>16880</v>
      </c>
      <c r="D28" t="s">
        <v>16881</v>
      </c>
      <c r="E28" s="60">
        <v>0</v>
      </c>
      <c r="F28" s="60">
        <v>62126.267999999996</v>
      </c>
      <c r="G28" s="263">
        <v>45540.697999999997</v>
      </c>
      <c r="H28" s="263">
        <v>16585.56956</v>
      </c>
      <c r="I28" s="263">
        <v>0</v>
      </c>
      <c r="J28" s="263">
        <v>0</v>
      </c>
      <c r="O28" s="264"/>
      <c r="P28" s="264"/>
      <c r="Q28" s="264"/>
      <c r="R28" s="264"/>
      <c r="S28" s="60"/>
      <c r="T28" s="60"/>
      <c r="U28" t="s">
        <v>17477</v>
      </c>
      <c r="W28"/>
    </row>
    <row r="29" spans="1:28">
      <c r="A29" t="s">
        <v>17478</v>
      </c>
      <c r="B29" s="262">
        <v>43497</v>
      </c>
      <c r="C29" t="s">
        <v>16560</v>
      </c>
      <c r="D29" t="s">
        <v>16561</v>
      </c>
      <c r="E29" s="60">
        <v>0</v>
      </c>
      <c r="F29" s="60">
        <v>153213.228</v>
      </c>
      <c r="G29" s="263">
        <v>0</v>
      </c>
      <c r="H29" s="263">
        <v>0</v>
      </c>
      <c r="I29" s="263">
        <v>153213.228</v>
      </c>
      <c r="J29" s="263">
        <v>0</v>
      </c>
      <c r="O29" s="264"/>
      <c r="P29" s="264"/>
      <c r="Q29" s="264"/>
      <c r="R29" s="264"/>
      <c r="S29" s="60"/>
      <c r="T29" s="60"/>
      <c r="U29" t="s">
        <v>17479</v>
      </c>
      <c r="W29"/>
    </row>
    <row r="30" spans="1:28">
      <c r="A30" t="s">
        <v>17480</v>
      </c>
      <c r="B30" s="262">
        <v>43497</v>
      </c>
      <c r="C30" t="s">
        <v>16560</v>
      </c>
      <c r="D30" t="s">
        <v>16561</v>
      </c>
      <c r="E30" s="60">
        <v>0</v>
      </c>
      <c r="F30" s="60">
        <v>153213.228</v>
      </c>
      <c r="G30" s="263">
        <v>0</v>
      </c>
      <c r="H30" s="263">
        <v>0</v>
      </c>
      <c r="I30" s="263">
        <v>153213.228</v>
      </c>
      <c r="J30" s="263">
        <v>0</v>
      </c>
      <c r="O30" s="264"/>
      <c r="P30" s="264"/>
      <c r="Q30" s="264"/>
      <c r="R30" s="264"/>
      <c r="S30" s="60"/>
      <c r="T30" s="60"/>
      <c r="U30" t="s">
        <v>17479</v>
      </c>
      <c r="W30"/>
    </row>
    <row r="31" spans="1:28">
      <c r="A31" t="s">
        <v>17481</v>
      </c>
      <c r="B31" s="262">
        <v>43497</v>
      </c>
      <c r="C31" t="s">
        <v>16560</v>
      </c>
      <c r="D31" t="s">
        <v>16561</v>
      </c>
      <c r="E31" s="60">
        <v>0</v>
      </c>
      <c r="F31" s="60">
        <v>153213.228</v>
      </c>
      <c r="G31" s="263">
        <v>0</v>
      </c>
      <c r="H31" s="263">
        <v>0</v>
      </c>
      <c r="I31" s="263">
        <v>153213.228</v>
      </c>
      <c r="J31" s="263">
        <v>0</v>
      </c>
      <c r="O31" s="264"/>
      <c r="P31" s="264"/>
      <c r="Q31" s="264"/>
      <c r="R31" s="264"/>
      <c r="S31" s="60"/>
      <c r="T31" s="60"/>
      <c r="U31" t="s">
        <v>17479</v>
      </c>
      <c r="W31"/>
    </row>
    <row r="32" spans="1:28">
      <c r="A32" t="s">
        <v>17482</v>
      </c>
      <c r="B32" s="262">
        <v>43497</v>
      </c>
      <c r="C32" t="s">
        <v>16560</v>
      </c>
      <c r="D32" t="s">
        <v>16561</v>
      </c>
      <c r="E32" s="60">
        <v>0</v>
      </c>
      <c r="F32" s="60">
        <v>153213.228</v>
      </c>
      <c r="G32" s="263">
        <v>0</v>
      </c>
      <c r="H32" s="263">
        <v>0</v>
      </c>
      <c r="I32" s="263">
        <v>153213.228</v>
      </c>
      <c r="J32" s="263">
        <v>0</v>
      </c>
      <c r="O32" s="264"/>
      <c r="P32" s="264"/>
      <c r="Q32" s="264"/>
      <c r="R32" s="264"/>
      <c r="S32" s="60"/>
      <c r="T32" s="60"/>
      <c r="U32" t="s">
        <v>17479</v>
      </c>
      <c r="W32"/>
    </row>
    <row r="33" spans="1:21">
      <c r="A33" t="s">
        <v>17483</v>
      </c>
      <c r="B33" s="262">
        <v>43497</v>
      </c>
      <c r="C33" t="s">
        <v>16470</v>
      </c>
      <c r="D33" t="s">
        <v>16471</v>
      </c>
      <c r="E33" s="60">
        <v>0</v>
      </c>
      <c r="F33" s="60">
        <v>185449.633</v>
      </c>
      <c r="G33" s="263">
        <v>0</v>
      </c>
      <c r="H33" s="263">
        <v>149030.2776348</v>
      </c>
      <c r="I33" s="263">
        <v>0</v>
      </c>
      <c r="J33" s="263">
        <v>0</v>
      </c>
      <c r="O33" s="264"/>
      <c r="P33" s="264"/>
      <c r="Q33" s="264"/>
      <c r="R33" s="264"/>
      <c r="S33" s="60"/>
      <c r="T33" s="60"/>
      <c r="U33" t="s">
        <v>17433</v>
      </c>
    </row>
    <row r="34" spans="1:21">
      <c r="A34" t="s">
        <v>17484</v>
      </c>
      <c r="B34" s="262">
        <v>43497</v>
      </c>
      <c r="C34" t="s">
        <v>17119</v>
      </c>
      <c r="D34" t="s">
        <v>17120</v>
      </c>
      <c r="E34" s="60">
        <v>0</v>
      </c>
      <c r="F34" s="60">
        <v>44057.129000000008</v>
      </c>
      <c r="G34" s="263">
        <v>0</v>
      </c>
      <c r="H34" s="263">
        <v>35240.839200000002</v>
      </c>
      <c r="I34" s="263">
        <v>0</v>
      </c>
      <c r="J34" s="263">
        <v>0</v>
      </c>
      <c r="O34" s="264"/>
      <c r="P34" s="264"/>
      <c r="Q34" s="264"/>
      <c r="R34" s="264"/>
      <c r="S34" s="60"/>
      <c r="T34" s="60"/>
      <c r="U34" t="s">
        <v>17485</v>
      </c>
    </row>
    <row r="35" spans="1:21">
      <c r="A35" t="s">
        <v>17486</v>
      </c>
      <c r="B35" s="262">
        <v>43497</v>
      </c>
      <c r="C35" t="s">
        <v>17017</v>
      </c>
      <c r="D35" t="s">
        <v>17430</v>
      </c>
      <c r="E35" s="60">
        <v>0</v>
      </c>
      <c r="F35" s="60">
        <v>14419.4</v>
      </c>
      <c r="G35" s="263">
        <v>1800</v>
      </c>
      <c r="H35" s="263">
        <v>6658.8</v>
      </c>
      <c r="I35" s="263">
        <v>3330</v>
      </c>
      <c r="J35" s="263">
        <v>2630.6</v>
      </c>
      <c r="O35" s="264"/>
      <c r="P35" s="264"/>
      <c r="Q35" s="264"/>
      <c r="R35" s="264"/>
      <c r="S35" s="60"/>
      <c r="T35" s="60"/>
      <c r="U35" t="s">
        <v>17487</v>
      </c>
    </row>
    <row r="36" spans="1:21">
      <c r="A36" t="s">
        <v>17488</v>
      </c>
      <c r="B36" s="262">
        <v>43525</v>
      </c>
      <c r="C36" t="s">
        <v>16594</v>
      </c>
      <c r="D36" t="s">
        <v>16595</v>
      </c>
      <c r="E36" s="60">
        <v>0</v>
      </c>
      <c r="F36" s="60">
        <v>9157.3230000000003</v>
      </c>
      <c r="G36" s="263">
        <v>9041.5218299999997</v>
      </c>
      <c r="H36" s="263">
        <v>115.80096000000002</v>
      </c>
      <c r="I36" s="263">
        <v>0</v>
      </c>
      <c r="J36" s="263">
        <v>0</v>
      </c>
      <c r="O36" s="264"/>
      <c r="P36" s="264"/>
      <c r="Q36" s="264"/>
      <c r="R36" s="264"/>
      <c r="S36" s="60"/>
      <c r="T36" s="60"/>
      <c r="U36" t="s">
        <v>17489</v>
      </c>
    </row>
    <row r="37" spans="1:21">
      <c r="A37" t="s">
        <v>17490</v>
      </c>
      <c r="B37" s="262">
        <v>43500</v>
      </c>
      <c r="C37" t="s">
        <v>16838</v>
      </c>
      <c r="D37" t="s">
        <v>16839</v>
      </c>
      <c r="E37" s="60">
        <v>0</v>
      </c>
      <c r="F37" s="60">
        <v>230643.84</v>
      </c>
      <c r="G37" s="263">
        <v>0</v>
      </c>
      <c r="H37" s="263">
        <v>230643.84</v>
      </c>
      <c r="I37" s="263">
        <v>0</v>
      </c>
      <c r="J37" s="263">
        <v>0</v>
      </c>
      <c r="O37" s="264"/>
      <c r="P37" s="264"/>
      <c r="Q37" s="264"/>
      <c r="R37" s="264"/>
      <c r="S37" s="60"/>
      <c r="T37" s="60"/>
      <c r="U37" t="s">
        <v>17422</v>
      </c>
    </row>
    <row r="38" spans="1:21">
      <c r="A38" t="s">
        <v>17491</v>
      </c>
      <c r="B38" s="262">
        <v>43500</v>
      </c>
      <c r="C38" t="s">
        <v>16444</v>
      </c>
      <c r="D38" t="s">
        <v>16445</v>
      </c>
      <c r="E38" s="60">
        <v>0</v>
      </c>
      <c r="F38" s="60">
        <v>31251.360000000001</v>
      </c>
      <c r="G38" s="263">
        <v>31251.360000000001</v>
      </c>
      <c r="H38" s="263">
        <v>0</v>
      </c>
      <c r="I38" s="263">
        <v>0</v>
      </c>
      <c r="J38" s="263">
        <v>0</v>
      </c>
      <c r="O38" s="264"/>
      <c r="P38" s="264"/>
      <c r="Q38" s="264"/>
      <c r="R38" s="264"/>
      <c r="S38" s="60"/>
      <c r="T38" s="60"/>
      <c r="U38" t="s">
        <v>17436</v>
      </c>
    </row>
    <row r="39" spans="1:21">
      <c r="A39" t="s">
        <v>17492</v>
      </c>
      <c r="B39" s="262">
        <v>43525</v>
      </c>
      <c r="C39" t="s">
        <v>16904</v>
      </c>
      <c r="D39" t="s">
        <v>16905</v>
      </c>
      <c r="E39" s="60">
        <v>0</v>
      </c>
      <c r="F39" s="60">
        <v>51287.750999999997</v>
      </c>
      <c r="G39" s="263">
        <v>0</v>
      </c>
      <c r="H39" s="263">
        <v>22467.684096000001</v>
      </c>
      <c r="I39" s="263">
        <v>8878.7285999999986</v>
      </c>
      <c r="J39" s="263">
        <v>11417.213024999997</v>
      </c>
      <c r="O39" s="264"/>
      <c r="P39" s="264"/>
      <c r="Q39" s="264"/>
      <c r="R39" s="264"/>
      <c r="S39" s="60"/>
      <c r="T39" s="60"/>
      <c r="U39" t="s">
        <v>17493</v>
      </c>
    </row>
    <row r="40" spans="1:21">
      <c r="A40" t="s">
        <v>17494</v>
      </c>
      <c r="B40" s="262">
        <v>43678</v>
      </c>
      <c r="C40" t="s">
        <v>17150</v>
      </c>
      <c r="D40" t="s">
        <v>17151</v>
      </c>
      <c r="E40" s="60">
        <v>0</v>
      </c>
      <c r="F40" s="60">
        <v>30724.752999999997</v>
      </c>
      <c r="G40" s="263">
        <v>0</v>
      </c>
      <c r="H40" s="263">
        <v>9122.1096960000013</v>
      </c>
      <c r="I40" s="263">
        <v>3790.8366300000007</v>
      </c>
      <c r="J40" s="263">
        <v>12530.884569000002</v>
      </c>
      <c r="O40" s="264"/>
      <c r="P40" s="264"/>
      <c r="Q40" s="264"/>
      <c r="R40" s="264"/>
      <c r="S40" s="60"/>
      <c r="T40" s="60"/>
      <c r="U40" t="s">
        <v>17495</v>
      </c>
    </row>
    <row r="41" spans="1:21">
      <c r="A41" t="s">
        <v>17496</v>
      </c>
      <c r="B41" s="262">
        <v>43616</v>
      </c>
      <c r="C41" t="s">
        <v>17017</v>
      </c>
      <c r="D41" t="s">
        <v>17430</v>
      </c>
      <c r="E41" s="60">
        <v>0</v>
      </c>
      <c r="F41" s="60">
        <v>32127.759999999998</v>
      </c>
      <c r="G41" s="263">
        <v>0</v>
      </c>
      <c r="H41" s="263">
        <v>24933.759999999998</v>
      </c>
      <c r="I41" s="263">
        <v>7290</v>
      </c>
      <c r="J41" s="263">
        <v>0</v>
      </c>
      <c r="O41" s="264"/>
      <c r="P41" s="264"/>
      <c r="Q41" s="264"/>
      <c r="R41" s="264"/>
      <c r="S41" s="60"/>
      <c r="T41" s="60"/>
      <c r="U41" t="s">
        <v>17497</v>
      </c>
    </row>
    <row r="42" spans="1:21">
      <c r="A42" t="s">
        <v>17498</v>
      </c>
      <c r="B42" s="262">
        <v>43502</v>
      </c>
      <c r="C42" t="s">
        <v>16384</v>
      </c>
      <c r="D42" t="s">
        <v>16385</v>
      </c>
      <c r="E42" s="60">
        <v>0</v>
      </c>
      <c r="F42" s="60">
        <v>655200</v>
      </c>
      <c r="G42" s="263">
        <v>0</v>
      </c>
      <c r="H42" s="263">
        <v>0</v>
      </c>
      <c r="I42" s="263">
        <v>655200</v>
      </c>
      <c r="J42" s="263">
        <v>0</v>
      </c>
      <c r="O42" s="264"/>
      <c r="P42" s="264"/>
      <c r="Q42" s="264"/>
      <c r="R42" s="264"/>
      <c r="S42" s="60"/>
      <c r="T42" s="60"/>
      <c r="U42" t="s">
        <v>17425</v>
      </c>
    </row>
    <row r="43" spans="1:21">
      <c r="A43" t="s">
        <v>17499</v>
      </c>
      <c r="B43" s="262">
        <v>43504</v>
      </c>
      <c r="C43" t="s">
        <v>16838</v>
      </c>
      <c r="D43" t="s">
        <v>16839</v>
      </c>
      <c r="E43" s="60">
        <v>0</v>
      </c>
      <c r="F43" s="60">
        <v>101675.76</v>
      </c>
      <c r="G43" s="263">
        <v>28175.759999999998</v>
      </c>
      <c r="H43" s="263">
        <v>0</v>
      </c>
      <c r="I43" s="263">
        <v>73500</v>
      </c>
      <c r="J43" s="263">
        <v>0</v>
      </c>
      <c r="O43" s="264"/>
      <c r="P43" s="264"/>
      <c r="Q43" s="264"/>
      <c r="R43" s="264"/>
      <c r="S43" s="60"/>
      <c r="T43" s="60"/>
      <c r="U43" t="s">
        <v>17500</v>
      </c>
    </row>
    <row r="44" spans="1:21">
      <c r="A44" t="s">
        <v>17501</v>
      </c>
      <c r="B44" s="262">
        <v>43505</v>
      </c>
      <c r="C44" t="s">
        <v>17178</v>
      </c>
      <c r="D44" t="s">
        <v>17502</v>
      </c>
      <c r="E44" s="60">
        <v>0</v>
      </c>
      <c r="F44" s="60">
        <v>625213.70799999998</v>
      </c>
      <c r="G44" s="263">
        <v>0</v>
      </c>
      <c r="H44" s="263">
        <v>404012.68379999994</v>
      </c>
      <c r="I44" s="263">
        <v>221184.00000000003</v>
      </c>
      <c r="J44" s="263">
        <v>0</v>
      </c>
      <c r="O44" s="264"/>
      <c r="P44" s="264"/>
      <c r="Q44" s="264"/>
      <c r="R44" s="264"/>
      <c r="S44" s="60"/>
      <c r="T44" s="60"/>
      <c r="U44" t="s">
        <v>17503</v>
      </c>
    </row>
    <row r="45" spans="1:21">
      <c r="A45" t="s">
        <v>17504</v>
      </c>
      <c r="B45" s="262">
        <v>43511</v>
      </c>
      <c r="C45" t="s">
        <v>16560</v>
      </c>
      <c r="D45" t="s">
        <v>16561</v>
      </c>
      <c r="E45" s="60">
        <v>0</v>
      </c>
      <c r="F45" s="60">
        <v>152630.946</v>
      </c>
      <c r="G45" s="263">
        <v>0</v>
      </c>
      <c r="H45" s="263">
        <v>0</v>
      </c>
      <c r="I45" s="263">
        <v>152630.946</v>
      </c>
      <c r="J45" s="263">
        <v>0</v>
      </c>
      <c r="O45" s="264"/>
      <c r="P45" s="264"/>
      <c r="Q45" s="264"/>
      <c r="R45" s="264"/>
      <c r="S45" s="60"/>
      <c r="T45" s="60"/>
      <c r="U45" t="s">
        <v>17479</v>
      </c>
    </row>
    <row r="46" spans="1:21">
      <c r="A46" t="s">
        <v>17505</v>
      </c>
      <c r="B46" s="262">
        <v>43511</v>
      </c>
      <c r="C46" t="s">
        <v>16560</v>
      </c>
      <c r="D46" t="s">
        <v>16561</v>
      </c>
      <c r="E46" s="60">
        <v>0</v>
      </c>
      <c r="F46" s="60">
        <v>152637.58800000002</v>
      </c>
      <c r="G46" s="263">
        <v>0</v>
      </c>
      <c r="H46" s="263">
        <v>0</v>
      </c>
      <c r="I46" s="263">
        <v>152637.58800000002</v>
      </c>
      <c r="J46" s="263">
        <v>0</v>
      </c>
      <c r="O46" s="264"/>
      <c r="P46" s="264"/>
      <c r="Q46" s="264"/>
      <c r="R46" s="264"/>
      <c r="S46" s="60"/>
      <c r="T46" s="60"/>
      <c r="U46" t="s">
        <v>17479</v>
      </c>
    </row>
    <row r="47" spans="1:21">
      <c r="A47" t="s">
        <v>17506</v>
      </c>
      <c r="B47" s="262">
        <v>43511</v>
      </c>
      <c r="C47" t="s">
        <v>16560</v>
      </c>
      <c r="D47" t="s">
        <v>16561</v>
      </c>
      <c r="E47" s="60">
        <v>0</v>
      </c>
      <c r="F47" s="60">
        <v>152637.58800000002</v>
      </c>
      <c r="G47" s="263">
        <v>0</v>
      </c>
      <c r="H47" s="263">
        <v>0</v>
      </c>
      <c r="I47" s="263">
        <v>152637.58800000002</v>
      </c>
      <c r="J47" s="263">
        <v>0</v>
      </c>
      <c r="O47" s="264"/>
      <c r="P47" s="264"/>
      <c r="Q47" s="264"/>
      <c r="R47" s="264"/>
      <c r="S47" s="60"/>
      <c r="T47" s="60"/>
      <c r="U47" t="s">
        <v>17479</v>
      </c>
    </row>
    <row r="48" spans="1:21">
      <c r="A48" t="s">
        <v>17507</v>
      </c>
      <c r="B48" s="262">
        <v>43511</v>
      </c>
      <c r="C48" t="s">
        <v>16560</v>
      </c>
      <c r="D48" t="s">
        <v>16561</v>
      </c>
      <c r="E48" s="60">
        <v>0</v>
      </c>
      <c r="F48" s="60">
        <v>152320.986</v>
      </c>
      <c r="G48" s="263">
        <v>0</v>
      </c>
      <c r="H48" s="263">
        <v>0</v>
      </c>
      <c r="I48" s="263">
        <v>152320.986</v>
      </c>
      <c r="J48" s="263">
        <v>0</v>
      </c>
      <c r="O48" s="264"/>
      <c r="P48" s="264"/>
      <c r="Q48" s="264"/>
      <c r="R48" s="264"/>
      <c r="S48" s="60"/>
      <c r="T48" s="60"/>
      <c r="U48" t="s">
        <v>17479</v>
      </c>
    </row>
    <row r="49" spans="1:21">
      <c r="A49" t="s">
        <v>17508</v>
      </c>
      <c r="B49" s="262">
        <v>43515</v>
      </c>
      <c r="C49" t="s">
        <v>16783</v>
      </c>
      <c r="D49" t="s">
        <v>17509</v>
      </c>
      <c r="E49" s="60">
        <v>0</v>
      </c>
      <c r="F49" s="60">
        <v>451173.69400000002</v>
      </c>
      <c r="G49" s="263">
        <v>0</v>
      </c>
      <c r="H49" s="263">
        <v>422384.51505600009</v>
      </c>
      <c r="I49" s="263">
        <v>28789.178544000006</v>
      </c>
      <c r="J49" s="263">
        <v>0</v>
      </c>
      <c r="O49" s="264"/>
      <c r="P49" s="264"/>
      <c r="Q49" s="264"/>
      <c r="R49" s="264"/>
      <c r="S49" s="60"/>
      <c r="T49" s="60"/>
    </row>
    <row r="50" spans="1:21">
      <c r="A50" t="s">
        <v>17510</v>
      </c>
      <c r="B50" s="262">
        <v>43516</v>
      </c>
      <c r="C50" t="s">
        <v>17150</v>
      </c>
      <c r="D50" t="s">
        <v>17151</v>
      </c>
      <c r="E50" s="60">
        <v>0</v>
      </c>
      <c r="F50" s="60">
        <v>28117.305</v>
      </c>
      <c r="G50" s="263">
        <v>841.16134199999999</v>
      </c>
      <c r="H50" s="263">
        <v>8895.1726079999989</v>
      </c>
      <c r="I50" s="263">
        <v>8041.3948800000007</v>
      </c>
      <c r="J50" s="263">
        <v>5082.7489500000001</v>
      </c>
      <c r="O50" s="264"/>
      <c r="P50" s="264"/>
      <c r="Q50" s="264"/>
      <c r="R50" s="264"/>
      <c r="S50" s="60"/>
      <c r="T50" s="60"/>
    </row>
    <row r="51" spans="1:21">
      <c r="A51" t="s">
        <v>17511</v>
      </c>
      <c r="B51" s="262">
        <v>43525</v>
      </c>
      <c r="C51" t="s">
        <v>16470</v>
      </c>
      <c r="D51" t="s">
        <v>16471</v>
      </c>
      <c r="E51" s="60">
        <v>0</v>
      </c>
      <c r="F51" s="60">
        <v>225767.27</v>
      </c>
      <c r="G51" s="263">
        <v>0</v>
      </c>
      <c r="H51" s="263">
        <v>181001.20278240007</v>
      </c>
      <c r="I51" s="263">
        <v>0</v>
      </c>
      <c r="J51" s="263">
        <v>0</v>
      </c>
      <c r="O51" s="264"/>
      <c r="P51" s="264"/>
      <c r="Q51" s="264"/>
      <c r="R51" s="264"/>
      <c r="S51" s="60"/>
      <c r="T51" s="60"/>
      <c r="U51" t="s">
        <v>17433</v>
      </c>
    </row>
    <row r="52" spans="1:21">
      <c r="A52" t="s">
        <v>17512</v>
      </c>
      <c r="B52" s="262">
        <v>43516</v>
      </c>
      <c r="C52" t="s">
        <v>16444</v>
      </c>
      <c r="D52" t="s">
        <v>16445</v>
      </c>
      <c r="E52" s="60">
        <v>0</v>
      </c>
      <c r="F52" s="60">
        <v>39411.360000000001</v>
      </c>
      <c r="G52" s="263">
        <v>14211.36</v>
      </c>
      <c r="H52" s="263">
        <v>25200</v>
      </c>
      <c r="I52" s="263">
        <v>0</v>
      </c>
      <c r="J52" s="263">
        <v>0</v>
      </c>
      <c r="O52" s="264"/>
      <c r="P52" s="264"/>
      <c r="Q52" s="264"/>
      <c r="R52" s="264"/>
      <c r="S52" s="60"/>
      <c r="T52" s="60"/>
      <c r="U52" t="s">
        <v>17513</v>
      </c>
    </row>
    <row r="53" spans="1:21">
      <c r="A53" t="s">
        <v>17514</v>
      </c>
      <c r="B53" s="262">
        <v>43525</v>
      </c>
      <c r="C53" t="s">
        <v>16384</v>
      </c>
      <c r="D53" t="s">
        <v>16385</v>
      </c>
      <c r="E53" s="60">
        <v>0</v>
      </c>
      <c r="F53" s="60">
        <v>1584</v>
      </c>
      <c r="G53" s="263">
        <v>0</v>
      </c>
      <c r="H53" s="263">
        <v>0</v>
      </c>
      <c r="I53" s="263">
        <v>0</v>
      </c>
      <c r="J53" s="263">
        <v>1584</v>
      </c>
      <c r="O53" s="264"/>
      <c r="P53" s="264"/>
      <c r="Q53" s="264"/>
      <c r="R53" s="264"/>
      <c r="S53" s="60"/>
      <c r="T53" s="60"/>
      <c r="U53" t="s">
        <v>17515</v>
      </c>
    </row>
    <row r="54" spans="1:21">
      <c r="A54" t="s">
        <v>17516</v>
      </c>
      <c r="B54" s="262">
        <v>43525</v>
      </c>
      <c r="C54" t="s">
        <v>17017</v>
      </c>
      <c r="D54" t="s">
        <v>17430</v>
      </c>
      <c r="E54" s="60">
        <v>0</v>
      </c>
      <c r="F54" s="60">
        <v>14580</v>
      </c>
      <c r="G54" s="263">
        <v>0</v>
      </c>
      <c r="H54" s="263">
        <v>0</v>
      </c>
      <c r="I54" s="263">
        <v>0</v>
      </c>
      <c r="J54" s="263">
        <v>14580</v>
      </c>
      <c r="O54" s="264"/>
      <c r="P54" s="264"/>
      <c r="Q54" s="264"/>
      <c r="R54" s="264"/>
      <c r="S54" s="60"/>
      <c r="T54" s="60"/>
      <c r="U54" t="s">
        <v>17517</v>
      </c>
    </row>
    <row r="55" spans="1:21">
      <c r="A55" t="s">
        <v>17518</v>
      </c>
      <c r="B55" s="262">
        <v>43525</v>
      </c>
      <c r="C55" t="s">
        <v>17017</v>
      </c>
      <c r="D55" t="s">
        <v>17430</v>
      </c>
      <c r="E55" s="60">
        <v>0</v>
      </c>
      <c r="F55" s="60">
        <v>18642.64</v>
      </c>
      <c r="G55" s="263">
        <v>0</v>
      </c>
      <c r="H55" s="263">
        <v>2638.72</v>
      </c>
      <c r="I55" s="263">
        <v>13318.08</v>
      </c>
      <c r="J55" s="263">
        <v>2685.84</v>
      </c>
      <c r="O55" s="264"/>
      <c r="P55" s="264"/>
      <c r="Q55" s="264"/>
      <c r="R55" s="264"/>
      <c r="S55" s="60"/>
      <c r="T55" s="60"/>
      <c r="U55" t="s">
        <v>17519</v>
      </c>
    </row>
    <row r="56" spans="1:21">
      <c r="A56" t="s">
        <v>17520</v>
      </c>
      <c r="B56" s="262">
        <v>43525</v>
      </c>
      <c r="C56" t="s">
        <v>16673</v>
      </c>
      <c r="D56" t="s">
        <v>16674</v>
      </c>
      <c r="E56" s="60">
        <v>0</v>
      </c>
      <c r="F56" s="60">
        <v>62957.4</v>
      </c>
      <c r="G56" s="263">
        <v>8580</v>
      </c>
      <c r="H56" s="263">
        <v>38438.400000000001</v>
      </c>
      <c r="I56" s="263">
        <v>6864</v>
      </c>
      <c r="J56" s="263">
        <v>9075</v>
      </c>
      <c r="O56" s="264"/>
      <c r="P56" s="264"/>
      <c r="Q56" s="264"/>
      <c r="R56" s="264"/>
      <c r="S56" s="60"/>
      <c r="T56" s="60"/>
      <c r="U56" t="s">
        <v>17521</v>
      </c>
    </row>
    <row r="57" spans="1:21">
      <c r="A57" t="s">
        <v>17522</v>
      </c>
      <c r="B57" s="262">
        <v>43530</v>
      </c>
      <c r="C57" t="s">
        <v>16838</v>
      </c>
      <c r="D57" t="s">
        <v>16839</v>
      </c>
      <c r="E57" s="60">
        <v>0</v>
      </c>
      <c r="F57" s="60">
        <v>200492.88</v>
      </c>
      <c r="G57" s="263">
        <v>0</v>
      </c>
      <c r="H57" s="263">
        <v>200492.88</v>
      </c>
      <c r="I57" s="263">
        <v>0</v>
      </c>
      <c r="J57" s="263">
        <v>0</v>
      </c>
      <c r="O57" s="264"/>
      <c r="P57" s="264"/>
      <c r="Q57" s="264"/>
      <c r="R57" s="264"/>
      <c r="S57" s="60"/>
      <c r="T57" s="60"/>
      <c r="U57" t="s">
        <v>17422</v>
      </c>
    </row>
    <row r="58" spans="1:21">
      <c r="A58" t="s">
        <v>17523</v>
      </c>
      <c r="B58" s="262">
        <v>43525</v>
      </c>
      <c r="C58" t="s">
        <v>16972</v>
      </c>
      <c r="D58" t="s">
        <v>17424</v>
      </c>
      <c r="E58" s="60">
        <v>0</v>
      </c>
      <c r="F58" s="60">
        <v>341600</v>
      </c>
      <c r="G58" s="263">
        <v>0</v>
      </c>
      <c r="H58" s="263">
        <v>0</v>
      </c>
      <c r="I58" s="263">
        <v>341600</v>
      </c>
      <c r="J58" s="263">
        <v>0</v>
      </c>
      <c r="O58" s="264"/>
      <c r="P58" s="264"/>
      <c r="Q58" s="264"/>
      <c r="R58" s="264"/>
      <c r="S58" s="60"/>
      <c r="T58" s="60"/>
      <c r="U58" t="s">
        <v>17524</v>
      </c>
    </row>
    <row r="59" spans="1:21">
      <c r="A59" t="s">
        <v>17525</v>
      </c>
      <c r="B59" s="262">
        <v>43525</v>
      </c>
      <c r="C59" t="s">
        <v>16972</v>
      </c>
      <c r="D59" t="s">
        <v>17424</v>
      </c>
      <c r="E59" s="60">
        <v>0</v>
      </c>
      <c r="F59" s="60">
        <v>327600</v>
      </c>
      <c r="G59" s="263">
        <v>0</v>
      </c>
      <c r="H59" s="263">
        <v>0</v>
      </c>
      <c r="I59" s="263">
        <v>327600</v>
      </c>
      <c r="J59" s="263">
        <v>0</v>
      </c>
      <c r="O59" s="264"/>
      <c r="P59" s="264"/>
      <c r="Q59" s="264"/>
      <c r="R59" s="264"/>
      <c r="S59" s="60"/>
      <c r="T59" s="60"/>
      <c r="U59" t="s">
        <v>17425</v>
      </c>
    </row>
    <row r="60" spans="1:21">
      <c r="A60" t="s">
        <v>17526</v>
      </c>
      <c r="B60" s="262">
        <v>43525</v>
      </c>
      <c r="C60" t="s">
        <v>16872</v>
      </c>
      <c r="D60" t="s">
        <v>16873</v>
      </c>
      <c r="E60" s="60">
        <v>0</v>
      </c>
      <c r="F60" s="60">
        <v>35803.81</v>
      </c>
      <c r="G60" s="263">
        <v>32195.394000000004</v>
      </c>
      <c r="H60" s="263">
        <v>3608.41635</v>
      </c>
      <c r="I60" s="263">
        <v>0</v>
      </c>
      <c r="J60" s="263">
        <v>0</v>
      </c>
      <c r="O60" s="264"/>
      <c r="P60" s="264"/>
      <c r="Q60" s="264"/>
      <c r="R60" s="264"/>
      <c r="S60" s="60"/>
      <c r="T60" s="60"/>
      <c r="U60" t="s">
        <v>17527</v>
      </c>
    </row>
    <row r="61" spans="1:21">
      <c r="A61" t="s">
        <v>17528</v>
      </c>
      <c r="B61" s="262">
        <v>43525</v>
      </c>
      <c r="C61" t="s">
        <v>16880</v>
      </c>
      <c r="D61" t="s">
        <v>16881</v>
      </c>
      <c r="E61" s="60">
        <v>0</v>
      </c>
      <c r="F61" s="60">
        <v>64330.497000000003</v>
      </c>
      <c r="G61" s="263">
        <v>12902.273999999999</v>
      </c>
      <c r="H61" s="263">
        <v>51428.222999999998</v>
      </c>
      <c r="I61" s="263">
        <v>0</v>
      </c>
      <c r="J61" s="263">
        <v>0</v>
      </c>
      <c r="O61" s="264"/>
      <c r="P61" s="264"/>
      <c r="Q61" s="264"/>
      <c r="R61" s="264"/>
      <c r="S61" s="60"/>
      <c r="T61" s="60"/>
      <c r="U61" t="s">
        <v>17529</v>
      </c>
    </row>
    <row r="62" spans="1:21">
      <c r="A62" t="s">
        <v>17530</v>
      </c>
      <c r="B62" s="262">
        <v>43533</v>
      </c>
      <c r="C62" t="s">
        <v>17185</v>
      </c>
      <c r="D62" t="s">
        <v>17531</v>
      </c>
      <c r="E62" s="60">
        <v>0</v>
      </c>
      <c r="F62" s="60">
        <v>76176</v>
      </c>
      <c r="G62" s="263">
        <v>0</v>
      </c>
      <c r="H62" s="263">
        <v>0</v>
      </c>
      <c r="I62" s="263">
        <v>76176</v>
      </c>
      <c r="J62" s="263">
        <v>0</v>
      </c>
      <c r="O62" s="264"/>
      <c r="P62" s="264"/>
      <c r="Q62" s="264"/>
      <c r="R62" s="264"/>
      <c r="S62" s="60"/>
      <c r="T62" s="60"/>
      <c r="U62" t="s">
        <v>17532</v>
      </c>
    </row>
    <row r="63" spans="1:21">
      <c r="A63" t="s">
        <v>17533</v>
      </c>
      <c r="B63" s="262">
        <v>43533</v>
      </c>
      <c r="C63" t="s">
        <v>16384</v>
      </c>
      <c r="D63" t="s">
        <v>16385</v>
      </c>
      <c r="E63" s="60">
        <v>0</v>
      </c>
      <c r="F63" s="60">
        <v>30600</v>
      </c>
      <c r="G63" s="263">
        <v>0</v>
      </c>
      <c r="H63" s="263">
        <v>28920</v>
      </c>
      <c r="I63" s="263">
        <v>1680</v>
      </c>
      <c r="J63" s="263">
        <v>0</v>
      </c>
      <c r="O63" s="264"/>
      <c r="P63" s="264"/>
      <c r="Q63" s="264"/>
      <c r="R63" s="264"/>
      <c r="S63" s="60"/>
      <c r="T63" s="60"/>
      <c r="U63" t="s">
        <v>17361</v>
      </c>
    </row>
    <row r="64" spans="1:21">
      <c r="A64" t="s">
        <v>17534</v>
      </c>
      <c r="B64" s="262">
        <v>43556</v>
      </c>
      <c r="C64" t="s">
        <v>16904</v>
      </c>
      <c r="D64" t="s">
        <v>16905</v>
      </c>
      <c r="E64" s="60">
        <v>0</v>
      </c>
      <c r="F64" s="60">
        <v>46337.209000000003</v>
      </c>
      <c r="G64" s="263">
        <v>0</v>
      </c>
      <c r="H64" s="263">
        <v>17943.666048000003</v>
      </c>
      <c r="I64" s="263">
        <v>5219.0046000000002</v>
      </c>
      <c r="J64" s="263">
        <v>14745.913151999999</v>
      </c>
      <c r="O64" s="264"/>
      <c r="P64" s="264"/>
      <c r="Q64" s="264"/>
      <c r="R64" s="264"/>
      <c r="S64" s="60"/>
      <c r="T64" s="60"/>
      <c r="U64" t="s">
        <v>17535</v>
      </c>
    </row>
    <row r="65" spans="1:21">
      <c r="A65" t="s">
        <v>17536</v>
      </c>
      <c r="B65" s="262">
        <v>43536</v>
      </c>
      <c r="C65" t="s">
        <v>17119</v>
      </c>
      <c r="D65" t="s">
        <v>17120</v>
      </c>
      <c r="E65" s="60">
        <v>0</v>
      </c>
      <c r="F65" s="60">
        <v>121570.74800000001</v>
      </c>
      <c r="G65" s="263">
        <v>32801.273399999998</v>
      </c>
      <c r="H65" s="263">
        <v>68201.609532000002</v>
      </c>
      <c r="I65" s="263">
        <v>0</v>
      </c>
      <c r="J65" s="263">
        <v>0</v>
      </c>
      <c r="O65" s="264"/>
      <c r="P65" s="264"/>
      <c r="Q65" s="264"/>
      <c r="R65" s="264"/>
      <c r="S65" s="60"/>
      <c r="T65" s="60"/>
      <c r="U65" t="s">
        <v>17537</v>
      </c>
    </row>
    <row r="66" spans="1:21">
      <c r="A66" t="s">
        <v>17538</v>
      </c>
      <c r="B66" s="262">
        <v>43537</v>
      </c>
      <c r="C66" t="s">
        <v>16783</v>
      </c>
      <c r="D66" t="s">
        <v>17509</v>
      </c>
      <c r="E66" s="60">
        <v>0</v>
      </c>
      <c r="F66" s="60">
        <v>313888.73300000001</v>
      </c>
      <c r="G66" s="263">
        <v>111286.35</v>
      </c>
      <c r="H66" s="263">
        <v>0</v>
      </c>
      <c r="I66" s="263">
        <v>21176.82</v>
      </c>
      <c r="J66" s="263">
        <v>181425.5625</v>
      </c>
      <c r="O66" s="264"/>
      <c r="P66" s="264"/>
      <c r="Q66" s="264"/>
      <c r="R66" s="264"/>
      <c r="S66" s="60"/>
      <c r="T66" s="60"/>
    </row>
    <row r="67" spans="1:21">
      <c r="A67" t="s">
        <v>17539</v>
      </c>
      <c r="B67" s="262">
        <v>43539</v>
      </c>
      <c r="C67" t="s">
        <v>16972</v>
      </c>
      <c r="D67" t="s">
        <v>17424</v>
      </c>
      <c r="E67" s="60">
        <v>0</v>
      </c>
      <c r="F67" s="60">
        <v>352800</v>
      </c>
      <c r="G67" s="263">
        <v>0</v>
      </c>
      <c r="H67" s="263">
        <v>0</v>
      </c>
      <c r="I67" s="263">
        <v>352800</v>
      </c>
      <c r="J67" s="263">
        <v>0</v>
      </c>
      <c r="O67" s="264"/>
      <c r="P67" s="264"/>
      <c r="Q67" s="264"/>
      <c r="R67" s="264"/>
      <c r="S67" s="60"/>
      <c r="T67" s="60"/>
      <c r="U67" t="s">
        <v>17524</v>
      </c>
    </row>
    <row r="68" spans="1:21">
      <c r="A68" t="s">
        <v>17540</v>
      </c>
      <c r="B68" s="262">
        <v>43556</v>
      </c>
      <c r="C68" t="s">
        <v>16643</v>
      </c>
      <c r="D68" t="s">
        <v>16644</v>
      </c>
      <c r="E68" s="60">
        <v>0</v>
      </c>
      <c r="F68" s="60">
        <v>106269.402</v>
      </c>
      <c r="G68" s="263">
        <v>0</v>
      </c>
      <c r="H68" s="263">
        <v>85641.946871999986</v>
      </c>
      <c r="I68" s="263">
        <v>0</v>
      </c>
      <c r="J68" s="263">
        <v>0</v>
      </c>
      <c r="O68" s="264"/>
      <c r="P68" s="264"/>
      <c r="Q68" s="264"/>
      <c r="R68" s="264"/>
      <c r="S68" s="60"/>
      <c r="T68" s="60"/>
      <c r="U68" t="s">
        <v>17541</v>
      </c>
    </row>
    <row r="69" spans="1:21">
      <c r="A69" t="s">
        <v>17542</v>
      </c>
      <c r="B69" s="262">
        <v>43539</v>
      </c>
      <c r="C69" t="s">
        <v>16673</v>
      </c>
      <c r="D69" t="s">
        <v>16674</v>
      </c>
      <c r="E69" s="60">
        <v>0</v>
      </c>
      <c r="F69" s="60">
        <v>34338</v>
      </c>
      <c r="G69" s="263">
        <v>0</v>
      </c>
      <c r="H69" s="263">
        <v>27456</v>
      </c>
      <c r="I69" s="263">
        <v>3432</v>
      </c>
      <c r="J69" s="263">
        <v>3450</v>
      </c>
      <c r="O69" s="264"/>
      <c r="P69" s="264"/>
      <c r="Q69" s="264"/>
      <c r="R69" s="264"/>
      <c r="S69" s="60"/>
      <c r="T69" s="60"/>
      <c r="U69" t="s">
        <v>17543</v>
      </c>
    </row>
    <row r="70" spans="1:21">
      <c r="A70" t="s">
        <v>17544</v>
      </c>
      <c r="B70" s="262">
        <v>43545</v>
      </c>
      <c r="C70" t="s">
        <v>17017</v>
      </c>
      <c r="D70" t="s">
        <v>17430</v>
      </c>
      <c r="E70" s="60">
        <v>0</v>
      </c>
      <c r="F70" s="60">
        <v>28400</v>
      </c>
      <c r="G70" s="263">
        <v>0</v>
      </c>
      <c r="H70" s="263">
        <v>28400</v>
      </c>
      <c r="I70" s="263">
        <v>0</v>
      </c>
      <c r="J70" s="263">
        <v>0</v>
      </c>
      <c r="O70" s="264"/>
      <c r="P70" s="264"/>
      <c r="Q70" s="264"/>
      <c r="R70" s="264"/>
      <c r="S70" s="60"/>
      <c r="T70" s="60"/>
      <c r="U70" t="s">
        <v>17545</v>
      </c>
    </row>
    <row r="71" spans="1:21">
      <c r="A71" t="s">
        <v>17546</v>
      </c>
      <c r="B71" s="262">
        <v>43545</v>
      </c>
      <c r="C71" t="s">
        <v>16838</v>
      </c>
      <c r="D71" t="s">
        <v>16839</v>
      </c>
      <c r="E71" s="60">
        <v>0</v>
      </c>
      <c r="F71" s="60">
        <v>214193</v>
      </c>
      <c r="G71" s="263">
        <v>28775.88</v>
      </c>
      <c r="H71" s="263">
        <v>29172</v>
      </c>
      <c r="I71" s="263">
        <v>150360</v>
      </c>
      <c r="J71" s="263">
        <v>5885.12</v>
      </c>
      <c r="O71" s="264"/>
      <c r="P71" s="264"/>
      <c r="Q71" s="264"/>
      <c r="R71" s="264"/>
      <c r="S71" s="60"/>
      <c r="T71" s="60"/>
      <c r="U71" t="s">
        <v>17470</v>
      </c>
    </row>
    <row r="72" spans="1:21">
      <c r="A72" t="s">
        <v>17547</v>
      </c>
      <c r="B72" s="262">
        <v>43546</v>
      </c>
      <c r="C72" t="s">
        <v>17017</v>
      </c>
      <c r="D72" t="s">
        <v>17430</v>
      </c>
      <c r="E72" s="60">
        <v>0</v>
      </c>
      <c r="F72" s="60">
        <v>28146.799999999999</v>
      </c>
      <c r="G72" s="263">
        <v>0</v>
      </c>
      <c r="H72" s="263">
        <v>12610.8</v>
      </c>
      <c r="I72" s="263">
        <v>6750</v>
      </c>
      <c r="J72" s="263">
        <v>8786</v>
      </c>
      <c r="O72" s="264"/>
      <c r="P72" s="264"/>
      <c r="Q72" s="264"/>
      <c r="R72" s="264"/>
      <c r="S72" s="60"/>
      <c r="T72" s="60"/>
      <c r="U72" t="s">
        <v>17548</v>
      </c>
    </row>
    <row r="73" spans="1:21">
      <c r="A73" t="s">
        <v>17549</v>
      </c>
      <c r="B73" s="262">
        <v>43546</v>
      </c>
      <c r="C73" t="s">
        <v>17017</v>
      </c>
      <c r="D73" t="s">
        <v>17430</v>
      </c>
      <c r="E73" s="60">
        <v>0</v>
      </c>
      <c r="F73" s="60">
        <v>20607.416000000001</v>
      </c>
      <c r="G73" s="263">
        <v>0</v>
      </c>
      <c r="H73" s="263">
        <v>4014.08</v>
      </c>
      <c r="I73" s="263">
        <v>16575.407999999999</v>
      </c>
      <c r="J73" s="263">
        <v>0</v>
      </c>
      <c r="O73" s="264"/>
      <c r="P73" s="264"/>
      <c r="Q73" s="264"/>
      <c r="R73" s="264"/>
      <c r="S73" s="60"/>
      <c r="T73" s="60"/>
      <c r="U73" t="s">
        <v>17550</v>
      </c>
    </row>
    <row r="74" spans="1:21">
      <c r="A74" t="s">
        <v>17551</v>
      </c>
      <c r="B74" s="262">
        <v>43556</v>
      </c>
      <c r="C74" t="s">
        <v>16444</v>
      </c>
      <c r="D74" t="s">
        <v>16445</v>
      </c>
      <c r="E74" s="60">
        <v>0</v>
      </c>
      <c r="F74" s="60">
        <v>62502.720000000001</v>
      </c>
      <c r="G74" s="263">
        <v>62502.720000000001</v>
      </c>
      <c r="H74" s="263">
        <v>0</v>
      </c>
      <c r="I74" s="263">
        <v>0</v>
      </c>
      <c r="J74" s="263">
        <v>0</v>
      </c>
      <c r="O74" s="264"/>
      <c r="P74" s="264"/>
      <c r="Q74" s="264"/>
      <c r="R74" s="264"/>
      <c r="S74" s="60"/>
      <c r="T74" s="60"/>
      <c r="U74" t="s">
        <v>16653</v>
      </c>
    </row>
    <row r="75" spans="1:21">
      <c r="A75" t="s">
        <v>17552</v>
      </c>
      <c r="B75" s="262">
        <v>43556</v>
      </c>
      <c r="C75" t="s">
        <v>17181</v>
      </c>
      <c r="D75" t="s">
        <v>17553</v>
      </c>
      <c r="E75" s="60">
        <v>0</v>
      </c>
      <c r="F75" s="60">
        <v>222179.94399999999</v>
      </c>
      <c r="G75" s="263">
        <v>0</v>
      </c>
      <c r="H75" s="263">
        <v>0</v>
      </c>
      <c r="I75" s="263">
        <v>200162.65100000001</v>
      </c>
      <c r="J75" s="263">
        <v>0</v>
      </c>
      <c r="O75" s="264"/>
      <c r="P75" s="264"/>
      <c r="Q75" s="264"/>
      <c r="R75" s="264"/>
      <c r="S75" s="60"/>
      <c r="T75" s="60"/>
      <c r="U75" t="s">
        <v>17554</v>
      </c>
    </row>
    <row r="76" spans="1:21">
      <c r="A76" t="s">
        <v>17555</v>
      </c>
      <c r="B76" s="262">
        <v>43550</v>
      </c>
      <c r="C76" t="s">
        <v>17166</v>
      </c>
      <c r="D76" t="s">
        <v>17167</v>
      </c>
      <c r="E76" s="60">
        <v>0</v>
      </c>
      <c r="F76" s="60">
        <v>137250</v>
      </c>
      <c r="G76" s="263">
        <v>0</v>
      </c>
      <c r="H76" s="263">
        <v>118950</v>
      </c>
      <c r="I76" s="263">
        <v>18300</v>
      </c>
      <c r="J76" s="263">
        <v>0</v>
      </c>
      <c r="O76" s="264"/>
      <c r="P76" s="264"/>
      <c r="Q76" s="264"/>
      <c r="R76" s="264"/>
      <c r="S76" s="60"/>
      <c r="T76" s="60"/>
      <c r="U76" t="s">
        <v>17235</v>
      </c>
    </row>
    <row r="77" spans="1:21">
      <c r="A77" t="s">
        <v>17556</v>
      </c>
      <c r="B77" s="262">
        <v>43556</v>
      </c>
      <c r="C77" t="s">
        <v>17017</v>
      </c>
      <c r="D77" t="s">
        <v>17430</v>
      </c>
      <c r="E77" s="60">
        <v>0</v>
      </c>
      <c r="F77" s="60">
        <v>79632</v>
      </c>
      <c r="G77" s="263">
        <v>0</v>
      </c>
      <c r="H77" s="263">
        <v>0</v>
      </c>
      <c r="I77" s="263">
        <v>79632</v>
      </c>
      <c r="J77" s="263">
        <v>0</v>
      </c>
      <c r="O77" s="264"/>
      <c r="P77" s="264"/>
      <c r="Q77" s="264"/>
      <c r="R77" s="264"/>
      <c r="S77" s="60"/>
      <c r="T77" s="60"/>
      <c r="U77" t="s">
        <v>17431</v>
      </c>
    </row>
    <row r="78" spans="1:21">
      <c r="A78" t="s">
        <v>17557</v>
      </c>
      <c r="B78" s="262">
        <v>43556</v>
      </c>
      <c r="C78" t="s">
        <v>16838</v>
      </c>
      <c r="D78" t="s">
        <v>16839</v>
      </c>
      <c r="E78" s="60">
        <v>0</v>
      </c>
      <c r="F78" s="60">
        <v>237026.16</v>
      </c>
      <c r="G78" s="263">
        <v>0</v>
      </c>
      <c r="H78" s="263">
        <v>237026.16</v>
      </c>
      <c r="I78" s="263">
        <v>0</v>
      </c>
      <c r="J78" s="263">
        <v>0</v>
      </c>
      <c r="O78" s="264"/>
      <c r="P78" s="264"/>
      <c r="Q78" s="264"/>
      <c r="R78" s="264"/>
      <c r="S78" s="60"/>
      <c r="T78" s="60"/>
      <c r="U78" t="s">
        <v>17422</v>
      </c>
    </row>
    <row r="79" spans="1:21">
      <c r="A79" t="s">
        <v>17558</v>
      </c>
      <c r="B79" s="262">
        <v>43556</v>
      </c>
      <c r="C79" t="s">
        <v>16384</v>
      </c>
      <c r="D79" t="s">
        <v>16385</v>
      </c>
      <c r="E79" s="60">
        <v>0</v>
      </c>
      <c r="F79" s="60">
        <v>705600</v>
      </c>
      <c r="G79" s="263">
        <v>0</v>
      </c>
      <c r="H79" s="263">
        <v>0</v>
      </c>
      <c r="I79" s="263">
        <v>705600</v>
      </c>
      <c r="J79" s="263">
        <v>0</v>
      </c>
      <c r="O79" s="264"/>
      <c r="P79" s="264"/>
      <c r="Q79" s="264"/>
      <c r="R79" s="264"/>
      <c r="S79" s="60"/>
      <c r="T79" s="60"/>
      <c r="U79" t="s">
        <v>17425</v>
      </c>
    </row>
    <row r="80" spans="1:21">
      <c r="A80" t="s">
        <v>17559</v>
      </c>
      <c r="B80" s="262">
        <v>43557</v>
      </c>
      <c r="C80" t="s">
        <v>16673</v>
      </c>
      <c r="D80" t="s">
        <v>16674</v>
      </c>
      <c r="E80" s="60">
        <v>0</v>
      </c>
      <c r="F80" s="60">
        <v>35646</v>
      </c>
      <c r="G80" s="263">
        <v>0</v>
      </c>
      <c r="H80" s="263">
        <v>25740</v>
      </c>
      <c r="I80" s="263">
        <v>6006</v>
      </c>
      <c r="J80" s="263">
        <v>3900</v>
      </c>
      <c r="O80" s="264"/>
      <c r="P80" s="264"/>
      <c r="Q80" s="264"/>
      <c r="R80" s="264"/>
      <c r="S80" s="60"/>
      <c r="T80" s="60"/>
      <c r="U80" t="s">
        <v>17560</v>
      </c>
    </row>
    <row r="81" spans="1:21">
      <c r="A81" t="s">
        <v>17561</v>
      </c>
      <c r="B81" s="262">
        <v>43557</v>
      </c>
      <c r="C81" t="s">
        <v>16904</v>
      </c>
      <c r="D81" t="s">
        <v>16905</v>
      </c>
      <c r="E81" s="60">
        <v>0</v>
      </c>
      <c r="F81" s="60">
        <v>47021.428</v>
      </c>
      <c r="G81" s="263">
        <v>0</v>
      </c>
      <c r="H81" s="263">
        <v>17615.14128</v>
      </c>
      <c r="I81" s="263">
        <v>3518.1756</v>
      </c>
      <c r="J81" s="263">
        <v>17463.360983999999</v>
      </c>
      <c r="O81" s="264"/>
      <c r="P81" s="264"/>
      <c r="Q81" s="264"/>
      <c r="R81" s="264"/>
      <c r="S81" s="60"/>
      <c r="T81" s="60"/>
      <c r="U81" t="s">
        <v>17562</v>
      </c>
    </row>
    <row r="82" spans="1:21">
      <c r="A82" t="s">
        <v>17563</v>
      </c>
      <c r="B82" s="262">
        <v>43587</v>
      </c>
      <c r="C82" t="s">
        <v>16384</v>
      </c>
      <c r="D82" t="s">
        <v>16385</v>
      </c>
      <c r="E82" s="60">
        <v>0</v>
      </c>
      <c r="F82" s="60">
        <v>175738</v>
      </c>
      <c r="G82" s="263">
        <v>28600</v>
      </c>
      <c r="H82" s="263">
        <v>52608</v>
      </c>
      <c r="I82" s="263">
        <v>94530</v>
      </c>
      <c r="J82" s="263">
        <v>0</v>
      </c>
      <c r="O82" s="264"/>
      <c r="P82" s="264"/>
      <c r="Q82" s="264"/>
      <c r="R82" s="264"/>
      <c r="S82" s="60"/>
      <c r="T82" s="60"/>
      <c r="U82" t="s">
        <v>17500</v>
      </c>
    </row>
    <row r="83" spans="1:21">
      <c r="A83" t="s">
        <v>17564</v>
      </c>
      <c r="B83" s="262">
        <v>43565</v>
      </c>
      <c r="C83" t="s">
        <v>17017</v>
      </c>
      <c r="D83" t="s">
        <v>17430</v>
      </c>
      <c r="E83" s="60">
        <v>0</v>
      </c>
      <c r="F83" s="60">
        <v>30646.400000000001</v>
      </c>
      <c r="G83" s="263">
        <v>0</v>
      </c>
      <c r="H83" s="263">
        <v>22394.400000000001</v>
      </c>
      <c r="I83" s="263">
        <v>4500</v>
      </c>
      <c r="J83" s="263">
        <v>3752</v>
      </c>
      <c r="O83" s="264"/>
      <c r="P83" s="264"/>
      <c r="Q83" s="264"/>
      <c r="R83" s="264"/>
      <c r="S83" s="60"/>
      <c r="T83" s="60"/>
      <c r="U83" t="s">
        <v>17565</v>
      </c>
    </row>
    <row r="84" spans="1:21">
      <c r="A84" t="s">
        <v>17566</v>
      </c>
      <c r="B84" s="262">
        <v>43565</v>
      </c>
      <c r="C84" t="s">
        <v>16444</v>
      </c>
      <c r="D84" t="s">
        <v>16445</v>
      </c>
      <c r="E84" s="60">
        <v>0</v>
      </c>
      <c r="F84" s="60">
        <v>31911.599999999999</v>
      </c>
      <c r="G84" s="263">
        <v>31911.599999999999</v>
      </c>
      <c r="H84" s="263">
        <v>0</v>
      </c>
      <c r="I84" s="263">
        <v>0</v>
      </c>
      <c r="J84" s="263">
        <v>0</v>
      </c>
      <c r="O84" s="264"/>
      <c r="P84" s="264"/>
      <c r="Q84" s="264"/>
      <c r="R84" s="264"/>
      <c r="S84" s="60"/>
      <c r="T84" s="60"/>
      <c r="U84" t="s">
        <v>17567</v>
      </c>
    </row>
    <row r="85" spans="1:21">
      <c r="A85" t="s">
        <v>17568</v>
      </c>
      <c r="B85" s="262">
        <v>43587</v>
      </c>
      <c r="C85" t="s">
        <v>16972</v>
      </c>
      <c r="D85" t="s">
        <v>17424</v>
      </c>
      <c r="E85" s="60">
        <v>0</v>
      </c>
      <c r="F85" s="60">
        <v>352800</v>
      </c>
      <c r="G85" s="263">
        <v>0</v>
      </c>
      <c r="H85" s="263">
        <v>0</v>
      </c>
      <c r="I85" s="263">
        <v>352800</v>
      </c>
      <c r="J85" s="263">
        <v>0</v>
      </c>
      <c r="O85" s="264"/>
      <c r="P85" s="264"/>
      <c r="Q85" s="264"/>
      <c r="R85" s="264"/>
      <c r="S85" s="60"/>
      <c r="T85" s="60"/>
      <c r="U85" t="s">
        <v>17425</v>
      </c>
    </row>
    <row r="86" spans="1:21">
      <c r="A86" t="s">
        <v>17569</v>
      </c>
      <c r="B86" s="262">
        <v>43565</v>
      </c>
      <c r="C86" t="s">
        <v>16972</v>
      </c>
      <c r="D86" t="s">
        <v>17424</v>
      </c>
      <c r="E86" s="60">
        <v>0</v>
      </c>
      <c r="F86" s="60">
        <v>338000</v>
      </c>
      <c r="G86" s="263">
        <v>0</v>
      </c>
      <c r="H86" s="263">
        <v>0</v>
      </c>
      <c r="I86" s="263">
        <v>338000</v>
      </c>
      <c r="J86" s="263">
        <v>0</v>
      </c>
      <c r="O86" s="264"/>
      <c r="P86" s="264"/>
      <c r="Q86" s="264"/>
      <c r="R86" s="264"/>
      <c r="S86" s="60"/>
      <c r="T86" s="60"/>
      <c r="U86" t="s">
        <v>17425</v>
      </c>
    </row>
    <row r="87" spans="1:21">
      <c r="A87" t="s">
        <v>17570</v>
      </c>
      <c r="B87" s="262">
        <v>43565</v>
      </c>
      <c r="C87" t="s">
        <v>16783</v>
      </c>
      <c r="D87" t="s">
        <v>17509</v>
      </c>
      <c r="E87" s="60">
        <v>0</v>
      </c>
      <c r="F87" s="60">
        <v>317165.43600000005</v>
      </c>
      <c r="G87" s="263">
        <v>0</v>
      </c>
      <c r="H87" s="263">
        <v>267828.59039999999</v>
      </c>
      <c r="I87" s="263">
        <v>49336.845600000008</v>
      </c>
      <c r="J87" s="263">
        <v>0</v>
      </c>
      <c r="O87" s="264"/>
      <c r="P87" s="264"/>
      <c r="Q87" s="264"/>
      <c r="R87" s="264"/>
      <c r="S87" s="60"/>
      <c r="T87" s="60"/>
      <c r="U87" t="s">
        <v>17571</v>
      </c>
    </row>
    <row r="88" spans="1:21">
      <c r="A88" t="s">
        <v>17572</v>
      </c>
      <c r="B88" s="262">
        <v>43566</v>
      </c>
      <c r="C88" t="s">
        <v>16880</v>
      </c>
      <c r="D88" t="s">
        <v>16881</v>
      </c>
      <c r="E88" s="60">
        <v>0</v>
      </c>
      <c r="F88" s="60">
        <v>66254.707999999999</v>
      </c>
      <c r="G88" s="263">
        <v>0</v>
      </c>
      <c r="H88" s="263">
        <v>66254.707849999992</v>
      </c>
      <c r="I88" s="263">
        <v>0</v>
      </c>
      <c r="J88" s="263">
        <v>0</v>
      </c>
      <c r="O88" s="264"/>
      <c r="P88" s="264"/>
      <c r="Q88" s="264"/>
      <c r="R88" s="264"/>
      <c r="S88" s="60"/>
      <c r="T88" s="60"/>
      <c r="U88" t="s">
        <v>17573</v>
      </c>
    </row>
    <row r="89" spans="1:21">
      <c r="A89" t="s">
        <v>17574</v>
      </c>
      <c r="B89" s="262">
        <v>43568</v>
      </c>
      <c r="C89" t="s">
        <v>17156</v>
      </c>
      <c r="D89" t="s">
        <v>17575</v>
      </c>
      <c r="E89" s="60">
        <v>0</v>
      </c>
      <c r="F89" s="60">
        <v>164000</v>
      </c>
      <c r="G89" s="263">
        <v>0</v>
      </c>
      <c r="H89" s="263">
        <v>164000</v>
      </c>
      <c r="I89" s="263">
        <v>0</v>
      </c>
      <c r="J89" s="263">
        <v>0</v>
      </c>
      <c r="O89" s="264"/>
      <c r="P89" s="264"/>
      <c r="Q89" s="264"/>
      <c r="R89" s="264"/>
      <c r="S89" s="60"/>
      <c r="T89" s="60"/>
      <c r="U89" t="s">
        <v>17576</v>
      </c>
    </row>
    <row r="90" spans="1:21">
      <c r="A90" t="s">
        <v>17577</v>
      </c>
      <c r="B90" s="262">
        <v>43572</v>
      </c>
      <c r="C90" t="s">
        <v>16444</v>
      </c>
      <c r="D90" t="s">
        <v>16445</v>
      </c>
      <c r="E90" s="60">
        <v>0</v>
      </c>
      <c r="F90" s="60">
        <v>26496</v>
      </c>
      <c r="G90" s="263">
        <v>0</v>
      </c>
      <c r="H90" s="263">
        <v>26496</v>
      </c>
      <c r="I90" s="263">
        <v>0</v>
      </c>
      <c r="J90" s="263">
        <v>0</v>
      </c>
      <c r="O90" s="264"/>
      <c r="P90" s="264"/>
      <c r="Q90" s="264"/>
      <c r="R90" s="264"/>
      <c r="S90" s="60"/>
      <c r="T90" s="60"/>
      <c r="U90" t="s">
        <v>17532</v>
      </c>
    </row>
    <row r="91" spans="1:21">
      <c r="A91" t="s">
        <v>17578</v>
      </c>
      <c r="B91" s="262">
        <v>43574</v>
      </c>
      <c r="C91" t="s">
        <v>16838</v>
      </c>
      <c r="D91" t="s">
        <v>16839</v>
      </c>
      <c r="E91" s="60">
        <v>0</v>
      </c>
      <c r="F91" s="60">
        <v>148554</v>
      </c>
      <c r="G91" s="263">
        <v>0</v>
      </c>
      <c r="H91" s="263">
        <v>148554</v>
      </c>
      <c r="I91" s="263">
        <v>0</v>
      </c>
      <c r="J91" s="263">
        <v>0</v>
      </c>
      <c r="O91" s="264"/>
      <c r="P91" s="264"/>
      <c r="Q91" s="264"/>
      <c r="R91" s="264"/>
      <c r="S91" s="60"/>
      <c r="T91" s="60"/>
      <c r="U91" t="s">
        <v>17422</v>
      </c>
    </row>
    <row r="92" spans="1:21">
      <c r="A92" t="s">
        <v>17579</v>
      </c>
      <c r="B92" s="262">
        <v>43577</v>
      </c>
      <c r="C92" t="s">
        <v>17017</v>
      </c>
      <c r="D92" t="s">
        <v>17430</v>
      </c>
      <c r="E92" s="60">
        <v>0</v>
      </c>
      <c r="F92" s="60">
        <v>30135</v>
      </c>
      <c r="G92" s="263">
        <v>0</v>
      </c>
      <c r="H92" s="263">
        <v>30135</v>
      </c>
      <c r="I92" s="263">
        <v>0</v>
      </c>
      <c r="J92" s="263">
        <v>0</v>
      </c>
      <c r="O92" s="264"/>
      <c r="P92" s="264"/>
      <c r="Q92" s="264"/>
      <c r="R92" s="264"/>
      <c r="S92" s="60"/>
      <c r="T92" s="60"/>
      <c r="U92" t="s">
        <v>17580</v>
      </c>
    </row>
    <row r="93" spans="1:21">
      <c r="A93" t="s">
        <v>17581</v>
      </c>
      <c r="B93" s="262">
        <v>43587</v>
      </c>
      <c r="C93" t="s">
        <v>17017</v>
      </c>
      <c r="D93" t="s">
        <v>17430</v>
      </c>
      <c r="E93" s="60">
        <v>0</v>
      </c>
      <c r="F93" s="60">
        <v>28400</v>
      </c>
      <c r="G93" s="263">
        <v>0</v>
      </c>
      <c r="H93" s="263">
        <v>28400</v>
      </c>
      <c r="I93" s="263">
        <v>0</v>
      </c>
      <c r="J93" s="263">
        <v>0</v>
      </c>
      <c r="O93" s="264"/>
      <c r="P93" s="264"/>
      <c r="Q93" s="264"/>
      <c r="R93" s="264"/>
      <c r="S93" s="60"/>
      <c r="T93" s="60"/>
      <c r="U93" t="s">
        <v>17545</v>
      </c>
    </row>
    <row r="94" spans="1:21">
      <c r="A94" t="s">
        <v>17582</v>
      </c>
      <c r="B94" s="262">
        <v>43577</v>
      </c>
      <c r="C94" t="s">
        <v>17017</v>
      </c>
      <c r="D94" t="s">
        <v>17430</v>
      </c>
      <c r="E94" s="60">
        <v>0</v>
      </c>
      <c r="F94" s="60">
        <v>31751.8</v>
      </c>
      <c r="G94" s="263">
        <v>1860</v>
      </c>
      <c r="H94" s="263">
        <v>21940.799999999999</v>
      </c>
      <c r="I94" s="263">
        <v>4500</v>
      </c>
      <c r="J94" s="263">
        <v>3451</v>
      </c>
      <c r="O94" s="264"/>
      <c r="P94" s="264"/>
      <c r="Q94" s="264"/>
      <c r="R94" s="264"/>
      <c r="S94" s="60"/>
      <c r="T94" s="60"/>
      <c r="U94" t="s">
        <v>17583</v>
      </c>
    </row>
    <row r="95" spans="1:21">
      <c r="A95" t="s">
        <v>17584</v>
      </c>
      <c r="B95" s="262">
        <v>43587</v>
      </c>
      <c r="C95" t="s">
        <v>17191</v>
      </c>
      <c r="D95" t="s">
        <v>17585</v>
      </c>
      <c r="E95" s="60">
        <v>0</v>
      </c>
      <c r="F95" s="60">
        <v>3912</v>
      </c>
      <c r="G95" s="263">
        <v>0</v>
      </c>
      <c r="H95" s="263">
        <v>3912</v>
      </c>
      <c r="I95" s="263">
        <v>0</v>
      </c>
      <c r="J95" s="263">
        <v>0</v>
      </c>
      <c r="O95" s="264"/>
      <c r="P95" s="264"/>
      <c r="Q95" s="264"/>
      <c r="R95" s="264"/>
      <c r="S95" s="60"/>
      <c r="T95" s="60"/>
      <c r="U95" t="s">
        <v>17586</v>
      </c>
    </row>
    <row r="96" spans="1:21">
      <c r="A96" t="s">
        <v>17587</v>
      </c>
      <c r="B96" s="262">
        <v>43587</v>
      </c>
      <c r="C96" t="s">
        <v>16384</v>
      </c>
      <c r="D96" t="s">
        <v>16385</v>
      </c>
      <c r="E96" s="60">
        <v>0</v>
      </c>
      <c r="F96" s="60">
        <v>30300</v>
      </c>
      <c r="G96" s="263">
        <v>0</v>
      </c>
      <c r="H96" s="263">
        <v>29442</v>
      </c>
      <c r="I96" s="263">
        <v>858</v>
      </c>
      <c r="J96" s="263">
        <v>0</v>
      </c>
      <c r="O96" s="264"/>
      <c r="P96" s="264"/>
      <c r="Q96" s="264"/>
      <c r="R96" s="264"/>
      <c r="S96" s="60"/>
      <c r="T96" s="60"/>
      <c r="U96" t="s">
        <v>17361</v>
      </c>
    </row>
    <row r="97" spans="1:21">
      <c r="A97" t="s">
        <v>17588</v>
      </c>
      <c r="B97" s="262">
        <v>43587</v>
      </c>
      <c r="C97" t="s">
        <v>16444</v>
      </c>
      <c r="D97" t="s">
        <v>16445</v>
      </c>
      <c r="E97" s="60">
        <v>0</v>
      </c>
      <c r="F97" s="60">
        <v>25439</v>
      </c>
      <c r="G97" s="263">
        <v>21578</v>
      </c>
      <c r="H97" s="263">
        <v>3861</v>
      </c>
      <c r="I97" s="263">
        <v>0</v>
      </c>
      <c r="J97" s="263">
        <v>0</v>
      </c>
      <c r="O97" s="264"/>
      <c r="P97" s="264"/>
      <c r="Q97" s="264"/>
      <c r="R97" s="264"/>
      <c r="S97" s="60"/>
      <c r="T97" s="60"/>
      <c r="U97" t="s">
        <v>17589</v>
      </c>
    </row>
    <row r="98" spans="1:21">
      <c r="A98" t="s">
        <v>17590</v>
      </c>
      <c r="B98" s="262">
        <v>43581</v>
      </c>
      <c r="C98" t="s">
        <v>17017</v>
      </c>
      <c r="D98" t="s">
        <v>17430</v>
      </c>
      <c r="E98" s="60">
        <v>0</v>
      </c>
      <c r="F98" s="60">
        <v>26196.400000000001</v>
      </c>
      <c r="G98" s="263">
        <v>0</v>
      </c>
      <c r="H98" s="263">
        <v>16510.8</v>
      </c>
      <c r="I98" s="263">
        <v>4500</v>
      </c>
      <c r="J98" s="263">
        <v>5185.6000000000004</v>
      </c>
      <c r="O98" s="264"/>
      <c r="P98" s="264"/>
      <c r="Q98" s="264"/>
      <c r="R98" s="264"/>
      <c r="S98" s="60"/>
      <c r="T98" s="60"/>
      <c r="U98" t="s">
        <v>17591</v>
      </c>
    </row>
    <row r="99" spans="1:21">
      <c r="A99" t="s">
        <v>17592</v>
      </c>
      <c r="B99" s="262">
        <v>43587</v>
      </c>
      <c r="C99" t="s">
        <v>16444</v>
      </c>
      <c r="D99" t="s">
        <v>16445</v>
      </c>
      <c r="E99" s="60">
        <v>0</v>
      </c>
      <c r="F99" s="60">
        <v>117789.6</v>
      </c>
      <c r="G99" s="263">
        <v>41427.599999999999</v>
      </c>
      <c r="H99" s="263">
        <v>76362</v>
      </c>
      <c r="I99" s="263">
        <v>0</v>
      </c>
      <c r="J99" s="263">
        <v>0</v>
      </c>
      <c r="O99" s="264"/>
      <c r="P99" s="264"/>
      <c r="Q99" s="264"/>
      <c r="R99" s="264"/>
      <c r="S99" s="60"/>
      <c r="T99" s="60"/>
      <c r="U99" t="s">
        <v>17593</v>
      </c>
    </row>
    <row r="100" spans="1:21">
      <c r="A100" t="s">
        <v>17594</v>
      </c>
      <c r="B100" s="262">
        <v>43642</v>
      </c>
      <c r="C100" t="s">
        <v>16384</v>
      </c>
      <c r="D100" t="s">
        <v>16385</v>
      </c>
      <c r="E100" s="60">
        <v>0</v>
      </c>
      <c r="F100" s="60">
        <v>94711.2</v>
      </c>
      <c r="G100" s="263">
        <v>63823.199999999997</v>
      </c>
      <c r="H100" s="263">
        <v>30888</v>
      </c>
      <c r="I100" s="263">
        <v>0</v>
      </c>
      <c r="J100" s="263">
        <v>0</v>
      </c>
      <c r="O100" s="264"/>
      <c r="P100" s="264"/>
      <c r="Q100" s="264"/>
      <c r="R100" s="264"/>
      <c r="S100" s="60"/>
      <c r="T100" s="60"/>
      <c r="U100" t="s">
        <v>17595</v>
      </c>
    </row>
    <row r="101" spans="1:21">
      <c r="A101" t="s">
        <v>17596</v>
      </c>
      <c r="B101" s="262">
        <v>43588</v>
      </c>
      <c r="C101" t="s">
        <v>16384</v>
      </c>
      <c r="D101" t="s">
        <v>16385</v>
      </c>
      <c r="E101" s="60">
        <v>0</v>
      </c>
      <c r="F101" s="60">
        <v>38360</v>
      </c>
      <c r="G101" s="263">
        <v>0</v>
      </c>
      <c r="H101" s="263">
        <v>0</v>
      </c>
      <c r="I101" s="263">
        <v>38360</v>
      </c>
      <c r="J101" s="263">
        <v>0</v>
      </c>
      <c r="O101" s="264"/>
      <c r="P101" s="264"/>
      <c r="Q101" s="264"/>
      <c r="R101" s="264"/>
      <c r="S101" s="60"/>
      <c r="T101" s="60"/>
      <c r="U101" t="s">
        <v>17597</v>
      </c>
    </row>
    <row r="102" spans="1:21">
      <c r="A102" t="s">
        <v>17598</v>
      </c>
      <c r="B102" s="262">
        <v>43588</v>
      </c>
      <c r="C102" t="s">
        <v>16492</v>
      </c>
      <c r="D102" t="s">
        <v>17599</v>
      </c>
      <c r="E102" s="60">
        <v>0</v>
      </c>
      <c r="F102" s="60">
        <v>52574.114000000001</v>
      </c>
      <c r="G102" s="263">
        <v>1860.0504000000001</v>
      </c>
      <c r="H102" s="263">
        <v>20359.2055</v>
      </c>
      <c r="I102" s="263">
        <v>18682.6264175</v>
      </c>
      <c r="J102" s="263">
        <v>3120.9499500000002</v>
      </c>
      <c r="O102" s="264"/>
      <c r="P102" s="264"/>
      <c r="Q102" s="264"/>
      <c r="R102" s="264"/>
      <c r="S102" s="60"/>
      <c r="T102" s="60"/>
      <c r="U102" t="s">
        <v>17600</v>
      </c>
    </row>
    <row r="103" spans="1:21">
      <c r="A103" t="s">
        <v>17601</v>
      </c>
      <c r="B103" s="262">
        <v>43589</v>
      </c>
      <c r="C103" t="s">
        <v>17017</v>
      </c>
      <c r="D103" t="s">
        <v>17430</v>
      </c>
      <c r="E103" s="60">
        <v>0</v>
      </c>
      <c r="F103" s="60">
        <v>59254.655999999995</v>
      </c>
      <c r="G103" s="263">
        <v>0</v>
      </c>
      <c r="H103" s="263">
        <v>20134.656000000003</v>
      </c>
      <c r="I103" s="263">
        <v>37440</v>
      </c>
      <c r="J103" s="263">
        <v>1680</v>
      </c>
      <c r="O103" s="264"/>
      <c r="P103" s="264"/>
      <c r="Q103" s="264"/>
      <c r="R103" s="264"/>
      <c r="S103" s="60"/>
      <c r="T103" s="60"/>
      <c r="U103" t="s">
        <v>17602</v>
      </c>
    </row>
    <row r="104" spans="1:21">
      <c r="A104" t="s">
        <v>17603</v>
      </c>
      <c r="B104" s="262">
        <v>43589</v>
      </c>
      <c r="C104" t="s">
        <v>16444</v>
      </c>
      <c r="D104" t="s">
        <v>16445</v>
      </c>
      <c r="E104" s="60">
        <v>0</v>
      </c>
      <c r="F104" s="60">
        <v>31752</v>
      </c>
      <c r="G104" s="263">
        <v>31752</v>
      </c>
      <c r="H104" s="263">
        <v>0</v>
      </c>
      <c r="I104" s="263">
        <v>0</v>
      </c>
      <c r="J104" s="263">
        <v>0</v>
      </c>
      <c r="O104" s="264"/>
      <c r="P104" s="264"/>
      <c r="Q104" s="264"/>
      <c r="R104" s="264"/>
      <c r="S104" s="60"/>
      <c r="T104" s="60"/>
      <c r="U104" t="s">
        <v>17604</v>
      </c>
    </row>
    <row r="105" spans="1:21">
      <c r="A105" t="s">
        <v>17605</v>
      </c>
      <c r="B105" s="262">
        <v>43589</v>
      </c>
      <c r="C105" t="s">
        <v>17185</v>
      </c>
      <c r="D105" t="s">
        <v>17531</v>
      </c>
      <c r="E105" s="60">
        <v>0</v>
      </c>
      <c r="F105" s="60">
        <v>149040</v>
      </c>
      <c r="G105" s="263">
        <v>0</v>
      </c>
      <c r="H105" s="263">
        <v>0</v>
      </c>
      <c r="I105" s="263">
        <v>149040</v>
      </c>
      <c r="J105" s="263">
        <v>0</v>
      </c>
      <c r="O105" s="264"/>
      <c r="P105" s="264"/>
      <c r="Q105" s="264"/>
      <c r="R105" s="264"/>
      <c r="S105" s="60"/>
      <c r="T105" s="60"/>
      <c r="U105" t="s">
        <v>17606</v>
      </c>
    </row>
    <row r="106" spans="1:21">
      <c r="A106" t="s">
        <v>17607</v>
      </c>
      <c r="B106" s="262">
        <v>43617</v>
      </c>
      <c r="C106" t="s">
        <v>16957</v>
      </c>
      <c r="D106" t="s">
        <v>17451</v>
      </c>
      <c r="E106" s="60">
        <v>0</v>
      </c>
      <c r="F106" s="60">
        <v>41174.370000000003</v>
      </c>
      <c r="G106" s="263">
        <v>41174.370000000003</v>
      </c>
      <c r="H106" s="263">
        <v>0</v>
      </c>
      <c r="I106" s="263">
        <v>0</v>
      </c>
      <c r="J106" s="263">
        <v>0</v>
      </c>
      <c r="O106" s="264"/>
      <c r="P106" s="264"/>
      <c r="Q106" s="264"/>
      <c r="R106" s="264"/>
      <c r="S106" s="60"/>
      <c r="T106" s="60"/>
      <c r="U106" t="s">
        <v>17608</v>
      </c>
    </row>
    <row r="107" spans="1:21">
      <c r="A107" t="s">
        <v>17609</v>
      </c>
      <c r="B107" s="262">
        <v>43593</v>
      </c>
      <c r="C107" t="s">
        <v>16643</v>
      </c>
      <c r="D107" t="s">
        <v>16644</v>
      </c>
      <c r="E107" s="60">
        <v>0</v>
      </c>
      <c r="F107" s="60">
        <v>113418.731</v>
      </c>
      <c r="G107" s="263">
        <v>0</v>
      </c>
      <c r="H107" s="263">
        <v>87356.981249999997</v>
      </c>
      <c r="I107" s="263">
        <v>0</v>
      </c>
      <c r="J107" s="263">
        <v>0</v>
      </c>
      <c r="O107" s="264"/>
      <c r="P107" s="264"/>
      <c r="Q107" s="264"/>
      <c r="R107" s="264"/>
      <c r="S107" s="60"/>
      <c r="T107" s="60"/>
      <c r="U107" t="s">
        <v>17541</v>
      </c>
    </row>
    <row r="108" spans="1:21">
      <c r="A108" t="s">
        <v>17610</v>
      </c>
      <c r="B108" s="262">
        <v>43593</v>
      </c>
      <c r="C108" t="s">
        <v>16904</v>
      </c>
      <c r="D108" t="s">
        <v>16905</v>
      </c>
      <c r="E108" s="60">
        <v>0</v>
      </c>
      <c r="F108" s="60">
        <v>47506.108</v>
      </c>
      <c r="G108" s="263">
        <v>0</v>
      </c>
      <c r="H108" s="263">
        <v>23507.317152</v>
      </c>
      <c r="I108" s="263">
        <v>15642.666000000001</v>
      </c>
      <c r="J108" s="263">
        <v>0</v>
      </c>
      <c r="O108" s="264"/>
      <c r="P108" s="264"/>
      <c r="Q108" s="264"/>
      <c r="R108" s="264"/>
      <c r="S108" s="60"/>
      <c r="T108" s="60"/>
      <c r="U108" t="s">
        <v>17611</v>
      </c>
    </row>
    <row r="109" spans="1:21">
      <c r="A109" t="s">
        <v>17612</v>
      </c>
      <c r="B109" s="262">
        <v>43594</v>
      </c>
      <c r="C109" t="s">
        <v>16779</v>
      </c>
      <c r="D109" t="s">
        <v>17613</v>
      </c>
      <c r="E109" s="60">
        <v>0</v>
      </c>
      <c r="F109" s="60">
        <v>35151.202000000005</v>
      </c>
      <c r="G109" s="263">
        <v>0</v>
      </c>
      <c r="H109" s="263">
        <v>26164.371287999995</v>
      </c>
      <c r="I109" s="263">
        <v>4032.8270399999997</v>
      </c>
      <c r="J109" s="263">
        <v>2108.799</v>
      </c>
      <c r="O109" s="264"/>
      <c r="P109" s="264"/>
      <c r="Q109" s="264"/>
      <c r="R109" s="264"/>
      <c r="S109" s="60"/>
      <c r="T109" s="60"/>
      <c r="U109" t="s">
        <v>17614</v>
      </c>
    </row>
    <row r="110" spans="1:21">
      <c r="A110" t="s">
        <v>17615</v>
      </c>
      <c r="B110" s="262">
        <v>43594</v>
      </c>
      <c r="C110" t="s">
        <v>16470</v>
      </c>
      <c r="D110" t="s">
        <v>16471</v>
      </c>
      <c r="E110" s="60">
        <v>0</v>
      </c>
      <c r="F110" s="60">
        <v>430252.929</v>
      </c>
      <c r="G110" s="263">
        <v>63741.13049999997</v>
      </c>
      <c r="H110" s="263">
        <v>287096.13086999999</v>
      </c>
      <c r="I110" s="263">
        <v>0</v>
      </c>
      <c r="J110" s="263">
        <v>0</v>
      </c>
      <c r="O110" s="264"/>
      <c r="P110" s="264"/>
      <c r="Q110" s="264"/>
      <c r="R110" s="264"/>
      <c r="S110" s="60"/>
      <c r="T110" s="60"/>
      <c r="U110" t="s">
        <v>17541</v>
      </c>
    </row>
    <row r="111" spans="1:21">
      <c r="A111" t="s">
        <v>17616</v>
      </c>
      <c r="B111" s="262">
        <v>43596</v>
      </c>
      <c r="C111" t="s">
        <v>16838</v>
      </c>
      <c r="D111" t="s">
        <v>16839</v>
      </c>
      <c r="E111" s="60">
        <v>0</v>
      </c>
      <c r="F111" s="60">
        <v>236365.92</v>
      </c>
      <c r="G111" s="263">
        <v>0</v>
      </c>
      <c r="H111" s="263">
        <v>236365.92</v>
      </c>
      <c r="I111" s="263">
        <v>0</v>
      </c>
      <c r="J111" s="263">
        <v>0</v>
      </c>
      <c r="O111" s="264"/>
      <c r="P111" s="264"/>
      <c r="Q111" s="264"/>
      <c r="R111" s="264"/>
      <c r="S111" s="60"/>
      <c r="T111" s="60"/>
      <c r="U111" t="s">
        <v>17617</v>
      </c>
    </row>
    <row r="112" spans="1:21">
      <c r="A112" t="s">
        <v>17618</v>
      </c>
      <c r="B112" s="262">
        <v>43600</v>
      </c>
      <c r="C112" t="s">
        <v>16384</v>
      </c>
      <c r="D112" t="s">
        <v>16385</v>
      </c>
      <c r="E112" s="60">
        <v>0</v>
      </c>
      <c r="F112" s="60">
        <v>722400</v>
      </c>
      <c r="G112" s="263">
        <v>0</v>
      </c>
      <c r="H112" s="263">
        <v>0</v>
      </c>
      <c r="I112" s="263">
        <v>722400</v>
      </c>
      <c r="J112" s="263">
        <v>0</v>
      </c>
      <c r="O112" s="264"/>
      <c r="P112" s="264"/>
      <c r="Q112" s="264"/>
      <c r="R112" s="264"/>
      <c r="S112" s="60"/>
      <c r="T112" s="60"/>
      <c r="U112" t="s">
        <v>17619</v>
      </c>
    </row>
    <row r="113" spans="1:21">
      <c r="A113" t="s">
        <v>17620</v>
      </c>
      <c r="B113" s="262">
        <v>43605</v>
      </c>
      <c r="C113" t="s">
        <v>17017</v>
      </c>
      <c r="D113" t="s">
        <v>17430</v>
      </c>
      <c r="E113" s="60">
        <v>0</v>
      </c>
      <c r="F113" s="60">
        <v>29600</v>
      </c>
      <c r="G113" s="263">
        <v>0</v>
      </c>
      <c r="H113" s="263">
        <v>29600</v>
      </c>
      <c r="I113" s="263">
        <v>0</v>
      </c>
      <c r="J113" s="263">
        <v>0</v>
      </c>
      <c r="O113" s="264"/>
      <c r="P113" s="264"/>
      <c r="Q113" s="264"/>
      <c r="R113" s="264"/>
      <c r="S113" s="60"/>
      <c r="T113" s="60"/>
      <c r="U113" t="s">
        <v>17545</v>
      </c>
    </row>
    <row r="114" spans="1:21">
      <c r="A114" t="s">
        <v>17621</v>
      </c>
      <c r="B114" s="262">
        <v>43606</v>
      </c>
      <c r="C114" t="s">
        <v>16872</v>
      </c>
      <c r="D114" t="s">
        <v>16873</v>
      </c>
      <c r="E114" s="60">
        <v>0</v>
      </c>
      <c r="F114" s="60">
        <v>28940.233</v>
      </c>
      <c r="G114" s="263">
        <v>21275.627999999997</v>
      </c>
      <c r="H114" s="263">
        <v>7664.6047499999995</v>
      </c>
      <c r="I114" s="263">
        <v>0</v>
      </c>
      <c r="J114" s="263">
        <v>0</v>
      </c>
      <c r="O114" s="264"/>
      <c r="P114" s="264"/>
      <c r="Q114" s="264"/>
      <c r="R114" s="264"/>
      <c r="S114" s="60"/>
      <c r="T114" s="60"/>
      <c r="U114" t="s">
        <v>17622</v>
      </c>
    </row>
    <row r="115" spans="1:21">
      <c r="A115" t="s">
        <v>17623</v>
      </c>
      <c r="B115" s="262">
        <v>43606</v>
      </c>
      <c r="C115" t="s">
        <v>17197</v>
      </c>
      <c r="D115" t="s">
        <v>17198</v>
      </c>
      <c r="E115" s="60">
        <v>0</v>
      </c>
      <c r="F115" s="60">
        <v>802972.56</v>
      </c>
      <c r="G115" s="263">
        <v>0</v>
      </c>
      <c r="H115" s="263">
        <v>708505.19999999972</v>
      </c>
      <c r="I115" s="263">
        <v>94467.36</v>
      </c>
      <c r="J115" s="263">
        <v>0</v>
      </c>
      <c r="O115" s="264"/>
      <c r="P115" s="264"/>
      <c r="Q115" s="264"/>
      <c r="R115" s="264"/>
      <c r="S115" s="60"/>
      <c r="T115" s="60"/>
      <c r="U115" t="s">
        <v>17624</v>
      </c>
    </row>
    <row r="116" spans="1:21">
      <c r="A116" t="s">
        <v>17625</v>
      </c>
      <c r="B116" s="262">
        <v>43801</v>
      </c>
      <c r="C116" t="s">
        <v>17017</v>
      </c>
      <c r="D116" t="s">
        <v>17430</v>
      </c>
      <c r="E116" s="60">
        <v>0</v>
      </c>
      <c r="F116" s="60">
        <v>47253.4</v>
      </c>
      <c r="G116" s="263">
        <v>0</v>
      </c>
      <c r="H116" s="263">
        <v>27255.919999999998</v>
      </c>
      <c r="I116" s="263">
        <v>7392</v>
      </c>
      <c r="J116" s="263">
        <v>12605</v>
      </c>
      <c r="O116" s="264"/>
      <c r="P116" s="264"/>
      <c r="Q116" s="264"/>
      <c r="R116" s="264"/>
      <c r="S116" s="60"/>
      <c r="T116" s="60"/>
      <c r="U116" t="s">
        <v>16814</v>
      </c>
    </row>
    <row r="117" spans="1:21">
      <c r="A117" t="s">
        <v>17626</v>
      </c>
      <c r="B117" s="262">
        <v>43617</v>
      </c>
      <c r="C117" t="s">
        <v>17017</v>
      </c>
      <c r="D117" t="s">
        <v>17430</v>
      </c>
      <c r="E117" s="60">
        <v>0</v>
      </c>
      <c r="F117" s="60">
        <v>53088</v>
      </c>
      <c r="G117" s="263">
        <v>0</v>
      </c>
      <c r="H117" s="263">
        <v>0</v>
      </c>
      <c r="I117" s="263">
        <v>53088</v>
      </c>
      <c r="J117" s="263">
        <v>0</v>
      </c>
      <c r="O117" s="264"/>
      <c r="P117" s="264"/>
      <c r="Q117" s="264"/>
      <c r="R117" s="264"/>
      <c r="S117" s="60"/>
      <c r="T117" s="60"/>
      <c r="U117" t="s">
        <v>17431</v>
      </c>
    </row>
    <row r="118" spans="1:21">
      <c r="A118" t="s">
        <v>17627</v>
      </c>
      <c r="B118" s="262">
        <v>43608</v>
      </c>
      <c r="C118" t="s">
        <v>17017</v>
      </c>
      <c r="D118" t="s">
        <v>17430</v>
      </c>
      <c r="E118" s="60">
        <v>0</v>
      </c>
      <c r="F118" s="60">
        <v>31450</v>
      </c>
      <c r="G118" s="263">
        <v>31450</v>
      </c>
      <c r="H118" s="263">
        <v>0</v>
      </c>
      <c r="I118" s="263">
        <v>0</v>
      </c>
      <c r="J118" s="263">
        <v>0</v>
      </c>
      <c r="O118" s="264"/>
      <c r="P118" s="264"/>
      <c r="Q118" s="264"/>
      <c r="R118" s="264"/>
      <c r="S118" s="60"/>
      <c r="T118" s="60"/>
      <c r="U118" t="s">
        <v>17628</v>
      </c>
    </row>
    <row r="119" spans="1:21">
      <c r="A119" t="s">
        <v>17629</v>
      </c>
      <c r="B119" s="262">
        <v>43647</v>
      </c>
      <c r="C119" t="s">
        <v>17017</v>
      </c>
      <c r="D119" t="s">
        <v>17430</v>
      </c>
      <c r="E119" s="60">
        <v>0</v>
      </c>
      <c r="F119" s="60">
        <v>33462.06</v>
      </c>
      <c r="G119" s="263">
        <v>0</v>
      </c>
      <c r="H119" s="263">
        <v>33461.616000000002</v>
      </c>
      <c r="I119" s="263">
        <v>0</v>
      </c>
      <c r="J119" s="263">
        <v>0</v>
      </c>
      <c r="O119" s="264"/>
      <c r="P119" s="264"/>
      <c r="Q119" s="264"/>
      <c r="R119" s="264"/>
      <c r="S119" s="60"/>
      <c r="T119" s="60"/>
      <c r="U119" t="s">
        <v>17630</v>
      </c>
    </row>
    <row r="120" spans="1:21">
      <c r="A120" t="s">
        <v>17631</v>
      </c>
      <c r="B120" s="262">
        <v>43609</v>
      </c>
      <c r="C120" t="s">
        <v>16783</v>
      </c>
      <c r="D120" t="s">
        <v>17509</v>
      </c>
      <c r="E120" s="60">
        <v>0</v>
      </c>
      <c r="F120" s="60">
        <v>234474.15399999998</v>
      </c>
      <c r="G120" s="263">
        <v>38726.423999999999</v>
      </c>
      <c r="H120" s="263">
        <v>159863.10856560001</v>
      </c>
      <c r="I120" s="263">
        <v>35884.621634400006</v>
      </c>
      <c r="J120" s="263">
        <v>0</v>
      </c>
      <c r="O120" s="264"/>
      <c r="P120" s="264"/>
      <c r="Q120" s="264"/>
      <c r="R120" s="264"/>
      <c r="S120" s="60"/>
      <c r="T120" s="60"/>
    </row>
    <row r="121" spans="1:21">
      <c r="A121" t="s">
        <v>17632</v>
      </c>
      <c r="B121" s="262">
        <v>43610</v>
      </c>
      <c r="C121" t="s">
        <v>17017</v>
      </c>
      <c r="D121" t="s">
        <v>17430</v>
      </c>
      <c r="E121" s="60">
        <v>0</v>
      </c>
      <c r="F121" s="60">
        <v>31272.428</v>
      </c>
      <c r="G121" s="263">
        <v>0</v>
      </c>
      <c r="H121" s="263">
        <v>0</v>
      </c>
      <c r="I121" s="263">
        <v>31272.428</v>
      </c>
      <c r="J121" s="263">
        <v>0</v>
      </c>
      <c r="O121" s="264"/>
      <c r="P121" s="264"/>
      <c r="Q121" s="264"/>
      <c r="R121" s="264"/>
      <c r="S121" s="60"/>
      <c r="T121" s="60"/>
      <c r="U121" t="s">
        <v>17633</v>
      </c>
    </row>
    <row r="122" spans="1:21">
      <c r="A122" t="s">
        <v>17634</v>
      </c>
      <c r="B122" s="262">
        <v>43617</v>
      </c>
      <c r="C122" t="s">
        <v>17017</v>
      </c>
      <c r="D122" t="s">
        <v>17430</v>
      </c>
      <c r="E122" s="60">
        <v>0</v>
      </c>
      <c r="F122" s="60">
        <v>14485.28</v>
      </c>
      <c r="G122" s="263">
        <v>0</v>
      </c>
      <c r="H122" s="263">
        <v>13547.28</v>
      </c>
      <c r="I122" s="263">
        <v>0</v>
      </c>
      <c r="J122" s="263">
        <v>938</v>
      </c>
      <c r="O122" s="264"/>
      <c r="P122" s="264"/>
      <c r="Q122" s="264"/>
      <c r="R122" s="264"/>
      <c r="S122" s="60"/>
      <c r="T122" s="60"/>
      <c r="U122" t="s">
        <v>17635</v>
      </c>
    </row>
    <row r="123" spans="1:21">
      <c r="A123" t="s">
        <v>17636</v>
      </c>
      <c r="B123" s="262">
        <v>43617</v>
      </c>
      <c r="C123" t="s">
        <v>16384</v>
      </c>
      <c r="D123" t="s">
        <v>16385</v>
      </c>
      <c r="E123" s="60">
        <v>0</v>
      </c>
      <c r="F123" s="60">
        <v>722400</v>
      </c>
      <c r="G123" s="263">
        <v>0</v>
      </c>
      <c r="H123" s="263">
        <v>0</v>
      </c>
      <c r="I123" s="263">
        <v>722400</v>
      </c>
      <c r="J123" s="263">
        <v>0</v>
      </c>
      <c r="O123" s="264"/>
      <c r="P123" s="264"/>
      <c r="Q123" s="264"/>
      <c r="R123" s="264"/>
      <c r="S123" s="60"/>
      <c r="T123" s="60"/>
      <c r="U123" t="s">
        <v>17524</v>
      </c>
    </row>
    <row r="124" spans="1:21">
      <c r="A124" t="s">
        <v>17637</v>
      </c>
      <c r="B124" s="262">
        <v>43617</v>
      </c>
      <c r="C124" t="s">
        <v>16838</v>
      </c>
      <c r="D124" t="s">
        <v>16839</v>
      </c>
      <c r="E124" s="60">
        <v>0</v>
      </c>
      <c r="F124" s="60">
        <v>393503.04</v>
      </c>
      <c r="G124" s="263">
        <v>0</v>
      </c>
      <c r="H124" s="263">
        <v>393503.04</v>
      </c>
      <c r="I124" s="263">
        <v>0</v>
      </c>
      <c r="J124" s="263">
        <v>0</v>
      </c>
      <c r="O124" s="264"/>
      <c r="P124" s="264"/>
      <c r="Q124" s="264"/>
      <c r="R124" s="264"/>
      <c r="S124" s="60"/>
      <c r="T124" s="60"/>
      <c r="U124" t="s">
        <v>17617</v>
      </c>
    </row>
    <row r="125" spans="1:21">
      <c r="A125" t="s">
        <v>17638</v>
      </c>
      <c r="B125" s="262">
        <v>43617</v>
      </c>
      <c r="C125" t="s">
        <v>16444</v>
      </c>
      <c r="D125" t="s">
        <v>16445</v>
      </c>
      <c r="E125" s="60">
        <v>0</v>
      </c>
      <c r="F125" s="60">
        <v>31752</v>
      </c>
      <c r="G125" s="263">
        <v>31752</v>
      </c>
      <c r="H125" s="263">
        <v>0</v>
      </c>
      <c r="I125" s="263">
        <v>0</v>
      </c>
      <c r="J125" s="263">
        <v>0</v>
      </c>
      <c r="O125" s="264"/>
      <c r="P125" s="264"/>
      <c r="Q125" s="264"/>
      <c r="R125" s="264"/>
      <c r="S125" s="60"/>
      <c r="T125" s="60"/>
      <c r="U125" t="s">
        <v>17639</v>
      </c>
    </row>
    <row r="126" spans="1:21">
      <c r="A126" t="s">
        <v>17640</v>
      </c>
      <c r="B126" s="262">
        <v>43619</v>
      </c>
      <c r="C126" t="s">
        <v>16444</v>
      </c>
      <c r="D126" t="s">
        <v>16445</v>
      </c>
      <c r="E126" s="60">
        <v>0</v>
      </c>
      <c r="F126" s="60">
        <v>79331.28</v>
      </c>
      <c r="G126" s="263">
        <v>24730.799999999999</v>
      </c>
      <c r="H126" s="263">
        <v>54600.480000000003</v>
      </c>
      <c r="I126" s="263">
        <v>0</v>
      </c>
      <c r="J126" s="263">
        <v>0</v>
      </c>
      <c r="O126" s="264"/>
      <c r="P126" s="264"/>
      <c r="Q126" s="264"/>
      <c r="R126" s="264"/>
      <c r="S126" s="60"/>
      <c r="T126" s="60"/>
      <c r="U126" t="s">
        <v>17641</v>
      </c>
    </row>
    <row r="127" spans="1:21">
      <c r="A127" t="s">
        <v>17642</v>
      </c>
      <c r="B127" s="262">
        <v>43626</v>
      </c>
      <c r="C127" t="s">
        <v>17017</v>
      </c>
      <c r="D127" t="s">
        <v>17430</v>
      </c>
      <c r="E127" s="60">
        <v>0</v>
      </c>
      <c r="F127" s="60">
        <v>8652</v>
      </c>
      <c r="G127" s="263">
        <v>8263.2000000000007</v>
      </c>
      <c r="H127" s="263">
        <v>388.8</v>
      </c>
      <c r="I127" s="263">
        <v>0</v>
      </c>
      <c r="J127" s="263">
        <v>0</v>
      </c>
      <c r="O127" s="264"/>
      <c r="P127" s="264"/>
      <c r="Q127" s="264"/>
      <c r="R127" s="264"/>
      <c r="S127" s="60"/>
      <c r="T127" s="60"/>
      <c r="U127" t="s">
        <v>17643</v>
      </c>
    </row>
    <row r="128" spans="1:21">
      <c r="A128" t="s">
        <v>17644</v>
      </c>
      <c r="B128" s="262">
        <v>43626</v>
      </c>
      <c r="C128" t="s">
        <v>17200</v>
      </c>
      <c r="D128" t="s">
        <v>17645</v>
      </c>
      <c r="E128" s="60">
        <v>0</v>
      </c>
      <c r="F128" s="60">
        <v>34954.5</v>
      </c>
      <c r="G128" s="263">
        <v>34954.499999999993</v>
      </c>
      <c r="H128" s="263">
        <v>0</v>
      </c>
      <c r="I128" s="263">
        <v>0</v>
      </c>
      <c r="J128" s="263">
        <v>0</v>
      </c>
      <c r="O128" s="264"/>
      <c r="P128" s="264"/>
      <c r="Q128" s="264"/>
      <c r="R128" s="264"/>
      <c r="S128" s="60"/>
      <c r="T128" s="60"/>
      <c r="U128" t="s">
        <v>17470</v>
      </c>
    </row>
    <row r="129" spans="1:21">
      <c r="A129" t="s">
        <v>17646</v>
      </c>
      <c r="B129" s="262">
        <v>43629</v>
      </c>
      <c r="C129" t="s">
        <v>17017</v>
      </c>
      <c r="D129" t="s">
        <v>17430</v>
      </c>
      <c r="E129" s="60">
        <v>0</v>
      </c>
      <c r="F129" s="60">
        <v>16875.056</v>
      </c>
      <c r="G129" s="263">
        <v>0</v>
      </c>
      <c r="H129" s="263">
        <v>3799.04</v>
      </c>
      <c r="I129" s="263">
        <v>11012.376000000002</v>
      </c>
      <c r="J129" s="263">
        <v>2063.64</v>
      </c>
      <c r="O129" s="264"/>
      <c r="P129" s="264"/>
      <c r="Q129" s="264"/>
      <c r="R129" s="264"/>
      <c r="S129" s="60"/>
      <c r="T129" s="60"/>
      <c r="U129" t="s">
        <v>17647</v>
      </c>
    </row>
    <row r="130" spans="1:21">
      <c r="A130" t="s">
        <v>17648</v>
      </c>
      <c r="B130" s="262">
        <v>43629</v>
      </c>
      <c r="C130" t="s">
        <v>16880</v>
      </c>
      <c r="D130" t="s">
        <v>16881</v>
      </c>
      <c r="E130" s="60">
        <v>0</v>
      </c>
      <c r="F130" s="60">
        <v>68288.070000000007</v>
      </c>
      <c r="G130" s="263">
        <v>0</v>
      </c>
      <c r="H130" s="263">
        <v>68288.069499999998</v>
      </c>
      <c r="I130" s="263">
        <v>0</v>
      </c>
      <c r="J130" s="263">
        <v>0</v>
      </c>
      <c r="O130" s="264"/>
      <c r="P130" s="264"/>
      <c r="Q130" s="264"/>
      <c r="R130" s="264"/>
      <c r="S130" s="60"/>
      <c r="T130" s="60"/>
      <c r="U130" t="s">
        <v>17649</v>
      </c>
    </row>
    <row r="131" spans="1:21">
      <c r="A131" t="s">
        <v>17650</v>
      </c>
      <c r="B131" s="262">
        <v>43634</v>
      </c>
      <c r="C131" t="s">
        <v>16904</v>
      </c>
      <c r="D131" t="s">
        <v>16905</v>
      </c>
      <c r="E131" s="60">
        <v>0</v>
      </c>
      <c r="F131" s="60">
        <v>47545.749000000003</v>
      </c>
      <c r="G131" s="263">
        <v>0</v>
      </c>
      <c r="H131" s="263">
        <v>27135.003456000002</v>
      </c>
      <c r="I131" s="263">
        <v>12110.995200000001</v>
      </c>
      <c r="J131" s="263">
        <v>0</v>
      </c>
      <c r="O131" s="264"/>
      <c r="P131" s="264"/>
      <c r="Q131" s="264"/>
      <c r="R131" s="264"/>
      <c r="S131" s="60"/>
      <c r="T131" s="60"/>
      <c r="U131" t="s">
        <v>17651</v>
      </c>
    </row>
    <row r="132" spans="1:21">
      <c r="A132" t="s">
        <v>17652</v>
      </c>
      <c r="B132" s="262">
        <v>43634</v>
      </c>
      <c r="C132" t="s">
        <v>17119</v>
      </c>
      <c r="D132" t="s">
        <v>17120</v>
      </c>
      <c r="E132" s="60">
        <v>0</v>
      </c>
      <c r="F132" s="60">
        <v>117093.796</v>
      </c>
      <c r="G132" s="263">
        <v>33495.911904000001</v>
      </c>
      <c r="H132" s="263">
        <v>63402.273647999995</v>
      </c>
      <c r="I132" s="263">
        <v>0</v>
      </c>
      <c r="J132" s="263">
        <v>0</v>
      </c>
      <c r="O132" s="264"/>
      <c r="P132" s="264"/>
      <c r="Q132" s="264"/>
      <c r="R132" s="264"/>
      <c r="S132" s="60"/>
      <c r="T132" s="60"/>
      <c r="U132" t="s">
        <v>17433</v>
      </c>
    </row>
    <row r="133" spans="1:21">
      <c r="A133" t="s">
        <v>17653</v>
      </c>
      <c r="B133" s="262">
        <v>43635</v>
      </c>
      <c r="C133" t="s">
        <v>17203</v>
      </c>
      <c r="D133" t="s">
        <v>17205</v>
      </c>
      <c r="E133" s="60">
        <v>0</v>
      </c>
      <c r="F133" s="60">
        <v>223907.85</v>
      </c>
      <c r="G133" s="263">
        <v>0</v>
      </c>
      <c r="H133" s="263">
        <v>202412.69640000004</v>
      </c>
      <c r="I133" s="263">
        <v>21495.153600000005</v>
      </c>
      <c r="J133" s="263">
        <v>0</v>
      </c>
      <c r="O133" s="264"/>
      <c r="P133" s="264"/>
      <c r="Q133" s="264"/>
      <c r="R133" s="264"/>
      <c r="S133" s="60"/>
      <c r="T133" s="60"/>
      <c r="U133" t="s">
        <v>17654</v>
      </c>
    </row>
    <row r="134" spans="1:21">
      <c r="A134" t="s">
        <v>17655</v>
      </c>
      <c r="B134" s="262">
        <v>43637</v>
      </c>
      <c r="C134" t="s">
        <v>16444</v>
      </c>
      <c r="D134" t="s">
        <v>16445</v>
      </c>
      <c r="E134" s="60">
        <v>0</v>
      </c>
      <c r="F134" s="60">
        <v>426510</v>
      </c>
      <c r="G134" s="263">
        <v>0</v>
      </c>
      <c r="H134" s="263">
        <v>209790</v>
      </c>
      <c r="I134" s="263">
        <v>216720</v>
      </c>
      <c r="J134" s="263">
        <v>0</v>
      </c>
      <c r="O134" s="264"/>
      <c r="P134" s="264"/>
      <c r="Q134" s="264"/>
      <c r="R134" s="264"/>
      <c r="S134" s="60"/>
      <c r="T134" s="60"/>
      <c r="U134" t="s">
        <v>17656</v>
      </c>
    </row>
    <row r="135" spans="1:21">
      <c r="A135" t="s">
        <v>17657</v>
      </c>
      <c r="B135" s="262">
        <v>43647</v>
      </c>
      <c r="C135" t="s">
        <v>16384</v>
      </c>
      <c r="D135" t="s">
        <v>16385</v>
      </c>
      <c r="E135" s="60">
        <v>0</v>
      </c>
      <c r="F135" s="60">
        <v>361200</v>
      </c>
      <c r="G135" s="263">
        <v>0</v>
      </c>
      <c r="H135" s="263">
        <v>0</v>
      </c>
      <c r="I135" s="263">
        <v>361200</v>
      </c>
      <c r="J135" s="263">
        <v>0</v>
      </c>
      <c r="O135" s="264"/>
      <c r="P135" s="264"/>
      <c r="Q135" s="264"/>
      <c r="R135" s="264"/>
      <c r="S135" s="60"/>
      <c r="T135" s="60"/>
      <c r="U135" t="s">
        <v>17658</v>
      </c>
    </row>
    <row r="136" spans="1:21">
      <c r="A136" t="s">
        <v>17659</v>
      </c>
      <c r="B136" s="262">
        <v>43678</v>
      </c>
      <c r="C136" t="s">
        <v>16977</v>
      </c>
      <c r="D136" t="s">
        <v>16978</v>
      </c>
      <c r="E136" s="60">
        <v>0</v>
      </c>
      <c r="F136" s="60">
        <v>45676.858</v>
      </c>
      <c r="G136" s="263">
        <v>0</v>
      </c>
      <c r="H136" s="263">
        <v>0</v>
      </c>
      <c r="I136" s="263">
        <v>0</v>
      </c>
      <c r="J136" s="263">
        <v>45676.858</v>
      </c>
      <c r="O136" s="264"/>
      <c r="P136" s="264"/>
      <c r="Q136" s="264"/>
      <c r="R136" s="264"/>
      <c r="S136" s="60"/>
      <c r="T136" s="60"/>
    </row>
    <row r="137" spans="1:21">
      <c r="A137" t="s">
        <v>17660</v>
      </c>
      <c r="B137" s="262">
        <v>43647</v>
      </c>
      <c r="C137" t="s">
        <v>16444</v>
      </c>
      <c r="D137" t="s">
        <v>16445</v>
      </c>
      <c r="E137" s="60">
        <v>0</v>
      </c>
      <c r="F137" s="60">
        <v>565215</v>
      </c>
      <c r="G137" s="263">
        <v>0</v>
      </c>
      <c r="H137" s="263">
        <v>384615</v>
      </c>
      <c r="I137" s="263">
        <v>180600</v>
      </c>
      <c r="J137" s="263">
        <v>0</v>
      </c>
      <c r="O137" s="264"/>
      <c r="P137" s="264"/>
      <c r="Q137" s="264"/>
      <c r="R137" s="264"/>
      <c r="S137" s="60"/>
      <c r="T137" s="60"/>
      <c r="U137" t="s">
        <v>17656</v>
      </c>
    </row>
    <row r="138" spans="1:21">
      <c r="A138" t="s">
        <v>17661</v>
      </c>
      <c r="B138" s="262">
        <v>43697</v>
      </c>
      <c r="C138" t="s">
        <v>17207</v>
      </c>
      <c r="D138" t="s">
        <v>17208</v>
      </c>
      <c r="E138" s="60">
        <v>0</v>
      </c>
      <c r="F138" s="60">
        <v>85248</v>
      </c>
      <c r="G138" s="263">
        <v>85248</v>
      </c>
      <c r="H138" s="263">
        <v>0</v>
      </c>
      <c r="I138" s="263">
        <v>0</v>
      </c>
      <c r="J138" s="263">
        <v>0</v>
      </c>
      <c r="O138" s="264"/>
      <c r="P138" s="264"/>
      <c r="Q138" s="264"/>
      <c r="R138" s="264"/>
      <c r="S138" s="60"/>
      <c r="T138" s="60"/>
      <c r="U138" t="s">
        <v>17301</v>
      </c>
    </row>
    <row r="139" spans="1:21">
      <c r="A139" t="s">
        <v>17662</v>
      </c>
      <c r="B139" s="262">
        <v>43801</v>
      </c>
      <c r="C139" t="s">
        <v>16643</v>
      </c>
      <c r="D139" t="s">
        <v>16644</v>
      </c>
      <c r="E139" s="60">
        <v>0</v>
      </c>
      <c r="F139" s="60">
        <v>106290.005</v>
      </c>
      <c r="G139" s="263">
        <v>0</v>
      </c>
      <c r="H139" s="263">
        <v>80741.885400000014</v>
      </c>
      <c r="I139" s="263">
        <v>0</v>
      </c>
      <c r="J139" s="263">
        <v>0</v>
      </c>
      <c r="O139" s="264"/>
      <c r="P139" s="264"/>
      <c r="Q139" s="264"/>
      <c r="R139" s="264"/>
      <c r="S139" s="60"/>
      <c r="T139" s="60"/>
      <c r="U139" t="s">
        <v>17433</v>
      </c>
    </row>
    <row r="140" spans="1:21">
      <c r="A140" t="s">
        <v>17663</v>
      </c>
      <c r="B140" s="262">
        <v>43647</v>
      </c>
      <c r="C140" t="s">
        <v>16470</v>
      </c>
      <c r="D140" t="s">
        <v>16471</v>
      </c>
      <c r="E140" s="60">
        <v>0</v>
      </c>
      <c r="F140" s="60">
        <v>348446.20799999998</v>
      </c>
      <c r="G140" s="263">
        <v>17664.768000000004</v>
      </c>
      <c r="H140" s="263">
        <v>262373.76000000001</v>
      </c>
      <c r="I140" s="263">
        <v>0</v>
      </c>
      <c r="J140" s="263">
        <v>0</v>
      </c>
      <c r="O140" s="264"/>
      <c r="P140" s="264"/>
      <c r="Q140" s="264"/>
      <c r="R140" s="264"/>
      <c r="S140" s="60"/>
      <c r="T140" s="60"/>
      <c r="U140" t="s">
        <v>17433</v>
      </c>
    </row>
    <row r="141" spans="1:21">
      <c r="A141" t="s">
        <v>17664</v>
      </c>
      <c r="B141" s="262">
        <v>43647</v>
      </c>
      <c r="C141" t="s">
        <v>16560</v>
      </c>
      <c r="D141" t="s">
        <v>16561</v>
      </c>
      <c r="E141" s="60">
        <v>0</v>
      </c>
      <c r="F141" s="60">
        <v>151004.304</v>
      </c>
      <c r="G141" s="263">
        <v>0</v>
      </c>
      <c r="H141" s="263">
        <v>0</v>
      </c>
      <c r="I141" s="263">
        <v>151004.304</v>
      </c>
      <c r="J141" s="263">
        <v>0</v>
      </c>
      <c r="O141" s="264"/>
      <c r="P141" s="264"/>
      <c r="Q141" s="264"/>
      <c r="R141" s="264"/>
      <c r="S141" s="60"/>
      <c r="T141" s="60"/>
      <c r="U141" t="s">
        <v>17656</v>
      </c>
    </row>
    <row r="142" spans="1:21">
      <c r="A142" t="s">
        <v>17665</v>
      </c>
      <c r="B142" s="262">
        <v>43647</v>
      </c>
      <c r="C142" t="s">
        <v>16560</v>
      </c>
      <c r="D142" t="s">
        <v>16561</v>
      </c>
      <c r="E142" s="60">
        <v>0</v>
      </c>
      <c r="F142" s="60">
        <v>151004.304</v>
      </c>
      <c r="G142" s="263">
        <v>0</v>
      </c>
      <c r="H142" s="263">
        <v>0</v>
      </c>
      <c r="I142" s="263">
        <v>151004.304</v>
      </c>
      <c r="J142" s="263">
        <v>0</v>
      </c>
      <c r="O142" s="264"/>
      <c r="P142" s="264"/>
      <c r="Q142" s="264"/>
      <c r="R142" s="264"/>
      <c r="S142" s="60"/>
      <c r="T142" s="60"/>
      <c r="U142" t="s">
        <v>17656</v>
      </c>
    </row>
    <row r="143" spans="1:21">
      <c r="A143" t="s">
        <v>17666</v>
      </c>
      <c r="B143" s="262">
        <v>43647</v>
      </c>
      <c r="C143" t="s">
        <v>16560</v>
      </c>
      <c r="D143" t="s">
        <v>16561</v>
      </c>
      <c r="E143" s="60">
        <v>0</v>
      </c>
      <c r="F143" s="60">
        <v>150570.09</v>
      </c>
      <c r="G143" s="263">
        <v>0</v>
      </c>
      <c r="H143" s="263">
        <v>0</v>
      </c>
      <c r="I143" s="263">
        <v>150570.09</v>
      </c>
      <c r="J143" s="263">
        <v>0</v>
      </c>
      <c r="O143" s="264"/>
      <c r="P143" s="264"/>
      <c r="Q143" s="264"/>
      <c r="R143" s="264"/>
      <c r="S143" s="60"/>
      <c r="T143" s="60"/>
      <c r="U143" t="s">
        <v>17656</v>
      </c>
    </row>
    <row r="144" spans="1:21">
      <c r="A144" t="s">
        <v>17667</v>
      </c>
      <c r="B144" s="262">
        <v>43647</v>
      </c>
      <c r="C144" t="s">
        <v>16838</v>
      </c>
      <c r="D144" t="s">
        <v>16839</v>
      </c>
      <c r="E144" s="60">
        <v>0</v>
      </c>
      <c r="F144" s="60">
        <v>422553.59999999998</v>
      </c>
      <c r="G144" s="263">
        <v>0</v>
      </c>
      <c r="H144" s="263">
        <v>422553.59999999998</v>
      </c>
      <c r="I144" s="263">
        <v>0</v>
      </c>
      <c r="J144" s="263">
        <v>0</v>
      </c>
      <c r="O144" s="264"/>
      <c r="P144" s="264"/>
      <c r="Q144" s="264"/>
      <c r="R144" s="264"/>
      <c r="S144" s="60"/>
      <c r="T144" s="60"/>
      <c r="U144" t="s">
        <v>17668</v>
      </c>
    </row>
    <row r="145" spans="1:21">
      <c r="A145" t="s">
        <v>17669</v>
      </c>
      <c r="B145" s="262">
        <v>43647</v>
      </c>
      <c r="C145" t="s">
        <v>17017</v>
      </c>
      <c r="D145" t="s">
        <v>17430</v>
      </c>
      <c r="E145" s="60">
        <v>0</v>
      </c>
      <c r="F145" s="60">
        <v>31450</v>
      </c>
      <c r="G145" s="263">
        <v>31450</v>
      </c>
      <c r="H145" s="263">
        <v>0</v>
      </c>
      <c r="I145" s="263">
        <v>0</v>
      </c>
      <c r="J145" s="263">
        <v>0</v>
      </c>
      <c r="O145" s="264"/>
      <c r="P145" s="264"/>
      <c r="Q145" s="264"/>
      <c r="R145" s="264"/>
      <c r="S145" s="60"/>
      <c r="T145" s="60"/>
      <c r="U145" t="s">
        <v>17628</v>
      </c>
    </row>
    <row r="146" spans="1:21">
      <c r="A146" t="s">
        <v>17670</v>
      </c>
      <c r="B146" s="262">
        <v>43647</v>
      </c>
      <c r="C146" t="s">
        <v>17017</v>
      </c>
      <c r="D146" t="s">
        <v>17430</v>
      </c>
      <c r="E146" s="60">
        <v>0</v>
      </c>
      <c r="F146" s="60">
        <v>32800</v>
      </c>
      <c r="G146" s="263">
        <v>0</v>
      </c>
      <c r="H146" s="263">
        <v>32800</v>
      </c>
      <c r="I146" s="263">
        <v>0</v>
      </c>
      <c r="J146" s="263">
        <v>0</v>
      </c>
      <c r="O146" s="264"/>
      <c r="P146" s="264"/>
      <c r="Q146" s="264"/>
      <c r="R146" s="264"/>
      <c r="S146" s="60"/>
      <c r="T146" s="60"/>
      <c r="U146" t="s">
        <v>17545</v>
      </c>
    </row>
    <row r="147" spans="1:21">
      <c r="A147" t="s">
        <v>17671</v>
      </c>
      <c r="B147" s="262">
        <v>43650</v>
      </c>
      <c r="C147" t="s">
        <v>16444</v>
      </c>
      <c r="D147" t="s">
        <v>16445</v>
      </c>
      <c r="E147" s="60">
        <v>0</v>
      </c>
      <c r="F147" s="60">
        <v>31911.599999999999</v>
      </c>
      <c r="G147" s="263">
        <v>31911.599999999999</v>
      </c>
      <c r="H147" s="263">
        <v>0</v>
      </c>
      <c r="I147" s="263">
        <v>0</v>
      </c>
      <c r="J147" s="263">
        <v>0</v>
      </c>
      <c r="O147" s="264"/>
      <c r="P147" s="264"/>
      <c r="Q147" s="264"/>
      <c r="R147" s="264"/>
      <c r="S147" s="60"/>
      <c r="T147" s="60"/>
      <c r="U147" t="s">
        <v>17593</v>
      </c>
    </row>
    <row r="148" spans="1:21">
      <c r="A148" t="s">
        <v>17672</v>
      </c>
      <c r="B148" s="262">
        <v>43650</v>
      </c>
      <c r="C148" t="s">
        <v>16444</v>
      </c>
      <c r="D148" t="s">
        <v>16445</v>
      </c>
      <c r="E148" s="60">
        <v>0</v>
      </c>
      <c r="F148" s="60">
        <v>29340</v>
      </c>
      <c r="G148" s="263">
        <v>29340</v>
      </c>
      <c r="H148" s="263">
        <v>0</v>
      </c>
      <c r="I148" s="263">
        <v>0</v>
      </c>
      <c r="J148" s="263">
        <v>0</v>
      </c>
      <c r="O148" s="264"/>
      <c r="P148" s="264"/>
      <c r="Q148" s="264"/>
      <c r="R148" s="264"/>
      <c r="S148" s="60"/>
      <c r="T148" s="60"/>
      <c r="U148" t="s">
        <v>17673</v>
      </c>
    </row>
    <row r="149" spans="1:21">
      <c r="A149" t="s">
        <v>17674</v>
      </c>
      <c r="B149" s="262">
        <v>43654</v>
      </c>
      <c r="C149" t="s">
        <v>16904</v>
      </c>
      <c r="D149" t="s">
        <v>16905</v>
      </c>
      <c r="E149" s="60">
        <v>0</v>
      </c>
      <c r="F149" s="60">
        <v>48460.243000000002</v>
      </c>
      <c r="G149" s="263">
        <v>0</v>
      </c>
      <c r="H149" s="263">
        <v>26332.160328000002</v>
      </c>
      <c r="I149" s="263">
        <v>14059.2078</v>
      </c>
      <c r="J149" s="263">
        <v>0</v>
      </c>
      <c r="O149" s="264"/>
      <c r="P149" s="264"/>
      <c r="Q149" s="264"/>
      <c r="R149" s="264"/>
      <c r="S149" s="60"/>
      <c r="T149" s="60"/>
      <c r="U149" t="s">
        <v>17675</v>
      </c>
    </row>
    <row r="150" spans="1:21">
      <c r="A150" t="s">
        <v>17676</v>
      </c>
      <c r="B150" s="262">
        <v>43654</v>
      </c>
      <c r="C150" t="s">
        <v>16384</v>
      </c>
      <c r="D150" t="s">
        <v>16385</v>
      </c>
      <c r="E150" s="60">
        <v>0</v>
      </c>
      <c r="F150" s="60">
        <v>33714</v>
      </c>
      <c r="G150" s="263">
        <v>6894</v>
      </c>
      <c r="H150" s="263">
        <v>26820</v>
      </c>
      <c r="I150" s="263">
        <v>0</v>
      </c>
      <c r="J150" s="263">
        <v>0</v>
      </c>
      <c r="O150" s="264"/>
      <c r="P150" s="264"/>
      <c r="Q150" s="264"/>
      <c r="R150" s="264"/>
      <c r="S150" s="60"/>
      <c r="T150" s="60"/>
      <c r="U150" t="s">
        <v>17677</v>
      </c>
    </row>
    <row r="151" spans="1:21">
      <c r="A151" t="s">
        <v>17678</v>
      </c>
      <c r="B151" s="262">
        <v>43654</v>
      </c>
      <c r="C151" t="s">
        <v>17017</v>
      </c>
      <c r="D151" t="s">
        <v>17430</v>
      </c>
      <c r="E151" s="60">
        <v>0</v>
      </c>
      <c r="F151" s="60">
        <v>17192.760000000002</v>
      </c>
      <c r="G151" s="263">
        <v>3167.28</v>
      </c>
      <c r="H151" s="263">
        <v>9888.7800000000007</v>
      </c>
      <c r="I151" s="263">
        <v>1915.2</v>
      </c>
      <c r="J151" s="263">
        <v>2221.5</v>
      </c>
      <c r="O151" s="264"/>
      <c r="P151" s="264"/>
      <c r="Q151" s="264"/>
      <c r="R151" s="264"/>
      <c r="S151" s="60"/>
      <c r="T151" s="60"/>
      <c r="U151" t="s">
        <v>17313</v>
      </c>
    </row>
    <row r="152" spans="1:21">
      <c r="A152" t="s">
        <v>17679</v>
      </c>
      <c r="B152" s="262">
        <v>43654</v>
      </c>
      <c r="C152" t="s">
        <v>17017</v>
      </c>
      <c r="D152" t="s">
        <v>17430</v>
      </c>
      <c r="E152" s="60">
        <v>0</v>
      </c>
      <c r="F152" s="60">
        <v>79632</v>
      </c>
      <c r="G152" s="263">
        <v>0</v>
      </c>
      <c r="H152" s="263">
        <v>0</v>
      </c>
      <c r="I152" s="263">
        <v>79632</v>
      </c>
      <c r="J152" s="263">
        <v>0</v>
      </c>
      <c r="O152" s="264"/>
      <c r="P152" s="264"/>
      <c r="Q152" s="264"/>
      <c r="R152" s="264"/>
      <c r="S152" s="60"/>
      <c r="T152" s="60"/>
      <c r="U152" t="s">
        <v>17431</v>
      </c>
    </row>
    <row r="153" spans="1:21">
      <c r="A153" t="s">
        <v>17680</v>
      </c>
      <c r="B153" s="262">
        <v>43654</v>
      </c>
      <c r="C153" t="s">
        <v>17017</v>
      </c>
      <c r="D153" t="s">
        <v>17430</v>
      </c>
      <c r="E153" s="60">
        <v>0</v>
      </c>
      <c r="F153" s="60">
        <v>33462.06</v>
      </c>
      <c r="G153" s="263">
        <v>0</v>
      </c>
      <c r="H153" s="263">
        <v>33461.616000000002</v>
      </c>
      <c r="I153" s="263">
        <v>0</v>
      </c>
      <c r="J153" s="263">
        <v>0</v>
      </c>
      <c r="O153" s="264"/>
      <c r="P153" s="264"/>
      <c r="Q153" s="264"/>
      <c r="R153" s="264"/>
      <c r="S153" s="60"/>
      <c r="T153" s="60"/>
      <c r="U153" t="s">
        <v>17630</v>
      </c>
    </row>
    <row r="154" spans="1:21">
      <c r="A154" t="s">
        <v>17681</v>
      </c>
      <c r="B154" s="262">
        <v>43801</v>
      </c>
      <c r="C154" t="s">
        <v>17017</v>
      </c>
      <c r="D154" t="s">
        <v>17430</v>
      </c>
      <c r="E154" s="60">
        <v>0</v>
      </c>
      <c r="F154" s="60">
        <v>33460.284</v>
      </c>
      <c r="G154" s="263">
        <v>0</v>
      </c>
      <c r="H154" s="263">
        <v>33461.616000000002</v>
      </c>
      <c r="I154" s="263">
        <v>0</v>
      </c>
      <c r="J154" s="263">
        <v>0</v>
      </c>
      <c r="O154" s="264"/>
      <c r="P154" s="264"/>
      <c r="Q154" s="264"/>
      <c r="R154" s="264"/>
      <c r="S154" s="60"/>
      <c r="T154" s="60"/>
      <c r="U154" t="s">
        <v>17630</v>
      </c>
    </row>
    <row r="155" spans="1:21">
      <c r="A155" t="s">
        <v>17682</v>
      </c>
      <c r="B155" s="262">
        <v>43654</v>
      </c>
      <c r="C155" t="s">
        <v>17017</v>
      </c>
      <c r="D155" t="s">
        <v>17430</v>
      </c>
      <c r="E155" s="60">
        <v>0</v>
      </c>
      <c r="F155" s="60">
        <v>26577.407999999999</v>
      </c>
      <c r="G155" s="263">
        <v>0</v>
      </c>
      <c r="H155" s="263">
        <v>850.08</v>
      </c>
      <c r="I155" s="263">
        <v>25727.327999999998</v>
      </c>
      <c r="J155" s="263">
        <v>0</v>
      </c>
      <c r="O155" s="264"/>
      <c r="P155" s="264"/>
      <c r="Q155" s="264"/>
      <c r="R155" s="264"/>
      <c r="S155" s="60"/>
      <c r="T155" s="60"/>
      <c r="U155" t="s">
        <v>17683</v>
      </c>
    </row>
    <row r="156" spans="1:21">
      <c r="A156" t="s">
        <v>17684</v>
      </c>
      <c r="B156" s="262">
        <v>43661</v>
      </c>
      <c r="C156" t="s">
        <v>16838</v>
      </c>
      <c r="D156" t="s">
        <v>16839</v>
      </c>
      <c r="E156" s="60">
        <v>0</v>
      </c>
      <c r="F156" s="60">
        <v>364452.48</v>
      </c>
      <c r="G156" s="263">
        <v>0</v>
      </c>
      <c r="H156" s="263">
        <v>364452.48</v>
      </c>
      <c r="I156" s="263">
        <v>0</v>
      </c>
      <c r="J156" s="263">
        <v>0</v>
      </c>
      <c r="O156" s="264"/>
      <c r="P156" s="264"/>
      <c r="Q156" s="264"/>
      <c r="R156" s="264"/>
      <c r="S156" s="60"/>
      <c r="T156" s="60"/>
      <c r="U156" t="s">
        <v>17685</v>
      </c>
    </row>
    <row r="157" spans="1:21">
      <c r="A157" t="s">
        <v>17686</v>
      </c>
      <c r="B157" s="262">
        <v>43679</v>
      </c>
      <c r="C157" t="s">
        <v>17119</v>
      </c>
      <c r="D157" t="s">
        <v>17120</v>
      </c>
      <c r="E157" s="60">
        <v>0</v>
      </c>
      <c r="F157" s="60">
        <v>71216.180999999997</v>
      </c>
      <c r="G157" s="263">
        <v>59699.980800000005</v>
      </c>
      <c r="H157" s="263">
        <v>0</v>
      </c>
      <c r="I157" s="263">
        <v>0</v>
      </c>
      <c r="J157" s="263">
        <v>0</v>
      </c>
      <c r="O157" s="264"/>
      <c r="P157" s="264"/>
      <c r="Q157" s="264"/>
      <c r="R157" s="264"/>
      <c r="S157" s="60"/>
      <c r="T157" s="60"/>
      <c r="U157" t="s">
        <v>17687</v>
      </c>
    </row>
    <row r="158" spans="1:21">
      <c r="A158" t="s">
        <v>17688</v>
      </c>
      <c r="B158" s="262">
        <v>43678</v>
      </c>
      <c r="C158" t="s">
        <v>16384</v>
      </c>
      <c r="D158" t="s">
        <v>16385</v>
      </c>
      <c r="E158" s="60">
        <v>0</v>
      </c>
      <c r="F158" s="60">
        <v>5712</v>
      </c>
      <c r="G158" s="263">
        <v>0</v>
      </c>
      <c r="H158" s="263">
        <v>0</v>
      </c>
      <c r="I158" s="263">
        <v>0</v>
      </c>
      <c r="J158" s="263">
        <v>5712</v>
      </c>
      <c r="O158" s="264"/>
      <c r="P158" s="264"/>
      <c r="Q158" s="264"/>
      <c r="R158" s="264"/>
      <c r="S158" s="60"/>
      <c r="T158" s="60"/>
      <c r="U158" t="s">
        <v>17689</v>
      </c>
    </row>
    <row r="159" spans="1:21">
      <c r="A159" t="s">
        <v>17690</v>
      </c>
      <c r="B159" s="262">
        <v>43678</v>
      </c>
      <c r="C159" t="s">
        <v>16384</v>
      </c>
      <c r="D159" t="s">
        <v>16385</v>
      </c>
      <c r="E159" s="60">
        <v>0</v>
      </c>
      <c r="F159" s="60">
        <v>37570</v>
      </c>
      <c r="G159" s="263">
        <v>0</v>
      </c>
      <c r="H159" s="263">
        <v>0</v>
      </c>
      <c r="I159" s="263">
        <v>37570</v>
      </c>
      <c r="J159" s="263">
        <v>0</v>
      </c>
      <c r="O159" s="264"/>
      <c r="P159" s="264"/>
      <c r="Q159" s="264"/>
      <c r="R159" s="264"/>
      <c r="S159" s="60"/>
      <c r="T159" s="60"/>
      <c r="U159" t="s">
        <v>17691</v>
      </c>
    </row>
    <row r="160" spans="1:21">
      <c r="A160" t="s">
        <v>17692</v>
      </c>
      <c r="B160" s="262">
        <v>43669</v>
      </c>
      <c r="C160" t="s">
        <v>16444</v>
      </c>
      <c r="D160" t="s">
        <v>16445</v>
      </c>
      <c r="E160" s="60">
        <v>0</v>
      </c>
      <c r="F160" s="60">
        <v>63663.6</v>
      </c>
      <c r="G160" s="263">
        <v>63663.6</v>
      </c>
      <c r="H160" s="263">
        <v>0</v>
      </c>
      <c r="I160" s="263">
        <v>0</v>
      </c>
      <c r="J160" s="263">
        <v>0</v>
      </c>
      <c r="O160" s="264"/>
      <c r="P160" s="264"/>
      <c r="Q160" s="264"/>
      <c r="R160" s="264"/>
      <c r="S160" s="60"/>
      <c r="T160" s="60"/>
      <c r="U160" t="s">
        <v>17693</v>
      </c>
    </row>
    <row r="161" spans="1:21">
      <c r="A161" t="s">
        <v>17694</v>
      </c>
      <c r="B161" s="262">
        <v>43679</v>
      </c>
      <c r="C161" t="s">
        <v>17017</v>
      </c>
      <c r="D161" t="s">
        <v>17430</v>
      </c>
      <c r="E161" s="60">
        <v>0</v>
      </c>
      <c r="F161" s="60">
        <v>31600</v>
      </c>
      <c r="G161" s="263">
        <v>0</v>
      </c>
      <c r="H161" s="263">
        <v>31600</v>
      </c>
      <c r="I161" s="263">
        <v>0</v>
      </c>
      <c r="J161" s="263">
        <v>0</v>
      </c>
      <c r="O161" s="264"/>
      <c r="P161" s="264"/>
      <c r="Q161" s="264"/>
      <c r="R161" s="264"/>
      <c r="S161" s="60"/>
      <c r="T161" s="60"/>
      <c r="U161" t="s">
        <v>17695</v>
      </c>
    </row>
    <row r="162" spans="1:21">
      <c r="A162" t="s">
        <v>17696</v>
      </c>
      <c r="B162" s="262">
        <v>43684</v>
      </c>
      <c r="C162" t="s">
        <v>16838</v>
      </c>
      <c r="D162" t="s">
        <v>16839</v>
      </c>
      <c r="E162" s="60">
        <v>0</v>
      </c>
      <c r="F162" s="60">
        <v>334081.44</v>
      </c>
      <c r="G162" s="263">
        <v>0</v>
      </c>
      <c r="H162" s="263">
        <v>334081.44</v>
      </c>
      <c r="I162" s="263">
        <v>0</v>
      </c>
      <c r="J162" s="263">
        <v>0</v>
      </c>
      <c r="O162" s="264"/>
      <c r="P162" s="264"/>
      <c r="Q162" s="264"/>
      <c r="R162" s="264"/>
      <c r="S162" s="60"/>
      <c r="T162" s="60"/>
      <c r="U162" t="s">
        <v>17685</v>
      </c>
    </row>
    <row r="163" spans="1:21">
      <c r="A163" t="s">
        <v>17697</v>
      </c>
      <c r="B163" s="262">
        <v>43682</v>
      </c>
      <c r="C163" t="s">
        <v>16470</v>
      </c>
      <c r="D163" t="s">
        <v>16471</v>
      </c>
      <c r="E163" s="60">
        <v>0</v>
      </c>
      <c r="F163" s="60">
        <v>433784.58200000005</v>
      </c>
      <c r="G163" s="263">
        <v>31538.80799999999</v>
      </c>
      <c r="H163" s="263">
        <v>317500.97400000005</v>
      </c>
      <c r="I163" s="263">
        <v>0</v>
      </c>
      <c r="J163" s="263">
        <v>0</v>
      </c>
      <c r="O163" s="264"/>
      <c r="P163" s="264"/>
      <c r="Q163" s="264"/>
      <c r="R163" s="264"/>
      <c r="S163" s="60"/>
      <c r="T163" s="60"/>
      <c r="U163" t="s">
        <v>17433</v>
      </c>
    </row>
    <row r="164" spans="1:21">
      <c r="A164" t="s">
        <v>17698</v>
      </c>
      <c r="B164" s="262">
        <v>43684</v>
      </c>
      <c r="C164" t="s">
        <v>16783</v>
      </c>
      <c r="D164" t="s">
        <v>17509</v>
      </c>
      <c r="E164" s="60">
        <v>0</v>
      </c>
      <c r="F164" s="60">
        <v>311604.005</v>
      </c>
      <c r="G164" s="263">
        <v>0</v>
      </c>
      <c r="H164" s="263">
        <v>283276.36800000002</v>
      </c>
      <c r="I164" s="263">
        <v>28327.636800000007</v>
      </c>
      <c r="J164" s="263">
        <v>0</v>
      </c>
      <c r="O164" s="264"/>
      <c r="P164" s="264"/>
      <c r="Q164" s="264"/>
      <c r="R164" s="264"/>
      <c r="S164" s="60"/>
      <c r="T164" s="60"/>
    </row>
    <row r="165" spans="1:21">
      <c r="A165" t="s">
        <v>17699</v>
      </c>
      <c r="B165" s="262">
        <v>43685</v>
      </c>
      <c r="C165" t="s">
        <v>17017</v>
      </c>
      <c r="D165" t="s">
        <v>17430</v>
      </c>
      <c r="E165" s="60">
        <v>0</v>
      </c>
      <c r="F165" s="60">
        <v>36482.080000000002</v>
      </c>
      <c r="G165" s="263">
        <v>0</v>
      </c>
      <c r="H165" s="263">
        <v>9063.0400000000009</v>
      </c>
      <c r="I165" s="263">
        <v>23509.200000000001</v>
      </c>
      <c r="J165" s="263">
        <v>3909.84</v>
      </c>
      <c r="O165" s="264"/>
      <c r="P165" s="264"/>
      <c r="Q165" s="264"/>
      <c r="R165" s="264"/>
      <c r="S165" s="60"/>
      <c r="T165" s="60"/>
      <c r="U165" t="s">
        <v>17700</v>
      </c>
    </row>
    <row r="166" spans="1:21">
      <c r="A166" t="s">
        <v>17701</v>
      </c>
      <c r="B166" s="262">
        <v>43685</v>
      </c>
      <c r="C166" t="s">
        <v>17017</v>
      </c>
      <c r="D166" t="s">
        <v>17430</v>
      </c>
      <c r="E166" s="60">
        <v>0</v>
      </c>
      <c r="F166" s="60">
        <v>32297.759999999998</v>
      </c>
      <c r="G166" s="263">
        <v>0</v>
      </c>
      <c r="H166" s="263">
        <v>27349.759999999998</v>
      </c>
      <c r="I166" s="263">
        <v>2268</v>
      </c>
      <c r="J166" s="263">
        <v>2680</v>
      </c>
      <c r="O166" s="264"/>
      <c r="P166" s="264"/>
      <c r="Q166" s="264"/>
      <c r="R166" s="264"/>
      <c r="S166" s="60"/>
      <c r="T166" s="60"/>
      <c r="U166" t="s">
        <v>17702</v>
      </c>
    </row>
    <row r="167" spans="1:21">
      <c r="A167" t="s">
        <v>17703</v>
      </c>
      <c r="B167" s="262">
        <v>43685</v>
      </c>
      <c r="C167" t="s">
        <v>16952</v>
      </c>
      <c r="D167" t="s">
        <v>16953</v>
      </c>
      <c r="E167" s="60">
        <v>0</v>
      </c>
      <c r="F167" s="60">
        <v>33012</v>
      </c>
      <c r="G167" s="263">
        <v>33012</v>
      </c>
      <c r="H167" s="263">
        <v>0</v>
      </c>
      <c r="I167" s="263">
        <v>0</v>
      </c>
      <c r="J167" s="263">
        <v>0</v>
      </c>
      <c r="O167" s="264"/>
      <c r="P167" s="264"/>
      <c r="Q167" s="264"/>
      <c r="R167" s="264"/>
      <c r="S167" s="60"/>
      <c r="T167" s="60"/>
      <c r="U167" t="s">
        <v>17704</v>
      </c>
    </row>
    <row r="168" spans="1:21">
      <c r="A168" t="s">
        <v>17705</v>
      </c>
      <c r="B168" s="262">
        <v>43685</v>
      </c>
      <c r="C168" t="s">
        <v>17209</v>
      </c>
      <c r="D168" t="s">
        <v>17210</v>
      </c>
      <c r="E168" s="60">
        <v>0</v>
      </c>
      <c r="F168" s="60">
        <v>37055.718000000001</v>
      </c>
      <c r="G168" s="263">
        <v>11671.9056</v>
      </c>
      <c r="H168" s="263">
        <v>7781.2704000000003</v>
      </c>
      <c r="I168" s="263">
        <v>0</v>
      </c>
      <c r="J168" s="263">
        <v>15264.144</v>
      </c>
      <c r="O168" s="264"/>
      <c r="P168" s="264"/>
      <c r="Q168" s="264"/>
      <c r="R168" s="264"/>
      <c r="S168" s="60"/>
      <c r="T168" s="60"/>
    </row>
    <row r="169" spans="1:21">
      <c r="A169" t="s">
        <v>17706</v>
      </c>
      <c r="B169" s="262">
        <v>43692</v>
      </c>
      <c r="C169" t="s">
        <v>16444</v>
      </c>
      <c r="D169" t="s">
        <v>16445</v>
      </c>
      <c r="E169" s="60">
        <v>0</v>
      </c>
      <c r="F169" s="60">
        <v>33452.160000000003</v>
      </c>
      <c r="G169" s="263">
        <v>33452.160000000003</v>
      </c>
      <c r="H169" s="263">
        <v>0</v>
      </c>
      <c r="I169" s="263">
        <v>0</v>
      </c>
      <c r="J169" s="263">
        <v>0</v>
      </c>
      <c r="O169" s="264"/>
      <c r="P169" s="264"/>
      <c r="Q169" s="264"/>
      <c r="R169" s="264"/>
      <c r="S169" s="60"/>
      <c r="T169" s="60"/>
      <c r="U169" t="s">
        <v>17707</v>
      </c>
    </row>
    <row r="170" spans="1:21">
      <c r="A170" t="s">
        <v>17708</v>
      </c>
      <c r="B170" s="262">
        <v>43692</v>
      </c>
      <c r="C170" t="s">
        <v>17017</v>
      </c>
      <c r="D170" t="s">
        <v>17430</v>
      </c>
      <c r="E170" s="60">
        <v>0</v>
      </c>
      <c r="F170" s="60">
        <v>31600</v>
      </c>
      <c r="G170" s="263">
        <v>0</v>
      </c>
      <c r="H170" s="263">
        <v>31600</v>
      </c>
      <c r="I170" s="263">
        <v>0</v>
      </c>
      <c r="J170" s="263">
        <v>0</v>
      </c>
      <c r="O170" s="264"/>
      <c r="P170" s="264"/>
      <c r="Q170" s="264"/>
      <c r="R170" s="264"/>
      <c r="S170" s="60"/>
      <c r="T170" s="60"/>
      <c r="U170" t="s">
        <v>17545</v>
      </c>
    </row>
    <row r="171" spans="1:21">
      <c r="A171" t="s">
        <v>17709</v>
      </c>
      <c r="B171" s="262">
        <v>43692</v>
      </c>
      <c r="C171" t="s">
        <v>16838</v>
      </c>
      <c r="D171" t="s">
        <v>16839</v>
      </c>
      <c r="E171" s="60">
        <v>0</v>
      </c>
      <c r="F171" s="60">
        <v>158650</v>
      </c>
      <c r="G171" s="263">
        <v>13710</v>
      </c>
      <c r="H171" s="263">
        <v>26640</v>
      </c>
      <c r="I171" s="263">
        <v>118300</v>
      </c>
      <c r="J171" s="263">
        <v>0</v>
      </c>
      <c r="O171" s="264"/>
      <c r="P171" s="264"/>
      <c r="Q171" s="264"/>
      <c r="R171" s="264"/>
      <c r="S171" s="60"/>
      <c r="T171" s="60"/>
      <c r="U171" t="s">
        <v>17691</v>
      </c>
    </row>
    <row r="172" spans="1:21">
      <c r="A172" t="s">
        <v>17710</v>
      </c>
      <c r="B172" s="262">
        <v>43696</v>
      </c>
      <c r="C172" t="s">
        <v>16838</v>
      </c>
      <c r="D172" t="s">
        <v>16839</v>
      </c>
      <c r="E172" s="60">
        <v>0</v>
      </c>
      <c r="F172" s="60">
        <v>77527.600000000006</v>
      </c>
      <c r="G172" s="263">
        <v>4333.2</v>
      </c>
      <c r="H172" s="263">
        <v>28593.599999999999</v>
      </c>
      <c r="I172" s="263">
        <v>44600.800000000003</v>
      </c>
      <c r="J172" s="263">
        <v>0</v>
      </c>
      <c r="O172" s="264"/>
      <c r="P172" s="264"/>
      <c r="Q172" s="264"/>
      <c r="R172" s="264"/>
      <c r="S172" s="60"/>
      <c r="T172" s="60"/>
      <c r="U172" t="s">
        <v>17711</v>
      </c>
    </row>
    <row r="173" spans="1:21">
      <c r="A173" t="s">
        <v>17712</v>
      </c>
      <c r="B173" s="262">
        <v>43697</v>
      </c>
      <c r="C173" t="s">
        <v>16560</v>
      </c>
      <c r="D173" t="s">
        <v>16561</v>
      </c>
      <c r="E173" s="60">
        <v>0</v>
      </c>
      <c r="F173" s="60">
        <v>147477.18599999999</v>
      </c>
      <c r="G173" s="263">
        <v>0</v>
      </c>
      <c r="H173" s="263">
        <v>0</v>
      </c>
      <c r="I173" s="263">
        <v>147477.18599999999</v>
      </c>
      <c r="J173" s="263">
        <v>0</v>
      </c>
      <c r="O173" s="264"/>
      <c r="P173" s="264"/>
      <c r="Q173" s="264"/>
      <c r="R173" s="264"/>
      <c r="S173" s="60"/>
      <c r="T173" s="60"/>
      <c r="U173" t="s">
        <v>17479</v>
      </c>
    </row>
    <row r="174" spans="1:21">
      <c r="A174" t="s">
        <v>17713</v>
      </c>
      <c r="B174" s="262">
        <v>43697</v>
      </c>
      <c r="C174" t="s">
        <v>16560</v>
      </c>
      <c r="D174" t="s">
        <v>16561</v>
      </c>
      <c r="E174" s="60">
        <v>0</v>
      </c>
      <c r="F174" s="60">
        <v>147398.23800000001</v>
      </c>
      <c r="G174" s="263">
        <v>0</v>
      </c>
      <c r="H174" s="263">
        <v>0</v>
      </c>
      <c r="I174" s="263">
        <v>147398.23800000001</v>
      </c>
      <c r="J174" s="263">
        <v>0</v>
      </c>
      <c r="O174" s="264"/>
      <c r="P174" s="264"/>
      <c r="Q174" s="264"/>
      <c r="R174" s="264"/>
      <c r="S174" s="60"/>
      <c r="T174" s="60"/>
      <c r="U174" t="s">
        <v>17479</v>
      </c>
    </row>
    <row r="175" spans="1:21">
      <c r="A175" t="s">
        <v>17714</v>
      </c>
      <c r="B175" s="262">
        <v>43710</v>
      </c>
      <c r="C175" t="s">
        <v>16560</v>
      </c>
      <c r="D175" t="s">
        <v>16561</v>
      </c>
      <c r="E175" s="60">
        <v>0</v>
      </c>
      <c r="F175" s="60">
        <v>147159.07199999999</v>
      </c>
      <c r="G175" s="263">
        <v>0</v>
      </c>
      <c r="H175" s="263">
        <v>0</v>
      </c>
      <c r="I175" s="263">
        <v>147159.07199999999</v>
      </c>
      <c r="J175" s="263">
        <v>0</v>
      </c>
      <c r="O175" s="264"/>
      <c r="P175" s="264"/>
      <c r="Q175" s="264"/>
      <c r="R175" s="264"/>
      <c r="S175" s="60"/>
      <c r="T175" s="60"/>
      <c r="U175" t="s">
        <v>17479</v>
      </c>
    </row>
    <row r="176" spans="1:21">
      <c r="A176" t="s">
        <v>17715</v>
      </c>
      <c r="B176" s="262">
        <v>43714</v>
      </c>
      <c r="C176" t="s">
        <v>16384</v>
      </c>
      <c r="D176" t="s">
        <v>16385</v>
      </c>
      <c r="E176" s="60">
        <v>0</v>
      </c>
      <c r="F176" s="60">
        <v>700000</v>
      </c>
      <c r="G176" s="263">
        <v>0</v>
      </c>
      <c r="H176" s="263">
        <v>0</v>
      </c>
      <c r="I176" s="263">
        <v>700000</v>
      </c>
      <c r="J176" s="263">
        <v>0</v>
      </c>
      <c r="O176" s="264"/>
      <c r="P176" s="264"/>
      <c r="Q176" s="264"/>
      <c r="R176" s="264"/>
      <c r="S176" s="60"/>
      <c r="T176" s="60"/>
      <c r="U176" t="s">
        <v>17716</v>
      </c>
    </row>
    <row r="177" spans="1:21">
      <c r="A177" t="s">
        <v>17717</v>
      </c>
      <c r="B177" s="262">
        <v>43801</v>
      </c>
      <c r="C177" t="s">
        <v>16904</v>
      </c>
      <c r="D177" t="s">
        <v>16905</v>
      </c>
      <c r="E177" s="60">
        <v>0</v>
      </c>
      <c r="F177" s="60">
        <v>45583.534000000007</v>
      </c>
      <c r="G177" s="263">
        <v>0</v>
      </c>
      <c r="H177" s="263">
        <v>27240.979752000003</v>
      </c>
      <c r="I177" s="263">
        <v>10403.429399999999</v>
      </c>
      <c r="J177" s="263">
        <v>0</v>
      </c>
      <c r="O177" s="264"/>
      <c r="P177" s="264"/>
      <c r="Q177" s="264"/>
      <c r="R177" s="264"/>
      <c r="S177" s="60"/>
      <c r="T177" s="60"/>
    </row>
    <row r="178" spans="1:21">
      <c r="A178" t="s">
        <v>17718</v>
      </c>
      <c r="B178" s="262">
        <v>43703</v>
      </c>
      <c r="C178" t="s">
        <v>16880</v>
      </c>
      <c r="D178" t="s">
        <v>16881</v>
      </c>
      <c r="E178" s="60">
        <v>0</v>
      </c>
      <c r="F178" s="60">
        <v>58144.65</v>
      </c>
      <c r="G178" s="263">
        <v>872.30712000000005</v>
      </c>
      <c r="H178" s="263">
        <v>57272.342800000006</v>
      </c>
      <c r="I178" s="263">
        <v>0</v>
      </c>
      <c r="J178" s="263">
        <v>0</v>
      </c>
      <c r="O178" s="264"/>
      <c r="P178" s="264"/>
      <c r="Q178" s="264"/>
      <c r="R178" s="264"/>
      <c r="S178" s="60"/>
      <c r="T178" s="60"/>
      <c r="U178" t="s">
        <v>17719</v>
      </c>
    </row>
    <row r="179" spans="1:21">
      <c r="A179" t="s">
        <v>17720</v>
      </c>
      <c r="B179" s="262">
        <v>43717</v>
      </c>
      <c r="C179" t="s">
        <v>16957</v>
      </c>
      <c r="D179" t="s">
        <v>17451</v>
      </c>
      <c r="E179" s="60">
        <v>0</v>
      </c>
      <c r="F179" s="60">
        <v>39699.840000000004</v>
      </c>
      <c r="G179" s="263">
        <v>39699.840000000004</v>
      </c>
      <c r="H179" s="263">
        <v>0</v>
      </c>
      <c r="I179" s="263">
        <v>0</v>
      </c>
      <c r="J179" s="263">
        <v>0</v>
      </c>
      <c r="O179" s="264"/>
      <c r="P179" s="264"/>
      <c r="Q179" s="264"/>
      <c r="R179" s="264"/>
      <c r="S179" s="60"/>
      <c r="T179" s="60"/>
      <c r="U179" t="s">
        <v>17721</v>
      </c>
    </row>
    <row r="180" spans="1:21">
      <c r="A180" t="s">
        <v>17722</v>
      </c>
      <c r="B180" s="262">
        <v>43714</v>
      </c>
      <c r="C180" t="s">
        <v>17017</v>
      </c>
      <c r="D180" t="s">
        <v>17430</v>
      </c>
      <c r="E180" s="60">
        <v>0</v>
      </c>
      <c r="F180" s="60">
        <v>40271.616000000002</v>
      </c>
      <c r="G180" s="263">
        <v>0</v>
      </c>
      <c r="H180" s="263">
        <v>40260.000000000007</v>
      </c>
      <c r="I180" s="263">
        <v>0</v>
      </c>
      <c r="J180" s="263">
        <v>0</v>
      </c>
      <c r="O180" s="264"/>
      <c r="P180" s="264"/>
      <c r="Q180" s="264"/>
      <c r="R180" s="264"/>
      <c r="S180" s="60"/>
      <c r="T180" s="60"/>
      <c r="U180" t="s">
        <v>17723</v>
      </c>
    </row>
    <row r="181" spans="1:21">
      <c r="A181" t="s">
        <v>17724</v>
      </c>
      <c r="B181" s="262">
        <v>43710</v>
      </c>
      <c r="C181" t="s">
        <v>16444</v>
      </c>
      <c r="D181" t="s">
        <v>16445</v>
      </c>
      <c r="E181" s="60">
        <v>0</v>
      </c>
      <c r="F181" s="60">
        <v>33452.160000000003</v>
      </c>
      <c r="G181" s="263">
        <v>33452.160000000003</v>
      </c>
      <c r="H181" s="263">
        <v>0</v>
      </c>
      <c r="I181" s="263">
        <v>0</v>
      </c>
      <c r="J181" s="263">
        <v>0</v>
      </c>
      <c r="O181" s="264"/>
      <c r="P181" s="264"/>
      <c r="Q181" s="264"/>
      <c r="R181" s="264"/>
      <c r="S181" s="60"/>
      <c r="T181" s="60"/>
      <c r="U181" t="s">
        <v>17707</v>
      </c>
    </row>
    <row r="182" spans="1:21">
      <c r="A182" t="s">
        <v>17725</v>
      </c>
      <c r="B182" s="262">
        <v>43710</v>
      </c>
      <c r="C182" t="s">
        <v>16444</v>
      </c>
      <c r="D182" t="s">
        <v>16445</v>
      </c>
      <c r="E182" s="60">
        <v>0</v>
      </c>
      <c r="F182" s="60">
        <v>30144</v>
      </c>
      <c r="G182" s="263">
        <v>30144</v>
      </c>
      <c r="H182" s="263">
        <v>0</v>
      </c>
      <c r="I182" s="263">
        <v>0</v>
      </c>
      <c r="J182" s="263">
        <v>0</v>
      </c>
      <c r="O182" s="264"/>
      <c r="P182" s="264"/>
      <c r="Q182" s="264"/>
      <c r="R182" s="264"/>
      <c r="S182" s="60"/>
      <c r="T182" s="60"/>
      <c r="U182" t="s">
        <v>17589</v>
      </c>
    </row>
    <row r="183" spans="1:21">
      <c r="A183" t="s">
        <v>17726</v>
      </c>
      <c r="B183" s="262">
        <v>43714</v>
      </c>
      <c r="C183" t="s">
        <v>16838</v>
      </c>
      <c r="D183" t="s">
        <v>16839</v>
      </c>
      <c r="E183" s="60">
        <v>0</v>
      </c>
      <c r="F183" s="60">
        <v>147453.6</v>
      </c>
      <c r="G183" s="263">
        <v>0</v>
      </c>
      <c r="H183" s="263">
        <v>147453.6</v>
      </c>
      <c r="I183" s="263">
        <v>0</v>
      </c>
      <c r="J183" s="263">
        <v>0</v>
      </c>
      <c r="O183" s="264"/>
      <c r="P183" s="264"/>
      <c r="Q183" s="264"/>
      <c r="R183" s="264"/>
      <c r="S183" s="60"/>
      <c r="T183" s="60"/>
      <c r="U183" t="s">
        <v>17685</v>
      </c>
    </row>
    <row r="184" spans="1:21">
      <c r="A184" t="s">
        <v>17727</v>
      </c>
      <c r="B184" s="262">
        <v>43712</v>
      </c>
      <c r="C184" t="s">
        <v>16384</v>
      </c>
      <c r="D184" t="s">
        <v>16385</v>
      </c>
      <c r="E184" s="60">
        <v>0</v>
      </c>
      <c r="F184" s="60">
        <v>88704</v>
      </c>
      <c r="G184" s="263">
        <v>88704</v>
      </c>
      <c r="H184" s="263">
        <v>0</v>
      </c>
      <c r="I184" s="263">
        <v>0</v>
      </c>
      <c r="J184" s="263">
        <v>0</v>
      </c>
      <c r="O184" s="264"/>
      <c r="P184" s="264"/>
      <c r="Q184" s="264"/>
      <c r="R184" s="264"/>
      <c r="S184" s="60"/>
      <c r="T184" s="60"/>
      <c r="U184" t="s">
        <v>17589</v>
      </c>
    </row>
    <row r="185" spans="1:21">
      <c r="A185" t="s">
        <v>17728</v>
      </c>
      <c r="B185" s="262">
        <v>43712</v>
      </c>
      <c r="C185" t="s">
        <v>16838</v>
      </c>
      <c r="D185" t="s">
        <v>16839</v>
      </c>
      <c r="E185" s="60">
        <v>0</v>
      </c>
      <c r="F185" s="60">
        <v>115500</v>
      </c>
      <c r="G185" s="263">
        <v>0</v>
      </c>
      <c r="H185" s="263">
        <v>0</v>
      </c>
      <c r="I185" s="263">
        <v>115500</v>
      </c>
      <c r="J185" s="263">
        <v>0</v>
      </c>
      <c r="O185" s="264"/>
      <c r="P185" s="264"/>
      <c r="Q185" s="264"/>
      <c r="R185" s="264"/>
      <c r="S185" s="60"/>
      <c r="T185" s="60"/>
      <c r="U185" t="s">
        <v>17691</v>
      </c>
    </row>
    <row r="186" spans="1:21">
      <c r="A186" t="s">
        <v>17729</v>
      </c>
      <c r="B186" s="262">
        <v>43712</v>
      </c>
      <c r="C186" t="s">
        <v>17017</v>
      </c>
      <c r="D186" t="s">
        <v>17430</v>
      </c>
      <c r="E186" s="60">
        <v>0</v>
      </c>
      <c r="F186" s="60">
        <v>63200</v>
      </c>
      <c r="G186" s="263">
        <v>0</v>
      </c>
      <c r="H186" s="263">
        <v>63200</v>
      </c>
      <c r="I186" s="263">
        <v>0</v>
      </c>
      <c r="J186" s="263">
        <v>0</v>
      </c>
      <c r="O186" s="264"/>
      <c r="P186" s="264"/>
      <c r="Q186" s="264"/>
      <c r="R186" s="264"/>
      <c r="S186" s="60"/>
      <c r="T186" s="60"/>
      <c r="U186" t="s">
        <v>17730</v>
      </c>
    </row>
    <row r="187" spans="1:21">
      <c r="A187" t="s">
        <v>17731</v>
      </c>
      <c r="B187" s="262">
        <v>43714</v>
      </c>
      <c r="C187" t="s">
        <v>16444</v>
      </c>
      <c r="D187" t="s">
        <v>16445</v>
      </c>
      <c r="E187" s="60">
        <v>0</v>
      </c>
      <c r="F187" s="60">
        <v>26496</v>
      </c>
      <c r="G187" s="263">
        <v>0</v>
      </c>
      <c r="H187" s="263">
        <v>26496</v>
      </c>
      <c r="I187" s="263">
        <v>0</v>
      </c>
      <c r="J187" s="263">
        <v>0</v>
      </c>
      <c r="O187" s="264"/>
      <c r="P187" s="264"/>
      <c r="Q187" s="264"/>
      <c r="R187" s="264"/>
      <c r="S187" s="60"/>
      <c r="T187" s="60"/>
      <c r="U187" t="s">
        <v>17532</v>
      </c>
    </row>
    <row r="188" spans="1:21">
      <c r="A188" t="s">
        <v>17732</v>
      </c>
      <c r="B188" s="262">
        <v>43739</v>
      </c>
      <c r="C188" t="s">
        <v>16384</v>
      </c>
      <c r="D188" t="s">
        <v>16385</v>
      </c>
      <c r="E188" s="60">
        <v>0</v>
      </c>
      <c r="F188" s="60">
        <v>76720</v>
      </c>
      <c r="G188" s="263">
        <v>0</v>
      </c>
      <c r="H188" s="263">
        <v>0</v>
      </c>
      <c r="I188" s="263">
        <v>76720</v>
      </c>
      <c r="J188" s="263">
        <v>0</v>
      </c>
      <c r="O188" s="264"/>
      <c r="P188" s="264"/>
      <c r="Q188" s="264"/>
      <c r="R188" s="264"/>
      <c r="S188" s="60"/>
      <c r="T188" s="60"/>
      <c r="U188" t="s">
        <v>17691</v>
      </c>
    </row>
    <row r="189" spans="1:21">
      <c r="A189" t="s">
        <v>17733</v>
      </c>
      <c r="B189" s="262">
        <v>43719</v>
      </c>
      <c r="C189" t="s">
        <v>16972</v>
      </c>
      <c r="D189" t="s">
        <v>17424</v>
      </c>
      <c r="E189" s="60">
        <v>0</v>
      </c>
      <c r="F189" s="60">
        <v>350000</v>
      </c>
      <c r="G189" s="263">
        <v>0</v>
      </c>
      <c r="H189" s="263">
        <v>0</v>
      </c>
      <c r="I189" s="263">
        <v>350000</v>
      </c>
      <c r="J189" s="263">
        <v>0</v>
      </c>
      <c r="O189" s="264"/>
      <c r="P189" s="264"/>
      <c r="Q189" s="264"/>
      <c r="R189" s="264"/>
      <c r="S189" s="60"/>
      <c r="T189" s="60"/>
      <c r="U189" t="s">
        <v>17734</v>
      </c>
    </row>
    <row r="190" spans="1:21">
      <c r="A190" t="s">
        <v>17735</v>
      </c>
      <c r="B190" s="262">
        <v>43719</v>
      </c>
      <c r="C190" t="s">
        <v>16470</v>
      </c>
      <c r="D190" t="s">
        <v>16471</v>
      </c>
      <c r="E190" s="60">
        <v>0</v>
      </c>
      <c r="F190" s="60">
        <v>344818.14</v>
      </c>
      <c r="G190" s="263">
        <v>0</v>
      </c>
      <c r="H190" s="263">
        <v>260103.42755999995</v>
      </c>
      <c r="I190" s="263">
        <v>0</v>
      </c>
      <c r="J190" s="263">
        <v>0</v>
      </c>
      <c r="O190" s="264"/>
      <c r="P190" s="264"/>
      <c r="Q190" s="264"/>
      <c r="R190" s="264"/>
      <c r="S190" s="60"/>
      <c r="T190" s="60"/>
      <c r="U190" t="s">
        <v>17433</v>
      </c>
    </row>
    <row r="191" spans="1:21">
      <c r="A191" t="s">
        <v>17736</v>
      </c>
      <c r="B191" s="262">
        <v>43719</v>
      </c>
      <c r="C191" t="s">
        <v>16957</v>
      </c>
      <c r="D191" t="s">
        <v>17451</v>
      </c>
      <c r="E191" s="60">
        <v>0</v>
      </c>
      <c r="F191" s="60">
        <v>39346.559999999998</v>
      </c>
      <c r="G191" s="263">
        <v>39346.559999999998</v>
      </c>
      <c r="H191" s="263">
        <v>0</v>
      </c>
      <c r="I191" s="263">
        <v>0</v>
      </c>
      <c r="J191" s="263">
        <v>0</v>
      </c>
      <c r="O191" s="264"/>
      <c r="P191" s="264"/>
      <c r="Q191" s="264"/>
      <c r="R191" s="264"/>
      <c r="S191" s="60"/>
      <c r="T191" s="60"/>
      <c r="U191" t="s">
        <v>17737</v>
      </c>
    </row>
    <row r="192" spans="1:21">
      <c r="A192" t="s">
        <v>17738</v>
      </c>
      <c r="B192" s="262">
        <v>43739</v>
      </c>
      <c r="C192" t="s">
        <v>16957</v>
      </c>
      <c r="D192" t="s">
        <v>17451</v>
      </c>
      <c r="E192" s="60">
        <v>0</v>
      </c>
      <c r="F192" s="60">
        <v>37905.665000000001</v>
      </c>
      <c r="G192" s="263">
        <v>37905.665000000001</v>
      </c>
      <c r="H192" s="263">
        <v>0</v>
      </c>
      <c r="I192" s="263">
        <v>0</v>
      </c>
      <c r="J192" s="263">
        <v>0</v>
      </c>
      <c r="O192" s="264"/>
      <c r="P192" s="264"/>
      <c r="Q192" s="264"/>
      <c r="R192" s="264"/>
      <c r="S192" s="60"/>
      <c r="T192" s="60"/>
      <c r="U192" t="s">
        <v>17739</v>
      </c>
    </row>
    <row r="193" spans="1:21">
      <c r="A193" t="s">
        <v>17740</v>
      </c>
      <c r="B193" s="262">
        <v>43719</v>
      </c>
      <c r="C193" t="s">
        <v>16880</v>
      </c>
      <c r="D193" t="s">
        <v>16881</v>
      </c>
      <c r="E193" s="60">
        <v>0</v>
      </c>
      <c r="F193" s="60">
        <v>64906.142</v>
      </c>
      <c r="G193" s="263">
        <v>0</v>
      </c>
      <c r="H193" s="263">
        <v>64906.142400000004</v>
      </c>
      <c r="I193" s="263">
        <v>0</v>
      </c>
      <c r="J193" s="263">
        <v>0</v>
      </c>
      <c r="O193" s="264"/>
      <c r="P193" s="264"/>
      <c r="Q193" s="264"/>
      <c r="R193" s="264"/>
      <c r="S193" s="60"/>
      <c r="T193" s="60"/>
      <c r="U193" t="s">
        <v>17741</v>
      </c>
    </row>
    <row r="194" spans="1:21">
      <c r="A194" t="s">
        <v>17742</v>
      </c>
      <c r="B194" s="262">
        <v>43719</v>
      </c>
      <c r="C194" t="s">
        <v>17156</v>
      </c>
      <c r="D194" t="s">
        <v>17575</v>
      </c>
      <c r="E194" s="60">
        <v>0</v>
      </c>
      <c r="F194" s="60">
        <v>62400</v>
      </c>
      <c r="G194" s="263">
        <v>0</v>
      </c>
      <c r="H194" s="263">
        <v>62400</v>
      </c>
      <c r="I194" s="263">
        <v>0</v>
      </c>
      <c r="J194" s="263">
        <v>0</v>
      </c>
      <c r="O194" s="264"/>
      <c r="P194" s="264"/>
      <c r="Q194" s="264"/>
      <c r="R194" s="264"/>
      <c r="S194" s="60"/>
      <c r="T194" s="60"/>
      <c r="U194" t="s">
        <v>17743</v>
      </c>
    </row>
    <row r="195" spans="1:21">
      <c r="A195" t="s">
        <v>17744</v>
      </c>
      <c r="B195" s="262">
        <v>43739</v>
      </c>
      <c r="C195" t="s">
        <v>16838</v>
      </c>
      <c r="D195" t="s">
        <v>16839</v>
      </c>
      <c r="E195" s="60">
        <v>0</v>
      </c>
      <c r="F195" s="60">
        <v>176944.32</v>
      </c>
      <c r="G195" s="263">
        <v>0</v>
      </c>
      <c r="H195" s="263">
        <v>176944.32</v>
      </c>
      <c r="I195" s="263">
        <v>0</v>
      </c>
      <c r="J195" s="263">
        <v>0</v>
      </c>
      <c r="O195" s="264"/>
      <c r="P195" s="264"/>
      <c r="Q195" s="264"/>
      <c r="R195" s="264"/>
      <c r="S195" s="60"/>
      <c r="T195" s="60"/>
      <c r="U195" t="s">
        <v>17685</v>
      </c>
    </row>
    <row r="196" spans="1:21">
      <c r="A196" t="s">
        <v>17745</v>
      </c>
      <c r="B196" s="262">
        <v>43739</v>
      </c>
      <c r="C196" t="s">
        <v>17017</v>
      </c>
      <c r="D196" t="s">
        <v>17430</v>
      </c>
      <c r="E196" s="60">
        <v>0</v>
      </c>
      <c r="F196" s="60">
        <v>33290.004000000001</v>
      </c>
      <c r="G196" s="263">
        <v>0</v>
      </c>
      <c r="H196" s="263">
        <v>0</v>
      </c>
      <c r="I196" s="263">
        <v>33290.004000000001</v>
      </c>
      <c r="J196" s="263">
        <v>0</v>
      </c>
      <c r="O196" s="264"/>
      <c r="P196" s="264"/>
      <c r="Q196" s="264"/>
      <c r="R196" s="264"/>
      <c r="S196" s="60"/>
      <c r="T196" s="60"/>
      <c r="U196" t="s">
        <v>17746</v>
      </c>
    </row>
    <row r="197" spans="1:21">
      <c r="A197" t="s">
        <v>17747</v>
      </c>
      <c r="B197" s="262">
        <v>43731</v>
      </c>
      <c r="C197" t="s">
        <v>17203</v>
      </c>
      <c r="D197" t="s">
        <v>17205</v>
      </c>
      <c r="E197" s="60">
        <v>0</v>
      </c>
      <c r="F197" s="60">
        <v>257926.5</v>
      </c>
      <c r="G197" s="263">
        <v>0</v>
      </c>
      <c r="H197" s="263">
        <v>241419.204</v>
      </c>
      <c r="I197" s="263">
        <v>16507.296000000002</v>
      </c>
      <c r="J197" s="263">
        <v>0</v>
      </c>
      <c r="O197" s="264"/>
      <c r="P197" s="264"/>
      <c r="Q197" s="264"/>
      <c r="R197" s="264"/>
      <c r="S197" s="60"/>
      <c r="T197" s="60"/>
      <c r="U197" t="s">
        <v>17748</v>
      </c>
    </row>
    <row r="198" spans="1:21">
      <c r="A198" t="s">
        <v>17749</v>
      </c>
      <c r="B198" s="262">
        <v>43731</v>
      </c>
      <c r="C198" t="s">
        <v>16444</v>
      </c>
      <c r="D198" t="s">
        <v>16445</v>
      </c>
      <c r="E198" s="60">
        <v>0</v>
      </c>
      <c r="F198" s="60">
        <v>31632</v>
      </c>
      <c r="G198" s="263">
        <v>31632</v>
      </c>
      <c r="H198" s="263">
        <v>0</v>
      </c>
      <c r="I198" s="263">
        <v>0</v>
      </c>
      <c r="J198" s="263">
        <v>0</v>
      </c>
      <c r="O198" s="264"/>
      <c r="P198" s="264"/>
      <c r="Q198" s="264"/>
      <c r="R198" s="264"/>
      <c r="S198" s="60"/>
      <c r="T198" s="60"/>
      <c r="U198" t="s">
        <v>17693</v>
      </c>
    </row>
    <row r="199" spans="1:21">
      <c r="A199" t="s">
        <v>17750</v>
      </c>
      <c r="B199" s="262">
        <v>43739</v>
      </c>
      <c r="C199" t="s">
        <v>17156</v>
      </c>
      <c r="D199" t="s">
        <v>17575</v>
      </c>
      <c r="E199" s="60">
        <v>0</v>
      </c>
      <c r="F199" s="60">
        <v>160000</v>
      </c>
      <c r="G199" s="263">
        <v>0</v>
      </c>
      <c r="H199" s="263">
        <v>160000</v>
      </c>
      <c r="I199" s="263">
        <v>0</v>
      </c>
      <c r="J199" s="263">
        <v>0</v>
      </c>
      <c r="O199" s="264"/>
      <c r="P199" s="264"/>
      <c r="Q199" s="264"/>
      <c r="R199" s="264"/>
      <c r="S199" s="60"/>
      <c r="T199" s="60"/>
      <c r="U199" t="s">
        <v>17751</v>
      </c>
    </row>
    <row r="200" spans="1:21">
      <c r="A200" t="s">
        <v>17752</v>
      </c>
      <c r="B200" s="262">
        <v>43739</v>
      </c>
      <c r="C200" t="s">
        <v>16972</v>
      </c>
      <c r="D200" t="s">
        <v>17424</v>
      </c>
      <c r="E200" s="60">
        <v>0</v>
      </c>
      <c r="F200" s="60">
        <v>350000</v>
      </c>
      <c r="G200" s="263">
        <v>0</v>
      </c>
      <c r="H200" s="263">
        <v>0</v>
      </c>
      <c r="I200" s="263">
        <v>350000</v>
      </c>
      <c r="J200" s="263">
        <v>0</v>
      </c>
      <c r="O200" s="264"/>
      <c r="P200" s="264"/>
      <c r="Q200" s="264"/>
      <c r="R200" s="264"/>
      <c r="S200" s="60"/>
      <c r="T200" s="60"/>
      <c r="U200" t="s">
        <v>17734</v>
      </c>
    </row>
    <row r="201" spans="1:21">
      <c r="A201" t="s">
        <v>17753</v>
      </c>
      <c r="B201" s="262">
        <v>43739</v>
      </c>
      <c r="C201" t="s">
        <v>17017</v>
      </c>
      <c r="D201" t="s">
        <v>17430</v>
      </c>
      <c r="E201" s="60">
        <v>0</v>
      </c>
      <c r="F201" s="60">
        <v>31600</v>
      </c>
      <c r="G201" s="263">
        <v>0</v>
      </c>
      <c r="H201" s="263">
        <v>31600</v>
      </c>
      <c r="I201" s="263">
        <v>0</v>
      </c>
      <c r="J201" s="263">
        <v>0</v>
      </c>
      <c r="O201" s="264"/>
      <c r="P201" s="264"/>
      <c r="Q201" s="264"/>
      <c r="R201" s="264"/>
      <c r="S201" s="60"/>
      <c r="T201" s="60"/>
      <c r="U201" t="s">
        <v>17754</v>
      </c>
    </row>
    <row r="202" spans="1:21">
      <c r="A202" t="s">
        <v>17755</v>
      </c>
      <c r="B202" s="262">
        <v>43770</v>
      </c>
      <c r="C202" t="s">
        <v>17172</v>
      </c>
      <c r="D202" t="s">
        <v>17173</v>
      </c>
      <c r="E202" s="60">
        <v>0</v>
      </c>
      <c r="F202" s="60">
        <v>87125.15</v>
      </c>
      <c r="G202" s="263">
        <v>0</v>
      </c>
      <c r="H202" s="263">
        <v>0</v>
      </c>
      <c r="I202" s="263">
        <v>74206.05</v>
      </c>
      <c r="J202" s="263">
        <v>0</v>
      </c>
      <c r="O202" s="264"/>
      <c r="P202" s="264"/>
      <c r="Q202" s="264"/>
      <c r="R202" s="264"/>
      <c r="S202" s="60"/>
      <c r="T202" s="60"/>
      <c r="U202" t="s">
        <v>17756</v>
      </c>
    </row>
    <row r="203" spans="1:21">
      <c r="A203" t="s">
        <v>17757</v>
      </c>
      <c r="B203" s="262">
        <v>43741</v>
      </c>
      <c r="C203" t="s">
        <v>16384</v>
      </c>
      <c r="D203" t="s">
        <v>16385</v>
      </c>
      <c r="E203" s="60">
        <v>0</v>
      </c>
      <c r="F203" s="60">
        <v>37570</v>
      </c>
      <c r="G203" s="263">
        <v>0</v>
      </c>
      <c r="H203" s="263">
        <v>0</v>
      </c>
      <c r="I203" s="263">
        <v>37570</v>
      </c>
      <c r="J203" s="263">
        <v>0</v>
      </c>
      <c r="O203" s="264"/>
      <c r="P203" s="264"/>
      <c r="Q203" s="264"/>
      <c r="R203" s="264"/>
      <c r="S203" s="60"/>
      <c r="T203" s="60"/>
      <c r="U203" t="s">
        <v>17691</v>
      </c>
    </row>
    <row r="204" spans="1:21">
      <c r="A204" t="s">
        <v>17758</v>
      </c>
      <c r="B204" s="262">
        <v>43741</v>
      </c>
      <c r="C204" t="s">
        <v>16838</v>
      </c>
      <c r="D204" t="s">
        <v>16839</v>
      </c>
      <c r="E204" s="60">
        <v>0</v>
      </c>
      <c r="F204" s="60">
        <v>86491.44</v>
      </c>
      <c r="G204" s="263">
        <v>0</v>
      </c>
      <c r="H204" s="263">
        <v>86491.44</v>
      </c>
      <c r="I204" s="263">
        <v>0</v>
      </c>
      <c r="J204" s="263">
        <v>0</v>
      </c>
      <c r="O204" s="264"/>
      <c r="P204" s="264"/>
      <c r="Q204" s="264"/>
      <c r="R204" s="264"/>
      <c r="S204" s="60"/>
      <c r="T204" s="60"/>
      <c r="U204" t="s">
        <v>17759</v>
      </c>
    </row>
    <row r="205" spans="1:21">
      <c r="A205" t="s">
        <v>17760</v>
      </c>
      <c r="B205" s="262">
        <v>43741</v>
      </c>
      <c r="C205" t="s">
        <v>16838</v>
      </c>
      <c r="D205" t="s">
        <v>16839</v>
      </c>
      <c r="E205" s="60">
        <v>0</v>
      </c>
      <c r="F205" s="60">
        <v>116480</v>
      </c>
      <c r="G205" s="263">
        <v>0</v>
      </c>
      <c r="H205" s="263">
        <v>0</v>
      </c>
      <c r="I205" s="263">
        <v>116480</v>
      </c>
      <c r="J205" s="263">
        <v>0</v>
      </c>
      <c r="O205" s="264"/>
      <c r="P205" s="264"/>
      <c r="Q205" s="264"/>
      <c r="R205" s="264"/>
      <c r="S205" s="60"/>
      <c r="T205" s="60"/>
      <c r="U205" t="s">
        <v>17470</v>
      </c>
    </row>
    <row r="206" spans="1:21">
      <c r="A206" t="s">
        <v>17761</v>
      </c>
      <c r="B206" s="262">
        <v>43749</v>
      </c>
      <c r="C206" t="s">
        <v>16444</v>
      </c>
      <c r="D206" t="s">
        <v>16445</v>
      </c>
      <c r="E206" s="60">
        <v>0</v>
      </c>
      <c r="F206" s="60">
        <v>29160</v>
      </c>
      <c r="G206" s="263">
        <v>29160</v>
      </c>
      <c r="H206" s="263">
        <v>0</v>
      </c>
      <c r="I206" s="263">
        <v>0</v>
      </c>
      <c r="J206" s="263">
        <v>0</v>
      </c>
      <c r="O206" s="264"/>
      <c r="P206" s="264"/>
      <c r="Q206" s="264"/>
      <c r="R206" s="264"/>
      <c r="S206" s="60"/>
      <c r="T206" s="60"/>
      <c r="U206" t="s">
        <v>17673</v>
      </c>
    </row>
    <row r="207" spans="1:21">
      <c r="A207" t="s">
        <v>17762</v>
      </c>
      <c r="B207" s="262">
        <v>43749</v>
      </c>
      <c r="C207" t="s">
        <v>16444</v>
      </c>
      <c r="D207" t="s">
        <v>16445</v>
      </c>
      <c r="E207" s="60">
        <v>0</v>
      </c>
      <c r="F207" s="60">
        <v>30340</v>
      </c>
      <c r="G207" s="263">
        <v>30340</v>
      </c>
      <c r="H207" s="263">
        <v>0</v>
      </c>
      <c r="I207" s="263">
        <v>0</v>
      </c>
      <c r="J207" s="263">
        <v>0</v>
      </c>
      <c r="O207" s="264"/>
      <c r="P207" s="264"/>
      <c r="Q207" s="264"/>
      <c r="R207" s="264"/>
      <c r="S207" s="60"/>
      <c r="T207" s="60"/>
      <c r="U207" t="s">
        <v>16653</v>
      </c>
    </row>
    <row r="208" spans="1:21">
      <c r="A208" t="s">
        <v>17763</v>
      </c>
      <c r="B208" s="262">
        <v>43749</v>
      </c>
      <c r="C208" t="s">
        <v>16384</v>
      </c>
      <c r="D208" t="s">
        <v>16385</v>
      </c>
      <c r="E208" s="60">
        <v>0</v>
      </c>
      <c r="F208" s="60">
        <v>36213</v>
      </c>
      <c r="G208" s="263">
        <v>8400</v>
      </c>
      <c r="H208" s="263">
        <v>26169</v>
      </c>
      <c r="I208" s="263">
        <v>1644</v>
      </c>
      <c r="J208" s="263">
        <v>0</v>
      </c>
      <c r="O208" s="264"/>
      <c r="P208" s="264"/>
      <c r="Q208" s="264"/>
      <c r="R208" s="264"/>
      <c r="S208" s="60"/>
      <c r="T208" s="60"/>
      <c r="U208" t="s">
        <v>17361</v>
      </c>
    </row>
    <row r="209" spans="1:21">
      <c r="A209" t="s">
        <v>17764</v>
      </c>
      <c r="B209" s="262">
        <v>43752</v>
      </c>
      <c r="C209" t="s">
        <v>16444</v>
      </c>
      <c r="D209" t="s">
        <v>16445</v>
      </c>
      <c r="E209" s="60">
        <v>0</v>
      </c>
      <c r="F209" s="60">
        <v>118548</v>
      </c>
      <c r="G209" s="263">
        <v>43776</v>
      </c>
      <c r="H209" s="263">
        <v>74772</v>
      </c>
      <c r="I209" s="263">
        <v>0</v>
      </c>
      <c r="J209" s="263">
        <v>0</v>
      </c>
      <c r="O209" s="264"/>
      <c r="P209" s="264"/>
      <c r="Q209" s="264"/>
      <c r="R209" s="264"/>
      <c r="S209" s="60"/>
      <c r="T209" s="60"/>
      <c r="U209" t="s">
        <v>17541</v>
      </c>
    </row>
    <row r="210" spans="1:21">
      <c r="A210" t="s">
        <v>17765</v>
      </c>
      <c r="B210" s="262">
        <v>43755</v>
      </c>
      <c r="C210" t="s">
        <v>17209</v>
      </c>
      <c r="D210" t="s">
        <v>17210</v>
      </c>
      <c r="E210" s="60">
        <v>0</v>
      </c>
      <c r="F210" s="60">
        <v>49556.038</v>
      </c>
      <c r="G210" s="263">
        <v>0</v>
      </c>
      <c r="H210" s="263">
        <v>24956.400300000005</v>
      </c>
      <c r="I210" s="263">
        <v>11518.338600000001</v>
      </c>
      <c r="J210" s="263">
        <v>9541.9864999999991</v>
      </c>
      <c r="O210" s="264"/>
      <c r="P210" s="264"/>
      <c r="Q210" s="264"/>
      <c r="R210" s="264"/>
      <c r="S210" s="60"/>
      <c r="T210" s="60"/>
    </row>
    <row r="211" spans="1:21">
      <c r="A211" t="s">
        <v>17766</v>
      </c>
      <c r="B211" s="262">
        <v>43802</v>
      </c>
      <c r="C211" t="s">
        <v>16783</v>
      </c>
      <c r="D211" t="s">
        <v>17509</v>
      </c>
      <c r="E211" s="60">
        <v>0</v>
      </c>
      <c r="F211" s="60">
        <v>334542.527</v>
      </c>
      <c r="G211" s="263">
        <v>0</v>
      </c>
      <c r="H211" s="263">
        <v>272562.2714519999</v>
      </c>
      <c r="I211" s="263">
        <v>61888.648320000008</v>
      </c>
      <c r="J211" s="263">
        <v>0</v>
      </c>
      <c r="O211" s="264"/>
      <c r="P211" s="264"/>
      <c r="Q211" s="264"/>
      <c r="R211" s="264"/>
      <c r="S211" s="60"/>
      <c r="T211" s="60"/>
    </row>
    <row r="212" spans="1:21">
      <c r="A212" t="s">
        <v>17767</v>
      </c>
      <c r="B212" s="262">
        <v>43770</v>
      </c>
      <c r="C212" t="s">
        <v>16560</v>
      </c>
      <c r="D212" t="s">
        <v>16561</v>
      </c>
      <c r="E212" s="60">
        <v>0</v>
      </c>
      <c r="F212" s="60">
        <v>146464.79399999999</v>
      </c>
      <c r="G212" s="263">
        <v>0</v>
      </c>
      <c r="H212" s="263">
        <v>0</v>
      </c>
      <c r="I212" s="263">
        <v>146464.79399999999</v>
      </c>
      <c r="J212" s="263">
        <v>0</v>
      </c>
      <c r="O212" s="264"/>
      <c r="P212" s="264"/>
      <c r="Q212" s="264"/>
      <c r="R212" s="264"/>
      <c r="S212" s="60"/>
      <c r="T212" s="60"/>
      <c r="U212" t="s">
        <v>17479</v>
      </c>
    </row>
    <row r="213" spans="1:21">
      <c r="A213" t="s">
        <v>17768</v>
      </c>
      <c r="B213" s="262">
        <v>43771</v>
      </c>
      <c r="C213" t="s">
        <v>16560</v>
      </c>
      <c r="D213" t="s">
        <v>16561</v>
      </c>
      <c r="E213" s="60">
        <v>0</v>
      </c>
      <c r="F213" s="60">
        <v>146464.79399999999</v>
      </c>
      <c r="G213" s="263">
        <v>0</v>
      </c>
      <c r="H213" s="263">
        <v>0</v>
      </c>
      <c r="I213" s="263">
        <v>146464.79399999999</v>
      </c>
      <c r="J213" s="263">
        <v>0</v>
      </c>
      <c r="O213" s="264"/>
      <c r="P213" s="264"/>
      <c r="Q213" s="264"/>
      <c r="R213" s="264"/>
      <c r="S213" s="60"/>
      <c r="T213" s="60"/>
      <c r="U213" t="s">
        <v>17479</v>
      </c>
    </row>
    <row r="214" spans="1:21">
      <c r="A214" t="s">
        <v>17769</v>
      </c>
      <c r="B214" s="262">
        <v>43775</v>
      </c>
      <c r="C214" t="s">
        <v>16444</v>
      </c>
      <c r="D214" t="s">
        <v>16445</v>
      </c>
      <c r="E214" s="60">
        <v>0</v>
      </c>
      <c r="F214" s="60">
        <v>30144</v>
      </c>
      <c r="G214" s="263">
        <v>30144</v>
      </c>
      <c r="H214" s="263">
        <v>0</v>
      </c>
      <c r="I214" s="263">
        <v>0</v>
      </c>
      <c r="J214" s="263">
        <v>0</v>
      </c>
      <c r="O214" s="264"/>
      <c r="P214" s="264"/>
      <c r="Q214" s="264"/>
      <c r="R214" s="264"/>
      <c r="S214" s="60"/>
      <c r="T214" s="60"/>
      <c r="U214" t="s">
        <v>17383</v>
      </c>
    </row>
    <row r="215" spans="1:21">
      <c r="A215" t="s">
        <v>17770</v>
      </c>
      <c r="B215" s="262">
        <v>43760</v>
      </c>
      <c r="C215" t="s">
        <v>16384</v>
      </c>
      <c r="D215" t="s">
        <v>16385</v>
      </c>
      <c r="E215" s="60">
        <v>0</v>
      </c>
      <c r="F215" s="60">
        <v>30000</v>
      </c>
      <c r="G215" s="263">
        <v>30000</v>
      </c>
      <c r="H215" s="263">
        <v>0</v>
      </c>
      <c r="I215" s="263">
        <v>0</v>
      </c>
      <c r="J215" s="263">
        <v>0</v>
      </c>
      <c r="O215" s="264"/>
      <c r="P215" s="264"/>
      <c r="Q215" s="264"/>
      <c r="R215" s="264"/>
      <c r="S215" s="60"/>
      <c r="T215" s="60"/>
      <c r="U215" t="s">
        <v>17771</v>
      </c>
    </row>
    <row r="216" spans="1:21">
      <c r="A216" t="s">
        <v>17772</v>
      </c>
      <c r="B216" s="262">
        <v>43760</v>
      </c>
      <c r="C216" t="s">
        <v>17017</v>
      </c>
      <c r="D216" t="s">
        <v>17430</v>
      </c>
      <c r="E216" s="60">
        <v>0</v>
      </c>
      <c r="F216" s="60">
        <v>33290.004000000001</v>
      </c>
      <c r="G216" s="263">
        <v>0</v>
      </c>
      <c r="H216" s="263">
        <v>0</v>
      </c>
      <c r="I216" s="263">
        <v>33290.004000000001</v>
      </c>
      <c r="J216" s="263">
        <v>0</v>
      </c>
      <c r="O216" s="264"/>
      <c r="P216" s="264"/>
      <c r="Q216" s="264"/>
      <c r="R216" s="264"/>
      <c r="S216" s="60"/>
      <c r="T216" s="60"/>
      <c r="U216" t="s">
        <v>17773</v>
      </c>
    </row>
    <row r="217" spans="1:21">
      <c r="A217" t="s">
        <v>17774</v>
      </c>
      <c r="B217" s="262">
        <v>43773</v>
      </c>
      <c r="C217" t="s">
        <v>17213</v>
      </c>
      <c r="D217" t="s">
        <v>17775</v>
      </c>
      <c r="E217" s="60">
        <v>0</v>
      </c>
      <c r="F217" s="60">
        <v>49439.207000000002</v>
      </c>
      <c r="G217" s="263">
        <v>3229.7395860000001</v>
      </c>
      <c r="H217" s="263">
        <v>11432.511329999999</v>
      </c>
      <c r="I217" s="263">
        <v>11096.270976</v>
      </c>
      <c r="J217" s="263">
        <v>18025.785435999998</v>
      </c>
      <c r="O217" s="264"/>
      <c r="P217" s="264"/>
      <c r="Q217" s="264"/>
      <c r="R217" s="264"/>
      <c r="S217" s="60"/>
      <c r="T217" s="60"/>
    </row>
    <row r="218" spans="1:21">
      <c r="A218" t="s">
        <v>17776</v>
      </c>
      <c r="B218" s="262">
        <v>43773</v>
      </c>
      <c r="C218" t="s">
        <v>16384</v>
      </c>
      <c r="D218" t="s">
        <v>16385</v>
      </c>
      <c r="E218" s="60">
        <v>0</v>
      </c>
      <c r="F218" s="60">
        <v>151363.68</v>
      </c>
      <c r="G218" s="263">
        <v>0</v>
      </c>
      <c r="H218" s="263">
        <v>36283.68</v>
      </c>
      <c r="I218" s="263">
        <v>115080</v>
      </c>
      <c r="J218" s="263">
        <v>0</v>
      </c>
      <c r="O218" s="264"/>
      <c r="P218" s="264"/>
      <c r="Q218" s="264"/>
      <c r="R218" s="264"/>
      <c r="S218" s="60"/>
      <c r="T218" s="60"/>
      <c r="U218" t="s">
        <v>17777</v>
      </c>
    </row>
    <row r="219" spans="1:21">
      <c r="A219" t="s">
        <v>17778</v>
      </c>
      <c r="B219" s="262">
        <v>43775</v>
      </c>
      <c r="C219" t="s">
        <v>17017</v>
      </c>
      <c r="D219" t="s">
        <v>17430</v>
      </c>
      <c r="E219" s="60">
        <v>0</v>
      </c>
      <c r="F219" s="60">
        <v>17999.272000000001</v>
      </c>
      <c r="G219" s="263">
        <v>0</v>
      </c>
      <c r="H219" s="263">
        <v>5178.88</v>
      </c>
      <c r="I219" s="263">
        <v>11685.192000000003</v>
      </c>
      <c r="J219" s="263">
        <v>1135.2</v>
      </c>
      <c r="O219" s="264"/>
      <c r="P219" s="264"/>
      <c r="Q219" s="264"/>
      <c r="R219" s="264"/>
      <c r="S219" s="60"/>
      <c r="T219" s="60"/>
      <c r="U219" t="s">
        <v>17779</v>
      </c>
    </row>
    <row r="220" spans="1:21">
      <c r="A220" t="s">
        <v>17780</v>
      </c>
      <c r="B220" s="262">
        <v>43771</v>
      </c>
      <c r="C220" t="s">
        <v>16957</v>
      </c>
      <c r="D220" t="s">
        <v>17451</v>
      </c>
      <c r="E220" s="60">
        <v>0</v>
      </c>
      <c r="F220" s="60">
        <v>36167.040000000001</v>
      </c>
      <c r="G220" s="263">
        <v>36167.040000000001</v>
      </c>
      <c r="H220" s="263">
        <v>0</v>
      </c>
      <c r="I220" s="263">
        <v>0</v>
      </c>
      <c r="J220" s="263">
        <v>0</v>
      </c>
      <c r="O220" s="264"/>
      <c r="P220" s="264"/>
      <c r="Q220" s="264"/>
      <c r="R220" s="264"/>
      <c r="S220" s="60"/>
      <c r="T220" s="60"/>
      <c r="U220" t="s">
        <v>17781</v>
      </c>
    </row>
    <row r="221" spans="1:21">
      <c r="A221" t="s">
        <v>17782</v>
      </c>
      <c r="B221" s="262">
        <v>43780</v>
      </c>
      <c r="C221" t="s">
        <v>16384</v>
      </c>
      <c r="D221" t="s">
        <v>16385</v>
      </c>
      <c r="E221" s="60">
        <v>0</v>
      </c>
      <c r="F221" s="60">
        <v>38032.800000000003</v>
      </c>
      <c r="G221" s="263">
        <v>10320</v>
      </c>
      <c r="H221" s="263">
        <v>27712.799999999999</v>
      </c>
      <c r="I221" s="263">
        <v>0</v>
      </c>
      <c r="J221" s="263">
        <v>0</v>
      </c>
      <c r="O221" s="264"/>
      <c r="P221" s="264"/>
      <c r="Q221" s="264"/>
      <c r="R221" s="264"/>
      <c r="S221" s="60"/>
      <c r="T221" s="60"/>
      <c r="U221" t="s">
        <v>17783</v>
      </c>
    </row>
    <row r="222" spans="1:21">
      <c r="A222" t="s">
        <v>17784</v>
      </c>
      <c r="B222" s="262">
        <v>43770</v>
      </c>
      <c r="C222" t="s">
        <v>17017</v>
      </c>
      <c r="D222" t="s">
        <v>17430</v>
      </c>
      <c r="E222" s="60">
        <v>0</v>
      </c>
      <c r="F222" s="60">
        <v>31600</v>
      </c>
      <c r="G222" s="263">
        <v>0</v>
      </c>
      <c r="H222" s="263">
        <v>31600</v>
      </c>
      <c r="I222" s="263">
        <v>0</v>
      </c>
      <c r="J222" s="263">
        <v>0</v>
      </c>
      <c r="O222" s="264"/>
      <c r="P222" s="264"/>
      <c r="Q222" s="264"/>
      <c r="R222" s="264"/>
      <c r="S222" s="60"/>
      <c r="T222" s="60"/>
      <c r="U222" t="s">
        <v>17785</v>
      </c>
    </row>
    <row r="223" spans="1:21">
      <c r="A223" t="s">
        <v>17786</v>
      </c>
      <c r="B223" s="262">
        <v>43771</v>
      </c>
      <c r="C223" t="s">
        <v>17017</v>
      </c>
      <c r="D223" t="s">
        <v>17430</v>
      </c>
      <c r="E223" s="60">
        <v>0</v>
      </c>
      <c r="F223" s="60">
        <v>3432.24</v>
      </c>
      <c r="G223" s="263">
        <v>0</v>
      </c>
      <c r="H223" s="263">
        <v>3432.24</v>
      </c>
      <c r="I223" s="263">
        <v>0</v>
      </c>
      <c r="J223" s="263">
        <v>0</v>
      </c>
      <c r="O223" s="264"/>
      <c r="P223" s="264"/>
      <c r="Q223" s="264"/>
      <c r="R223" s="264"/>
      <c r="S223" s="60"/>
      <c r="T223" s="60"/>
      <c r="U223" t="s">
        <v>17787</v>
      </c>
    </row>
    <row r="224" spans="1:21">
      <c r="A224" t="s">
        <v>17788</v>
      </c>
      <c r="B224" s="262">
        <v>43771</v>
      </c>
      <c r="C224" t="s">
        <v>17156</v>
      </c>
      <c r="D224" t="s">
        <v>17575</v>
      </c>
      <c r="E224" s="60">
        <v>0</v>
      </c>
      <c r="F224" s="60">
        <v>62400</v>
      </c>
      <c r="G224" s="263">
        <v>0</v>
      </c>
      <c r="H224" s="263">
        <v>62400</v>
      </c>
      <c r="I224" s="263">
        <v>0</v>
      </c>
      <c r="J224" s="263">
        <v>0</v>
      </c>
      <c r="O224" s="264"/>
      <c r="P224" s="264"/>
      <c r="Q224" s="264"/>
      <c r="R224" s="264"/>
      <c r="S224" s="60"/>
      <c r="T224" s="60"/>
      <c r="U224" t="s">
        <v>17789</v>
      </c>
    </row>
    <row r="225" spans="1:21">
      <c r="A225" t="s">
        <v>17790</v>
      </c>
      <c r="B225" s="262">
        <v>43801</v>
      </c>
      <c r="C225" t="s">
        <v>16904</v>
      </c>
      <c r="D225" t="s">
        <v>16905</v>
      </c>
      <c r="E225" s="60">
        <v>0</v>
      </c>
      <c r="F225" s="60">
        <v>47249.359000000004</v>
      </c>
      <c r="G225" s="263">
        <v>0</v>
      </c>
      <c r="H225" s="263">
        <v>26834.18418</v>
      </c>
      <c r="I225" s="263">
        <v>12549.049463999998</v>
      </c>
      <c r="J225" s="263">
        <v>0</v>
      </c>
      <c r="O225" s="264"/>
      <c r="P225" s="264"/>
      <c r="Q225" s="264"/>
      <c r="R225" s="264"/>
      <c r="S225" s="60"/>
      <c r="T225" s="60"/>
      <c r="U225" t="s">
        <v>17791</v>
      </c>
    </row>
    <row r="226" spans="1:21">
      <c r="A226" t="s">
        <v>17792</v>
      </c>
      <c r="B226" s="262">
        <v>43771</v>
      </c>
      <c r="C226" t="s">
        <v>16643</v>
      </c>
      <c r="D226" t="s">
        <v>16644</v>
      </c>
      <c r="E226" s="60">
        <v>0</v>
      </c>
      <c r="F226" s="60">
        <v>70607.14</v>
      </c>
      <c r="G226" s="263">
        <v>0</v>
      </c>
      <c r="H226" s="263">
        <v>54235.19969999999</v>
      </c>
      <c r="I226" s="263">
        <v>0</v>
      </c>
      <c r="J226" s="263">
        <v>0</v>
      </c>
      <c r="O226" s="264"/>
      <c r="P226" s="264"/>
      <c r="Q226" s="264"/>
      <c r="R226" s="264"/>
      <c r="S226" s="60"/>
      <c r="T226" s="60"/>
    </row>
    <row r="227" spans="1:21">
      <c r="A227" t="s">
        <v>17793</v>
      </c>
      <c r="B227" s="262">
        <v>43771</v>
      </c>
      <c r="C227" t="s">
        <v>16872</v>
      </c>
      <c r="D227" t="s">
        <v>16873</v>
      </c>
      <c r="E227" s="60">
        <v>0</v>
      </c>
      <c r="F227" s="60">
        <v>36958.044000000002</v>
      </c>
      <c r="G227" s="263">
        <v>33050.283499999998</v>
      </c>
      <c r="H227" s="263">
        <v>3907.7603999999992</v>
      </c>
      <c r="I227" s="263">
        <v>0</v>
      </c>
      <c r="J227" s="263">
        <v>0</v>
      </c>
      <c r="O227" s="264"/>
      <c r="P227" s="264"/>
      <c r="Q227" s="264"/>
      <c r="R227" s="264"/>
      <c r="S227" s="60"/>
      <c r="T227" s="60"/>
      <c r="U227" t="s">
        <v>17794</v>
      </c>
    </row>
    <row r="228" spans="1:21">
      <c r="A228" t="s">
        <v>17795</v>
      </c>
      <c r="B228" s="262">
        <v>43771</v>
      </c>
      <c r="C228" t="s">
        <v>16880</v>
      </c>
      <c r="D228" t="s">
        <v>16881</v>
      </c>
      <c r="E228" s="60">
        <v>0</v>
      </c>
      <c r="F228" s="60">
        <v>63284.009000000005</v>
      </c>
      <c r="G228" s="263">
        <v>0</v>
      </c>
      <c r="H228" s="263">
        <v>63284.008699999991</v>
      </c>
      <c r="I228" s="263">
        <v>0</v>
      </c>
      <c r="J228" s="263">
        <v>0</v>
      </c>
      <c r="O228" s="264"/>
      <c r="P228" s="264"/>
      <c r="Q228" s="264"/>
      <c r="R228" s="264"/>
      <c r="S228" s="60"/>
      <c r="T228" s="60"/>
      <c r="U228" t="s">
        <v>17796</v>
      </c>
    </row>
    <row r="229" spans="1:21">
      <c r="A229" t="s">
        <v>17797</v>
      </c>
      <c r="B229" s="262">
        <v>43773</v>
      </c>
      <c r="C229" t="s">
        <v>16838</v>
      </c>
      <c r="D229" t="s">
        <v>16839</v>
      </c>
      <c r="E229" s="60">
        <v>0</v>
      </c>
      <c r="F229" s="60">
        <v>205114.56</v>
      </c>
      <c r="G229" s="263">
        <v>0</v>
      </c>
      <c r="H229" s="263">
        <v>205114.56</v>
      </c>
      <c r="I229" s="263">
        <v>0</v>
      </c>
      <c r="J229" s="263">
        <v>0</v>
      </c>
      <c r="O229" s="264"/>
      <c r="P229" s="264"/>
      <c r="Q229" s="264"/>
      <c r="R229" s="264"/>
      <c r="S229" s="60"/>
      <c r="T229" s="60"/>
      <c r="U229" t="s">
        <v>17798</v>
      </c>
    </row>
    <row r="230" spans="1:21">
      <c r="A230" t="s">
        <v>17799</v>
      </c>
      <c r="B230" s="262">
        <v>43773</v>
      </c>
      <c r="C230" t="s">
        <v>16838</v>
      </c>
      <c r="D230" t="s">
        <v>16839</v>
      </c>
      <c r="E230" s="60">
        <v>0</v>
      </c>
      <c r="F230" s="60">
        <v>205114.56</v>
      </c>
      <c r="G230" s="263">
        <v>0</v>
      </c>
      <c r="H230" s="263">
        <v>205114.56</v>
      </c>
      <c r="I230" s="263">
        <v>0</v>
      </c>
      <c r="J230" s="263">
        <v>0</v>
      </c>
      <c r="O230" s="264"/>
      <c r="P230" s="264"/>
      <c r="Q230" s="264"/>
      <c r="R230" s="264"/>
      <c r="S230" s="60"/>
      <c r="T230" s="60"/>
      <c r="U230" t="s">
        <v>17798</v>
      </c>
    </row>
    <row r="231" spans="1:21">
      <c r="A231" t="s">
        <v>17800</v>
      </c>
      <c r="B231" s="262">
        <v>43775</v>
      </c>
      <c r="C231" t="s">
        <v>16384</v>
      </c>
      <c r="D231" t="s">
        <v>16385</v>
      </c>
      <c r="E231" s="60">
        <v>0</v>
      </c>
      <c r="F231" s="60">
        <v>140610</v>
      </c>
      <c r="G231" s="263">
        <v>0</v>
      </c>
      <c r="H231" s="263">
        <v>92880</v>
      </c>
      <c r="I231" s="263">
        <v>47730</v>
      </c>
      <c r="J231" s="263">
        <v>0</v>
      </c>
      <c r="O231" s="264"/>
      <c r="P231" s="264"/>
      <c r="Q231" s="264"/>
      <c r="R231" s="264"/>
      <c r="S231" s="60"/>
      <c r="T231" s="60"/>
      <c r="U231" t="s">
        <v>17801</v>
      </c>
    </row>
    <row r="232" spans="1:21">
      <c r="A232" t="s">
        <v>17802</v>
      </c>
      <c r="B232" s="262">
        <v>43775</v>
      </c>
      <c r="C232" t="s">
        <v>16444</v>
      </c>
      <c r="D232" t="s">
        <v>16445</v>
      </c>
      <c r="E232" s="60">
        <v>0</v>
      </c>
      <c r="F232" s="60">
        <v>66960</v>
      </c>
      <c r="G232" s="263">
        <v>66960</v>
      </c>
      <c r="H232" s="263">
        <v>0</v>
      </c>
      <c r="I232" s="263">
        <v>0</v>
      </c>
      <c r="J232" s="263">
        <v>0</v>
      </c>
      <c r="O232" s="264"/>
      <c r="P232" s="264"/>
      <c r="Q232" s="264"/>
      <c r="R232" s="264"/>
      <c r="S232" s="60"/>
      <c r="T232" s="60"/>
      <c r="U232" t="s">
        <v>17803</v>
      </c>
    </row>
    <row r="233" spans="1:21">
      <c r="A233" t="s">
        <v>17804</v>
      </c>
      <c r="B233" s="262">
        <v>43775</v>
      </c>
      <c r="C233" t="s">
        <v>16823</v>
      </c>
      <c r="D233" t="s">
        <v>17805</v>
      </c>
      <c r="E233" s="60">
        <v>0</v>
      </c>
      <c r="F233" s="60">
        <v>131248.492</v>
      </c>
      <c r="G233" s="263">
        <v>29599.123679999997</v>
      </c>
      <c r="H233" s="263">
        <v>80556.408576000002</v>
      </c>
      <c r="I233" s="263">
        <v>0</v>
      </c>
      <c r="J233" s="263">
        <v>0</v>
      </c>
      <c r="O233" s="264"/>
      <c r="P233" s="264"/>
      <c r="Q233" s="264"/>
      <c r="R233" s="264"/>
      <c r="S233" s="60"/>
      <c r="T233" s="60"/>
    </row>
    <row r="234" spans="1:21">
      <c r="A234" t="s">
        <v>17806</v>
      </c>
      <c r="B234" s="262">
        <v>43780</v>
      </c>
      <c r="C234" t="s">
        <v>16957</v>
      </c>
      <c r="D234" t="s">
        <v>17451</v>
      </c>
      <c r="E234" s="60">
        <v>0</v>
      </c>
      <c r="F234" s="60">
        <v>38016.720000000001</v>
      </c>
      <c r="G234" s="263">
        <v>38016.719999999994</v>
      </c>
      <c r="H234" s="263">
        <v>0</v>
      </c>
      <c r="I234" s="263">
        <v>0</v>
      </c>
      <c r="J234" s="263">
        <v>0</v>
      </c>
      <c r="O234" s="264"/>
      <c r="P234" s="264"/>
      <c r="Q234" s="264"/>
      <c r="R234" s="264"/>
      <c r="S234" s="60"/>
      <c r="T234" s="60"/>
      <c r="U234" t="s">
        <v>17807</v>
      </c>
    </row>
    <row r="235" spans="1:21">
      <c r="A235" t="s">
        <v>17808</v>
      </c>
      <c r="B235" s="262">
        <v>43782</v>
      </c>
      <c r="C235" t="s">
        <v>17017</v>
      </c>
      <c r="D235" t="s">
        <v>17430</v>
      </c>
      <c r="E235" s="60">
        <v>0</v>
      </c>
      <c r="F235" s="60">
        <v>41354.800000000003</v>
      </c>
      <c r="G235" s="263">
        <v>3864</v>
      </c>
      <c r="H235" s="263">
        <v>26020.799999999999</v>
      </c>
      <c r="I235" s="263">
        <v>9660</v>
      </c>
      <c r="J235" s="263">
        <v>1810</v>
      </c>
      <c r="O235" s="264"/>
      <c r="P235" s="264"/>
      <c r="Q235" s="264"/>
      <c r="R235" s="264"/>
      <c r="S235" s="60"/>
      <c r="T235" s="60"/>
      <c r="U235" t="s">
        <v>17809</v>
      </c>
    </row>
    <row r="236" spans="1:21">
      <c r="A236" t="s">
        <v>17810</v>
      </c>
      <c r="B236" s="262">
        <v>43782</v>
      </c>
      <c r="C236" t="s">
        <v>16838</v>
      </c>
      <c r="D236" t="s">
        <v>16839</v>
      </c>
      <c r="E236" s="60">
        <v>0</v>
      </c>
      <c r="F236" s="60">
        <v>147453.6</v>
      </c>
      <c r="G236" s="263">
        <v>0</v>
      </c>
      <c r="H236" s="263">
        <v>147453.6</v>
      </c>
      <c r="I236" s="263">
        <v>0</v>
      </c>
      <c r="J236" s="263">
        <v>0</v>
      </c>
      <c r="O236" s="264"/>
      <c r="P236" s="264"/>
      <c r="Q236" s="264"/>
      <c r="R236" s="264"/>
      <c r="S236" s="60"/>
      <c r="T236" s="60"/>
      <c r="U236" t="s">
        <v>17798</v>
      </c>
    </row>
    <row r="237" spans="1:21">
      <c r="A237" t="s">
        <v>17811</v>
      </c>
      <c r="B237" s="262">
        <v>43782</v>
      </c>
      <c r="C237" t="s">
        <v>16957</v>
      </c>
      <c r="D237" t="s">
        <v>17451</v>
      </c>
      <c r="E237" s="60">
        <v>0</v>
      </c>
      <c r="F237" s="60">
        <v>36465.919999999998</v>
      </c>
      <c r="G237" s="263">
        <v>36465.919999999998</v>
      </c>
      <c r="H237" s="263">
        <v>0</v>
      </c>
      <c r="I237" s="263">
        <v>0</v>
      </c>
      <c r="J237" s="263">
        <v>0</v>
      </c>
      <c r="O237" s="264"/>
      <c r="P237" s="264"/>
      <c r="Q237" s="264"/>
      <c r="R237" s="264"/>
      <c r="S237" s="60"/>
      <c r="T237" s="60"/>
      <c r="U237" t="s">
        <v>17812</v>
      </c>
    </row>
    <row r="238" spans="1:21">
      <c r="A238" t="s">
        <v>17813</v>
      </c>
      <c r="B238" s="262">
        <v>43785</v>
      </c>
      <c r="C238" t="s">
        <v>17197</v>
      </c>
      <c r="D238" t="s">
        <v>17198</v>
      </c>
      <c r="E238" s="60">
        <v>0</v>
      </c>
      <c r="F238" s="60">
        <v>436210.65</v>
      </c>
      <c r="G238" s="263">
        <v>0</v>
      </c>
      <c r="H238" s="263">
        <v>406897.29432000034</v>
      </c>
      <c r="I238" s="263">
        <v>29313.355679999997</v>
      </c>
      <c r="J238" s="263">
        <v>0</v>
      </c>
      <c r="O238" s="264"/>
      <c r="P238" s="264"/>
      <c r="Q238" s="264"/>
      <c r="R238" s="264"/>
      <c r="S238" s="60"/>
      <c r="T238" s="60"/>
      <c r="U238" t="s">
        <v>17748</v>
      </c>
    </row>
    <row r="239" spans="1:21">
      <c r="A239" t="s">
        <v>17814</v>
      </c>
      <c r="B239" s="262">
        <v>43788</v>
      </c>
      <c r="C239" t="s">
        <v>17017</v>
      </c>
      <c r="D239" t="s">
        <v>17430</v>
      </c>
      <c r="E239" s="60">
        <v>0</v>
      </c>
      <c r="F239" s="60">
        <v>8825.49</v>
      </c>
      <c r="G239" s="263">
        <v>7903.65</v>
      </c>
      <c r="H239" s="263">
        <v>921.84</v>
      </c>
      <c r="I239" s="263">
        <v>0</v>
      </c>
      <c r="J239" s="263">
        <v>0</v>
      </c>
      <c r="O239" s="264"/>
      <c r="P239" s="264"/>
      <c r="Q239" s="264"/>
      <c r="R239" s="264"/>
      <c r="S239" s="60"/>
      <c r="T239" s="60"/>
      <c r="U239" t="s">
        <v>17643</v>
      </c>
    </row>
    <row r="240" spans="1:21">
      <c r="A240" t="s">
        <v>17815</v>
      </c>
      <c r="B240" s="262">
        <v>43788</v>
      </c>
      <c r="C240" t="s">
        <v>16838</v>
      </c>
      <c r="D240" t="s">
        <v>16839</v>
      </c>
      <c r="E240" s="60">
        <v>0</v>
      </c>
      <c r="F240" s="60">
        <v>110777.60000000001</v>
      </c>
      <c r="G240" s="263">
        <v>0</v>
      </c>
      <c r="H240" s="263">
        <v>31257.599999999999</v>
      </c>
      <c r="I240" s="263">
        <v>79520</v>
      </c>
      <c r="J240" s="263">
        <v>0</v>
      </c>
      <c r="O240" s="264"/>
      <c r="P240" s="264"/>
      <c r="Q240" s="264"/>
      <c r="R240" s="264"/>
      <c r="S240" s="60"/>
      <c r="T240" s="60"/>
      <c r="U240" t="s">
        <v>17470</v>
      </c>
    </row>
    <row r="241" spans="1:21">
      <c r="A241" t="s">
        <v>17816</v>
      </c>
      <c r="B241" s="262">
        <v>43794</v>
      </c>
      <c r="C241" t="s">
        <v>17017</v>
      </c>
      <c r="D241" t="s">
        <v>17430</v>
      </c>
      <c r="E241" s="60">
        <v>0</v>
      </c>
      <c r="F241" s="60">
        <v>4761.76</v>
      </c>
      <c r="G241" s="263">
        <v>1166.4000000000001</v>
      </c>
      <c r="H241" s="263">
        <v>920.4</v>
      </c>
      <c r="I241" s="263">
        <v>1244.1600000000001</v>
      </c>
      <c r="J241" s="263">
        <v>1430.8</v>
      </c>
      <c r="O241" s="264"/>
      <c r="P241" s="264"/>
      <c r="Q241" s="264"/>
      <c r="R241" s="264"/>
      <c r="S241" s="60"/>
      <c r="T241" s="60"/>
      <c r="U241" t="s">
        <v>17313</v>
      </c>
    </row>
    <row r="242" spans="1:21">
      <c r="A242" t="s">
        <v>17817</v>
      </c>
      <c r="B242" s="262">
        <v>43804</v>
      </c>
      <c r="C242" t="s">
        <v>16384</v>
      </c>
      <c r="D242" t="s">
        <v>16385</v>
      </c>
      <c r="E242" s="60">
        <v>0</v>
      </c>
      <c r="F242" s="60">
        <v>35319</v>
      </c>
      <c r="G242" s="263">
        <v>5616</v>
      </c>
      <c r="H242" s="263">
        <v>29703</v>
      </c>
      <c r="I242" s="263">
        <v>0</v>
      </c>
      <c r="J242" s="263">
        <v>0</v>
      </c>
      <c r="O242" s="264"/>
      <c r="P242" s="264"/>
      <c r="Q242" s="264"/>
      <c r="R242" s="264"/>
      <c r="S242" s="60"/>
      <c r="T242" s="60"/>
      <c r="U242" t="s">
        <v>17818</v>
      </c>
    </row>
    <row r="243" spans="1:21">
      <c r="A243" t="s">
        <v>17819</v>
      </c>
      <c r="B243" s="262">
        <v>43794</v>
      </c>
      <c r="C243" t="s">
        <v>16957</v>
      </c>
      <c r="D243" t="s">
        <v>17451</v>
      </c>
      <c r="E243" s="60">
        <v>0</v>
      </c>
      <c r="F243" s="60">
        <v>39489.867000000006</v>
      </c>
      <c r="G243" s="263">
        <v>39489.866832</v>
      </c>
      <c r="H243" s="263">
        <v>0</v>
      </c>
      <c r="I243" s="263">
        <v>0</v>
      </c>
      <c r="J243" s="263">
        <v>0</v>
      </c>
      <c r="O243" s="264"/>
      <c r="P243" s="264"/>
      <c r="Q243" s="264"/>
      <c r="R243" s="264"/>
      <c r="S243" s="60"/>
      <c r="T243" s="60"/>
      <c r="U243" t="s">
        <v>17820</v>
      </c>
    </row>
    <row r="244" spans="1:21">
      <c r="A244" t="s">
        <v>17821</v>
      </c>
      <c r="B244" s="262">
        <v>43804</v>
      </c>
      <c r="C244" t="s">
        <v>16838</v>
      </c>
      <c r="D244" t="s">
        <v>16839</v>
      </c>
      <c r="E244" s="60">
        <v>0</v>
      </c>
      <c r="F244" s="60">
        <v>219842.95</v>
      </c>
      <c r="G244" s="263">
        <v>0</v>
      </c>
      <c r="H244" s="263">
        <v>25219.200000000001</v>
      </c>
      <c r="I244" s="263">
        <v>191800</v>
      </c>
      <c r="J244" s="263">
        <v>2823.75</v>
      </c>
      <c r="O244" s="264"/>
      <c r="P244" s="264"/>
      <c r="Q244" s="264"/>
      <c r="R244" s="264"/>
      <c r="S244" s="60"/>
      <c r="T244" s="60"/>
      <c r="U244" t="s">
        <v>17470</v>
      </c>
    </row>
    <row r="245" spans="1:21">
      <c r="A245" t="s">
        <v>17822</v>
      </c>
      <c r="B245" s="262">
        <v>43796</v>
      </c>
      <c r="C245" t="s">
        <v>17217</v>
      </c>
      <c r="D245" t="s">
        <v>17823</v>
      </c>
      <c r="E245" s="60">
        <v>0</v>
      </c>
      <c r="F245" s="60">
        <v>33477.957000000002</v>
      </c>
      <c r="G245" s="263">
        <v>33477.957000000002</v>
      </c>
      <c r="H245" s="263">
        <v>0</v>
      </c>
      <c r="I245" s="263">
        <v>0</v>
      </c>
      <c r="J245" s="263">
        <v>0</v>
      </c>
      <c r="O245" s="264"/>
      <c r="P245" s="264"/>
      <c r="Q245" s="264"/>
      <c r="R245" s="264"/>
      <c r="S245" s="60"/>
      <c r="T245" s="60"/>
      <c r="U245" t="s">
        <v>16653</v>
      </c>
    </row>
    <row r="246" spans="1:21">
      <c r="A246" t="s">
        <v>17824</v>
      </c>
      <c r="B246" s="262">
        <v>43801</v>
      </c>
      <c r="C246" t="s">
        <v>17119</v>
      </c>
      <c r="D246" t="s">
        <v>17120</v>
      </c>
      <c r="E246" s="60">
        <v>0</v>
      </c>
      <c r="F246" s="60">
        <v>121434.13400000001</v>
      </c>
      <c r="G246" s="263">
        <v>39321.819000000003</v>
      </c>
      <c r="H246" s="263">
        <v>62937.919674000004</v>
      </c>
      <c r="I246" s="263">
        <v>0</v>
      </c>
      <c r="J246" s="263">
        <v>0</v>
      </c>
      <c r="O246" s="264"/>
      <c r="P246" s="264"/>
      <c r="Q246" s="264"/>
      <c r="R246" s="264"/>
      <c r="S246" s="60"/>
      <c r="T246" s="60"/>
      <c r="U246" t="s">
        <v>17825</v>
      </c>
    </row>
    <row r="247" spans="1:21">
      <c r="A247" t="s">
        <v>17826</v>
      </c>
      <c r="B247" s="262">
        <v>43801</v>
      </c>
      <c r="C247" t="s">
        <v>17156</v>
      </c>
      <c r="D247" t="s">
        <v>17575</v>
      </c>
      <c r="E247" s="60">
        <v>0</v>
      </c>
      <c r="F247" s="60">
        <v>62400</v>
      </c>
      <c r="G247" s="263">
        <v>0</v>
      </c>
      <c r="H247" s="263">
        <v>62400</v>
      </c>
      <c r="I247" s="263">
        <v>0</v>
      </c>
      <c r="J247" s="263">
        <v>0</v>
      </c>
      <c r="O247" s="264"/>
      <c r="P247" s="264"/>
      <c r="Q247" s="264"/>
      <c r="R247" s="264"/>
      <c r="S247" s="60"/>
      <c r="T247" s="60"/>
      <c r="U247" t="s">
        <v>17827</v>
      </c>
    </row>
    <row r="248" spans="1:21">
      <c r="A248" t="s">
        <v>17828</v>
      </c>
      <c r="B248" s="262">
        <v>43801</v>
      </c>
      <c r="C248" t="s">
        <v>16957</v>
      </c>
      <c r="D248" t="s">
        <v>17451</v>
      </c>
      <c r="E248" s="60">
        <v>0</v>
      </c>
      <c r="F248" s="60">
        <v>37793.279999999999</v>
      </c>
      <c r="G248" s="263">
        <v>37793.280000000006</v>
      </c>
      <c r="H248" s="263">
        <v>0</v>
      </c>
      <c r="I248" s="263">
        <v>0</v>
      </c>
      <c r="J248" s="263">
        <v>0</v>
      </c>
      <c r="O248" s="264"/>
      <c r="P248" s="264"/>
      <c r="Q248" s="264"/>
      <c r="R248" s="264"/>
      <c r="S248" s="60"/>
      <c r="T248" s="60"/>
      <c r="U248" t="s">
        <v>17829</v>
      </c>
    </row>
    <row r="249" spans="1:21">
      <c r="A249" t="s">
        <v>17830</v>
      </c>
      <c r="B249" s="262">
        <v>43801</v>
      </c>
      <c r="C249" t="s">
        <v>17219</v>
      </c>
      <c r="D249" t="s">
        <v>17220</v>
      </c>
      <c r="E249" s="60">
        <v>0</v>
      </c>
      <c r="F249" s="60">
        <v>436712.98</v>
      </c>
      <c r="G249" s="263">
        <v>0</v>
      </c>
      <c r="H249" s="263">
        <v>279621.98000000004</v>
      </c>
      <c r="I249" s="263">
        <v>157091</v>
      </c>
      <c r="J249" s="263">
        <v>0</v>
      </c>
      <c r="O249" s="264"/>
      <c r="P249" s="264"/>
      <c r="Q249" s="264"/>
      <c r="R249" s="264"/>
      <c r="S249" s="60"/>
      <c r="T249" s="60"/>
      <c r="U249" t="s">
        <v>17831</v>
      </c>
    </row>
    <row r="250" spans="1:21">
      <c r="A250" t="s">
        <v>17832</v>
      </c>
      <c r="B250" s="262">
        <v>43803</v>
      </c>
      <c r="C250" t="s">
        <v>16643</v>
      </c>
      <c r="D250" t="s">
        <v>16644</v>
      </c>
      <c r="E250" s="60">
        <v>0</v>
      </c>
      <c r="F250" s="60">
        <v>107488.425</v>
      </c>
      <c r="G250" s="263">
        <v>0</v>
      </c>
      <c r="H250" s="263">
        <v>82756.575000000012</v>
      </c>
      <c r="I250" s="263">
        <v>0</v>
      </c>
      <c r="J250" s="263">
        <v>0</v>
      </c>
      <c r="O250" s="264"/>
      <c r="P250" s="264"/>
      <c r="Q250" s="264"/>
      <c r="R250" s="264"/>
      <c r="S250" s="60"/>
      <c r="T250" s="60"/>
      <c r="U250" t="s">
        <v>17833</v>
      </c>
    </row>
    <row r="251" spans="1:21">
      <c r="A251" t="s">
        <v>17834</v>
      </c>
      <c r="B251" s="262">
        <v>43803</v>
      </c>
      <c r="C251" t="s">
        <v>16470</v>
      </c>
      <c r="D251" t="s">
        <v>16471</v>
      </c>
      <c r="E251" s="60">
        <v>0</v>
      </c>
      <c r="F251" s="60">
        <v>40232.51</v>
      </c>
      <c r="G251" s="263">
        <v>0</v>
      </c>
      <c r="H251" s="263">
        <v>0</v>
      </c>
      <c r="I251" s="263">
        <v>34526.622000000003</v>
      </c>
      <c r="J251" s="263">
        <v>0</v>
      </c>
      <c r="O251" s="264"/>
      <c r="P251" s="264"/>
      <c r="Q251" s="264"/>
      <c r="R251" s="264"/>
      <c r="S251" s="60"/>
      <c r="T251" s="60"/>
      <c r="U251" t="s">
        <v>17835</v>
      </c>
    </row>
    <row r="252" spans="1:21">
      <c r="A252" t="s">
        <v>17836</v>
      </c>
      <c r="B252" s="262">
        <v>43801</v>
      </c>
      <c r="C252" t="s">
        <v>16904</v>
      </c>
      <c r="D252" t="s">
        <v>16905</v>
      </c>
      <c r="E252" s="60">
        <v>0</v>
      </c>
      <c r="F252" s="60">
        <v>49910.142</v>
      </c>
      <c r="G252" s="263">
        <v>0</v>
      </c>
      <c r="H252" s="263">
        <v>29084.655600000002</v>
      </c>
      <c r="I252" s="263">
        <v>12898.611000000001</v>
      </c>
      <c r="J252" s="263">
        <v>0</v>
      </c>
      <c r="O252" s="264"/>
      <c r="P252" s="264"/>
      <c r="Q252" s="264"/>
      <c r="R252" s="264"/>
      <c r="S252" s="60"/>
      <c r="T252" s="60"/>
      <c r="U252" t="s">
        <v>17837</v>
      </c>
    </row>
    <row r="253" spans="1:21">
      <c r="A253" t="s">
        <v>17838</v>
      </c>
      <c r="B253" s="262">
        <v>43804</v>
      </c>
      <c r="C253" t="s">
        <v>17017</v>
      </c>
      <c r="D253" t="s">
        <v>17430</v>
      </c>
      <c r="E253" s="60">
        <v>0</v>
      </c>
      <c r="F253" s="60">
        <v>22221.752000000004</v>
      </c>
      <c r="G253" s="263">
        <v>0</v>
      </c>
      <c r="H253" s="263">
        <v>1789.76</v>
      </c>
      <c r="I253" s="263">
        <v>17560.392000000003</v>
      </c>
      <c r="J253" s="263">
        <v>2871.6</v>
      </c>
      <c r="O253" s="264"/>
      <c r="P253" s="264"/>
      <c r="Q253" s="264"/>
      <c r="R253" s="264"/>
      <c r="S253" s="60"/>
      <c r="T253" s="60"/>
      <c r="U253" t="s">
        <v>17839</v>
      </c>
    </row>
    <row r="254" spans="1:21">
      <c r="A254" t="s">
        <v>17840</v>
      </c>
      <c r="B254" s="262">
        <v>43804</v>
      </c>
      <c r="C254" t="s">
        <v>17221</v>
      </c>
      <c r="D254" t="s">
        <v>17222</v>
      </c>
      <c r="E254" s="60">
        <v>0</v>
      </c>
      <c r="F254" s="60">
        <v>4063.92</v>
      </c>
      <c r="G254" s="263">
        <v>1764</v>
      </c>
      <c r="H254" s="263">
        <v>1428</v>
      </c>
      <c r="I254" s="263">
        <v>871.92</v>
      </c>
      <c r="J254" s="263">
        <v>0</v>
      </c>
      <c r="O254" s="264"/>
      <c r="P254" s="264"/>
      <c r="Q254" s="264"/>
      <c r="R254" s="264"/>
      <c r="S254" s="60"/>
      <c r="T254" s="60"/>
      <c r="U254" t="s">
        <v>17202</v>
      </c>
    </row>
    <row r="255" spans="1:21">
      <c r="A255" t="s">
        <v>17841</v>
      </c>
      <c r="B255" s="262">
        <v>43804</v>
      </c>
      <c r="C255" t="s">
        <v>17197</v>
      </c>
      <c r="D255" t="s">
        <v>17198</v>
      </c>
      <c r="E255" s="60">
        <v>0</v>
      </c>
      <c r="F255" s="60">
        <v>436937.4</v>
      </c>
      <c r="G255" s="263">
        <v>1468.1096639999998</v>
      </c>
      <c r="H255" s="263">
        <v>420788.19369600015</v>
      </c>
      <c r="I255" s="263">
        <v>14681.096640000002</v>
      </c>
      <c r="J255" s="263">
        <v>0</v>
      </c>
      <c r="O255" s="264"/>
      <c r="P255" s="264"/>
      <c r="Q255" s="264"/>
      <c r="R255" s="264"/>
      <c r="S255" s="60"/>
      <c r="T255" s="60"/>
      <c r="U255" t="s">
        <v>17748</v>
      </c>
    </row>
    <row r="256" spans="1:21">
      <c r="A256" t="s">
        <v>17842</v>
      </c>
      <c r="B256" s="262">
        <v>43805</v>
      </c>
      <c r="C256" t="s">
        <v>16838</v>
      </c>
      <c r="D256" t="s">
        <v>16839</v>
      </c>
      <c r="E256" s="60">
        <v>0</v>
      </c>
      <c r="F256" s="60">
        <v>294907.2</v>
      </c>
      <c r="G256" s="263">
        <v>0</v>
      </c>
      <c r="H256" s="263">
        <v>294907.2</v>
      </c>
      <c r="I256" s="263">
        <v>0</v>
      </c>
      <c r="J256" s="263">
        <v>0</v>
      </c>
      <c r="O256" s="264"/>
      <c r="P256" s="264"/>
      <c r="Q256" s="264"/>
      <c r="R256" s="264"/>
      <c r="S256" s="60"/>
      <c r="T256" s="60"/>
      <c r="U256" t="s">
        <v>17843</v>
      </c>
    </row>
    <row r="257" spans="1:21">
      <c r="A257" t="s">
        <v>17844</v>
      </c>
      <c r="B257" s="262">
        <v>43805</v>
      </c>
      <c r="C257" t="s">
        <v>16838</v>
      </c>
      <c r="D257" t="s">
        <v>16839</v>
      </c>
      <c r="E257" s="60">
        <v>0</v>
      </c>
      <c r="F257" s="60">
        <v>36650</v>
      </c>
      <c r="G257" s="263">
        <v>0</v>
      </c>
      <c r="H257" s="263">
        <v>0</v>
      </c>
      <c r="I257" s="263">
        <v>36650</v>
      </c>
      <c r="J257" s="263">
        <v>0</v>
      </c>
      <c r="O257" s="264"/>
      <c r="P257" s="264"/>
      <c r="Q257" s="264"/>
      <c r="R257" s="264"/>
      <c r="S257" s="60"/>
      <c r="T257" s="60"/>
      <c r="U257" t="s">
        <v>17845</v>
      </c>
    </row>
    <row r="258" spans="1:21">
      <c r="A258" t="s">
        <v>17846</v>
      </c>
      <c r="B258" s="262">
        <v>43806</v>
      </c>
      <c r="C258" t="s">
        <v>16880</v>
      </c>
      <c r="D258" t="s">
        <v>16881</v>
      </c>
      <c r="E258" s="60">
        <v>0</v>
      </c>
      <c r="F258" s="60">
        <v>60810.239999999998</v>
      </c>
      <c r="G258" s="263">
        <v>0</v>
      </c>
      <c r="H258" s="263">
        <v>60810.240000000013</v>
      </c>
      <c r="I258" s="263">
        <v>0</v>
      </c>
      <c r="J258" s="263">
        <v>0</v>
      </c>
      <c r="O258" s="264"/>
      <c r="P258" s="264"/>
      <c r="Q258" s="264"/>
      <c r="R258" s="264"/>
      <c r="S258" s="60"/>
      <c r="T258" s="60"/>
      <c r="U258" t="s">
        <v>17847</v>
      </c>
    </row>
    <row r="259" spans="1:21">
      <c r="A259" t="s">
        <v>17848</v>
      </c>
      <c r="B259" s="262">
        <v>43815</v>
      </c>
      <c r="C259" t="s">
        <v>17017</v>
      </c>
      <c r="D259" t="s">
        <v>17430</v>
      </c>
      <c r="E259" s="60">
        <v>0</v>
      </c>
      <c r="F259" s="60">
        <v>33460.284</v>
      </c>
      <c r="G259" s="263">
        <v>0</v>
      </c>
      <c r="H259" s="263">
        <v>33462.06</v>
      </c>
      <c r="I259" s="263">
        <v>0</v>
      </c>
      <c r="J259" s="263">
        <v>0</v>
      </c>
      <c r="O259" s="264"/>
      <c r="P259" s="264"/>
      <c r="Q259" s="264"/>
      <c r="R259" s="264"/>
      <c r="S259" s="60"/>
      <c r="T259" s="60"/>
      <c r="U259" t="s">
        <v>17630</v>
      </c>
    </row>
    <row r="260" spans="1:21">
      <c r="A260" t="s">
        <v>17849</v>
      </c>
      <c r="B260" s="262">
        <v>43815</v>
      </c>
      <c r="C260" t="s">
        <v>16783</v>
      </c>
      <c r="D260" t="s">
        <v>17509</v>
      </c>
      <c r="E260" s="60">
        <v>0</v>
      </c>
      <c r="F260" s="60">
        <v>407592.951</v>
      </c>
      <c r="G260" s="263">
        <v>47998.734000000004</v>
      </c>
      <c r="H260" s="263">
        <v>310809.73812000005</v>
      </c>
      <c r="I260" s="263">
        <v>48784.4784</v>
      </c>
      <c r="J260" s="263">
        <v>0</v>
      </c>
      <c r="O260" s="264"/>
      <c r="P260" s="264"/>
      <c r="Q260" s="264"/>
      <c r="R260" s="264"/>
      <c r="S260" s="60"/>
      <c r="T260" s="60"/>
      <c r="U260" t="s">
        <v>17654</v>
      </c>
    </row>
    <row r="261" spans="1:21">
      <c r="A261" t="s">
        <v>17850</v>
      </c>
      <c r="B261" s="262">
        <v>43815</v>
      </c>
      <c r="C261" t="s">
        <v>17017</v>
      </c>
      <c r="D261" t="s">
        <v>17430</v>
      </c>
      <c r="E261" s="60">
        <v>0</v>
      </c>
      <c r="F261" s="60">
        <v>16771.400000000001</v>
      </c>
      <c r="G261" s="263">
        <v>0</v>
      </c>
      <c r="H261" s="263">
        <v>0</v>
      </c>
      <c r="I261" s="263">
        <v>0</v>
      </c>
      <c r="J261" s="263">
        <v>16771.400000000001</v>
      </c>
      <c r="O261" s="264"/>
      <c r="P261" s="264"/>
      <c r="Q261" s="264"/>
      <c r="R261" s="264"/>
      <c r="S261" s="60"/>
      <c r="T261" s="60"/>
      <c r="U261" t="s">
        <v>17517</v>
      </c>
    </row>
    <row r="262" spans="1:21">
      <c r="A262" t="s">
        <v>17851</v>
      </c>
      <c r="B262" s="262">
        <v>43815</v>
      </c>
      <c r="C262" t="s">
        <v>17017</v>
      </c>
      <c r="D262" t="s">
        <v>17430</v>
      </c>
      <c r="E262" s="60">
        <v>0</v>
      </c>
      <c r="F262" s="60">
        <v>43107.96</v>
      </c>
      <c r="G262" s="263">
        <v>0</v>
      </c>
      <c r="H262" s="263">
        <v>39148.008000000002</v>
      </c>
      <c r="I262" s="263">
        <v>3960</v>
      </c>
      <c r="J262" s="263">
        <v>0</v>
      </c>
      <c r="O262" s="264"/>
      <c r="P262" s="264"/>
      <c r="Q262" s="264"/>
      <c r="R262" s="264"/>
      <c r="S262" s="60"/>
      <c r="T262" s="60"/>
      <c r="U262" t="s">
        <v>17852</v>
      </c>
    </row>
    <row r="263" spans="1:21">
      <c r="A263" t="s">
        <v>17853</v>
      </c>
      <c r="B263" s="262">
        <v>43815</v>
      </c>
      <c r="C263" t="s">
        <v>16444</v>
      </c>
      <c r="D263" t="s">
        <v>16445</v>
      </c>
      <c r="E263" s="60">
        <v>0</v>
      </c>
      <c r="F263" s="60">
        <v>29160</v>
      </c>
      <c r="G263" s="263">
        <v>29160</v>
      </c>
      <c r="H263" s="263">
        <v>0</v>
      </c>
      <c r="I263" s="263">
        <v>0</v>
      </c>
      <c r="J263" s="263">
        <v>0</v>
      </c>
      <c r="O263" s="264"/>
      <c r="P263" s="264"/>
      <c r="Q263" s="264"/>
      <c r="R263" s="264"/>
      <c r="S263" s="60"/>
      <c r="T263" s="60"/>
      <c r="U263" t="s">
        <v>17854</v>
      </c>
    </row>
    <row r="264" spans="1:21">
      <c r="A264" t="s">
        <v>17855</v>
      </c>
      <c r="B264" s="262">
        <v>43817</v>
      </c>
      <c r="C264" t="s">
        <v>16779</v>
      </c>
      <c r="D264" t="s">
        <v>17613</v>
      </c>
      <c r="E264" s="60">
        <v>0</v>
      </c>
      <c r="F264" s="60">
        <v>35565.281999999999</v>
      </c>
      <c r="G264" s="263">
        <v>0</v>
      </c>
      <c r="H264" s="263">
        <v>22165.381079999996</v>
      </c>
      <c r="I264" s="263">
        <v>5739.0487199999998</v>
      </c>
      <c r="J264" s="263">
        <v>4679.6092799999997</v>
      </c>
      <c r="O264" s="264"/>
      <c r="P264" s="264"/>
      <c r="Q264" s="264"/>
      <c r="R264" s="264"/>
      <c r="S264" s="60"/>
      <c r="T264" s="60"/>
    </row>
    <row r="265" spans="1:21">
      <c r="A265" t="s">
        <v>17856</v>
      </c>
      <c r="B265" s="262">
        <v>43818</v>
      </c>
      <c r="C265" t="s">
        <v>16384</v>
      </c>
      <c r="D265" t="s">
        <v>16385</v>
      </c>
      <c r="E265" s="60">
        <v>0</v>
      </c>
      <c r="F265" s="60">
        <v>36800</v>
      </c>
      <c r="G265" s="263">
        <v>0</v>
      </c>
      <c r="H265" s="263">
        <v>0</v>
      </c>
      <c r="I265" s="263">
        <v>36800</v>
      </c>
      <c r="J265" s="263">
        <v>0</v>
      </c>
      <c r="O265" s="264"/>
      <c r="P265" s="264"/>
      <c r="Q265" s="264"/>
      <c r="R265" s="264"/>
      <c r="S265" s="60"/>
      <c r="T265" s="60"/>
      <c r="U265" t="s">
        <v>17845</v>
      </c>
    </row>
    <row r="266" spans="1:21">
      <c r="A266" t="s">
        <v>17857</v>
      </c>
      <c r="B266" s="262">
        <v>43818</v>
      </c>
      <c r="C266" t="s">
        <v>16904</v>
      </c>
      <c r="D266" t="s">
        <v>16905</v>
      </c>
      <c r="E266" s="60">
        <v>0</v>
      </c>
      <c r="F266" s="60">
        <v>50168.877999999997</v>
      </c>
      <c r="G266" s="263">
        <v>0</v>
      </c>
      <c r="H266" s="263">
        <v>27513.697175999998</v>
      </c>
      <c r="I266" s="263">
        <v>14740.430400000001</v>
      </c>
      <c r="J266" s="263">
        <v>0</v>
      </c>
      <c r="O266" s="264"/>
      <c r="P266" s="264"/>
      <c r="Q266" s="264"/>
      <c r="R266" s="264"/>
      <c r="S266" s="60"/>
      <c r="T266" s="60"/>
      <c r="U266" t="s">
        <v>17858</v>
      </c>
    </row>
    <row r="267" spans="1:21">
      <c r="A267" t="s">
        <v>17859</v>
      </c>
      <c r="B267" s="262">
        <v>43819</v>
      </c>
      <c r="C267" t="s">
        <v>16470</v>
      </c>
      <c r="D267" t="s">
        <v>16471</v>
      </c>
      <c r="E267" s="60">
        <v>0</v>
      </c>
      <c r="F267" s="60">
        <v>229137.098</v>
      </c>
      <c r="G267" s="263">
        <v>29348.179199999999</v>
      </c>
      <c r="H267" s="263">
        <v>121980.01157699995</v>
      </c>
      <c r="I267" s="263">
        <v>35694.496500000001</v>
      </c>
      <c r="J267" s="263">
        <v>0</v>
      </c>
      <c r="O267" s="264"/>
      <c r="P267" s="264"/>
      <c r="Q267" s="264"/>
      <c r="R267" s="264"/>
      <c r="S267" s="60"/>
      <c r="T267" s="60"/>
      <c r="U267" t="s">
        <v>17433</v>
      </c>
    </row>
    <row r="268" spans="1:21">
      <c r="A268" t="s">
        <v>17860</v>
      </c>
      <c r="B268" s="262">
        <v>43819</v>
      </c>
      <c r="C268" t="s">
        <v>16560</v>
      </c>
      <c r="D268" t="s">
        <v>16561</v>
      </c>
      <c r="E268" s="60">
        <v>0</v>
      </c>
      <c r="F268" s="60">
        <v>145724.076</v>
      </c>
      <c r="G268" s="263">
        <v>0</v>
      </c>
      <c r="H268" s="263">
        <v>0</v>
      </c>
      <c r="I268" s="263">
        <v>145724.076</v>
      </c>
      <c r="J268" s="263">
        <v>0</v>
      </c>
      <c r="O268" s="264"/>
      <c r="P268" s="264"/>
      <c r="Q268" s="264"/>
      <c r="R268" s="264"/>
      <c r="S268" s="60"/>
      <c r="T268" s="60"/>
      <c r="U268" t="s">
        <v>17479</v>
      </c>
    </row>
    <row r="269" spans="1:21">
      <c r="A269" t="s">
        <v>17861</v>
      </c>
      <c r="B269" s="262">
        <v>43832</v>
      </c>
      <c r="C269" t="s">
        <v>16560</v>
      </c>
      <c r="D269" t="s">
        <v>16561</v>
      </c>
      <c r="E269" s="60">
        <v>0</v>
      </c>
      <c r="F269" s="60">
        <v>145663.704</v>
      </c>
      <c r="G269" s="263">
        <v>0</v>
      </c>
      <c r="H269" s="263">
        <v>0</v>
      </c>
      <c r="I269" s="263">
        <v>145663.704</v>
      </c>
      <c r="J269" s="263">
        <v>0</v>
      </c>
      <c r="O269" s="264"/>
      <c r="P269" s="264"/>
      <c r="Q269" s="264"/>
      <c r="R269" s="264"/>
      <c r="S269" s="60"/>
      <c r="T269" s="60"/>
      <c r="U269" t="s">
        <v>17479</v>
      </c>
    </row>
    <row r="270" spans="1:21">
      <c r="A270" t="s">
        <v>17862</v>
      </c>
      <c r="B270" s="262">
        <v>43832</v>
      </c>
      <c r="C270" t="s">
        <v>16560</v>
      </c>
      <c r="D270" t="s">
        <v>16561</v>
      </c>
      <c r="E270" s="60">
        <v>0</v>
      </c>
      <c r="F270" s="60">
        <v>145561.53599999999</v>
      </c>
      <c r="G270" s="263">
        <v>0</v>
      </c>
      <c r="H270" s="263">
        <v>0</v>
      </c>
      <c r="I270" s="263">
        <v>145561.53599999999</v>
      </c>
      <c r="J270" s="263">
        <v>0</v>
      </c>
      <c r="O270" s="264"/>
      <c r="P270" s="264"/>
      <c r="Q270" s="264"/>
      <c r="R270" s="264"/>
      <c r="S270" s="60"/>
      <c r="T270" s="60"/>
      <c r="U270" t="s">
        <v>17479</v>
      </c>
    </row>
    <row r="271" spans="1:21">
      <c r="A271" t="s">
        <v>17863</v>
      </c>
      <c r="B271" s="262">
        <v>43832</v>
      </c>
      <c r="C271" t="s">
        <v>16560</v>
      </c>
      <c r="D271" t="s">
        <v>16561</v>
      </c>
      <c r="E271" s="60">
        <v>0</v>
      </c>
      <c r="F271" s="60">
        <v>145568.50199999998</v>
      </c>
      <c r="G271" s="263">
        <v>0</v>
      </c>
      <c r="H271" s="263">
        <v>0</v>
      </c>
      <c r="I271" s="263">
        <v>145568.50199999998</v>
      </c>
      <c r="J271" s="263">
        <v>0</v>
      </c>
      <c r="O271" s="264"/>
      <c r="P271" s="264"/>
      <c r="Q271" s="264"/>
      <c r="R271" s="264"/>
      <c r="S271" s="60"/>
      <c r="T271" s="60"/>
      <c r="U271" t="s">
        <v>17479</v>
      </c>
    </row>
    <row r="272" spans="1:21">
      <c r="A272" t="s">
        <v>17864</v>
      </c>
      <c r="B272" s="262">
        <v>43832</v>
      </c>
      <c r="C272" t="s">
        <v>16560</v>
      </c>
      <c r="D272" t="s">
        <v>16561</v>
      </c>
      <c r="E272" s="60">
        <v>0</v>
      </c>
      <c r="F272" s="60">
        <v>145568.50199999998</v>
      </c>
      <c r="G272" s="263">
        <v>0</v>
      </c>
      <c r="H272" s="263">
        <v>0</v>
      </c>
      <c r="I272" s="263">
        <v>145568.50199999998</v>
      </c>
      <c r="J272" s="263">
        <v>0</v>
      </c>
      <c r="O272" s="264"/>
      <c r="P272" s="264"/>
      <c r="Q272" s="264"/>
      <c r="R272" s="264"/>
      <c r="S272" s="60"/>
      <c r="T272" s="60"/>
    </row>
    <row r="273" spans="1:21">
      <c r="A273" t="s">
        <v>17865</v>
      </c>
      <c r="B273" s="262">
        <v>43832</v>
      </c>
      <c r="C273" t="s">
        <v>17017</v>
      </c>
      <c r="D273" t="s">
        <v>17430</v>
      </c>
      <c r="E273" s="60">
        <v>0</v>
      </c>
      <c r="F273" s="60">
        <v>25447.5</v>
      </c>
      <c r="G273" s="263">
        <v>8814.6</v>
      </c>
      <c r="H273" s="263">
        <v>9777</v>
      </c>
      <c r="I273" s="263">
        <v>3956.4</v>
      </c>
      <c r="J273" s="263">
        <v>2899.5</v>
      </c>
      <c r="O273" s="264"/>
      <c r="P273" s="264"/>
      <c r="Q273" s="264"/>
      <c r="R273" s="264"/>
      <c r="S273" s="60"/>
      <c r="T273" s="60"/>
      <c r="U273" t="s">
        <v>17689</v>
      </c>
    </row>
    <row r="274" spans="1:21">
      <c r="A274" t="s">
        <v>17866</v>
      </c>
      <c r="B274" s="262">
        <v>43832</v>
      </c>
      <c r="C274" t="s">
        <v>16444</v>
      </c>
      <c r="D274" t="s">
        <v>16445</v>
      </c>
      <c r="E274" s="60">
        <v>0</v>
      </c>
      <c r="F274" s="60">
        <v>33480</v>
      </c>
      <c r="G274" s="263">
        <v>33480</v>
      </c>
      <c r="H274" s="263">
        <v>0</v>
      </c>
      <c r="I274" s="263">
        <v>0</v>
      </c>
      <c r="J274" s="263">
        <v>0</v>
      </c>
      <c r="O274" s="264"/>
      <c r="P274" s="264"/>
      <c r="Q274" s="264"/>
      <c r="R274" s="264"/>
      <c r="S274" s="60"/>
      <c r="T274" s="60"/>
      <c r="U274" t="s">
        <v>17867</v>
      </c>
    </row>
    <row r="275" spans="1:21">
      <c r="A275" t="s">
        <v>17868</v>
      </c>
      <c r="B275" s="262">
        <v>43832</v>
      </c>
      <c r="C275" t="s">
        <v>17156</v>
      </c>
      <c r="D275" t="s">
        <v>17575</v>
      </c>
      <c r="E275" s="60">
        <v>0</v>
      </c>
      <c r="F275" s="60">
        <v>31590</v>
      </c>
      <c r="G275" s="263">
        <v>0</v>
      </c>
      <c r="H275" s="263">
        <v>31590</v>
      </c>
      <c r="I275" s="263">
        <v>0</v>
      </c>
      <c r="J275" s="263">
        <v>0</v>
      </c>
      <c r="O275" s="264"/>
      <c r="P275" s="264"/>
      <c r="Q275" s="264"/>
      <c r="R275" s="264"/>
      <c r="S275" s="60"/>
      <c r="T275" s="60"/>
      <c r="U275" t="s">
        <v>17869</v>
      </c>
    </row>
    <row r="276" spans="1:21">
      <c r="A276" t="s">
        <v>17870</v>
      </c>
      <c r="B276" s="262">
        <v>43832</v>
      </c>
      <c r="C276" t="s">
        <v>16904</v>
      </c>
      <c r="D276" t="s">
        <v>16905</v>
      </c>
      <c r="E276" s="60">
        <v>0</v>
      </c>
      <c r="F276" s="60">
        <v>41207.845999999998</v>
      </c>
      <c r="G276" s="263">
        <v>0</v>
      </c>
      <c r="H276" s="263">
        <v>31808.2464</v>
      </c>
      <c r="I276" s="263">
        <v>0</v>
      </c>
      <c r="J276" s="263">
        <v>0</v>
      </c>
      <c r="O276" s="264"/>
      <c r="P276" s="264"/>
      <c r="Q276" s="264"/>
      <c r="R276" s="264"/>
      <c r="S276" s="60"/>
      <c r="T276" s="60"/>
      <c r="U276" t="s">
        <v>17871</v>
      </c>
    </row>
    <row r="277" spans="1:21">
      <c r="A277" t="s">
        <v>17872</v>
      </c>
      <c r="B277" s="262">
        <v>43832</v>
      </c>
      <c r="C277" t="s">
        <v>16904</v>
      </c>
      <c r="D277" t="s">
        <v>16905</v>
      </c>
      <c r="E277" s="60">
        <v>0</v>
      </c>
      <c r="F277" s="60">
        <v>41207.845999999998</v>
      </c>
      <c r="G277" s="263">
        <v>0</v>
      </c>
      <c r="H277" s="263">
        <v>31808.2464</v>
      </c>
      <c r="I277" s="263">
        <v>0</v>
      </c>
      <c r="J277" s="263">
        <v>0</v>
      </c>
      <c r="O277" s="264"/>
      <c r="P277" s="264"/>
      <c r="Q277" s="264"/>
      <c r="R277" s="264"/>
      <c r="S277" s="60"/>
      <c r="T277" s="60"/>
      <c r="U277" t="s">
        <v>17873</v>
      </c>
    </row>
    <row r="278" spans="1:21">
      <c r="A278" t="s">
        <v>17874</v>
      </c>
      <c r="B278" s="262">
        <v>43832</v>
      </c>
      <c r="C278" t="s">
        <v>16880</v>
      </c>
      <c r="D278" t="s">
        <v>16881</v>
      </c>
      <c r="E278" s="60">
        <v>0</v>
      </c>
      <c r="F278" s="60">
        <v>69961.104999999996</v>
      </c>
      <c r="G278" s="263">
        <v>1030.8664799999999</v>
      </c>
      <c r="H278" s="263">
        <v>68930.238540000006</v>
      </c>
      <c r="I278" s="263">
        <v>0</v>
      </c>
      <c r="J278" s="263">
        <v>0</v>
      </c>
      <c r="O278" s="264"/>
      <c r="P278" s="264"/>
      <c r="Q278" s="264"/>
      <c r="R278" s="264"/>
      <c r="S278" s="60"/>
      <c r="T278" s="60"/>
      <c r="U278" t="s">
        <v>17875</v>
      </c>
    </row>
    <row r="279" spans="1:21">
      <c r="A279" t="s">
        <v>17876</v>
      </c>
      <c r="B279" s="262">
        <v>43832</v>
      </c>
      <c r="C279" t="s">
        <v>17209</v>
      </c>
      <c r="D279" t="s">
        <v>17210</v>
      </c>
      <c r="E279" s="60">
        <v>0</v>
      </c>
      <c r="F279" s="60">
        <v>6307.7809999999999</v>
      </c>
      <c r="G279" s="263">
        <v>5786.1270000000004</v>
      </c>
      <c r="H279" s="263">
        <v>0</v>
      </c>
      <c r="I279" s="263">
        <v>0</v>
      </c>
      <c r="J279" s="263">
        <v>0</v>
      </c>
      <c r="O279" s="264"/>
      <c r="P279" s="264"/>
      <c r="Q279" s="264"/>
      <c r="R279" s="264"/>
      <c r="S279" s="60"/>
      <c r="T279" s="60"/>
    </row>
    <row r="280" spans="1:21">
      <c r="A280" t="s">
        <v>17877</v>
      </c>
      <c r="B280" s="262">
        <v>43832</v>
      </c>
      <c r="C280" t="s">
        <v>16444</v>
      </c>
      <c r="D280" t="s">
        <v>16445</v>
      </c>
      <c r="E280" s="60">
        <v>0</v>
      </c>
      <c r="F280" s="60">
        <v>30144</v>
      </c>
      <c r="G280" s="263">
        <v>30144</v>
      </c>
      <c r="H280" s="263">
        <v>0</v>
      </c>
      <c r="I280" s="263">
        <v>0</v>
      </c>
      <c r="J280" s="263">
        <v>0</v>
      </c>
      <c r="O280" s="264"/>
      <c r="P280" s="264"/>
      <c r="Q280" s="264"/>
      <c r="R280" s="264"/>
      <c r="S280" s="60"/>
      <c r="T280" s="60"/>
      <c r="U280" t="s">
        <v>17383</v>
      </c>
    </row>
    <row r="281" spans="1:21">
      <c r="A281" t="s">
        <v>17878</v>
      </c>
      <c r="B281" s="262">
        <v>43832</v>
      </c>
      <c r="C281" t="s">
        <v>16957</v>
      </c>
      <c r="D281" t="s">
        <v>17451</v>
      </c>
      <c r="E281" s="60">
        <v>0</v>
      </c>
      <c r="F281" s="60">
        <v>38912.550000000003</v>
      </c>
      <c r="G281" s="263">
        <v>38912.550000000003</v>
      </c>
      <c r="H281" s="263">
        <v>0</v>
      </c>
      <c r="I281" s="263">
        <v>0</v>
      </c>
      <c r="J281" s="263">
        <v>0</v>
      </c>
      <c r="O281" s="264"/>
      <c r="P281" s="264"/>
      <c r="Q281" s="264"/>
      <c r="R281" s="264"/>
      <c r="S281" s="60"/>
      <c r="T281" s="60"/>
      <c r="U281" t="s">
        <v>17879</v>
      </c>
    </row>
    <row r="282" spans="1:21">
      <c r="A282" t="s">
        <v>17880</v>
      </c>
      <c r="B282" s="262">
        <v>43836</v>
      </c>
      <c r="C282" t="s">
        <v>17223</v>
      </c>
      <c r="D282" t="s">
        <v>17224</v>
      </c>
      <c r="E282" s="60">
        <v>0</v>
      </c>
      <c r="F282" s="60">
        <v>36400</v>
      </c>
      <c r="G282" s="263">
        <v>0</v>
      </c>
      <c r="H282" s="263">
        <v>0</v>
      </c>
      <c r="I282" s="263">
        <v>36400</v>
      </c>
      <c r="J282" s="263">
        <v>0</v>
      </c>
      <c r="O282" s="264"/>
      <c r="P282" s="264"/>
      <c r="Q282" s="264"/>
      <c r="R282" s="264"/>
      <c r="S282" s="60"/>
      <c r="T282" s="60"/>
      <c r="U282" t="s">
        <v>17881</v>
      </c>
    </row>
    <row r="283" spans="1:21">
      <c r="A283" t="s">
        <v>17882</v>
      </c>
      <c r="B283" s="262">
        <v>43839</v>
      </c>
      <c r="C283" t="s">
        <v>16783</v>
      </c>
      <c r="D283" t="s">
        <v>17509</v>
      </c>
      <c r="E283" s="60">
        <v>0</v>
      </c>
      <c r="F283" s="60">
        <v>117599.867</v>
      </c>
      <c r="G283" s="263">
        <v>0</v>
      </c>
      <c r="H283" s="263">
        <v>0</v>
      </c>
      <c r="I283" s="263">
        <v>0</v>
      </c>
      <c r="J283" s="263">
        <v>117599.86687500001</v>
      </c>
      <c r="O283" s="264"/>
      <c r="P283" s="264"/>
      <c r="Q283" s="264"/>
      <c r="R283" s="264"/>
      <c r="S283" s="60"/>
      <c r="T283" s="60"/>
    </row>
    <row r="284" spans="1:21">
      <c r="A284" t="s">
        <v>17883</v>
      </c>
      <c r="B284" s="262">
        <v>43839</v>
      </c>
      <c r="C284" t="s">
        <v>16972</v>
      </c>
      <c r="D284" t="s">
        <v>17424</v>
      </c>
      <c r="E284" s="60">
        <v>0</v>
      </c>
      <c r="F284" s="60">
        <v>347200</v>
      </c>
      <c r="G284" s="263">
        <v>0</v>
      </c>
      <c r="H284" s="263">
        <v>0</v>
      </c>
      <c r="I284" s="263">
        <v>347200</v>
      </c>
      <c r="J284" s="263">
        <v>0</v>
      </c>
      <c r="O284" s="264"/>
      <c r="P284" s="264"/>
      <c r="Q284" s="264"/>
      <c r="R284" s="264"/>
      <c r="S284" s="60"/>
      <c r="T284" s="60"/>
      <c r="U284" t="s">
        <v>17884</v>
      </c>
    </row>
    <row r="285" spans="1:21">
      <c r="A285" t="s">
        <v>17885</v>
      </c>
      <c r="B285" s="262">
        <v>43839</v>
      </c>
      <c r="C285" t="s">
        <v>16972</v>
      </c>
      <c r="D285" t="s">
        <v>17424</v>
      </c>
      <c r="E285" s="60">
        <v>0</v>
      </c>
      <c r="F285" s="60">
        <v>347200</v>
      </c>
      <c r="G285" s="263">
        <v>0</v>
      </c>
      <c r="H285" s="263">
        <v>0</v>
      </c>
      <c r="I285" s="263">
        <v>347200</v>
      </c>
      <c r="J285" s="263">
        <v>0</v>
      </c>
      <c r="O285" s="264"/>
      <c r="P285" s="264"/>
      <c r="Q285" s="264"/>
      <c r="R285" s="264"/>
      <c r="S285" s="60"/>
      <c r="T285" s="60"/>
      <c r="U285" t="s">
        <v>17884</v>
      </c>
    </row>
    <row r="286" spans="1:21">
      <c r="A286" t="s">
        <v>17886</v>
      </c>
      <c r="B286" s="262">
        <v>43840</v>
      </c>
      <c r="C286" t="s">
        <v>17017</v>
      </c>
      <c r="D286" t="s">
        <v>17430</v>
      </c>
      <c r="E286" s="60">
        <v>0</v>
      </c>
      <c r="F286" s="60">
        <v>57120</v>
      </c>
      <c r="G286" s="263">
        <v>0</v>
      </c>
      <c r="H286" s="263">
        <v>0</v>
      </c>
      <c r="I286" s="263">
        <v>57120</v>
      </c>
      <c r="J286" s="263">
        <v>0</v>
      </c>
      <c r="O286" s="264"/>
      <c r="P286" s="264"/>
      <c r="Q286" s="264"/>
      <c r="R286" s="264"/>
      <c r="S286" s="60"/>
      <c r="T286" s="60"/>
      <c r="U286" t="s">
        <v>17887</v>
      </c>
    </row>
    <row r="287" spans="1:21">
      <c r="A287" t="s">
        <v>17888</v>
      </c>
      <c r="B287" s="262">
        <v>43893</v>
      </c>
      <c r="C287" t="s">
        <v>17017</v>
      </c>
      <c r="D287" t="s">
        <v>17430</v>
      </c>
      <c r="E287" s="60">
        <v>0</v>
      </c>
      <c r="F287" s="60">
        <v>11018.4</v>
      </c>
      <c r="G287" s="263">
        <v>0</v>
      </c>
      <c r="H287" s="263">
        <v>6188.4</v>
      </c>
      <c r="I287" s="263">
        <v>4830</v>
      </c>
      <c r="J287" s="263">
        <v>0</v>
      </c>
      <c r="O287" s="264"/>
      <c r="P287" s="264"/>
      <c r="Q287" s="264"/>
      <c r="R287" s="264"/>
      <c r="S287" s="60"/>
      <c r="T287" s="60"/>
      <c r="U287" t="s">
        <v>17889</v>
      </c>
    </row>
    <row r="288" spans="1:21">
      <c r="A288" t="s">
        <v>17890</v>
      </c>
      <c r="B288" s="262">
        <v>43845</v>
      </c>
      <c r="C288" t="s">
        <v>17226</v>
      </c>
      <c r="D288" t="s">
        <v>17891</v>
      </c>
      <c r="E288" s="60">
        <v>0</v>
      </c>
      <c r="F288" s="60">
        <v>5596.2</v>
      </c>
      <c r="G288" s="263">
        <v>1684.8</v>
      </c>
      <c r="H288" s="263">
        <v>1699.2</v>
      </c>
      <c r="I288" s="263">
        <v>979.2</v>
      </c>
      <c r="J288" s="263">
        <v>1233</v>
      </c>
      <c r="O288" s="264"/>
      <c r="P288" s="264"/>
      <c r="Q288" s="264"/>
      <c r="R288" s="264"/>
      <c r="S288" s="60"/>
      <c r="T288" s="60"/>
      <c r="U288" t="s">
        <v>17313</v>
      </c>
    </row>
    <row r="289" spans="1:21">
      <c r="A289" t="s">
        <v>17892</v>
      </c>
      <c r="B289" s="262">
        <v>43846</v>
      </c>
      <c r="C289" t="s">
        <v>16492</v>
      </c>
      <c r="D289" t="s">
        <v>17599</v>
      </c>
      <c r="E289" s="60">
        <v>0</v>
      </c>
      <c r="F289" s="60">
        <v>43192.480000000003</v>
      </c>
      <c r="G289" s="263">
        <v>1138.5763199999999</v>
      </c>
      <c r="H289" s="263">
        <v>19914.919740000001</v>
      </c>
      <c r="I289" s="263">
        <v>22138.984</v>
      </c>
      <c r="J289" s="263">
        <v>0</v>
      </c>
      <c r="O289" s="264"/>
      <c r="P289" s="264"/>
      <c r="Q289" s="264"/>
      <c r="R289" s="264"/>
      <c r="S289" s="60"/>
      <c r="T289" s="60"/>
      <c r="U289" t="s">
        <v>17893</v>
      </c>
    </row>
    <row r="290" spans="1:21">
      <c r="A290" t="s">
        <v>17894</v>
      </c>
      <c r="B290" s="262">
        <v>43850</v>
      </c>
      <c r="C290" t="s">
        <v>17017</v>
      </c>
      <c r="D290" t="s">
        <v>17430</v>
      </c>
      <c r="E290" s="60">
        <v>0</v>
      </c>
      <c r="F290" s="60">
        <v>31600</v>
      </c>
      <c r="G290" s="263">
        <v>0</v>
      </c>
      <c r="H290" s="263">
        <v>31600</v>
      </c>
      <c r="I290" s="263">
        <v>0</v>
      </c>
      <c r="J290" s="263">
        <v>0</v>
      </c>
      <c r="O290" s="264"/>
      <c r="P290" s="264"/>
      <c r="Q290" s="264"/>
      <c r="R290" s="264"/>
      <c r="S290" s="60"/>
      <c r="T290" s="60"/>
      <c r="U290" t="s">
        <v>13355</v>
      </c>
    </row>
    <row r="291" spans="1:21">
      <c r="A291" t="s">
        <v>17895</v>
      </c>
      <c r="B291" s="262">
        <v>43888</v>
      </c>
      <c r="C291" t="s">
        <v>17219</v>
      </c>
      <c r="D291" t="s">
        <v>17220</v>
      </c>
      <c r="E291" s="60">
        <v>0</v>
      </c>
      <c r="F291" s="60">
        <v>442049.19</v>
      </c>
      <c r="G291" s="263">
        <v>0</v>
      </c>
      <c r="H291" s="263">
        <v>283038.68999999994</v>
      </c>
      <c r="I291" s="263">
        <v>159010.5</v>
      </c>
      <c r="J291" s="263">
        <v>0</v>
      </c>
      <c r="O291" s="264"/>
      <c r="P291" s="264"/>
      <c r="Q291" s="264"/>
      <c r="R291" s="264"/>
      <c r="S291" s="60"/>
      <c r="T291" s="60"/>
      <c r="U291" t="s">
        <v>17541</v>
      </c>
    </row>
    <row r="292" spans="1:21">
      <c r="A292" t="s">
        <v>17896</v>
      </c>
      <c r="B292" s="262">
        <v>43852</v>
      </c>
      <c r="C292" t="s">
        <v>16470</v>
      </c>
      <c r="D292" t="s">
        <v>16471</v>
      </c>
      <c r="E292" s="60">
        <v>0</v>
      </c>
      <c r="F292" s="60">
        <v>82741.262000000002</v>
      </c>
      <c r="G292" s="263">
        <v>0</v>
      </c>
      <c r="H292" s="263">
        <v>0</v>
      </c>
      <c r="I292" s="263">
        <v>71426.822999999989</v>
      </c>
      <c r="J292" s="263">
        <v>0</v>
      </c>
      <c r="O292" s="264"/>
      <c r="P292" s="264"/>
      <c r="Q292" s="264"/>
      <c r="R292" s="264"/>
      <c r="S292" s="60"/>
      <c r="T292" s="60"/>
      <c r="U292" t="s">
        <v>17897</v>
      </c>
    </row>
    <row r="293" spans="1:21">
      <c r="A293" t="s">
        <v>17898</v>
      </c>
      <c r="B293" s="262">
        <v>43867</v>
      </c>
      <c r="C293" t="s">
        <v>16470</v>
      </c>
      <c r="D293" t="s">
        <v>16471</v>
      </c>
      <c r="E293" s="60">
        <v>0</v>
      </c>
      <c r="F293" s="60">
        <v>278584.11800000002</v>
      </c>
      <c r="G293" s="263">
        <v>24401.812572000003</v>
      </c>
      <c r="H293" s="263">
        <v>199715.28272249989</v>
      </c>
      <c r="I293" s="263">
        <v>0</v>
      </c>
      <c r="J293" s="263">
        <v>0</v>
      </c>
      <c r="O293" s="264"/>
      <c r="P293" s="264"/>
      <c r="Q293" s="264"/>
      <c r="R293" s="264"/>
      <c r="S293" s="60"/>
      <c r="T293" s="60"/>
      <c r="U293" t="s">
        <v>17897</v>
      </c>
    </row>
    <row r="294" spans="1:21">
      <c r="A294" t="s">
        <v>17899</v>
      </c>
      <c r="B294" s="262">
        <v>43852</v>
      </c>
      <c r="C294" t="s">
        <v>16560</v>
      </c>
      <c r="D294" t="s">
        <v>16561</v>
      </c>
      <c r="E294" s="60">
        <v>0</v>
      </c>
      <c r="F294" s="60">
        <v>144725.61600000001</v>
      </c>
      <c r="G294" s="263">
        <v>0</v>
      </c>
      <c r="H294" s="263">
        <v>0</v>
      </c>
      <c r="I294" s="263">
        <v>144725.61600000001</v>
      </c>
      <c r="J294" s="263">
        <v>0</v>
      </c>
      <c r="O294" s="264"/>
      <c r="P294" s="264"/>
      <c r="Q294" s="264"/>
      <c r="R294" s="264"/>
      <c r="S294" s="60"/>
      <c r="T294" s="60"/>
      <c r="U294" t="s">
        <v>17479</v>
      </c>
    </row>
    <row r="295" spans="1:21">
      <c r="A295" t="s">
        <v>17900</v>
      </c>
      <c r="B295" s="262">
        <v>43862</v>
      </c>
      <c r="C295" t="s">
        <v>16560</v>
      </c>
      <c r="D295" t="s">
        <v>16561</v>
      </c>
      <c r="E295" s="60">
        <v>0</v>
      </c>
      <c r="F295" s="60">
        <v>144883.51199999999</v>
      </c>
      <c r="G295" s="263">
        <v>0</v>
      </c>
      <c r="H295" s="263">
        <v>0</v>
      </c>
      <c r="I295" s="263">
        <v>144883.51199999999</v>
      </c>
      <c r="J295" s="263">
        <v>0</v>
      </c>
      <c r="O295" s="264"/>
      <c r="P295" s="264"/>
      <c r="Q295" s="264"/>
      <c r="R295" s="264"/>
      <c r="S295" s="60"/>
      <c r="T295" s="60"/>
      <c r="U295" t="s">
        <v>17479</v>
      </c>
    </row>
    <row r="296" spans="1:21">
      <c r="A296" t="s">
        <v>17901</v>
      </c>
      <c r="B296" s="262">
        <v>43862</v>
      </c>
      <c r="C296" t="s">
        <v>16560</v>
      </c>
      <c r="D296" t="s">
        <v>16561</v>
      </c>
      <c r="E296" s="60">
        <v>0</v>
      </c>
      <c r="F296" s="60">
        <v>144883.51199999999</v>
      </c>
      <c r="G296" s="263">
        <v>0</v>
      </c>
      <c r="H296" s="263">
        <v>0</v>
      </c>
      <c r="I296" s="263">
        <v>144883.51199999999</v>
      </c>
      <c r="J296" s="263">
        <v>0</v>
      </c>
      <c r="O296" s="264"/>
      <c r="P296" s="264"/>
      <c r="Q296" s="264"/>
      <c r="R296" s="264"/>
      <c r="S296" s="60"/>
      <c r="T296" s="60"/>
      <c r="U296" t="s">
        <v>17479</v>
      </c>
    </row>
    <row r="297" spans="1:21">
      <c r="A297" t="s">
        <v>17902</v>
      </c>
      <c r="B297" s="262">
        <v>43862</v>
      </c>
      <c r="C297" t="s">
        <v>17017</v>
      </c>
      <c r="D297" t="s">
        <v>17430</v>
      </c>
      <c r="E297" s="60">
        <v>0</v>
      </c>
      <c r="F297" s="60">
        <v>32595</v>
      </c>
      <c r="G297" s="263">
        <v>0</v>
      </c>
      <c r="H297" s="263">
        <v>32595</v>
      </c>
      <c r="I297" s="263">
        <v>0</v>
      </c>
      <c r="J297" s="263">
        <v>0</v>
      </c>
      <c r="O297" s="264"/>
      <c r="P297" s="264"/>
      <c r="Q297" s="264"/>
      <c r="R297" s="264"/>
      <c r="S297" s="60"/>
      <c r="T297" s="60"/>
      <c r="U297" t="s">
        <v>17580</v>
      </c>
    </row>
    <row r="298" spans="1:21">
      <c r="A298" t="s">
        <v>17903</v>
      </c>
      <c r="B298" s="262">
        <v>43852</v>
      </c>
      <c r="C298" t="s">
        <v>16957</v>
      </c>
      <c r="D298" t="s">
        <v>17451</v>
      </c>
      <c r="E298" s="60">
        <v>0</v>
      </c>
      <c r="F298" s="60">
        <v>37594.445</v>
      </c>
      <c r="G298" s="263">
        <v>37594.445</v>
      </c>
      <c r="H298" s="263">
        <v>0</v>
      </c>
      <c r="I298" s="263">
        <v>0</v>
      </c>
      <c r="J298" s="263">
        <v>0</v>
      </c>
      <c r="O298" s="264"/>
      <c r="P298" s="264"/>
      <c r="Q298" s="264"/>
      <c r="R298" s="264"/>
      <c r="S298" s="60"/>
      <c r="T298" s="60"/>
      <c r="U298" t="s">
        <v>17904</v>
      </c>
    </row>
    <row r="299" spans="1:21">
      <c r="A299" t="s">
        <v>17905</v>
      </c>
      <c r="B299" s="262">
        <v>43862</v>
      </c>
      <c r="C299" t="s">
        <v>16904</v>
      </c>
      <c r="D299" t="s">
        <v>16905</v>
      </c>
      <c r="E299" s="60">
        <v>0</v>
      </c>
      <c r="F299" s="60">
        <v>49792.264000000003</v>
      </c>
      <c r="G299" s="263">
        <v>0</v>
      </c>
      <c r="H299" s="263">
        <v>29588.919695999994</v>
      </c>
      <c r="I299" s="263">
        <v>10849.944</v>
      </c>
      <c r="J299" s="263">
        <v>0</v>
      </c>
      <c r="O299" s="264"/>
      <c r="P299" s="264"/>
      <c r="Q299" s="264"/>
      <c r="R299" s="264"/>
      <c r="S299" s="60"/>
      <c r="T299" s="60"/>
      <c r="U299" t="s">
        <v>17906</v>
      </c>
    </row>
    <row r="300" spans="1:21">
      <c r="A300" t="s">
        <v>17907</v>
      </c>
      <c r="B300" s="262">
        <v>43852</v>
      </c>
      <c r="C300" t="s">
        <v>16872</v>
      </c>
      <c r="D300" t="s">
        <v>16873</v>
      </c>
      <c r="E300" s="60">
        <v>0</v>
      </c>
      <c r="F300" s="60">
        <v>30050.172999999999</v>
      </c>
      <c r="G300" s="263">
        <v>25207.025000000001</v>
      </c>
      <c r="H300" s="263">
        <v>4843.1475000000009</v>
      </c>
      <c r="I300" s="263">
        <v>0</v>
      </c>
      <c r="J300" s="263">
        <v>0</v>
      </c>
      <c r="O300" s="264"/>
      <c r="P300" s="264"/>
      <c r="Q300" s="264"/>
      <c r="R300" s="264"/>
      <c r="S300" s="60"/>
      <c r="T300" s="60"/>
      <c r="U300" t="s">
        <v>17908</v>
      </c>
    </row>
    <row r="301" spans="1:21">
      <c r="A301" t="s">
        <v>17909</v>
      </c>
      <c r="B301" s="262">
        <v>43852</v>
      </c>
      <c r="C301" t="s">
        <v>17207</v>
      </c>
      <c r="D301" t="s">
        <v>17208</v>
      </c>
      <c r="E301" s="60">
        <v>0</v>
      </c>
      <c r="F301" s="60">
        <v>115584</v>
      </c>
      <c r="G301" s="263">
        <v>115584</v>
      </c>
      <c r="H301" s="263">
        <v>0</v>
      </c>
      <c r="I301" s="263">
        <v>0</v>
      </c>
      <c r="J301" s="263">
        <v>0</v>
      </c>
      <c r="O301" s="264"/>
      <c r="P301" s="264"/>
      <c r="Q301" s="264"/>
      <c r="R301" s="264"/>
      <c r="S301" s="60"/>
      <c r="T301" s="60"/>
    </row>
    <row r="302" spans="1:21">
      <c r="A302" t="s">
        <v>17910</v>
      </c>
      <c r="B302" s="262">
        <v>43852</v>
      </c>
      <c r="C302" t="s">
        <v>16444</v>
      </c>
      <c r="D302" t="s">
        <v>16445</v>
      </c>
      <c r="E302" s="60">
        <v>0</v>
      </c>
      <c r="F302" s="60">
        <v>33452.160000000003</v>
      </c>
      <c r="G302" s="263">
        <v>33452.160000000003</v>
      </c>
      <c r="H302" s="263">
        <v>0</v>
      </c>
      <c r="I302" s="263">
        <v>0</v>
      </c>
      <c r="J302" s="263">
        <v>0</v>
      </c>
      <c r="O302" s="264"/>
      <c r="P302" s="264"/>
      <c r="Q302" s="264"/>
      <c r="R302" s="264"/>
      <c r="S302" s="60"/>
      <c r="T302" s="60"/>
      <c r="U302" t="s">
        <v>17867</v>
      </c>
    </row>
    <row r="303" spans="1:21">
      <c r="A303" t="s">
        <v>17911</v>
      </c>
      <c r="B303" s="262">
        <v>43852</v>
      </c>
      <c r="C303" t="s">
        <v>16444</v>
      </c>
      <c r="D303" t="s">
        <v>16445</v>
      </c>
      <c r="E303" s="60">
        <v>0</v>
      </c>
      <c r="F303" s="60">
        <v>66904.320000000007</v>
      </c>
      <c r="G303" s="263">
        <v>66904.320000000007</v>
      </c>
      <c r="H303" s="263">
        <v>0</v>
      </c>
      <c r="I303" s="263">
        <v>0</v>
      </c>
      <c r="J303" s="263">
        <v>0</v>
      </c>
      <c r="O303" s="264"/>
      <c r="P303" s="264"/>
      <c r="Q303" s="264"/>
      <c r="R303" s="264"/>
      <c r="S303" s="60"/>
      <c r="T303" s="60"/>
    </row>
    <row r="304" spans="1:21">
      <c r="A304" t="s">
        <v>17912</v>
      </c>
      <c r="B304" s="262">
        <v>43853</v>
      </c>
      <c r="C304" t="s">
        <v>16384</v>
      </c>
      <c r="D304" t="s">
        <v>16385</v>
      </c>
      <c r="E304" s="60">
        <v>0</v>
      </c>
      <c r="F304" s="60">
        <v>67266</v>
      </c>
      <c r="G304" s="263">
        <v>0</v>
      </c>
      <c r="H304" s="263">
        <v>28416</v>
      </c>
      <c r="I304" s="263">
        <v>38850</v>
      </c>
      <c r="J304" s="263">
        <v>0</v>
      </c>
      <c r="O304" s="264"/>
      <c r="P304" s="264"/>
      <c r="Q304" s="264"/>
      <c r="R304" s="264"/>
      <c r="S304" s="60"/>
      <c r="T304" s="60"/>
      <c r="U304" t="s">
        <v>17913</v>
      </c>
    </row>
    <row r="305" spans="1:21">
      <c r="A305" t="s">
        <v>17914</v>
      </c>
      <c r="B305" s="262">
        <v>43866</v>
      </c>
      <c r="C305" t="s">
        <v>16444</v>
      </c>
      <c r="D305" t="s">
        <v>16445</v>
      </c>
      <c r="E305" s="60">
        <v>0</v>
      </c>
      <c r="F305" s="60">
        <v>118440</v>
      </c>
      <c r="G305" s="263">
        <v>43920</v>
      </c>
      <c r="H305" s="263">
        <v>74520</v>
      </c>
      <c r="I305" s="263">
        <v>0</v>
      </c>
      <c r="J305" s="263">
        <v>0</v>
      </c>
      <c r="O305" s="264"/>
      <c r="P305" s="264"/>
      <c r="Q305" s="264"/>
      <c r="R305" s="264"/>
      <c r="S305" s="60"/>
      <c r="T305" s="60"/>
      <c r="U305" t="s">
        <v>17833</v>
      </c>
    </row>
    <row r="306" spans="1:21">
      <c r="A306" t="s">
        <v>17915</v>
      </c>
      <c r="B306" s="262">
        <v>43853</v>
      </c>
      <c r="C306" t="s">
        <v>17197</v>
      </c>
      <c r="D306" t="s">
        <v>17198</v>
      </c>
      <c r="E306" s="60">
        <v>0</v>
      </c>
      <c r="F306" s="60">
        <v>353237.44299999997</v>
      </c>
      <c r="G306" s="263">
        <v>0</v>
      </c>
      <c r="H306" s="263">
        <v>324343.75629599998</v>
      </c>
      <c r="I306" s="263">
        <v>28893.686471999994</v>
      </c>
      <c r="J306" s="263">
        <v>0</v>
      </c>
      <c r="O306" s="264"/>
      <c r="P306" s="264"/>
      <c r="Q306" s="264"/>
      <c r="R306" s="264"/>
      <c r="S306" s="60"/>
      <c r="T306" s="60"/>
      <c r="U306" t="s">
        <v>17748</v>
      </c>
    </row>
    <row r="307" spans="1:21">
      <c r="A307" t="s">
        <v>17916</v>
      </c>
      <c r="B307" s="262">
        <v>43853</v>
      </c>
      <c r="C307" t="s">
        <v>16783</v>
      </c>
      <c r="D307" t="s">
        <v>17509</v>
      </c>
      <c r="E307" s="60">
        <v>0</v>
      </c>
      <c r="F307" s="60">
        <v>224734.50100000002</v>
      </c>
      <c r="G307" s="263">
        <v>0</v>
      </c>
      <c r="H307" s="263">
        <v>224734.50107999999</v>
      </c>
      <c r="I307" s="263">
        <v>0</v>
      </c>
      <c r="J307" s="263">
        <v>0</v>
      </c>
      <c r="O307" s="264"/>
      <c r="P307" s="264"/>
      <c r="Q307" s="264"/>
      <c r="R307" s="264"/>
      <c r="S307" s="60"/>
      <c r="T307" s="60"/>
      <c r="U307" t="s">
        <v>17917</v>
      </c>
    </row>
    <row r="308" spans="1:21">
      <c r="A308" t="s">
        <v>17918</v>
      </c>
      <c r="B308" s="262">
        <v>43866</v>
      </c>
      <c r="C308" t="s">
        <v>16838</v>
      </c>
      <c r="D308" t="s">
        <v>16839</v>
      </c>
      <c r="E308" s="60">
        <v>0</v>
      </c>
      <c r="F308" s="60">
        <v>176944.32</v>
      </c>
      <c r="G308" s="263">
        <v>0</v>
      </c>
      <c r="H308" s="263">
        <v>176944.32</v>
      </c>
      <c r="I308" s="263">
        <v>0</v>
      </c>
      <c r="J308" s="263">
        <v>0</v>
      </c>
      <c r="O308" s="264"/>
      <c r="P308" s="264"/>
      <c r="Q308" s="264"/>
      <c r="R308" s="264"/>
      <c r="S308" s="60"/>
      <c r="T308" s="60"/>
      <c r="U308" t="s">
        <v>17798</v>
      </c>
    </row>
    <row r="309" spans="1:21">
      <c r="A309" t="s">
        <v>17919</v>
      </c>
      <c r="B309" s="262">
        <v>43866</v>
      </c>
      <c r="C309" t="s">
        <v>16384</v>
      </c>
      <c r="D309" t="s">
        <v>16385</v>
      </c>
      <c r="E309" s="60">
        <v>0</v>
      </c>
      <c r="F309" s="60">
        <v>30800</v>
      </c>
      <c r="G309" s="263">
        <v>30800</v>
      </c>
      <c r="H309" s="263">
        <v>0</v>
      </c>
      <c r="I309" s="263">
        <v>0</v>
      </c>
      <c r="J309" s="263">
        <v>0</v>
      </c>
      <c r="O309" s="264"/>
      <c r="P309" s="264"/>
      <c r="Q309" s="264"/>
      <c r="R309" s="264"/>
      <c r="S309" s="60"/>
      <c r="T309" s="60"/>
      <c r="U309" t="s">
        <v>17470</v>
      </c>
    </row>
    <row r="310" spans="1:21">
      <c r="A310" t="s">
        <v>17920</v>
      </c>
      <c r="B310" s="262">
        <v>43866</v>
      </c>
      <c r="C310" t="s">
        <v>17156</v>
      </c>
      <c r="D310" t="s">
        <v>17575</v>
      </c>
      <c r="E310" s="60">
        <v>0</v>
      </c>
      <c r="F310" s="60">
        <v>63180</v>
      </c>
      <c r="G310" s="263">
        <v>0</v>
      </c>
      <c r="H310" s="263">
        <v>63180</v>
      </c>
      <c r="I310" s="263">
        <v>0</v>
      </c>
      <c r="J310" s="263">
        <v>0</v>
      </c>
      <c r="O310" s="264"/>
      <c r="P310" s="264"/>
      <c r="Q310" s="264"/>
      <c r="R310" s="264"/>
      <c r="S310" s="60"/>
      <c r="T310" s="60"/>
      <c r="U310" t="s">
        <v>17921</v>
      </c>
    </row>
    <row r="311" spans="1:21">
      <c r="A311" t="s">
        <v>17922</v>
      </c>
      <c r="B311" s="262">
        <v>43866</v>
      </c>
      <c r="C311" t="s">
        <v>16957</v>
      </c>
      <c r="D311" t="s">
        <v>17451</v>
      </c>
      <c r="E311" s="60">
        <v>0</v>
      </c>
      <c r="F311" s="60">
        <v>38121.79</v>
      </c>
      <c r="G311" s="263">
        <v>38121.79</v>
      </c>
      <c r="H311" s="263">
        <v>0</v>
      </c>
      <c r="I311" s="263">
        <v>0</v>
      </c>
      <c r="J311" s="263">
        <v>0</v>
      </c>
      <c r="O311" s="264"/>
      <c r="P311" s="264"/>
      <c r="Q311" s="264"/>
      <c r="R311" s="264"/>
      <c r="S311" s="60"/>
      <c r="T311" s="60"/>
      <c r="U311" t="s">
        <v>17923</v>
      </c>
    </row>
    <row r="312" spans="1:21">
      <c r="A312" t="s">
        <v>17924</v>
      </c>
      <c r="B312" s="262">
        <v>43866</v>
      </c>
      <c r="C312" t="s">
        <v>16880</v>
      </c>
      <c r="D312" t="s">
        <v>16881</v>
      </c>
      <c r="E312" s="60">
        <v>0</v>
      </c>
      <c r="F312" s="60">
        <v>67517.332999999999</v>
      </c>
      <c r="G312" s="263">
        <v>1041.9746400000001</v>
      </c>
      <c r="H312" s="263">
        <v>66475.358560000022</v>
      </c>
      <c r="I312" s="263">
        <v>0</v>
      </c>
      <c r="J312" s="263">
        <v>0</v>
      </c>
      <c r="O312" s="264"/>
      <c r="P312" s="264"/>
      <c r="Q312" s="264"/>
      <c r="R312" s="264"/>
      <c r="S312" s="60"/>
      <c r="T312" s="60"/>
      <c r="U312" t="s">
        <v>17925</v>
      </c>
    </row>
    <row r="313" spans="1:21">
      <c r="A313" t="s">
        <v>17926</v>
      </c>
      <c r="B313" s="262">
        <v>43866</v>
      </c>
      <c r="C313" t="s">
        <v>17226</v>
      </c>
      <c r="D313" t="s">
        <v>17891</v>
      </c>
      <c r="E313" s="60">
        <v>0</v>
      </c>
      <c r="F313" s="60">
        <v>89568</v>
      </c>
      <c r="G313" s="263">
        <v>27024</v>
      </c>
      <c r="H313" s="263">
        <v>35268</v>
      </c>
      <c r="I313" s="263">
        <v>11904</v>
      </c>
      <c r="J313" s="263">
        <v>15372</v>
      </c>
      <c r="O313" s="264"/>
      <c r="P313" s="264"/>
      <c r="Q313" s="264"/>
      <c r="R313" s="264"/>
      <c r="S313" s="60"/>
      <c r="T313" s="60"/>
      <c r="U313" t="s">
        <v>17313</v>
      </c>
    </row>
    <row r="314" spans="1:21">
      <c r="A314" t="s">
        <v>17927</v>
      </c>
      <c r="B314" s="262">
        <v>43866</v>
      </c>
      <c r="C314" t="s">
        <v>17209</v>
      </c>
      <c r="D314" t="s">
        <v>17210</v>
      </c>
      <c r="E314" s="60">
        <v>0</v>
      </c>
      <c r="F314" s="60">
        <v>97273.623000000007</v>
      </c>
      <c r="G314" s="263">
        <v>17644.942800000001</v>
      </c>
      <c r="H314" s="263">
        <v>53442.163499999988</v>
      </c>
      <c r="I314" s="263">
        <v>13603.459800000001</v>
      </c>
      <c r="J314" s="263">
        <v>3812.1790000000001</v>
      </c>
      <c r="O314" s="264"/>
      <c r="P314" s="264"/>
      <c r="Q314" s="264"/>
      <c r="R314" s="264"/>
      <c r="S314" s="60"/>
      <c r="T314" s="60"/>
      <c r="U314" t="s">
        <v>17928</v>
      </c>
    </row>
    <row r="315" spans="1:21">
      <c r="A315" t="s">
        <v>17929</v>
      </c>
      <c r="B315" s="262">
        <v>43866</v>
      </c>
      <c r="C315" t="s">
        <v>16838</v>
      </c>
      <c r="D315" t="s">
        <v>16839</v>
      </c>
      <c r="E315" s="60">
        <v>0</v>
      </c>
      <c r="F315" s="60">
        <v>161641.48000000001</v>
      </c>
      <c r="G315" s="263">
        <v>128846.48</v>
      </c>
      <c r="H315" s="263">
        <v>28535</v>
      </c>
      <c r="I315" s="263">
        <v>4260</v>
      </c>
      <c r="J315" s="263">
        <v>0</v>
      </c>
      <c r="O315" s="264"/>
      <c r="P315" s="264"/>
      <c r="Q315" s="264"/>
      <c r="R315" s="264"/>
      <c r="S315" s="60"/>
      <c r="T315" s="60"/>
      <c r="U315" t="s">
        <v>17930</v>
      </c>
    </row>
    <row r="316" spans="1:21">
      <c r="A316" t="s">
        <v>17931</v>
      </c>
      <c r="B316" s="262">
        <v>43868</v>
      </c>
      <c r="C316" t="s">
        <v>16444</v>
      </c>
      <c r="D316" t="s">
        <v>16445</v>
      </c>
      <c r="E316" s="60">
        <v>0</v>
      </c>
      <c r="F316" s="60">
        <v>33480</v>
      </c>
      <c r="G316" s="263">
        <v>33480</v>
      </c>
      <c r="H316" s="263">
        <v>0</v>
      </c>
      <c r="I316" s="263">
        <v>0</v>
      </c>
      <c r="J316" s="263">
        <v>0</v>
      </c>
      <c r="O316" s="264"/>
      <c r="P316" s="264"/>
      <c r="Q316" s="264"/>
      <c r="R316" s="264"/>
      <c r="S316" s="60"/>
      <c r="T316" s="60"/>
      <c r="U316" t="s">
        <v>17867</v>
      </c>
    </row>
    <row r="317" spans="1:21">
      <c r="A317" t="s">
        <v>17932</v>
      </c>
      <c r="B317" s="262">
        <v>43928</v>
      </c>
      <c r="C317" t="s">
        <v>17017</v>
      </c>
      <c r="D317" t="s">
        <v>17430</v>
      </c>
      <c r="E317" s="60">
        <v>0</v>
      </c>
      <c r="F317" s="60">
        <v>85680</v>
      </c>
      <c r="G317" s="263">
        <v>0</v>
      </c>
      <c r="H317" s="263">
        <v>0</v>
      </c>
      <c r="I317" s="263">
        <v>85680</v>
      </c>
      <c r="J317" s="263">
        <v>0</v>
      </c>
      <c r="O317" s="264"/>
      <c r="P317" s="264"/>
      <c r="Q317" s="264"/>
      <c r="R317" s="264"/>
      <c r="S317" s="60"/>
      <c r="T317" s="60"/>
      <c r="U317" t="s">
        <v>17933</v>
      </c>
    </row>
    <row r="318" spans="1:21">
      <c r="A318" t="s">
        <v>17934</v>
      </c>
      <c r="B318" s="262">
        <v>43874</v>
      </c>
      <c r="C318" t="s">
        <v>16444</v>
      </c>
      <c r="D318" t="s">
        <v>16445</v>
      </c>
      <c r="E318" s="60">
        <v>0</v>
      </c>
      <c r="F318" s="60">
        <v>385000</v>
      </c>
      <c r="G318" s="263">
        <v>0</v>
      </c>
      <c r="H318" s="263">
        <v>385000</v>
      </c>
      <c r="I318" s="263">
        <v>0</v>
      </c>
      <c r="J318" s="263">
        <v>0</v>
      </c>
      <c r="O318" s="264"/>
      <c r="P318" s="264"/>
      <c r="Q318" s="264"/>
      <c r="R318" s="264"/>
      <c r="S318" s="60"/>
      <c r="T318" s="60"/>
      <c r="U318" t="s">
        <v>17656</v>
      </c>
    </row>
    <row r="319" spans="1:21">
      <c r="A319" t="s">
        <v>17935</v>
      </c>
      <c r="B319" s="262">
        <v>43874</v>
      </c>
      <c r="C319" t="s">
        <v>16444</v>
      </c>
      <c r="D319" t="s">
        <v>16445</v>
      </c>
      <c r="E319" s="60">
        <v>0</v>
      </c>
      <c r="F319" s="60">
        <v>347200</v>
      </c>
      <c r="G319" s="263">
        <v>0</v>
      </c>
      <c r="H319" s="263">
        <v>0</v>
      </c>
      <c r="I319" s="263">
        <v>347200</v>
      </c>
      <c r="J319" s="263">
        <v>0</v>
      </c>
      <c r="O319" s="264"/>
      <c r="P319" s="264"/>
      <c r="Q319" s="264"/>
      <c r="R319" s="264"/>
      <c r="S319" s="60"/>
      <c r="T319" s="60"/>
      <c r="U319" t="s">
        <v>17936</v>
      </c>
    </row>
    <row r="320" spans="1:21">
      <c r="A320" t="s">
        <v>17937</v>
      </c>
      <c r="B320" s="262">
        <v>43874</v>
      </c>
      <c r="C320" t="s">
        <v>17017</v>
      </c>
      <c r="D320" t="s">
        <v>17430</v>
      </c>
      <c r="E320" s="60">
        <v>0</v>
      </c>
      <c r="F320" s="60">
        <v>31600</v>
      </c>
      <c r="G320" s="263">
        <v>0</v>
      </c>
      <c r="H320" s="263">
        <v>31600</v>
      </c>
      <c r="I320" s="263">
        <v>0</v>
      </c>
      <c r="J320" s="263">
        <v>0</v>
      </c>
      <c r="O320" s="264"/>
      <c r="P320" s="264"/>
      <c r="Q320" s="264"/>
      <c r="R320" s="264"/>
      <c r="S320" s="60"/>
      <c r="T320" s="60"/>
      <c r="U320" t="s">
        <v>13703</v>
      </c>
    </row>
    <row r="321" spans="1:21">
      <c r="A321" t="s">
        <v>17938</v>
      </c>
      <c r="B321" s="262">
        <v>43875</v>
      </c>
      <c r="C321" t="s">
        <v>16783</v>
      </c>
      <c r="D321" t="s">
        <v>17509</v>
      </c>
      <c r="E321" s="60">
        <v>0</v>
      </c>
      <c r="F321" s="60">
        <v>398507.42200000002</v>
      </c>
      <c r="G321" s="263">
        <v>37147.248</v>
      </c>
      <c r="H321" s="263">
        <v>318847.21200000006</v>
      </c>
      <c r="I321" s="263">
        <v>42512.961600000002</v>
      </c>
      <c r="J321" s="263">
        <v>0</v>
      </c>
      <c r="O321" s="264"/>
      <c r="P321" s="264"/>
      <c r="Q321" s="264"/>
      <c r="R321" s="264"/>
      <c r="S321" s="60"/>
      <c r="T321" s="60"/>
      <c r="U321" t="s">
        <v>17939</v>
      </c>
    </row>
    <row r="322" spans="1:21">
      <c r="A322" t="s">
        <v>17940</v>
      </c>
      <c r="B322" s="262">
        <v>43938</v>
      </c>
      <c r="C322" t="s">
        <v>16904</v>
      </c>
      <c r="D322" t="s">
        <v>16905</v>
      </c>
      <c r="E322" s="60">
        <v>0</v>
      </c>
      <c r="F322" s="60">
        <v>51420.807999999997</v>
      </c>
      <c r="G322" s="263">
        <v>0</v>
      </c>
      <c r="H322" s="263">
        <v>29187.353915999996</v>
      </c>
      <c r="I322" s="263">
        <v>12796.504199999999</v>
      </c>
      <c r="J322" s="263">
        <v>0</v>
      </c>
      <c r="O322" s="264"/>
      <c r="P322" s="264"/>
      <c r="Q322" s="264"/>
      <c r="R322" s="264"/>
      <c r="S322" s="60"/>
      <c r="T322" s="60"/>
      <c r="U322" t="s">
        <v>17941</v>
      </c>
    </row>
    <row r="323" spans="1:21">
      <c r="A323" t="s">
        <v>17942</v>
      </c>
      <c r="B323" s="262">
        <v>43901</v>
      </c>
      <c r="C323" t="s">
        <v>16444</v>
      </c>
      <c r="D323" t="s">
        <v>16445</v>
      </c>
      <c r="E323" s="60">
        <v>0</v>
      </c>
      <c r="F323" s="60">
        <v>30144</v>
      </c>
      <c r="G323" s="263">
        <v>30144</v>
      </c>
      <c r="H323" s="263">
        <v>0</v>
      </c>
      <c r="I323" s="263">
        <v>0</v>
      </c>
      <c r="J323" s="263">
        <v>0</v>
      </c>
      <c r="O323" s="264"/>
      <c r="P323" s="264"/>
      <c r="Q323" s="264"/>
      <c r="R323" s="264"/>
      <c r="S323" s="60"/>
      <c r="T323" s="60"/>
      <c r="U323" t="s">
        <v>17589</v>
      </c>
    </row>
    <row r="324" spans="1:21">
      <c r="A324" t="s">
        <v>17943</v>
      </c>
      <c r="B324" s="262">
        <v>43882</v>
      </c>
      <c r="C324" t="s">
        <v>16957</v>
      </c>
      <c r="D324" t="s">
        <v>17451</v>
      </c>
      <c r="E324" s="60">
        <v>0</v>
      </c>
      <c r="F324" s="60">
        <v>38326.61</v>
      </c>
      <c r="G324" s="263">
        <v>38326.61</v>
      </c>
      <c r="H324" s="263">
        <v>0</v>
      </c>
      <c r="I324" s="263">
        <v>0</v>
      </c>
      <c r="J324" s="263">
        <v>0</v>
      </c>
      <c r="O324" s="264"/>
      <c r="P324" s="264"/>
      <c r="Q324" s="264"/>
      <c r="R324" s="264"/>
      <c r="S324" s="60"/>
      <c r="T324" s="60"/>
      <c r="U324" t="s">
        <v>17944</v>
      </c>
    </row>
    <row r="325" spans="1:21">
      <c r="A325" t="s">
        <v>17945</v>
      </c>
      <c r="B325" s="262">
        <v>43886</v>
      </c>
      <c r="C325" t="s">
        <v>16957</v>
      </c>
      <c r="D325" t="s">
        <v>17451</v>
      </c>
      <c r="E325" s="60">
        <v>0</v>
      </c>
      <c r="F325" s="60">
        <v>39860.61</v>
      </c>
      <c r="G325" s="263">
        <v>39860.610000000008</v>
      </c>
      <c r="H325" s="263">
        <v>0</v>
      </c>
      <c r="I325" s="263">
        <v>0</v>
      </c>
      <c r="J325" s="263">
        <v>0</v>
      </c>
      <c r="O325" s="264"/>
      <c r="P325" s="264"/>
      <c r="Q325" s="264"/>
      <c r="R325" s="264"/>
      <c r="S325" s="60"/>
      <c r="T325" s="60"/>
      <c r="U325" t="s">
        <v>17946</v>
      </c>
    </row>
    <row r="326" spans="1:21">
      <c r="A326" t="s">
        <v>17947</v>
      </c>
      <c r="B326" s="262">
        <v>43887</v>
      </c>
      <c r="C326" t="s">
        <v>16384</v>
      </c>
      <c r="D326" t="s">
        <v>16385</v>
      </c>
      <c r="E326" s="60">
        <v>0</v>
      </c>
      <c r="F326" s="60">
        <v>50050</v>
      </c>
      <c r="G326" s="263">
        <v>50050</v>
      </c>
      <c r="H326" s="263">
        <v>0</v>
      </c>
      <c r="I326" s="263">
        <v>0</v>
      </c>
      <c r="J326" s="263">
        <v>0</v>
      </c>
      <c r="O326" s="264"/>
      <c r="P326" s="264"/>
      <c r="Q326" s="264"/>
      <c r="R326" s="264"/>
      <c r="S326" s="60"/>
      <c r="T326" s="60"/>
      <c r="U326" t="s">
        <v>17771</v>
      </c>
    </row>
    <row r="327" spans="1:21">
      <c r="A327" t="s">
        <v>17948</v>
      </c>
      <c r="B327" s="262">
        <v>43895</v>
      </c>
      <c r="C327" t="s">
        <v>16838</v>
      </c>
      <c r="D327" t="s">
        <v>16839</v>
      </c>
      <c r="E327" s="60">
        <v>0</v>
      </c>
      <c r="F327" s="60">
        <v>172332.24</v>
      </c>
      <c r="G327" s="263">
        <v>133808.64000000001</v>
      </c>
      <c r="H327" s="263">
        <v>29481.599999999999</v>
      </c>
      <c r="I327" s="263">
        <v>9042</v>
      </c>
      <c r="J327" s="263">
        <v>0</v>
      </c>
      <c r="O327" s="264"/>
      <c r="P327" s="264"/>
      <c r="Q327" s="264"/>
      <c r="R327" s="264"/>
      <c r="S327" s="60"/>
      <c r="T327" s="60"/>
      <c r="U327" t="s">
        <v>17949</v>
      </c>
    </row>
    <row r="328" spans="1:21">
      <c r="A328" t="s">
        <v>17950</v>
      </c>
      <c r="B328" s="262">
        <v>43984</v>
      </c>
      <c r="C328" t="s">
        <v>16838</v>
      </c>
      <c r="D328" t="s">
        <v>16839</v>
      </c>
      <c r="E328" s="60">
        <v>0</v>
      </c>
      <c r="F328" s="60">
        <v>74592</v>
      </c>
      <c r="G328" s="263">
        <v>0</v>
      </c>
      <c r="H328" s="263">
        <v>74592</v>
      </c>
      <c r="I328" s="263">
        <v>0</v>
      </c>
      <c r="J328" s="263">
        <v>0</v>
      </c>
      <c r="O328" s="264"/>
      <c r="P328" s="264"/>
      <c r="Q328" s="264"/>
      <c r="R328" s="264"/>
      <c r="S328" s="60"/>
      <c r="T328" s="60"/>
      <c r="U328" t="s">
        <v>17771</v>
      </c>
    </row>
    <row r="329" spans="1:21">
      <c r="A329" t="s">
        <v>17951</v>
      </c>
      <c r="B329" s="262">
        <v>43894</v>
      </c>
      <c r="C329" t="s">
        <v>16444</v>
      </c>
      <c r="D329" t="s">
        <v>16445</v>
      </c>
      <c r="E329" s="60">
        <v>0</v>
      </c>
      <c r="F329" s="60">
        <v>385000</v>
      </c>
      <c r="G329" s="263">
        <v>0</v>
      </c>
      <c r="H329" s="263">
        <v>385000</v>
      </c>
      <c r="I329" s="263">
        <v>0</v>
      </c>
      <c r="J329" s="263">
        <v>0</v>
      </c>
      <c r="O329" s="264"/>
      <c r="P329" s="264"/>
      <c r="Q329" s="264"/>
      <c r="R329" s="264"/>
      <c r="S329" s="60"/>
      <c r="T329" s="60"/>
      <c r="U329" t="s">
        <v>17656</v>
      </c>
    </row>
    <row r="330" spans="1:21">
      <c r="A330" t="s">
        <v>17952</v>
      </c>
      <c r="B330" s="262">
        <v>43896</v>
      </c>
      <c r="C330" t="s">
        <v>17119</v>
      </c>
      <c r="D330" t="s">
        <v>17120</v>
      </c>
      <c r="E330" s="60">
        <v>0</v>
      </c>
      <c r="F330" s="60">
        <v>120574.224</v>
      </c>
      <c r="G330" s="263">
        <v>20647.439999999999</v>
      </c>
      <c r="H330" s="263">
        <v>82436.183999999994</v>
      </c>
      <c r="I330" s="263">
        <v>0</v>
      </c>
      <c r="J330" s="263">
        <v>0</v>
      </c>
      <c r="O330" s="264"/>
      <c r="P330" s="264"/>
      <c r="Q330" s="264"/>
      <c r="R330" s="264"/>
      <c r="S330" s="60"/>
      <c r="T330" s="60"/>
      <c r="U330" t="s">
        <v>17433</v>
      </c>
    </row>
    <row r="331" spans="1:21">
      <c r="A331" t="s">
        <v>17953</v>
      </c>
      <c r="B331" s="262">
        <v>43921</v>
      </c>
      <c r="C331" t="s">
        <v>17017</v>
      </c>
      <c r="D331" t="s">
        <v>17430</v>
      </c>
      <c r="E331" s="60">
        <v>0</v>
      </c>
      <c r="F331" s="60">
        <v>42955.012000000002</v>
      </c>
      <c r="G331" s="263">
        <v>0</v>
      </c>
      <c r="H331" s="263">
        <v>25406.012000000002</v>
      </c>
      <c r="I331" s="263">
        <v>6158.4</v>
      </c>
      <c r="J331" s="263">
        <v>11390</v>
      </c>
      <c r="O331" s="264"/>
      <c r="P331" s="264"/>
      <c r="Q331" s="264"/>
      <c r="R331" s="264"/>
      <c r="S331" s="60"/>
      <c r="T331" s="60"/>
      <c r="U331" t="s">
        <v>17954</v>
      </c>
    </row>
    <row r="332" spans="1:21">
      <c r="A332" t="s">
        <v>17955</v>
      </c>
      <c r="B332" s="262">
        <v>43895</v>
      </c>
      <c r="C332" t="s">
        <v>17017</v>
      </c>
      <c r="D332" t="s">
        <v>17430</v>
      </c>
      <c r="E332" s="60">
        <v>0</v>
      </c>
      <c r="F332" s="60">
        <v>33709.5</v>
      </c>
      <c r="G332" s="263">
        <v>0</v>
      </c>
      <c r="H332" s="263">
        <v>33709.5</v>
      </c>
      <c r="I332" s="263">
        <v>0</v>
      </c>
      <c r="J332" s="263">
        <v>0</v>
      </c>
      <c r="O332" s="264"/>
      <c r="P332" s="264"/>
      <c r="Q332" s="264"/>
      <c r="R332" s="264"/>
      <c r="S332" s="60"/>
      <c r="T332" s="60"/>
      <c r="U332" t="s">
        <v>17956</v>
      </c>
    </row>
    <row r="333" spans="1:21">
      <c r="A333" t="s">
        <v>17957</v>
      </c>
      <c r="B333" s="262">
        <v>43897</v>
      </c>
      <c r="C333" t="s">
        <v>17017</v>
      </c>
      <c r="D333" t="s">
        <v>17430</v>
      </c>
      <c r="E333" s="60">
        <v>0</v>
      </c>
      <c r="F333" s="60">
        <v>33709.5</v>
      </c>
      <c r="G333" s="263">
        <v>0</v>
      </c>
      <c r="H333" s="263">
        <v>33709.5</v>
      </c>
      <c r="I333" s="263">
        <v>0</v>
      </c>
      <c r="J333" s="263">
        <v>0</v>
      </c>
      <c r="O333" s="264"/>
      <c r="P333" s="264"/>
      <c r="Q333" s="264"/>
      <c r="R333" s="264"/>
      <c r="S333" s="60"/>
      <c r="T333" s="60"/>
      <c r="U333" t="s">
        <v>17956</v>
      </c>
    </row>
    <row r="334" spans="1:21">
      <c r="A334" t="s">
        <v>17958</v>
      </c>
      <c r="B334" s="262">
        <v>43901</v>
      </c>
      <c r="C334" t="s">
        <v>16444</v>
      </c>
      <c r="D334" t="s">
        <v>16445</v>
      </c>
      <c r="E334" s="60">
        <v>0</v>
      </c>
      <c r="F334" s="60">
        <v>29160</v>
      </c>
      <c r="G334" s="263">
        <v>29160</v>
      </c>
      <c r="H334" s="263">
        <v>0</v>
      </c>
      <c r="I334" s="263">
        <v>0</v>
      </c>
      <c r="J334" s="263">
        <v>0</v>
      </c>
      <c r="O334" s="264"/>
      <c r="P334" s="264"/>
      <c r="Q334" s="264"/>
      <c r="R334" s="264"/>
      <c r="S334" s="60"/>
      <c r="T334" s="60"/>
      <c r="U334" t="s">
        <v>17673</v>
      </c>
    </row>
    <row r="335" spans="1:21">
      <c r="A335" t="s">
        <v>17959</v>
      </c>
      <c r="B335" s="262">
        <v>43924</v>
      </c>
      <c r="C335" t="s">
        <v>16444</v>
      </c>
      <c r="D335" t="s">
        <v>16445</v>
      </c>
      <c r="E335" s="60">
        <v>0</v>
      </c>
      <c r="F335" s="60">
        <v>347200</v>
      </c>
      <c r="G335" s="263">
        <v>0</v>
      </c>
      <c r="H335" s="263">
        <v>0</v>
      </c>
      <c r="I335" s="263">
        <v>347200</v>
      </c>
      <c r="J335" s="263">
        <v>0</v>
      </c>
      <c r="O335" s="264"/>
      <c r="P335" s="264"/>
      <c r="Q335" s="264"/>
      <c r="R335" s="264"/>
      <c r="S335" s="60"/>
      <c r="T335" s="60"/>
      <c r="U335" t="s">
        <v>17936</v>
      </c>
    </row>
    <row r="336" spans="1:21">
      <c r="A336" t="s">
        <v>17960</v>
      </c>
      <c r="B336" s="262">
        <v>43896</v>
      </c>
      <c r="C336" t="s">
        <v>16957</v>
      </c>
      <c r="D336" t="s">
        <v>17451</v>
      </c>
      <c r="E336" s="60">
        <v>0</v>
      </c>
      <c r="F336" s="60">
        <v>39247.199999999997</v>
      </c>
      <c r="G336" s="263">
        <v>39247.199999999997</v>
      </c>
      <c r="H336" s="263">
        <v>0</v>
      </c>
      <c r="I336" s="263">
        <v>0</v>
      </c>
      <c r="J336" s="263">
        <v>0</v>
      </c>
      <c r="O336" s="264"/>
      <c r="P336" s="264"/>
      <c r="Q336" s="264"/>
      <c r="R336" s="264"/>
      <c r="S336" s="60"/>
      <c r="T336" s="60"/>
      <c r="U336" t="s">
        <v>17961</v>
      </c>
    </row>
    <row r="337" spans="1:21">
      <c r="A337" t="s">
        <v>17962</v>
      </c>
      <c r="B337" s="262">
        <v>43903</v>
      </c>
      <c r="C337" t="s">
        <v>16957</v>
      </c>
      <c r="D337" t="s">
        <v>17451</v>
      </c>
      <c r="E337" s="60">
        <v>0</v>
      </c>
      <c r="F337" s="60">
        <v>75220.81</v>
      </c>
      <c r="G337" s="263">
        <v>75220.810000000012</v>
      </c>
      <c r="H337" s="263">
        <v>0</v>
      </c>
      <c r="I337" s="263">
        <v>0</v>
      </c>
      <c r="J337" s="263">
        <v>0</v>
      </c>
      <c r="O337" s="264"/>
      <c r="P337" s="264"/>
      <c r="Q337" s="264"/>
      <c r="R337" s="264"/>
      <c r="S337" s="60"/>
      <c r="T337" s="60"/>
      <c r="U337" t="s">
        <v>17963</v>
      </c>
    </row>
    <row r="338" spans="1:21">
      <c r="A338" t="s">
        <v>17964</v>
      </c>
      <c r="B338" s="262">
        <v>43901</v>
      </c>
      <c r="C338" t="s">
        <v>16838</v>
      </c>
      <c r="D338" t="s">
        <v>16839</v>
      </c>
      <c r="E338" s="60">
        <v>0</v>
      </c>
      <c r="F338" s="60">
        <v>90432</v>
      </c>
      <c r="G338" s="263">
        <v>90432</v>
      </c>
      <c r="H338" s="263">
        <v>0</v>
      </c>
      <c r="I338" s="263">
        <v>0</v>
      </c>
      <c r="J338" s="263">
        <v>0</v>
      </c>
      <c r="O338" s="264"/>
      <c r="P338" s="264"/>
      <c r="Q338" s="264"/>
      <c r="R338" s="264"/>
      <c r="S338" s="60"/>
      <c r="T338" s="60"/>
      <c r="U338" t="s">
        <v>17965</v>
      </c>
    </row>
    <row r="339" spans="1:21">
      <c r="A339" t="s">
        <v>17966</v>
      </c>
      <c r="B339" s="262">
        <v>43953</v>
      </c>
      <c r="C339" t="s">
        <v>16838</v>
      </c>
      <c r="D339" t="s">
        <v>16839</v>
      </c>
      <c r="E339" s="60">
        <v>0</v>
      </c>
      <c r="F339" s="60">
        <v>144152.4</v>
      </c>
      <c r="G339" s="263">
        <v>0</v>
      </c>
      <c r="H339" s="263">
        <v>144152.4</v>
      </c>
      <c r="I339" s="263">
        <v>0</v>
      </c>
      <c r="J339" s="263">
        <v>0</v>
      </c>
      <c r="O339" s="264"/>
      <c r="P339" s="264"/>
      <c r="Q339" s="264"/>
      <c r="R339" s="264"/>
      <c r="S339" s="60"/>
      <c r="T339" s="60"/>
      <c r="U339" t="s">
        <v>17798</v>
      </c>
    </row>
    <row r="340" spans="1:21">
      <c r="A340" t="s">
        <v>17967</v>
      </c>
      <c r="B340" s="262">
        <v>43948</v>
      </c>
      <c r="C340" t="s">
        <v>16972</v>
      </c>
      <c r="D340" t="s">
        <v>17424</v>
      </c>
      <c r="E340" s="60">
        <v>0</v>
      </c>
      <c r="F340" s="60">
        <v>29472</v>
      </c>
      <c r="G340" s="263">
        <v>29472</v>
      </c>
      <c r="H340" s="263">
        <v>0</v>
      </c>
      <c r="I340" s="263">
        <v>0</v>
      </c>
      <c r="J340" s="263">
        <v>0</v>
      </c>
      <c r="O340" s="264"/>
      <c r="P340" s="264"/>
      <c r="Q340" s="264"/>
      <c r="R340" s="264"/>
      <c r="S340" s="60"/>
      <c r="T340" s="60"/>
      <c r="U340" t="s">
        <v>17687</v>
      </c>
    </row>
    <row r="341" spans="1:21">
      <c r="A341" t="s">
        <v>17968</v>
      </c>
      <c r="B341" s="262">
        <v>43953</v>
      </c>
      <c r="C341" t="s">
        <v>16384</v>
      </c>
      <c r="D341" t="s">
        <v>16385</v>
      </c>
      <c r="E341" s="60">
        <v>0</v>
      </c>
      <c r="F341" s="60">
        <v>37310</v>
      </c>
      <c r="G341" s="263">
        <v>0</v>
      </c>
      <c r="H341" s="263">
        <v>0</v>
      </c>
      <c r="I341" s="263">
        <v>37310</v>
      </c>
      <c r="J341" s="263">
        <v>0</v>
      </c>
      <c r="O341" s="264"/>
      <c r="P341" s="264"/>
      <c r="Q341" s="264"/>
      <c r="R341" s="264"/>
      <c r="S341" s="60"/>
      <c r="T341" s="60"/>
      <c r="U341" t="s">
        <v>17470</v>
      </c>
    </row>
    <row r="342" spans="1:21">
      <c r="A342" t="s">
        <v>17969</v>
      </c>
      <c r="B342" s="262">
        <v>43953</v>
      </c>
      <c r="C342" t="s">
        <v>16384</v>
      </c>
      <c r="D342" t="s">
        <v>16385</v>
      </c>
      <c r="E342" s="60">
        <v>0</v>
      </c>
      <c r="F342" s="60">
        <v>62539.8</v>
      </c>
      <c r="G342" s="263">
        <v>0</v>
      </c>
      <c r="H342" s="263">
        <v>57016.800000000003</v>
      </c>
      <c r="I342" s="263">
        <v>3288</v>
      </c>
      <c r="J342" s="263">
        <v>2235</v>
      </c>
      <c r="O342" s="264"/>
      <c r="P342" s="264"/>
      <c r="Q342" s="264"/>
      <c r="R342" s="264"/>
      <c r="S342" s="60"/>
      <c r="T342" s="60"/>
      <c r="U342" t="s">
        <v>17361</v>
      </c>
    </row>
    <row r="343" spans="1:21">
      <c r="A343" t="s">
        <v>17970</v>
      </c>
      <c r="B343" s="262">
        <v>43901</v>
      </c>
      <c r="C343" t="s">
        <v>16957</v>
      </c>
      <c r="D343" t="s">
        <v>17451</v>
      </c>
      <c r="E343" s="60">
        <v>0</v>
      </c>
      <c r="F343" s="60">
        <v>39487.32</v>
      </c>
      <c r="G343" s="263">
        <v>39487.32</v>
      </c>
      <c r="H343" s="263">
        <v>0</v>
      </c>
      <c r="I343" s="263">
        <v>0</v>
      </c>
      <c r="J343" s="263">
        <v>0</v>
      </c>
      <c r="O343" s="264"/>
      <c r="P343" s="264"/>
      <c r="Q343" s="264"/>
      <c r="R343" s="264"/>
      <c r="S343" s="60"/>
      <c r="T343" s="60"/>
      <c r="U343" t="s">
        <v>17971</v>
      </c>
    </row>
    <row r="344" spans="1:21">
      <c r="A344" t="s">
        <v>17972</v>
      </c>
      <c r="B344" s="262">
        <v>43938</v>
      </c>
      <c r="C344" t="s">
        <v>16904</v>
      </c>
      <c r="D344" t="s">
        <v>16905</v>
      </c>
      <c r="E344" s="60">
        <v>0</v>
      </c>
      <c r="F344" s="60">
        <v>51561.925000000003</v>
      </c>
      <c r="G344" s="263">
        <v>0</v>
      </c>
      <c r="H344" s="263">
        <v>28360.914624000005</v>
      </c>
      <c r="I344" s="263">
        <v>13731.21</v>
      </c>
      <c r="J344" s="263">
        <v>0</v>
      </c>
      <c r="O344" s="264"/>
      <c r="P344" s="264"/>
      <c r="Q344" s="264"/>
      <c r="R344" s="264"/>
      <c r="S344" s="60"/>
      <c r="T344" s="60"/>
      <c r="U344" t="s">
        <v>17941</v>
      </c>
    </row>
    <row r="345" spans="1:21">
      <c r="A345" t="s">
        <v>17973</v>
      </c>
      <c r="B345" s="262">
        <v>43953</v>
      </c>
      <c r="C345" t="s">
        <v>16643</v>
      </c>
      <c r="D345" t="s">
        <v>16644</v>
      </c>
      <c r="E345" s="60">
        <v>0</v>
      </c>
      <c r="F345" s="60">
        <v>118917.931</v>
      </c>
      <c r="G345" s="263">
        <v>0</v>
      </c>
      <c r="H345" s="263">
        <v>64783.278756000007</v>
      </c>
      <c r="I345" s="263">
        <v>33376.726000000002</v>
      </c>
      <c r="J345" s="263">
        <v>0</v>
      </c>
      <c r="O345" s="264"/>
      <c r="P345" s="264"/>
      <c r="Q345" s="264"/>
      <c r="R345" s="264"/>
      <c r="S345" s="60"/>
      <c r="T345" s="60"/>
      <c r="U345" t="s">
        <v>17433</v>
      </c>
    </row>
    <row r="346" spans="1:21">
      <c r="A346" t="s">
        <v>17974</v>
      </c>
      <c r="B346" s="262">
        <v>43901</v>
      </c>
      <c r="C346" t="s">
        <v>17119</v>
      </c>
      <c r="D346" t="s">
        <v>17120</v>
      </c>
      <c r="E346" s="60">
        <v>0</v>
      </c>
      <c r="F346" s="60">
        <v>150532.302</v>
      </c>
      <c r="G346" s="263">
        <v>30216.383999999998</v>
      </c>
      <c r="H346" s="263">
        <v>96852.438288000005</v>
      </c>
      <c r="I346" s="263">
        <v>0</v>
      </c>
      <c r="J346" s="263">
        <v>0</v>
      </c>
      <c r="O346" s="264"/>
      <c r="P346" s="264"/>
      <c r="Q346" s="264"/>
      <c r="R346" s="264"/>
      <c r="S346" s="60"/>
      <c r="T346" s="60"/>
      <c r="U346" t="s">
        <v>17433</v>
      </c>
    </row>
    <row r="347" spans="1:21">
      <c r="A347" t="s">
        <v>17975</v>
      </c>
      <c r="B347" s="262">
        <v>43953</v>
      </c>
      <c r="C347" t="s">
        <v>17236</v>
      </c>
      <c r="D347" t="s">
        <v>17976</v>
      </c>
      <c r="E347" s="60">
        <v>0</v>
      </c>
      <c r="F347" s="60">
        <v>44658.37</v>
      </c>
      <c r="G347" s="263">
        <v>0</v>
      </c>
      <c r="H347" s="263">
        <v>44658.369503999995</v>
      </c>
      <c r="I347" s="263">
        <v>0</v>
      </c>
      <c r="J347" s="263">
        <v>0</v>
      </c>
      <c r="O347" s="264"/>
      <c r="P347" s="264"/>
      <c r="Q347" s="264"/>
      <c r="R347" s="264"/>
      <c r="S347" s="60"/>
      <c r="T347" s="60"/>
      <c r="U347" t="s">
        <v>17433</v>
      </c>
    </row>
    <row r="348" spans="1:21">
      <c r="A348" t="s">
        <v>17977</v>
      </c>
      <c r="B348" s="262">
        <v>43901</v>
      </c>
      <c r="C348" t="s">
        <v>16957</v>
      </c>
      <c r="D348" t="s">
        <v>17451</v>
      </c>
      <c r="E348" s="60">
        <v>0</v>
      </c>
      <c r="F348" s="60">
        <v>77376.740000000005</v>
      </c>
      <c r="G348" s="263">
        <v>77376.740000000005</v>
      </c>
      <c r="H348" s="263">
        <v>0</v>
      </c>
      <c r="I348" s="263">
        <v>0</v>
      </c>
      <c r="J348" s="263">
        <v>0</v>
      </c>
      <c r="O348" s="264"/>
      <c r="P348" s="264"/>
      <c r="Q348" s="264"/>
      <c r="R348" s="264"/>
      <c r="S348" s="60"/>
      <c r="T348" s="60"/>
      <c r="U348" t="s">
        <v>17978</v>
      </c>
    </row>
    <row r="349" spans="1:21">
      <c r="A349" t="s">
        <v>17979</v>
      </c>
      <c r="B349" s="262">
        <v>43953</v>
      </c>
      <c r="C349" t="s">
        <v>16783</v>
      </c>
      <c r="D349" t="s">
        <v>17509</v>
      </c>
      <c r="E349" s="60">
        <v>0</v>
      </c>
      <c r="F349" s="60">
        <v>447818.25</v>
      </c>
      <c r="G349" s="263">
        <v>0</v>
      </c>
      <c r="H349" s="263">
        <v>373850.84879999998</v>
      </c>
      <c r="I349" s="263">
        <v>36868.920000000013</v>
      </c>
      <c r="J349" s="263">
        <v>0</v>
      </c>
      <c r="O349" s="264"/>
      <c r="P349" s="264"/>
      <c r="Q349" s="264"/>
      <c r="R349" s="264"/>
      <c r="S349" s="60"/>
      <c r="T349" s="60"/>
      <c r="U349" t="s">
        <v>17980</v>
      </c>
    </row>
    <row r="350" spans="1:21">
      <c r="A350" t="s">
        <v>17981</v>
      </c>
      <c r="B350" s="262">
        <v>43953</v>
      </c>
      <c r="C350" t="s">
        <v>16384</v>
      </c>
      <c r="D350" t="s">
        <v>16385</v>
      </c>
      <c r="E350" s="60">
        <v>0</v>
      </c>
      <c r="F350" s="60">
        <v>105588</v>
      </c>
      <c r="G350" s="263">
        <v>0</v>
      </c>
      <c r="H350" s="263">
        <v>0</v>
      </c>
      <c r="I350" s="263">
        <v>105588</v>
      </c>
      <c r="J350" s="263">
        <v>0</v>
      </c>
      <c r="O350" s="264"/>
      <c r="P350" s="264"/>
      <c r="Q350" s="264"/>
      <c r="R350" s="264"/>
      <c r="S350" s="60"/>
      <c r="T350" s="60"/>
      <c r="U350" t="s">
        <v>17982</v>
      </c>
    </row>
    <row r="351" spans="1:21">
      <c r="A351" t="s">
        <v>17983</v>
      </c>
      <c r="B351" s="262">
        <v>43902</v>
      </c>
      <c r="C351" t="s">
        <v>16444</v>
      </c>
      <c r="D351" t="s">
        <v>16445</v>
      </c>
      <c r="E351" s="60">
        <v>0</v>
      </c>
      <c r="F351" s="60">
        <v>30340</v>
      </c>
      <c r="G351" s="263">
        <v>30340</v>
      </c>
      <c r="H351" s="263">
        <v>0</v>
      </c>
      <c r="I351" s="263">
        <v>0</v>
      </c>
      <c r="J351" s="263">
        <v>0</v>
      </c>
      <c r="O351" s="264"/>
      <c r="P351" s="264"/>
      <c r="Q351" s="264"/>
      <c r="R351" s="264"/>
      <c r="S351" s="60"/>
      <c r="T351" s="60"/>
    </row>
    <row r="352" spans="1:21">
      <c r="A352" t="s">
        <v>17984</v>
      </c>
      <c r="B352" s="262">
        <v>43909</v>
      </c>
      <c r="C352" t="s">
        <v>16779</v>
      </c>
      <c r="D352" t="s">
        <v>17613</v>
      </c>
      <c r="E352" s="60">
        <v>0</v>
      </c>
      <c r="F352" s="60">
        <v>34493.468999999997</v>
      </c>
      <c r="G352" s="263">
        <v>0</v>
      </c>
      <c r="H352" s="263">
        <v>22074.003360000002</v>
      </c>
      <c r="I352" s="263">
        <v>12419.465625000003</v>
      </c>
      <c r="J352" s="263">
        <v>0</v>
      </c>
      <c r="O352" s="264"/>
      <c r="P352" s="264"/>
      <c r="Q352" s="264"/>
      <c r="R352" s="264"/>
      <c r="S352" s="60"/>
      <c r="T352" s="60"/>
      <c r="U352" t="s">
        <v>17985</v>
      </c>
    </row>
    <row r="353" spans="1:21">
      <c r="A353" t="s">
        <v>17986</v>
      </c>
      <c r="B353" s="262">
        <v>43953</v>
      </c>
      <c r="C353" t="s">
        <v>16838</v>
      </c>
      <c r="D353" t="s">
        <v>16839</v>
      </c>
      <c r="E353" s="60">
        <v>0</v>
      </c>
      <c r="F353" s="60">
        <v>153440</v>
      </c>
      <c r="G353" s="263">
        <v>0</v>
      </c>
      <c r="H353" s="263">
        <v>0</v>
      </c>
      <c r="I353" s="263">
        <v>153440</v>
      </c>
      <c r="J353" s="263">
        <v>0</v>
      </c>
      <c r="O353" s="264"/>
      <c r="P353" s="264"/>
      <c r="Q353" s="264"/>
      <c r="R353" s="264"/>
      <c r="S353" s="60"/>
      <c r="T353" s="60"/>
      <c r="U353" t="s">
        <v>17987</v>
      </c>
    </row>
    <row r="354" spans="1:21">
      <c r="A354" t="s">
        <v>17988</v>
      </c>
      <c r="B354" s="262">
        <v>43909</v>
      </c>
      <c r="C354" t="s">
        <v>16779</v>
      </c>
      <c r="D354" t="s">
        <v>17613</v>
      </c>
      <c r="E354" s="60">
        <v>0</v>
      </c>
      <c r="F354" s="60">
        <v>34219.247000000003</v>
      </c>
      <c r="G354" s="263">
        <v>0</v>
      </c>
      <c r="H354" s="263">
        <v>14348.102184000001</v>
      </c>
      <c r="I354" s="263">
        <v>19871.145</v>
      </c>
      <c r="J354" s="263">
        <v>0</v>
      </c>
      <c r="O354" s="264"/>
      <c r="P354" s="264"/>
      <c r="Q354" s="264"/>
      <c r="R354" s="264"/>
      <c r="S354" s="60"/>
      <c r="T354" s="60"/>
      <c r="U354" t="s">
        <v>17985</v>
      </c>
    </row>
    <row r="355" spans="1:21">
      <c r="A355" t="s">
        <v>17989</v>
      </c>
      <c r="B355" s="262">
        <v>43923</v>
      </c>
      <c r="C355" t="s">
        <v>17239</v>
      </c>
      <c r="D355" t="s">
        <v>17240</v>
      </c>
      <c r="E355" s="60">
        <v>0</v>
      </c>
      <c r="F355" s="60">
        <v>35471.449999999997</v>
      </c>
      <c r="G355" s="263">
        <v>0</v>
      </c>
      <c r="H355" s="263">
        <v>21694.484700000001</v>
      </c>
      <c r="I355" s="263">
        <v>9519.2999999999993</v>
      </c>
      <c r="J355" s="263">
        <v>4257.6655800000008</v>
      </c>
      <c r="O355" s="264"/>
      <c r="P355" s="264"/>
      <c r="Q355" s="264"/>
      <c r="R355" s="264"/>
      <c r="S355" s="60"/>
      <c r="T355" s="60"/>
      <c r="U355" t="s">
        <v>17990</v>
      </c>
    </row>
    <row r="356" spans="1:21">
      <c r="A356" t="s">
        <v>17991</v>
      </c>
      <c r="B356" s="262">
        <v>43923</v>
      </c>
      <c r="C356" t="s">
        <v>16880</v>
      </c>
      <c r="D356" t="s">
        <v>16881</v>
      </c>
      <c r="E356" s="60">
        <v>0</v>
      </c>
      <c r="F356" s="60">
        <v>59869.692000000003</v>
      </c>
      <c r="G356" s="263">
        <v>0</v>
      </c>
      <c r="H356" s="263">
        <v>59869.691903999985</v>
      </c>
      <c r="I356" s="263">
        <v>0</v>
      </c>
      <c r="J356" s="263">
        <v>0</v>
      </c>
      <c r="O356" s="264"/>
      <c r="P356" s="264"/>
      <c r="Q356" s="264"/>
      <c r="R356" s="264"/>
      <c r="S356" s="60"/>
      <c r="T356" s="60"/>
      <c r="U356" t="s">
        <v>17992</v>
      </c>
    </row>
    <row r="357" spans="1:21">
      <c r="A357" t="s">
        <v>17993</v>
      </c>
      <c r="B357" s="262">
        <v>43923</v>
      </c>
      <c r="C357" t="s">
        <v>16872</v>
      </c>
      <c r="D357" t="s">
        <v>16873</v>
      </c>
      <c r="E357" s="60">
        <v>0</v>
      </c>
      <c r="F357" s="60">
        <v>29461.248</v>
      </c>
      <c r="G357" s="263">
        <v>19480.319999999996</v>
      </c>
      <c r="H357" s="263">
        <v>9980.9279999999981</v>
      </c>
      <c r="I357" s="263">
        <v>0</v>
      </c>
      <c r="J357" s="263">
        <v>0</v>
      </c>
      <c r="O357" s="264"/>
      <c r="P357" s="264"/>
      <c r="Q357" s="264"/>
      <c r="R357" s="264"/>
      <c r="S357" s="60"/>
      <c r="T357" s="60"/>
      <c r="U357" t="s">
        <v>17994</v>
      </c>
    </row>
    <row r="358" spans="1:21">
      <c r="A358" t="s">
        <v>17995</v>
      </c>
      <c r="B358" s="262">
        <v>43923</v>
      </c>
      <c r="C358" t="s">
        <v>16904</v>
      </c>
      <c r="D358" t="s">
        <v>16905</v>
      </c>
      <c r="E358" s="60">
        <v>0</v>
      </c>
      <c r="F358" s="60">
        <v>51506.241999999998</v>
      </c>
      <c r="G358" s="263">
        <v>0</v>
      </c>
      <c r="H358" s="263">
        <v>24593.070600000006</v>
      </c>
      <c r="I358" s="263">
        <v>17443.371600000002</v>
      </c>
      <c r="J358" s="263">
        <v>0</v>
      </c>
      <c r="O358" s="264"/>
      <c r="P358" s="264"/>
      <c r="Q358" s="264"/>
      <c r="R358" s="264"/>
      <c r="S358" s="60"/>
      <c r="T358" s="60"/>
      <c r="U358" t="s">
        <v>17996</v>
      </c>
    </row>
    <row r="359" spans="1:21">
      <c r="A359" t="s">
        <v>17997</v>
      </c>
      <c r="B359" s="262">
        <v>43932</v>
      </c>
      <c r="C359" t="s">
        <v>17239</v>
      </c>
      <c r="D359" t="s">
        <v>17240</v>
      </c>
      <c r="E359" s="60">
        <v>0</v>
      </c>
      <c r="F359" s="60">
        <v>34606.154000000002</v>
      </c>
      <c r="G359" s="263">
        <v>0</v>
      </c>
      <c r="H359" s="263">
        <v>32521.925099999997</v>
      </c>
      <c r="I359" s="263">
        <v>0</v>
      </c>
      <c r="J359" s="263">
        <v>2084.22928</v>
      </c>
      <c r="O359" s="264"/>
      <c r="P359" s="264"/>
      <c r="Q359" s="264"/>
      <c r="R359" s="264"/>
      <c r="S359" s="60"/>
      <c r="T359" s="60"/>
      <c r="U359" t="s">
        <v>17202</v>
      </c>
    </row>
    <row r="360" spans="1:21">
      <c r="A360" t="s">
        <v>17998</v>
      </c>
      <c r="B360" s="262">
        <v>43932</v>
      </c>
      <c r="C360" t="s">
        <v>16957</v>
      </c>
      <c r="D360" t="s">
        <v>17451</v>
      </c>
      <c r="E360" s="60">
        <v>0</v>
      </c>
      <c r="F360" s="60">
        <v>40163.519999999997</v>
      </c>
      <c r="G360" s="263">
        <v>40163.519999999997</v>
      </c>
      <c r="H360" s="263">
        <v>0</v>
      </c>
      <c r="I360" s="263">
        <v>0</v>
      </c>
      <c r="J360" s="263">
        <v>0</v>
      </c>
      <c r="O360" s="264"/>
      <c r="P360" s="264"/>
      <c r="Q360" s="264"/>
      <c r="R360" s="264"/>
      <c r="S360" s="60"/>
      <c r="T360" s="60"/>
      <c r="U360" t="s">
        <v>17999</v>
      </c>
    </row>
    <row r="361" spans="1:21">
      <c r="A361" t="s">
        <v>18000</v>
      </c>
      <c r="B361" s="262">
        <v>43936</v>
      </c>
      <c r="C361" t="s">
        <v>16957</v>
      </c>
      <c r="D361" t="s">
        <v>17451</v>
      </c>
      <c r="E361" s="60">
        <v>0</v>
      </c>
      <c r="F361" s="60">
        <v>77283.64</v>
      </c>
      <c r="G361" s="263">
        <v>77283.64</v>
      </c>
      <c r="H361" s="263">
        <v>0</v>
      </c>
      <c r="I361" s="263">
        <v>0</v>
      </c>
      <c r="J361" s="263">
        <v>0</v>
      </c>
      <c r="O361" s="264"/>
      <c r="P361" s="264"/>
      <c r="Q361" s="264"/>
      <c r="R361" s="264"/>
      <c r="S361" s="60"/>
      <c r="T361" s="60"/>
      <c r="U361" t="s">
        <v>18001</v>
      </c>
    </row>
    <row r="362" spans="1:21">
      <c r="A362" t="s">
        <v>18002</v>
      </c>
      <c r="B362" s="262">
        <v>43938</v>
      </c>
      <c r="C362" t="s">
        <v>17226</v>
      </c>
      <c r="D362" t="s">
        <v>17891</v>
      </c>
      <c r="E362" s="60">
        <v>0</v>
      </c>
      <c r="F362" s="60">
        <v>220510</v>
      </c>
      <c r="G362" s="263">
        <v>61050</v>
      </c>
      <c r="H362" s="263">
        <v>52140</v>
      </c>
      <c r="I362" s="263">
        <v>33600</v>
      </c>
      <c r="J362" s="263">
        <v>73720</v>
      </c>
      <c r="O362" s="264"/>
      <c r="P362" s="264"/>
      <c r="Q362" s="264"/>
      <c r="R362" s="264"/>
      <c r="S362" s="60"/>
      <c r="T362" s="60"/>
      <c r="U362" t="s">
        <v>17313</v>
      </c>
    </row>
    <row r="363" spans="1:21">
      <c r="A363" t="s">
        <v>18003</v>
      </c>
      <c r="B363" s="262">
        <v>43938</v>
      </c>
      <c r="C363" t="s">
        <v>17209</v>
      </c>
      <c r="D363" t="s">
        <v>17210</v>
      </c>
      <c r="E363" s="60">
        <v>0</v>
      </c>
      <c r="F363" s="60">
        <v>40278.773000000001</v>
      </c>
      <c r="G363" s="263">
        <v>0</v>
      </c>
      <c r="H363" s="263">
        <v>24575.927039999999</v>
      </c>
      <c r="I363" s="263">
        <v>11098.805759999999</v>
      </c>
      <c r="J363" s="263">
        <v>0</v>
      </c>
      <c r="O363" s="264"/>
      <c r="P363" s="264"/>
      <c r="Q363" s="264"/>
      <c r="R363" s="264"/>
      <c r="S363" s="60"/>
      <c r="T363" s="60"/>
      <c r="U363" t="s">
        <v>18004</v>
      </c>
    </row>
    <row r="364" spans="1:21">
      <c r="A364" t="s">
        <v>18005</v>
      </c>
      <c r="B364" s="262">
        <v>43938</v>
      </c>
      <c r="C364" t="s">
        <v>16470</v>
      </c>
      <c r="D364" t="s">
        <v>16471</v>
      </c>
      <c r="E364" s="60">
        <v>0</v>
      </c>
      <c r="F364" s="60">
        <v>287086.84499999997</v>
      </c>
      <c r="G364" s="263">
        <v>25146.585647999997</v>
      </c>
      <c r="H364" s="263">
        <v>205810.83668999997</v>
      </c>
      <c r="I364" s="263">
        <v>0</v>
      </c>
      <c r="J364" s="263">
        <v>0</v>
      </c>
      <c r="O364" s="264"/>
      <c r="P364" s="264"/>
      <c r="Q364" s="264"/>
      <c r="R364" s="264"/>
      <c r="S364" s="60"/>
      <c r="T364" s="60"/>
      <c r="U364" t="s">
        <v>18006</v>
      </c>
    </row>
    <row r="365" spans="1:21">
      <c r="A365" t="s">
        <v>18007</v>
      </c>
      <c r="B365" s="262">
        <v>43953</v>
      </c>
      <c r="C365" t="s">
        <v>16470</v>
      </c>
      <c r="D365" t="s">
        <v>16471</v>
      </c>
      <c r="E365" s="60">
        <v>0</v>
      </c>
      <c r="F365" s="60">
        <v>84881.260999999999</v>
      </c>
      <c r="G365" s="263">
        <v>0</v>
      </c>
      <c r="H365" s="263">
        <v>0</v>
      </c>
      <c r="I365" s="263">
        <v>73274.187999999995</v>
      </c>
      <c r="J365" s="263">
        <v>0</v>
      </c>
      <c r="O365" s="264"/>
      <c r="P365" s="264"/>
      <c r="Q365" s="264"/>
      <c r="R365" s="264"/>
      <c r="S365" s="60"/>
      <c r="T365" s="60"/>
      <c r="U365" t="s">
        <v>18006</v>
      </c>
    </row>
    <row r="366" spans="1:21">
      <c r="A366" t="s">
        <v>18008</v>
      </c>
      <c r="B366" s="262">
        <v>43953</v>
      </c>
      <c r="C366" t="s">
        <v>16838</v>
      </c>
      <c r="D366" t="s">
        <v>16839</v>
      </c>
      <c r="E366" s="60">
        <v>0</v>
      </c>
      <c r="F366" s="60">
        <v>173825.04</v>
      </c>
      <c r="G366" s="263">
        <v>133808.64000000001</v>
      </c>
      <c r="H366" s="263">
        <v>29659.200000000001</v>
      </c>
      <c r="I366" s="263">
        <v>10357.200000000001</v>
      </c>
      <c r="J366" s="263">
        <v>0</v>
      </c>
      <c r="O366" s="264"/>
      <c r="P366" s="264"/>
      <c r="Q366" s="264"/>
      <c r="R366" s="264"/>
      <c r="S366" s="60"/>
      <c r="T366" s="60"/>
      <c r="U366" t="s">
        <v>18009</v>
      </c>
    </row>
    <row r="367" spans="1:21">
      <c r="A367" t="s">
        <v>18010</v>
      </c>
      <c r="B367" s="262">
        <v>43938</v>
      </c>
      <c r="C367" t="s">
        <v>16838</v>
      </c>
      <c r="D367" t="s">
        <v>16839</v>
      </c>
      <c r="E367" s="60">
        <v>0</v>
      </c>
      <c r="F367" s="60">
        <v>60288</v>
      </c>
      <c r="G367" s="263">
        <v>60288</v>
      </c>
      <c r="H367" s="263">
        <v>0</v>
      </c>
      <c r="I367" s="263">
        <v>0</v>
      </c>
      <c r="J367" s="263">
        <v>0</v>
      </c>
      <c r="O367" s="264"/>
      <c r="P367" s="264"/>
      <c r="Q367" s="264"/>
      <c r="R367" s="264"/>
      <c r="S367" s="60"/>
      <c r="T367" s="60"/>
      <c r="U367" t="s">
        <v>17965</v>
      </c>
    </row>
    <row r="368" spans="1:21">
      <c r="A368" t="s">
        <v>18011</v>
      </c>
      <c r="B368" s="262">
        <v>43953</v>
      </c>
      <c r="C368" t="s">
        <v>16560</v>
      </c>
      <c r="D368" t="s">
        <v>16561</v>
      </c>
      <c r="E368" s="60">
        <v>0</v>
      </c>
      <c r="F368" s="60">
        <v>146392.81200000001</v>
      </c>
      <c r="G368" s="263">
        <v>0</v>
      </c>
      <c r="H368" s="263">
        <v>0</v>
      </c>
      <c r="I368" s="263">
        <v>146392.81200000001</v>
      </c>
      <c r="J368" s="263">
        <v>0</v>
      </c>
      <c r="O368" s="264"/>
      <c r="P368" s="264"/>
      <c r="Q368" s="264"/>
      <c r="R368" s="264"/>
      <c r="S368" s="60"/>
      <c r="T368" s="60"/>
      <c r="U368" t="s">
        <v>18012</v>
      </c>
    </row>
    <row r="369" spans="1:21">
      <c r="A369" t="s">
        <v>18013</v>
      </c>
      <c r="B369" s="262">
        <v>43953</v>
      </c>
      <c r="C369" t="s">
        <v>16560</v>
      </c>
      <c r="D369" t="s">
        <v>16561</v>
      </c>
      <c r="E369" s="60">
        <v>0</v>
      </c>
      <c r="F369" s="60">
        <v>142988.32800000001</v>
      </c>
      <c r="G369" s="263">
        <v>0</v>
      </c>
      <c r="H369" s="263">
        <v>0</v>
      </c>
      <c r="I369" s="263">
        <v>142988.32800000001</v>
      </c>
      <c r="J369" s="263">
        <v>0</v>
      </c>
      <c r="O369" s="264"/>
      <c r="P369" s="264"/>
      <c r="Q369" s="264"/>
      <c r="R369" s="264"/>
      <c r="S369" s="60"/>
      <c r="T369" s="60"/>
      <c r="U369" t="s">
        <v>18012</v>
      </c>
    </row>
    <row r="370" spans="1:21">
      <c r="A370" t="s">
        <v>18014</v>
      </c>
      <c r="B370" s="262">
        <v>43953</v>
      </c>
      <c r="C370" t="s">
        <v>16560</v>
      </c>
      <c r="D370" t="s">
        <v>16561</v>
      </c>
      <c r="E370" s="60">
        <v>0</v>
      </c>
      <c r="F370" s="60">
        <v>178735.41</v>
      </c>
      <c r="G370" s="263">
        <v>0</v>
      </c>
      <c r="H370" s="263">
        <v>0</v>
      </c>
      <c r="I370" s="263">
        <v>178735.41</v>
      </c>
      <c r="J370" s="263">
        <v>0</v>
      </c>
      <c r="O370" s="264"/>
      <c r="P370" s="264"/>
      <c r="Q370" s="264"/>
      <c r="R370" s="264"/>
      <c r="S370" s="60"/>
      <c r="T370" s="60"/>
      <c r="U370" t="s">
        <v>18012</v>
      </c>
    </row>
    <row r="371" spans="1:21">
      <c r="A371" t="s">
        <v>18015</v>
      </c>
      <c r="B371" s="262">
        <v>43953</v>
      </c>
      <c r="C371" t="s">
        <v>17017</v>
      </c>
      <c r="D371" t="s">
        <v>17430</v>
      </c>
      <c r="E371" s="60">
        <v>0</v>
      </c>
      <c r="F371" s="60">
        <v>25846.080000000002</v>
      </c>
      <c r="G371" s="263">
        <v>0</v>
      </c>
      <c r="H371" s="263">
        <v>14446.08</v>
      </c>
      <c r="I371" s="263">
        <v>11400</v>
      </c>
      <c r="J371" s="263">
        <v>0</v>
      </c>
      <c r="O371" s="264"/>
      <c r="P371" s="264"/>
      <c r="Q371" s="264"/>
      <c r="R371" s="264"/>
      <c r="S371" s="60"/>
      <c r="T371" s="60"/>
      <c r="U371" t="s">
        <v>17275</v>
      </c>
    </row>
    <row r="372" spans="1:21">
      <c r="A372" t="s">
        <v>18016</v>
      </c>
      <c r="B372" s="262">
        <v>43941</v>
      </c>
      <c r="C372" t="s">
        <v>17209</v>
      </c>
      <c r="D372" t="s">
        <v>17210</v>
      </c>
      <c r="E372" s="60">
        <v>0</v>
      </c>
      <c r="F372" s="60">
        <v>20853.523999999998</v>
      </c>
      <c r="G372" s="263">
        <v>0</v>
      </c>
      <c r="H372" s="263">
        <v>11098.805759999999</v>
      </c>
      <c r="I372" s="263">
        <v>7927.7183999999997</v>
      </c>
      <c r="J372" s="263">
        <v>0</v>
      </c>
      <c r="O372" s="264"/>
      <c r="P372" s="264"/>
      <c r="Q372" s="264"/>
      <c r="R372" s="264"/>
      <c r="S372" s="60"/>
      <c r="T372" s="60"/>
      <c r="U372" t="s">
        <v>18017</v>
      </c>
    </row>
    <row r="373" spans="1:21">
      <c r="A373" t="s">
        <v>18018</v>
      </c>
      <c r="B373" s="262">
        <v>43948</v>
      </c>
      <c r="C373" t="s">
        <v>16444</v>
      </c>
      <c r="D373" t="s">
        <v>16445</v>
      </c>
      <c r="E373" s="60">
        <v>0</v>
      </c>
      <c r="F373" s="60">
        <v>66904.320000000007</v>
      </c>
      <c r="G373" s="263">
        <v>66904.320000000007</v>
      </c>
      <c r="H373" s="263">
        <v>0</v>
      </c>
      <c r="I373" s="263">
        <v>0</v>
      </c>
      <c r="J373" s="263">
        <v>0</v>
      </c>
      <c r="O373" s="264"/>
      <c r="P373" s="264"/>
      <c r="Q373" s="264"/>
      <c r="R373" s="264"/>
      <c r="S373" s="60"/>
      <c r="T373" s="60"/>
      <c r="U373" t="s">
        <v>18019</v>
      </c>
    </row>
    <row r="374" spans="1:21">
      <c r="A374" t="s">
        <v>18020</v>
      </c>
      <c r="B374" s="262">
        <v>43944</v>
      </c>
      <c r="C374" t="s">
        <v>16444</v>
      </c>
      <c r="D374" t="s">
        <v>16445</v>
      </c>
      <c r="E374" s="60">
        <v>0</v>
      </c>
      <c r="F374" s="60">
        <v>30340</v>
      </c>
      <c r="G374" s="263">
        <v>30340</v>
      </c>
      <c r="H374" s="263">
        <v>0</v>
      </c>
      <c r="I374" s="263">
        <v>0</v>
      </c>
      <c r="J374" s="263">
        <v>0</v>
      </c>
      <c r="O374" s="264"/>
      <c r="P374" s="264"/>
      <c r="Q374" s="264"/>
      <c r="R374" s="264"/>
      <c r="S374" s="60"/>
      <c r="T374" s="60"/>
      <c r="U374" t="s">
        <v>16653</v>
      </c>
    </row>
    <row r="375" spans="1:21">
      <c r="A375" t="s">
        <v>18021</v>
      </c>
      <c r="B375" s="262">
        <v>43987</v>
      </c>
      <c r="C375" t="s">
        <v>17017</v>
      </c>
      <c r="D375" t="s">
        <v>17430</v>
      </c>
      <c r="E375" s="60">
        <v>0</v>
      </c>
      <c r="F375" s="60">
        <v>65190</v>
      </c>
      <c r="G375" s="263">
        <v>0</v>
      </c>
      <c r="H375" s="263">
        <v>65190</v>
      </c>
      <c r="I375" s="263">
        <v>0</v>
      </c>
      <c r="J375" s="263">
        <v>0</v>
      </c>
      <c r="O375" s="264"/>
      <c r="P375" s="264"/>
      <c r="Q375" s="264"/>
      <c r="R375" s="264"/>
      <c r="S375" s="60"/>
      <c r="T375" s="60"/>
      <c r="U375" t="s">
        <v>18022</v>
      </c>
    </row>
    <row r="376" spans="1:21">
      <c r="A376" t="s">
        <v>18023</v>
      </c>
      <c r="B376" s="262">
        <v>43955</v>
      </c>
      <c r="C376" t="s">
        <v>16444</v>
      </c>
      <c r="D376" t="s">
        <v>16445</v>
      </c>
      <c r="E376" s="60">
        <v>0</v>
      </c>
      <c r="F376" s="60">
        <v>29160</v>
      </c>
      <c r="G376" s="263">
        <v>29160</v>
      </c>
      <c r="H376" s="263">
        <v>0</v>
      </c>
      <c r="I376" s="263">
        <v>0</v>
      </c>
      <c r="J376" s="263">
        <v>0</v>
      </c>
      <c r="O376" s="264"/>
      <c r="P376" s="264"/>
      <c r="Q376" s="264"/>
      <c r="R376" s="264"/>
      <c r="S376" s="60"/>
      <c r="T376" s="60"/>
      <c r="U376" t="s">
        <v>17673</v>
      </c>
    </row>
    <row r="377" spans="1:21">
      <c r="A377" t="s">
        <v>18024</v>
      </c>
      <c r="B377" s="262">
        <v>43953</v>
      </c>
      <c r="C377" t="s">
        <v>17017</v>
      </c>
      <c r="D377" t="s">
        <v>17430</v>
      </c>
      <c r="E377" s="60">
        <v>0</v>
      </c>
      <c r="F377" s="60">
        <v>42919.199999999997</v>
      </c>
      <c r="G377" s="263">
        <v>0</v>
      </c>
      <c r="H377" s="263">
        <v>19375.2</v>
      </c>
      <c r="I377" s="263">
        <v>23544</v>
      </c>
      <c r="J377" s="263">
        <v>0</v>
      </c>
      <c r="O377" s="264"/>
      <c r="P377" s="264"/>
      <c r="Q377" s="264"/>
      <c r="R377" s="264"/>
      <c r="S377" s="60"/>
      <c r="T377" s="60"/>
      <c r="U377" t="s">
        <v>16814</v>
      </c>
    </row>
    <row r="378" spans="1:21">
      <c r="A378" t="s">
        <v>18025</v>
      </c>
      <c r="B378" s="262">
        <v>43957</v>
      </c>
      <c r="C378" t="s">
        <v>17017</v>
      </c>
      <c r="D378" t="s">
        <v>17430</v>
      </c>
      <c r="E378" s="60">
        <v>0</v>
      </c>
      <c r="F378" s="60">
        <v>42490.6</v>
      </c>
      <c r="G378" s="263">
        <v>0</v>
      </c>
      <c r="H378" s="263">
        <v>18946.599999999999</v>
      </c>
      <c r="I378" s="263">
        <v>23544</v>
      </c>
      <c r="J378" s="263">
        <v>0</v>
      </c>
      <c r="O378" s="264"/>
      <c r="P378" s="264"/>
      <c r="Q378" s="264"/>
      <c r="R378" s="264"/>
      <c r="S378" s="60"/>
      <c r="T378" s="60"/>
      <c r="U378" t="s">
        <v>16814</v>
      </c>
    </row>
    <row r="379" spans="1:21">
      <c r="A379" t="s">
        <v>18026</v>
      </c>
      <c r="B379" s="262">
        <v>43957</v>
      </c>
      <c r="C379" t="s">
        <v>17017</v>
      </c>
      <c r="D379" t="s">
        <v>17430</v>
      </c>
      <c r="E379" s="60">
        <v>0</v>
      </c>
      <c r="F379" s="60">
        <v>42417.599999999999</v>
      </c>
      <c r="G379" s="263">
        <v>0</v>
      </c>
      <c r="H379" s="263">
        <v>18873.599999999999</v>
      </c>
      <c r="I379" s="263">
        <v>23544</v>
      </c>
      <c r="J379" s="263">
        <v>0</v>
      </c>
      <c r="O379" s="264"/>
      <c r="P379" s="264"/>
      <c r="Q379" s="264"/>
      <c r="R379" s="264"/>
      <c r="S379" s="60"/>
      <c r="T379" s="60"/>
      <c r="U379" t="s">
        <v>16814</v>
      </c>
    </row>
    <row r="380" spans="1:21">
      <c r="A380" t="s">
        <v>18027</v>
      </c>
      <c r="B380" s="262">
        <v>43957</v>
      </c>
      <c r="C380" t="s">
        <v>16444</v>
      </c>
      <c r="D380" t="s">
        <v>16445</v>
      </c>
      <c r="E380" s="60">
        <v>0</v>
      </c>
      <c r="F380" s="60">
        <v>33452.160000000003</v>
      </c>
      <c r="G380" s="263">
        <v>33452.160000000003</v>
      </c>
      <c r="H380" s="263">
        <v>0</v>
      </c>
      <c r="I380" s="263">
        <v>0</v>
      </c>
      <c r="J380" s="263">
        <v>0</v>
      </c>
      <c r="O380" s="264"/>
      <c r="P380" s="264"/>
      <c r="Q380" s="264"/>
      <c r="R380" s="264"/>
      <c r="S380" s="60"/>
      <c r="T380" s="60"/>
      <c r="U380" t="s">
        <v>18028</v>
      </c>
    </row>
    <row r="381" spans="1:21">
      <c r="A381" t="s">
        <v>18029</v>
      </c>
      <c r="B381" s="262">
        <v>43957</v>
      </c>
      <c r="C381" t="s">
        <v>16444</v>
      </c>
      <c r="D381" t="s">
        <v>16445</v>
      </c>
      <c r="E381" s="60">
        <v>0</v>
      </c>
      <c r="F381" s="60">
        <v>133808.64000000001</v>
      </c>
      <c r="G381" s="263">
        <v>133808.64000000001</v>
      </c>
      <c r="H381" s="263">
        <v>0</v>
      </c>
      <c r="I381" s="263">
        <v>0</v>
      </c>
      <c r="J381" s="263">
        <v>0</v>
      </c>
      <c r="O381" s="264"/>
      <c r="P381" s="264"/>
      <c r="Q381" s="264"/>
      <c r="R381" s="264"/>
      <c r="S381" s="60"/>
      <c r="T381" s="60"/>
      <c r="U381" t="s">
        <v>16563</v>
      </c>
    </row>
    <row r="382" spans="1:21">
      <c r="A382" t="s">
        <v>18030</v>
      </c>
      <c r="B382" s="262">
        <v>43958</v>
      </c>
      <c r="C382" t="s">
        <v>17017</v>
      </c>
      <c r="D382" t="s">
        <v>17430</v>
      </c>
      <c r="E382" s="60">
        <v>0</v>
      </c>
      <c r="F382" s="60">
        <v>63200</v>
      </c>
      <c r="G382" s="263">
        <v>0</v>
      </c>
      <c r="H382" s="263">
        <v>63200</v>
      </c>
      <c r="I382" s="263">
        <v>0</v>
      </c>
      <c r="J382" s="263">
        <v>0</v>
      </c>
      <c r="O382" s="264"/>
      <c r="P382" s="264"/>
      <c r="Q382" s="264"/>
      <c r="R382" s="264"/>
      <c r="S382" s="60"/>
      <c r="T382" s="60"/>
      <c r="U382" t="s">
        <v>13859</v>
      </c>
    </row>
    <row r="383" spans="1:21">
      <c r="A383" t="s">
        <v>18031</v>
      </c>
      <c r="B383" s="262">
        <v>43959</v>
      </c>
      <c r="C383" t="s">
        <v>16957</v>
      </c>
      <c r="D383" t="s">
        <v>17451</v>
      </c>
      <c r="E383" s="60">
        <v>0</v>
      </c>
      <c r="F383" s="60">
        <v>40153.86</v>
      </c>
      <c r="G383" s="263">
        <v>40153.860000000008</v>
      </c>
      <c r="H383" s="263">
        <v>0</v>
      </c>
      <c r="I383" s="263">
        <v>0</v>
      </c>
      <c r="J383" s="263">
        <v>0</v>
      </c>
      <c r="O383" s="264"/>
      <c r="P383" s="264"/>
      <c r="Q383" s="264"/>
      <c r="R383" s="264"/>
      <c r="S383" s="60"/>
      <c r="T383" s="60"/>
      <c r="U383" t="s">
        <v>18032</v>
      </c>
    </row>
    <row r="384" spans="1:21">
      <c r="A384" t="s">
        <v>18033</v>
      </c>
      <c r="B384" s="262">
        <v>43959</v>
      </c>
      <c r="C384" t="s">
        <v>16823</v>
      </c>
      <c r="D384" t="s">
        <v>17805</v>
      </c>
      <c r="E384" s="60">
        <v>0</v>
      </c>
      <c r="F384" s="60">
        <v>157622.87300000002</v>
      </c>
      <c r="G384" s="263">
        <v>68788.821024000004</v>
      </c>
      <c r="H384" s="263">
        <v>63944.792207999999</v>
      </c>
      <c r="I384" s="263">
        <v>0</v>
      </c>
      <c r="J384" s="263">
        <v>0</v>
      </c>
      <c r="O384" s="264"/>
      <c r="P384" s="264"/>
      <c r="Q384" s="264"/>
      <c r="R384" s="264"/>
      <c r="S384" s="60"/>
      <c r="T384" s="60"/>
      <c r="U384" t="s">
        <v>18034</v>
      </c>
    </row>
    <row r="385" spans="1:21">
      <c r="A385" t="s">
        <v>18035</v>
      </c>
      <c r="B385" s="262">
        <v>43986</v>
      </c>
      <c r="C385" t="s">
        <v>16957</v>
      </c>
      <c r="D385" t="s">
        <v>17451</v>
      </c>
      <c r="E385" s="60">
        <v>0</v>
      </c>
      <c r="F385" s="60">
        <v>77898.080000000002</v>
      </c>
      <c r="G385" s="263">
        <v>77898.080000000002</v>
      </c>
      <c r="H385" s="263">
        <v>0</v>
      </c>
      <c r="I385" s="263">
        <v>0</v>
      </c>
      <c r="J385" s="263">
        <v>0</v>
      </c>
      <c r="O385" s="264"/>
      <c r="P385" s="264"/>
      <c r="Q385" s="264"/>
      <c r="R385" s="264"/>
      <c r="S385" s="60"/>
      <c r="T385" s="60"/>
      <c r="U385" t="s">
        <v>18036</v>
      </c>
    </row>
    <row r="386" spans="1:21">
      <c r="A386" t="s">
        <v>18037</v>
      </c>
      <c r="B386" s="262">
        <v>43965</v>
      </c>
      <c r="C386" t="s">
        <v>17156</v>
      </c>
      <c r="D386" t="s">
        <v>17575</v>
      </c>
      <c r="E386" s="60">
        <v>0</v>
      </c>
      <c r="F386" s="60">
        <v>64800</v>
      </c>
      <c r="G386" s="263">
        <v>0</v>
      </c>
      <c r="H386" s="263">
        <v>64800</v>
      </c>
      <c r="I386" s="263">
        <v>0</v>
      </c>
      <c r="J386" s="263">
        <v>0</v>
      </c>
      <c r="O386" s="264"/>
      <c r="P386" s="264"/>
      <c r="Q386" s="264"/>
      <c r="R386" s="264"/>
      <c r="S386" s="60"/>
      <c r="T386" s="60"/>
      <c r="U386" t="s">
        <v>17751</v>
      </c>
    </row>
    <row r="387" spans="1:21">
      <c r="A387" t="s">
        <v>18038</v>
      </c>
      <c r="B387" s="262">
        <v>43983</v>
      </c>
      <c r="C387" t="s">
        <v>16880</v>
      </c>
      <c r="D387" t="s">
        <v>16881</v>
      </c>
      <c r="E387" s="60">
        <v>0</v>
      </c>
      <c r="F387" s="60">
        <v>57082.858</v>
      </c>
      <c r="G387" s="263">
        <v>1054.2155400000001</v>
      </c>
      <c r="H387" s="263">
        <v>56028.641999999993</v>
      </c>
      <c r="I387" s="263">
        <v>0</v>
      </c>
      <c r="J387" s="263">
        <v>0</v>
      </c>
      <c r="O387" s="264"/>
      <c r="P387" s="264"/>
      <c r="Q387" s="264"/>
      <c r="R387" s="264"/>
      <c r="S387" s="60"/>
      <c r="T387" s="60"/>
      <c r="U387" t="s">
        <v>18039</v>
      </c>
    </row>
    <row r="388" spans="1:21">
      <c r="A388" t="s">
        <v>18040</v>
      </c>
      <c r="B388" s="262">
        <v>43984</v>
      </c>
      <c r="C388" t="s">
        <v>16972</v>
      </c>
      <c r="D388" t="s">
        <v>17424</v>
      </c>
      <c r="E388" s="60">
        <v>0</v>
      </c>
      <c r="F388" s="60">
        <v>97500</v>
      </c>
      <c r="G388" s="263">
        <v>0</v>
      </c>
      <c r="H388" s="263">
        <v>97500</v>
      </c>
      <c r="I388" s="263">
        <v>0</v>
      </c>
      <c r="J388" s="263">
        <v>0</v>
      </c>
      <c r="O388" s="264"/>
      <c r="P388" s="264"/>
      <c r="Q388" s="264"/>
      <c r="R388" s="264"/>
      <c r="S388" s="60"/>
      <c r="T388" s="60"/>
      <c r="U388" t="s">
        <v>18041</v>
      </c>
    </row>
    <row r="389" spans="1:21">
      <c r="A389" t="s">
        <v>18042</v>
      </c>
      <c r="B389" s="262">
        <v>43969</v>
      </c>
      <c r="C389" t="s">
        <v>16444</v>
      </c>
      <c r="D389" t="s">
        <v>16445</v>
      </c>
      <c r="E389" s="60">
        <v>0</v>
      </c>
      <c r="F389" s="60">
        <v>33452.160000000003</v>
      </c>
      <c r="G389" s="263">
        <v>33452.160000000003</v>
      </c>
      <c r="H389" s="263">
        <v>0</v>
      </c>
      <c r="I389" s="263">
        <v>0</v>
      </c>
      <c r="J389" s="263">
        <v>0</v>
      </c>
      <c r="O389" s="264"/>
      <c r="P389" s="264"/>
      <c r="Q389" s="264"/>
      <c r="R389" s="264"/>
      <c r="S389" s="60"/>
      <c r="T389" s="60"/>
      <c r="U389" t="s">
        <v>16653</v>
      </c>
    </row>
    <row r="390" spans="1:21">
      <c r="A390" t="s">
        <v>18043</v>
      </c>
      <c r="B390" s="262">
        <v>44166</v>
      </c>
      <c r="C390" t="s">
        <v>17017</v>
      </c>
      <c r="D390" t="s">
        <v>17430</v>
      </c>
      <c r="E390" s="60">
        <v>0</v>
      </c>
      <c r="F390" s="60">
        <v>26368.1</v>
      </c>
      <c r="G390" s="263">
        <v>0</v>
      </c>
      <c r="H390" s="263">
        <v>9138.8032000000003</v>
      </c>
      <c r="I390" s="263">
        <v>17229.3</v>
      </c>
      <c r="J390" s="263">
        <v>0</v>
      </c>
      <c r="O390" s="264"/>
      <c r="P390" s="264"/>
      <c r="Q390" s="264"/>
      <c r="R390" s="264"/>
      <c r="S390" s="60"/>
      <c r="T390" s="60"/>
      <c r="U390" t="s">
        <v>17633</v>
      </c>
    </row>
    <row r="391" spans="1:21">
      <c r="A391" t="s">
        <v>18044</v>
      </c>
      <c r="B391" s="262">
        <v>43969</v>
      </c>
      <c r="C391" t="s">
        <v>16444</v>
      </c>
      <c r="D391" t="s">
        <v>16445</v>
      </c>
      <c r="E391" s="60">
        <v>0</v>
      </c>
      <c r="F391" s="60">
        <v>33264</v>
      </c>
      <c r="G391" s="263">
        <v>33264</v>
      </c>
      <c r="H391" s="263">
        <v>0</v>
      </c>
      <c r="I391" s="263">
        <v>0</v>
      </c>
      <c r="J391" s="263">
        <v>0</v>
      </c>
      <c r="O391" s="264"/>
      <c r="P391" s="264"/>
      <c r="Q391" s="264"/>
      <c r="R391" s="264"/>
      <c r="S391" s="60"/>
      <c r="T391" s="60"/>
      <c r="U391" t="s">
        <v>16653</v>
      </c>
    </row>
    <row r="392" spans="1:21">
      <c r="A392" t="s">
        <v>18045</v>
      </c>
      <c r="B392" s="262">
        <v>44145</v>
      </c>
      <c r="C392" t="s">
        <v>16904</v>
      </c>
      <c r="D392" t="s">
        <v>16905</v>
      </c>
      <c r="E392" s="60">
        <v>0</v>
      </c>
      <c r="F392" s="60">
        <v>51733.972000000002</v>
      </c>
      <c r="G392" s="263">
        <v>0</v>
      </c>
      <c r="H392" s="263">
        <v>29319.399899999993</v>
      </c>
      <c r="I392" s="263">
        <v>12916.871999999999</v>
      </c>
      <c r="J392" s="263">
        <v>0</v>
      </c>
      <c r="O392" s="264"/>
      <c r="P392" s="264"/>
      <c r="Q392" s="264"/>
      <c r="R392" s="264"/>
      <c r="S392" s="60"/>
      <c r="T392" s="60"/>
      <c r="U392" t="s">
        <v>18046</v>
      </c>
    </row>
    <row r="393" spans="1:21">
      <c r="A393" t="s">
        <v>18047</v>
      </c>
      <c r="B393" s="262">
        <v>43969</v>
      </c>
      <c r="C393" t="s">
        <v>16904</v>
      </c>
      <c r="D393" t="s">
        <v>16905</v>
      </c>
      <c r="E393" s="60">
        <v>0</v>
      </c>
      <c r="F393" s="60">
        <v>51751.828000000001</v>
      </c>
      <c r="G393" s="263">
        <v>0</v>
      </c>
      <c r="H393" s="263">
        <v>29375.246375999999</v>
      </c>
      <c r="I393" s="263">
        <v>12878.881199999998</v>
      </c>
      <c r="J393" s="263">
        <v>0</v>
      </c>
      <c r="O393" s="264"/>
      <c r="P393" s="264"/>
      <c r="Q393" s="264"/>
      <c r="R393" s="264"/>
      <c r="S393" s="60"/>
      <c r="T393" s="60"/>
      <c r="U393" t="s">
        <v>18048</v>
      </c>
    </row>
    <row r="394" spans="1:21">
      <c r="A394" t="s">
        <v>18049</v>
      </c>
      <c r="B394" s="262">
        <v>43969</v>
      </c>
      <c r="C394" t="s">
        <v>17017</v>
      </c>
      <c r="D394" t="s">
        <v>17430</v>
      </c>
      <c r="E394" s="60">
        <v>0</v>
      </c>
      <c r="F394" s="60">
        <v>69275</v>
      </c>
      <c r="G394" s="263">
        <v>69275</v>
      </c>
      <c r="H394" s="263">
        <v>0</v>
      </c>
      <c r="I394" s="263">
        <v>0</v>
      </c>
      <c r="J394" s="263">
        <v>0</v>
      </c>
      <c r="O394" s="264"/>
      <c r="P394" s="264"/>
      <c r="Q394" s="264"/>
      <c r="R394" s="264"/>
      <c r="S394" s="60"/>
      <c r="T394" s="60"/>
      <c r="U394" t="s">
        <v>17238</v>
      </c>
    </row>
    <row r="395" spans="1:21">
      <c r="A395" t="s">
        <v>18050</v>
      </c>
      <c r="B395" s="262">
        <v>43983</v>
      </c>
      <c r="C395" t="s">
        <v>16838</v>
      </c>
      <c r="D395" t="s">
        <v>16839</v>
      </c>
      <c r="E395" s="60">
        <v>0</v>
      </c>
      <c r="F395" s="60">
        <v>145784</v>
      </c>
      <c r="G395" s="263">
        <v>0</v>
      </c>
      <c r="H395" s="263">
        <v>29304</v>
      </c>
      <c r="I395" s="263">
        <v>116480</v>
      </c>
      <c r="J395" s="263">
        <v>0</v>
      </c>
      <c r="O395" s="264"/>
      <c r="P395" s="264"/>
      <c r="Q395" s="264"/>
      <c r="R395" s="264"/>
      <c r="S395" s="60"/>
      <c r="T395" s="60"/>
      <c r="U395" t="s">
        <v>18051</v>
      </c>
    </row>
    <row r="396" spans="1:21">
      <c r="A396" t="s">
        <v>18052</v>
      </c>
      <c r="B396" s="262">
        <v>43984</v>
      </c>
      <c r="C396" t="s">
        <v>16838</v>
      </c>
      <c r="D396" t="s">
        <v>16839</v>
      </c>
      <c r="E396" s="60">
        <v>0</v>
      </c>
      <c r="F396" s="60">
        <v>107424</v>
      </c>
      <c r="G396" s="263">
        <v>0</v>
      </c>
      <c r="H396" s="263">
        <v>29304</v>
      </c>
      <c r="I396" s="263">
        <v>78120</v>
      </c>
      <c r="J396" s="263">
        <v>0</v>
      </c>
      <c r="O396" s="264"/>
      <c r="P396" s="264"/>
      <c r="Q396" s="264"/>
      <c r="R396" s="264"/>
      <c r="S396" s="60"/>
      <c r="T396" s="60"/>
      <c r="U396" t="s">
        <v>18053</v>
      </c>
    </row>
    <row r="397" spans="1:21">
      <c r="A397" t="s">
        <v>18054</v>
      </c>
      <c r="B397" s="262">
        <v>43973</v>
      </c>
      <c r="C397" t="s">
        <v>16838</v>
      </c>
      <c r="D397" t="s">
        <v>16839</v>
      </c>
      <c r="E397" s="60">
        <v>0</v>
      </c>
      <c r="F397" s="60">
        <v>90432</v>
      </c>
      <c r="G397" s="263">
        <v>90432</v>
      </c>
      <c r="H397" s="263">
        <v>0</v>
      </c>
      <c r="I397" s="263">
        <v>0</v>
      </c>
      <c r="J397" s="263">
        <v>0</v>
      </c>
      <c r="O397" s="264"/>
      <c r="P397" s="264"/>
      <c r="Q397" s="264"/>
      <c r="R397" s="264"/>
      <c r="S397" s="60"/>
      <c r="T397" s="60"/>
      <c r="U397" t="s">
        <v>18009</v>
      </c>
    </row>
    <row r="398" spans="1:21">
      <c r="A398" t="s">
        <v>18055</v>
      </c>
      <c r="B398" s="262">
        <v>44007</v>
      </c>
      <c r="C398" t="s">
        <v>16838</v>
      </c>
      <c r="D398" t="s">
        <v>16839</v>
      </c>
      <c r="E398" s="60">
        <v>0</v>
      </c>
      <c r="F398" s="60">
        <v>115080</v>
      </c>
      <c r="G398" s="263">
        <v>0</v>
      </c>
      <c r="H398" s="263">
        <v>0</v>
      </c>
      <c r="I398" s="263">
        <v>115080</v>
      </c>
      <c r="J398" s="263">
        <v>0</v>
      </c>
      <c r="O398" s="264"/>
      <c r="P398" s="264"/>
      <c r="Q398" s="264"/>
      <c r="R398" s="264"/>
      <c r="S398" s="60"/>
      <c r="T398" s="60"/>
      <c r="U398" t="s">
        <v>18051</v>
      </c>
    </row>
    <row r="399" spans="1:21">
      <c r="A399" t="s">
        <v>18056</v>
      </c>
      <c r="B399" s="262">
        <v>44007</v>
      </c>
      <c r="C399" t="s">
        <v>16838</v>
      </c>
      <c r="D399" t="s">
        <v>16839</v>
      </c>
      <c r="E399" s="60">
        <v>0</v>
      </c>
      <c r="F399" s="60">
        <v>38360</v>
      </c>
      <c r="G399" s="263">
        <v>0</v>
      </c>
      <c r="H399" s="263">
        <v>0</v>
      </c>
      <c r="I399" s="263">
        <v>38360</v>
      </c>
      <c r="J399" s="263">
        <v>0</v>
      </c>
      <c r="O399" s="264"/>
      <c r="P399" s="264"/>
      <c r="Q399" s="264"/>
      <c r="R399" s="264"/>
      <c r="S399" s="60"/>
      <c r="T399" s="60"/>
      <c r="U399" t="s">
        <v>18051</v>
      </c>
    </row>
    <row r="400" spans="1:21">
      <c r="A400" t="s">
        <v>18057</v>
      </c>
      <c r="B400" s="262">
        <v>43984</v>
      </c>
      <c r="C400" t="s">
        <v>16444</v>
      </c>
      <c r="D400" t="s">
        <v>16445</v>
      </c>
      <c r="E400" s="60">
        <v>0</v>
      </c>
      <c r="F400" s="60">
        <v>347200</v>
      </c>
      <c r="G400" s="263">
        <v>0</v>
      </c>
      <c r="H400" s="263">
        <v>0</v>
      </c>
      <c r="I400" s="263">
        <v>347200</v>
      </c>
      <c r="J400" s="263">
        <v>0</v>
      </c>
      <c r="O400" s="264"/>
      <c r="P400" s="264"/>
      <c r="Q400" s="264"/>
      <c r="R400" s="264"/>
      <c r="S400" s="60"/>
      <c r="T400" s="60"/>
      <c r="U400" t="s">
        <v>16563</v>
      </c>
    </row>
    <row r="401" spans="1:21">
      <c r="A401" t="s">
        <v>18058</v>
      </c>
      <c r="B401" s="262">
        <v>43983</v>
      </c>
      <c r="C401" t="s">
        <v>16384</v>
      </c>
      <c r="D401" t="s">
        <v>16385</v>
      </c>
      <c r="E401" s="60">
        <v>0</v>
      </c>
      <c r="F401" s="60">
        <v>90432</v>
      </c>
      <c r="G401" s="263">
        <v>90432</v>
      </c>
      <c r="H401" s="263">
        <v>0</v>
      </c>
      <c r="I401" s="263">
        <v>0</v>
      </c>
      <c r="J401" s="263">
        <v>0</v>
      </c>
      <c r="O401" s="264"/>
      <c r="P401" s="264"/>
      <c r="Q401" s="264"/>
      <c r="R401" s="264"/>
      <c r="S401" s="60"/>
      <c r="T401" s="60"/>
      <c r="U401" t="s">
        <v>17589</v>
      </c>
    </row>
    <row r="402" spans="1:21">
      <c r="A402" t="s">
        <v>18059</v>
      </c>
      <c r="B402" s="262">
        <v>43983</v>
      </c>
      <c r="C402" t="s">
        <v>17156</v>
      </c>
      <c r="D402" t="s">
        <v>17575</v>
      </c>
      <c r="E402" s="60">
        <v>0</v>
      </c>
      <c r="F402" s="60">
        <v>34800</v>
      </c>
      <c r="G402" s="263">
        <v>34800</v>
      </c>
      <c r="H402" s="263">
        <v>0</v>
      </c>
      <c r="I402" s="263">
        <v>0</v>
      </c>
      <c r="J402" s="263">
        <v>0</v>
      </c>
      <c r="O402" s="264"/>
      <c r="P402" s="264"/>
      <c r="Q402" s="264"/>
      <c r="R402" s="264"/>
      <c r="S402" s="60"/>
      <c r="T402" s="60"/>
      <c r="U402" t="s">
        <v>18060</v>
      </c>
    </row>
    <row r="403" spans="1:21">
      <c r="A403" t="s">
        <v>18061</v>
      </c>
      <c r="B403" s="262">
        <v>43983</v>
      </c>
      <c r="C403" t="s">
        <v>16957</v>
      </c>
      <c r="D403" t="s">
        <v>17451</v>
      </c>
      <c r="E403" s="60">
        <v>0</v>
      </c>
      <c r="F403" s="60">
        <v>80761.98</v>
      </c>
      <c r="G403" s="263">
        <v>80761.98</v>
      </c>
      <c r="H403" s="263">
        <v>0</v>
      </c>
      <c r="I403" s="263">
        <v>0</v>
      </c>
      <c r="J403" s="263">
        <v>0</v>
      </c>
      <c r="O403" s="264"/>
      <c r="P403" s="264"/>
      <c r="Q403" s="264"/>
      <c r="R403" s="264"/>
      <c r="S403" s="60"/>
      <c r="T403" s="60"/>
      <c r="U403" t="s">
        <v>18062</v>
      </c>
    </row>
    <row r="404" spans="1:21">
      <c r="A404" t="s">
        <v>18063</v>
      </c>
      <c r="B404" s="262">
        <v>43983</v>
      </c>
      <c r="C404" t="s">
        <v>17017</v>
      </c>
      <c r="D404" t="s">
        <v>17430</v>
      </c>
      <c r="E404" s="60">
        <v>0</v>
      </c>
      <c r="F404" s="60">
        <v>33000</v>
      </c>
      <c r="G404" s="263">
        <v>0</v>
      </c>
      <c r="H404" s="263">
        <v>33000</v>
      </c>
      <c r="I404" s="263">
        <v>0</v>
      </c>
      <c r="J404" s="263">
        <v>0</v>
      </c>
      <c r="O404" s="264"/>
      <c r="P404" s="264"/>
      <c r="Q404" s="264"/>
      <c r="R404" s="264"/>
      <c r="S404" s="60"/>
      <c r="T404" s="60"/>
      <c r="U404" t="s">
        <v>18064</v>
      </c>
    </row>
    <row r="405" spans="1:21">
      <c r="A405" t="s">
        <v>18065</v>
      </c>
      <c r="B405" s="262">
        <v>43986</v>
      </c>
      <c r="C405" t="s">
        <v>16783</v>
      </c>
      <c r="D405" t="s">
        <v>17509</v>
      </c>
      <c r="E405" s="60">
        <v>0</v>
      </c>
      <c r="F405" s="60">
        <v>1009998.679</v>
      </c>
      <c r="G405" s="263">
        <v>141283.46400000004</v>
      </c>
      <c r="H405" s="263">
        <v>685626.22861439968</v>
      </c>
      <c r="I405" s="263">
        <v>105917.34658560003</v>
      </c>
      <c r="J405" s="263">
        <v>0</v>
      </c>
      <c r="O405" s="264"/>
      <c r="P405" s="264"/>
      <c r="Q405" s="264"/>
      <c r="R405" s="264"/>
      <c r="S405" s="60"/>
      <c r="T405" s="60"/>
    </row>
    <row r="406" spans="1:21">
      <c r="A406" t="s">
        <v>18066</v>
      </c>
      <c r="B406" s="262">
        <v>43986</v>
      </c>
      <c r="C406" t="s">
        <v>17233</v>
      </c>
      <c r="D406" t="s">
        <v>17234</v>
      </c>
      <c r="E406" s="60">
        <v>0</v>
      </c>
      <c r="F406" s="60">
        <v>1476862.5459999999</v>
      </c>
      <c r="G406" s="263">
        <v>0</v>
      </c>
      <c r="H406" s="263">
        <v>1206316.2293640007</v>
      </c>
      <c r="I406" s="263">
        <v>152456.56689599997</v>
      </c>
      <c r="J406" s="263">
        <v>0</v>
      </c>
      <c r="O406" s="264"/>
      <c r="P406" s="264"/>
      <c r="Q406" s="264"/>
      <c r="R406" s="264"/>
      <c r="S406" s="60"/>
      <c r="T406" s="60"/>
      <c r="U406" t="s">
        <v>18067</v>
      </c>
    </row>
    <row r="407" spans="1:21">
      <c r="A407" t="s">
        <v>18068</v>
      </c>
      <c r="B407" s="262">
        <v>43991</v>
      </c>
      <c r="C407" t="s">
        <v>17219</v>
      </c>
      <c r="D407" t="s">
        <v>17220</v>
      </c>
      <c r="E407" s="60">
        <v>0</v>
      </c>
      <c r="F407" s="60">
        <v>432393.55499999999</v>
      </c>
      <c r="G407" s="263">
        <v>0</v>
      </c>
      <c r="H407" s="263">
        <v>292410.03000000003</v>
      </c>
      <c r="I407" s="263">
        <v>139983.52499999999</v>
      </c>
      <c r="J407" s="263">
        <v>0</v>
      </c>
      <c r="O407" s="264"/>
      <c r="P407" s="264"/>
      <c r="Q407" s="264"/>
      <c r="R407" s="264"/>
      <c r="S407" s="60"/>
      <c r="T407" s="60"/>
      <c r="U407" t="s">
        <v>17433</v>
      </c>
    </row>
    <row r="408" spans="1:21">
      <c r="A408" t="s">
        <v>18069</v>
      </c>
      <c r="B408" s="262">
        <v>43993</v>
      </c>
      <c r="C408" t="s">
        <v>16444</v>
      </c>
      <c r="D408" t="s">
        <v>16445</v>
      </c>
      <c r="E408" s="60">
        <v>0</v>
      </c>
      <c r="F408" s="60">
        <v>79097.52</v>
      </c>
      <c r="G408" s="263">
        <v>27480</v>
      </c>
      <c r="H408" s="263">
        <v>51617.52</v>
      </c>
      <c r="I408" s="263">
        <v>0</v>
      </c>
      <c r="J408" s="263">
        <v>0</v>
      </c>
      <c r="O408" s="264"/>
      <c r="P408" s="264"/>
      <c r="Q408" s="264"/>
      <c r="R408" s="264"/>
      <c r="S408" s="60"/>
      <c r="T408" s="60"/>
      <c r="U408" t="s">
        <v>18019</v>
      </c>
    </row>
    <row r="409" spans="1:21">
      <c r="A409" t="s">
        <v>18070</v>
      </c>
      <c r="B409" s="262">
        <v>43994</v>
      </c>
      <c r="C409" t="s">
        <v>16444</v>
      </c>
      <c r="D409" t="s">
        <v>16445</v>
      </c>
      <c r="E409" s="60">
        <v>0</v>
      </c>
      <c r="F409" s="60">
        <v>84637.92</v>
      </c>
      <c r="G409" s="263">
        <v>29280</v>
      </c>
      <c r="H409" s="263">
        <v>55357.919999999998</v>
      </c>
      <c r="I409" s="263">
        <v>0</v>
      </c>
      <c r="J409" s="263">
        <v>0</v>
      </c>
      <c r="O409" s="264"/>
      <c r="P409" s="264"/>
      <c r="Q409" s="264"/>
      <c r="R409" s="264"/>
      <c r="S409" s="60"/>
      <c r="T409" s="60"/>
      <c r="U409" t="s">
        <v>18028</v>
      </c>
    </row>
    <row r="410" spans="1:21">
      <c r="A410" t="s">
        <v>18071</v>
      </c>
      <c r="B410" s="262">
        <v>43994</v>
      </c>
      <c r="C410" t="s">
        <v>16444</v>
      </c>
      <c r="D410" t="s">
        <v>16445</v>
      </c>
      <c r="E410" s="60">
        <v>0</v>
      </c>
      <c r="F410" s="60">
        <v>165000</v>
      </c>
      <c r="G410" s="263">
        <v>0</v>
      </c>
      <c r="H410" s="263">
        <v>165000</v>
      </c>
      <c r="I410" s="263">
        <v>0</v>
      </c>
      <c r="J410" s="263">
        <v>0</v>
      </c>
      <c r="O410" s="264"/>
      <c r="P410" s="264"/>
      <c r="Q410" s="264"/>
      <c r="R410" s="264"/>
      <c r="S410" s="60"/>
      <c r="T410" s="60"/>
      <c r="U410" t="s">
        <v>16563</v>
      </c>
    </row>
    <row r="411" spans="1:21">
      <c r="A411" t="s">
        <v>18072</v>
      </c>
      <c r="B411" s="262">
        <v>43994</v>
      </c>
      <c r="C411" t="s">
        <v>16444</v>
      </c>
      <c r="D411" t="s">
        <v>16445</v>
      </c>
      <c r="E411" s="60">
        <v>0</v>
      </c>
      <c r="F411" s="60">
        <v>32064</v>
      </c>
      <c r="G411" s="263">
        <v>32064</v>
      </c>
      <c r="H411" s="263">
        <v>0</v>
      </c>
      <c r="I411" s="263">
        <v>0</v>
      </c>
      <c r="J411" s="263">
        <v>0</v>
      </c>
      <c r="O411" s="264"/>
      <c r="P411" s="264"/>
      <c r="Q411" s="264"/>
      <c r="R411" s="264"/>
      <c r="S411" s="60"/>
      <c r="T411" s="60"/>
      <c r="U411" t="s">
        <v>18073</v>
      </c>
    </row>
    <row r="412" spans="1:21">
      <c r="A412" t="s">
        <v>18074</v>
      </c>
      <c r="B412" s="262">
        <v>43995</v>
      </c>
      <c r="C412" t="s">
        <v>16838</v>
      </c>
      <c r="D412" t="s">
        <v>16839</v>
      </c>
      <c r="E412" s="60">
        <v>0</v>
      </c>
      <c r="F412" s="60">
        <v>147453.6</v>
      </c>
      <c r="G412" s="263">
        <v>0</v>
      </c>
      <c r="H412" s="263">
        <v>147453.6</v>
      </c>
      <c r="I412" s="263">
        <v>0</v>
      </c>
      <c r="J412" s="263">
        <v>0</v>
      </c>
      <c r="O412" s="264"/>
      <c r="P412" s="264"/>
      <c r="Q412" s="264"/>
      <c r="R412" s="264"/>
      <c r="S412" s="60"/>
      <c r="T412" s="60"/>
      <c r="U412" t="s">
        <v>17685</v>
      </c>
    </row>
    <row r="413" spans="1:21">
      <c r="A413" t="s">
        <v>18075</v>
      </c>
      <c r="B413" s="262">
        <v>43995</v>
      </c>
      <c r="C413" t="s">
        <v>16384</v>
      </c>
      <c r="D413" t="s">
        <v>16385</v>
      </c>
      <c r="E413" s="60">
        <v>0</v>
      </c>
      <c r="F413" s="60">
        <v>117600</v>
      </c>
      <c r="G413" s="263">
        <v>0</v>
      </c>
      <c r="H413" s="263">
        <v>0</v>
      </c>
      <c r="I413" s="263">
        <v>117600</v>
      </c>
      <c r="J413" s="263">
        <v>0</v>
      </c>
      <c r="O413" s="264"/>
      <c r="P413" s="264"/>
      <c r="Q413" s="264"/>
      <c r="R413" s="264"/>
      <c r="S413" s="60"/>
      <c r="T413" s="60"/>
      <c r="U413" t="s">
        <v>17777</v>
      </c>
    </row>
    <row r="414" spans="1:21">
      <c r="A414" t="s">
        <v>18076</v>
      </c>
      <c r="B414" s="262">
        <v>43995</v>
      </c>
      <c r="C414" t="s">
        <v>16904</v>
      </c>
      <c r="D414" t="s">
        <v>16905</v>
      </c>
      <c r="E414" s="60">
        <v>0</v>
      </c>
      <c r="F414" s="60">
        <v>52315.044000000002</v>
      </c>
      <c r="G414" s="263">
        <v>0</v>
      </c>
      <c r="H414" s="263">
        <v>21474.371520000001</v>
      </c>
      <c r="I414" s="263">
        <v>21229.872768000001</v>
      </c>
      <c r="J414" s="263">
        <v>0</v>
      </c>
      <c r="O414" s="264"/>
      <c r="P414" s="264"/>
      <c r="Q414" s="264"/>
      <c r="R414" s="264"/>
      <c r="S414" s="60"/>
      <c r="T414" s="60"/>
      <c r="U414" t="s">
        <v>18077</v>
      </c>
    </row>
    <row r="415" spans="1:21">
      <c r="A415" t="s">
        <v>18078</v>
      </c>
      <c r="B415" s="262">
        <v>43995</v>
      </c>
      <c r="C415" t="s">
        <v>16904</v>
      </c>
      <c r="D415" t="s">
        <v>16905</v>
      </c>
      <c r="E415" s="60">
        <v>0</v>
      </c>
      <c r="F415" s="60">
        <v>52368.095999999998</v>
      </c>
      <c r="G415" s="263">
        <v>0</v>
      </c>
      <c r="H415" s="263">
        <v>30101.794464000002</v>
      </c>
      <c r="I415" s="263">
        <v>12655.501439999998</v>
      </c>
      <c r="J415" s="263">
        <v>0</v>
      </c>
      <c r="O415" s="264"/>
      <c r="P415" s="264"/>
      <c r="Q415" s="264"/>
      <c r="R415" s="264"/>
      <c r="S415" s="60"/>
      <c r="T415" s="60"/>
      <c r="U415" t="s">
        <v>18079</v>
      </c>
    </row>
    <row r="416" spans="1:21">
      <c r="A416" t="s">
        <v>18080</v>
      </c>
      <c r="B416" s="262">
        <v>43995</v>
      </c>
      <c r="C416" t="s">
        <v>16470</v>
      </c>
      <c r="D416" t="s">
        <v>16471</v>
      </c>
      <c r="E416" s="60">
        <v>0</v>
      </c>
      <c r="F416" s="60">
        <v>301411.65700000001</v>
      </c>
      <c r="G416" s="263">
        <v>23274.404748000004</v>
      </c>
      <c r="H416" s="263">
        <v>214257.43861199994</v>
      </c>
      <c r="I416" s="263">
        <v>0</v>
      </c>
      <c r="J416" s="263">
        <v>0</v>
      </c>
      <c r="O416" s="264"/>
      <c r="P416" s="264"/>
      <c r="Q416" s="264"/>
      <c r="R416" s="264"/>
      <c r="S416" s="60"/>
      <c r="T416" s="60"/>
      <c r="U416" t="s">
        <v>18081</v>
      </c>
    </row>
    <row r="417" spans="1:21">
      <c r="A417" t="s">
        <v>18082</v>
      </c>
      <c r="B417" s="262">
        <v>43997</v>
      </c>
      <c r="C417" t="s">
        <v>17119</v>
      </c>
      <c r="D417" t="s">
        <v>17120</v>
      </c>
      <c r="E417" s="60">
        <v>0</v>
      </c>
      <c r="F417" s="60">
        <v>158420.39600000001</v>
      </c>
      <c r="G417" s="263">
        <v>98743.103999999992</v>
      </c>
      <c r="H417" s="263">
        <v>37962.952049999993</v>
      </c>
      <c r="I417" s="263">
        <v>0</v>
      </c>
      <c r="J417" s="263">
        <v>0</v>
      </c>
      <c r="O417" s="264"/>
      <c r="P417" s="264"/>
      <c r="Q417" s="264"/>
      <c r="R417" s="264"/>
      <c r="S417" s="60"/>
      <c r="T417" s="60"/>
    </row>
    <row r="418" spans="1:21">
      <c r="A418" t="s">
        <v>18083</v>
      </c>
      <c r="B418" s="262">
        <v>44019</v>
      </c>
      <c r="C418" t="s">
        <v>17244</v>
      </c>
      <c r="D418" t="s">
        <v>18084</v>
      </c>
      <c r="E418" s="60">
        <v>0</v>
      </c>
      <c r="F418" s="60">
        <v>9238.08</v>
      </c>
      <c r="G418" s="263">
        <v>0</v>
      </c>
      <c r="H418" s="263">
        <v>4078.08</v>
      </c>
      <c r="I418" s="263">
        <v>5160</v>
      </c>
      <c r="J418" s="263">
        <v>0</v>
      </c>
      <c r="O418" s="264"/>
      <c r="P418" s="264"/>
      <c r="Q418" s="264"/>
      <c r="R418" s="264"/>
      <c r="S418" s="60"/>
      <c r="T418" s="60"/>
      <c r="U418" t="s">
        <v>18085</v>
      </c>
    </row>
    <row r="419" spans="1:21">
      <c r="A419" t="s">
        <v>18086</v>
      </c>
      <c r="B419" s="262">
        <v>43997</v>
      </c>
      <c r="C419" t="s">
        <v>17242</v>
      </c>
      <c r="D419" t="s">
        <v>17243</v>
      </c>
      <c r="E419" s="60">
        <v>0</v>
      </c>
      <c r="F419" s="60">
        <v>485563.32</v>
      </c>
      <c r="G419" s="263">
        <v>0</v>
      </c>
      <c r="H419" s="263">
        <v>435107.13602400006</v>
      </c>
      <c r="I419" s="263">
        <v>22245.638975999995</v>
      </c>
      <c r="J419" s="263">
        <v>0</v>
      </c>
      <c r="O419" s="264"/>
      <c r="P419" s="264"/>
      <c r="Q419" s="264"/>
      <c r="R419" s="264"/>
      <c r="S419" s="60"/>
      <c r="T419" s="60"/>
      <c r="U419" t="s">
        <v>17748</v>
      </c>
    </row>
    <row r="420" spans="1:21">
      <c r="A420" t="s">
        <v>18087</v>
      </c>
      <c r="B420" s="262">
        <v>43997</v>
      </c>
      <c r="C420" t="s">
        <v>17017</v>
      </c>
      <c r="D420" t="s">
        <v>17430</v>
      </c>
      <c r="E420" s="60">
        <v>0</v>
      </c>
      <c r="F420" s="60">
        <v>38154</v>
      </c>
      <c r="G420" s="263">
        <v>0</v>
      </c>
      <c r="H420" s="263">
        <v>26880</v>
      </c>
      <c r="I420" s="263">
        <v>8478</v>
      </c>
      <c r="J420" s="263">
        <v>2796</v>
      </c>
      <c r="O420" s="264"/>
      <c r="P420" s="264"/>
      <c r="Q420" s="264"/>
      <c r="R420" s="264"/>
      <c r="S420" s="60"/>
      <c r="T420" s="60"/>
      <c r="U420" t="s">
        <v>17466</v>
      </c>
    </row>
    <row r="421" spans="1:21">
      <c r="A421" t="s">
        <v>18088</v>
      </c>
      <c r="B421" s="262">
        <v>44053</v>
      </c>
      <c r="C421" t="s">
        <v>16899</v>
      </c>
      <c r="D421" t="s">
        <v>17459</v>
      </c>
      <c r="E421" s="60">
        <v>0</v>
      </c>
      <c r="F421" s="60">
        <v>75040</v>
      </c>
      <c r="G421" s="263">
        <v>0</v>
      </c>
      <c r="H421" s="263">
        <v>0</v>
      </c>
      <c r="I421" s="263">
        <v>75040</v>
      </c>
      <c r="J421" s="263">
        <v>0</v>
      </c>
      <c r="O421" s="264"/>
      <c r="P421" s="264"/>
      <c r="Q421" s="264"/>
      <c r="R421" s="264"/>
      <c r="S421" s="60"/>
      <c r="T421" s="60"/>
      <c r="U421" t="s">
        <v>18089</v>
      </c>
    </row>
    <row r="422" spans="1:21">
      <c r="A422" t="s">
        <v>18090</v>
      </c>
      <c r="B422" s="262">
        <v>43999</v>
      </c>
      <c r="C422" t="s">
        <v>16444</v>
      </c>
      <c r="D422" t="s">
        <v>16445</v>
      </c>
      <c r="E422" s="60">
        <v>0</v>
      </c>
      <c r="F422" s="60">
        <v>66904.320000000007</v>
      </c>
      <c r="G422" s="263">
        <v>66904.320000000007</v>
      </c>
      <c r="H422" s="263">
        <v>0</v>
      </c>
      <c r="I422" s="263">
        <v>0</v>
      </c>
      <c r="J422" s="263">
        <v>0</v>
      </c>
      <c r="O422" s="264"/>
      <c r="P422" s="264"/>
      <c r="Q422" s="264"/>
      <c r="R422" s="264"/>
      <c r="S422" s="60"/>
      <c r="T422" s="60"/>
      <c r="U422" t="s">
        <v>16653</v>
      </c>
    </row>
    <row r="423" spans="1:21">
      <c r="A423" t="s">
        <v>18091</v>
      </c>
      <c r="B423" s="262">
        <v>44002</v>
      </c>
      <c r="C423" t="s">
        <v>17017</v>
      </c>
      <c r="D423" t="s">
        <v>17430</v>
      </c>
      <c r="E423" s="60">
        <v>0</v>
      </c>
      <c r="F423" s="60">
        <v>8444</v>
      </c>
      <c r="G423" s="263">
        <v>0</v>
      </c>
      <c r="H423" s="263">
        <v>8444</v>
      </c>
      <c r="I423" s="263">
        <v>0</v>
      </c>
      <c r="J423" s="263">
        <v>0</v>
      </c>
      <c r="O423" s="264"/>
      <c r="P423" s="264"/>
      <c r="Q423" s="264"/>
      <c r="R423" s="264"/>
      <c r="S423" s="60"/>
      <c r="T423" s="60"/>
      <c r="U423" t="s">
        <v>18092</v>
      </c>
    </row>
    <row r="424" spans="1:21">
      <c r="A424" t="s">
        <v>18093</v>
      </c>
      <c r="B424" s="262">
        <v>44004</v>
      </c>
      <c r="C424" t="s">
        <v>16384</v>
      </c>
      <c r="D424" t="s">
        <v>16385</v>
      </c>
      <c r="E424" s="60">
        <v>0</v>
      </c>
      <c r="F424" s="60">
        <v>68388</v>
      </c>
      <c r="G424" s="263">
        <v>11016</v>
      </c>
      <c r="H424" s="263">
        <v>57372</v>
      </c>
      <c r="I424" s="263">
        <v>0</v>
      </c>
      <c r="J424" s="263">
        <v>0</v>
      </c>
      <c r="O424" s="264"/>
      <c r="P424" s="264"/>
      <c r="Q424" s="264"/>
      <c r="R424" s="264"/>
      <c r="S424" s="60"/>
      <c r="T424" s="60"/>
      <c r="U424" t="s">
        <v>18094</v>
      </c>
    </row>
    <row r="425" spans="1:21">
      <c r="A425" t="s">
        <v>18095</v>
      </c>
      <c r="B425" s="262">
        <v>44004</v>
      </c>
      <c r="C425" t="s">
        <v>16838</v>
      </c>
      <c r="D425" t="s">
        <v>16839</v>
      </c>
      <c r="E425" s="60">
        <v>0</v>
      </c>
      <c r="F425" s="60">
        <v>37200</v>
      </c>
      <c r="G425" s="263">
        <v>0</v>
      </c>
      <c r="H425" s="263">
        <v>37200</v>
      </c>
      <c r="I425" s="263">
        <v>0</v>
      </c>
      <c r="J425" s="263">
        <v>0</v>
      </c>
      <c r="O425" s="264"/>
      <c r="P425" s="264"/>
      <c r="Q425" s="264"/>
      <c r="R425" s="264"/>
      <c r="S425" s="60"/>
      <c r="T425" s="60"/>
      <c r="U425" t="s">
        <v>17949</v>
      </c>
    </row>
    <row r="426" spans="1:21">
      <c r="A426" t="s">
        <v>18096</v>
      </c>
      <c r="B426" s="262">
        <v>44004</v>
      </c>
      <c r="C426" t="s">
        <v>16643</v>
      </c>
      <c r="D426" t="s">
        <v>16644</v>
      </c>
      <c r="E426" s="60">
        <v>0</v>
      </c>
      <c r="F426" s="60">
        <v>153884.91199999998</v>
      </c>
      <c r="G426" s="263">
        <v>0</v>
      </c>
      <c r="H426" s="263">
        <v>117128.24759999997</v>
      </c>
      <c r="I426" s="263">
        <v>0</v>
      </c>
      <c r="J426" s="263">
        <v>0</v>
      </c>
      <c r="O426" s="264"/>
      <c r="P426" s="264"/>
      <c r="Q426" s="264"/>
      <c r="R426" s="264"/>
      <c r="S426" s="60"/>
      <c r="T426" s="60"/>
      <c r="U426" t="s">
        <v>18097</v>
      </c>
    </row>
    <row r="427" spans="1:21">
      <c r="A427" t="s">
        <v>18098</v>
      </c>
      <c r="B427" s="262">
        <v>44016</v>
      </c>
      <c r="C427" t="s">
        <v>16972</v>
      </c>
      <c r="D427" t="s">
        <v>17424</v>
      </c>
      <c r="E427" s="60">
        <v>0</v>
      </c>
      <c r="F427" s="60">
        <v>218400</v>
      </c>
      <c r="G427" s="263">
        <v>0</v>
      </c>
      <c r="H427" s="263">
        <v>0</v>
      </c>
      <c r="I427" s="263">
        <v>218400</v>
      </c>
      <c r="J427" s="263">
        <v>0</v>
      </c>
      <c r="O427" s="264"/>
      <c r="P427" s="264"/>
      <c r="Q427" s="264"/>
      <c r="R427" s="264"/>
      <c r="S427" s="60"/>
      <c r="T427" s="60"/>
      <c r="U427" t="s">
        <v>18099</v>
      </c>
    </row>
    <row r="428" spans="1:21">
      <c r="A428" t="s">
        <v>18100</v>
      </c>
      <c r="B428" s="262">
        <v>44014</v>
      </c>
      <c r="C428" t="s">
        <v>17156</v>
      </c>
      <c r="D428" t="s">
        <v>17575</v>
      </c>
      <c r="E428" s="60">
        <v>0</v>
      </c>
      <c r="F428" s="60">
        <v>178350</v>
      </c>
      <c r="G428" s="263">
        <v>0</v>
      </c>
      <c r="H428" s="263">
        <v>178350</v>
      </c>
      <c r="I428" s="263">
        <v>0</v>
      </c>
      <c r="J428" s="263">
        <v>0</v>
      </c>
      <c r="O428" s="264"/>
      <c r="P428" s="264"/>
      <c r="Q428" s="264"/>
      <c r="R428" s="264"/>
      <c r="S428" s="60"/>
      <c r="T428" s="60"/>
      <c r="U428" t="s">
        <v>17398</v>
      </c>
    </row>
    <row r="429" spans="1:21">
      <c r="A429" t="s">
        <v>18101</v>
      </c>
      <c r="B429" s="262">
        <v>44014</v>
      </c>
      <c r="C429" t="s">
        <v>17156</v>
      </c>
      <c r="D429" t="s">
        <v>17575</v>
      </c>
      <c r="E429" s="60">
        <v>0</v>
      </c>
      <c r="F429" s="60">
        <v>41340</v>
      </c>
      <c r="G429" s="263">
        <v>0</v>
      </c>
      <c r="H429" s="263">
        <v>0</v>
      </c>
      <c r="I429" s="263">
        <v>41340</v>
      </c>
      <c r="J429" s="263">
        <v>0</v>
      </c>
      <c r="O429" s="264"/>
      <c r="P429" s="264"/>
      <c r="Q429" s="264"/>
      <c r="R429" s="264"/>
      <c r="S429" s="60"/>
      <c r="T429" s="60"/>
      <c r="U429" t="s">
        <v>17589</v>
      </c>
    </row>
    <row r="430" spans="1:21">
      <c r="A430" t="s">
        <v>18102</v>
      </c>
      <c r="B430" s="262">
        <v>44013</v>
      </c>
      <c r="C430" t="s">
        <v>17172</v>
      </c>
      <c r="D430" t="s">
        <v>17173</v>
      </c>
      <c r="E430" s="60">
        <v>0</v>
      </c>
      <c r="F430" s="60">
        <v>87585.891000000003</v>
      </c>
      <c r="G430" s="263">
        <v>0</v>
      </c>
      <c r="H430" s="263">
        <v>0</v>
      </c>
      <c r="I430" s="263">
        <v>77315.650500000003</v>
      </c>
      <c r="J430" s="263">
        <v>0</v>
      </c>
      <c r="O430" s="264"/>
      <c r="P430" s="264"/>
      <c r="Q430" s="264"/>
      <c r="R430" s="264"/>
      <c r="S430" s="60"/>
      <c r="T430" s="60"/>
      <c r="U430" t="s">
        <v>17433</v>
      </c>
    </row>
    <row r="431" spans="1:21">
      <c r="A431" t="s">
        <v>18103</v>
      </c>
      <c r="B431" s="262">
        <v>44013</v>
      </c>
      <c r="C431" t="s">
        <v>16444</v>
      </c>
      <c r="D431" t="s">
        <v>16445</v>
      </c>
      <c r="E431" s="60">
        <v>0</v>
      </c>
      <c r="F431" s="60">
        <v>264300</v>
      </c>
      <c r="G431" s="263">
        <v>0</v>
      </c>
      <c r="H431" s="263">
        <v>264300</v>
      </c>
      <c r="I431" s="263">
        <v>0</v>
      </c>
      <c r="J431" s="263">
        <v>0</v>
      </c>
      <c r="O431" s="264"/>
      <c r="P431" s="264"/>
      <c r="Q431" s="264"/>
      <c r="R431" s="264"/>
      <c r="S431" s="60"/>
      <c r="T431" s="60"/>
      <c r="U431" t="s">
        <v>16563</v>
      </c>
    </row>
    <row r="432" spans="1:21">
      <c r="A432" t="s">
        <v>18104</v>
      </c>
      <c r="B432" s="262">
        <v>44013</v>
      </c>
      <c r="C432" t="s">
        <v>17017</v>
      </c>
      <c r="D432" t="s">
        <v>17430</v>
      </c>
      <c r="E432" s="60">
        <v>0</v>
      </c>
      <c r="F432" s="60">
        <v>33000</v>
      </c>
      <c r="G432" s="263">
        <v>0</v>
      </c>
      <c r="H432" s="263">
        <v>33000</v>
      </c>
      <c r="I432" s="263">
        <v>0</v>
      </c>
      <c r="J432" s="263">
        <v>0</v>
      </c>
      <c r="O432" s="264"/>
      <c r="P432" s="264"/>
      <c r="Q432" s="264"/>
      <c r="R432" s="264"/>
      <c r="S432" s="60"/>
      <c r="T432" s="60"/>
      <c r="U432" t="s">
        <v>18105</v>
      </c>
    </row>
    <row r="433" spans="1:21">
      <c r="A433" t="s">
        <v>18106</v>
      </c>
      <c r="B433" s="262">
        <v>44014</v>
      </c>
      <c r="C433" t="s">
        <v>16444</v>
      </c>
      <c r="D433" t="s">
        <v>16445</v>
      </c>
      <c r="E433" s="60">
        <v>0</v>
      </c>
      <c r="F433" s="60">
        <v>247875</v>
      </c>
      <c r="G433" s="263">
        <v>0</v>
      </c>
      <c r="H433" s="263">
        <v>247875</v>
      </c>
      <c r="I433" s="263">
        <v>0</v>
      </c>
      <c r="J433" s="263">
        <v>0</v>
      </c>
      <c r="O433" s="264"/>
      <c r="P433" s="264"/>
      <c r="Q433" s="264"/>
      <c r="R433" s="264"/>
      <c r="S433" s="60"/>
      <c r="T433" s="60"/>
      <c r="U433" t="s">
        <v>16563</v>
      </c>
    </row>
    <row r="434" spans="1:21">
      <c r="A434" t="s">
        <v>18107</v>
      </c>
      <c r="B434" s="262">
        <v>44015</v>
      </c>
      <c r="C434" t="s">
        <v>16972</v>
      </c>
      <c r="D434" t="s">
        <v>17424</v>
      </c>
      <c r="E434" s="60">
        <v>0</v>
      </c>
      <c r="F434" s="60">
        <v>105638.39999999999</v>
      </c>
      <c r="G434" s="263">
        <v>105638.39999999999</v>
      </c>
      <c r="H434" s="263">
        <v>0</v>
      </c>
      <c r="I434" s="263">
        <v>0</v>
      </c>
      <c r="J434" s="263">
        <v>0</v>
      </c>
      <c r="O434" s="264"/>
      <c r="P434" s="264"/>
      <c r="Q434" s="264"/>
      <c r="R434" s="264"/>
      <c r="S434" s="60"/>
      <c r="T434" s="60"/>
      <c r="U434" t="s">
        <v>16563</v>
      </c>
    </row>
    <row r="435" spans="1:21">
      <c r="A435" t="s">
        <v>18108</v>
      </c>
      <c r="B435" s="262">
        <v>44044</v>
      </c>
      <c r="C435" t="s">
        <v>16957</v>
      </c>
      <c r="D435" t="s">
        <v>17451</v>
      </c>
      <c r="E435" s="60">
        <v>0</v>
      </c>
      <c r="F435" s="60">
        <v>38619.195</v>
      </c>
      <c r="G435" s="263">
        <v>38619.195</v>
      </c>
      <c r="H435" s="263">
        <v>0</v>
      </c>
      <c r="I435" s="263">
        <v>0</v>
      </c>
      <c r="J435" s="263">
        <v>0</v>
      </c>
      <c r="O435" s="264"/>
      <c r="P435" s="264"/>
      <c r="Q435" s="264"/>
      <c r="R435" s="264"/>
      <c r="S435" s="60"/>
      <c r="T435" s="60"/>
      <c r="U435" t="s">
        <v>18109</v>
      </c>
    </row>
    <row r="436" spans="1:21">
      <c r="A436" t="s">
        <v>18110</v>
      </c>
      <c r="B436" s="262">
        <v>44166</v>
      </c>
      <c r="C436" t="s">
        <v>16783</v>
      </c>
      <c r="D436" t="s">
        <v>17509</v>
      </c>
      <c r="E436" s="60">
        <v>0</v>
      </c>
      <c r="F436" s="60">
        <v>790949.45499999996</v>
      </c>
      <c r="G436" s="263">
        <v>101630.453265</v>
      </c>
      <c r="H436" s="263">
        <v>499584.2328</v>
      </c>
      <c r="I436" s="263">
        <v>28961.4048</v>
      </c>
      <c r="J436" s="263">
        <v>101575.52450000001</v>
      </c>
      <c r="O436" s="264"/>
      <c r="P436" s="264"/>
      <c r="Q436" s="264"/>
      <c r="R436" s="264"/>
      <c r="S436" s="60"/>
      <c r="T436" s="60"/>
      <c r="U436" t="s">
        <v>17748</v>
      </c>
    </row>
    <row r="437" spans="1:21">
      <c r="A437" t="s">
        <v>18111</v>
      </c>
      <c r="B437" s="262">
        <v>44016</v>
      </c>
      <c r="C437" t="s">
        <v>16838</v>
      </c>
      <c r="D437" t="s">
        <v>16839</v>
      </c>
      <c r="E437" s="60">
        <v>0</v>
      </c>
      <c r="F437" s="60">
        <v>32791.919999999998</v>
      </c>
      <c r="G437" s="263">
        <v>32791.919999999998</v>
      </c>
      <c r="H437" s="263">
        <v>0</v>
      </c>
      <c r="I437" s="263">
        <v>0</v>
      </c>
      <c r="J437" s="263">
        <v>0</v>
      </c>
      <c r="O437" s="264"/>
      <c r="P437" s="264"/>
      <c r="Q437" s="264"/>
      <c r="R437" s="264"/>
      <c r="S437" s="60"/>
      <c r="T437" s="60"/>
      <c r="U437" t="s">
        <v>18009</v>
      </c>
    </row>
    <row r="438" spans="1:21">
      <c r="A438" t="s">
        <v>18112</v>
      </c>
      <c r="B438" s="262">
        <v>44016</v>
      </c>
      <c r="C438" t="s">
        <v>17230</v>
      </c>
      <c r="D438" t="s">
        <v>17231</v>
      </c>
      <c r="E438" s="60">
        <v>0</v>
      </c>
      <c r="F438" s="60">
        <v>43867.1</v>
      </c>
      <c r="G438" s="263">
        <v>0</v>
      </c>
      <c r="H438" s="263">
        <v>28958.658984000002</v>
      </c>
      <c r="I438" s="263">
        <v>9729.1785000000018</v>
      </c>
      <c r="J438" s="263">
        <v>5179.26235</v>
      </c>
      <c r="O438" s="264"/>
      <c r="P438" s="264"/>
      <c r="Q438" s="264"/>
      <c r="R438" s="264"/>
      <c r="S438" s="60"/>
      <c r="T438" s="60"/>
      <c r="U438" t="s">
        <v>18113</v>
      </c>
    </row>
    <row r="439" spans="1:21">
      <c r="A439" t="s">
        <v>18114</v>
      </c>
      <c r="B439" s="262">
        <v>44019</v>
      </c>
      <c r="C439" t="s">
        <v>16972</v>
      </c>
      <c r="D439" t="s">
        <v>17424</v>
      </c>
      <c r="E439" s="60">
        <v>0</v>
      </c>
      <c r="F439" s="60">
        <v>145600</v>
      </c>
      <c r="G439" s="263">
        <v>0</v>
      </c>
      <c r="H439" s="263">
        <v>0</v>
      </c>
      <c r="I439" s="263">
        <v>145600</v>
      </c>
      <c r="J439" s="263">
        <v>0</v>
      </c>
      <c r="O439" s="264"/>
      <c r="P439" s="264"/>
      <c r="Q439" s="264"/>
      <c r="R439" s="264"/>
      <c r="S439" s="60"/>
      <c r="T439" s="60"/>
      <c r="U439" t="s">
        <v>18099</v>
      </c>
    </row>
    <row r="440" spans="1:21">
      <c r="A440" t="s">
        <v>18115</v>
      </c>
      <c r="B440" s="262">
        <v>44019</v>
      </c>
      <c r="C440" t="s">
        <v>16444</v>
      </c>
      <c r="D440" t="s">
        <v>16445</v>
      </c>
      <c r="E440" s="60">
        <v>0</v>
      </c>
      <c r="F440" s="60">
        <v>76181.759999999995</v>
      </c>
      <c r="G440" s="263">
        <v>0</v>
      </c>
      <c r="H440" s="263">
        <v>0</v>
      </c>
      <c r="I440" s="263">
        <v>76181.759999999995</v>
      </c>
      <c r="J440" s="263">
        <v>0</v>
      </c>
      <c r="O440" s="264"/>
      <c r="P440" s="264"/>
      <c r="Q440" s="264"/>
      <c r="R440" s="264"/>
      <c r="S440" s="60"/>
      <c r="T440" s="60"/>
      <c r="U440" t="s">
        <v>18116</v>
      </c>
    </row>
    <row r="441" spans="1:21">
      <c r="A441" t="s">
        <v>18117</v>
      </c>
      <c r="B441" s="262">
        <v>44019</v>
      </c>
      <c r="C441" t="s">
        <v>16444</v>
      </c>
      <c r="D441" t="s">
        <v>16445</v>
      </c>
      <c r="E441" s="60">
        <v>0</v>
      </c>
      <c r="F441" s="60">
        <v>68916.960000000006</v>
      </c>
      <c r="G441" s="263">
        <v>68916.960000000006</v>
      </c>
      <c r="H441" s="263">
        <v>0</v>
      </c>
      <c r="I441" s="263">
        <v>0</v>
      </c>
      <c r="J441" s="263">
        <v>0</v>
      </c>
      <c r="O441" s="264"/>
      <c r="P441" s="264"/>
      <c r="Q441" s="264"/>
      <c r="R441" s="264"/>
      <c r="S441" s="60"/>
      <c r="T441" s="60"/>
      <c r="U441" t="s">
        <v>16653</v>
      </c>
    </row>
    <row r="442" spans="1:21">
      <c r="A442" t="s">
        <v>18118</v>
      </c>
      <c r="B442" s="262">
        <v>44019</v>
      </c>
      <c r="C442" t="s">
        <v>16444</v>
      </c>
      <c r="D442" t="s">
        <v>16445</v>
      </c>
      <c r="E442" s="60">
        <v>0</v>
      </c>
      <c r="F442" s="60">
        <v>31161</v>
      </c>
      <c r="G442" s="263">
        <v>31161</v>
      </c>
      <c r="H442" s="263">
        <v>0</v>
      </c>
      <c r="I442" s="263">
        <v>0</v>
      </c>
      <c r="J442" s="263">
        <v>0</v>
      </c>
      <c r="O442" s="264"/>
      <c r="P442" s="264"/>
      <c r="Q442" s="264"/>
      <c r="R442" s="264"/>
      <c r="S442" s="60"/>
      <c r="T442" s="60"/>
      <c r="U442" t="s">
        <v>17673</v>
      </c>
    </row>
    <row r="443" spans="1:21">
      <c r="A443" t="s">
        <v>18119</v>
      </c>
      <c r="B443" s="262">
        <v>44019</v>
      </c>
      <c r="C443" t="s">
        <v>17017</v>
      </c>
      <c r="D443" t="s">
        <v>17430</v>
      </c>
      <c r="E443" s="60">
        <v>0</v>
      </c>
      <c r="F443" s="60">
        <v>78624</v>
      </c>
      <c r="G443" s="263">
        <v>0</v>
      </c>
      <c r="H443" s="263">
        <v>0</v>
      </c>
      <c r="I443" s="263">
        <v>78624</v>
      </c>
      <c r="J443" s="263">
        <v>0</v>
      </c>
      <c r="O443" s="264"/>
      <c r="P443" s="264"/>
      <c r="Q443" s="264"/>
      <c r="R443" s="264"/>
      <c r="S443" s="60"/>
      <c r="T443" s="60"/>
      <c r="U443" t="s">
        <v>17431</v>
      </c>
    </row>
    <row r="444" spans="1:21">
      <c r="A444" t="s">
        <v>18120</v>
      </c>
      <c r="B444" s="262">
        <v>44019</v>
      </c>
      <c r="C444" t="s">
        <v>17017</v>
      </c>
      <c r="D444" t="s">
        <v>17430</v>
      </c>
      <c r="E444" s="60">
        <v>0</v>
      </c>
      <c r="F444" s="60">
        <v>33000</v>
      </c>
      <c r="G444" s="263">
        <v>0</v>
      </c>
      <c r="H444" s="263">
        <v>33000</v>
      </c>
      <c r="I444" s="263">
        <v>0</v>
      </c>
      <c r="J444" s="263">
        <v>0</v>
      </c>
      <c r="O444" s="264"/>
      <c r="P444" s="264"/>
      <c r="Q444" s="264"/>
      <c r="R444" s="264"/>
      <c r="S444" s="60"/>
      <c r="T444" s="60"/>
      <c r="U444" t="s">
        <v>18121</v>
      </c>
    </row>
    <row r="445" spans="1:21">
      <c r="A445" t="s">
        <v>18122</v>
      </c>
      <c r="B445" s="262">
        <v>44019</v>
      </c>
      <c r="C445" t="s">
        <v>17017</v>
      </c>
      <c r="D445" t="s">
        <v>17430</v>
      </c>
      <c r="E445" s="60">
        <v>0</v>
      </c>
      <c r="F445" s="60">
        <v>33000</v>
      </c>
      <c r="G445" s="263">
        <v>0</v>
      </c>
      <c r="H445" s="263">
        <v>33000</v>
      </c>
      <c r="I445" s="263">
        <v>0</v>
      </c>
      <c r="J445" s="263">
        <v>0</v>
      </c>
      <c r="O445" s="264"/>
      <c r="P445" s="264"/>
      <c r="Q445" s="264"/>
      <c r="R445" s="264"/>
      <c r="S445" s="60"/>
      <c r="T445" s="60"/>
      <c r="U445" t="s">
        <v>18123</v>
      </c>
    </row>
    <row r="446" spans="1:21">
      <c r="A446" t="s">
        <v>18124</v>
      </c>
      <c r="B446" s="262">
        <v>44021</v>
      </c>
      <c r="C446" t="s">
        <v>17017</v>
      </c>
      <c r="D446" t="s">
        <v>17430</v>
      </c>
      <c r="E446" s="60">
        <v>0</v>
      </c>
      <c r="F446" s="60">
        <v>34771.86</v>
      </c>
      <c r="G446" s="263">
        <v>0</v>
      </c>
      <c r="H446" s="263">
        <v>0</v>
      </c>
      <c r="I446" s="263">
        <v>34771.86</v>
      </c>
      <c r="J446" s="263">
        <v>0</v>
      </c>
      <c r="O446" s="264"/>
      <c r="P446" s="264"/>
      <c r="Q446" s="264"/>
      <c r="R446" s="264"/>
      <c r="S446" s="60"/>
      <c r="T446" s="60"/>
      <c r="U446" t="s">
        <v>17633</v>
      </c>
    </row>
    <row r="447" spans="1:21">
      <c r="A447" t="s">
        <v>18125</v>
      </c>
      <c r="B447" s="262">
        <v>44021</v>
      </c>
      <c r="C447" t="s">
        <v>16838</v>
      </c>
      <c r="D447" t="s">
        <v>16839</v>
      </c>
      <c r="E447" s="60">
        <v>0</v>
      </c>
      <c r="F447" s="60">
        <v>148333.92000000001</v>
      </c>
      <c r="G447" s="263">
        <v>0</v>
      </c>
      <c r="H447" s="263">
        <v>148333.92000000001</v>
      </c>
      <c r="I447" s="263">
        <v>0</v>
      </c>
      <c r="J447" s="263">
        <v>0</v>
      </c>
      <c r="O447" s="264"/>
      <c r="P447" s="264"/>
      <c r="Q447" s="264"/>
      <c r="R447" s="264"/>
      <c r="S447" s="60"/>
      <c r="T447" s="60"/>
      <c r="U447" t="s">
        <v>17798</v>
      </c>
    </row>
    <row r="448" spans="1:21">
      <c r="A448" t="s">
        <v>18126</v>
      </c>
      <c r="B448" s="262">
        <v>44023</v>
      </c>
      <c r="C448" t="s">
        <v>16470</v>
      </c>
      <c r="D448" t="s">
        <v>16471</v>
      </c>
      <c r="E448" s="60">
        <v>0</v>
      </c>
      <c r="F448" s="60">
        <v>532095.75300000003</v>
      </c>
      <c r="G448" s="263">
        <v>47417.48505000001</v>
      </c>
      <c r="H448" s="263">
        <v>367475.67148500006</v>
      </c>
      <c r="I448" s="263">
        <v>0</v>
      </c>
      <c r="J448" s="263">
        <v>0</v>
      </c>
      <c r="O448" s="264"/>
      <c r="P448" s="264"/>
      <c r="Q448" s="264"/>
      <c r="R448" s="264"/>
      <c r="S448" s="60"/>
      <c r="T448" s="60"/>
    </row>
    <row r="449" spans="1:21">
      <c r="A449" t="s">
        <v>18127</v>
      </c>
      <c r="B449" s="262">
        <v>44023</v>
      </c>
      <c r="C449" t="s">
        <v>16957</v>
      </c>
      <c r="D449" t="s">
        <v>17451</v>
      </c>
      <c r="E449" s="60">
        <v>0</v>
      </c>
      <c r="F449" s="60">
        <v>76630.559999999998</v>
      </c>
      <c r="G449" s="263">
        <v>76630.559999999998</v>
      </c>
      <c r="H449" s="263">
        <v>0</v>
      </c>
      <c r="I449" s="263">
        <v>0</v>
      </c>
      <c r="J449" s="263">
        <v>0</v>
      </c>
      <c r="O449" s="264"/>
      <c r="P449" s="264"/>
      <c r="Q449" s="264"/>
      <c r="R449" s="264"/>
      <c r="S449" s="60"/>
      <c r="T449" s="60"/>
    </row>
    <row r="450" spans="1:21">
      <c r="A450" t="s">
        <v>18128</v>
      </c>
      <c r="B450" s="262">
        <v>44025</v>
      </c>
      <c r="C450" t="s">
        <v>16444</v>
      </c>
      <c r="D450" t="s">
        <v>16445</v>
      </c>
      <c r="E450" s="60">
        <v>0</v>
      </c>
      <c r="F450" s="60">
        <v>347200</v>
      </c>
      <c r="G450" s="263">
        <v>0</v>
      </c>
      <c r="H450" s="263">
        <v>0</v>
      </c>
      <c r="I450" s="263">
        <v>347200</v>
      </c>
      <c r="J450" s="263">
        <v>0</v>
      </c>
      <c r="O450" s="264"/>
      <c r="P450" s="264"/>
      <c r="Q450" s="264"/>
      <c r="R450" s="264"/>
      <c r="S450" s="60"/>
      <c r="T450" s="60"/>
      <c r="U450" t="s">
        <v>16563</v>
      </c>
    </row>
    <row r="451" spans="1:21">
      <c r="A451" t="s">
        <v>18129</v>
      </c>
      <c r="B451" s="262">
        <v>44046</v>
      </c>
      <c r="C451" t="s">
        <v>16444</v>
      </c>
      <c r="D451" t="s">
        <v>16445</v>
      </c>
      <c r="E451" s="60">
        <v>0</v>
      </c>
      <c r="F451" s="60">
        <v>65570</v>
      </c>
      <c r="G451" s="263">
        <v>65570</v>
      </c>
      <c r="H451" s="263">
        <v>0</v>
      </c>
      <c r="I451" s="263">
        <v>0</v>
      </c>
      <c r="J451" s="263">
        <v>0</v>
      </c>
      <c r="O451" s="264"/>
      <c r="P451" s="264"/>
      <c r="Q451" s="264"/>
      <c r="R451" s="264"/>
      <c r="S451" s="60"/>
      <c r="T451" s="60"/>
      <c r="U451" t="s">
        <v>16653</v>
      </c>
    </row>
    <row r="452" spans="1:21">
      <c r="A452" t="s">
        <v>18130</v>
      </c>
      <c r="B452" s="262">
        <v>44025</v>
      </c>
      <c r="C452" t="s">
        <v>16384</v>
      </c>
      <c r="D452" t="s">
        <v>16385</v>
      </c>
      <c r="E452" s="60">
        <v>0</v>
      </c>
      <c r="F452" s="60">
        <v>64000</v>
      </c>
      <c r="G452" s="263">
        <v>64000</v>
      </c>
      <c r="H452" s="263">
        <v>0</v>
      </c>
      <c r="I452" s="263">
        <v>0</v>
      </c>
      <c r="J452" s="263">
        <v>0</v>
      </c>
      <c r="O452" s="264"/>
      <c r="P452" s="264"/>
      <c r="Q452" s="264"/>
      <c r="R452" s="264"/>
      <c r="S452" s="60"/>
      <c r="T452" s="60"/>
      <c r="U452" t="s">
        <v>17771</v>
      </c>
    </row>
    <row r="453" spans="1:21">
      <c r="A453" t="s">
        <v>18131</v>
      </c>
      <c r="B453" s="262">
        <v>44028</v>
      </c>
      <c r="C453" t="s">
        <v>17119</v>
      </c>
      <c r="D453" t="s">
        <v>17120</v>
      </c>
      <c r="E453" s="60">
        <v>0</v>
      </c>
      <c r="F453" s="60">
        <v>103000.48800000001</v>
      </c>
      <c r="G453" s="263">
        <v>83896.940160000013</v>
      </c>
      <c r="H453" s="263">
        <v>0</v>
      </c>
      <c r="I453" s="263">
        <v>0</v>
      </c>
      <c r="J453" s="263">
        <v>0</v>
      </c>
      <c r="O453" s="264"/>
      <c r="P453" s="264"/>
      <c r="Q453" s="264"/>
      <c r="R453" s="264"/>
      <c r="S453" s="60"/>
      <c r="T453" s="60"/>
      <c r="U453" t="s">
        <v>17825</v>
      </c>
    </row>
    <row r="454" spans="1:21">
      <c r="A454" t="s">
        <v>18132</v>
      </c>
      <c r="B454" s="262">
        <v>44046</v>
      </c>
      <c r="C454" t="s">
        <v>17233</v>
      </c>
      <c r="D454" t="s">
        <v>17234</v>
      </c>
      <c r="E454" s="60">
        <v>0</v>
      </c>
      <c r="F454" s="60">
        <v>1490778</v>
      </c>
      <c r="G454" s="263">
        <v>0</v>
      </c>
      <c r="H454" s="263">
        <v>1102089.1084799981</v>
      </c>
      <c r="I454" s="263">
        <v>275522.2771200001</v>
      </c>
      <c r="J454" s="263">
        <v>0</v>
      </c>
      <c r="O454" s="264"/>
      <c r="P454" s="264"/>
      <c r="Q454" s="264"/>
      <c r="R454" s="264"/>
      <c r="S454" s="60"/>
      <c r="T454" s="60"/>
      <c r="U454" t="s">
        <v>18133</v>
      </c>
    </row>
    <row r="455" spans="1:21">
      <c r="A455" t="s">
        <v>18134</v>
      </c>
      <c r="B455" s="262">
        <v>44044</v>
      </c>
      <c r="C455" t="s">
        <v>17251</v>
      </c>
      <c r="D455" t="s">
        <v>17252</v>
      </c>
      <c r="E455" s="60">
        <v>0</v>
      </c>
      <c r="F455" s="60">
        <v>282084.32300000003</v>
      </c>
      <c r="G455" s="263">
        <v>0</v>
      </c>
      <c r="H455" s="263">
        <v>225667.45871999997</v>
      </c>
      <c r="I455" s="263">
        <v>56416.864679999991</v>
      </c>
      <c r="J455" s="263">
        <v>0</v>
      </c>
      <c r="O455" s="264"/>
      <c r="P455" s="264"/>
      <c r="Q455" s="264"/>
      <c r="R455" s="264"/>
      <c r="S455" s="60"/>
      <c r="T455" s="60"/>
      <c r="U455" t="s">
        <v>18135</v>
      </c>
    </row>
    <row r="456" spans="1:21">
      <c r="A456" t="s">
        <v>18136</v>
      </c>
      <c r="B456" s="262">
        <v>44034</v>
      </c>
      <c r="C456" t="s">
        <v>16560</v>
      </c>
      <c r="D456" t="s">
        <v>16561</v>
      </c>
      <c r="E456" s="60">
        <v>0</v>
      </c>
      <c r="F456" s="60">
        <v>150017.454</v>
      </c>
      <c r="G456" s="263">
        <v>0</v>
      </c>
      <c r="H456" s="263">
        <v>0</v>
      </c>
      <c r="I456" s="263">
        <v>150017.454</v>
      </c>
      <c r="J456" s="263">
        <v>0</v>
      </c>
      <c r="O456" s="264"/>
      <c r="P456" s="264"/>
      <c r="Q456" s="264"/>
      <c r="R456" s="264"/>
      <c r="S456" s="60"/>
      <c r="T456" s="60"/>
    </row>
    <row r="457" spans="1:21">
      <c r="A457" t="s">
        <v>18137</v>
      </c>
      <c r="B457" s="262">
        <v>44034</v>
      </c>
      <c r="C457" t="s">
        <v>16560</v>
      </c>
      <c r="D457" t="s">
        <v>16561</v>
      </c>
      <c r="E457" s="60">
        <v>0</v>
      </c>
      <c r="F457" s="60">
        <v>150017.454</v>
      </c>
      <c r="G457" s="263">
        <v>0</v>
      </c>
      <c r="H457" s="263">
        <v>0</v>
      </c>
      <c r="I457" s="263">
        <v>150017.454</v>
      </c>
      <c r="J457" s="263">
        <v>0</v>
      </c>
      <c r="O457" s="264"/>
      <c r="P457" s="264"/>
      <c r="Q457" s="264"/>
      <c r="R457" s="264"/>
      <c r="S457" s="60"/>
      <c r="T457" s="60"/>
    </row>
    <row r="458" spans="1:21">
      <c r="A458" t="s">
        <v>18138</v>
      </c>
      <c r="B458" s="262">
        <v>44034</v>
      </c>
      <c r="C458" t="s">
        <v>16838</v>
      </c>
      <c r="D458" t="s">
        <v>16839</v>
      </c>
      <c r="E458" s="60">
        <v>0</v>
      </c>
      <c r="F458" s="60">
        <v>209956.32</v>
      </c>
      <c r="G458" s="263">
        <v>0</v>
      </c>
      <c r="H458" s="263">
        <v>209956.32</v>
      </c>
      <c r="I458" s="263">
        <v>0</v>
      </c>
      <c r="J458" s="263">
        <v>0</v>
      </c>
      <c r="O458" s="264"/>
      <c r="P458" s="264"/>
      <c r="Q458" s="264"/>
      <c r="R458" s="264"/>
      <c r="S458" s="60"/>
      <c r="T458" s="60"/>
      <c r="U458" t="s">
        <v>18139</v>
      </c>
    </row>
    <row r="459" spans="1:21">
      <c r="A459" t="s">
        <v>18140</v>
      </c>
      <c r="B459" s="262">
        <v>44034</v>
      </c>
      <c r="C459" t="s">
        <v>16838</v>
      </c>
      <c r="D459" t="s">
        <v>16839</v>
      </c>
      <c r="E459" s="60">
        <v>0</v>
      </c>
      <c r="F459" s="60">
        <v>216002.4</v>
      </c>
      <c r="G459" s="263">
        <v>175622.39999999999</v>
      </c>
      <c r="H459" s="263">
        <v>28620</v>
      </c>
      <c r="I459" s="263">
        <v>11760</v>
      </c>
      <c r="J459" s="263">
        <v>0</v>
      </c>
      <c r="O459" s="264"/>
      <c r="P459" s="264"/>
      <c r="Q459" s="264"/>
      <c r="R459" s="264"/>
      <c r="S459" s="60"/>
      <c r="T459" s="60"/>
      <c r="U459" t="s">
        <v>17949</v>
      </c>
    </row>
    <row r="460" spans="1:21">
      <c r="A460" t="s">
        <v>18141</v>
      </c>
      <c r="B460" s="262">
        <v>44094</v>
      </c>
      <c r="C460" t="s">
        <v>16783</v>
      </c>
      <c r="D460" t="s">
        <v>17509</v>
      </c>
      <c r="E460" s="60">
        <v>0</v>
      </c>
      <c r="F460" s="60">
        <v>441409.21299999999</v>
      </c>
      <c r="G460" s="263">
        <v>418411.10018400004</v>
      </c>
      <c r="H460" s="263">
        <v>0</v>
      </c>
      <c r="I460" s="263">
        <v>0</v>
      </c>
      <c r="J460" s="263">
        <v>0</v>
      </c>
      <c r="O460" s="264"/>
      <c r="P460" s="264"/>
      <c r="Q460" s="264"/>
      <c r="R460" s="264"/>
      <c r="S460" s="60"/>
      <c r="T460" s="60"/>
      <c r="U460" t="s">
        <v>18142</v>
      </c>
    </row>
    <row r="461" spans="1:21">
      <c r="A461" t="s">
        <v>18143</v>
      </c>
      <c r="B461" s="262">
        <v>44166</v>
      </c>
      <c r="C461" t="s">
        <v>17017</v>
      </c>
      <c r="D461" t="s">
        <v>17430</v>
      </c>
      <c r="E461" s="60">
        <v>0</v>
      </c>
      <c r="F461" s="60">
        <v>59213.095999999998</v>
      </c>
      <c r="G461" s="263">
        <v>0</v>
      </c>
      <c r="H461" s="263">
        <v>26122.696</v>
      </c>
      <c r="I461" s="263">
        <v>3672</v>
      </c>
      <c r="J461" s="263">
        <v>29418.400000000001</v>
      </c>
      <c r="O461" s="264"/>
      <c r="P461" s="264"/>
      <c r="Q461" s="264"/>
      <c r="R461" s="264"/>
      <c r="S461" s="60"/>
      <c r="T461" s="60"/>
      <c r="U461" t="s">
        <v>18144</v>
      </c>
    </row>
    <row r="462" spans="1:21">
      <c r="A462" t="s">
        <v>18145</v>
      </c>
      <c r="B462" s="262">
        <v>44105</v>
      </c>
      <c r="C462" t="s">
        <v>16904</v>
      </c>
      <c r="D462" t="s">
        <v>16905</v>
      </c>
      <c r="E462" s="60">
        <v>0</v>
      </c>
      <c r="F462" s="60">
        <v>52831.445999999996</v>
      </c>
      <c r="G462" s="263">
        <v>0</v>
      </c>
      <c r="H462" s="263">
        <v>30004.870895999997</v>
      </c>
      <c r="I462" s="263">
        <v>13088.2752</v>
      </c>
      <c r="J462" s="263">
        <v>0</v>
      </c>
      <c r="O462" s="264"/>
      <c r="P462" s="264"/>
      <c r="Q462" s="264"/>
      <c r="R462" s="264"/>
      <c r="S462" s="60"/>
      <c r="T462" s="60"/>
      <c r="U462" t="s">
        <v>18146</v>
      </c>
    </row>
    <row r="463" spans="1:21">
      <c r="A463" t="s">
        <v>18147</v>
      </c>
      <c r="B463" s="262">
        <v>44061</v>
      </c>
      <c r="C463" t="s">
        <v>16444</v>
      </c>
      <c r="D463" t="s">
        <v>16445</v>
      </c>
      <c r="E463" s="60">
        <v>0</v>
      </c>
      <c r="F463" s="60">
        <v>343480</v>
      </c>
      <c r="G463" s="263">
        <v>0</v>
      </c>
      <c r="H463" s="263">
        <v>0</v>
      </c>
      <c r="I463" s="263">
        <v>343480</v>
      </c>
      <c r="J463" s="263">
        <v>0</v>
      </c>
      <c r="O463" s="264"/>
      <c r="P463" s="264"/>
      <c r="Q463" s="264"/>
      <c r="R463" s="264"/>
      <c r="S463" s="60"/>
      <c r="T463" s="60"/>
      <c r="U463" t="s">
        <v>16563</v>
      </c>
    </row>
    <row r="464" spans="1:21">
      <c r="A464" t="s">
        <v>18148</v>
      </c>
      <c r="B464" s="262">
        <v>44068</v>
      </c>
      <c r="C464" t="s">
        <v>16444</v>
      </c>
      <c r="D464" t="s">
        <v>16445</v>
      </c>
      <c r="E464" s="60">
        <v>0</v>
      </c>
      <c r="F464" s="60">
        <v>380250</v>
      </c>
      <c r="G464" s="263">
        <v>0</v>
      </c>
      <c r="H464" s="263">
        <v>380250</v>
      </c>
      <c r="I464" s="263">
        <v>0</v>
      </c>
      <c r="J464" s="263">
        <v>0</v>
      </c>
      <c r="O464" s="264"/>
      <c r="P464" s="264"/>
      <c r="Q464" s="264"/>
      <c r="R464" s="264"/>
      <c r="S464" s="60"/>
      <c r="T464" s="60"/>
      <c r="U464" t="s">
        <v>16563</v>
      </c>
    </row>
    <row r="465" spans="1:21">
      <c r="A465" t="s">
        <v>18149</v>
      </c>
      <c r="B465" s="262">
        <v>44053</v>
      </c>
      <c r="C465" t="s">
        <v>16444</v>
      </c>
      <c r="D465" t="s">
        <v>16445</v>
      </c>
      <c r="E465" s="60">
        <v>0</v>
      </c>
      <c r="F465" s="60">
        <v>70962.48</v>
      </c>
      <c r="G465" s="263">
        <v>70962.48</v>
      </c>
      <c r="H465" s="263">
        <v>0</v>
      </c>
      <c r="I465" s="263">
        <v>0</v>
      </c>
      <c r="J465" s="263">
        <v>0</v>
      </c>
      <c r="O465" s="264"/>
      <c r="P465" s="264"/>
      <c r="Q465" s="264"/>
      <c r="R465" s="264"/>
      <c r="S465" s="60"/>
      <c r="T465" s="60"/>
      <c r="U465" t="s">
        <v>16653</v>
      </c>
    </row>
    <row r="466" spans="1:21">
      <c r="A466" t="s">
        <v>18150</v>
      </c>
      <c r="B466" s="262">
        <v>44047</v>
      </c>
      <c r="C466" t="s">
        <v>17156</v>
      </c>
      <c r="D466" t="s">
        <v>17575</v>
      </c>
      <c r="E466" s="60">
        <v>0</v>
      </c>
      <c r="F466" s="60">
        <v>415740</v>
      </c>
      <c r="G466" s="263">
        <v>0</v>
      </c>
      <c r="H466" s="263">
        <v>415740</v>
      </c>
      <c r="I466" s="263">
        <v>0</v>
      </c>
      <c r="J466" s="263">
        <v>0</v>
      </c>
      <c r="O466" s="264"/>
      <c r="P466" s="264"/>
      <c r="Q466" s="264"/>
      <c r="R466" s="264"/>
      <c r="S466" s="60"/>
      <c r="T466" s="60"/>
      <c r="U466" t="s">
        <v>18151</v>
      </c>
    </row>
    <row r="467" spans="1:21">
      <c r="A467" t="s">
        <v>18152</v>
      </c>
      <c r="B467" s="262">
        <v>44088</v>
      </c>
      <c r="C467" t="s">
        <v>16972</v>
      </c>
      <c r="D467" t="s">
        <v>17424</v>
      </c>
      <c r="E467" s="60">
        <v>0</v>
      </c>
      <c r="F467" s="60">
        <v>355600</v>
      </c>
      <c r="G467" s="263">
        <v>0</v>
      </c>
      <c r="H467" s="263">
        <v>0</v>
      </c>
      <c r="I467" s="263">
        <v>355600</v>
      </c>
      <c r="J467" s="263">
        <v>0</v>
      </c>
      <c r="O467" s="264"/>
      <c r="P467" s="264"/>
      <c r="Q467" s="264"/>
      <c r="R467" s="264"/>
      <c r="S467" s="60"/>
      <c r="T467" s="60"/>
      <c r="U467" t="s">
        <v>18099</v>
      </c>
    </row>
    <row r="468" spans="1:21">
      <c r="A468" t="s">
        <v>18153</v>
      </c>
      <c r="B468" s="262">
        <v>44144</v>
      </c>
      <c r="C468" t="s">
        <v>17209</v>
      </c>
      <c r="D468" t="s">
        <v>17210</v>
      </c>
      <c r="E468" s="60">
        <v>0</v>
      </c>
      <c r="F468" s="60">
        <v>57099.925000000003</v>
      </c>
      <c r="G468" s="263">
        <v>9347.2019999999993</v>
      </c>
      <c r="H468" s="263">
        <v>7084.1952000000001</v>
      </c>
      <c r="I468" s="263">
        <v>0</v>
      </c>
      <c r="J468" s="263">
        <v>36350.230000000003</v>
      </c>
      <c r="O468" s="264"/>
      <c r="P468" s="264"/>
      <c r="Q468" s="264"/>
      <c r="R468" s="264"/>
      <c r="S468" s="60"/>
      <c r="T468" s="60"/>
      <c r="U468" t="s">
        <v>17928</v>
      </c>
    </row>
    <row r="469" spans="1:21">
      <c r="A469" t="s">
        <v>18154</v>
      </c>
      <c r="B469" s="262">
        <v>44053</v>
      </c>
      <c r="C469" t="s">
        <v>16838</v>
      </c>
      <c r="D469" t="s">
        <v>16839</v>
      </c>
      <c r="E469" s="60">
        <v>0</v>
      </c>
      <c r="F469" s="60">
        <v>72540</v>
      </c>
      <c r="G469" s="263">
        <v>0</v>
      </c>
      <c r="H469" s="263">
        <v>0</v>
      </c>
      <c r="I469" s="263">
        <v>72540</v>
      </c>
      <c r="J469" s="263">
        <v>0</v>
      </c>
      <c r="O469" s="264"/>
      <c r="P469" s="264"/>
      <c r="Q469" s="264"/>
      <c r="R469" s="264"/>
      <c r="S469" s="60"/>
      <c r="T469" s="60"/>
      <c r="U469" t="s">
        <v>17798</v>
      </c>
    </row>
    <row r="470" spans="1:21">
      <c r="A470" t="s">
        <v>18155</v>
      </c>
      <c r="B470" s="262">
        <v>44075</v>
      </c>
      <c r="C470" t="s">
        <v>16838</v>
      </c>
      <c r="D470" t="s">
        <v>16839</v>
      </c>
      <c r="E470" s="60">
        <v>0</v>
      </c>
      <c r="F470" s="60">
        <v>75408</v>
      </c>
      <c r="G470" s="263">
        <v>0</v>
      </c>
      <c r="H470" s="263">
        <v>68688</v>
      </c>
      <c r="I470" s="263">
        <v>6720</v>
      </c>
      <c r="J470" s="263">
        <v>0</v>
      </c>
      <c r="O470" s="264"/>
      <c r="P470" s="264"/>
      <c r="Q470" s="264"/>
      <c r="R470" s="264"/>
      <c r="S470" s="60"/>
      <c r="T470" s="60"/>
      <c r="U470" t="s">
        <v>18156</v>
      </c>
    </row>
    <row r="471" spans="1:21">
      <c r="A471" t="s">
        <v>18157</v>
      </c>
      <c r="B471" s="262">
        <v>44054</v>
      </c>
      <c r="C471" t="s">
        <v>17248</v>
      </c>
      <c r="D471" t="s">
        <v>18158</v>
      </c>
      <c r="E471" s="60">
        <v>0</v>
      </c>
      <c r="F471" s="60">
        <v>51156.406999999999</v>
      </c>
      <c r="G471" s="263">
        <v>0</v>
      </c>
      <c r="H471" s="263">
        <v>51157.635264000011</v>
      </c>
      <c r="I471" s="263">
        <v>0</v>
      </c>
      <c r="J471" s="263">
        <v>0</v>
      </c>
      <c r="O471" s="264"/>
      <c r="P471" s="264"/>
      <c r="Q471" s="264"/>
      <c r="R471" s="264"/>
      <c r="S471" s="60"/>
      <c r="T471" s="60"/>
      <c r="U471" t="s">
        <v>18159</v>
      </c>
    </row>
    <row r="472" spans="1:21">
      <c r="A472" t="s">
        <v>18160</v>
      </c>
      <c r="B472" s="262">
        <v>44071</v>
      </c>
      <c r="C472" t="s">
        <v>17017</v>
      </c>
      <c r="D472" t="s">
        <v>17430</v>
      </c>
      <c r="E472" s="60">
        <v>0</v>
      </c>
      <c r="F472" s="60">
        <v>3565.59</v>
      </c>
      <c r="G472" s="263">
        <v>0</v>
      </c>
      <c r="H472" s="263">
        <v>3565.59</v>
      </c>
      <c r="I472" s="263">
        <v>0</v>
      </c>
      <c r="J472" s="263">
        <v>0</v>
      </c>
      <c r="O472" s="264"/>
      <c r="P472" s="264"/>
      <c r="Q472" s="264"/>
      <c r="R472" s="264"/>
      <c r="S472" s="60"/>
      <c r="T472" s="60"/>
      <c r="U472" t="s">
        <v>17787</v>
      </c>
    </row>
    <row r="473" spans="1:21">
      <c r="A473" t="s">
        <v>18161</v>
      </c>
      <c r="B473" s="262">
        <v>44077</v>
      </c>
      <c r="C473" t="s">
        <v>17017</v>
      </c>
      <c r="D473" t="s">
        <v>17430</v>
      </c>
      <c r="E473" s="60">
        <v>0</v>
      </c>
      <c r="F473" s="60">
        <v>52416</v>
      </c>
      <c r="G473" s="263">
        <v>0</v>
      </c>
      <c r="H473" s="263">
        <v>0</v>
      </c>
      <c r="I473" s="263">
        <v>52416</v>
      </c>
      <c r="J473" s="263">
        <v>0</v>
      </c>
      <c r="O473" s="264"/>
      <c r="P473" s="264"/>
      <c r="Q473" s="264"/>
      <c r="R473" s="264"/>
      <c r="S473" s="60"/>
      <c r="T473" s="60"/>
      <c r="U473" t="s">
        <v>17431</v>
      </c>
    </row>
    <row r="474" spans="1:21">
      <c r="A474" t="s">
        <v>18162</v>
      </c>
      <c r="B474" s="262">
        <v>44062</v>
      </c>
      <c r="C474" t="s">
        <v>16444</v>
      </c>
      <c r="D474" t="s">
        <v>16445</v>
      </c>
      <c r="E474" s="60">
        <v>0</v>
      </c>
      <c r="F474" s="60">
        <v>68916.960000000006</v>
      </c>
      <c r="G474" s="263">
        <v>68916.960000000006</v>
      </c>
      <c r="H474" s="263">
        <v>0</v>
      </c>
      <c r="I474" s="263">
        <v>0</v>
      </c>
      <c r="J474" s="263">
        <v>0</v>
      </c>
      <c r="O474" s="264"/>
      <c r="P474" s="264"/>
      <c r="Q474" s="264"/>
      <c r="R474" s="264"/>
      <c r="S474" s="60"/>
      <c r="T474" s="60"/>
      <c r="U474" t="s">
        <v>16653</v>
      </c>
    </row>
    <row r="475" spans="1:21">
      <c r="A475" t="s">
        <v>18163</v>
      </c>
      <c r="B475" s="262">
        <v>44074</v>
      </c>
      <c r="C475" t="s">
        <v>17017</v>
      </c>
      <c r="D475" t="s">
        <v>17430</v>
      </c>
      <c r="E475" s="60">
        <v>0</v>
      </c>
      <c r="F475" s="60">
        <v>11717.7</v>
      </c>
      <c r="G475" s="263">
        <v>10163.700000000001</v>
      </c>
      <c r="H475" s="263">
        <v>1554</v>
      </c>
      <c r="I475" s="263">
        <v>0</v>
      </c>
      <c r="J475" s="263">
        <v>0</v>
      </c>
      <c r="O475" s="264"/>
      <c r="P475" s="264"/>
      <c r="Q475" s="264"/>
      <c r="R475" s="264"/>
      <c r="S475" s="60"/>
      <c r="T475" s="60"/>
      <c r="U475" t="s">
        <v>17643</v>
      </c>
    </row>
    <row r="476" spans="1:21">
      <c r="A476" t="s">
        <v>18164</v>
      </c>
      <c r="B476" s="262">
        <v>44064</v>
      </c>
      <c r="C476" t="s">
        <v>16783</v>
      </c>
      <c r="D476" t="s">
        <v>17509</v>
      </c>
      <c r="E476" s="60">
        <v>0</v>
      </c>
      <c r="F476" s="60">
        <v>354604.005</v>
      </c>
      <c r="G476" s="263">
        <v>336128.58014400007</v>
      </c>
      <c r="H476" s="263">
        <v>0</v>
      </c>
      <c r="I476" s="263">
        <v>0</v>
      </c>
      <c r="J476" s="263">
        <v>0</v>
      </c>
      <c r="O476" s="264"/>
      <c r="P476" s="264"/>
      <c r="Q476" s="264"/>
      <c r="R476" s="264"/>
      <c r="S476" s="60"/>
      <c r="T476" s="60"/>
      <c r="U476" t="s">
        <v>18165</v>
      </c>
    </row>
    <row r="477" spans="1:21">
      <c r="A477" t="s">
        <v>18166</v>
      </c>
      <c r="B477" s="262">
        <v>44069</v>
      </c>
      <c r="C477" t="s">
        <v>16838</v>
      </c>
      <c r="D477" t="s">
        <v>16839</v>
      </c>
      <c r="E477" s="60">
        <v>0</v>
      </c>
      <c r="F477" s="60">
        <v>358290.24</v>
      </c>
      <c r="G477" s="263">
        <v>0</v>
      </c>
      <c r="H477" s="263">
        <v>358290.24</v>
      </c>
      <c r="I477" s="263">
        <v>0</v>
      </c>
      <c r="J477" s="263">
        <v>0</v>
      </c>
      <c r="O477" s="264"/>
      <c r="P477" s="264"/>
      <c r="Q477" s="264"/>
      <c r="R477" s="264"/>
      <c r="S477" s="60"/>
      <c r="T477" s="60"/>
      <c r="U477" t="s">
        <v>18139</v>
      </c>
    </row>
    <row r="478" spans="1:21">
      <c r="A478" t="s">
        <v>18167</v>
      </c>
      <c r="B478" s="262">
        <v>44064</v>
      </c>
      <c r="C478" t="s">
        <v>16560</v>
      </c>
      <c r="D478" t="s">
        <v>16561</v>
      </c>
      <c r="E478" s="60">
        <v>0</v>
      </c>
      <c r="F478" s="60">
        <v>154052.712</v>
      </c>
      <c r="G478" s="263">
        <v>0</v>
      </c>
      <c r="H478" s="263">
        <v>0</v>
      </c>
      <c r="I478" s="263">
        <v>154052.712</v>
      </c>
      <c r="J478" s="263">
        <v>0</v>
      </c>
      <c r="O478" s="264"/>
      <c r="P478" s="264"/>
      <c r="Q478" s="264"/>
      <c r="R478" s="264"/>
      <c r="S478" s="60"/>
      <c r="T478" s="60"/>
    </row>
    <row r="479" spans="1:21">
      <c r="A479" t="s">
        <v>18168</v>
      </c>
      <c r="B479" s="262">
        <v>44064</v>
      </c>
      <c r="C479" t="s">
        <v>16560</v>
      </c>
      <c r="D479" t="s">
        <v>16561</v>
      </c>
      <c r="E479" s="60">
        <v>0</v>
      </c>
      <c r="F479" s="60">
        <v>154119.24</v>
      </c>
      <c r="G479" s="263">
        <v>0</v>
      </c>
      <c r="H479" s="263">
        <v>0</v>
      </c>
      <c r="I479" s="263">
        <v>154119.24</v>
      </c>
      <c r="J479" s="263">
        <v>0</v>
      </c>
      <c r="O479" s="264"/>
      <c r="P479" s="264"/>
      <c r="Q479" s="264"/>
      <c r="R479" s="264"/>
      <c r="S479" s="60"/>
      <c r="T479" s="60"/>
    </row>
    <row r="480" spans="1:21">
      <c r="A480" t="s">
        <v>18169</v>
      </c>
      <c r="B480" s="262">
        <v>44064</v>
      </c>
      <c r="C480" t="s">
        <v>16560</v>
      </c>
      <c r="D480" t="s">
        <v>16561</v>
      </c>
      <c r="E480" s="60">
        <v>0</v>
      </c>
      <c r="F480" s="60">
        <v>154468.51199999999</v>
      </c>
      <c r="G480" s="263">
        <v>0</v>
      </c>
      <c r="H480" s="263">
        <v>0</v>
      </c>
      <c r="I480" s="263">
        <v>154468.51199999999</v>
      </c>
      <c r="J480" s="263">
        <v>0</v>
      </c>
      <c r="O480" s="264"/>
      <c r="P480" s="264"/>
      <c r="Q480" s="264"/>
      <c r="R480" s="264"/>
      <c r="S480" s="60"/>
      <c r="T480" s="60"/>
    </row>
    <row r="481" spans="1:21">
      <c r="A481" t="s">
        <v>18170</v>
      </c>
      <c r="B481" s="262">
        <v>44064</v>
      </c>
      <c r="C481" t="s">
        <v>17242</v>
      </c>
      <c r="D481" t="s">
        <v>17243</v>
      </c>
      <c r="E481" s="60">
        <v>0</v>
      </c>
      <c r="F481" s="60">
        <v>397912.783</v>
      </c>
      <c r="G481" s="263">
        <v>379825.83827999985</v>
      </c>
      <c r="H481" s="263">
        <v>0</v>
      </c>
      <c r="I481" s="263">
        <v>0</v>
      </c>
      <c r="J481" s="263">
        <v>0</v>
      </c>
      <c r="O481" s="264"/>
      <c r="P481" s="264"/>
      <c r="Q481" s="264"/>
      <c r="R481" s="264"/>
      <c r="S481" s="60"/>
      <c r="T481" s="60"/>
      <c r="U481" t="s">
        <v>18171</v>
      </c>
    </row>
    <row r="482" spans="1:21">
      <c r="A482" t="s">
        <v>18172</v>
      </c>
      <c r="B482" s="262">
        <v>44076</v>
      </c>
      <c r="C482" t="s">
        <v>16444</v>
      </c>
      <c r="D482" t="s">
        <v>16445</v>
      </c>
      <c r="E482" s="60">
        <v>0</v>
      </c>
      <c r="F482" s="60">
        <v>32785</v>
      </c>
      <c r="G482" s="263">
        <v>32785</v>
      </c>
      <c r="H482" s="263">
        <v>0</v>
      </c>
      <c r="I482" s="263">
        <v>0</v>
      </c>
      <c r="J482" s="263">
        <v>0</v>
      </c>
      <c r="O482" s="264"/>
      <c r="P482" s="264"/>
      <c r="Q482" s="264"/>
      <c r="R482" s="264"/>
      <c r="S482" s="60"/>
      <c r="T482" s="60"/>
      <c r="U482" t="s">
        <v>16653</v>
      </c>
    </row>
    <row r="483" spans="1:21">
      <c r="A483" t="s">
        <v>18173</v>
      </c>
      <c r="B483" s="262">
        <v>44076</v>
      </c>
      <c r="C483" t="s">
        <v>16444</v>
      </c>
      <c r="D483" t="s">
        <v>16445</v>
      </c>
      <c r="E483" s="60">
        <v>0</v>
      </c>
      <c r="F483" s="60">
        <v>32064</v>
      </c>
      <c r="G483" s="263">
        <v>32064</v>
      </c>
      <c r="H483" s="263">
        <v>0</v>
      </c>
      <c r="I483" s="263">
        <v>0</v>
      </c>
      <c r="J483" s="263">
        <v>0</v>
      </c>
      <c r="O483" s="264"/>
      <c r="P483" s="264"/>
      <c r="Q483" s="264"/>
      <c r="R483" s="264"/>
      <c r="S483" s="60"/>
      <c r="T483" s="60"/>
      <c r="U483" t="s">
        <v>18019</v>
      </c>
    </row>
    <row r="484" spans="1:21">
      <c r="A484" t="s">
        <v>18174</v>
      </c>
      <c r="B484" s="262">
        <v>44075</v>
      </c>
      <c r="C484" t="s">
        <v>17226</v>
      </c>
      <c r="D484" t="s">
        <v>17891</v>
      </c>
      <c r="E484" s="60">
        <v>0</v>
      </c>
      <c r="F484" s="60">
        <v>42289.5</v>
      </c>
      <c r="G484" s="263">
        <v>4032</v>
      </c>
      <c r="H484" s="263">
        <v>27022.5</v>
      </c>
      <c r="I484" s="263">
        <v>0</v>
      </c>
      <c r="J484" s="263">
        <v>11235</v>
      </c>
      <c r="O484" s="264"/>
      <c r="P484" s="264"/>
      <c r="Q484" s="264"/>
      <c r="R484" s="264"/>
      <c r="S484" s="60"/>
      <c r="T484" s="60"/>
      <c r="U484" t="s">
        <v>17313</v>
      </c>
    </row>
    <row r="485" spans="1:21">
      <c r="A485" t="s">
        <v>18175</v>
      </c>
      <c r="B485" s="262">
        <v>44075</v>
      </c>
      <c r="C485" t="s">
        <v>16384</v>
      </c>
      <c r="D485" t="s">
        <v>16385</v>
      </c>
      <c r="E485" s="60">
        <v>0</v>
      </c>
      <c r="F485" s="60">
        <v>186592</v>
      </c>
      <c r="G485" s="263">
        <v>0</v>
      </c>
      <c r="H485" s="263">
        <v>186592</v>
      </c>
      <c r="I485" s="263">
        <v>0</v>
      </c>
      <c r="J485" s="263">
        <v>0</v>
      </c>
      <c r="O485" s="264"/>
      <c r="P485" s="264"/>
      <c r="Q485" s="264"/>
      <c r="R485" s="264"/>
      <c r="S485" s="60"/>
      <c r="T485" s="60"/>
      <c r="U485" t="s">
        <v>17801</v>
      </c>
    </row>
    <row r="486" spans="1:21">
      <c r="A486" t="s">
        <v>18176</v>
      </c>
      <c r="B486" s="262">
        <v>44105</v>
      </c>
      <c r="C486" t="s">
        <v>16779</v>
      </c>
      <c r="D486" t="s">
        <v>17613</v>
      </c>
      <c r="E486" s="60">
        <v>0</v>
      </c>
      <c r="F486" s="60">
        <v>46089.657999999996</v>
      </c>
      <c r="G486" s="263">
        <v>495.06378000000007</v>
      </c>
      <c r="H486" s="263">
        <v>35020.889760000005</v>
      </c>
      <c r="I486" s="263">
        <v>436.59168000000005</v>
      </c>
      <c r="J486" s="263">
        <v>10137.113069999999</v>
      </c>
      <c r="O486" s="264"/>
      <c r="P486" s="264"/>
      <c r="Q486" s="264"/>
      <c r="R486" s="264"/>
      <c r="S486" s="60"/>
      <c r="T486" s="60"/>
    </row>
    <row r="487" spans="1:21">
      <c r="A487" t="s">
        <v>18177</v>
      </c>
      <c r="B487" s="262">
        <v>44075</v>
      </c>
      <c r="C487" t="s">
        <v>16899</v>
      </c>
      <c r="D487" t="s">
        <v>17459</v>
      </c>
      <c r="E487" s="60">
        <v>0</v>
      </c>
      <c r="F487" s="60">
        <v>156480</v>
      </c>
      <c r="G487" s="263">
        <v>156480</v>
      </c>
      <c r="H487" s="263">
        <v>0</v>
      </c>
      <c r="I487" s="263">
        <v>0</v>
      </c>
      <c r="J487" s="263">
        <v>0</v>
      </c>
      <c r="O487" s="264"/>
      <c r="P487" s="264"/>
      <c r="Q487" s="264"/>
      <c r="R487" s="264"/>
      <c r="S487" s="60"/>
      <c r="T487" s="60"/>
      <c r="U487" t="s">
        <v>18178</v>
      </c>
    </row>
    <row r="488" spans="1:21">
      <c r="A488" t="s">
        <v>18179</v>
      </c>
      <c r="B488" s="262">
        <v>44075</v>
      </c>
      <c r="C488" t="s">
        <v>17017</v>
      </c>
      <c r="D488" t="s">
        <v>17430</v>
      </c>
      <c r="E488" s="60">
        <v>0</v>
      </c>
      <c r="F488" s="60">
        <v>5952.6</v>
      </c>
      <c r="G488" s="263">
        <v>0</v>
      </c>
      <c r="H488" s="263">
        <v>3477.6</v>
      </c>
      <c r="I488" s="263">
        <v>2475</v>
      </c>
      <c r="J488" s="263">
        <v>0</v>
      </c>
      <c r="O488" s="264"/>
      <c r="P488" s="264"/>
      <c r="Q488" s="264"/>
      <c r="R488" s="264"/>
      <c r="S488" s="60"/>
      <c r="T488" s="60"/>
      <c r="U488" t="s">
        <v>17269</v>
      </c>
    </row>
    <row r="489" spans="1:21">
      <c r="A489" t="s">
        <v>18180</v>
      </c>
      <c r="B489" s="262">
        <v>44075</v>
      </c>
      <c r="C489" t="s">
        <v>17156</v>
      </c>
      <c r="D489" t="s">
        <v>17575</v>
      </c>
      <c r="E489" s="60">
        <v>0</v>
      </c>
      <c r="F489" s="60">
        <v>34750</v>
      </c>
      <c r="G489" s="263">
        <v>33060</v>
      </c>
      <c r="H489" s="263">
        <v>1690</v>
      </c>
      <c r="I489" s="263">
        <v>0</v>
      </c>
      <c r="J489" s="263">
        <v>0</v>
      </c>
      <c r="O489" s="264"/>
      <c r="P489" s="264"/>
      <c r="Q489" s="264"/>
      <c r="R489" s="264"/>
      <c r="S489" s="60"/>
      <c r="T489" s="60"/>
      <c r="U489" t="s">
        <v>18181</v>
      </c>
    </row>
    <row r="490" spans="1:21">
      <c r="A490" t="s">
        <v>18182</v>
      </c>
      <c r="B490" s="262">
        <v>44075</v>
      </c>
      <c r="C490" t="s">
        <v>17233</v>
      </c>
      <c r="D490" t="s">
        <v>17234</v>
      </c>
      <c r="E490" s="60">
        <v>0</v>
      </c>
      <c r="F490" s="60">
        <v>1677784.7680000002</v>
      </c>
      <c r="G490" s="263">
        <v>0</v>
      </c>
      <c r="H490" s="263">
        <v>1270248.2468640003</v>
      </c>
      <c r="I490" s="263">
        <v>279288.14133600006</v>
      </c>
      <c r="J490" s="263">
        <v>0</v>
      </c>
      <c r="O490" s="264"/>
      <c r="P490" s="264"/>
      <c r="Q490" s="264"/>
      <c r="R490" s="264"/>
      <c r="S490" s="60"/>
      <c r="T490" s="60"/>
      <c r="U490" t="s">
        <v>17867</v>
      </c>
    </row>
    <row r="491" spans="1:21">
      <c r="A491" t="s">
        <v>18183</v>
      </c>
      <c r="B491" s="262">
        <v>44075</v>
      </c>
      <c r="C491" t="s">
        <v>16783</v>
      </c>
      <c r="D491" t="s">
        <v>17509</v>
      </c>
      <c r="E491" s="60">
        <v>0</v>
      </c>
      <c r="F491" s="60">
        <v>981343.7</v>
      </c>
      <c r="G491" s="263">
        <v>137275.068</v>
      </c>
      <c r="H491" s="263">
        <v>575418.1932000001</v>
      </c>
      <c r="I491" s="263">
        <v>193668.25920000003</v>
      </c>
      <c r="J491" s="263">
        <v>0</v>
      </c>
      <c r="O491" s="264"/>
      <c r="P491" s="264"/>
      <c r="Q491" s="264"/>
      <c r="R491" s="264"/>
      <c r="S491" s="60"/>
      <c r="T491" s="60"/>
      <c r="U491" t="s">
        <v>17939</v>
      </c>
    </row>
    <row r="492" spans="1:21">
      <c r="A492" t="s">
        <v>18184</v>
      </c>
      <c r="B492" s="262">
        <v>44078</v>
      </c>
      <c r="C492" t="s">
        <v>17253</v>
      </c>
      <c r="D492" t="s">
        <v>18185</v>
      </c>
      <c r="E492" s="60">
        <v>0</v>
      </c>
      <c r="F492" s="60">
        <v>432936.864</v>
      </c>
      <c r="G492" s="263">
        <v>432936.86435999995</v>
      </c>
      <c r="H492" s="263">
        <v>0</v>
      </c>
      <c r="I492" s="263">
        <v>0</v>
      </c>
      <c r="J492" s="263">
        <v>0</v>
      </c>
      <c r="O492" s="264"/>
      <c r="P492" s="264"/>
      <c r="Q492" s="264"/>
      <c r="R492" s="264"/>
      <c r="S492" s="60"/>
      <c r="T492" s="60"/>
      <c r="U492" t="s">
        <v>18186</v>
      </c>
    </row>
    <row r="493" spans="1:21">
      <c r="A493" t="s">
        <v>18187</v>
      </c>
      <c r="B493" s="262">
        <v>44078</v>
      </c>
      <c r="C493" t="s">
        <v>16560</v>
      </c>
      <c r="D493" t="s">
        <v>16561</v>
      </c>
      <c r="E493" s="60">
        <v>0</v>
      </c>
      <c r="F493" s="60">
        <v>153938.66399999999</v>
      </c>
      <c r="G493" s="263">
        <v>0</v>
      </c>
      <c r="H493" s="263">
        <v>0</v>
      </c>
      <c r="I493" s="263">
        <v>153938.66399999999</v>
      </c>
      <c r="J493" s="263">
        <v>0</v>
      </c>
      <c r="O493" s="264"/>
      <c r="P493" s="264"/>
      <c r="Q493" s="264"/>
      <c r="R493" s="264"/>
      <c r="S493" s="60"/>
      <c r="T493" s="60"/>
    </row>
    <row r="494" spans="1:21">
      <c r="A494" t="s">
        <v>18188</v>
      </c>
      <c r="B494" s="262">
        <v>44078</v>
      </c>
      <c r="C494" t="s">
        <v>16560</v>
      </c>
      <c r="D494" t="s">
        <v>16561</v>
      </c>
      <c r="E494" s="60">
        <v>0</v>
      </c>
      <c r="F494" s="60">
        <v>153938.66399999999</v>
      </c>
      <c r="G494" s="263">
        <v>0</v>
      </c>
      <c r="H494" s="263">
        <v>0</v>
      </c>
      <c r="I494" s="263">
        <v>153938.66399999999</v>
      </c>
      <c r="J494" s="263">
        <v>0</v>
      </c>
      <c r="O494" s="264"/>
      <c r="P494" s="264"/>
      <c r="Q494" s="264"/>
      <c r="R494" s="264"/>
      <c r="S494" s="60"/>
      <c r="T494" s="60"/>
    </row>
    <row r="495" spans="1:21">
      <c r="A495" t="s">
        <v>18189</v>
      </c>
      <c r="B495" s="262">
        <v>44081</v>
      </c>
      <c r="C495" t="s">
        <v>17200</v>
      </c>
      <c r="D495" t="s">
        <v>17645</v>
      </c>
      <c r="E495" s="60">
        <v>0</v>
      </c>
      <c r="F495" s="60">
        <v>39767.730000000003</v>
      </c>
      <c r="G495" s="263">
        <v>39767.729999999996</v>
      </c>
      <c r="H495" s="263">
        <v>0</v>
      </c>
      <c r="I495" s="263">
        <v>0</v>
      </c>
      <c r="J495" s="263">
        <v>0</v>
      </c>
      <c r="O495" s="264"/>
      <c r="P495" s="264"/>
      <c r="Q495" s="264"/>
      <c r="R495" s="264"/>
      <c r="S495" s="60"/>
      <c r="T495" s="60"/>
      <c r="U495" t="s">
        <v>17771</v>
      </c>
    </row>
    <row r="496" spans="1:21">
      <c r="A496" t="s">
        <v>18190</v>
      </c>
      <c r="B496" s="262">
        <v>44086</v>
      </c>
      <c r="C496" t="s">
        <v>16643</v>
      </c>
      <c r="D496" t="s">
        <v>16644</v>
      </c>
      <c r="E496" s="60">
        <v>0</v>
      </c>
      <c r="F496" s="60">
        <v>206454.891</v>
      </c>
      <c r="G496" s="263">
        <v>1113.8598</v>
      </c>
      <c r="H496" s="263">
        <v>156487.5312</v>
      </c>
      <c r="I496" s="263">
        <v>0</v>
      </c>
      <c r="J496" s="263">
        <v>0</v>
      </c>
      <c r="O496" s="264"/>
      <c r="P496" s="264"/>
      <c r="Q496" s="264"/>
      <c r="R496" s="264"/>
      <c r="S496" s="60"/>
      <c r="T496" s="60"/>
      <c r="U496" t="s">
        <v>18191</v>
      </c>
    </row>
    <row r="497" spans="1:21">
      <c r="A497" t="s">
        <v>18192</v>
      </c>
      <c r="B497" s="262">
        <v>44089</v>
      </c>
      <c r="C497" t="s">
        <v>16838</v>
      </c>
      <c r="D497" t="s">
        <v>16839</v>
      </c>
      <c r="E497" s="60">
        <v>0</v>
      </c>
      <c r="F497" s="60">
        <v>115080</v>
      </c>
      <c r="G497" s="263">
        <v>0</v>
      </c>
      <c r="H497" s="263">
        <v>0</v>
      </c>
      <c r="I497" s="263">
        <v>115080</v>
      </c>
      <c r="J497" s="263">
        <v>0</v>
      </c>
      <c r="O497" s="264"/>
      <c r="P497" s="264"/>
      <c r="Q497" s="264"/>
      <c r="R497" s="264"/>
      <c r="S497" s="60"/>
      <c r="T497" s="60"/>
      <c r="U497" t="s">
        <v>18193</v>
      </c>
    </row>
    <row r="498" spans="1:21">
      <c r="A498" t="s">
        <v>18194</v>
      </c>
      <c r="B498" s="262">
        <v>44089</v>
      </c>
      <c r="C498" t="s">
        <v>16838</v>
      </c>
      <c r="D498" t="s">
        <v>16839</v>
      </c>
      <c r="E498" s="60">
        <v>0</v>
      </c>
      <c r="F498" s="60">
        <v>217620</v>
      </c>
      <c r="G498" s="263">
        <v>0</v>
      </c>
      <c r="H498" s="263">
        <v>0</v>
      </c>
      <c r="I498" s="263">
        <v>217620</v>
      </c>
      <c r="J498" s="263">
        <v>0</v>
      </c>
      <c r="O498" s="264"/>
      <c r="P498" s="264"/>
      <c r="Q498" s="264"/>
      <c r="R498" s="264"/>
      <c r="S498" s="60"/>
      <c r="T498" s="60"/>
      <c r="U498" t="s">
        <v>17798</v>
      </c>
    </row>
    <row r="499" spans="1:21">
      <c r="A499" t="s">
        <v>18195</v>
      </c>
      <c r="B499" s="262">
        <v>44089</v>
      </c>
      <c r="C499" t="s">
        <v>17219</v>
      </c>
      <c r="D499" t="s">
        <v>17220</v>
      </c>
      <c r="E499" s="60">
        <v>0</v>
      </c>
      <c r="F499" s="60">
        <v>461614.27399999998</v>
      </c>
      <c r="G499" s="263">
        <v>0</v>
      </c>
      <c r="H499" s="263">
        <v>276968.56440000003</v>
      </c>
      <c r="I499" s="263">
        <v>184645.70960000006</v>
      </c>
      <c r="J499" s="263">
        <v>0</v>
      </c>
      <c r="O499" s="264"/>
      <c r="P499" s="264"/>
      <c r="Q499" s="264"/>
      <c r="R499" s="264"/>
      <c r="S499" s="60"/>
      <c r="T499" s="60"/>
      <c r="U499" t="s">
        <v>18196</v>
      </c>
    </row>
    <row r="500" spans="1:21">
      <c r="A500" t="s">
        <v>18197</v>
      </c>
      <c r="B500" s="262">
        <v>44089</v>
      </c>
      <c r="C500" t="s">
        <v>16470</v>
      </c>
      <c r="D500" t="s">
        <v>16471</v>
      </c>
      <c r="E500" s="60">
        <v>0</v>
      </c>
      <c r="F500" s="60">
        <v>414999.489</v>
      </c>
      <c r="G500" s="263">
        <v>0</v>
      </c>
      <c r="H500" s="263">
        <v>326360.85678000015</v>
      </c>
      <c r="I500" s="263">
        <v>0</v>
      </c>
      <c r="J500" s="263">
        <v>0</v>
      </c>
      <c r="O500" s="264"/>
      <c r="P500" s="264"/>
      <c r="Q500" s="264"/>
      <c r="R500" s="264"/>
      <c r="S500" s="60"/>
      <c r="T500" s="60"/>
    </row>
    <row r="501" spans="1:21">
      <c r="A501" t="s">
        <v>18198</v>
      </c>
      <c r="B501" s="262">
        <v>44091</v>
      </c>
      <c r="C501" t="s">
        <v>16444</v>
      </c>
      <c r="D501" t="s">
        <v>16445</v>
      </c>
      <c r="E501" s="60">
        <v>0</v>
      </c>
      <c r="F501" s="60">
        <v>142611.84</v>
      </c>
      <c r="G501" s="263">
        <v>142611.84</v>
      </c>
      <c r="H501" s="263">
        <v>0</v>
      </c>
      <c r="I501" s="263">
        <v>0</v>
      </c>
      <c r="J501" s="263">
        <v>0</v>
      </c>
      <c r="O501" s="264"/>
      <c r="P501" s="264"/>
      <c r="Q501" s="264"/>
      <c r="R501" s="264"/>
      <c r="S501" s="60"/>
      <c r="T501" s="60"/>
      <c r="U501" t="s">
        <v>18199</v>
      </c>
    </row>
    <row r="502" spans="1:21">
      <c r="A502" t="s">
        <v>18200</v>
      </c>
      <c r="B502" s="262">
        <v>44096</v>
      </c>
      <c r="C502" t="s">
        <v>16444</v>
      </c>
      <c r="D502" t="s">
        <v>16445</v>
      </c>
      <c r="E502" s="60">
        <v>0</v>
      </c>
      <c r="F502" s="60">
        <v>35652.959999999999</v>
      </c>
      <c r="G502" s="263">
        <v>35652.959999999999</v>
      </c>
      <c r="H502" s="263">
        <v>0</v>
      </c>
      <c r="I502" s="263">
        <v>0</v>
      </c>
      <c r="J502" s="263">
        <v>0</v>
      </c>
      <c r="O502" s="264"/>
      <c r="P502" s="264"/>
      <c r="Q502" s="264"/>
      <c r="R502" s="264"/>
      <c r="S502" s="60"/>
      <c r="T502" s="60"/>
      <c r="U502" t="s">
        <v>18201</v>
      </c>
    </row>
    <row r="503" spans="1:21">
      <c r="A503" t="s">
        <v>18202</v>
      </c>
      <c r="B503" s="262">
        <v>44098</v>
      </c>
      <c r="C503" t="s">
        <v>17017</v>
      </c>
      <c r="D503" t="s">
        <v>17430</v>
      </c>
      <c r="E503" s="60">
        <v>0</v>
      </c>
      <c r="F503" s="60">
        <v>33000</v>
      </c>
      <c r="G503" s="263">
        <v>0</v>
      </c>
      <c r="H503" s="263">
        <v>33000</v>
      </c>
      <c r="I503" s="263">
        <v>0</v>
      </c>
      <c r="J503" s="263">
        <v>0</v>
      </c>
      <c r="O503" s="264"/>
      <c r="P503" s="264"/>
      <c r="Q503" s="264"/>
      <c r="R503" s="264"/>
      <c r="S503" s="60"/>
      <c r="T503" s="60"/>
      <c r="U503" t="s">
        <v>18203</v>
      </c>
    </row>
    <row r="504" spans="1:21">
      <c r="A504" t="s">
        <v>18204</v>
      </c>
      <c r="B504" s="262">
        <v>44105</v>
      </c>
      <c r="C504" t="s">
        <v>17017</v>
      </c>
      <c r="D504" t="s">
        <v>17430</v>
      </c>
      <c r="E504" s="60">
        <v>0</v>
      </c>
      <c r="F504" s="60">
        <v>34771.86</v>
      </c>
      <c r="G504" s="263">
        <v>0</v>
      </c>
      <c r="H504" s="263">
        <v>0</v>
      </c>
      <c r="I504" s="263">
        <v>34771.86</v>
      </c>
      <c r="J504" s="263">
        <v>0</v>
      </c>
      <c r="O504" s="264"/>
      <c r="P504" s="264"/>
      <c r="Q504" s="264"/>
      <c r="R504" s="264"/>
      <c r="S504" s="60"/>
      <c r="T504" s="60"/>
      <c r="U504" t="s">
        <v>17633</v>
      </c>
    </row>
    <row r="505" spans="1:21">
      <c r="A505" t="s">
        <v>18205</v>
      </c>
      <c r="B505" s="262">
        <v>44118</v>
      </c>
      <c r="C505" t="s">
        <v>16384</v>
      </c>
      <c r="D505" t="s">
        <v>16385</v>
      </c>
      <c r="E505" s="60">
        <v>0</v>
      </c>
      <c r="F505" s="60">
        <v>93888</v>
      </c>
      <c r="G505" s="263">
        <v>93888</v>
      </c>
      <c r="H505" s="263">
        <v>0</v>
      </c>
      <c r="I505" s="263">
        <v>0</v>
      </c>
      <c r="J505" s="263">
        <v>0</v>
      </c>
      <c r="O505" s="264"/>
      <c r="P505" s="264"/>
      <c r="Q505" s="264"/>
      <c r="R505" s="264"/>
      <c r="S505" s="60"/>
      <c r="T505" s="60"/>
      <c r="U505" t="s">
        <v>17965</v>
      </c>
    </row>
    <row r="506" spans="1:21">
      <c r="A506" t="s">
        <v>18206</v>
      </c>
      <c r="B506" s="262">
        <v>44105</v>
      </c>
      <c r="C506" t="s">
        <v>16838</v>
      </c>
      <c r="D506" t="s">
        <v>16839</v>
      </c>
      <c r="E506" s="60">
        <v>0</v>
      </c>
      <c r="F506" s="60">
        <v>150226.4</v>
      </c>
      <c r="G506" s="263">
        <v>1920</v>
      </c>
      <c r="H506" s="263">
        <v>30146.400000000001</v>
      </c>
      <c r="I506" s="263">
        <v>118160</v>
      </c>
      <c r="J506" s="263">
        <v>0</v>
      </c>
      <c r="O506" s="264"/>
      <c r="P506" s="264"/>
      <c r="Q506" s="264"/>
      <c r="R506" s="264"/>
      <c r="S506" s="60"/>
      <c r="T506" s="60"/>
      <c r="U506" t="s">
        <v>17771</v>
      </c>
    </row>
    <row r="507" spans="1:21">
      <c r="A507" t="s">
        <v>18207</v>
      </c>
      <c r="B507" s="262">
        <v>44099</v>
      </c>
      <c r="C507" t="s">
        <v>16880</v>
      </c>
      <c r="D507" t="s">
        <v>16881</v>
      </c>
      <c r="E507" s="60">
        <v>0</v>
      </c>
      <c r="F507" s="60">
        <v>60865.044999999998</v>
      </c>
      <c r="G507" s="263">
        <v>0</v>
      </c>
      <c r="H507" s="263">
        <v>60865.044749999994</v>
      </c>
      <c r="I507" s="263">
        <v>0</v>
      </c>
      <c r="J507" s="263">
        <v>0</v>
      </c>
      <c r="O507" s="264"/>
      <c r="P507" s="264"/>
      <c r="Q507" s="264"/>
      <c r="R507" s="264"/>
      <c r="S507" s="60"/>
      <c r="T507" s="60"/>
      <c r="U507" t="s">
        <v>18208</v>
      </c>
    </row>
    <row r="508" spans="1:21">
      <c r="A508" t="s">
        <v>18209</v>
      </c>
      <c r="B508" s="262">
        <v>44105</v>
      </c>
      <c r="C508" t="s">
        <v>17255</v>
      </c>
      <c r="D508" t="s">
        <v>18210</v>
      </c>
      <c r="E508" s="60">
        <v>0</v>
      </c>
      <c r="F508" s="60">
        <v>33600</v>
      </c>
      <c r="G508" s="263">
        <v>33600</v>
      </c>
      <c r="H508" s="263">
        <v>0</v>
      </c>
      <c r="I508" s="263">
        <v>0</v>
      </c>
      <c r="J508" s="263">
        <v>0</v>
      </c>
      <c r="O508" s="264"/>
      <c r="P508" s="264"/>
      <c r="Q508" s="264"/>
      <c r="R508" s="264"/>
      <c r="S508" s="60"/>
      <c r="T508" s="60"/>
      <c r="U508" t="s">
        <v>17316</v>
      </c>
    </row>
    <row r="509" spans="1:21">
      <c r="A509" t="s">
        <v>18211</v>
      </c>
      <c r="B509" s="262">
        <v>44105</v>
      </c>
      <c r="C509" t="s">
        <v>17259</v>
      </c>
      <c r="D509" t="s">
        <v>17260</v>
      </c>
      <c r="E509" s="60">
        <v>0</v>
      </c>
      <c r="F509" s="60">
        <v>59365.02</v>
      </c>
      <c r="G509" s="263">
        <v>0</v>
      </c>
      <c r="H509" s="263">
        <v>53483.869999999988</v>
      </c>
      <c r="I509" s="263">
        <v>4884.8140000000003</v>
      </c>
      <c r="J509" s="263">
        <v>996.33600000000001</v>
      </c>
      <c r="O509" s="264"/>
      <c r="P509" s="264"/>
      <c r="Q509" s="264"/>
      <c r="R509" s="264"/>
      <c r="S509" s="60"/>
      <c r="T509" s="60"/>
      <c r="U509" t="s">
        <v>17261</v>
      </c>
    </row>
    <row r="510" spans="1:21">
      <c r="A510" t="s">
        <v>18212</v>
      </c>
      <c r="B510" s="262">
        <v>44105</v>
      </c>
      <c r="C510" t="s">
        <v>17242</v>
      </c>
      <c r="D510" t="s">
        <v>17243</v>
      </c>
      <c r="E510" s="60">
        <v>0</v>
      </c>
      <c r="F510" s="60">
        <v>401703.88099999999</v>
      </c>
      <c r="G510" s="263">
        <v>383444.61372000002</v>
      </c>
      <c r="H510" s="263">
        <v>0</v>
      </c>
      <c r="I510" s="263">
        <v>0</v>
      </c>
      <c r="J510" s="263">
        <v>0</v>
      </c>
      <c r="O510" s="264"/>
      <c r="P510" s="264"/>
      <c r="Q510" s="264"/>
      <c r="R510" s="264"/>
      <c r="S510" s="60"/>
      <c r="T510" s="60"/>
      <c r="U510" t="s">
        <v>18213</v>
      </c>
    </row>
    <row r="511" spans="1:21">
      <c r="A511" t="s">
        <v>18214</v>
      </c>
      <c r="B511" s="262">
        <v>44105</v>
      </c>
      <c r="C511" t="s">
        <v>17230</v>
      </c>
      <c r="D511" t="s">
        <v>17231</v>
      </c>
      <c r="E511" s="60">
        <v>0</v>
      </c>
      <c r="F511" s="60">
        <v>54727.428</v>
      </c>
      <c r="G511" s="263">
        <v>2181.3792000000003</v>
      </c>
      <c r="H511" s="263">
        <v>26150.062223999998</v>
      </c>
      <c r="I511" s="263">
        <v>15483.896999999999</v>
      </c>
      <c r="J511" s="263">
        <v>10912.089760000001</v>
      </c>
      <c r="O511" s="264"/>
      <c r="P511" s="264"/>
      <c r="Q511" s="264"/>
      <c r="R511" s="264"/>
      <c r="S511" s="60"/>
      <c r="T511" s="60"/>
      <c r="U511" t="s">
        <v>16394</v>
      </c>
    </row>
    <row r="512" spans="1:21">
      <c r="A512" t="s">
        <v>18215</v>
      </c>
      <c r="B512" s="262">
        <v>44105</v>
      </c>
      <c r="C512" t="s">
        <v>17262</v>
      </c>
      <c r="D512" t="s">
        <v>17263</v>
      </c>
      <c r="E512" s="60">
        <v>0</v>
      </c>
      <c r="F512" s="60">
        <v>47264.214000000007</v>
      </c>
      <c r="G512" s="263">
        <v>0</v>
      </c>
      <c r="H512" s="263">
        <v>28965.157200000001</v>
      </c>
      <c r="I512" s="263">
        <v>10344.699000000001</v>
      </c>
      <c r="J512" s="263">
        <v>7954.357860000001</v>
      </c>
      <c r="O512" s="264"/>
      <c r="P512" s="264"/>
      <c r="Q512" s="264"/>
      <c r="R512" s="264"/>
      <c r="S512" s="60"/>
      <c r="T512" s="60"/>
      <c r="U512" t="s">
        <v>16394</v>
      </c>
    </row>
    <row r="513" spans="1:21">
      <c r="A513" t="s">
        <v>18216</v>
      </c>
      <c r="B513" s="262">
        <v>44105</v>
      </c>
      <c r="C513" t="s">
        <v>17017</v>
      </c>
      <c r="D513" t="s">
        <v>17430</v>
      </c>
      <c r="E513" s="60">
        <v>0</v>
      </c>
      <c r="F513" s="60">
        <v>145317.84</v>
      </c>
      <c r="G513" s="263">
        <v>0</v>
      </c>
      <c r="H513" s="263">
        <v>79822.8</v>
      </c>
      <c r="I513" s="263">
        <v>30119.040000000001</v>
      </c>
      <c r="J513" s="263">
        <v>35376</v>
      </c>
      <c r="O513" s="264"/>
      <c r="P513" s="264"/>
      <c r="Q513" s="264"/>
      <c r="R513" s="264"/>
      <c r="S513" s="60"/>
      <c r="T513" s="60"/>
      <c r="U513" t="s">
        <v>17954</v>
      </c>
    </row>
    <row r="514" spans="1:21">
      <c r="A514" t="s">
        <v>18217</v>
      </c>
      <c r="B514" s="262">
        <v>44106</v>
      </c>
      <c r="C514" t="s">
        <v>16444</v>
      </c>
      <c r="D514" t="s">
        <v>16445</v>
      </c>
      <c r="E514" s="60">
        <v>0</v>
      </c>
      <c r="F514" s="60">
        <v>30872</v>
      </c>
      <c r="G514" s="263">
        <v>30872</v>
      </c>
      <c r="H514" s="263">
        <v>0</v>
      </c>
      <c r="I514" s="263">
        <v>0</v>
      </c>
      <c r="J514" s="263">
        <v>0</v>
      </c>
      <c r="O514" s="264"/>
      <c r="P514" s="264"/>
      <c r="Q514" s="264"/>
      <c r="R514" s="264"/>
      <c r="S514" s="60"/>
      <c r="T514" s="60"/>
      <c r="U514" t="s">
        <v>17673</v>
      </c>
    </row>
    <row r="515" spans="1:21">
      <c r="A515" t="s">
        <v>18218</v>
      </c>
      <c r="B515" s="262">
        <v>44112</v>
      </c>
      <c r="C515" t="s">
        <v>16444</v>
      </c>
      <c r="D515" t="s">
        <v>16445</v>
      </c>
      <c r="E515" s="60">
        <v>0</v>
      </c>
      <c r="F515" s="60">
        <v>70848</v>
      </c>
      <c r="G515" s="263">
        <v>70848</v>
      </c>
      <c r="H515" s="263">
        <v>0</v>
      </c>
      <c r="I515" s="263">
        <v>0</v>
      </c>
      <c r="J515" s="263">
        <v>0</v>
      </c>
      <c r="O515" s="264"/>
      <c r="P515" s="264"/>
      <c r="Q515" s="264"/>
      <c r="R515" s="264"/>
      <c r="S515" s="60"/>
      <c r="T515" s="60"/>
      <c r="U515" t="s">
        <v>16653</v>
      </c>
    </row>
    <row r="516" spans="1:21">
      <c r="A516" t="s">
        <v>18219</v>
      </c>
      <c r="B516" s="262">
        <v>44112</v>
      </c>
      <c r="C516" t="s">
        <v>16444</v>
      </c>
      <c r="D516" t="s">
        <v>16445</v>
      </c>
      <c r="E516" s="60">
        <v>0</v>
      </c>
      <c r="F516" s="60">
        <v>163721.04</v>
      </c>
      <c r="G516" s="263">
        <v>53609.04</v>
      </c>
      <c r="H516" s="263">
        <v>108336</v>
      </c>
      <c r="I516" s="263">
        <v>1776</v>
      </c>
      <c r="J516" s="263">
        <v>0</v>
      </c>
      <c r="O516" s="264"/>
      <c r="P516" s="264"/>
      <c r="Q516" s="264"/>
      <c r="R516" s="264"/>
      <c r="S516" s="60"/>
      <c r="T516" s="60"/>
    </row>
    <row r="517" spans="1:21">
      <c r="A517" t="s">
        <v>18220</v>
      </c>
      <c r="B517" s="262">
        <v>44112</v>
      </c>
      <c r="C517" t="s">
        <v>16384</v>
      </c>
      <c r="D517" t="s">
        <v>16385</v>
      </c>
      <c r="E517" s="60">
        <v>0</v>
      </c>
      <c r="F517" s="60">
        <v>364000</v>
      </c>
      <c r="G517" s="263">
        <v>0</v>
      </c>
      <c r="H517" s="263">
        <v>0</v>
      </c>
      <c r="I517" s="263">
        <v>364000</v>
      </c>
      <c r="J517" s="263">
        <v>0</v>
      </c>
      <c r="O517" s="264"/>
      <c r="P517" s="264"/>
      <c r="Q517" s="264"/>
      <c r="R517" s="264"/>
      <c r="S517" s="60"/>
      <c r="T517" s="60"/>
      <c r="U517" t="s">
        <v>17801</v>
      </c>
    </row>
    <row r="518" spans="1:21">
      <c r="A518" t="s">
        <v>18221</v>
      </c>
      <c r="B518" s="262">
        <v>44112</v>
      </c>
      <c r="C518" t="s">
        <v>16384</v>
      </c>
      <c r="D518" t="s">
        <v>16385</v>
      </c>
      <c r="E518" s="60">
        <v>0</v>
      </c>
      <c r="F518" s="60">
        <v>93888</v>
      </c>
      <c r="G518" s="263">
        <v>93888</v>
      </c>
      <c r="H518" s="263">
        <v>0</v>
      </c>
      <c r="I518" s="263">
        <v>0</v>
      </c>
      <c r="J518" s="263">
        <v>0</v>
      </c>
      <c r="O518" s="264"/>
      <c r="P518" s="264"/>
      <c r="Q518" s="264"/>
      <c r="R518" s="264"/>
      <c r="S518" s="60"/>
      <c r="T518" s="60"/>
      <c r="U518" t="s">
        <v>17965</v>
      </c>
    </row>
    <row r="519" spans="1:21">
      <c r="A519" t="s">
        <v>18222</v>
      </c>
      <c r="B519" s="262">
        <v>44112</v>
      </c>
      <c r="C519" t="s">
        <v>17226</v>
      </c>
      <c r="D519" t="s">
        <v>17891</v>
      </c>
      <c r="E519" s="60">
        <v>0</v>
      </c>
      <c r="F519" s="60">
        <v>47611.8</v>
      </c>
      <c r="G519" s="263">
        <v>15616.8</v>
      </c>
      <c r="H519" s="263">
        <v>25860</v>
      </c>
      <c r="I519" s="263">
        <v>2970</v>
      </c>
      <c r="J519" s="263">
        <v>3165</v>
      </c>
      <c r="O519" s="264"/>
      <c r="P519" s="264"/>
      <c r="Q519" s="264"/>
      <c r="R519" s="264"/>
      <c r="S519" s="60"/>
      <c r="T519" s="60"/>
      <c r="U519" t="s">
        <v>17689</v>
      </c>
    </row>
    <row r="520" spans="1:21">
      <c r="A520" t="s">
        <v>18223</v>
      </c>
      <c r="B520" s="262">
        <v>44112</v>
      </c>
      <c r="C520" t="s">
        <v>16972</v>
      </c>
      <c r="D520" t="s">
        <v>17424</v>
      </c>
      <c r="E520" s="60">
        <v>0</v>
      </c>
      <c r="F520" s="60">
        <v>64140</v>
      </c>
      <c r="G520" s="263">
        <v>64140</v>
      </c>
      <c r="H520" s="263">
        <v>0</v>
      </c>
      <c r="I520" s="263">
        <v>0</v>
      </c>
      <c r="J520" s="263">
        <v>0</v>
      </c>
      <c r="O520" s="264"/>
      <c r="P520" s="264"/>
      <c r="Q520" s="264"/>
      <c r="R520" s="264"/>
      <c r="S520" s="60"/>
      <c r="T520" s="60"/>
    </row>
    <row r="521" spans="1:21">
      <c r="A521" t="s">
        <v>18224</v>
      </c>
      <c r="B521" s="262">
        <v>44132</v>
      </c>
      <c r="C521" t="s">
        <v>16972</v>
      </c>
      <c r="D521" t="s">
        <v>17424</v>
      </c>
      <c r="E521" s="60">
        <v>0</v>
      </c>
      <c r="F521" s="60">
        <v>102960</v>
      </c>
      <c r="G521" s="263">
        <v>0</v>
      </c>
      <c r="H521" s="263">
        <v>102960</v>
      </c>
      <c r="I521" s="263">
        <v>0</v>
      </c>
      <c r="J521" s="263">
        <v>0</v>
      </c>
      <c r="O521" s="264"/>
      <c r="P521" s="264"/>
      <c r="Q521" s="264"/>
      <c r="R521" s="264"/>
      <c r="S521" s="60"/>
      <c r="T521" s="60"/>
    </row>
    <row r="522" spans="1:21">
      <c r="A522" t="s">
        <v>18225</v>
      </c>
      <c r="B522" s="262">
        <v>44139</v>
      </c>
      <c r="C522" t="s">
        <v>17156</v>
      </c>
      <c r="D522" t="s">
        <v>17575</v>
      </c>
      <c r="E522" s="60">
        <v>0</v>
      </c>
      <c r="F522" s="60">
        <v>32955</v>
      </c>
      <c r="G522" s="263">
        <v>0</v>
      </c>
      <c r="H522" s="263">
        <v>32955</v>
      </c>
      <c r="I522" s="263">
        <v>0</v>
      </c>
      <c r="J522" s="263">
        <v>0</v>
      </c>
      <c r="O522" s="264"/>
      <c r="P522" s="264"/>
      <c r="Q522" s="264"/>
      <c r="R522" s="264"/>
      <c r="S522" s="60"/>
      <c r="T522" s="60"/>
      <c r="U522" t="s">
        <v>17398</v>
      </c>
    </row>
    <row r="523" spans="1:21">
      <c r="A523" t="s">
        <v>18226</v>
      </c>
      <c r="B523" s="262">
        <v>44152</v>
      </c>
      <c r="C523" t="s">
        <v>16470</v>
      </c>
      <c r="D523" t="s">
        <v>16471</v>
      </c>
      <c r="E523" s="60">
        <v>0</v>
      </c>
      <c r="F523" s="60">
        <v>405793.239</v>
      </c>
      <c r="G523" s="263">
        <v>0</v>
      </c>
      <c r="H523" s="263">
        <v>317585.89619999973</v>
      </c>
      <c r="I523" s="263">
        <v>0</v>
      </c>
      <c r="J523" s="263">
        <v>0</v>
      </c>
      <c r="O523" s="264"/>
      <c r="P523" s="264"/>
      <c r="Q523" s="264"/>
      <c r="R523" s="264"/>
      <c r="S523" s="60"/>
      <c r="T523" s="60"/>
      <c r="U523" t="s">
        <v>18227</v>
      </c>
    </row>
    <row r="524" spans="1:21">
      <c r="A524" t="s">
        <v>18228</v>
      </c>
      <c r="B524" s="262">
        <v>44120</v>
      </c>
      <c r="C524" t="s">
        <v>16957</v>
      </c>
      <c r="D524" t="s">
        <v>17451</v>
      </c>
      <c r="E524" s="60">
        <v>0</v>
      </c>
      <c r="F524" s="60">
        <v>37657.72</v>
      </c>
      <c r="G524" s="263">
        <v>37657.72</v>
      </c>
      <c r="H524" s="263">
        <v>0</v>
      </c>
      <c r="I524" s="263">
        <v>0</v>
      </c>
      <c r="J524" s="263">
        <v>0</v>
      </c>
      <c r="O524" s="264"/>
      <c r="P524" s="264"/>
      <c r="Q524" s="264"/>
      <c r="R524" s="264"/>
      <c r="S524" s="60"/>
      <c r="T524" s="60"/>
      <c r="U524" t="s">
        <v>18229</v>
      </c>
    </row>
    <row r="525" spans="1:21">
      <c r="A525" t="s">
        <v>18230</v>
      </c>
      <c r="B525" s="262">
        <v>44120</v>
      </c>
      <c r="C525" t="s">
        <v>17267</v>
      </c>
      <c r="D525" t="s">
        <v>17268</v>
      </c>
      <c r="E525" s="60">
        <v>0</v>
      </c>
      <c r="F525" s="60">
        <v>51189.590999999993</v>
      </c>
      <c r="G525" s="263">
        <v>10963.722</v>
      </c>
      <c r="H525" s="263">
        <v>19953.974039999997</v>
      </c>
      <c r="I525" s="263">
        <v>5358.2099999999991</v>
      </c>
      <c r="J525" s="263">
        <v>14913.684499999998</v>
      </c>
      <c r="O525" s="264"/>
      <c r="P525" s="264"/>
      <c r="Q525" s="264"/>
      <c r="R525" s="264"/>
      <c r="S525" s="60"/>
      <c r="T525" s="60"/>
    </row>
    <row r="526" spans="1:21">
      <c r="A526" t="s">
        <v>18231</v>
      </c>
      <c r="B526" s="262">
        <v>44139</v>
      </c>
      <c r="C526" t="s">
        <v>17017</v>
      </c>
      <c r="D526" t="s">
        <v>17430</v>
      </c>
      <c r="E526" s="60">
        <v>0</v>
      </c>
      <c r="F526" s="60">
        <v>33000</v>
      </c>
      <c r="G526" s="263">
        <v>0</v>
      </c>
      <c r="H526" s="263">
        <v>33000</v>
      </c>
      <c r="I526" s="263">
        <v>0</v>
      </c>
      <c r="J526" s="263">
        <v>0</v>
      </c>
      <c r="O526" s="264"/>
      <c r="P526" s="264"/>
      <c r="Q526" s="264"/>
      <c r="R526" s="264"/>
      <c r="S526" s="60"/>
      <c r="T526" s="60"/>
      <c r="U526" t="s">
        <v>18232</v>
      </c>
    </row>
    <row r="527" spans="1:21">
      <c r="A527" t="s">
        <v>18233</v>
      </c>
      <c r="B527" s="262">
        <v>44120</v>
      </c>
      <c r="C527" t="s">
        <v>17017</v>
      </c>
      <c r="D527" t="s">
        <v>17430</v>
      </c>
      <c r="E527" s="60">
        <v>0</v>
      </c>
      <c r="F527" s="60">
        <v>33759</v>
      </c>
      <c r="G527" s="263">
        <v>0</v>
      </c>
      <c r="H527" s="263">
        <v>33759.440000000002</v>
      </c>
      <c r="I527" s="263">
        <v>0</v>
      </c>
      <c r="J527" s="263">
        <v>0</v>
      </c>
      <c r="O527" s="264"/>
      <c r="P527" s="264"/>
      <c r="Q527" s="264"/>
      <c r="R527" s="264"/>
      <c r="S527" s="60"/>
      <c r="T527" s="60"/>
      <c r="U527" t="s">
        <v>18234</v>
      </c>
    </row>
    <row r="528" spans="1:21">
      <c r="A528" t="s">
        <v>18235</v>
      </c>
      <c r="B528" s="262">
        <v>44130</v>
      </c>
      <c r="C528" t="s">
        <v>16838</v>
      </c>
      <c r="D528" t="s">
        <v>16839</v>
      </c>
      <c r="E528" s="60">
        <v>0</v>
      </c>
      <c r="F528" s="60">
        <v>362700</v>
      </c>
      <c r="G528" s="263">
        <v>0</v>
      </c>
      <c r="H528" s="263">
        <v>0</v>
      </c>
      <c r="I528" s="263">
        <v>362700</v>
      </c>
      <c r="J528" s="263">
        <v>0</v>
      </c>
      <c r="O528" s="264"/>
      <c r="P528" s="264"/>
      <c r="Q528" s="264"/>
      <c r="R528" s="264"/>
      <c r="S528" s="60"/>
      <c r="T528" s="60"/>
      <c r="U528" t="s">
        <v>17798</v>
      </c>
    </row>
    <row r="529" spans="1:21">
      <c r="A529" t="s">
        <v>18236</v>
      </c>
      <c r="B529" s="262">
        <v>44135</v>
      </c>
      <c r="C529" t="s">
        <v>16838</v>
      </c>
      <c r="D529" t="s">
        <v>16839</v>
      </c>
      <c r="E529" s="60">
        <v>0</v>
      </c>
      <c r="F529" s="60">
        <v>116220</v>
      </c>
      <c r="G529" s="263">
        <v>34992</v>
      </c>
      <c r="H529" s="263">
        <v>64428</v>
      </c>
      <c r="I529" s="263">
        <v>16800</v>
      </c>
      <c r="J529" s="263">
        <v>0</v>
      </c>
      <c r="O529" s="264"/>
      <c r="P529" s="264"/>
      <c r="Q529" s="264"/>
      <c r="R529" s="264"/>
      <c r="S529" s="60"/>
      <c r="T529" s="60"/>
      <c r="U529" t="s">
        <v>17949</v>
      </c>
    </row>
    <row r="530" spans="1:21">
      <c r="A530" t="s">
        <v>18237</v>
      </c>
      <c r="B530" s="262">
        <v>44133</v>
      </c>
      <c r="C530" t="s">
        <v>16838</v>
      </c>
      <c r="D530" t="s">
        <v>16839</v>
      </c>
      <c r="E530" s="60">
        <v>0</v>
      </c>
      <c r="F530" s="60">
        <v>221835.68</v>
      </c>
      <c r="G530" s="263">
        <v>156036.79999999999</v>
      </c>
      <c r="H530" s="263">
        <v>56258.879999999997</v>
      </c>
      <c r="I530" s="263">
        <v>9540</v>
      </c>
      <c r="J530" s="263">
        <v>0</v>
      </c>
      <c r="O530" s="264"/>
      <c r="P530" s="264"/>
      <c r="Q530" s="264"/>
      <c r="R530" s="264"/>
      <c r="S530" s="60"/>
      <c r="T530" s="60"/>
      <c r="U530" t="s">
        <v>18009</v>
      </c>
    </row>
    <row r="531" spans="1:21">
      <c r="A531" t="s">
        <v>18238</v>
      </c>
      <c r="B531" s="262">
        <v>44137</v>
      </c>
      <c r="C531" t="s">
        <v>16838</v>
      </c>
      <c r="D531" t="s">
        <v>16839</v>
      </c>
      <c r="E531" s="60">
        <v>0</v>
      </c>
      <c r="F531" s="60">
        <v>245609.28</v>
      </c>
      <c r="G531" s="263">
        <v>0</v>
      </c>
      <c r="H531" s="263">
        <v>245609.28</v>
      </c>
      <c r="I531" s="263">
        <v>0</v>
      </c>
      <c r="J531" s="263">
        <v>0</v>
      </c>
      <c r="O531" s="264"/>
      <c r="P531" s="264"/>
      <c r="Q531" s="264"/>
      <c r="R531" s="264"/>
      <c r="S531" s="60"/>
      <c r="T531" s="60"/>
      <c r="U531" t="s">
        <v>17798</v>
      </c>
    </row>
    <row r="532" spans="1:21">
      <c r="A532" t="s">
        <v>18239</v>
      </c>
      <c r="B532" s="262">
        <v>44135</v>
      </c>
      <c r="C532" t="s">
        <v>16384</v>
      </c>
      <c r="D532" t="s">
        <v>16385</v>
      </c>
      <c r="E532" s="60">
        <v>0</v>
      </c>
      <c r="F532" s="60">
        <v>314808</v>
      </c>
      <c r="G532" s="263">
        <v>0</v>
      </c>
      <c r="H532" s="263">
        <v>277848</v>
      </c>
      <c r="I532" s="263">
        <v>36960</v>
      </c>
      <c r="J532" s="263">
        <v>0</v>
      </c>
      <c r="O532" s="264"/>
      <c r="P532" s="264"/>
      <c r="Q532" s="264"/>
      <c r="R532" s="264"/>
      <c r="S532" s="60"/>
      <c r="T532" s="60"/>
      <c r="U532" t="s">
        <v>17801</v>
      </c>
    </row>
    <row r="533" spans="1:21">
      <c r="A533" t="s">
        <v>18240</v>
      </c>
      <c r="B533" s="262">
        <v>44166</v>
      </c>
      <c r="C533" t="s">
        <v>16904</v>
      </c>
      <c r="D533" t="s">
        <v>16905</v>
      </c>
      <c r="E533" s="60">
        <v>0</v>
      </c>
      <c r="F533" s="60">
        <v>53146.214000000007</v>
      </c>
      <c r="G533" s="263">
        <v>0</v>
      </c>
      <c r="H533" s="263">
        <v>31289.807892000004</v>
      </c>
      <c r="I533" s="263">
        <v>12104.30652</v>
      </c>
      <c r="J533" s="263">
        <v>0</v>
      </c>
      <c r="O533" s="264"/>
      <c r="P533" s="264"/>
      <c r="Q533" s="264"/>
      <c r="R533" s="264"/>
      <c r="S533" s="60"/>
      <c r="T533" s="60"/>
      <c r="U533" t="s">
        <v>18241</v>
      </c>
    </row>
    <row r="534" spans="1:21">
      <c r="A534" t="s">
        <v>18242</v>
      </c>
      <c r="B534" s="262">
        <v>44149</v>
      </c>
      <c r="C534" t="s">
        <v>17119</v>
      </c>
      <c r="D534" t="s">
        <v>17120</v>
      </c>
      <c r="E534" s="60">
        <v>0</v>
      </c>
      <c r="F534" s="60">
        <v>145751.09</v>
      </c>
      <c r="G534" s="263">
        <v>63316.224000000002</v>
      </c>
      <c r="H534" s="263">
        <v>63198.165623999994</v>
      </c>
      <c r="I534" s="263">
        <v>0</v>
      </c>
      <c r="J534" s="263">
        <v>0</v>
      </c>
      <c r="O534" s="264"/>
      <c r="P534" s="264"/>
      <c r="Q534" s="264"/>
      <c r="R534" s="264"/>
      <c r="S534" s="60"/>
      <c r="T534" s="60"/>
      <c r="U534" t="s">
        <v>18243</v>
      </c>
    </row>
    <row r="535" spans="1:21">
      <c r="A535" t="s">
        <v>18244</v>
      </c>
      <c r="B535" s="262">
        <v>44145</v>
      </c>
      <c r="C535" t="s">
        <v>16957</v>
      </c>
      <c r="D535" t="s">
        <v>17451</v>
      </c>
      <c r="E535" s="60">
        <v>0</v>
      </c>
      <c r="F535" s="60">
        <v>112044.96</v>
      </c>
      <c r="G535" s="263">
        <v>112044.96</v>
      </c>
      <c r="H535" s="263">
        <v>0</v>
      </c>
      <c r="I535" s="263">
        <v>0</v>
      </c>
      <c r="J535" s="263">
        <v>0</v>
      </c>
      <c r="O535" s="264"/>
      <c r="P535" s="264"/>
      <c r="Q535" s="264"/>
      <c r="R535" s="264"/>
      <c r="S535" s="60"/>
      <c r="T535" s="60"/>
      <c r="U535" t="s">
        <v>18245</v>
      </c>
    </row>
    <row r="536" spans="1:21">
      <c r="A536" t="s">
        <v>18246</v>
      </c>
      <c r="B536" s="262">
        <v>44132</v>
      </c>
      <c r="C536" t="s">
        <v>16444</v>
      </c>
      <c r="D536" t="s">
        <v>16445</v>
      </c>
      <c r="E536" s="60">
        <v>0</v>
      </c>
      <c r="F536" s="60">
        <v>235575</v>
      </c>
      <c r="G536" s="263">
        <v>0</v>
      </c>
      <c r="H536" s="263">
        <v>235575</v>
      </c>
      <c r="I536" s="263">
        <v>0</v>
      </c>
      <c r="J536" s="263">
        <v>0</v>
      </c>
      <c r="O536" s="264"/>
      <c r="P536" s="264"/>
      <c r="Q536" s="264"/>
      <c r="R536" s="264"/>
      <c r="S536" s="60"/>
      <c r="T536" s="60"/>
      <c r="U536" t="s">
        <v>16563</v>
      </c>
    </row>
    <row r="537" spans="1:21">
      <c r="A537" t="s">
        <v>18247</v>
      </c>
      <c r="B537" s="262">
        <v>44137</v>
      </c>
      <c r="C537" t="s">
        <v>16384</v>
      </c>
      <c r="D537" t="s">
        <v>16385</v>
      </c>
      <c r="E537" s="60">
        <v>0</v>
      </c>
      <c r="F537" s="60">
        <v>93888</v>
      </c>
      <c r="G537" s="263">
        <v>93888</v>
      </c>
      <c r="H537" s="263">
        <v>0</v>
      </c>
      <c r="I537" s="263">
        <v>0</v>
      </c>
      <c r="J537" s="263">
        <v>0</v>
      </c>
      <c r="O537" s="264"/>
      <c r="P537" s="264"/>
      <c r="Q537" s="264"/>
      <c r="R537" s="264"/>
      <c r="S537" s="60"/>
      <c r="T537" s="60"/>
      <c r="U537" t="s">
        <v>18248</v>
      </c>
    </row>
    <row r="538" spans="1:21">
      <c r="A538" t="s">
        <v>18249</v>
      </c>
      <c r="B538" s="262">
        <v>44166</v>
      </c>
      <c r="C538" t="s">
        <v>16384</v>
      </c>
      <c r="D538" t="s">
        <v>16385</v>
      </c>
      <c r="E538" s="60">
        <v>0</v>
      </c>
      <c r="F538" s="60">
        <v>32000</v>
      </c>
      <c r="G538" s="263">
        <v>32000</v>
      </c>
      <c r="H538" s="263">
        <v>0</v>
      </c>
      <c r="I538" s="263">
        <v>0</v>
      </c>
      <c r="J538" s="263">
        <v>0</v>
      </c>
      <c r="O538" s="264"/>
      <c r="P538" s="264"/>
      <c r="Q538" s="264"/>
      <c r="R538" s="264"/>
      <c r="S538" s="60"/>
      <c r="T538" s="60"/>
      <c r="U538" t="s">
        <v>17771</v>
      </c>
    </row>
    <row r="539" spans="1:21">
      <c r="A539" t="s">
        <v>18250</v>
      </c>
      <c r="B539" s="262">
        <v>44137</v>
      </c>
      <c r="C539" t="s">
        <v>16444</v>
      </c>
      <c r="D539" t="s">
        <v>16445</v>
      </c>
      <c r="E539" s="60">
        <v>0</v>
      </c>
      <c r="F539" s="60">
        <v>32064</v>
      </c>
      <c r="G539" s="263">
        <v>32064</v>
      </c>
      <c r="H539" s="263">
        <v>0</v>
      </c>
      <c r="I539" s="263">
        <v>0</v>
      </c>
      <c r="J539" s="263">
        <v>0</v>
      </c>
      <c r="O539" s="264"/>
      <c r="P539" s="264"/>
      <c r="Q539" s="264"/>
      <c r="R539" s="264"/>
      <c r="S539" s="60"/>
      <c r="T539" s="60"/>
      <c r="U539" t="s">
        <v>18251</v>
      </c>
    </row>
    <row r="540" spans="1:21">
      <c r="A540" t="s">
        <v>18252</v>
      </c>
      <c r="B540" s="262">
        <v>44137</v>
      </c>
      <c r="C540" t="s">
        <v>17264</v>
      </c>
      <c r="D540" t="s">
        <v>17265</v>
      </c>
      <c r="E540" s="60">
        <v>0</v>
      </c>
      <c r="F540" s="60">
        <v>124471.515</v>
      </c>
      <c r="G540" s="263">
        <v>0</v>
      </c>
      <c r="H540" s="263">
        <v>0</v>
      </c>
      <c r="I540" s="263">
        <v>0</v>
      </c>
      <c r="J540" s="263">
        <v>124471.515</v>
      </c>
      <c r="O540" s="264"/>
      <c r="P540" s="264"/>
      <c r="Q540" s="264"/>
      <c r="R540" s="264"/>
      <c r="S540" s="60"/>
      <c r="T540" s="60"/>
      <c r="U540" t="s">
        <v>18253</v>
      </c>
    </row>
    <row r="541" spans="1:21">
      <c r="A541" t="s">
        <v>18254</v>
      </c>
      <c r="B541" s="262">
        <v>44137</v>
      </c>
      <c r="C541" t="s">
        <v>17274</v>
      </c>
      <c r="D541" t="s">
        <v>17275</v>
      </c>
      <c r="E541" s="60">
        <v>0</v>
      </c>
      <c r="F541" s="60">
        <v>40885.197999999997</v>
      </c>
      <c r="G541" s="263">
        <v>0</v>
      </c>
      <c r="H541" s="263">
        <v>23048.380223999997</v>
      </c>
      <c r="I541" s="263">
        <v>7769.2481999999991</v>
      </c>
      <c r="J541" s="263">
        <v>3414.7046600000003</v>
      </c>
      <c r="O541" s="264"/>
      <c r="P541" s="264"/>
      <c r="Q541" s="264"/>
      <c r="R541" s="264"/>
      <c r="S541" s="60"/>
      <c r="T541" s="60"/>
      <c r="U541" t="s">
        <v>16394</v>
      </c>
    </row>
    <row r="542" spans="1:21">
      <c r="A542" t="s">
        <v>18255</v>
      </c>
      <c r="B542" s="262">
        <v>44137</v>
      </c>
      <c r="C542" t="s">
        <v>17272</v>
      </c>
      <c r="D542" t="s">
        <v>17273</v>
      </c>
      <c r="E542" s="60">
        <v>0</v>
      </c>
      <c r="F542" s="60">
        <v>21664.799999999999</v>
      </c>
      <c r="G542" s="263">
        <v>6480</v>
      </c>
      <c r="H542" s="263">
        <v>12484.8</v>
      </c>
      <c r="I542" s="263">
        <v>2700</v>
      </c>
      <c r="J542" s="263">
        <v>0</v>
      </c>
      <c r="O542" s="264"/>
      <c r="P542" s="264"/>
      <c r="Q542" s="264"/>
      <c r="R542" s="264"/>
      <c r="S542" s="60"/>
      <c r="T542" s="60"/>
      <c r="U542" t="s">
        <v>16394</v>
      </c>
    </row>
    <row r="543" spans="1:21">
      <c r="A543" t="s">
        <v>18256</v>
      </c>
      <c r="B543" s="262">
        <v>44137</v>
      </c>
      <c r="C543" t="s">
        <v>17209</v>
      </c>
      <c r="D543" t="s">
        <v>17210</v>
      </c>
      <c r="E543" s="60">
        <v>0</v>
      </c>
      <c r="F543" s="60">
        <v>51578.965999999993</v>
      </c>
      <c r="G543" s="263">
        <v>12421.349999999999</v>
      </c>
      <c r="H543" s="263">
        <v>22259.059199999996</v>
      </c>
      <c r="I543" s="263">
        <v>3179.8655999999992</v>
      </c>
      <c r="J543" s="263">
        <v>5299.7759999999998</v>
      </c>
      <c r="K543" s="260">
        <v>2592.0304802955666</v>
      </c>
      <c r="L543" s="260">
        <v>4644.9186206896547</v>
      </c>
      <c r="M543" s="260">
        <v>663.55980295566496</v>
      </c>
      <c r="N543" s="260">
        <v>518.40609605911322</v>
      </c>
      <c r="O543" s="264">
        <v>15013.380480295566</v>
      </c>
      <c r="P543" s="264">
        <v>26903.977820689652</v>
      </c>
      <c r="Q543" s="264">
        <v>3843.4254029556641</v>
      </c>
      <c r="R543" s="264">
        <v>5818.1820960591131</v>
      </c>
      <c r="S543" s="60">
        <v>51578.965799999991</v>
      </c>
      <c r="T543" s="60">
        <v>2.0000000222353265E-4</v>
      </c>
      <c r="U543" t="s">
        <v>17928</v>
      </c>
    </row>
    <row r="544" spans="1:21">
      <c r="A544" t="s">
        <v>18257</v>
      </c>
      <c r="B544" s="262">
        <v>44137</v>
      </c>
      <c r="C544" t="s">
        <v>17017</v>
      </c>
      <c r="D544" t="s">
        <v>17430</v>
      </c>
      <c r="E544" s="60">
        <v>0</v>
      </c>
      <c r="F544" s="60">
        <v>26265.599999999999</v>
      </c>
      <c r="G544" s="263">
        <v>0</v>
      </c>
      <c r="H544" s="263">
        <v>26265.599999999999</v>
      </c>
      <c r="I544" s="263">
        <v>0</v>
      </c>
      <c r="J544" s="263">
        <v>0</v>
      </c>
      <c r="K544" s="260">
        <v>0</v>
      </c>
      <c r="L544" s="260">
        <v>0</v>
      </c>
      <c r="M544" s="260">
        <v>0</v>
      </c>
      <c r="N544" s="260">
        <v>0</v>
      </c>
      <c r="O544" s="264">
        <v>0</v>
      </c>
      <c r="P544" s="264">
        <v>26265.599999999999</v>
      </c>
      <c r="Q544" s="264">
        <v>0</v>
      </c>
      <c r="R544" s="264">
        <v>0</v>
      </c>
      <c r="S544" s="60">
        <v>26265.599999999999</v>
      </c>
      <c r="T544" s="60">
        <v>0</v>
      </c>
      <c r="U544" t="s">
        <v>18258</v>
      </c>
    </row>
    <row r="545" spans="1:21">
      <c r="A545" t="s">
        <v>18259</v>
      </c>
      <c r="B545" s="262">
        <v>44137</v>
      </c>
      <c r="C545" t="s">
        <v>17257</v>
      </c>
      <c r="D545" t="s">
        <v>18260</v>
      </c>
      <c r="E545" s="60">
        <v>0</v>
      </c>
      <c r="F545" s="60">
        <v>51020.280999999995</v>
      </c>
      <c r="G545" s="263">
        <v>3477.9780000000001</v>
      </c>
      <c r="H545" s="263">
        <v>39509.830079999992</v>
      </c>
      <c r="I545" s="263">
        <v>4504.8095999999987</v>
      </c>
      <c r="J545" s="263">
        <v>0</v>
      </c>
      <c r="K545" s="260">
        <v>260.66478325123148</v>
      </c>
      <c r="L545" s="260">
        <v>2919.4455724137929</v>
      </c>
      <c r="M545" s="260">
        <v>347.55304433497531</v>
      </c>
      <c r="N545" s="260">
        <v>0</v>
      </c>
      <c r="O545" s="264">
        <v>3738.6427832512318</v>
      </c>
      <c r="P545" s="264">
        <v>42429.275652413788</v>
      </c>
      <c r="Q545" s="264">
        <v>4852.362644334974</v>
      </c>
      <c r="R545" s="264">
        <v>0</v>
      </c>
      <c r="S545" s="60">
        <v>51020.281079999993</v>
      </c>
      <c r="T545" s="60">
        <v>-7.9999997979030013E-5</v>
      </c>
      <c r="U545" t="s">
        <v>18261</v>
      </c>
    </row>
    <row r="546" spans="1:21">
      <c r="A546" t="s">
        <v>18262</v>
      </c>
      <c r="B546" s="262">
        <v>44137</v>
      </c>
      <c r="C546" t="s">
        <v>16783</v>
      </c>
      <c r="D546" t="s">
        <v>17509</v>
      </c>
      <c r="E546" s="60">
        <v>0</v>
      </c>
      <c r="F546" s="60">
        <v>208689.85199999998</v>
      </c>
      <c r="G546" s="263">
        <v>0</v>
      </c>
      <c r="H546" s="263">
        <v>150997.48185599997</v>
      </c>
      <c r="I546" s="263">
        <v>44700.170111999993</v>
      </c>
      <c r="J546" s="263">
        <v>0</v>
      </c>
      <c r="K546" s="260">
        <v>0</v>
      </c>
      <c r="L546" s="260">
        <v>10024.593877551019</v>
      </c>
      <c r="M546" s="260">
        <v>2967.606122448979</v>
      </c>
      <c r="N546" s="260">
        <v>0</v>
      </c>
      <c r="O546" s="264">
        <v>0</v>
      </c>
      <c r="P546" s="264">
        <v>161022.075733551</v>
      </c>
      <c r="Q546" s="264">
        <v>47667.776234448975</v>
      </c>
      <c r="R546" s="264">
        <v>0</v>
      </c>
      <c r="S546" s="60">
        <v>208689.85196799997</v>
      </c>
      <c r="T546" s="60">
        <v>3.2000010833144188E-5</v>
      </c>
      <c r="U546" t="s">
        <v>17939</v>
      </c>
    </row>
    <row r="547" spans="1:21">
      <c r="A547" t="s">
        <v>18263</v>
      </c>
      <c r="B547" s="262">
        <v>44137</v>
      </c>
      <c r="C547" t="s">
        <v>16444</v>
      </c>
      <c r="D547" t="s">
        <v>16445</v>
      </c>
      <c r="E547" s="60">
        <v>0</v>
      </c>
      <c r="F547" s="60">
        <v>142611.84</v>
      </c>
      <c r="G547" s="263">
        <v>142611.84</v>
      </c>
      <c r="H547" s="263">
        <v>0</v>
      </c>
      <c r="I547" s="263">
        <v>0</v>
      </c>
      <c r="J547" s="263">
        <v>0</v>
      </c>
      <c r="K547" s="260">
        <v>0</v>
      </c>
      <c r="L547" s="260">
        <v>0</v>
      </c>
      <c r="M547" s="260">
        <v>0</v>
      </c>
      <c r="N547" s="260">
        <v>0</v>
      </c>
      <c r="O547" s="264">
        <v>142611.84</v>
      </c>
      <c r="P547" s="264">
        <v>0</v>
      </c>
      <c r="Q547" s="264">
        <v>0</v>
      </c>
      <c r="R547" s="264">
        <v>0</v>
      </c>
      <c r="S547" s="60">
        <v>142611.84</v>
      </c>
      <c r="T547" s="60">
        <v>0</v>
      </c>
      <c r="U547" t="s">
        <v>18248</v>
      </c>
    </row>
    <row r="548" spans="1:21">
      <c r="A548" t="s">
        <v>18264</v>
      </c>
      <c r="B548" s="262">
        <v>44138</v>
      </c>
      <c r="C548" t="s">
        <v>16560</v>
      </c>
      <c r="D548" t="s">
        <v>16561</v>
      </c>
      <c r="E548" s="60">
        <v>0</v>
      </c>
      <c r="F548" s="60">
        <v>146948.25599999999</v>
      </c>
      <c r="G548" s="263">
        <v>0</v>
      </c>
      <c r="H548" s="263">
        <v>0</v>
      </c>
      <c r="I548" s="263">
        <v>146948.25599999999</v>
      </c>
      <c r="J548" s="263">
        <v>0</v>
      </c>
      <c r="K548" s="260">
        <v>0</v>
      </c>
      <c r="L548" s="260">
        <v>0</v>
      </c>
      <c r="M548" s="260">
        <v>0</v>
      </c>
      <c r="N548" s="260">
        <v>0</v>
      </c>
      <c r="O548" s="264">
        <v>0</v>
      </c>
      <c r="P548" s="264">
        <v>0</v>
      </c>
      <c r="Q548" s="264">
        <v>146948.25599999999</v>
      </c>
      <c r="R548" s="264">
        <v>0</v>
      </c>
      <c r="S548" s="60">
        <v>146948.25599999999</v>
      </c>
      <c r="T548" s="60">
        <v>0</v>
      </c>
      <c r="U548" t="s">
        <v>17801</v>
      </c>
    </row>
    <row r="549" spans="1:21">
      <c r="A549" t="s">
        <v>18265</v>
      </c>
      <c r="B549" s="262">
        <v>44138</v>
      </c>
      <c r="C549" t="s">
        <v>16560</v>
      </c>
      <c r="D549" t="s">
        <v>16561</v>
      </c>
      <c r="E549" s="60">
        <v>0</v>
      </c>
      <c r="F549" s="60">
        <v>146948.25599999999</v>
      </c>
      <c r="G549" s="263">
        <v>0</v>
      </c>
      <c r="H549" s="263">
        <v>0</v>
      </c>
      <c r="I549" s="263">
        <v>146948.25599999999</v>
      </c>
      <c r="J549" s="263">
        <v>0</v>
      </c>
      <c r="K549" s="260">
        <v>0</v>
      </c>
      <c r="L549" s="260">
        <v>0</v>
      </c>
      <c r="M549" s="260">
        <v>0</v>
      </c>
      <c r="N549" s="260">
        <v>0</v>
      </c>
      <c r="O549" s="264">
        <v>0</v>
      </c>
      <c r="P549" s="264">
        <v>0</v>
      </c>
      <c r="Q549" s="264">
        <v>146948.25599999999</v>
      </c>
      <c r="R549" s="264">
        <v>0</v>
      </c>
      <c r="S549" s="60">
        <v>146948.25599999999</v>
      </c>
      <c r="T549" s="60">
        <v>0</v>
      </c>
      <c r="U549" t="s">
        <v>17801</v>
      </c>
    </row>
    <row r="550" spans="1:21">
      <c r="A550" t="s">
        <v>18266</v>
      </c>
      <c r="B550" s="262">
        <v>44138</v>
      </c>
      <c r="C550" t="s">
        <v>16560</v>
      </c>
      <c r="D550" t="s">
        <v>16561</v>
      </c>
      <c r="E550" s="60">
        <v>0</v>
      </c>
      <c r="F550" s="60">
        <v>147206.80800000002</v>
      </c>
      <c r="G550" s="263">
        <v>0</v>
      </c>
      <c r="H550" s="263">
        <v>0</v>
      </c>
      <c r="I550" s="263">
        <v>147206.80799999996</v>
      </c>
      <c r="J550" s="263">
        <v>0</v>
      </c>
      <c r="K550" s="260">
        <v>0</v>
      </c>
      <c r="L550" s="260">
        <v>0</v>
      </c>
      <c r="M550" s="260">
        <v>0</v>
      </c>
      <c r="N550" s="260">
        <v>0</v>
      </c>
      <c r="O550" s="264">
        <v>0</v>
      </c>
      <c r="P550" s="264">
        <v>0</v>
      </c>
      <c r="Q550" s="264">
        <v>147206.80799999996</v>
      </c>
      <c r="R550" s="264">
        <v>0</v>
      </c>
      <c r="S550" s="60">
        <v>147206.80799999996</v>
      </c>
      <c r="T550" s="60">
        <v>0</v>
      </c>
      <c r="U550" t="s">
        <v>17801</v>
      </c>
    </row>
    <row r="551" spans="1:21">
      <c r="A551" t="s">
        <v>18267</v>
      </c>
      <c r="B551" s="262">
        <v>44138</v>
      </c>
      <c r="C551" t="s">
        <v>16560</v>
      </c>
      <c r="D551" t="s">
        <v>16561</v>
      </c>
      <c r="E551" s="60">
        <v>0</v>
      </c>
      <c r="F551" s="60">
        <v>147206.80800000002</v>
      </c>
      <c r="G551" s="263">
        <v>0</v>
      </c>
      <c r="H551" s="263">
        <v>0</v>
      </c>
      <c r="I551" s="263">
        <v>147206.80799999996</v>
      </c>
      <c r="J551" s="263">
        <v>0</v>
      </c>
      <c r="K551" s="260">
        <v>0</v>
      </c>
      <c r="L551" s="260">
        <v>0</v>
      </c>
      <c r="M551" s="260">
        <v>0</v>
      </c>
      <c r="N551" s="260">
        <v>0</v>
      </c>
      <c r="O551" s="264">
        <v>0</v>
      </c>
      <c r="P551" s="264">
        <v>0</v>
      </c>
      <c r="Q551" s="264">
        <v>147206.80799999996</v>
      </c>
      <c r="R551" s="264">
        <v>0</v>
      </c>
      <c r="S551" s="60">
        <v>147206.80799999996</v>
      </c>
      <c r="T551" s="60">
        <v>0</v>
      </c>
      <c r="U551" t="s">
        <v>17801</v>
      </c>
    </row>
    <row r="552" spans="1:21">
      <c r="A552" t="s">
        <v>18268</v>
      </c>
      <c r="B552" s="262">
        <v>44166</v>
      </c>
      <c r="C552" t="s">
        <v>17017</v>
      </c>
      <c r="D552" t="s">
        <v>17430</v>
      </c>
      <c r="E552" s="60">
        <v>0</v>
      </c>
      <c r="F552" s="60">
        <v>44785.279999999999</v>
      </c>
      <c r="G552" s="263">
        <v>0</v>
      </c>
      <c r="H552" s="263">
        <v>25569.279999999999</v>
      </c>
      <c r="I552" s="263">
        <v>8496</v>
      </c>
      <c r="J552" s="263">
        <v>10720</v>
      </c>
      <c r="K552" s="260">
        <v>0</v>
      </c>
      <c r="L552" s="260">
        <v>0</v>
      </c>
      <c r="M552" s="260">
        <v>0</v>
      </c>
      <c r="N552" s="260">
        <v>0</v>
      </c>
      <c r="O552" s="264">
        <v>0</v>
      </c>
      <c r="P552" s="264">
        <v>25569.279999999999</v>
      </c>
      <c r="Q552" s="264">
        <v>8496</v>
      </c>
      <c r="R552" s="264">
        <v>10720</v>
      </c>
      <c r="S552" s="60">
        <v>44785.279999999999</v>
      </c>
      <c r="T552" s="60">
        <v>0</v>
      </c>
      <c r="U552" t="s">
        <v>17954</v>
      </c>
    </row>
    <row r="553" spans="1:21">
      <c r="A553" t="s">
        <v>18269</v>
      </c>
      <c r="B553" s="262">
        <v>44139</v>
      </c>
      <c r="C553" t="s">
        <v>16444</v>
      </c>
      <c r="D553" t="s">
        <v>16445</v>
      </c>
      <c r="E553" s="60">
        <v>0</v>
      </c>
      <c r="F553" s="60">
        <v>65570</v>
      </c>
      <c r="G553" s="263">
        <v>65570</v>
      </c>
      <c r="H553" s="263">
        <v>0</v>
      </c>
      <c r="I553" s="263">
        <v>0</v>
      </c>
      <c r="J553" s="263">
        <v>0</v>
      </c>
      <c r="K553" s="260">
        <v>0</v>
      </c>
      <c r="L553" s="260">
        <v>0</v>
      </c>
      <c r="M553" s="260">
        <v>0</v>
      </c>
      <c r="N553" s="260">
        <v>0</v>
      </c>
      <c r="O553" s="264">
        <v>65570</v>
      </c>
      <c r="P553" s="264">
        <v>0</v>
      </c>
      <c r="Q553" s="264">
        <v>0</v>
      </c>
      <c r="R553" s="264">
        <v>0</v>
      </c>
      <c r="S553" s="60">
        <v>65570</v>
      </c>
      <c r="T553" s="60">
        <v>0</v>
      </c>
      <c r="U553" t="s">
        <v>18270</v>
      </c>
    </row>
    <row r="554" spans="1:21">
      <c r="A554" t="s">
        <v>18271</v>
      </c>
      <c r="B554" s="262">
        <v>44147</v>
      </c>
      <c r="C554" t="s">
        <v>16838</v>
      </c>
      <c r="D554" t="s">
        <v>16839</v>
      </c>
      <c r="E554" s="60">
        <v>0</v>
      </c>
      <c r="F554" s="60">
        <v>435240</v>
      </c>
      <c r="G554" s="263">
        <v>0</v>
      </c>
      <c r="H554" s="263">
        <v>0</v>
      </c>
      <c r="I554" s="263">
        <v>435240</v>
      </c>
      <c r="J554" s="263">
        <v>0</v>
      </c>
      <c r="K554" s="260">
        <v>0</v>
      </c>
      <c r="L554" s="260">
        <v>0</v>
      </c>
      <c r="M554" s="260">
        <v>0</v>
      </c>
      <c r="N554" s="260">
        <v>0</v>
      </c>
      <c r="O554" s="264">
        <v>0</v>
      </c>
      <c r="P554" s="264">
        <v>0</v>
      </c>
      <c r="Q554" s="264">
        <v>435240</v>
      </c>
      <c r="R554" s="264">
        <v>0</v>
      </c>
      <c r="S554" s="60">
        <v>435240</v>
      </c>
      <c r="T554" s="60">
        <v>0</v>
      </c>
      <c r="U554" t="s">
        <v>17301</v>
      </c>
    </row>
    <row r="555" spans="1:21">
      <c r="A555" t="s">
        <v>18272</v>
      </c>
      <c r="B555" s="262">
        <v>44147</v>
      </c>
      <c r="C555" t="s">
        <v>16384</v>
      </c>
      <c r="D555" t="s">
        <v>16385</v>
      </c>
      <c r="E555" s="60">
        <v>0</v>
      </c>
      <c r="F555" s="60">
        <v>364000</v>
      </c>
      <c r="G555" s="263">
        <v>0</v>
      </c>
      <c r="H555" s="263">
        <v>0</v>
      </c>
      <c r="I555" s="263">
        <v>364000</v>
      </c>
      <c r="J555" s="263">
        <v>0</v>
      </c>
      <c r="K555" s="260">
        <v>0</v>
      </c>
      <c r="L555" s="260">
        <v>0</v>
      </c>
      <c r="M555" s="260">
        <v>0</v>
      </c>
      <c r="N555" s="260">
        <v>0</v>
      </c>
      <c r="O555" s="264">
        <v>0</v>
      </c>
      <c r="P555" s="264">
        <v>0</v>
      </c>
      <c r="Q555" s="264">
        <v>364000</v>
      </c>
      <c r="R555" s="264">
        <v>0</v>
      </c>
      <c r="S555" s="60">
        <v>364000</v>
      </c>
      <c r="T555" s="60">
        <v>0</v>
      </c>
      <c r="U555" t="s">
        <v>17801</v>
      </c>
    </row>
    <row r="556" spans="1:21">
      <c r="A556" t="s">
        <v>18273</v>
      </c>
      <c r="B556" s="262">
        <v>44147</v>
      </c>
      <c r="C556" t="s">
        <v>16444</v>
      </c>
      <c r="D556" t="s">
        <v>16445</v>
      </c>
      <c r="E556" s="60">
        <v>0</v>
      </c>
      <c r="F556" s="60">
        <v>70848</v>
      </c>
      <c r="G556" s="263">
        <v>70848</v>
      </c>
      <c r="H556" s="263">
        <v>0</v>
      </c>
      <c r="I556" s="263">
        <v>0</v>
      </c>
      <c r="J556" s="263">
        <v>0</v>
      </c>
      <c r="K556" s="260">
        <v>0</v>
      </c>
      <c r="L556" s="260">
        <v>0</v>
      </c>
      <c r="M556" s="260">
        <v>0</v>
      </c>
      <c r="N556" s="260">
        <v>0</v>
      </c>
      <c r="O556" s="264">
        <v>70848</v>
      </c>
      <c r="P556" s="264">
        <v>0</v>
      </c>
      <c r="Q556" s="264">
        <v>0</v>
      </c>
      <c r="R556" s="264">
        <v>0</v>
      </c>
      <c r="S556" s="60">
        <v>70848</v>
      </c>
      <c r="T556" s="60">
        <v>0</v>
      </c>
      <c r="U556" t="s">
        <v>16653</v>
      </c>
    </row>
    <row r="557" spans="1:21">
      <c r="A557" t="s">
        <v>18274</v>
      </c>
      <c r="B557" s="262">
        <v>44147</v>
      </c>
      <c r="C557" t="s">
        <v>16444</v>
      </c>
      <c r="D557" t="s">
        <v>16445</v>
      </c>
      <c r="E557" s="60">
        <v>0</v>
      </c>
      <c r="F557" s="60">
        <v>70089.2</v>
      </c>
      <c r="G557" s="263">
        <v>70089.2</v>
      </c>
      <c r="H557" s="263">
        <v>0</v>
      </c>
      <c r="I557" s="263">
        <v>0</v>
      </c>
      <c r="J557" s="263">
        <v>0</v>
      </c>
      <c r="K557" s="260">
        <v>0</v>
      </c>
      <c r="L557" s="260">
        <v>0</v>
      </c>
      <c r="M557" s="260">
        <v>0</v>
      </c>
      <c r="N557" s="260">
        <v>0</v>
      </c>
      <c r="O557" s="264">
        <v>70089.2</v>
      </c>
      <c r="P557" s="264">
        <v>0</v>
      </c>
      <c r="Q557" s="264">
        <v>0</v>
      </c>
      <c r="R557" s="264">
        <v>0</v>
      </c>
      <c r="S557" s="60">
        <v>70089.2</v>
      </c>
      <c r="T557" s="60">
        <v>0</v>
      </c>
    </row>
    <row r="558" spans="1:21">
      <c r="A558" t="s">
        <v>18275</v>
      </c>
      <c r="B558" s="262">
        <v>44147</v>
      </c>
      <c r="C558" t="s">
        <v>17156</v>
      </c>
      <c r="D558" t="s">
        <v>17575</v>
      </c>
      <c r="E558" s="60">
        <v>0</v>
      </c>
      <c r="F558" s="60">
        <v>29952</v>
      </c>
      <c r="G558" s="263">
        <v>29952</v>
      </c>
      <c r="H558" s="263">
        <v>0</v>
      </c>
      <c r="I558" s="263">
        <v>0</v>
      </c>
      <c r="J558" s="263">
        <v>0</v>
      </c>
      <c r="K558" s="260">
        <v>0</v>
      </c>
      <c r="L558" s="260">
        <v>0</v>
      </c>
      <c r="M558" s="260">
        <v>0</v>
      </c>
      <c r="N558" s="260">
        <v>0</v>
      </c>
      <c r="O558" s="264">
        <v>29952</v>
      </c>
      <c r="P558" s="264">
        <v>0</v>
      </c>
      <c r="Q558" s="264">
        <v>0</v>
      </c>
      <c r="R558" s="264">
        <v>0</v>
      </c>
      <c r="S558" s="60">
        <v>29952</v>
      </c>
      <c r="T558" s="60">
        <v>0</v>
      </c>
      <c r="U558" t="s">
        <v>18276</v>
      </c>
    </row>
    <row r="559" spans="1:21">
      <c r="A559" t="s">
        <v>18277</v>
      </c>
      <c r="B559" s="262">
        <v>44147</v>
      </c>
      <c r="C559" t="s">
        <v>16880</v>
      </c>
      <c r="D559" t="s">
        <v>16881</v>
      </c>
      <c r="E559" s="60">
        <v>0</v>
      </c>
      <c r="F559" s="60">
        <v>51716.093000000001</v>
      </c>
      <c r="G559" s="263">
        <v>0</v>
      </c>
      <c r="H559" s="263">
        <v>51716.093399999991</v>
      </c>
      <c r="I559" s="263">
        <v>0</v>
      </c>
      <c r="J559" s="263">
        <v>0</v>
      </c>
      <c r="K559" s="260">
        <v>0</v>
      </c>
      <c r="L559" s="260">
        <v>0</v>
      </c>
      <c r="M559" s="260">
        <v>0</v>
      </c>
      <c r="N559" s="260">
        <v>0</v>
      </c>
      <c r="O559" s="264">
        <v>0</v>
      </c>
      <c r="P559" s="264">
        <v>51716.093399999991</v>
      </c>
      <c r="Q559" s="264">
        <v>0</v>
      </c>
      <c r="R559" s="264">
        <v>0</v>
      </c>
      <c r="S559" s="60">
        <v>51716.093399999991</v>
      </c>
      <c r="T559" s="60">
        <v>-3.9999998989515007E-4</v>
      </c>
      <c r="U559" t="s">
        <v>18278</v>
      </c>
    </row>
    <row r="560" spans="1:21">
      <c r="A560" t="s">
        <v>18279</v>
      </c>
      <c r="B560" s="262">
        <v>44153</v>
      </c>
      <c r="C560" t="s">
        <v>17017</v>
      </c>
      <c r="D560" t="s">
        <v>17430</v>
      </c>
      <c r="E560" s="60">
        <v>0</v>
      </c>
      <c r="F560" s="60">
        <v>33900</v>
      </c>
      <c r="G560" s="263">
        <v>0</v>
      </c>
      <c r="H560" s="263">
        <v>33900</v>
      </c>
      <c r="I560" s="263">
        <v>0</v>
      </c>
      <c r="J560" s="263">
        <v>0</v>
      </c>
      <c r="K560" s="260">
        <v>0</v>
      </c>
      <c r="L560" s="260">
        <v>0</v>
      </c>
      <c r="M560" s="260">
        <v>0</v>
      </c>
      <c r="N560" s="260">
        <v>0</v>
      </c>
      <c r="O560" s="264">
        <v>0</v>
      </c>
      <c r="P560" s="264">
        <v>33900</v>
      </c>
      <c r="Q560" s="264">
        <v>0</v>
      </c>
      <c r="R560" s="264">
        <v>0</v>
      </c>
      <c r="S560" s="60">
        <v>33900</v>
      </c>
      <c r="T560" s="60">
        <v>0</v>
      </c>
      <c r="U560" t="s">
        <v>18280</v>
      </c>
    </row>
    <row r="561" spans="1:21">
      <c r="A561" t="s">
        <v>18281</v>
      </c>
      <c r="B561" s="262">
        <v>44153</v>
      </c>
      <c r="C561" t="s">
        <v>16444</v>
      </c>
      <c r="D561" t="s">
        <v>16445</v>
      </c>
      <c r="E561" s="60">
        <v>0</v>
      </c>
      <c r="F561" s="60">
        <v>32064</v>
      </c>
      <c r="G561" s="263">
        <v>32064</v>
      </c>
      <c r="H561" s="263">
        <v>0</v>
      </c>
      <c r="I561" s="263">
        <v>0</v>
      </c>
      <c r="J561" s="263">
        <v>0</v>
      </c>
      <c r="K561" s="260">
        <v>0</v>
      </c>
      <c r="L561" s="260">
        <v>0</v>
      </c>
      <c r="M561" s="260">
        <v>0</v>
      </c>
      <c r="N561" s="260">
        <v>0</v>
      </c>
      <c r="O561" s="264">
        <v>32064</v>
      </c>
      <c r="P561" s="264">
        <v>0</v>
      </c>
      <c r="Q561" s="264">
        <v>0</v>
      </c>
      <c r="R561" s="264">
        <v>0</v>
      </c>
      <c r="S561" s="60">
        <v>32064</v>
      </c>
      <c r="T561" s="60">
        <v>0</v>
      </c>
      <c r="U561" t="s">
        <v>18248</v>
      </c>
    </row>
    <row r="562" spans="1:21">
      <c r="A562" t="s">
        <v>18282</v>
      </c>
      <c r="B562" s="262">
        <v>44166</v>
      </c>
      <c r="C562" t="s">
        <v>17017</v>
      </c>
      <c r="D562" t="s">
        <v>17430</v>
      </c>
      <c r="E562" s="60">
        <v>0</v>
      </c>
      <c r="F562" s="60">
        <v>69700</v>
      </c>
      <c r="G562" s="263">
        <v>0</v>
      </c>
      <c r="H562" s="263">
        <v>69700</v>
      </c>
      <c r="I562" s="263">
        <v>0</v>
      </c>
      <c r="J562" s="263">
        <v>0</v>
      </c>
      <c r="K562" s="260">
        <v>0</v>
      </c>
      <c r="L562" s="260">
        <v>0</v>
      </c>
      <c r="M562" s="260">
        <v>0</v>
      </c>
      <c r="N562" s="260">
        <v>0</v>
      </c>
      <c r="O562" s="264">
        <v>0</v>
      </c>
      <c r="P562" s="264">
        <v>69700</v>
      </c>
      <c r="Q562" s="264">
        <v>0</v>
      </c>
      <c r="R562" s="264">
        <v>0</v>
      </c>
      <c r="S562" s="60">
        <v>69700</v>
      </c>
      <c r="T562" s="60">
        <v>0</v>
      </c>
      <c r="U562" t="s">
        <v>18283</v>
      </c>
    </row>
    <row r="563" spans="1:21">
      <c r="A563" t="s">
        <v>18284</v>
      </c>
      <c r="B563" s="262">
        <v>44166</v>
      </c>
      <c r="C563" t="s">
        <v>16904</v>
      </c>
      <c r="D563" t="s">
        <v>16905</v>
      </c>
      <c r="E563" s="60">
        <v>0</v>
      </c>
      <c r="F563" s="60">
        <v>53288.907999999996</v>
      </c>
      <c r="G563" s="263">
        <v>0</v>
      </c>
      <c r="H563" s="263">
        <v>32568.290705999996</v>
      </c>
      <c r="I563" s="263">
        <v>10940.466995999999</v>
      </c>
      <c r="J563" s="263">
        <v>0</v>
      </c>
      <c r="K563" s="260">
        <v>0</v>
      </c>
      <c r="L563" s="260">
        <v>7294.3260974539062</v>
      </c>
      <c r="M563" s="260">
        <v>2485.823902546093</v>
      </c>
      <c r="N563" s="260">
        <v>0</v>
      </c>
      <c r="O563" s="264">
        <v>0</v>
      </c>
      <c r="P563" s="264">
        <v>39862.616803453901</v>
      </c>
      <c r="Q563" s="264">
        <v>13426.290898546093</v>
      </c>
      <c r="R563" s="264">
        <v>0</v>
      </c>
      <c r="S563" s="60">
        <v>53288.907701999997</v>
      </c>
      <c r="T563" s="60">
        <v>2.9799999902024865E-4</v>
      </c>
      <c r="U563" t="s">
        <v>18285</v>
      </c>
    </row>
    <row r="564" spans="1:21">
      <c r="A564" t="s">
        <v>18286</v>
      </c>
      <c r="B564" s="262">
        <v>44154</v>
      </c>
      <c r="C564" t="s">
        <v>16384</v>
      </c>
      <c r="D564" t="s">
        <v>16385</v>
      </c>
      <c r="E564" s="60">
        <v>0</v>
      </c>
      <c r="F564" s="60">
        <v>245424</v>
      </c>
      <c r="G564" s="263">
        <v>0</v>
      </c>
      <c r="H564" s="263">
        <v>99824</v>
      </c>
      <c r="I564" s="263">
        <v>145600</v>
      </c>
      <c r="J564" s="263">
        <v>0</v>
      </c>
      <c r="K564" s="260">
        <v>0</v>
      </c>
      <c r="L564" s="260">
        <v>0</v>
      </c>
      <c r="M564" s="260">
        <v>0</v>
      </c>
      <c r="N564" s="260">
        <v>0</v>
      </c>
      <c r="O564" s="264">
        <v>0</v>
      </c>
      <c r="P564" s="264">
        <v>99824</v>
      </c>
      <c r="Q564" s="264">
        <v>145600</v>
      </c>
      <c r="R564" s="264">
        <v>0</v>
      </c>
      <c r="S564" s="60">
        <v>245424</v>
      </c>
      <c r="T564" s="60">
        <v>0</v>
      </c>
      <c r="U564" t="s">
        <v>17801</v>
      </c>
    </row>
    <row r="565" spans="1:21">
      <c r="A565" t="s">
        <v>18287</v>
      </c>
      <c r="B565" s="262">
        <v>44154</v>
      </c>
      <c r="C565" t="s">
        <v>16444</v>
      </c>
      <c r="D565" t="s">
        <v>16445</v>
      </c>
      <c r="E565" s="60">
        <v>0</v>
      </c>
      <c r="F565" s="60">
        <v>255840</v>
      </c>
      <c r="G565" s="263">
        <v>0</v>
      </c>
      <c r="H565" s="263">
        <v>255840</v>
      </c>
      <c r="I565" s="263">
        <v>0</v>
      </c>
      <c r="J565" s="263">
        <v>0</v>
      </c>
      <c r="K565" s="260">
        <v>0</v>
      </c>
      <c r="L565" s="260">
        <v>0</v>
      </c>
      <c r="M565" s="260">
        <v>0</v>
      </c>
      <c r="N565" s="260">
        <v>0</v>
      </c>
      <c r="O565" s="264">
        <v>0</v>
      </c>
      <c r="P565" s="264">
        <v>255840</v>
      </c>
      <c r="Q565" s="264">
        <v>0</v>
      </c>
      <c r="R565" s="264">
        <v>0</v>
      </c>
      <c r="S565" s="60">
        <v>255840</v>
      </c>
      <c r="T565" s="60">
        <v>0</v>
      </c>
      <c r="U565" t="s">
        <v>17801</v>
      </c>
    </row>
    <row r="566" spans="1:21">
      <c r="A566" t="s">
        <v>18288</v>
      </c>
      <c r="B566" s="262">
        <v>44166</v>
      </c>
      <c r="C566" t="s">
        <v>17270</v>
      </c>
      <c r="D566" t="s">
        <v>17271</v>
      </c>
      <c r="E566" s="60">
        <v>0</v>
      </c>
      <c r="F566" s="60">
        <v>50183.384000000005</v>
      </c>
      <c r="G566" s="263">
        <v>0</v>
      </c>
      <c r="H566" s="263">
        <v>22667.258052000005</v>
      </c>
      <c r="I566" s="263">
        <v>18484.483500000002</v>
      </c>
      <c r="J566" s="263">
        <v>9031.6425199999994</v>
      </c>
      <c r="K566" s="260">
        <v>0</v>
      </c>
      <c r="L566" s="260">
        <v>0</v>
      </c>
      <c r="M566" s="260">
        <v>0</v>
      </c>
      <c r="N566" s="260">
        <v>0</v>
      </c>
      <c r="O566" s="264">
        <v>0</v>
      </c>
      <c r="P566" s="264">
        <v>22667.258052000005</v>
      </c>
      <c r="Q566" s="264">
        <v>18484.483500000002</v>
      </c>
      <c r="R566" s="264">
        <v>9031.6425199999994</v>
      </c>
      <c r="S566" s="60">
        <v>50183.384072000008</v>
      </c>
      <c r="T566" s="60">
        <v>-7.200000254670158E-5</v>
      </c>
      <c r="U566" t="s">
        <v>16394</v>
      </c>
    </row>
    <row r="567" spans="1:21">
      <c r="A567" t="s">
        <v>18289</v>
      </c>
      <c r="B567" s="262">
        <v>44155</v>
      </c>
      <c r="C567" t="s">
        <v>16444</v>
      </c>
      <c r="D567" t="s">
        <v>16445</v>
      </c>
      <c r="E567" s="60">
        <v>0</v>
      </c>
      <c r="F567" s="60">
        <v>30872</v>
      </c>
      <c r="G567" s="263">
        <v>30872</v>
      </c>
      <c r="H567" s="263">
        <v>0</v>
      </c>
      <c r="I567" s="263">
        <v>0</v>
      </c>
      <c r="J567" s="263">
        <v>0</v>
      </c>
      <c r="K567" s="260">
        <v>0</v>
      </c>
      <c r="L567" s="260">
        <v>0</v>
      </c>
      <c r="M567" s="260">
        <v>0</v>
      </c>
      <c r="N567" s="260">
        <v>0</v>
      </c>
      <c r="O567" s="264">
        <v>30872</v>
      </c>
      <c r="P567" s="264">
        <v>0</v>
      </c>
      <c r="Q567" s="264">
        <v>0</v>
      </c>
      <c r="R567" s="264">
        <v>0</v>
      </c>
      <c r="S567" s="60">
        <v>30872</v>
      </c>
      <c r="T567" s="60">
        <v>0</v>
      </c>
      <c r="U567" t="s">
        <v>17854</v>
      </c>
    </row>
    <row r="568" spans="1:21">
      <c r="A568" t="s">
        <v>18290</v>
      </c>
      <c r="B568" s="262">
        <v>44155</v>
      </c>
      <c r="C568" t="s">
        <v>16384</v>
      </c>
      <c r="D568" t="s">
        <v>16385</v>
      </c>
      <c r="E568" s="60">
        <v>0</v>
      </c>
      <c r="F568" s="60">
        <v>76180</v>
      </c>
      <c r="G568" s="263">
        <v>0</v>
      </c>
      <c r="H568" s="263">
        <v>0</v>
      </c>
      <c r="I568" s="263">
        <v>76180</v>
      </c>
      <c r="J568" s="263">
        <v>0</v>
      </c>
      <c r="K568" s="260">
        <v>0</v>
      </c>
      <c r="L568" s="260">
        <v>0</v>
      </c>
      <c r="M568" s="260">
        <v>0</v>
      </c>
      <c r="N568" s="260">
        <v>0</v>
      </c>
      <c r="O568" s="264">
        <v>0</v>
      </c>
      <c r="P568" s="264">
        <v>0</v>
      </c>
      <c r="Q568" s="264">
        <v>76180</v>
      </c>
      <c r="R568" s="264">
        <v>0</v>
      </c>
      <c r="S568" s="60">
        <v>76180</v>
      </c>
      <c r="T568" s="60">
        <v>0</v>
      </c>
      <c r="U568" t="s">
        <v>18291</v>
      </c>
    </row>
    <row r="569" spans="1:21">
      <c r="A569" t="s">
        <v>18292</v>
      </c>
      <c r="B569" s="262">
        <v>44166</v>
      </c>
      <c r="C569" t="s">
        <v>16444</v>
      </c>
      <c r="D569" t="s">
        <v>16445</v>
      </c>
      <c r="E569" s="60">
        <v>0</v>
      </c>
      <c r="F569" s="60">
        <v>127488</v>
      </c>
      <c r="G569" s="263">
        <v>127488</v>
      </c>
      <c r="H569" s="263">
        <v>0</v>
      </c>
      <c r="I569" s="263">
        <v>0</v>
      </c>
      <c r="J569" s="263">
        <v>0</v>
      </c>
      <c r="K569" s="260">
        <v>0</v>
      </c>
      <c r="L569" s="260">
        <v>0</v>
      </c>
      <c r="M569" s="260">
        <v>0</v>
      </c>
      <c r="N569" s="260">
        <v>0</v>
      </c>
      <c r="O569" s="264">
        <v>127488</v>
      </c>
      <c r="P569" s="264">
        <v>0</v>
      </c>
      <c r="Q569" s="264">
        <v>0</v>
      </c>
      <c r="R569" s="264">
        <v>0</v>
      </c>
      <c r="S569" s="60">
        <v>127488</v>
      </c>
      <c r="T569" s="60">
        <v>0</v>
      </c>
    </row>
    <row r="570" spans="1:21">
      <c r="A570" t="s">
        <v>18293</v>
      </c>
      <c r="B570" s="262">
        <v>44166</v>
      </c>
      <c r="C570" t="s">
        <v>16444</v>
      </c>
      <c r="D570" t="s">
        <v>16445</v>
      </c>
      <c r="E570" s="60">
        <v>0</v>
      </c>
      <c r="F570" s="60">
        <v>119973.12</v>
      </c>
      <c r="G570" s="263">
        <v>31173.119999999999</v>
      </c>
      <c r="H570" s="263">
        <v>88800</v>
      </c>
      <c r="I570" s="263">
        <v>0</v>
      </c>
      <c r="J570" s="263">
        <v>0</v>
      </c>
      <c r="K570" s="260">
        <v>0</v>
      </c>
      <c r="L570" s="260">
        <v>0</v>
      </c>
      <c r="M570" s="260">
        <v>0</v>
      </c>
      <c r="N570" s="260">
        <v>0</v>
      </c>
      <c r="O570" s="264">
        <v>31173.119999999999</v>
      </c>
      <c r="P570" s="264">
        <v>88800</v>
      </c>
      <c r="Q570" s="264">
        <v>0</v>
      </c>
      <c r="R570" s="264">
        <v>0</v>
      </c>
      <c r="S570" s="60">
        <v>119973.12</v>
      </c>
      <c r="T570" s="60">
        <v>0</v>
      </c>
      <c r="U570" t="s">
        <v>18248</v>
      </c>
    </row>
    <row r="571" spans="1:21">
      <c r="A571" t="s">
        <v>18294</v>
      </c>
      <c r="B571" s="262">
        <v>44166</v>
      </c>
      <c r="C571" t="s">
        <v>17119</v>
      </c>
      <c r="D571" t="s">
        <v>17120</v>
      </c>
      <c r="E571" s="60">
        <v>0</v>
      </c>
      <c r="F571" s="60">
        <v>71477.527999999991</v>
      </c>
      <c r="G571" s="263">
        <v>62051.328000000001</v>
      </c>
      <c r="H571" s="263">
        <v>0</v>
      </c>
      <c r="I571" s="263">
        <v>0</v>
      </c>
      <c r="J571" s="263">
        <v>0</v>
      </c>
      <c r="K571" s="260">
        <v>9426.2000000000007</v>
      </c>
      <c r="L571" s="260">
        <v>0</v>
      </c>
      <c r="M571" s="260">
        <v>0</v>
      </c>
      <c r="N571" s="260">
        <v>0</v>
      </c>
      <c r="O571" s="264">
        <v>71477.528000000006</v>
      </c>
      <c r="P571" s="264">
        <v>0</v>
      </c>
      <c r="Q571" s="264">
        <v>0</v>
      </c>
      <c r="R571" s="264">
        <v>0</v>
      </c>
      <c r="S571" s="60">
        <v>71477.528000000006</v>
      </c>
      <c r="T571" s="60">
        <v>0</v>
      </c>
      <c r="U571" t="s">
        <v>17965</v>
      </c>
    </row>
    <row r="572" spans="1:21">
      <c r="A572" t="s">
        <v>18295</v>
      </c>
      <c r="B572" s="262">
        <v>44167</v>
      </c>
      <c r="C572" t="s">
        <v>16957</v>
      </c>
      <c r="D572" t="s">
        <v>17451</v>
      </c>
      <c r="E572" s="60">
        <v>0</v>
      </c>
      <c r="F572" s="60">
        <v>38134.154999999999</v>
      </c>
      <c r="G572" s="263">
        <v>38134.154999999999</v>
      </c>
      <c r="H572" s="263">
        <v>0</v>
      </c>
      <c r="I572" s="263">
        <v>0</v>
      </c>
      <c r="J572" s="263">
        <v>0</v>
      </c>
      <c r="K572" s="260">
        <v>0</v>
      </c>
      <c r="L572" s="260">
        <v>0</v>
      </c>
      <c r="M572" s="260">
        <v>0</v>
      </c>
      <c r="N572" s="260">
        <v>0</v>
      </c>
      <c r="O572" s="264">
        <v>38134.154999999999</v>
      </c>
      <c r="P572" s="264">
        <v>0</v>
      </c>
      <c r="Q572" s="264">
        <v>0</v>
      </c>
      <c r="R572" s="264">
        <v>0</v>
      </c>
      <c r="S572" s="60">
        <v>38134.154999999999</v>
      </c>
      <c r="T572" s="60">
        <v>0</v>
      </c>
      <c r="U572" t="s">
        <v>18296</v>
      </c>
    </row>
    <row r="573" spans="1:21">
      <c r="A573" t="s">
        <v>18297</v>
      </c>
      <c r="B573" s="262">
        <v>44167</v>
      </c>
      <c r="C573" t="s">
        <v>16384</v>
      </c>
      <c r="D573" t="s">
        <v>16385</v>
      </c>
      <c r="E573" s="60">
        <v>0</v>
      </c>
      <c r="F573" s="60">
        <v>33744</v>
      </c>
      <c r="G573" s="263">
        <v>0</v>
      </c>
      <c r="H573" s="263">
        <v>33744</v>
      </c>
      <c r="I573" s="263">
        <v>0</v>
      </c>
      <c r="J573" s="263">
        <v>0</v>
      </c>
      <c r="K573" s="260">
        <v>0</v>
      </c>
      <c r="L573" s="260">
        <v>0</v>
      </c>
      <c r="M573" s="260">
        <v>0</v>
      </c>
      <c r="N573" s="260">
        <v>0</v>
      </c>
      <c r="O573" s="264">
        <v>0</v>
      </c>
      <c r="P573" s="264">
        <v>33744</v>
      </c>
      <c r="Q573" s="264">
        <v>0</v>
      </c>
      <c r="R573" s="264">
        <v>0</v>
      </c>
      <c r="S573" s="60">
        <v>33744</v>
      </c>
      <c r="T573" s="60">
        <v>0</v>
      </c>
      <c r="U573" t="s">
        <v>17982</v>
      </c>
    </row>
    <row r="574" spans="1:21">
      <c r="A574" t="s">
        <v>18298</v>
      </c>
      <c r="B574" s="262">
        <v>44167</v>
      </c>
      <c r="C574" t="s">
        <v>16838</v>
      </c>
      <c r="D574" t="s">
        <v>16839</v>
      </c>
      <c r="E574" s="60">
        <v>0</v>
      </c>
      <c r="F574" s="60">
        <v>117780.4</v>
      </c>
      <c r="G574" s="263">
        <v>5476.8</v>
      </c>
      <c r="H574" s="263">
        <v>32853.599999999999</v>
      </c>
      <c r="I574" s="263">
        <v>79450</v>
      </c>
      <c r="J574" s="263">
        <v>0</v>
      </c>
      <c r="K574" s="260">
        <v>0</v>
      </c>
      <c r="L574" s="260">
        <v>0</v>
      </c>
      <c r="M574" s="260">
        <v>0</v>
      </c>
      <c r="N574" s="260">
        <v>0</v>
      </c>
      <c r="O574" s="264">
        <v>5476.8</v>
      </c>
      <c r="P574" s="264">
        <v>32853.599999999999</v>
      </c>
      <c r="Q574" s="264">
        <v>79450</v>
      </c>
      <c r="R574" s="264">
        <v>0</v>
      </c>
      <c r="S574" s="60">
        <v>117780.4</v>
      </c>
      <c r="T574" s="60">
        <v>0</v>
      </c>
      <c r="U574" t="s">
        <v>17771</v>
      </c>
    </row>
    <row r="575" spans="1:21">
      <c r="A575" t="s">
        <v>18299</v>
      </c>
      <c r="B575" s="262">
        <v>44167</v>
      </c>
      <c r="C575" t="s">
        <v>16384</v>
      </c>
      <c r="D575" t="s">
        <v>16385</v>
      </c>
      <c r="E575" s="60">
        <v>0</v>
      </c>
      <c r="F575" s="60">
        <v>736400</v>
      </c>
      <c r="G575" s="263">
        <v>0</v>
      </c>
      <c r="H575" s="263">
        <v>0</v>
      </c>
      <c r="I575" s="263">
        <v>736400</v>
      </c>
      <c r="J575" s="263">
        <v>0</v>
      </c>
      <c r="K575" s="260">
        <v>0</v>
      </c>
      <c r="L575" s="260">
        <v>0</v>
      </c>
      <c r="M575" s="260">
        <v>0</v>
      </c>
      <c r="N575" s="260">
        <v>0</v>
      </c>
      <c r="O575" s="264">
        <v>0</v>
      </c>
      <c r="P575" s="264">
        <v>0</v>
      </c>
      <c r="Q575" s="264">
        <v>736400</v>
      </c>
      <c r="R575" s="264">
        <v>0</v>
      </c>
      <c r="S575" s="60">
        <v>736400</v>
      </c>
      <c r="T575" s="60">
        <v>0</v>
      </c>
      <c r="U575" t="s">
        <v>18300</v>
      </c>
    </row>
    <row r="576" spans="1:21">
      <c r="A576" t="s">
        <v>18301</v>
      </c>
      <c r="B576" s="262">
        <v>44169</v>
      </c>
      <c r="C576" t="s">
        <v>16444</v>
      </c>
      <c r="D576" t="s">
        <v>16445</v>
      </c>
      <c r="E576" s="60">
        <v>0</v>
      </c>
      <c r="F576" s="60">
        <v>73506.720000000001</v>
      </c>
      <c r="G576" s="263">
        <v>73506.720000000001</v>
      </c>
      <c r="H576" s="263">
        <v>0</v>
      </c>
      <c r="I576" s="263">
        <v>0</v>
      </c>
      <c r="J576" s="263">
        <v>0</v>
      </c>
      <c r="K576" s="260">
        <v>0</v>
      </c>
      <c r="L576" s="260">
        <v>0</v>
      </c>
      <c r="M576" s="260">
        <v>0</v>
      </c>
      <c r="N576" s="260">
        <v>0</v>
      </c>
      <c r="O576" s="264">
        <v>73506.720000000001</v>
      </c>
      <c r="P576" s="264">
        <v>0</v>
      </c>
      <c r="Q576" s="264">
        <v>0</v>
      </c>
      <c r="R576" s="264">
        <v>0</v>
      </c>
      <c r="S576" s="60">
        <v>73506.720000000001</v>
      </c>
      <c r="T576" s="60">
        <v>0</v>
      </c>
      <c r="U576" t="s">
        <v>18302</v>
      </c>
    </row>
    <row r="577" spans="1:21">
      <c r="A577" t="s">
        <v>18303</v>
      </c>
      <c r="B577" s="262">
        <v>44169</v>
      </c>
      <c r="C577" t="s">
        <v>17017</v>
      </c>
      <c r="D577" t="s">
        <v>17430</v>
      </c>
      <c r="E577" s="60">
        <v>0</v>
      </c>
      <c r="F577" s="60">
        <v>76928</v>
      </c>
      <c r="G577" s="263">
        <v>0</v>
      </c>
      <c r="H577" s="263">
        <v>0</v>
      </c>
      <c r="I577" s="263">
        <v>0</v>
      </c>
      <c r="J577" s="263">
        <v>76928</v>
      </c>
      <c r="K577" s="260">
        <v>0</v>
      </c>
      <c r="L577" s="260">
        <v>0</v>
      </c>
      <c r="M577" s="260">
        <v>0</v>
      </c>
      <c r="N577" s="260">
        <v>0</v>
      </c>
      <c r="O577" s="264">
        <v>0</v>
      </c>
      <c r="P577" s="264">
        <v>0</v>
      </c>
      <c r="Q577" s="264">
        <v>0</v>
      </c>
      <c r="R577" s="264">
        <v>76928</v>
      </c>
      <c r="S577" s="60">
        <v>76928</v>
      </c>
      <c r="T577" s="60">
        <v>0</v>
      </c>
      <c r="U577" t="s">
        <v>18304</v>
      </c>
    </row>
    <row r="578" spans="1:21">
      <c r="A578" t="s">
        <v>18305</v>
      </c>
      <c r="B578" s="262">
        <v>44169</v>
      </c>
      <c r="C578" t="s">
        <v>17017</v>
      </c>
      <c r="D578" t="s">
        <v>17430</v>
      </c>
      <c r="E578" s="60">
        <v>0</v>
      </c>
      <c r="F578" s="60">
        <v>34771.86</v>
      </c>
      <c r="G578" s="263">
        <v>0</v>
      </c>
      <c r="H578" s="263">
        <v>0</v>
      </c>
      <c r="I578" s="263">
        <v>34771.86</v>
      </c>
      <c r="J578" s="263">
        <v>0</v>
      </c>
      <c r="K578" s="260">
        <v>0</v>
      </c>
      <c r="L578" s="260">
        <v>0</v>
      </c>
      <c r="M578" s="260">
        <v>0</v>
      </c>
      <c r="N578" s="260">
        <v>0</v>
      </c>
      <c r="O578" s="264">
        <v>0</v>
      </c>
      <c r="P578" s="264">
        <v>0</v>
      </c>
      <c r="Q578" s="264">
        <v>34771.86</v>
      </c>
      <c r="R578" s="264">
        <v>0</v>
      </c>
      <c r="S578" s="60">
        <v>34771.86</v>
      </c>
      <c r="T578" s="60">
        <v>0</v>
      </c>
      <c r="U578" t="s">
        <v>18306</v>
      </c>
    </row>
    <row r="579" spans="1:21">
      <c r="A579" t="s">
        <v>18307</v>
      </c>
      <c r="B579" s="262">
        <v>44176</v>
      </c>
      <c r="C579" t="s">
        <v>16444</v>
      </c>
      <c r="D579" t="s">
        <v>16445</v>
      </c>
      <c r="E579" s="60">
        <v>0</v>
      </c>
      <c r="F579" s="60">
        <v>171080</v>
      </c>
      <c r="G579" s="263">
        <v>0</v>
      </c>
      <c r="H579" s="263">
        <v>171080</v>
      </c>
      <c r="I579" s="263">
        <v>0</v>
      </c>
      <c r="J579" s="263">
        <v>0</v>
      </c>
      <c r="K579" s="260">
        <v>0</v>
      </c>
      <c r="L579" s="260">
        <v>0</v>
      </c>
      <c r="M579" s="260">
        <v>0</v>
      </c>
      <c r="N579" s="260">
        <v>0</v>
      </c>
      <c r="O579" s="264">
        <v>0</v>
      </c>
      <c r="P579" s="264">
        <v>171080</v>
      </c>
      <c r="Q579" s="264">
        <v>0</v>
      </c>
      <c r="R579" s="264">
        <v>0</v>
      </c>
      <c r="S579" s="60">
        <v>171080</v>
      </c>
      <c r="T579" s="60">
        <v>0</v>
      </c>
      <c r="U579" t="s">
        <v>17801</v>
      </c>
    </row>
    <row r="580" spans="1:21">
      <c r="A580" t="s">
        <v>18308</v>
      </c>
      <c r="B580" s="262">
        <v>44176</v>
      </c>
      <c r="C580" t="s">
        <v>16444</v>
      </c>
      <c r="D580" t="s">
        <v>16445</v>
      </c>
      <c r="E580" s="60">
        <v>0</v>
      </c>
      <c r="F580" s="60">
        <v>248775</v>
      </c>
      <c r="G580" s="263">
        <v>0</v>
      </c>
      <c r="H580" s="263">
        <v>248775</v>
      </c>
      <c r="I580" s="263">
        <v>0</v>
      </c>
      <c r="J580" s="263">
        <v>0</v>
      </c>
      <c r="K580" s="260">
        <v>0</v>
      </c>
      <c r="L580" s="260">
        <v>0</v>
      </c>
      <c r="M580" s="260">
        <v>0</v>
      </c>
      <c r="N580" s="260">
        <v>0</v>
      </c>
      <c r="O580" s="264">
        <v>0</v>
      </c>
      <c r="P580" s="264">
        <v>248775</v>
      </c>
      <c r="Q580" s="264">
        <v>0</v>
      </c>
      <c r="R580" s="264">
        <v>0</v>
      </c>
      <c r="S580" s="60">
        <v>248775</v>
      </c>
      <c r="T580" s="60">
        <v>0</v>
      </c>
      <c r="U580" t="s">
        <v>16563</v>
      </c>
    </row>
    <row r="581" spans="1:21">
      <c r="A581" t="s">
        <v>18309</v>
      </c>
      <c r="B581" s="262">
        <v>44176</v>
      </c>
      <c r="C581" t="s">
        <v>16444</v>
      </c>
      <c r="D581" t="s">
        <v>16445</v>
      </c>
      <c r="E581" s="60">
        <v>0</v>
      </c>
      <c r="F581" s="60">
        <v>63541.5</v>
      </c>
      <c r="G581" s="263">
        <v>63541.5</v>
      </c>
      <c r="H581" s="263">
        <v>0</v>
      </c>
      <c r="I581" s="263">
        <v>0</v>
      </c>
      <c r="J581" s="263">
        <v>0</v>
      </c>
      <c r="K581" s="260">
        <v>0</v>
      </c>
      <c r="L581" s="260">
        <v>0</v>
      </c>
      <c r="M581" s="260">
        <v>0</v>
      </c>
      <c r="N581" s="260">
        <v>0</v>
      </c>
      <c r="O581" s="264">
        <v>63541.5</v>
      </c>
      <c r="P581" s="264">
        <v>0</v>
      </c>
      <c r="Q581" s="264">
        <v>0</v>
      </c>
      <c r="R581" s="264">
        <v>0</v>
      </c>
      <c r="S581" s="60">
        <v>63541.5</v>
      </c>
      <c r="T581" s="60">
        <v>0</v>
      </c>
      <c r="U581" t="s">
        <v>17854</v>
      </c>
    </row>
    <row r="582" spans="1:21">
      <c r="A582" t="s">
        <v>18310</v>
      </c>
      <c r="B582" s="262">
        <v>44176</v>
      </c>
      <c r="C582" t="s">
        <v>16957</v>
      </c>
      <c r="D582" t="s">
        <v>17451</v>
      </c>
      <c r="E582" s="60">
        <v>0</v>
      </c>
      <c r="F582" s="60">
        <v>73021.119999999995</v>
      </c>
      <c r="G582" s="263">
        <v>73021.119999999995</v>
      </c>
      <c r="H582" s="263">
        <v>0</v>
      </c>
      <c r="I582" s="263">
        <v>0</v>
      </c>
      <c r="J582" s="263">
        <v>0</v>
      </c>
      <c r="K582" s="260">
        <v>0</v>
      </c>
      <c r="L582" s="260">
        <v>0</v>
      </c>
      <c r="M582" s="260">
        <v>0</v>
      </c>
      <c r="N582" s="260">
        <v>0</v>
      </c>
      <c r="O582" s="264">
        <v>73021.119999999995</v>
      </c>
      <c r="P582" s="264">
        <v>0</v>
      </c>
      <c r="Q582" s="264">
        <v>0</v>
      </c>
      <c r="R582" s="264">
        <v>0</v>
      </c>
      <c r="S582" s="60">
        <v>73021.119999999995</v>
      </c>
      <c r="T582" s="60">
        <v>0</v>
      </c>
      <c r="U582" t="s">
        <v>18311</v>
      </c>
    </row>
    <row r="583" spans="1:21">
      <c r="A583" t="s">
        <v>18312</v>
      </c>
      <c r="B583" s="262">
        <v>44176</v>
      </c>
      <c r="C583" t="s">
        <v>16880</v>
      </c>
      <c r="D583" t="s">
        <v>16881</v>
      </c>
      <c r="E583" s="60">
        <v>0</v>
      </c>
      <c r="F583" s="60">
        <v>57859.572999999997</v>
      </c>
      <c r="G583" s="263">
        <v>0</v>
      </c>
      <c r="H583" s="263">
        <v>57859.573040000003</v>
      </c>
      <c r="I583" s="263">
        <v>0</v>
      </c>
      <c r="J583" s="263">
        <v>0</v>
      </c>
      <c r="K583" s="260">
        <v>0</v>
      </c>
      <c r="L583" s="260">
        <v>0</v>
      </c>
      <c r="M583" s="260">
        <v>0</v>
      </c>
      <c r="N583" s="260">
        <v>0</v>
      </c>
      <c r="O583" s="264">
        <v>0</v>
      </c>
      <c r="P583" s="264">
        <v>57859.573040000003</v>
      </c>
      <c r="Q583" s="264">
        <v>0</v>
      </c>
      <c r="R583" s="264">
        <v>0</v>
      </c>
      <c r="S583" s="60">
        <v>57859.573040000003</v>
      </c>
      <c r="T583" s="60">
        <v>-4.0000006265472621E-5</v>
      </c>
      <c r="U583" t="s">
        <v>18313</v>
      </c>
    </row>
    <row r="584" spans="1:21">
      <c r="A584" t="s">
        <v>18314</v>
      </c>
      <c r="B584" s="262">
        <v>44176</v>
      </c>
      <c r="C584" t="s">
        <v>17226</v>
      </c>
      <c r="D584" t="s">
        <v>17891</v>
      </c>
      <c r="E584" s="60">
        <v>0</v>
      </c>
      <c r="F584" s="60">
        <v>91723</v>
      </c>
      <c r="G584" s="263">
        <v>11988</v>
      </c>
      <c r="H584" s="263">
        <v>51170</v>
      </c>
      <c r="I584" s="263">
        <v>19800</v>
      </c>
      <c r="J584" s="263">
        <v>8765</v>
      </c>
      <c r="K584" s="260">
        <v>0</v>
      </c>
      <c r="L584" s="260">
        <v>0</v>
      </c>
      <c r="M584" s="260">
        <v>0</v>
      </c>
      <c r="N584" s="260">
        <v>0</v>
      </c>
      <c r="O584" s="264">
        <v>11988</v>
      </c>
      <c r="P584" s="264">
        <v>51170</v>
      </c>
      <c r="Q584" s="264">
        <v>19800</v>
      </c>
      <c r="R584" s="264">
        <v>8765</v>
      </c>
      <c r="S584" s="60">
        <v>91723</v>
      </c>
      <c r="T584" s="60">
        <v>0</v>
      </c>
      <c r="U584" t="s">
        <v>18315</v>
      </c>
    </row>
    <row r="585" spans="1:21">
      <c r="A585" t="s">
        <v>18316</v>
      </c>
      <c r="B585" s="262">
        <v>44176</v>
      </c>
      <c r="C585" t="s">
        <v>16838</v>
      </c>
      <c r="D585" t="s">
        <v>16839</v>
      </c>
      <c r="E585" s="60">
        <v>0</v>
      </c>
      <c r="F585" s="60">
        <v>251675.12</v>
      </c>
      <c r="G585" s="263">
        <v>211499.12</v>
      </c>
      <c r="H585" s="263">
        <v>28416</v>
      </c>
      <c r="I585" s="263">
        <v>11760</v>
      </c>
      <c r="J585" s="263">
        <v>0</v>
      </c>
      <c r="K585" s="260">
        <v>0</v>
      </c>
      <c r="L585" s="260">
        <v>0</v>
      </c>
      <c r="M585" s="260">
        <v>0</v>
      </c>
      <c r="N585" s="260">
        <v>0</v>
      </c>
      <c r="O585" s="264">
        <v>211499.12</v>
      </c>
      <c r="P585" s="264">
        <v>28416</v>
      </c>
      <c r="Q585" s="264">
        <v>11760</v>
      </c>
      <c r="R585" s="264">
        <v>0</v>
      </c>
      <c r="S585" s="60">
        <v>251675.12</v>
      </c>
      <c r="T585" s="60">
        <v>0</v>
      </c>
      <c r="U585" t="s">
        <v>18009</v>
      </c>
    </row>
    <row r="586" spans="1:21">
      <c r="A586" t="s">
        <v>18317</v>
      </c>
      <c r="B586" s="262">
        <v>44176</v>
      </c>
      <c r="C586" t="s">
        <v>16838</v>
      </c>
      <c r="D586" t="s">
        <v>16839</v>
      </c>
      <c r="E586" s="60">
        <v>0</v>
      </c>
      <c r="F586" s="60">
        <v>233331.12</v>
      </c>
      <c r="G586" s="263">
        <v>168141.12</v>
      </c>
      <c r="H586" s="263">
        <v>65190</v>
      </c>
      <c r="I586" s="263">
        <v>0</v>
      </c>
      <c r="J586" s="263">
        <v>0</v>
      </c>
      <c r="K586" s="260">
        <v>0</v>
      </c>
      <c r="L586" s="260">
        <v>0</v>
      </c>
      <c r="M586" s="260">
        <v>0</v>
      </c>
      <c r="N586" s="260">
        <v>0</v>
      </c>
      <c r="O586" s="264">
        <v>168141.12</v>
      </c>
      <c r="P586" s="264">
        <v>65190</v>
      </c>
      <c r="Q586" s="264">
        <v>0</v>
      </c>
      <c r="R586" s="264">
        <v>0</v>
      </c>
      <c r="S586" s="60">
        <v>233331.12</v>
      </c>
      <c r="T586" s="60">
        <v>0</v>
      </c>
      <c r="U586" t="s">
        <v>17949</v>
      </c>
    </row>
    <row r="587" spans="1:21">
      <c r="A587" t="s">
        <v>18318</v>
      </c>
      <c r="B587" s="262">
        <v>44176</v>
      </c>
      <c r="C587" t="s">
        <v>17017</v>
      </c>
      <c r="D587" t="s">
        <v>17430</v>
      </c>
      <c r="E587" s="60">
        <v>0</v>
      </c>
      <c r="F587" s="60">
        <v>44756.652999999998</v>
      </c>
      <c r="G587" s="263">
        <v>0</v>
      </c>
      <c r="H587" s="263">
        <v>35413.452799999999</v>
      </c>
      <c r="I587" s="263">
        <v>3078</v>
      </c>
      <c r="J587" s="263">
        <v>6265.2</v>
      </c>
      <c r="K587" s="260">
        <v>0</v>
      </c>
      <c r="L587" s="260">
        <v>0</v>
      </c>
      <c r="M587" s="260">
        <v>0</v>
      </c>
      <c r="N587" s="260">
        <v>0</v>
      </c>
      <c r="O587" s="264">
        <v>0</v>
      </c>
      <c r="P587" s="264">
        <v>35413.452799999999</v>
      </c>
      <c r="Q587" s="264">
        <v>3078</v>
      </c>
      <c r="R587" s="264">
        <v>6265.2</v>
      </c>
      <c r="S587" s="60">
        <v>44756.652799999996</v>
      </c>
      <c r="T587" s="60">
        <v>2.0000000222353265E-4</v>
      </c>
      <c r="U587" t="s">
        <v>16814</v>
      </c>
    </row>
    <row r="588" spans="1:21">
      <c r="A588" t="s">
        <v>18319</v>
      </c>
      <c r="B588" s="262">
        <v>44176</v>
      </c>
      <c r="C588" t="s">
        <v>16904</v>
      </c>
      <c r="D588" t="s">
        <v>16905</v>
      </c>
      <c r="E588" s="60">
        <v>0</v>
      </c>
      <c r="F588" s="60">
        <v>148828.984</v>
      </c>
      <c r="G588" s="263">
        <v>0</v>
      </c>
      <c r="H588" s="263">
        <v>85594.975128000005</v>
      </c>
      <c r="I588" s="263">
        <v>30186.594000000005</v>
      </c>
      <c r="J588" s="263">
        <v>0</v>
      </c>
      <c r="K588" s="260">
        <v>0</v>
      </c>
      <c r="L588" s="260">
        <v>24368.997195378153</v>
      </c>
      <c r="M588" s="260">
        <v>8678.4178046218494</v>
      </c>
      <c r="N588" s="260">
        <v>0</v>
      </c>
      <c r="O588" s="264">
        <v>0</v>
      </c>
      <c r="P588" s="264">
        <v>109963.97232337816</v>
      </c>
      <c r="Q588" s="264">
        <v>38865.011804621856</v>
      </c>
      <c r="R588" s="264">
        <v>0</v>
      </c>
      <c r="S588" s="60">
        <v>148828.98412800001</v>
      </c>
      <c r="T588" s="60">
        <v>-1.2800001422874629E-4</v>
      </c>
      <c r="U588" t="s">
        <v>17537</v>
      </c>
    </row>
    <row r="589" spans="1:21">
      <c r="A589" t="s">
        <v>18320</v>
      </c>
      <c r="B589" s="262">
        <v>44176</v>
      </c>
      <c r="C589" t="s">
        <v>16779</v>
      </c>
      <c r="D589" t="s">
        <v>17613</v>
      </c>
      <c r="E589" s="60">
        <v>0</v>
      </c>
      <c r="F589" s="60">
        <v>38376.442999999999</v>
      </c>
      <c r="G589" s="263">
        <v>900.66383999999994</v>
      </c>
      <c r="H589" s="263">
        <v>28640.320055999997</v>
      </c>
      <c r="I589" s="263">
        <v>2765.1959999999999</v>
      </c>
      <c r="J589" s="263">
        <v>6070.2636000000002</v>
      </c>
      <c r="K589" s="260">
        <v>0</v>
      </c>
      <c r="L589" s="260">
        <v>0</v>
      </c>
      <c r="M589" s="260">
        <v>0</v>
      </c>
      <c r="N589" s="260">
        <v>0</v>
      </c>
      <c r="O589" s="264">
        <v>900.66383999999994</v>
      </c>
      <c r="P589" s="264">
        <v>28640.320055999997</v>
      </c>
      <c r="Q589" s="264">
        <v>2765.1959999999999</v>
      </c>
      <c r="R589" s="264">
        <v>6070.2636000000002</v>
      </c>
      <c r="S589" s="60">
        <v>38376.443496</v>
      </c>
      <c r="T589" s="60">
        <v>-4.9600000056670979E-4</v>
      </c>
    </row>
    <row r="590" spans="1:21">
      <c r="A590" t="s">
        <v>18321</v>
      </c>
      <c r="B590" s="262">
        <v>44176</v>
      </c>
      <c r="C590" t="s">
        <v>17209</v>
      </c>
      <c r="D590" t="s">
        <v>17210</v>
      </c>
      <c r="E590" s="60">
        <v>0</v>
      </c>
      <c r="F590" s="60">
        <v>33074.272000000004</v>
      </c>
      <c r="G590" s="263">
        <v>0</v>
      </c>
      <c r="H590" s="263">
        <v>0</v>
      </c>
      <c r="I590" s="263">
        <v>0</v>
      </c>
      <c r="J590" s="263">
        <v>29396.37</v>
      </c>
      <c r="K590" s="260">
        <v>0</v>
      </c>
      <c r="L590" s="260">
        <v>0</v>
      </c>
      <c r="M590" s="260">
        <v>0</v>
      </c>
      <c r="N590" s="260">
        <v>3677.902</v>
      </c>
      <c r="O590" s="264">
        <v>0</v>
      </c>
      <c r="P590" s="264">
        <v>0</v>
      </c>
      <c r="Q590" s="264">
        <v>0</v>
      </c>
      <c r="R590" s="264">
        <v>33074.271999999997</v>
      </c>
      <c r="S590" s="60">
        <v>33074.271999999997</v>
      </c>
      <c r="T590" s="60">
        <v>0</v>
      </c>
      <c r="U590" t="s">
        <v>17928</v>
      </c>
    </row>
    <row r="591" spans="1:21">
      <c r="A591" t="s">
        <v>18322</v>
      </c>
      <c r="B591" s="262">
        <v>44176</v>
      </c>
      <c r="C591" t="s">
        <v>16480</v>
      </c>
      <c r="D591" t="s">
        <v>16481</v>
      </c>
      <c r="E591" s="60">
        <v>0</v>
      </c>
      <c r="F591" s="60">
        <v>58957.049000000006</v>
      </c>
      <c r="G591" s="263">
        <v>0</v>
      </c>
      <c r="H591" s="263">
        <v>28119.700152000001</v>
      </c>
      <c r="I591" s="263">
        <v>19821.543569999998</v>
      </c>
      <c r="J591" s="263">
        <v>0</v>
      </c>
      <c r="K591" s="260">
        <v>0</v>
      </c>
      <c r="L591" s="260">
        <v>6432.7278649715045</v>
      </c>
      <c r="M591" s="260">
        <v>4583.0771350284967</v>
      </c>
      <c r="N591" s="260">
        <v>0</v>
      </c>
      <c r="O591" s="264">
        <v>0</v>
      </c>
      <c r="P591" s="264">
        <v>34552.428016971506</v>
      </c>
      <c r="Q591" s="264">
        <v>24404.620705028494</v>
      </c>
      <c r="R591" s="264">
        <v>0</v>
      </c>
      <c r="S591" s="60">
        <v>58957.048722</v>
      </c>
      <c r="T591" s="60">
        <v>2.7800000680144876E-4</v>
      </c>
      <c r="U591" t="s">
        <v>18323</v>
      </c>
    </row>
    <row r="592" spans="1:21">
      <c r="A592" t="s">
        <v>18324</v>
      </c>
      <c r="B592" s="262">
        <v>44176</v>
      </c>
      <c r="C592" t="s">
        <v>16444</v>
      </c>
      <c r="D592" t="s">
        <v>16445</v>
      </c>
      <c r="E592" s="60">
        <v>0</v>
      </c>
      <c r="F592" s="60">
        <v>36753.360000000001</v>
      </c>
      <c r="G592" s="263">
        <v>36753.360000000001</v>
      </c>
      <c r="H592" s="263">
        <v>0</v>
      </c>
      <c r="I592" s="263">
        <v>0</v>
      </c>
      <c r="J592" s="263">
        <v>0</v>
      </c>
      <c r="K592" s="260">
        <v>0</v>
      </c>
      <c r="L592" s="260">
        <v>0</v>
      </c>
      <c r="M592" s="260">
        <v>0</v>
      </c>
      <c r="N592" s="260">
        <v>0</v>
      </c>
      <c r="O592" s="264">
        <v>36753.360000000001</v>
      </c>
      <c r="P592" s="264">
        <v>0</v>
      </c>
      <c r="Q592" s="264">
        <v>0</v>
      </c>
      <c r="R592" s="264">
        <v>0</v>
      </c>
      <c r="S592" s="60">
        <v>36753.360000000001</v>
      </c>
      <c r="T592" s="60">
        <v>0</v>
      </c>
      <c r="U592" t="s">
        <v>18325</v>
      </c>
    </row>
    <row r="593" spans="1:24">
      <c r="A593" t="s">
        <v>18326</v>
      </c>
      <c r="B593" s="262">
        <v>44180</v>
      </c>
      <c r="C593" t="s">
        <v>16444</v>
      </c>
      <c r="D593" t="s">
        <v>16445</v>
      </c>
      <c r="E593" s="60">
        <v>0</v>
      </c>
      <c r="F593" s="60">
        <v>33024</v>
      </c>
      <c r="G593" s="263">
        <v>33024</v>
      </c>
      <c r="H593" s="263">
        <v>0</v>
      </c>
      <c r="I593" s="263">
        <v>0</v>
      </c>
      <c r="J593" s="263">
        <v>0</v>
      </c>
      <c r="K593" s="260">
        <v>0</v>
      </c>
      <c r="L593" s="260">
        <v>0</v>
      </c>
      <c r="M593" s="260">
        <v>0</v>
      </c>
      <c r="N593" s="260">
        <v>0</v>
      </c>
      <c r="O593" s="264">
        <v>33024</v>
      </c>
      <c r="P593" s="264">
        <v>0</v>
      </c>
      <c r="Q593" s="264">
        <v>0</v>
      </c>
      <c r="R593" s="264">
        <v>0</v>
      </c>
      <c r="S593" s="60">
        <v>33024</v>
      </c>
      <c r="T593" s="60">
        <v>0</v>
      </c>
      <c r="U593" t="s">
        <v>18248</v>
      </c>
    </row>
    <row r="594" spans="1:24">
      <c r="A594" t="s">
        <v>18327</v>
      </c>
      <c r="B594" s="262">
        <v>44183</v>
      </c>
      <c r="C594" t="s">
        <v>16444</v>
      </c>
      <c r="D594" t="s">
        <v>16445</v>
      </c>
      <c r="E594" s="60">
        <v>0</v>
      </c>
      <c r="F594" s="60">
        <v>26975</v>
      </c>
      <c r="G594" s="263">
        <v>0</v>
      </c>
      <c r="H594" s="263">
        <v>26975</v>
      </c>
      <c r="I594" s="263">
        <v>0</v>
      </c>
      <c r="J594" s="263">
        <v>0</v>
      </c>
      <c r="K594" s="260">
        <v>0</v>
      </c>
      <c r="L594" s="260">
        <v>0</v>
      </c>
      <c r="M594" s="260">
        <v>0</v>
      </c>
      <c r="N594" s="260">
        <v>0</v>
      </c>
      <c r="O594" s="264">
        <v>0</v>
      </c>
      <c r="P594" s="264">
        <v>26975</v>
      </c>
      <c r="Q594" s="264">
        <v>0</v>
      </c>
      <c r="R594" s="264">
        <v>0</v>
      </c>
      <c r="S594" s="60">
        <v>26975</v>
      </c>
      <c r="T594" s="60">
        <v>0</v>
      </c>
      <c r="U594" t="s">
        <v>16563</v>
      </c>
    </row>
    <row r="595" spans="1:24">
      <c r="A595" t="s">
        <v>18328</v>
      </c>
      <c r="B595" s="262">
        <v>44188</v>
      </c>
      <c r="C595" t="s">
        <v>16384</v>
      </c>
      <c r="D595" t="s">
        <v>16385</v>
      </c>
      <c r="E595" s="60">
        <v>0</v>
      </c>
      <c r="F595" s="60">
        <v>129024</v>
      </c>
      <c r="G595" s="263">
        <v>129024</v>
      </c>
      <c r="H595" s="263">
        <v>0</v>
      </c>
      <c r="I595" s="263">
        <v>0</v>
      </c>
      <c r="J595" s="263">
        <v>0</v>
      </c>
      <c r="K595" s="260">
        <v>0</v>
      </c>
      <c r="L595" s="260">
        <v>0</v>
      </c>
      <c r="M595" s="260">
        <v>0</v>
      </c>
      <c r="N595" s="260">
        <v>0</v>
      </c>
      <c r="O595" s="264">
        <v>129024</v>
      </c>
      <c r="P595" s="264">
        <v>0</v>
      </c>
      <c r="Q595" s="264">
        <v>0</v>
      </c>
      <c r="R595" s="264">
        <v>0</v>
      </c>
      <c r="S595" s="60">
        <v>129024</v>
      </c>
      <c r="T595" s="60">
        <v>0</v>
      </c>
      <c r="U595" t="s">
        <v>18329</v>
      </c>
    </row>
    <row r="596" spans="1:24">
      <c r="A596" t="s">
        <v>18330</v>
      </c>
      <c r="B596" s="262">
        <v>44188</v>
      </c>
      <c r="C596" t="s">
        <v>16384</v>
      </c>
      <c r="D596" t="s">
        <v>16385</v>
      </c>
      <c r="E596" s="60">
        <v>0</v>
      </c>
      <c r="F596" s="60">
        <v>104400</v>
      </c>
      <c r="G596" s="263">
        <v>65200</v>
      </c>
      <c r="H596" s="263">
        <v>0</v>
      </c>
      <c r="I596" s="263">
        <v>39200</v>
      </c>
      <c r="J596" s="263">
        <v>0</v>
      </c>
      <c r="K596" s="260">
        <v>0</v>
      </c>
      <c r="L596" s="260">
        <v>0</v>
      </c>
      <c r="M596" s="260">
        <v>0</v>
      </c>
      <c r="N596" s="260">
        <v>0</v>
      </c>
      <c r="O596" s="264">
        <v>65200</v>
      </c>
      <c r="P596" s="264">
        <v>0</v>
      </c>
      <c r="Q596" s="264">
        <v>39200</v>
      </c>
      <c r="R596" s="264">
        <v>0</v>
      </c>
      <c r="S596" s="60">
        <v>104400</v>
      </c>
      <c r="T596" s="60">
        <v>0</v>
      </c>
      <c r="U596" t="s">
        <v>17470</v>
      </c>
    </row>
    <row r="597" spans="1:24">
      <c r="A597" t="s">
        <v>18331</v>
      </c>
      <c r="B597" s="262">
        <v>44188</v>
      </c>
      <c r="C597" t="s">
        <v>16384</v>
      </c>
      <c r="D597" t="s">
        <v>16385</v>
      </c>
      <c r="E597" s="60">
        <v>0</v>
      </c>
      <c r="F597" s="60">
        <v>35900</v>
      </c>
      <c r="G597" s="263">
        <v>16300</v>
      </c>
      <c r="H597" s="263">
        <v>0</v>
      </c>
      <c r="I597" s="263">
        <v>19600</v>
      </c>
      <c r="J597" s="263">
        <v>0</v>
      </c>
      <c r="K597" s="260">
        <v>0</v>
      </c>
      <c r="L597" s="260">
        <v>0</v>
      </c>
      <c r="M597" s="260">
        <v>0</v>
      </c>
      <c r="N597" s="260">
        <v>0</v>
      </c>
      <c r="O597" s="264">
        <v>16300</v>
      </c>
      <c r="P597" s="264">
        <v>0</v>
      </c>
      <c r="Q597" s="264">
        <v>19600</v>
      </c>
      <c r="R597" s="264">
        <v>0</v>
      </c>
      <c r="S597" s="60">
        <v>35900</v>
      </c>
      <c r="T597" s="60">
        <v>0</v>
      </c>
      <c r="U597" t="s">
        <v>17470</v>
      </c>
    </row>
    <row r="598" spans="1:24">
      <c r="A598" t="s">
        <v>18332</v>
      </c>
      <c r="B598" s="262">
        <v>44188</v>
      </c>
      <c r="C598" t="s">
        <v>16838</v>
      </c>
      <c r="D598" t="s">
        <v>16839</v>
      </c>
      <c r="E598" s="60">
        <v>0</v>
      </c>
      <c r="F598" s="60">
        <v>67488</v>
      </c>
      <c r="G598" s="263">
        <v>0</v>
      </c>
      <c r="H598" s="263">
        <v>67488</v>
      </c>
      <c r="I598" s="263">
        <v>0</v>
      </c>
      <c r="J598" s="263">
        <v>0</v>
      </c>
      <c r="K598" s="260">
        <v>0</v>
      </c>
      <c r="L598" s="260">
        <v>0</v>
      </c>
      <c r="M598" s="260">
        <v>0</v>
      </c>
      <c r="N598" s="260">
        <v>0</v>
      </c>
      <c r="O598" s="264">
        <v>0</v>
      </c>
      <c r="P598" s="264">
        <v>67488</v>
      </c>
      <c r="Q598" s="264">
        <v>0</v>
      </c>
      <c r="R598" s="264">
        <v>0</v>
      </c>
      <c r="S598" s="60">
        <v>67488</v>
      </c>
      <c r="T598" s="60">
        <v>0</v>
      </c>
      <c r="U598" t="s">
        <v>18333</v>
      </c>
    </row>
    <row r="599" spans="1:24">
      <c r="A599" t="s">
        <v>18334</v>
      </c>
      <c r="B599" s="262">
        <v>44188</v>
      </c>
      <c r="C599" t="s">
        <v>17156</v>
      </c>
      <c r="D599" t="s">
        <v>17575</v>
      </c>
      <c r="E599" s="60">
        <v>0</v>
      </c>
      <c r="F599" s="60">
        <v>34476</v>
      </c>
      <c r="G599" s="263">
        <v>34476</v>
      </c>
      <c r="H599" s="263">
        <v>0</v>
      </c>
      <c r="I599" s="263">
        <v>0</v>
      </c>
      <c r="J599" s="263">
        <v>0</v>
      </c>
      <c r="K599" s="260">
        <v>0</v>
      </c>
      <c r="L599" s="260">
        <v>0</v>
      </c>
      <c r="M599" s="260">
        <v>0</v>
      </c>
      <c r="N599" s="260">
        <v>0</v>
      </c>
      <c r="O599" s="264">
        <v>34476</v>
      </c>
      <c r="P599" s="264">
        <v>0</v>
      </c>
      <c r="Q599" s="264">
        <v>0</v>
      </c>
      <c r="R599" s="264">
        <v>0</v>
      </c>
      <c r="S599" s="60">
        <v>34476</v>
      </c>
      <c r="T599" s="60">
        <v>0</v>
      </c>
      <c r="U599" t="s">
        <v>18335</v>
      </c>
    </row>
    <row r="600" spans="1:24" s="255" customFormat="1">
      <c r="A600" t="s">
        <v>18336</v>
      </c>
      <c r="B600" s="262">
        <v>44202</v>
      </c>
      <c r="C600" t="s">
        <v>16838</v>
      </c>
      <c r="D600" t="s">
        <v>16839</v>
      </c>
      <c r="E600" s="60">
        <v>0</v>
      </c>
      <c r="F600" s="60">
        <v>221520</v>
      </c>
      <c r="G600" s="60">
        <v>0</v>
      </c>
      <c r="H600" s="60">
        <v>0</v>
      </c>
      <c r="I600" s="60">
        <v>221520</v>
      </c>
      <c r="J600" s="60">
        <v>0</v>
      </c>
      <c r="K600" s="267">
        <v>0</v>
      </c>
      <c r="L600" s="267">
        <v>0</v>
      </c>
      <c r="M600" s="267">
        <v>0</v>
      </c>
      <c r="N600" s="267">
        <v>0</v>
      </c>
      <c r="O600" s="268">
        <v>0</v>
      </c>
      <c r="P600" s="268">
        <v>0</v>
      </c>
      <c r="Q600" s="268">
        <v>221520</v>
      </c>
      <c r="R600" s="268">
        <v>0</v>
      </c>
      <c r="S600" s="271">
        <v>221520</v>
      </c>
      <c r="T600" s="271">
        <v>0</v>
      </c>
      <c r="U600" s="255" t="s">
        <v>17798</v>
      </c>
      <c r="W600" s="271">
        <v>221520</v>
      </c>
      <c r="X600" s="271">
        <f>F600-W600</f>
        <v>0</v>
      </c>
    </row>
    <row r="601" spans="1:24">
      <c r="A601" t="s">
        <v>18337</v>
      </c>
      <c r="B601" s="262">
        <v>44202</v>
      </c>
      <c r="C601" t="s">
        <v>16384</v>
      </c>
      <c r="D601" t="s">
        <v>16385</v>
      </c>
      <c r="E601" s="60">
        <v>0</v>
      </c>
      <c r="F601" s="60">
        <v>161280</v>
      </c>
      <c r="G601" s="60">
        <v>161280</v>
      </c>
      <c r="H601" s="60">
        <v>0</v>
      </c>
      <c r="I601" s="60">
        <v>0</v>
      </c>
      <c r="J601" s="60">
        <v>0</v>
      </c>
      <c r="K601" s="260">
        <v>0</v>
      </c>
      <c r="L601" s="260">
        <v>0</v>
      </c>
      <c r="M601" s="260">
        <v>0</v>
      </c>
      <c r="N601" s="260">
        <v>0</v>
      </c>
      <c r="O601" s="264">
        <v>161280</v>
      </c>
      <c r="P601" s="264">
        <v>0</v>
      </c>
      <c r="Q601" s="264">
        <v>0</v>
      </c>
      <c r="R601" s="264">
        <v>0</v>
      </c>
      <c r="S601" s="60">
        <v>161280</v>
      </c>
      <c r="T601" s="60">
        <v>0</v>
      </c>
      <c r="U601" t="s">
        <v>18338</v>
      </c>
      <c r="W601" s="272">
        <v>161280</v>
      </c>
      <c r="X601" s="272">
        <f t="shared" ref="X601:X664" si="0">F601-W601</f>
        <v>0</v>
      </c>
    </row>
    <row r="602" spans="1:24">
      <c r="A602" t="s">
        <v>18339</v>
      </c>
      <c r="B602" s="262">
        <v>44202</v>
      </c>
      <c r="C602" t="s">
        <v>16384</v>
      </c>
      <c r="D602" t="s">
        <v>16385</v>
      </c>
      <c r="E602" s="60">
        <v>0</v>
      </c>
      <c r="F602" s="60">
        <v>129024</v>
      </c>
      <c r="G602" s="60">
        <v>129024</v>
      </c>
      <c r="H602" s="60">
        <v>0</v>
      </c>
      <c r="I602" s="60">
        <v>0</v>
      </c>
      <c r="J602" s="60">
        <v>0</v>
      </c>
      <c r="K602" s="260">
        <v>0</v>
      </c>
      <c r="L602" s="260">
        <v>0</v>
      </c>
      <c r="M602" s="260">
        <v>0</v>
      </c>
      <c r="N602" s="260">
        <v>0</v>
      </c>
      <c r="O602" s="264">
        <v>129024</v>
      </c>
      <c r="P602" s="264">
        <v>0</v>
      </c>
      <c r="Q602" s="264">
        <v>0</v>
      </c>
      <c r="R602" s="264">
        <v>0</v>
      </c>
      <c r="S602" s="60">
        <v>129024</v>
      </c>
      <c r="T602" s="60">
        <v>0</v>
      </c>
      <c r="U602" t="s">
        <v>18338</v>
      </c>
      <c r="W602" s="272">
        <v>129024</v>
      </c>
      <c r="X602" s="272">
        <f t="shared" si="0"/>
        <v>0</v>
      </c>
    </row>
    <row r="603" spans="1:24">
      <c r="A603" t="s">
        <v>18340</v>
      </c>
      <c r="B603" s="262">
        <v>44202</v>
      </c>
      <c r="C603" t="s">
        <v>16904</v>
      </c>
      <c r="D603" t="s">
        <v>16905</v>
      </c>
      <c r="E603" s="60">
        <v>0</v>
      </c>
      <c r="F603" s="60">
        <v>25070.207000000002</v>
      </c>
      <c r="G603" s="60">
        <v>0</v>
      </c>
      <c r="H603" s="60">
        <v>18965.129399999998</v>
      </c>
      <c r="I603" s="60">
        <v>0</v>
      </c>
      <c r="J603" s="60">
        <v>0</v>
      </c>
      <c r="K603" s="260">
        <v>0</v>
      </c>
      <c r="L603" s="260">
        <v>6105.0780000000004</v>
      </c>
      <c r="M603" s="260">
        <v>0</v>
      </c>
      <c r="N603" s="260">
        <v>0</v>
      </c>
      <c r="O603" s="264">
        <v>0</v>
      </c>
      <c r="P603" s="264">
        <v>25070.207399999999</v>
      </c>
      <c r="Q603" s="264">
        <v>0</v>
      </c>
      <c r="R603" s="264">
        <v>0</v>
      </c>
      <c r="S603" s="60">
        <v>25070.207399999999</v>
      </c>
      <c r="T603" s="60">
        <v>-3.9999999717110768E-4</v>
      </c>
      <c r="W603" s="272">
        <v>25070.207400000003</v>
      </c>
      <c r="X603" s="272">
        <f t="shared" si="0"/>
        <v>-4.0000000080908649E-4</v>
      </c>
    </row>
    <row r="604" spans="1:24">
      <c r="A604" t="s">
        <v>18341</v>
      </c>
      <c r="B604" s="262">
        <v>44202</v>
      </c>
      <c r="C604" t="s">
        <v>16904</v>
      </c>
      <c r="D604" t="s">
        <v>16905</v>
      </c>
      <c r="E604" s="60">
        <v>0</v>
      </c>
      <c r="F604" s="60">
        <v>58786.255999999994</v>
      </c>
      <c r="G604" s="60">
        <v>0</v>
      </c>
      <c r="H604" s="60">
        <v>33146.831717999994</v>
      </c>
      <c r="I604" s="60">
        <v>14643.718866000001</v>
      </c>
      <c r="J604" s="60">
        <v>0</v>
      </c>
      <c r="K604" s="260">
        <v>0</v>
      </c>
      <c r="L604" s="260">
        <v>7592.7322058823529</v>
      </c>
      <c r="M604" s="260">
        <v>3402.972794117647</v>
      </c>
      <c r="N604" s="260">
        <v>0</v>
      </c>
      <c r="O604" s="264">
        <v>0</v>
      </c>
      <c r="P604" s="264">
        <v>40739.56392388235</v>
      </c>
      <c r="Q604" s="264">
        <v>18046.691660117649</v>
      </c>
      <c r="R604" s="264">
        <v>0</v>
      </c>
      <c r="S604" s="60">
        <v>58786.255583999999</v>
      </c>
      <c r="T604" s="60">
        <v>4.1599999531172216E-4</v>
      </c>
      <c r="W604" s="272">
        <v>58786.255584000013</v>
      </c>
      <c r="X604" s="272">
        <f t="shared" si="0"/>
        <v>4.1599998075980693E-4</v>
      </c>
    </row>
    <row r="605" spans="1:24">
      <c r="A605" t="s">
        <v>18342</v>
      </c>
      <c r="B605" s="262">
        <v>44202</v>
      </c>
      <c r="C605" t="s">
        <v>17276</v>
      </c>
      <c r="D605" t="s">
        <v>17277</v>
      </c>
      <c r="E605" s="60">
        <v>0</v>
      </c>
      <c r="F605" s="60">
        <v>39628.582000000002</v>
      </c>
      <c r="G605" s="60">
        <v>34637.030400000003</v>
      </c>
      <c r="H605" s="60">
        <v>0</v>
      </c>
      <c r="I605" s="60">
        <v>0</v>
      </c>
      <c r="J605" s="60">
        <v>0</v>
      </c>
      <c r="K605" s="260">
        <v>4991.5520000000006</v>
      </c>
      <c r="L605" s="260">
        <v>0</v>
      </c>
      <c r="M605" s="260">
        <v>0</v>
      </c>
      <c r="N605" s="260">
        <v>0</v>
      </c>
      <c r="O605" s="264">
        <v>39628.582400000007</v>
      </c>
      <c r="P605" s="264">
        <v>0</v>
      </c>
      <c r="Q605" s="264">
        <v>0</v>
      </c>
      <c r="R605" s="264">
        <v>0</v>
      </c>
      <c r="S605" s="60">
        <v>39628.582400000007</v>
      </c>
      <c r="T605" s="60">
        <v>-4.0000000444706529E-4</v>
      </c>
      <c r="W605" s="272">
        <v>39628.582399999999</v>
      </c>
      <c r="X605" s="272">
        <f t="shared" si="0"/>
        <v>-3.9999999717110768E-4</v>
      </c>
    </row>
    <row r="606" spans="1:24">
      <c r="A606" t="s">
        <v>18343</v>
      </c>
      <c r="B606" s="262">
        <v>44228</v>
      </c>
      <c r="C606" t="s">
        <v>16444</v>
      </c>
      <c r="D606" t="s">
        <v>16445</v>
      </c>
      <c r="E606" s="60">
        <v>0</v>
      </c>
      <c r="F606" s="60">
        <v>36753.360000000001</v>
      </c>
      <c r="G606" s="60">
        <v>36753.360000000001</v>
      </c>
      <c r="H606" s="60">
        <v>0</v>
      </c>
      <c r="I606" s="60">
        <v>0</v>
      </c>
      <c r="J606" s="60">
        <v>0</v>
      </c>
      <c r="K606" s="260">
        <v>0</v>
      </c>
      <c r="L606" s="260">
        <v>0</v>
      </c>
      <c r="M606" s="260">
        <v>0</v>
      </c>
      <c r="N606" s="260">
        <v>0</v>
      </c>
      <c r="O606" s="264">
        <v>36753.360000000001</v>
      </c>
      <c r="P606" s="264">
        <v>0</v>
      </c>
      <c r="Q606" s="264">
        <v>0</v>
      </c>
      <c r="R606" s="264">
        <v>0</v>
      </c>
      <c r="S606" s="60">
        <v>36753.360000000001</v>
      </c>
      <c r="T606" s="60">
        <v>0</v>
      </c>
      <c r="W606" s="272">
        <v>36753.360000000001</v>
      </c>
      <c r="X606" s="272">
        <f t="shared" si="0"/>
        <v>0</v>
      </c>
    </row>
    <row r="607" spans="1:24">
      <c r="A607" t="s">
        <v>18344</v>
      </c>
      <c r="B607" s="262">
        <v>44202</v>
      </c>
      <c r="C607" t="s">
        <v>16444</v>
      </c>
      <c r="D607" t="s">
        <v>16445</v>
      </c>
      <c r="E607" s="60">
        <v>0</v>
      </c>
      <c r="F607" s="60">
        <v>67645</v>
      </c>
      <c r="G607" s="60">
        <v>67645</v>
      </c>
      <c r="H607" s="60">
        <v>0</v>
      </c>
      <c r="I607" s="60">
        <v>0</v>
      </c>
      <c r="J607" s="60">
        <v>0</v>
      </c>
      <c r="K607" s="260">
        <v>0</v>
      </c>
      <c r="L607" s="260">
        <v>0</v>
      </c>
      <c r="M607" s="260">
        <v>0</v>
      </c>
      <c r="N607" s="260">
        <v>0</v>
      </c>
      <c r="O607" s="264">
        <v>67645</v>
      </c>
      <c r="P607" s="264">
        <v>0</v>
      </c>
      <c r="Q607" s="264">
        <v>0</v>
      </c>
      <c r="R607" s="264">
        <v>0</v>
      </c>
      <c r="S607" s="60">
        <v>67645</v>
      </c>
      <c r="T607" s="60">
        <v>0</v>
      </c>
      <c r="W607" s="272">
        <v>67645</v>
      </c>
      <c r="X607" s="272">
        <f t="shared" si="0"/>
        <v>0</v>
      </c>
    </row>
    <row r="608" spans="1:24">
      <c r="A608" t="s">
        <v>18345</v>
      </c>
      <c r="B608" s="262">
        <v>44228</v>
      </c>
      <c r="C608" t="s">
        <v>16444</v>
      </c>
      <c r="D608" t="s">
        <v>16445</v>
      </c>
      <c r="E608" s="60">
        <v>0</v>
      </c>
      <c r="F608" s="60">
        <v>33024</v>
      </c>
      <c r="G608" s="60">
        <v>33024</v>
      </c>
      <c r="H608" s="60">
        <v>0</v>
      </c>
      <c r="I608" s="60">
        <v>0</v>
      </c>
      <c r="J608" s="60">
        <v>0</v>
      </c>
      <c r="K608" s="260">
        <v>0</v>
      </c>
      <c r="L608" s="260">
        <v>0</v>
      </c>
      <c r="M608" s="260">
        <v>0</v>
      </c>
      <c r="N608" s="260">
        <v>0</v>
      </c>
      <c r="O608" s="264">
        <v>33024</v>
      </c>
      <c r="P608" s="264">
        <v>0</v>
      </c>
      <c r="Q608" s="264">
        <v>0</v>
      </c>
      <c r="R608" s="264">
        <v>0</v>
      </c>
      <c r="S608" s="60">
        <v>33024</v>
      </c>
      <c r="T608" s="60">
        <v>0</v>
      </c>
      <c r="W608" s="272">
        <v>33024</v>
      </c>
      <c r="X608" s="272">
        <f t="shared" si="0"/>
        <v>0</v>
      </c>
    </row>
    <row r="609" spans="1:24">
      <c r="A609" t="s">
        <v>18346</v>
      </c>
      <c r="B609" s="262">
        <v>44202</v>
      </c>
      <c r="C609" t="s">
        <v>16444</v>
      </c>
      <c r="D609" t="s">
        <v>16445</v>
      </c>
      <c r="E609" s="60">
        <v>0</v>
      </c>
      <c r="F609" s="60">
        <v>63541.5</v>
      </c>
      <c r="G609" s="60">
        <v>63541.5</v>
      </c>
      <c r="H609" s="60">
        <v>0</v>
      </c>
      <c r="I609" s="60">
        <v>0</v>
      </c>
      <c r="J609" s="60">
        <v>0</v>
      </c>
      <c r="K609" s="260">
        <v>0</v>
      </c>
      <c r="L609" s="260">
        <v>0</v>
      </c>
      <c r="M609" s="260">
        <v>0</v>
      </c>
      <c r="N609" s="260">
        <v>0</v>
      </c>
      <c r="O609" s="264">
        <v>63541.5</v>
      </c>
      <c r="P609" s="264">
        <v>0</v>
      </c>
      <c r="Q609" s="264">
        <v>0</v>
      </c>
      <c r="R609" s="264">
        <v>0</v>
      </c>
      <c r="S609" s="60">
        <v>63541.5</v>
      </c>
      <c r="T609" s="60">
        <v>0</v>
      </c>
      <c r="W609" s="272">
        <v>63541.5</v>
      </c>
      <c r="X609" s="272">
        <f t="shared" si="0"/>
        <v>0</v>
      </c>
    </row>
    <row r="610" spans="1:24">
      <c r="A610" t="s">
        <v>18347</v>
      </c>
      <c r="B610" s="262">
        <v>44202</v>
      </c>
      <c r="C610" t="s">
        <v>16444</v>
      </c>
      <c r="D610" t="s">
        <v>16445</v>
      </c>
      <c r="E610" s="60">
        <v>0</v>
      </c>
      <c r="F610" s="60">
        <v>73506.720000000001</v>
      </c>
      <c r="G610" s="60">
        <v>73506.720000000001</v>
      </c>
      <c r="H610" s="60">
        <v>0</v>
      </c>
      <c r="I610" s="60">
        <v>0</v>
      </c>
      <c r="J610" s="60">
        <v>0</v>
      </c>
      <c r="K610" s="260">
        <v>0</v>
      </c>
      <c r="L610" s="260">
        <v>0</v>
      </c>
      <c r="M610" s="260">
        <v>0</v>
      </c>
      <c r="N610" s="260">
        <v>0</v>
      </c>
      <c r="O610" s="264">
        <v>73506.720000000001</v>
      </c>
      <c r="P610" s="264">
        <v>0</v>
      </c>
      <c r="Q610" s="264">
        <v>0</v>
      </c>
      <c r="R610" s="264">
        <v>0</v>
      </c>
      <c r="S610" s="60">
        <v>73506.720000000001</v>
      </c>
      <c r="T610" s="60">
        <v>0</v>
      </c>
      <c r="W610" s="272">
        <v>73506.720000000001</v>
      </c>
      <c r="X610" s="272">
        <f t="shared" si="0"/>
        <v>0</v>
      </c>
    </row>
    <row r="611" spans="1:24">
      <c r="A611" t="s">
        <v>18348</v>
      </c>
      <c r="B611" s="262">
        <v>44202</v>
      </c>
      <c r="C611" t="s">
        <v>16470</v>
      </c>
      <c r="D611" t="s">
        <v>16471</v>
      </c>
      <c r="E611" s="60">
        <v>0</v>
      </c>
      <c r="F611" s="60">
        <v>499824.91200000001</v>
      </c>
      <c r="G611" s="60">
        <v>48812.472000000002</v>
      </c>
      <c r="H611" s="60">
        <v>355896.72479999997</v>
      </c>
      <c r="I611" s="60">
        <v>0</v>
      </c>
      <c r="J611" s="60">
        <v>0</v>
      </c>
      <c r="K611" s="260">
        <v>9814.1752364574368</v>
      </c>
      <c r="L611" s="260">
        <v>85301.539763542562</v>
      </c>
      <c r="M611" s="260">
        <v>0</v>
      </c>
      <c r="N611" s="260">
        <v>0</v>
      </c>
      <c r="O611" s="264">
        <v>58626.647236457437</v>
      </c>
      <c r="P611" s="264">
        <v>441198.26456354256</v>
      </c>
      <c r="Q611" s="264">
        <v>0</v>
      </c>
      <c r="R611" s="264">
        <v>0</v>
      </c>
      <c r="S611" s="60">
        <v>499824.9118</v>
      </c>
      <c r="T611" s="60">
        <v>2.0000000949949026E-4</v>
      </c>
      <c r="W611" s="272">
        <v>499824.9118</v>
      </c>
      <c r="X611" s="272">
        <f t="shared" si="0"/>
        <v>2.0000000949949026E-4</v>
      </c>
    </row>
    <row r="612" spans="1:24">
      <c r="A612" t="s">
        <v>18349</v>
      </c>
      <c r="B612" s="262">
        <v>44202</v>
      </c>
      <c r="C612" t="s">
        <v>16444</v>
      </c>
      <c r="D612" t="s">
        <v>16445</v>
      </c>
      <c r="E612" s="60">
        <v>0</v>
      </c>
      <c r="F612" s="60">
        <v>165274.20000000001</v>
      </c>
      <c r="G612" s="60">
        <v>42831.360000000001</v>
      </c>
      <c r="H612" s="60">
        <v>122442.84</v>
      </c>
      <c r="I612" s="60">
        <v>0</v>
      </c>
      <c r="J612" s="60">
        <v>0</v>
      </c>
      <c r="K612" s="260">
        <v>0</v>
      </c>
      <c r="L612" s="260">
        <v>0</v>
      </c>
      <c r="M612" s="260">
        <v>0</v>
      </c>
      <c r="N612" s="260">
        <v>0</v>
      </c>
      <c r="O612" s="264">
        <v>42831.360000000001</v>
      </c>
      <c r="P612" s="264">
        <v>122442.84</v>
      </c>
      <c r="Q612" s="264">
        <v>0</v>
      </c>
      <c r="R612" s="264">
        <v>0</v>
      </c>
      <c r="S612" s="60">
        <v>165274.20000000001</v>
      </c>
      <c r="T612" s="60">
        <v>0</v>
      </c>
      <c r="W612" s="272">
        <v>165274.20000000001</v>
      </c>
      <c r="X612" s="272">
        <f t="shared" si="0"/>
        <v>0</v>
      </c>
    </row>
    <row r="613" spans="1:24">
      <c r="A613" t="s">
        <v>18350</v>
      </c>
      <c r="B613" s="262">
        <v>44202</v>
      </c>
      <c r="C613" t="s">
        <v>16444</v>
      </c>
      <c r="D613" t="s">
        <v>16445</v>
      </c>
      <c r="E613" s="60">
        <v>0</v>
      </c>
      <c r="F613" s="60">
        <v>36753.360000000001</v>
      </c>
      <c r="G613" s="60">
        <v>36753.360000000001</v>
      </c>
      <c r="H613" s="60">
        <v>0</v>
      </c>
      <c r="I613" s="60">
        <v>0</v>
      </c>
      <c r="J613" s="60">
        <v>0</v>
      </c>
      <c r="K613" s="260">
        <v>0</v>
      </c>
      <c r="L613" s="260">
        <v>0</v>
      </c>
      <c r="M613" s="260">
        <v>0</v>
      </c>
      <c r="N613" s="260">
        <v>0</v>
      </c>
      <c r="O613" s="264">
        <v>36753.360000000001</v>
      </c>
      <c r="P613" s="264">
        <v>0</v>
      </c>
      <c r="Q613" s="264">
        <v>0</v>
      </c>
      <c r="R613" s="264">
        <v>0</v>
      </c>
      <c r="S613" s="60">
        <v>36753.360000000001</v>
      </c>
      <c r="T613" s="60">
        <v>0</v>
      </c>
      <c r="W613" s="272">
        <v>36753.360000000001</v>
      </c>
      <c r="X613" s="272">
        <f t="shared" si="0"/>
        <v>0</v>
      </c>
    </row>
    <row r="614" spans="1:24">
      <c r="A614" t="s">
        <v>18351</v>
      </c>
      <c r="B614" s="262">
        <v>44202</v>
      </c>
      <c r="C614" t="s">
        <v>17017</v>
      </c>
      <c r="D614" t="s">
        <v>17430</v>
      </c>
      <c r="E614" s="60">
        <v>0</v>
      </c>
      <c r="F614" s="60">
        <v>33200</v>
      </c>
      <c r="G614" s="60">
        <v>0</v>
      </c>
      <c r="H614" s="60">
        <v>33200</v>
      </c>
      <c r="I614" s="60">
        <v>0</v>
      </c>
      <c r="J614" s="60">
        <v>0</v>
      </c>
      <c r="K614" s="260">
        <v>0</v>
      </c>
      <c r="L614" s="260">
        <v>0</v>
      </c>
      <c r="M614" s="260">
        <v>0</v>
      </c>
      <c r="N614" s="260">
        <v>0</v>
      </c>
      <c r="O614" s="264">
        <v>0</v>
      </c>
      <c r="P614" s="264">
        <v>33200</v>
      </c>
      <c r="Q614" s="264">
        <v>0</v>
      </c>
      <c r="R614" s="264">
        <v>0</v>
      </c>
      <c r="S614" s="60">
        <v>33200</v>
      </c>
      <c r="T614" s="60">
        <v>0</v>
      </c>
      <c r="W614" s="272">
        <v>33200</v>
      </c>
      <c r="X614" s="272">
        <f t="shared" si="0"/>
        <v>0</v>
      </c>
    </row>
    <row r="615" spans="1:24">
      <c r="A615" t="s">
        <v>18352</v>
      </c>
      <c r="B615" s="262">
        <v>44203</v>
      </c>
      <c r="C615" t="s">
        <v>16957</v>
      </c>
      <c r="D615" t="s">
        <v>17451</v>
      </c>
      <c r="E615" s="60">
        <v>0</v>
      </c>
      <c r="F615" s="60">
        <v>37924.769999999997</v>
      </c>
      <c r="G615" s="60">
        <v>37924.770000000004</v>
      </c>
      <c r="H615" s="60">
        <v>0</v>
      </c>
      <c r="I615" s="60">
        <v>0</v>
      </c>
      <c r="J615" s="60">
        <v>0</v>
      </c>
      <c r="K615" s="260">
        <v>0</v>
      </c>
      <c r="L615" s="260">
        <v>0</v>
      </c>
      <c r="M615" s="260">
        <v>0</v>
      </c>
      <c r="N615" s="260">
        <v>0</v>
      </c>
      <c r="O615" s="264">
        <v>37924.770000000004</v>
      </c>
      <c r="P615" s="264">
        <v>0</v>
      </c>
      <c r="Q615" s="264">
        <v>0</v>
      </c>
      <c r="R615" s="264">
        <v>0</v>
      </c>
      <c r="S615" s="60">
        <v>37924.770000000004</v>
      </c>
      <c r="T615" s="60">
        <v>0</v>
      </c>
      <c r="W615" s="272">
        <v>37924.770000000004</v>
      </c>
      <c r="X615" s="272">
        <f t="shared" si="0"/>
        <v>0</v>
      </c>
    </row>
    <row r="616" spans="1:24">
      <c r="A616" t="s">
        <v>18353</v>
      </c>
      <c r="B616" s="262">
        <v>44203</v>
      </c>
      <c r="C616" t="s">
        <v>17248</v>
      </c>
      <c r="D616" t="s">
        <v>18158</v>
      </c>
      <c r="E616" s="60">
        <v>0</v>
      </c>
      <c r="F616" s="60">
        <v>50620.927000000003</v>
      </c>
      <c r="G616" s="60">
        <v>0</v>
      </c>
      <c r="H616" s="60">
        <v>50619.765120000004</v>
      </c>
      <c r="I616" s="60">
        <v>0</v>
      </c>
      <c r="J616" s="60">
        <v>0</v>
      </c>
      <c r="K616" s="260">
        <v>0</v>
      </c>
      <c r="L616" s="260">
        <v>0</v>
      </c>
      <c r="M616" s="260">
        <v>0</v>
      </c>
      <c r="N616" s="260">
        <v>0</v>
      </c>
      <c r="O616" s="264">
        <v>0</v>
      </c>
      <c r="P616" s="264">
        <v>50619.765120000004</v>
      </c>
      <c r="Q616" s="264">
        <v>0</v>
      </c>
      <c r="R616" s="264">
        <v>0</v>
      </c>
      <c r="S616" s="60">
        <v>50619.765120000004</v>
      </c>
      <c r="T616" s="60">
        <v>1.1618799999996554</v>
      </c>
      <c r="W616" s="272">
        <v>50619.765119999996</v>
      </c>
      <c r="X616" s="272">
        <f t="shared" si="0"/>
        <v>1.1618800000069314</v>
      </c>
    </row>
    <row r="617" spans="1:24">
      <c r="A617" t="s">
        <v>18354</v>
      </c>
      <c r="B617" s="262">
        <v>44204</v>
      </c>
      <c r="C617" t="s">
        <v>16384</v>
      </c>
      <c r="D617" t="s">
        <v>16385</v>
      </c>
      <c r="E617" s="60">
        <v>0</v>
      </c>
      <c r="F617" s="60">
        <v>184800</v>
      </c>
      <c r="G617" s="60">
        <v>0</v>
      </c>
      <c r="H617" s="60">
        <v>0</v>
      </c>
      <c r="I617" s="60">
        <v>184800</v>
      </c>
      <c r="J617" s="60">
        <v>0</v>
      </c>
      <c r="K617" s="260">
        <v>0</v>
      </c>
      <c r="L617" s="260">
        <v>0</v>
      </c>
      <c r="M617" s="260">
        <v>0</v>
      </c>
      <c r="N617" s="260">
        <v>0</v>
      </c>
      <c r="O617" s="264">
        <v>0</v>
      </c>
      <c r="P617" s="264">
        <v>0</v>
      </c>
      <c r="Q617" s="264">
        <v>184800</v>
      </c>
      <c r="R617" s="264">
        <v>0</v>
      </c>
      <c r="S617" s="60">
        <v>184800</v>
      </c>
      <c r="T617" s="60">
        <v>0</v>
      </c>
      <c r="W617" s="272">
        <v>184800</v>
      </c>
      <c r="X617" s="272">
        <f t="shared" si="0"/>
        <v>0</v>
      </c>
    </row>
    <row r="618" spans="1:24">
      <c r="A618" t="s">
        <v>18355</v>
      </c>
      <c r="B618" s="262">
        <v>44204</v>
      </c>
      <c r="C618" t="s">
        <v>16384</v>
      </c>
      <c r="D618" t="s">
        <v>16385</v>
      </c>
      <c r="E618" s="60">
        <v>0</v>
      </c>
      <c r="F618" s="60">
        <v>184800</v>
      </c>
      <c r="G618" s="60">
        <v>0</v>
      </c>
      <c r="H618" s="60">
        <v>0</v>
      </c>
      <c r="I618" s="60">
        <v>184800</v>
      </c>
      <c r="J618" s="60">
        <v>0</v>
      </c>
      <c r="K618" s="260">
        <v>0</v>
      </c>
      <c r="L618" s="260">
        <v>0</v>
      </c>
      <c r="M618" s="260">
        <v>0</v>
      </c>
      <c r="N618" s="260">
        <v>0</v>
      </c>
      <c r="O618" s="264">
        <v>0</v>
      </c>
      <c r="P618" s="264">
        <v>0</v>
      </c>
      <c r="Q618" s="264">
        <v>184800</v>
      </c>
      <c r="R618" s="264">
        <v>0</v>
      </c>
      <c r="S618" s="60">
        <v>184800</v>
      </c>
      <c r="T618" s="60">
        <v>0</v>
      </c>
      <c r="W618" s="272">
        <v>184800</v>
      </c>
      <c r="X618" s="272">
        <f t="shared" si="0"/>
        <v>0</v>
      </c>
    </row>
    <row r="619" spans="1:24" s="256" customFormat="1">
      <c r="A619" t="s">
        <v>18356</v>
      </c>
      <c r="B619" s="262">
        <v>44531</v>
      </c>
      <c r="C619" t="s">
        <v>17017</v>
      </c>
      <c r="D619" t="s">
        <v>17430</v>
      </c>
      <c r="E619" s="60">
        <v>0</v>
      </c>
      <c r="F619" s="60">
        <v>73330.080000000002</v>
      </c>
      <c r="G619" s="60">
        <v>0</v>
      </c>
      <c r="H619" s="60">
        <v>67119.359999999986</v>
      </c>
      <c r="I619" s="60">
        <v>6210.72</v>
      </c>
      <c r="J619" s="60">
        <v>0</v>
      </c>
      <c r="K619" s="269">
        <v>0</v>
      </c>
      <c r="L619" s="269">
        <v>0</v>
      </c>
      <c r="M619" s="269">
        <v>0</v>
      </c>
      <c r="N619" s="269">
        <v>0</v>
      </c>
      <c r="O619" s="270">
        <v>0</v>
      </c>
      <c r="P619" s="270">
        <v>67119.359999999986</v>
      </c>
      <c r="Q619" s="270">
        <v>6210.72</v>
      </c>
      <c r="R619" s="270">
        <v>0</v>
      </c>
      <c r="S619" s="273">
        <v>73330.079999999987</v>
      </c>
      <c r="T619" s="273">
        <v>0</v>
      </c>
      <c r="W619" s="273">
        <v>73330.080000000002</v>
      </c>
      <c r="X619" s="273">
        <f t="shared" si="0"/>
        <v>0</v>
      </c>
    </row>
    <row r="620" spans="1:24">
      <c r="A620" t="s">
        <v>18357</v>
      </c>
      <c r="B620" s="262">
        <v>44209</v>
      </c>
      <c r="C620" t="s">
        <v>16880</v>
      </c>
      <c r="D620" t="s">
        <v>16881</v>
      </c>
      <c r="E620" s="60">
        <v>0</v>
      </c>
      <c r="F620" s="60">
        <v>56824.447</v>
      </c>
      <c r="G620" s="60">
        <v>0</v>
      </c>
      <c r="H620" s="60">
        <v>56824.447320000007</v>
      </c>
      <c r="I620" s="60">
        <v>0</v>
      </c>
      <c r="J620" s="60">
        <v>0</v>
      </c>
      <c r="K620" s="260">
        <v>0</v>
      </c>
      <c r="L620" s="260">
        <v>0</v>
      </c>
      <c r="M620" s="260">
        <v>0</v>
      </c>
      <c r="N620" s="260">
        <v>0</v>
      </c>
      <c r="O620" s="264">
        <v>0</v>
      </c>
      <c r="P620" s="264">
        <v>56824.447320000007</v>
      </c>
      <c r="Q620" s="264">
        <v>0</v>
      </c>
      <c r="R620" s="264">
        <v>0</v>
      </c>
      <c r="S620" s="60">
        <v>56824.447320000007</v>
      </c>
      <c r="T620" s="60">
        <v>-3.2000000646803528E-4</v>
      </c>
      <c r="W620" s="272">
        <v>56824.447320000007</v>
      </c>
      <c r="X620" s="272">
        <f t="shared" si="0"/>
        <v>-3.2000000646803528E-4</v>
      </c>
    </row>
    <row r="621" spans="1:24">
      <c r="A621" t="s">
        <v>18358</v>
      </c>
      <c r="B621" s="262">
        <v>44209</v>
      </c>
      <c r="C621" t="s">
        <v>16838</v>
      </c>
      <c r="D621" t="s">
        <v>16839</v>
      </c>
      <c r="E621" s="60">
        <v>0</v>
      </c>
      <c r="F621" s="60">
        <v>368413.92</v>
      </c>
      <c r="G621" s="60">
        <v>0</v>
      </c>
      <c r="H621" s="60">
        <v>368413.92</v>
      </c>
      <c r="I621" s="60">
        <v>0</v>
      </c>
      <c r="J621" s="60">
        <v>0</v>
      </c>
      <c r="K621" s="260">
        <v>0</v>
      </c>
      <c r="L621" s="260">
        <v>0</v>
      </c>
      <c r="M621" s="260">
        <v>0</v>
      </c>
      <c r="N621" s="260">
        <v>0</v>
      </c>
      <c r="O621" s="264">
        <v>0</v>
      </c>
      <c r="P621" s="264">
        <v>368413.92</v>
      </c>
      <c r="Q621" s="264">
        <v>0</v>
      </c>
      <c r="R621" s="264">
        <v>0</v>
      </c>
      <c r="S621" s="60">
        <v>368413.92</v>
      </c>
      <c r="T621" s="60">
        <v>0</v>
      </c>
      <c r="W621" s="272">
        <v>368413.92</v>
      </c>
      <c r="X621" s="272">
        <f t="shared" si="0"/>
        <v>0</v>
      </c>
    </row>
    <row r="622" spans="1:24">
      <c r="A622" t="s">
        <v>18359</v>
      </c>
      <c r="B622" s="262">
        <v>44228</v>
      </c>
      <c r="C622" t="s">
        <v>17119</v>
      </c>
      <c r="D622" t="s">
        <v>17120</v>
      </c>
      <c r="E622" s="60">
        <v>0</v>
      </c>
      <c r="F622" s="60">
        <v>71858.645000000004</v>
      </c>
      <c r="G622" s="60">
        <v>0</v>
      </c>
      <c r="H622" s="60">
        <v>62406.545039999997</v>
      </c>
      <c r="I622" s="60">
        <v>0</v>
      </c>
      <c r="J622" s="60">
        <v>0</v>
      </c>
      <c r="K622" s="260">
        <v>0</v>
      </c>
      <c r="L622" s="260">
        <v>9452.1</v>
      </c>
      <c r="M622" s="260">
        <v>0</v>
      </c>
      <c r="N622" s="260">
        <v>0</v>
      </c>
      <c r="O622" s="264">
        <v>0</v>
      </c>
      <c r="P622" s="264">
        <v>71858.645040000003</v>
      </c>
      <c r="Q622" s="264">
        <v>0</v>
      </c>
      <c r="R622" s="264">
        <v>0</v>
      </c>
      <c r="S622" s="60">
        <v>71858.645040000003</v>
      </c>
      <c r="T622" s="60">
        <v>-3.9999998989515007E-5</v>
      </c>
      <c r="W622" s="272">
        <v>71858.645040000003</v>
      </c>
      <c r="X622" s="272">
        <f t="shared" si="0"/>
        <v>-3.9999998989515007E-5</v>
      </c>
    </row>
    <row r="623" spans="1:24">
      <c r="A623" t="s">
        <v>18360</v>
      </c>
      <c r="B623" s="262">
        <v>44217</v>
      </c>
      <c r="C623" t="s">
        <v>17262</v>
      </c>
      <c r="D623" t="s">
        <v>17263</v>
      </c>
      <c r="E623" s="60">
        <v>0</v>
      </c>
      <c r="F623" s="60">
        <v>20858.623</v>
      </c>
      <c r="G623" s="60">
        <v>0</v>
      </c>
      <c r="H623" s="60">
        <v>7086.0648959999999</v>
      </c>
      <c r="I623" s="60">
        <v>2803.0319999999997</v>
      </c>
      <c r="J623" s="60">
        <v>10969.526399999999</v>
      </c>
      <c r="K623" s="260">
        <v>0</v>
      </c>
      <c r="L623" s="260">
        <v>0</v>
      </c>
      <c r="M623" s="260">
        <v>0</v>
      </c>
      <c r="N623" s="260">
        <v>0</v>
      </c>
      <c r="O623" s="264">
        <v>0</v>
      </c>
      <c r="P623" s="264">
        <v>7086.0648959999999</v>
      </c>
      <c r="Q623" s="264">
        <v>2803.0319999999997</v>
      </c>
      <c r="R623" s="264">
        <v>10969.526399999999</v>
      </c>
      <c r="S623" s="60">
        <v>20858.623295999998</v>
      </c>
      <c r="T623" s="60">
        <v>-2.9599999834317714E-4</v>
      </c>
      <c r="W623" s="272">
        <v>20858.623295999998</v>
      </c>
      <c r="X623" s="272">
        <f t="shared" si="0"/>
        <v>-2.9599999834317714E-4</v>
      </c>
    </row>
    <row r="624" spans="1:24">
      <c r="A624" t="s">
        <v>18361</v>
      </c>
      <c r="B624" s="262">
        <v>44228</v>
      </c>
      <c r="C624" t="s">
        <v>16560</v>
      </c>
      <c r="D624" t="s">
        <v>16561</v>
      </c>
      <c r="E624" s="60">
        <v>0</v>
      </c>
      <c r="F624" s="60">
        <v>162885.81599999999</v>
      </c>
      <c r="G624" s="60">
        <v>0</v>
      </c>
      <c r="H624" s="60">
        <v>0</v>
      </c>
      <c r="I624" s="60">
        <v>162885.81599999999</v>
      </c>
      <c r="J624" s="60">
        <v>0</v>
      </c>
      <c r="K624" s="260">
        <v>0</v>
      </c>
      <c r="L624" s="260">
        <v>0</v>
      </c>
      <c r="M624" s="260">
        <v>0</v>
      </c>
      <c r="N624" s="260">
        <v>0</v>
      </c>
      <c r="O624" s="264">
        <v>0</v>
      </c>
      <c r="P624" s="264">
        <v>0</v>
      </c>
      <c r="Q624" s="264">
        <v>162885.81599999999</v>
      </c>
      <c r="R624" s="264">
        <v>0</v>
      </c>
      <c r="S624" s="60">
        <v>162885.81599999999</v>
      </c>
      <c r="T624" s="60">
        <v>0</v>
      </c>
      <c r="W624" s="272">
        <v>162885.81600000002</v>
      </c>
      <c r="X624" s="272">
        <f t="shared" si="0"/>
        <v>0</v>
      </c>
    </row>
    <row r="625" spans="1:24">
      <c r="A625" t="s">
        <v>18362</v>
      </c>
      <c r="B625" s="262">
        <v>44228</v>
      </c>
      <c r="C625" t="s">
        <v>16560</v>
      </c>
      <c r="D625" t="s">
        <v>16561</v>
      </c>
      <c r="E625" s="60">
        <v>0</v>
      </c>
      <c r="F625" s="60">
        <v>162885.81599999999</v>
      </c>
      <c r="G625" s="60">
        <v>0</v>
      </c>
      <c r="H625" s="60">
        <v>0</v>
      </c>
      <c r="I625" s="60">
        <v>162885.81599999999</v>
      </c>
      <c r="J625" s="60">
        <v>0</v>
      </c>
      <c r="K625" s="260">
        <v>0</v>
      </c>
      <c r="L625" s="260">
        <v>0</v>
      </c>
      <c r="M625" s="260">
        <v>0</v>
      </c>
      <c r="N625" s="260">
        <v>0</v>
      </c>
      <c r="O625" s="264">
        <v>0</v>
      </c>
      <c r="P625" s="264">
        <v>0</v>
      </c>
      <c r="Q625" s="264">
        <v>162885.81599999999</v>
      </c>
      <c r="R625" s="264">
        <v>0</v>
      </c>
      <c r="S625" s="60">
        <v>162885.81599999999</v>
      </c>
      <c r="T625" s="60">
        <v>0</v>
      </c>
      <c r="W625" s="272">
        <v>162885.81600000002</v>
      </c>
      <c r="X625" s="272">
        <f t="shared" si="0"/>
        <v>0</v>
      </c>
    </row>
    <row r="626" spans="1:24">
      <c r="A626" t="s">
        <v>18363</v>
      </c>
      <c r="B626" s="262">
        <v>44228</v>
      </c>
      <c r="C626" t="s">
        <v>16560</v>
      </c>
      <c r="D626" t="s">
        <v>16561</v>
      </c>
      <c r="E626" s="60">
        <v>0</v>
      </c>
      <c r="F626" s="60">
        <v>162736.77599999998</v>
      </c>
      <c r="G626" s="60">
        <v>0</v>
      </c>
      <c r="H626" s="60">
        <v>0</v>
      </c>
      <c r="I626" s="60">
        <v>162736.77599999998</v>
      </c>
      <c r="J626" s="60">
        <v>0</v>
      </c>
      <c r="K626" s="260">
        <v>0</v>
      </c>
      <c r="L626" s="260">
        <v>0</v>
      </c>
      <c r="M626" s="260">
        <v>0</v>
      </c>
      <c r="N626" s="260">
        <v>0</v>
      </c>
      <c r="O626" s="264">
        <v>0</v>
      </c>
      <c r="P626" s="264">
        <v>0</v>
      </c>
      <c r="Q626" s="264">
        <v>162736.77599999998</v>
      </c>
      <c r="R626" s="264">
        <v>0</v>
      </c>
      <c r="S626" s="60">
        <v>162736.77599999998</v>
      </c>
      <c r="T626" s="60">
        <v>0</v>
      </c>
      <c r="W626" s="272">
        <v>162736.77600000001</v>
      </c>
      <c r="X626" s="272">
        <f t="shared" si="0"/>
        <v>0</v>
      </c>
    </row>
    <row r="627" spans="1:24">
      <c r="A627" t="s">
        <v>18364</v>
      </c>
      <c r="B627" s="262">
        <v>44228</v>
      </c>
      <c r="C627" t="s">
        <v>16444</v>
      </c>
      <c r="D627" t="s">
        <v>16445</v>
      </c>
      <c r="E627" s="60">
        <v>0</v>
      </c>
      <c r="F627" s="60">
        <v>33822.5</v>
      </c>
      <c r="G627" s="60">
        <v>33822.5</v>
      </c>
      <c r="H627" s="60">
        <v>0</v>
      </c>
      <c r="I627" s="60">
        <v>0</v>
      </c>
      <c r="J627" s="60">
        <v>0</v>
      </c>
      <c r="K627" s="260">
        <v>0</v>
      </c>
      <c r="L627" s="260">
        <v>0</v>
      </c>
      <c r="M627" s="260">
        <v>0</v>
      </c>
      <c r="N627" s="260">
        <v>0</v>
      </c>
      <c r="O627" s="264">
        <v>33822.5</v>
      </c>
      <c r="P627" s="264">
        <v>0</v>
      </c>
      <c r="Q627" s="264">
        <v>0</v>
      </c>
      <c r="R627" s="264">
        <v>0</v>
      </c>
      <c r="S627" s="60">
        <v>33822.5</v>
      </c>
      <c r="T627" s="60">
        <v>0</v>
      </c>
      <c r="W627" s="272">
        <v>33822.5</v>
      </c>
      <c r="X627" s="272">
        <f t="shared" si="0"/>
        <v>0</v>
      </c>
    </row>
    <row r="628" spans="1:24">
      <c r="A628" t="s">
        <v>18365</v>
      </c>
      <c r="B628" s="262">
        <v>44228</v>
      </c>
      <c r="C628" t="s">
        <v>17017</v>
      </c>
      <c r="D628" t="s">
        <v>17430</v>
      </c>
      <c r="E628" s="60">
        <v>0</v>
      </c>
      <c r="F628" s="60">
        <v>23744.400000000001</v>
      </c>
      <c r="G628" s="60">
        <v>12888</v>
      </c>
      <c r="H628" s="60">
        <v>8246.4</v>
      </c>
      <c r="I628" s="60">
        <v>2610</v>
      </c>
      <c r="J628" s="60">
        <v>0</v>
      </c>
      <c r="K628" s="260">
        <v>0</v>
      </c>
      <c r="L628" s="260">
        <v>0</v>
      </c>
      <c r="M628" s="260">
        <v>0</v>
      </c>
      <c r="N628" s="260">
        <v>0</v>
      </c>
      <c r="O628" s="264">
        <v>12888</v>
      </c>
      <c r="P628" s="264">
        <v>8246.4</v>
      </c>
      <c r="Q628" s="264">
        <v>2610</v>
      </c>
      <c r="R628" s="264">
        <v>0</v>
      </c>
      <c r="S628" s="60">
        <v>23744.400000000001</v>
      </c>
      <c r="T628" s="60">
        <v>0</v>
      </c>
      <c r="W628" s="272">
        <v>23744.400000000001</v>
      </c>
      <c r="X628" s="272">
        <f t="shared" si="0"/>
        <v>0</v>
      </c>
    </row>
    <row r="629" spans="1:24">
      <c r="A629" t="s">
        <v>18366</v>
      </c>
      <c r="B629" s="262">
        <v>44229</v>
      </c>
      <c r="C629" t="s">
        <v>17017</v>
      </c>
      <c r="D629" t="s">
        <v>17430</v>
      </c>
      <c r="E629" s="60">
        <v>0</v>
      </c>
      <c r="F629" s="60">
        <v>34000</v>
      </c>
      <c r="G629" s="60">
        <v>0</v>
      </c>
      <c r="H629" s="60">
        <v>34000</v>
      </c>
      <c r="I629" s="60">
        <v>0</v>
      </c>
      <c r="J629" s="60">
        <v>0</v>
      </c>
      <c r="K629" s="260">
        <v>0</v>
      </c>
      <c r="L629" s="260">
        <v>0</v>
      </c>
      <c r="M629" s="260">
        <v>0</v>
      </c>
      <c r="N629" s="260">
        <v>0</v>
      </c>
      <c r="O629" s="264">
        <v>0</v>
      </c>
      <c r="P629" s="264">
        <v>34000</v>
      </c>
      <c r="Q629" s="264">
        <v>0</v>
      </c>
      <c r="R629" s="264">
        <v>0</v>
      </c>
      <c r="S629" s="60">
        <v>34000</v>
      </c>
      <c r="T629" s="60">
        <v>0</v>
      </c>
      <c r="W629" s="272">
        <v>34000</v>
      </c>
      <c r="X629" s="272">
        <f t="shared" si="0"/>
        <v>0</v>
      </c>
    </row>
    <row r="630" spans="1:24">
      <c r="A630" t="s">
        <v>18367</v>
      </c>
      <c r="B630" s="262">
        <v>44229</v>
      </c>
      <c r="C630" t="s">
        <v>16384</v>
      </c>
      <c r="D630" t="s">
        <v>16385</v>
      </c>
      <c r="E630" s="60">
        <v>0</v>
      </c>
      <c r="F630" s="60">
        <v>161280</v>
      </c>
      <c r="G630" s="60">
        <v>161280</v>
      </c>
      <c r="H630" s="60">
        <v>0</v>
      </c>
      <c r="I630" s="60">
        <v>0</v>
      </c>
      <c r="J630" s="60">
        <v>0</v>
      </c>
      <c r="K630" s="260">
        <v>0</v>
      </c>
      <c r="L630" s="260">
        <v>0</v>
      </c>
      <c r="M630" s="260">
        <v>0</v>
      </c>
      <c r="N630" s="260">
        <v>0</v>
      </c>
      <c r="O630" s="264">
        <v>161280</v>
      </c>
      <c r="P630" s="264">
        <v>0</v>
      </c>
      <c r="Q630" s="264">
        <v>0</v>
      </c>
      <c r="R630" s="264">
        <v>0</v>
      </c>
      <c r="S630" s="60">
        <v>161280</v>
      </c>
      <c r="T630" s="60">
        <v>0</v>
      </c>
      <c r="W630" s="272">
        <v>161280</v>
      </c>
      <c r="X630" s="272">
        <f t="shared" si="0"/>
        <v>0</v>
      </c>
    </row>
    <row r="631" spans="1:24">
      <c r="A631" t="s">
        <v>18368</v>
      </c>
      <c r="B631" s="262">
        <v>44229</v>
      </c>
      <c r="C631" t="s">
        <v>16470</v>
      </c>
      <c r="D631" t="s">
        <v>16471</v>
      </c>
      <c r="E631" s="60">
        <v>0</v>
      </c>
      <c r="F631" s="60">
        <v>177732.54300000001</v>
      </c>
      <c r="G631" s="60">
        <v>0</v>
      </c>
      <c r="H631" s="60">
        <v>0</v>
      </c>
      <c r="I631" s="60">
        <v>151861.03399999999</v>
      </c>
      <c r="J631" s="60">
        <v>0</v>
      </c>
      <c r="K631" s="260">
        <v>0</v>
      </c>
      <c r="L631" s="260">
        <v>0</v>
      </c>
      <c r="M631" s="260">
        <v>25871.50865</v>
      </c>
      <c r="N631" s="260">
        <v>0</v>
      </c>
      <c r="O631" s="264">
        <v>0</v>
      </c>
      <c r="P631" s="264">
        <v>0</v>
      </c>
      <c r="Q631" s="264">
        <v>177732.54264999999</v>
      </c>
      <c r="R631" s="264">
        <v>0</v>
      </c>
      <c r="S631" s="60">
        <v>177732.54264999999</v>
      </c>
      <c r="T631" s="60">
        <v>3.5000001662410796E-4</v>
      </c>
      <c r="W631" s="272">
        <v>177732.54265000002</v>
      </c>
      <c r="X631" s="272">
        <f t="shared" si="0"/>
        <v>3.499999875202775E-4</v>
      </c>
    </row>
    <row r="632" spans="1:24">
      <c r="A632" t="s">
        <v>18369</v>
      </c>
      <c r="B632" s="262">
        <v>44287</v>
      </c>
      <c r="C632" t="s">
        <v>16470</v>
      </c>
      <c r="D632" t="s">
        <v>16471</v>
      </c>
      <c r="E632" s="60">
        <v>0</v>
      </c>
      <c r="F632" s="60">
        <v>598716.39500000002</v>
      </c>
      <c r="G632" s="60">
        <v>43179.345432000002</v>
      </c>
      <c r="H632" s="60">
        <v>441168.81002400001</v>
      </c>
      <c r="I632" s="60">
        <v>0</v>
      </c>
      <c r="J632" s="60">
        <v>0</v>
      </c>
      <c r="K632" s="260">
        <v>9021.3301234638457</v>
      </c>
      <c r="L632" s="260">
        <v>105346.90937653615</v>
      </c>
      <c r="M632" s="260">
        <v>0</v>
      </c>
      <c r="N632" s="260">
        <v>0</v>
      </c>
      <c r="O632" s="264">
        <v>52200.675555463851</v>
      </c>
      <c r="P632" s="264">
        <v>546515.71940053615</v>
      </c>
      <c r="Q632" s="264">
        <v>0</v>
      </c>
      <c r="R632" s="264">
        <v>0</v>
      </c>
      <c r="S632" s="60">
        <v>598716.39495600003</v>
      </c>
      <c r="T632" s="60">
        <v>4.3999985791742802E-5</v>
      </c>
      <c r="W632" s="272">
        <v>598716.39495600003</v>
      </c>
      <c r="X632" s="272">
        <f t="shared" si="0"/>
        <v>4.3999985791742802E-5</v>
      </c>
    </row>
    <row r="633" spans="1:24">
      <c r="A633" t="s">
        <v>18370</v>
      </c>
      <c r="B633" s="262">
        <v>44229</v>
      </c>
      <c r="C633" t="s">
        <v>16838</v>
      </c>
      <c r="D633" t="s">
        <v>16839</v>
      </c>
      <c r="E633" s="60">
        <v>0</v>
      </c>
      <c r="F633" s="60">
        <v>221208.95999999999</v>
      </c>
      <c r="G633" s="60">
        <v>189708.96</v>
      </c>
      <c r="H633" s="60">
        <v>31500</v>
      </c>
      <c r="I633" s="60">
        <v>0</v>
      </c>
      <c r="J633" s="60">
        <v>0</v>
      </c>
      <c r="K633" s="260">
        <v>0</v>
      </c>
      <c r="L633" s="260">
        <v>0</v>
      </c>
      <c r="M633" s="260">
        <v>0</v>
      </c>
      <c r="N633" s="260">
        <v>0</v>
      </c>
      <c r="O633" s="264">
        <v>189708.96</v>
      </c>
      <c r="P633" s="264">
        <v>31500</v>
      </c>
      <c r="Q633" s="264">
        <v>0</v>
      </c>
      <c r="R633" s="264">
        <v>0</v>
      </c>
      <c r="S633" s="60">
        <v>221208.95999999999</v>
      </c>
      <c r="T633" s="60">
        <v>0</v>
      </c>
      <c r="W633" s="272">
        <v>221208.95999999999</v>
      </c>
      <c r="X633" s="272">
        <f t="shared" si="0"/>
        <v>0</v>
      </c>
    </row>
    <row r="634" spans="1:24">
      <c r="A634" t="s">
        <v>18371</v>
      </c>
      <c r="B634" s="262">
        <v>44229</v>
      </c>
      <c r="C634" t="s">
        <v>16838</v>
      </c>
      <c r="D634" t="s">
        <v>16839</v>
      </c>
      <c r="E634" s="60">
        <v>0</v>
      </c>
      <c r="F634" s="60">
        <v>265289.12</v>
      </c>
      <c r="G634" s="60">
        <v>224549.12</v>
      </c>
      <c r="H634" s="60">
        <v>26820</v>
      </c>
      <c r="I634" s="60">
        <v>13920</v>
      </c>
      <c r="J634" s="60">
        <v>0</v>
      </c>
      <c r="K634" s="260">
        <v>0</v>
      </c>
      <c r="L634" s="260">
        <v>0</v>
      </c>
      <c r="M634" s="260">
        <v>0</v>
      </c>
      <c r="N634" s="260">
        <v>0</v>
      </c>
      <c r="O634" s="264">
        <v>224549.12</v>
      </c>
      <c r="P634" s="264">
        <v>26820</v>
      </c>
      <c r="Q634" s="264">
        <v>13920</v>
      </c>
      <c r="R634" s="264">
        <v>0</v>
      </c>
      <c r="S634" s="60">
        <v>265289.12</v>
      </c>
      <c r="T634" s="60">
        <v>0</v>
      </c>
      <c r="W634" s="272">
        <v>265289.12</v>
      </c>
      <c r="X634" s="272">
        <f t="shared" si="0"/>
        <v>0</v>
      </c>
    </row>
    <row r="635" spans="1:24">
      <c r="A635" t="s">
        <v>18372</v>
      </c>
      <c r="B635" s="262">
        <v>44229</v>
      </c>
      <c r="C635" t="s">
        <v>16384</v>
      </c>
      <c r="D635" t="s">
        <v>16385</v>
      </c>
      <c r="E635" s="60">
        <v>0</v>
      </c>
      <c r="F635" s="60">
        <v>101376</v>
      </c>
      <c r="G635" s="60">
        <v>101376</v>
      </c>
      <c r="H635" s="60">
        <v>0</v>
      </c>
      <c r="I635" s="60">
        <v>0</v>
      </c>
      <c r="J635" s="60">
        <v>0</v>
      </c>
      <c r="K635" s="260">
        <v>0</v>
      </c>
      <c r="L635" s="260">
        <v>0</v>
      </c>
      <c r="M635" s="260">
        <v>0</v>
      </c>
      <c r="N635" s="260">
        <v>0</v>
      </c>
      <c r="O635" s="264">
        <v>101376</v>
      </c>
      <c r="P635" s="264">
        <v>0</v>
      </c>
      <c r="Q635" s="264">
        <v>0</v>
      </c>
      <c r="R635" s="264">
        <v>0</v>
      </c>
      <c r="S635" s="60">
        <v>101376</v>
      </c>
      <c r="T635" s="60">
        <v>0</v>
      </c>
      <c r="W635" s="272">
        <v>101376</v>
      </c>
      <c r="X635" s="272">
        <f t="shared" si="0"/>
        <v>0</v>
      </c>
    </row>
    <row r="636" spans="1:24">
      <c r="A636" t="s">
        <v>18373</v>
      </c>
      <c r="B636" s="262">
        <v>44230</v>
      </c>
      <c r="C636" t="s">
        <v>16444</v>
      </c>
      <c r="D636" t="s">
        <v>16445</v>
      </c>
      <c r="E636" s="60">
        <v>0</v>
      </c>
      <c r="F636" s="60">
        <v>73506.720000000001</v>
      </c>
      <c r="G636" s="60">
        <v>73506.720000000001</v>
      </c>
      <c r="H636" s="60">
        <v>0</v>
      </c>
      <c r="I636" s="60">
        <v>0</v>
      </c>
      <c r="J636" s="60">
        <v>0</v>
      </c>
      <c r="K636" s="260">
        <v>0</v>
      </c>
      <c r="L636" s="260">
        <v>0</v>
      </c>
      <c r="M636" s="260">
        <v>0</v>
      </c>
      <c r="N636" s="260">
        <v>0</v>
      </c>
      <c r="O636" s="264">
        <v>73506.720000000001</v>
      </c>
      <c r="P636" s="264">
        <v>0</v>
      </c>
      <c r="Q636" s="264">
        <v>0</v>
      </c>
      <c r="R636" s="264">
        <v>0</v>
      </c>
      <c r="S636" s="60">
        <v>73506.720000000001</v>
      </c>
      <c r="T636" s="60">
        <v>0</v>
      </c>
      <c r="W636" s="272">
        <v>73506.720000000001</v>
      </c>
      <c r="X636" s="272">
        <f t="shared" si="0"/>
        <v>0</v>
      </c>
    </row>
    <row r="637" spans="1:24">
      <c r="A637" t="s">
        <v>18374</v>
      </c>
      <c r="B637" s="262">
        <v>44230</v>
      </c>
      <c r="C637" t="s">
        <v>16384</v>
      </c>
      <c r="D637" t="s">
        <v>16385</v>
      </c>
      <c r="E637" s="60">
        <v>0</v>
      </c>
      <c r="F637" s="60">
        <v>191800</v>
      </c>
      <c r="G637" s="60">
        <v>0</v>
      </c>
      <c r="H637" s="60">
        <v>0</v>
      </c>
      <c r="I637" s="60">
        <v>191800</v>
      </c>
      <c r="J637" s="60">
        <v>0</v>
      </c>
      <c r="K637" s="260">
        <v>0</v>
      </c>
      <c r="L637" s="260">
        <v>0</v>
      </c>
      <c r="M637" s="260">
        <v>0</v>
      </c>
      <c r="N637" s="260">
        <v>0</v>
      </c>
      <c r="O637" s="264">
        <v>0</v>
      </c>
      <c r="P637" s="264">
        <v>0</v>
      </c>
      <c r="Q637" s="264">
        <v>191800</v>
      </c>
      <c r="R637" s="264">
        <v>0</v>
      </c>
      <c r="S637" s="60">
        <v>191800</v>
      </c>
      <c r="T637" s="60">
        <v>0</v>
      </c>
      <c r="W637" s="272">
        <v>191800</v>
      </c>
      <c r="X637" s="272">
        <f t="shared" si="0"/>
        <v>0</v>
      </c>
    </row>
    <row r="638" spans="1:24">
      <c r="A638" t="s">
        <v>18375</v>
      </c>
      <c r="B638" s="262">
        <v>44230</v>
      </c>
      <c r="C638" t="s">
        <v>17274</v>
      </c>
      <c r="D638" t="s">
        <v>17275</v>
      </c>
      <c r="E638" s="60">
        <v>0</v>
      </c>
      <c r="F638" s="60">
        <v>51980.777000000002</v>
      </c>
      <c r="G638" s="60">
        <v>0</v>
      </c>
      <c r="H638" s="60">
        <v>31234.498357499997</v>
      </c>
      <c r="I638" s="60">
        <v>14040.168750000001</v>
      </c>
      <c r="J638" s="60">
        <v>6706.1100750000005</v>
      </c>
      <c r="K638" s="260">
        <v>0</v>
      </c>
      <c r="L638" s="260">
        <v>0</v>
      </c>
      <c r="M638" s="260">
        <v>0</v>
      </c>
      <c r="N638" s="260">
        <v>0</v>
      </c>
      <c r="O638" s="264">
        <v>0</v>
      </c>
      <c r="P638" s="264">
        <v>31234.498357499997</v>
      </c>
      <c r="Q638" s="264">
        <v>14040.168750000001</v>
      </c>
      <c r="R638" s="264">
        <v>6706.1100750000005</v>
      </c>
      <c r="S638" s="60">
        <v>51980.777182499995</v>
      </c>
      <c r="T638" s="60">
        <v>-1.8249999266117811E-4</v>
      </c>
      <c r="W638" s="272">
        <v>51980.777182500002</v>
      </c>
      <c r="X638" s="272">
        <f t="shared" si="0"/>
        <v>-1.8249999993713573E-4</v>
      </c>
    </row>
    <row r="639" spans="1:24">
      <c r="A639" t="s">
        <v>18376</v>
      </c>
      <c r="B639" s="262">
        <v>44230</v>
      </c>
      <c r="C639" t="s">
        <v>16444</v>
      </c>
      <c r="D639" t="s">
        <v>16445</v>
      </c>
      <c r="E639" s="60">
        <v>0</v>
      </c>
      <c r="F639" s="60">
        <v>44100</v>
      </c>
      <c r="G639" s="60">
        <v>15660</v>
      </c>
      <c r="H639" s="60">
        <v>28440</v>
      </c>
      <c r="I639" s="60">
        <v>0</v>
      </c>
      <c r="J639" s="60">
        <v>0</v>
      </c>
      <c r="K639" s="260">
        <v>0</v>
      </c>
      <c r="L639" s="260">
        <v>0</v>
      </c>
      <c r="M639" s="260">
        <v>0</v>
      </c>
      <c r="N639" s="260">
        <v>0</v>
      </c>
      <c r="O639" s="264">
        <v>15660</v>
      </c>
      <c r="P639" s="264">
        <v>28440</v>
      </c>
      <c r="Q639" s="264">
        <v>0</v>
      </c>
      <c r="R639" s="264">
        <v>0</v>
      </c>
      <c r="S639" s="60">
        <v>44100</v>
      </c>
      <c r="T639" s="60">
        <v>0</v>
      </c>
      <c r="W639" s="272">
        <v>44100</v>
      </c>
      <c r="X639" s="272">
        <f t="shared" si="0"/>
        <v>0</v>
      </c>
    </row>
    <row r="640" spans="1:24">
      <c r="A640" t="s">
        <v>18377</v>
      </c>
      <c r="B640" s="262">
        <v>44230</v>
      </c>
      <c r="C640" t="s">
        <v>17119</v>
      </c>
      <c r="D640" t="s">
        <v>17120</v>
      </c>
      <c r="E640" s="60">
        <v>0</v>
      </c>
      <c r="F640" s="60">
        <v>195272.94500000001</v>
      </c>
      <c r="G640" s="60">
        <v>66682.060800000007</v>
      </c>
      <c r="H640" s="60">
        <v>101729.21423999999</v>
      </c>
      <c r="I640" s="60">
        <v>0</v>
      </c>
      <c r="J640" s="60">
        <v>0</v>
      </c>
      <c r="K640" s="260">
        <v>9638.6346714509964</v>
      </c>
      <c r="L640" s="260">
        <v>17223.035328549002</v>
      </c>
      <c r="M640" s="260">
        <v>0</v>
      </c>
      <c r="N640" s="260">
        <v>0</v>
      </c>
      <c r="O640" s="264">
        <v>76320.695471451007</v>
      </c>
      <c r="P640" s="264">
        <v>118952.24956854898</v>
      </c>
      <c r="Q640" s="264">
        <v>0</v>
      </c>
      <c r="R640" s="264">
        <v>0</v>
      </c>
      <c r="S640" s="60">
        <v>195272.94503999999</v>
      </c>
      <c r="T640" s="60">
        <v>-3.9999984437599778E-5</v>
      </c>
      <c r="W640" s="272">
        <v>195272.94503999999</v>
      </c>
      <c r="X640" s="272">
        <f t="shared" si="0"/>
        <v>-3.9999984437599778E-5</v>
      </c>
    </row>
    <row r="641" spans="1:24">
      <c r="A641" t="s">
        <v>18378</v>
      </c>
      <c r="B641" s="262">
        <v>44231</v>
      </c>
      <c r="C641" t="s">
        <v>16560</v>
      </c>
      <c r="D641" t="s">
        <v>16561</v>
      </c>
      <c r="E641" s="60">
        <v>0</v>
      </c>
      <c r="F641" s="60">
        <v>163136.70000000001</v>
      </c>
      <c r="G641" s="60">
        <v>0</v>
      </c>
      <c r="H641" s="60">
        <v>0</v>
      </c>
      <c r="I641" s="60">
        <v>163136.70000000001</v>
      </c>
      <c r="J641" s="60">
        <v>0</v>
      </c>
      <c r="K641" s="260">
        <v>0</v>
      </c>
      <c r="L641" s="260">
        <v>0</v>
      </c>
      <c r="M641" s="260">
        <v>0</v>
      </c>
      <c r="N641" s="260">
        <v>0</v>
      </c>
      <c r="O641" s="264">
        <v>0</v>
      </c>
      <c r="P641" s="264">
        <v>0</v>
      </c>
      <c r="Q641" s="264">
        <v>163136.70000000001</v>
      </c>
      <c r="R641" s="264">
        <v>0</v>
      </c>
      <c r="S641" s="60">
        <v>163136.70000000001</v>
      </c>
      <c r="T641" s="60">
        <v>0</v>
      </c>
      <c r="W641" s="272">
        <v>163136.70000000001</v>
      </c>
      <c r="X641" s="272">
        <f t="shared" si="0"/>
        <v>0</v>
      </c>
    </row>
    <row r="642" spans="1:24">
      <c r="A642" t="s">
        <v>18379</v>
      </c>
      <c r="B642" s="262">
        <v>44231</v>
      </c>
      <c r="C642" t="s">
        <v>16560</v>
      </c>
      <c r="D642" t="s">
        <v>16561</v>
      </c>
      <c r="E642" s="60">
        <v>0</v>
      </c>
      <c r="F642" s="60">
        <v>163136.70000000001</v>
      </c>
      <c r="G642" s="60">
        <v>0</v>
      </c>
      <c r="H642" s="60">
        <v>0</v>
      </c>
      <c r="I642" s="60">
        <v>163136.70000000001</v>
      </c>
      <c r="J642" s="60">
        <v>0</v>
      </c>
      <c r="K642" s="260">
        <v>0</v>
      </c>
      <c r="L642" s="260">
        <v>0</v>
      </c>
      <c r="M642" s="260">
        <v>0</v>
      </c>
      <c r="N642" s="260">
        <v>0</v>
      </c>
      <c r="O642" s="264">
        <v>0</v>
      </c>
      <c r="P642" s="264">
        <v>0</v>
      </c>
      <c r="Q642" s="264">
        <v>163136.70000000001</v>
      </c>
      <c r="R642" s="264">
        <v>0</v>
      </c>
      <c r="S642" s="60">
        <v>163136.70000000001</v>
      </c>
      <c r="T642" s="60">
        <v>0</v>
      </c>
      <c r="W642" s="272">
        <v>163136.70000000001</v>
      </c>
      <c r="X642" s="272">
        <f t="shared" si="0"/>
        <v>0</v>
      </c>
    </row>
    <row r="643" spans="1:24">
      <c r="A643" t="s">
        <v>18380</v>
      </c>
      <c r="B643" s="262">
        <v>44235</v>
      </c>
      <c r="C643" t="s">
        <v>17281</v>
      </c>
      <c r="D643" t="s">
        <v>18381</v>
      </c>
      <c r="E643" s="60">
        <v>0</v>
      </c>
      <c r="F643" s="60">
        <v>76002</v>
      </c>
      <c r="G643" s="60">
        <v>0</v>
      </c>
      <c r="H643" s="60">
        <v>12312</v>
      </c>
      <c r="I643" s="60">
        <v>16650</v>
      </c>
      <c r="J643" s="60">
        <v>47040</v>
      </c>
      <c r="K643" s="260">
        <v>0</v>
      </c>
      <c r="L643" s="260">
        <v>0</v>
      </c>
      <c r="M643" s="260">
        <v>0</v>
      </c>
      <c r="N643" s="260">
        <v>0</v>
      </c>
      <c r="O643" s="264">
        <v>0</v>
      </c>
      <c r="P643" s="264">
        <v>12312</v>
      </c>
      <c r="Q643" s="264">
        <v>16650</v>
      </c>
      <c r="R643" s="264">
        <v>47040</v>
      </c>
      <c r="S643" s="60">
        <v>76002</v>
      </c>
      <c r="T643" s="60">
        <v>0</v>
      </c>
      <c r="W643" s="272">
        <v>76002</v>
      </c>
      <c r="X643" s="272">
        <f t="shared" si="0"/>
        <v>0</v>
      </c>
    </row>
    <row r="644" spans="1:24">
      <c r="A644" t="s">
        <v>18382</v>
      </c>
      <c r="B644" s="262">
        <v>44235</v>
      </c>
      <c r="C644" t="s">
        <v>17284</v>
      </c>
      <c r="D644" t="s">
        <v>18383</v>
      </c>
      <c r="E644" s="60">
        <v>0</v>
      </c>
      <c r="F644" s="60">
        <v>20991.599999999999</v>
      </c>
      <c r="G644" s="60">
        <v>4560</v>
      </c>
      <c r="H644" s="60">
        <v>7533.6</v>
      </c>
      <c r="I644" s="60">
        <v>2850</v>
      </c>
      <c r="J644" s="60">
        <v>6048</v>
      </c>
      <c r="K644" s="260">
        <v>0</v>
      </c>
      <c r="L644" s="260">
        <v>0</v>
      </c>
      <c r="M644" s="260">
        <v>0</v>
      </c>
      <c r="N644" s="260">
        <v>0</v>
      </c>
      <c r="O644" s="264">
        <v>4560</v>
      </c>
      <c r="P644" s="264">
        <v>7533.6</v>
      </c>
      <c r="Q644" s="264">
        <v>2850</v>
      </c>
      <c r="R644" s="264">
        <v>6048</v>
      </c>
      <c r="S644" s="60">
        <v>20991.599999999999</v>
      </c>
      <c r="T644" s="60">
        <v>0</v>
      </c>
      <c r="W644" s="272">
        <v>20991.599999999999</v>
      </c>
      <c r="X644" s="272">
        <f t="shared" si="0"/>
        <v>0</v>
      </c>
    </row>
    <row r="645" spans="1:24">
      <c r="A645" t="s">
        <v>18384</v>
      </c>
      <c r="B645" s="262">
        <v>44235</v>
      </c>
      <c r="C645" t="s">
        <v>16972</v>
      </c>
      <c r="D645" t="s">
        <v>17424</v>
      </c>
      <c r="E645" s="60">
        <v>0</v>
      </c>
      <c r="F645" s="60">
        <v>66688</v>
      </c>
      <c r="G645" s="60">
        <v>66688</v>
      </c>
      <c r="H645" s="60">
        <v>0</v>
      </c>
      <c r="I645" s="60">
        <v>0</v>
      </c>
      <c r="J645" s="60">
        <v>0</v>
      </c>
      <c r="K645" s="260">
        <v>0</v>
      </c>
      <c r="L645" s="260">
        <v>0</v>
      </c>
      <c r="M645" s="260">
        <v>0</v>
      </c>
      <c r="N645" s="260">
        <v>0</v>
      </c>
      <c r="O645" s="264">
        <v>66688</v>
      </c>
      <c r="P645" s="264">
        <v>0</v>
      </c>
      <c r="Q645" s="264">
        <v>0</v>
      </c>
      <c r="R645" s="264">
        <v>0</v>
      </c>
      <c r="S645" s="60">
        <v>66688</v>
      </c>
      <c r="T645" s="60">
        <v>0</v>
      </c>
      <c r="W645" s="272">
        <v>66688</v>
      </c>
      <c r="X645" s="272">
        <f t="shared" si="0"/>
        <v>0</v>
      </c>
    </row>
    <row r="646" spans="1:24">
      <c r="A646" t="s">
        <v>18385</v>
      </c>
      <c r="B646" s="262">
        <v>44237</v>
      </c>
      <c r="C646" t="s">
        <v>17017</v>
      </c>
      <c r="D646" t="s">
        <v>17430</v>
      </c>
      <c r="E646" s="60">
        <v>0</v>
      </c>
      <c r="F646" s="60">
        <v>45141</v>
      </c>
      <c r="G646" s="60">
        <v>0</v>
      </c>
      <c r="H646" s="60">
        <v>28107</v>
      </c>
      <c r="I646" s="60">
        <v>14154</v>
      </c>
      <c r="J646" s="60">
        <v>2880</v>
      </c>
      <c r="K646" s="260">
        <v>0</v>
      </c>
      <c r="L646" s="260">
        <v>0</v>
      </c>
      <c r="M646" s="260">
        <v>0</v>
      </c>
      <c r="N646" s="260">
        <v>0</v>
      </c>
      <c r="O646" s="264">
        <v>0</v>
      </c>
      <c r="P646" s="264">
        <v>28107</v>
      </c>
      <c r="Q646" s="264">
        <v>14154</v>
      </c>
      <c r="R646" s="264">
        <v>2880</v>
      </c>
      <c r="S646" s="60">
        <v>45141</v>
      </c>
      <c r="T646" s="60">
        <v>0</v>
      </c>
      <c r="W646" s="272">
        <v>45141</v>
      </c>
      <c r="X646" s="272">
        <f t="shared" si="0"/>
        <v>0</v>
      </c>
    </row>
    <row r="647" spans="1:24">
      <c r="A647" t="s">
        <v>18386</v>
      </c>
      <c r="B647" s="262">
        <v>44237</v>
      </c>
      <c r="C647" t="s">
        <v>17017</v>
      </c>
      <c r="D647" t="s">
        <v>17430</v>
      </c>
      <c r="E647" s="60">
        <v>0</v>
      </c>
      <c r="F647" s="60">
        <v>8512.5</v>
      </c>
      <c r="G647" s="60">
        <v>0</v>
      </c>
      <c r="H647" s="60">
        <v>8512.5</v>
      </c>
      <c r="I647" s="60">
        <v>0</v>
      </c>
      <c r="J647" s="60">
        <v>0</v>
      </c>
      <c r="K647" s="260">
        <v>0</v>
      </c>
      <c r="L647" s="260">
        <v>0</v>
      </c>
      <c r="M647" s="260">
        <v>0</v>
      </c>
      <c r="N647" s="260">
        <v>0</v>
      </c>
      <c r="O647" s="264">
        <v>0</v>
      </c>
      <c r="P647" s="264">
        <v>8512.5</v>
      </c>
      <c r="Q647" s="264">
        <v>0</v>
      </c>
      <c r="R647" s="264">
        <v>0</v>
      </c>
      <c r="S647" s="60">
        <v>8512.5</v>
      </c>
      <c r="T647" s="60">
        <v>0</v>
      </c>
      <c r="W647" s="272">
        <v>8512.5</v>
      </c>
      <c r="X647" s="272">
        <f t="shared" si="0"/>
        <v>0</v>
      </c>
    </row>
    <row r="648" spans="1:24">
      <c r="A648" t="s">
        <v>18387</v>
      </c>
      <c r="B648" s="262">
        <v>44256</v>
      </c>
      <c r="C648" t="s">
        <v>17270</v>
      </c>
      <c r="D648" t="s">
        <v>17271</v>
      </c>
      <c r="E648" s="60">
        <v>0</v>
      </c>
      <c r="F648" s="60">
        <v>64458.559999999998</v>
      </c>
      <c r="G648" s="60">
        <v>0</v>
      </c>
      <c r="H648" s="60">
        <v>31937.343011999998</v>
      </c>
      <c r="I648" s="60">
        <v>0</v>
      </c>
      <c r="J648" s="60">
        <v>22662.917260000002</v>
      </c>
      <c r="K648" s="260">
        <v>0</v>
      </c>
      <c r="L648" s="260">
        <v>6612.6223589001438</v>
      </c>
      <c r="M648" s="260">
        <v>0</v>
      </c>
      <c r="N648" s="260">
        <v>3245.677641099855</v>
      </c>
      <c r="O648" s="264">
        <v>0</v>
      </c>
      <c r="P648" s="264">
        <v>38549.965370900143</v>
      </c>
      <c r="Q648" s="264">
        <v>0</v>
      </c>
      <c r="R648" s="264">
        <v>25908.594901099856</v>
      </c>
      <c r="S648" s="60">
        <v>64458.560272000002</v>
      </c>
      <c r="T648" s="60">
        <v>-2.7200000477023423E-4</v>
      </c>
      <c r="W648" s="272">
        <v>64458.560271999995</v>
      </c>
      <c r="X648" s="272">
        <f t="shared" si="0"/>
        <v>-2.7199999749427661E-4</v>
      </c>
    </row>
    <row r="649" spans="1:24">
      <c r="A649" t="s">
        <v>18388</v>
      </c>
      <c r="B649" s="262">
        <v>44239</v>
      </c>
      <c r="C649" t="s">
        <v>17259</v>
      </c>
      <c r="D649" t="s">
        <v>17260</v>
      </c>
      <c r="E649" s="60">
        <v>0</v>
      </c>
      <c r="F649" s="60">
        <v>132312.63</v>
      </c>
      <c r="G649" s="60">
        <v>446.22269999999997</v>
      </c>
      <c r="H649" s="60">
        <v>89271.682499999995</v>
      </c>
      <c r="I649" s="60">
        <v>0</v>
      </c>
      <c r="J649" s="60">
        <v>17873.33625</v>
      </c>
      <c r="K649" s="260">
        <v>98.165674387822619</v>
      </c>
      <c r="L649" s="260">
        <v>21882.764915618794</v>
      </c>
      <c r="M649" s="260">
        <v>0</v>
      </c>
      <c r="N649" s="260">
        <v>2740.4584099933818</v>
      </c>
      <c r="O649" s="264">
        <v>544.38837438782264</v>
      </c>
      <c r="P649" s="264">
        <v>111154.44741561879</v>
      </c>
      <c r="Q649" s="264">
        <v>0</v>
      </c>
      <c r="R649" s="264">
        <v>20613.794659993382</v>
      </c>
      <c r="S649" s="60">
        <v>132312.63045</v>
      </c>
      <c r="T649" s="60">
        <v>-4.4999999227002263E-4</v>
      </c>
      <c r="W649" s="272">
        <v>132312.63045</v>
      </c>
      <c r="X649" s="272">
        <f t="shared" si="0"/>
        <v>-4.4999999227002263E-4</v>
      </c>
    </row>
    <row r="650" spans="1:24">
      <c r="A650" t="s">
        <v>18389</v>
      </c>
      <c r="B650" s="262">
        <v>44256</v>
      </c>
      <c r="C650" t="s">
        <v>16643</v>
      </c>
      <c r="D650" t="s">
        <v>16644</v>
      </c>
      <c r="E650" s="60">
        <v>0</v>
      </c>
      <c r="F650" s="60">
        <v>246800.83199999999</v>
      </c>
      <c r="G650" s="60">
        <v>7375.5857280000009</v>
      </c>
      <c r="H650" s="60">
        <v>146691.50400000002</v>
      </c>
      <c r="I650" s="60">
        <v>40156.142</v>
      </c>
      <c r="J650" s="60">
        <v>0</v>
      </c>
      <c r="K650" s="260">
        <v>1669.1301587301587</v>
      </c>
      <c r="L650" s="260">
        <v>40059.123809523808</v>
      </c>
      <c r="M650" s="260">
        <v>10849.34603174603</v>
      </c>
      <c r="N650" s="260">
        <v>0</v>
      </c>
      <c r="O650" s="264">
        <v>9044.7158867301587</v>
      </c>
      <c r="P650" s="264">
        <v>186750.62780952384</v>
      </c>
      <c r="Q650" s="264">
        <v>51005.488031746034</v>
      </c>
      <c r="R650" s="264">
        <v>0</v>
      </c>
      <c r="S650" s="60">
        <v>246800.83172800002</v>
      </c>
      <c r="T650" s="60">
        <v>2.7199997566640377E-4</v>
      </c>
      <c r="W650" s="272">
        <v>246786.11</v>
      </c>
      <c r="X650" s="272">
        <f t="shared" si="0"/>
        <v>14.722000000008848</v>
      </c>
    </row>
    <row r="651" spans="1:24">
      <c r="A651" t="s">
        <v>18390</v>
      </c>
      <c r="B651" s="262">
        <v>44239</v>
      </c>
      <c r="C651" t="s">
        <v>17209</v>
      </c>
      <c r="D651" t="s">
        <v>17210</v>
      </c>
      <c r="E651" s="60">
        <v>0</v>
      </c>
      <c r="F651" s="60">
        <v>51974.067999999999</v>
      </c>
      <c r="G651" s="60">
        <v>8456.1359999999986</v>
      </c>
      <c r="H651" s="60">
        <v>27905.248799999998</v>
      </c>
      <c r="I651" s="60">
        <v>6764.9088000000002</v>
      </c>
      <c r="J651" s="60">
        <v>6571.1223499999996</v>
      </c>
      <c r="K651" s="260">
        <v>408.06309185959668</v>
      </c>
      <c r="L651" s="260">
        <v>1346.6082031366691</v>
      </c>
      <c r="M651" s="260">
        <v>326.45047348767736</v>
      </c>
      <c r="N651" s="260">
        <v>195.53023151605674</v>
      </c>
      <c r="O651" s="264">
        <v>8864.1990918595948</v>
      </c>
      <c r="P651" s="264">
        <v>29251.857003136665</v>
      </c>
      <c r="Q651" s="264">
        <v>7091.3592734876775</v>
      </c>
      <c r="R651" s="264">
        <v>6766.6525815160567</v>
      </c>
      <c r="S651" s="60">
        <v>51974.067949999997</v>
      </c>
      <c r="T651" s="60">
        <v>5.0000002374872565E-5</v>
      </c>
      <c r="W651" s="272">
        <v>51974.067950000004</v>
      </c>
      <c r="X651" s="272">
        <f t="shared" si="0"/>
        <v>4.9999995098914951E-5</v>
      </c>
    </row>
    <row r="652" spans="1:24">
      <c r="A652" t="s">
        <v>18391</v>
      </c>
      <c r="B652" s="262">
        <v>44239</v>
      </c>
      <c r="C652" t="s">
        <v>17209</v>
      </c>
      <c r="D652" t="s">
        <v>17210</v>
      </c>
      <c r="E652" s="60">
        <v>0</v>
      </c>
      <c r="F652" s="60">
        <v>37209.302000000003</v>
      </c>
      <c r="G652" s="60">
        <v>0</v>
      </c>
      <c r="H652" s="60">
        <v>0</v>
      </c>
      <c r="I652" s="60">
        <v>0</v>
      </c>
      <c r="J652" s="60">
        <v>34932.650155000003</v>
      </c>
      <c r="K652" s="260">
        <v>0</v>
      </c>
      <c r="L652" s="260">
        <v>0</v>
      </c>
      <c r="M652" s="260">
        <v>0</v>
      </c>
      <c r="N652" s="260">
        <v>2276.652</v>
      </c>
      <c r="O652" s="264">
        <v>0</v>
      </c>
      <c r="P652" s="264">
        <v>0</v>
      </c>
      <c r="Q652" s="264">
        <v>0</v>
      </c>
      <c r="R652" s="264">
        <v>37209.302155000005</v>
      </c>
      <c r="S652" s="60">
        <v>37209.302155000005</v>
      </c>
      <c r="T652" s="60">
        <v>-1.5500000154133886E-4</v>
      </c>
      <c r="W652" s="272">
        <v>37209.302155000005</v>
      </c>
      <c r="X652" s="272">
        <f t="shared" si="0"/>
        <v>-1.5500000154133886E-4</v>
      </c>
    </row>
    <row r="653" spans="1:24">
      <c r="A653" t="s">
        <v>18392</v>
      </c>
      <c r="B653" s="262">
        <v>44245</v>
      </c>
      <c r="C653" t="s">
        <v>16444</v>
      </c>
      <c r="D653" t="s">
        <v>16445</v>
      </c>
      <c r="E653" s="60">
        <v>0</v>
      </c>
      <c r="F653" s="60">
        <v>63919.8</v>
      </c>
      <c r="G653" s="60">
        <v>63919.8</v>
      </c>
      <c r="H653" s="60">
        <v>0</v>
      </c>
      <c r="I653" s="60">
        <v>0</v>
      </c>
      <c r="J653" s="60">
        <v>0</v>
      </c>
      <c r="K653" s="260">
        <v>0</v>
      </c>
      <c r="L653" s="260">
        <v>0</v>
      </c>
      <c r="M653" s="260">
        <v>0</v>
      </c>
      <c r="N653" s="260">
        <v>0</v>
      </c>
      <c r="O653" s="264">
        <v>63919.8</v>
      </c>
      <c r="P653" s="264">
        <v>0</v>
      </c>
      <c r="Q653" s="264">
        <v>0</v>
      </c>
      <c r="R653" s="264">
        <v>0</v>
      </c>
      <c r="S653" s="60">
        <v>63919.8</v>
      </c>
      <c r="T653" s="60">
        <v>0</v>
      </c>
      <c r="W653" s="272">
        <v>63919.8</v>
      </c>
      <c r="X653" s="272">
        <f t="shared" si="0"/>
        <v>0</v>
      </c>
    </row>
    <row r="654" spans="1:24">
      <c r="A654" t="s">
        <v>18393</v>
      </c>
      <c r="B654" s="262">
        <v>44256</v>
      </c>
      <c r="C654" t="s">
        <v>16444</v>
      </c>
      <c r="D654" t="s">
        <v>16445</v>
      </c>
      <c r="E654" s="60">
        <v>0</v>
      </c>
      <c r="F654" s="60">
        <v>67296</v>
      </c>
      <c r="G654" s="60">
        <v>67296</v>
      </c>
      <c r="H654" s="60">
        <v>0</v>
      </c>
      <c r="I654" s="60">
        <v>0</v>
      </c>
      <c r="J654" s="60">
        <v>0</v>
      </c>
      <c r="K654" s="260">
        <v>0</v>
      </c>
      <c r="L654" s="260">
        <v>0</v>
      </c>
      <c r="M654" s="260">
        <v>0</v>
      </c>
      <c r="N654" s="260">
        <v>0</v>
      </c>
      <c r="O654" s="264">
        <v>67296</v>
      </c>
      <c r="P654" s="264">
        <v>0</v>
      </c>
      <c r="Q654" s="264">
        <v>0</v>
      </c>
      <c r="R654" s="264">
        <v>0</v>
      </c>
      <c r="S654" s="60">
        <v>67296</v>
      </c>
      <c r="T654" s="60">
        <v>0</v>
      </c>
      <c r="W654" s="272">
        <v>67296</v>
      </c>
      <c r="X654" s="272">
        <f t="shared" si="0"/>
        <v>0</v>
      </c>
    </row>
    <row r="655" spans="1:24">
      <c r="A655" t="s">
        <v>18394</v>
      </c>
      <c r="B655" s="262">
        <v>44256</v>
      </c>
      <c r="C655" t="s">
        <v>16444</v>
      </c>
      <c r="D655" t="s">
        <v>16445</v>
      </c>
      <c r="E655" s="60">
        <v>0</v>
      </c>
      <c r="F655" s="60">
        <v>172305.96</v>
      </c>
      <c r="G655" s="60">
        <v>75603.839999999997</v>
      </c>
      <c r="H655" s="60">
        <v>96702.12</v>
      </c>
      <c r="I655" s="60">
        <v>0</v>
      </c>
      <c r="J655" s="60">
        <v>0</v>
      </c>
      <c r="K655" s="260">
        <v>0</v>
      </c>
      <c r="L655" s="260">
        <v>0</v>
      </c>
      <c r="M655" s="260">
        <v>0</v>
      </c>
      <c r="N655" s="260">
        <v>0</v>
      </c>
      <c r="O655" s="264">
        <v>75603.839999999997</v>
      </c>
      <c r="P655" s="264">
        <v>96702.12</v>
      </c>
      <c r="Q655" s="264">
        <v>0</v>
      </c>
      <c r="R655" s="264">
        <v>0</v>
      </c>
      <c r="S655" s="60">
        <v>172305.96</v>
      </c>
      <c r="T655" s="60">
        <v>0</v>
      </c>
      <c r="W655" s="272">
        <v>172305.96</v>
      </c>
      <c r="X655" s="272">
        <f t="shared" si="0"/>
        <v>0</v>
      </c>
    </row>
    <row r="656" spans="1:24">
      <c r="A656" t="s">
        <v>18395</v>
      </c>
      <c r="B656" s="262">
        <v>44256</v>
      </c>
      <c r="C656" t="s">
        <v>16444</v>
      </c>
      <c r="D656" t="s">
        <v>16445</v>
      </c>
      <c r="E656" s="60">
        <v>0</v>
      </c>
      <c r="F656" s="60">
        <v>67968</v>
      </c>
      <c r="G656" s="60">
        <v>67968</v>
      </c>
      <c r="H656" s="60">
        <v>0</v>
      </c>
      <c r="I656" s="60">
        <v>0</v>
      </c>
      <c r="J656" s="60">
        <v>0</v>
      </c>
      <c r="K656" s="260">
        <v>0</v>
      </c>
      <c r="L656" s="260">
        <v>0</v>
      </c>
      <c r="M656" s="260">
        <v>0</v>
      </c>
      <c r="N656" s="260">
        <v>0</v>
      </c>
      <c r="O656" s="264">
        <v>67968</v>
      </c>
      <c r="P656" s="264">
        <v>0</v>
      </c>
      <c r="Q656" s="264">
        <v>0</v>
      </c>
      <c r="R656" s="264">
        <v>0</v>
      </c>
      <c r="S656" s="60">
        <v>67968</v>
      </c>
      <c r="T656" s="60">
        <v>0</v>
      </c>
      <c r="W656" s="272">
        <v>67968</v>
      </c>
      <c r="X656" s="272">
        <f t="shared" si="0"/>
        <v>0</v>
      </c>
    </row>
    <row r="657" spans="1:24">
      <c r="A657" t="s">
        <v>18396</v>
      </c>
      <c r="B657" s="262">
        <v>44256</v>
      </c>
      <c r="C657" t="s">
        <v>16972</v>
      </c>
      <c r="D657" t="s">
        <v>17424</v>
      </c>
      <c r="E657" s="60">
        <v>0</v>
      </c>
      <c r="F657" s="60">
        <v>378000</v>
      </c>
      <c r="G657" s="60">
        <v>0</v>
      </c>
      <c r="H657" s="60">
        <v>0</v>
      </c>
      <c r="I657" s="60">
        <v>378000</v>
      </c>
      <c r="J657" s="60">
        <v>0</v>
      </c>
      <c r="K657" s="260">
        <v>0</v>
      </c>
      <c r="L657" s="260">
        <v>0</v>
      </c>
      <c r="M657" s="260">
        <v>0</v>
      </c>
      <c r="N657" s="260">
        <v>0</v>
      </c>
      <c r="O657" s="264">
        <v>0</v>
      </c>
      <c r="P657" s="264">
        <v>0</v>
      </c>
      <c r="Q657" s="264">
        <v>378000</v>
      </c>
      <c r="R657" s="264">
        <v>0</v>
      </c>
      <c r="S657" s="60">
        <v>378000</v>
      </c>
      <c r="T657" s="60">
        <v>0</v>
      </c>
      <c r="W657" s="272">
        <v>378000</v>
      </c>
      <c r="X657" s="272">
        <f t="shared" si="0"/>
        <v>0</v>
      </c>
    </row>
    <row r="658" spans="1:24">
      <c r="A658" t="s">
        <v>18397</v>
      </c>
      <c r="B658" s="262">
        <v>44256</v>
      </c>
      <c r="C658" t="s">
        <v>17287</v>
      </c>
      <c r="D658" t="s">
        <v>18398</v>
      </c>
      <c r="E658" s="60">
        <v>0</v>
      </c>
      <c r="F658" s="60">
        <v>74256</v>
      </c>
      <c r="G658" s="60">
        <v>0</v>
      </c>
      <c r="H658" s="60">
        <v>0</v>
      </c>
      <c r="I658" s="60">
        <v>74256</v>
      </c>
      <c r="J658" s="60">
        <v>0</v>
      </c>
      <c r="K658" s="260">
        <v>0</v>
      </c>
      <c r="L658" s="260">
        <v>0</v>
      </c>
      <c r="M658" s="260">
        <v>0</v>
      </c>
      <c r="N658" s="260">
        <v>0</v>
      </c>
      <c r="O658" s="264">
        <v>0</v>
      </c>
      <c r="P658" s="264">
        <v>0</v>
      </c>
      <c r="Q658" s="264">
        <v>74256</v>
      </c>
      <c r="R658" s="264">
        <v>0</v>
      </c>
      <c r="S658" s="60">
        <v>74256</v>
      </c>
      <c r="T658" s="60">
        <v>0</v>
      </c>
      <c r="W658" s="272">
        <v>74256</v>
      </c>
      <c r="X658" s="272">
        <f t="shared" si="0"/>
        <v>0</v>
      </c>
    </row>
    <row r="659" spans="1:24">
      <c r="A659" t="s">
        <v>18399</v>
      </c>
      <c r="B659" s="262">
        <v>44256</v>
      </c>
      <c r="C659" t="s">
        <v>16957</v>
      </c>
      <c r="D659" t="s">
        <v>17451</v>
      </c>
      <c r="E659" s="60">
        <v>0</v>
      </c>
      <c r="F659" s="60">
        <v>81324</v>
      </c>
      <c r="G659" s="60">
        <v>81324</v>
      </c>
      <c r="H659" s="60">
        <v>0</v>
      </c>
      <c r="I659" s="60">
        <v>0</v>
      </c>
      <c r="J659" s="60">
        <v>0</v>
      </c>
      <c r="K659" s="260">
        <v>0</v>
      </c>
      <c r="L659" s="260">
        <v>0</v>
      </c>
      <c r="M659" s="260">
        <v>0</v>
      </c>
      <c r="N659" s="260">
        <v>0</v>
      </c>
      <c r="O659" s="264">
        <v>81324</v>
      </c>
      <c r="P659" s="264">
        <v>0</v>
      </c>
      <c r="Q659" s="264">
        <v>0</v>
      </c>
      <c r="R659" s="264">
        <v>0</v>
      </c>
      <c r="S659" s="60">
        <v>81324</v>
      </c>
      <c r="T659" s="60">
        <v>0</v>
      </c>
      <c r="W659" s="272">
        <v>81324</v>
      </c>
      <c r="X659" s="272">
        <f t="shared" si="0"/>
        <v>0</v>
      </c>
    </row>
    <row r="660" spans="1:24">
      <c r="A660" t="s">
        <v>18400</v>
      </c>
      <c r="B660" s="262">
        <v>44256</v>
      </c>
      <c r="C660" t="s">
        <v>17017</v>
      </c>
      <c r="D660" t="s">
        <v>17430</v>
      </c>
      <c r="E660" s="60">
        <v>0</v>
      </c>
      <c r="F660" s="60">
        <v>72000</v>
      </c>
      <c r="G660" s="60">
        <v>72000</v>
      </c>
      <c r="H660" s="60">
        <v>0</v>
      </c>
      <c r="I660" s="60">
        <v>0</v>
      </c>
      <c r="J660" s="60">
        <v>0</v>
      </c>
      <c r="K660" s="260">
        <v>0</v>
      </c>
      <c r="L660" s="260">
        <v>0</v>
      </c>
      <c r="M660" s="260">
        <v>0</v>
      </c>
      <c r="N660" s="260">
        <v>0</v>
      </c>
      <c r="O660" s="264">
        <v>72000</v>
      </c>
      <c r="P660" s="264">
        <v>0</v>
      </c>
      <c r="Q660" s="264">
        <v>0</v>
      </c>
      <c r="R660" s="264">
        <v>0</v>
      </c>
      <c r="S660" s="60">
        <v>72000</v>
      </c>
      <c r="T660" s="60">
        <v>0</v>
      </c>
      <c r="W660" s="272">
        <v>72000</v>
      </c>
      <c r="X660" s="272">
        <f t="shared" si="0"/>
        <v>0</v>
      </c>
    </row>
    <row r="661" spans="1:24">
      <c r="A661" t="s">
        <v>18401</v>
      </c>
      <c r="B661" s="262">
        <v>44287</v>
      </c>
      <c r="C661" t="s">
        <v>17017</v>
      </c>
      <c r="D661" t="s">
        <v>17430</v>
      </c>
      <c r="E661" s="60">
        <v>0</v>
      </c>
      <c r="F661" s="60">
        <v>35879.64</v>
      </c>
      <c r="G661" s="60">
        <v>0</v>
      </c>
      <c r="H661" s="60">
        <v>0</v>
      </c>
      <c r="I661" s="60">
        <v>35880.527999999998</v>
      </c>
      <c r="J661" s="60">
        <v>0</v>
      </c>
      <c r="K661" s="260">
        <v>0</v>
      </c>
      <c r="L661" s="260">
        <v>0</v>
      </c>
      <c r="M661" s="260">
        <v>0</v>
      </c>
      <c r="N661" s="260">
        <v>0</v>
      </c>
      <c r="O661" s="264">
        <v>0</v>
      </c>
      <c r="P661" s="264">
        <v>0</v>
      </c>
      <c r="Q661" s="264">
        <v>35880.527999999998</v>
      </c>
      <c r="R661" s="264">
        <v>0</v>
      </c>
      <c r="S661" s="60">
        <v>35880.527999999998</v>
      </c>
      <c r="T661" s="60">
        <v>-0.88799999999901047</v>
      </c>
      <c r="W661" s="272">
        <v>35880.527999999998</v>
      </c>
      <c r="X661" s="272">
        <f t="shared" si="0"/>
        <v>-0.88799999999901047</v>
      </c>
    </row>
    <row r="662" spans="1:24">
      <c r="A662" t="s">
        <v>18402</v>
      </c>
      <c r="B662" s="262">
        <v>44256</v>
      </c>
      <c r="C662" t="s">
        <v>17262</v>
      </c>
      <c r="D662" t="s">
        <v>17263</v>
      </c>
      <c r="E662" s="60">
        <v>0</v>
      </c>
      <c r="F662" s="60">
        <v>54328.522000000004</v>
      </c>
      <c r="G662" s="60">
        <v>0</v>
      </c>
      <c r="H662" s="60">
        <v>27753.929279999993</v>
      </c>
      <c r="I662" s="60">
        <v>0</v>
      </c>
      <c r="J662" s="60">
        <v>26574.592800000002</v>
      </c>
      <c r="K662" s="260">
        <v>0</v>
      </c>
      <c r="L662" s="260">
        <v>0</v>
      </c>
      <c r="M662" s="260">
        <v>0</v>
      </c>
      <c r="N662" s="260">
        <v>0</v>
      </c>
      <c r="O662" s="264">
        <v>0</v>
      </c>
      <c r="P662" s="264">
        <v>27753.929279999993</v>
      </c>
      <c r="Q662" s="264">
        <v>0</v>
      </c>
      <c r="R662" s="264">
        <v>26574.592800000002</v>
      </c>
      <c r="S662" s="60">
        <v>54328.522079999995</v>
      </c>
      <c r="T662" s="60">
        <v>-7.9999990703072399E-5</v>
      </c>
      <c r="W662" s="272">
        <v>54328.522080000002</v>
      </c>
      <c r="X662" s="272">
        <f t="shared" si="0"/>
        <v>-7.9999997979030013E-5</v>
      </c>
    </row>
    <row r="663" spans="1:24">
      <c r="A663" t="s">
        <v>18403</v>
      </c>
      <c r="B663" s="262">
        <v>44256</v>
      </c>
      <c r="C663" t="s">
        <v>16904</v>
      </c>
      <c r="D663" t="s">
        <v>16905</v>
      </c>
      <c r="E663" s="60">
        <v>0</v>
      </c>
      <c r="F663" s="60">
        <v>58986.453000000001</v>
      </c>
      <c r="G663" s="60">
        <v>0</v>
      </c>
      <c r="H663" s="60">
        <v>32942.772659999995</v>
      </c>
      <c r="I663" s="60">
        <v>15010.455600000001</v>
      </c>
      <c r="J663" s="60">
        <v>0</v>
      </c>
      <c r="K663" s="260">
        <v>0</v>
      </c>
      <c r="L663" s="260">
        <v>7545.9897058823535</v>
      </c>
      <c r="M663" s="260">
        <v>3487.2352941176473</v>
      </c>
      <c r="N663" s="260">
        <v>0</v>
      </c>
      <c r="O663" s="264">
        <v>0</v>
      </c>
      <c r="P663" s="264">
        <v>40488.76236588235</v>
      </c>
      <c r="Q663" s="264">
        <v>18497.690894117648</v>
      </c>
      <c r="R663" s="264">
        <v>0</v>
      </c>
      <c r="S663" s="60">
        <v>58986.453259999995</v>
      </c>
      <c r="T663" s="60">
        <v>-2.5999999343184754E-4</v>
      </c>
      <c r="W663" s="272">
        <v>58986.453259999995</v>
      </c>
      <c r="X663" s="272">
        <f t="shared" si="0"/>
        <v>-2.5999999343184754E-4</v>
      </c>
    </row>
    <row r="664" spans="1:24">
      <c r="A664" t="s">
        <v>18404</v>
      </c>
      <c r="B664" s="262">
        <v>44249</v>
      </c>
      <c r="C664" t="s">
        <v>16838</v>
      </c>
      <c r="D664" t="s">
        <v>16839</v>
      </c>
      <c r="E664" s="60">
        <v>0</v>
      </c>
      <c r="F664" s="60">
        <v>110760</v>
      </c>
      <c r="G664" s="60">
        <v>0</v>
      </c>
      <c r="H664" s="60">
        <v>0</v>
      </c>
      <c r="I664" s="60">
        <v>110760</v>
      </c>
      <c r="J664" s="60">
        <v>0</v>
      </c>
      <c r="K664" s="260">
        <v>0</v>
      </c>
      <c r="L664" s="260">
        <v>0</v>
      </c>
      <c r="M664" s="260">
        <v>0</v>
      </c>
      <c r="N664" s="260">
        <v>0</v>
      </c>
      <c r="O664" s="264">
        <v>0</v>
      </c>
      <c r="P664" s="264">
        <v>0</v>
      </c>
      <c r="Q664" s="264">
        <v>110760</v>
      </c>
      <c r="R664" s="264">
        <v>0</v>
      </c>
      <c r="S664" s="60">
        <v>110760</v>
      </c>
      <c r="T664" s="60">
        <v>0</v>
      </c>
      <c r="W664" s="272">
        <v>110760</v>
      </c>
      <c r="X664" s="272">
        <f t="shared" si="0"/>
        <v>0</v>
      </c>
    </row>
    <row r="665" spans="1:24">
      <c r="A665" t="s">
        <v>18405</v>
      </c>
      <c r="B665" s="262">
        <v>44256</v>
      </c>
      <c r="C665" t="s">
        <v>16444</v>
      </c>
      <c r="D665" t="s">
        <v>16445</v>
      </c>
      <c r="E665" s="60">
        <v>0</v>
      </c>
      <c r="F665" s="60">
        <v>33024</v>
      </c>
      <c r="G665" s="60">
        <v>33024</v>
      </c>
      <c r="H665" s="60">
        <v>0</v>
      </c>
      <c r="I665" s="60">
        <v>0</v>
      </c>
      <c r="J665" s="60">
        <v>0</v>
      </c>
      <c r="K665" s="260">
        <v>0</v>
      </c>
      <c r="L665" s="260">
        <v>0</v>
      </c>
      <c r="M665" s="260">
        <v>0</v>
      </c>
      <c r="N665" s="260">
        <v>0</v>
      </c>
      <c r="O665" s="264">
        <v>33024</v>
      </c>
      <c r="P665" s="264">
        <v>0</v>
      </c>
      <c r="Q665" s="264">
        <v>0</v>
      </c>
      <c r="R665" s="264">
        <v>0</v>
      </c>
      <c r="S665" s="60">
        <v>33024</v>
      </c>
      <c r="T665" s="60">
        <v>0</v>
      </c>
      <c r="W665" s="272">
        <v>33024</v>
      </c>
      <c r="X665" s="272">
        <f t="shared" ref="X665:X689" si="1">F665-W665</f>
        <v>0</v>
      </c>
    </row>
    <row r="666" spans="1:24">
      <c r="A666" t="s">
        <v>18406</v>
      </c>
      <c r="B666" s="262">
        <v>44256</v>
      </c>
      <c r="C666" t="s">
        <v>16444</v>
      </c>
      <c r="D666" t="s">
        <v>16445</v>
      </c>
      <c r="E666" s="60">
        <v>0</v>
      </c>
      <c r="F666" s="60">
        <v>36504</v>
      </c>
      <c r="G666" s="60">
        <v>36504</v>
      </c>
      <c r="H666" s="60">
        <v>0</v>
      </c>
      <c r="I666" s="60">
        <v>0</v>
      </c>
      <c r="J666" s="60">
        <v>0</v>
      </c>
      <c r="K666" s="260">
        <v>0</v>
      </c>
      <c r="L666" s="260">
        <v>0</v>
      </c>
      <c r="M666" s="260">
        <v>0</v>
      </c>
      <c r="N666" s="260">
        <v>0</v>
      </c>
      <c r="O666" s="264">
        <v>36504</v>
      </c>
      <c r="P666" s="264">
        <v>0</v>
      </c>
      <c r="Q666" s="264">
        <v>0</v>
      </c>
      <c r="R666" s="264">
        <v>0</v>
      </c>
      <c r="S666" s="60">
        <v>36504</v>
      </c>
      <c r="T666" s="60">
        <v>0</v>
      </c>
      <c r="W666" s="272">
        <v>36504</v>
      </c>
      <c r="X666" s="272">
        <f t="shared" si="1"/>
        <v>0</v>
      </c>
    </row>
    <row r="667" spans="1:24" s="256" customFormat="1">
      <c r="A667" t="s">
        <v>18407</v>
      </c>
      <c r="B667" s="262">
        <v>44256</v>
      </c>
      <c r="C667" t="s">
        <v>17278</v>
      </c>
      <c r="D667" t="s">
        <v>17279</v>
      </c>
      <c r="E667" s="60">
        <v>0</v>
      </c>
      <c r="F667" s="60">
        <v>645604.85899999994</v>
      </c>
      <c r="G667" s="60">
        <v>0</v>
      </c>
      <c r="H667" s="60">
        <v>442227.38038749999</v>
      </c>
      <c r="I667" s="60">
        <v>203377.47825000007</v>
      </c>
      <c r="J667" s="60">
        <v>0</v>
      </c>
      <c r="K667" s="269">
        <v>0</v>
      </c>
      <c r="L667" s="269">
        <v>0</v>
      </c>
      <c r="M667" s="269">
        <v>0</v>
      </c>
      <c r="N667" s="269">
        <v>0</v>
      </c>
      <c r="O667" s="270">
        <v>0</v>
      </c>
      <c r="P667" s="270">
        <v>442227.38038749999</v>
      </c>
      <c r="Q667" s="270">
        <v>203377.47825000007</v>
      </c>
      <c r="R667" s="270">
        <v>0</v>
      </c>
      <c r="S667" s="273">
        <v>645604.85863750009</v>
      </c>
      <c r="T667" s="273">
        <v>3.6249984987080097E-4</v>
      </c>
      <c r="W667" s="273">
        <v>645579.21542599995</v>
      </c>
      <c r="X667" s="273">
        <f t="shared" si="1"/>
        <v>25.643573999986984</v>
      </c>
    </row>
    <row r="668" spans="1:24">
      <c r="A668" t="s">
        <v>18408</v>
      </c>
      <c r="B668" s="262">
        <v>44256</v>
      </c>
      <c r="C668" t="s">
        <v>17278</v>
      </c>
      <c r="D668" t="s">
        <v>17279</v>
      </c>
      <c r="E668" s="60">
        <v>0</v>
      </c>
      <c r="F668" s="60">
        <v>42715.832999999999</v>
      </c>
      <c r="G668" s="60">
        <v>42715.833384000005</v>
      </c>
      <c r="H668" s="60">
        <v>0</v>
      </c>
      <c r="I668" s="60">
        <v>0</v>
      </c>
      <c r="J668" s="60">
        <v>0</v>
      </c>
      <c r="K668" s="260">
        <v>0</v>
      </c>
      <c r="L668" s="260">
        <v>0</v>
      </c>
      <c r="M668" s="260">
        <v>0</v>
      </c>
      <c r="N668" s="260">
        <v>0</v>
      </c>
      <c r="O668" s="264">
        <v>42715.833384000005</v>
      </c>
      <c r="P668" s="264">
        <v>0</v>
      </c>
      <c r="Q668" s="264">
        <v>0</v>
      </c>
      <c r="R668" s="264">
        <v>0</v>
      </c>
      <c r="S668" s="60">
        <v>42715.833384000005</v>
      </c>
      <c r="T668" s="60">
        <v>-3.8400000630645081E-4</v>
      </c>
      <c r="W668" s="272">
        <v>42715.833383999998</v>
      </c>
      <c r="X668" s="272">
        <f t="shared" si="1"/>
        <v>-3.839999990304932E-4</v>
      </c>
    </row>
    <row r="669" spans="1:24">
      <c r="A669" t="s">
        <v>18409</v>
      </c>
      <c r="B669" s="262">
        <v>44256</v>
      </c>
      <c r="C669" t="s">
        <v>17257</v>
      </c>
      <c r="D669" t="s">
        <v>18260</v>
      </c>
      <c r="E669" s="60">
        <v>0</v>
      </c>
      <c r="F669" s="60">
        <v>50356.72</v>
      </c>
      <c r="G669" s="60">
        <v>3432.7440000000001</v>
      </c>
      <c r="H669" s="60">
        <v>38995.971840000006</v>
      </c>
      <c r="I669" s="60">
        <v>4446.2207999999991</v>
      </c>
      <c r="J669" s="60">
        <v>0</v>
      </c>
      <c r="K669" s="260">
        <v>257.27462068965519</v>
      </c>
      <c r="L669" s="260">
        <v>2881.4757517241378</v>
      </c>
      <c r="M669" s="260">
        <v>343.03282758620691</v>
      </c>
      <c r="N669" s="260">
        <v>0</v>
      </c>
      <c r="O669" s="264">
        <v>3690.0186206896551</v>
      </c>
      <c r="P669" s="264">
        <v>41877.447591724143</v>
      </c>
      <c r="Q669" s="264">
        <v>4789.2536275862058</v>
      </c>
      <c r="R669" s="264">
        <v>0</v>
      </c>
      <c r="S669" s="60">
        <v>50356.719840000005</v>
      </c>
      <c r="T669" s="60">
        <v>1.5999999595806003E-4</v>
      </c>
      <c r="W669" s="272">
        <v>50356.719839999998</v>
      </c>
      <c r="X669" s="272">
        <f t="shared" si="1"/>
        <v>1.6000000323401764E-4</v>
      </c>
    </row>
    <row r="670" spans="1:24">
      <c r="A670" t="s">
        <v>18410</v>
      </c>
      <c r="B670" s="262">
        <v>44256</v>
      </c>
      <c r="C670" t="s">
        <v>17017</v>
      </c>
      <c r="D670" t="s">
        <v>17430</v>
      </c>
      <c r="E670" s="60">
        <v>0</v>
      </c>
      <c r="F670" s="60">
        <v>22982.400000000001</v>
      </c>
      <c r="G670" s="60">
        <v>0</v>
      </c>
      <c r="H670" s="60">
        <v>0</v>
      </c>
      <c r="I670" s="60">
        <v>22982.400000000005</v>
      </c>
      <c r="J670" s="60">
        <v>0</v>
      </c>
      <c r="K670" s="260">
        <v>0</v>
      </c>
      <c r="L670" s="260">
        <v>0</v>
      </c>
      <c r="M670" s="260">
        <v>0</v>
      </c>
      <c r="N670" s="260">
        <v>0</v>
      </c>
      <c r="O670" s="264">
        <v>0</v>
      </c>
      <c r="P670" s="264">
        <v>0</v>
      </c>
      <c r="Q670" s="264">
        <v>22982.400000000005</v>
      </c>
      <c r="R670" s="264">
        <v>0</v>
      </c>
      <c r="S670" s="60">
        <v>22982.400000000005</v>
      </c>
      <c r="T670" s="60">
        <v>0</v>
      </c>
      <c r="W670" s="272">
        <v>22982.400000000001</v>
      </c>
      <c r="X670" s="272">
        <f t="shared" si="1"/>
        <v>0</v>
      </c>
    </row>
    <row r="671" spans="1:24">
      <c r="A671" t="s">
        <v>18411</v>
      </c>
      <c r="B671" s="262">
        <v>44256</v>
      </c>
      <c r="C671" t="s">
        <v>16880</v>
      </c>
      <c r="D671" t="s">
        <v>16881</v>
      </c>
      <c r="E671" s="60">
        <v>0</v>
      </c>
      <c r="F671" s="60">
        <v>61259.769</v>
      </c>
      <c r="G671" s="60">
        <v>0</v>
      </c>
      <c r="H671" s="60">
        <v>61259.768640000002</v>
      </c>
      <c r="I671" s="60">
        <v>0</v>
      </c>
      <c r="J671" s="60">
        <v>0</v>
      </c>
      <c r="K671" s="260">
        <v>0</v>
      </c>
      <c r="L671" s="260">
        <v>0</v>
      </c>
      <c r="M671" s="260">
        <v>0</v>
      </c>
      <c r="N671" s="260">
        <v>0</v>
      </c>
      <c r="O671" s="264">
        <v>0</v>
      </c>
      <c r="P671" s="264">
        <v>61259.768640000002</v>
      </c>
      <c r="Q671" s="264">
        <v>0</v>
      </c>
      <c r="R671" s="264">
        <v>0</v>
      </c>
      <c r="S671" s="60">
        <v>61259.768640000002</v>
      </c>
      <c r="T671" s="60">
        <v>3.5999999818159267E-4</v>
      </c>
      <c r="W671" s="272">
        <v>61259.768640000002</v>
      </c>
      <c r="X671" s="272">
        <f t="shared" si="1"/>
        <v>3.5999999818159267E-4</v>
      </c>
    </row>
    <row r="672" spans="1:24">
      <c r="A672" t="s">
        <v>18412</v>
      </c>
      <c r="B672" s="262">
        <v>44260</v>
      </c>
      <c r="C672" t="s">
        <v>17017</v>
      </c>
      <c r="D672" t="s">
        <v>17430</v>
      </c>
      <c r="E672" s="60">
        <v>0</v>
      </c>
      <c r="F672" s="60">
        <v>35200</v>
      </c>
      <c r="G672" s="60">
        <v>0</v>
      </c>
      <c r="H672" s="60">
        <v>35200</v>
      </c>
      <c r="I672" s="60">
        <v>0</v>
      </c>
      <c r="J672" s="60">
        <v>0</v>
      </c>
      <c r="K672" s="260">
        <v>0</v>
      </c>
      <c r="L672" s="260">
        <v>0</v>
      </c>
      <c r="M672" s="260">
        <v>0</v>
      </c>
      <c r="N672" s="260">
        <v>0</v>
      </c>
      <c r="O672" s="264">
        <v>0</v>
      </c>
      <c r="P672" s="264">
        <v>35200</v>
      </c>
      <c r="Q672" s="264">
        <v>0</v>
      </c>
      <c r="R672" s="264">
        <v>0</v>
      </c>
      <c r="S672" s="60">
        <v>35200</v>
      </c>
      <c r="T672" s="60">
        <v>0</v>
      </c>
      <c r="W672" s="272">
        <v>35200</v>
      </c>
      <c r="X672" s="272">
        <f t="shared" si="1"/>
        <v>0</v>
      </c>
    </row>
    <row r="673" spans="1:24">
      <c r="A673" t="s">
        <v>18413</v>
      </c>
      <c r="B673" s="262">
        <v>44263</v>
      </c>
      <c r="C673" t="s">
        <v>17017</v>
      </c>
      <c r="D673" t="s">
        <v>17430</v>
      </c>
      <c r="E673" s="60">
        <v>0</v>
      </c>
      <c r="F673" s="60">
        <v>19591</v>
      </c>
      <c r="G673" s="60">
        <v>12888</v>
      </c>
      <c r="H673" s="60">
        <v>4015</v>
      </c>
      <c r="I673" s="60">
        <v>0</v>
      </c>
      <c r="J673" s="60">
        <v>2688</v>
      </c>
      <c r="K673" s="260">
        <v>0</v>
      </c>
      <c r="L673" s="260">
        <v>0</v>
      </c>
      <c r="M673" s="260">
        <v>0</v>
      </c>
      <c r="N673" s="260">
        <v>0</v>
      </c>
      <c r="O673" s="264">
        <v>12888</v>
      </c>
      <c r="P673" s="264">
        <v>4015</v>
      </c>
      <c r="Q673" s="264">
        <v>0</v>
      </c>
      <c r="R673" s="264">
        <v>2688</v>
      </c>
      <c r="S673" s="60">
        <v>19591</v>
      </c>
      <c r="T673" s="60">
        <v>0</v>
      </c>
      <c r="W673" s="272">
        <v>19591</v>
      </c>
      <c r="X673" s="272">
        <f t="shared" si="1"/>
        <v>0</v>
      </c>
    </row>
    <row r="674" spans="1:24">
      <c r="A674" t="s">
        <v>18414</v>
      </c>
      <c r="B674" s="262">
        <v>44263</v>
      </c>
      <c r="C674" t="s">
        <v>17284</v>
      </c>
      <c r="D674" t="s">
        <v>18383</v>
      </c>
      <c r="E674" s="60">
        <v>0</v>
      </c>
      <c r="F674" s="60">
        <v>42312</v>
      </c>
      <c r="G674" s="60">
        <v>0</v>
      </c>
      <c r="H674" s="60">
        <v>4680</v>
      </c>
      <c r="I674" s="60">
        <v>0</v>
      </c>
      <c r="J674" s="60">
        <v>37632</v>
      </c>
      <c r="K674" s="260">
        <v>0</v>
      </c>
      <c r="L674" s="260">
        <v>0</v>
      </c>
      <c r="M674" s="260">
        <v>0</v>
      </c>
      <c r="N674" s="260">
        <v>0</v>
      </c>
      <c r="O674" s="264">
        <v>0</v>
      </c>
      <c r="P674" s="264">
        <v>4680</v>
      </c>
      <c r="Q674" s="264">
        <v>0</v>
      </c>
      <c r="R674" s="264">
        <v>37632</v>
      </c>
      <c r="S674" s="60">
        <v>42312</v>
      </c>
      <c r="T674" s="60">
        <v>0</v>
      </c>
      <c r="W674" s="272">
        <v>42312</v>
      </c>
      <c r="X674" s="272">
        <f t="shared" si="1"/>
        <v>0</v>
      </c>
    </row>
    <row r="675" spans="1:24">
      <c r="A675" t="s">
        <v>18415</v>
      </c>
      <c r="B675" s="262">
        <v>44263</v>
      </c>
      <c r="C675" t="s">
        <v>17289</v>
      </c>
      <c r="D675" t="s">
        <v>17290</v>
      </c>
      <c r="E675" s="60">
        <v>0</v>
      </c>
      <c r="F675" s="60">
        <v>25574.400000000001</v>
      </c>
      <c r="G675" s="60">
        <v>0</v>
      </c>
      <c r="H675" s="60">
        <v>7082.4</v>
      </c>
      <c r="I675" s="60">
        <v>11100</v>
      </c>
      <c r="J675" s="60">
        <v>7392</v>
      </c>
      <c r="K675" s="260">
        <v>0</v>
      </c>
      <c r="L675" s="260">
        <v>0</v>
      </c>
      <c r="M675" s="260">
        <v>0</v>
      </c>
      <c r="N675" s="260">
        <v>0</v>
      </c>
      <c r="O675" s="264">
        <v>0</v>
      </c>
      <c r="P675" s="264">
        <v>7082.4</v>
      </c>
      <c r="Q675" s="264">
        <v>11100</v>
      </c>
      <c r="R675" s="264">
        <v>7392</v>
      </c>
      <c r="S675" s="60">
        <v>25574.400000000001</v>
      </c>
      <c r="T675" s="60">
        <v>0</v>
      </c>
      <c r="W675" s="272">
        <v>25574.400000000001</v>
      </c>
      <c r="X675" s="272">
        <f t="shared" si="1"/>
        <v>0</v>
      </c>
    </row>
    <row r="676" spans="1:24">
      <c r="A676" t="s">
        <v>18416</v>
      </c>
      <c r="B676" s="262">
        <v>44263</v>
      </c>
      <c r="C676" t="s">
        <v>17017</v>
      </c>
      <c r="D676" t="s">
        <v>17430</v>
      </c>
      <c r="E676" s="60">
        <v>0</v>
      </c>
      <c r="F676" s="60">
        <v>14117.4</v>
      </c>
      <c r="G676" s="60">
        <v>5477.4</v>
      </c>
      <c r="H676" s="60">
        <v>2880</v>
      </c>
      <c r="I676" s="60">
        <v>0</v>
      </c>
      <c r="J676" s="60">
        <v>5760</v>
      </c>
      <c r="K676" s="260">
        <v>0</v>
      </c>
      <c r="L676" s="260">
        <v>0</v>
      </c>
      <c r="M676" s="260">
        <v>0</v>
      </c>
      <c r="N676" s="260">
        <v>0</v>
      </c>
      <c r="O676" s="264">
        <v>5477.4</v>
      </c>
      <c r="P676" s="264">
        <v>2880</v>
      </c>
      <c r="Q676" s="264">
        <v>0</v>
      </c>
      <c r="R676" s="264">
        <v>5760</v>
      </c>
      <c r="S676" s="60">
        <v>14117.4</v>
      </c>
      <c r="T676" s="60">
        <v>0</v>
      </c>
      <c r="W676" s="272">
        <v>14117.4</v>
      </c>
      <c r="X676" s="272">
        <f t="shared" si="1"/>
        <v>0</v>
      </c>
    </row>
    <row r="677" spans="1:24">
      <c r="A677" t="s">
        <v>18417</v>
      </c>
      <c r="B677" s="262">
        <v>44267</v>
      </c>
      <c r="C677" t="s">
        <v>16444</v>
      </c>
      <c r="D677" t="s">
        <v>16445</v>
      </c>
      <c r="E677" s="60">
        <v>0</v>
      </c>
      <c r="F677" s="60">
        <v>33822.5</v>
      </c>
      <c r="G677" s="60">
        <v>33822.5</v>
      </c>
      <c r="H677" s="60">
        <v>0</v>
      </c>
      <c r="I677" s="60">
        <v>0</v>
      </c>
      <c r="J677" s="60">
        <v>0</v>
      </c>
      <c r="K677" s="260">
        <v>0</v>
      </c>
      <c r="L677" s="260">
        <v>0</v>
      </c>
      <c r="M677" s="260">
        <v>0</v>
      </c>
      <c r="N677" s="260">
        <v>0</v>
      </c>
      <c r="O677" s="264">
        <v>33822.5</v>
      </c>
      <c r="P677" s="264">
        <v>0</v>
      </c>
      <c r="Q677" s="264">
        <v>0</v>
      </c>
      <c r="R677" s="264">
        <v>0</v>
      </c>
      <c r="S677" s="60">
        <v>33822.5</v>
      </c>
      <c r="T677" s="60">
        <v>0</v>
      </c>
      <c r="W677" s="272">
        <v>33822.5</v>
      </c>
      <c r="X677" s="272">
        <f t="shared" si="1"/>
        <v>0</v>
      </c>
    </row>
    <row r="678" spans="1:24">
      <c r="A678" t="s">
        <v>18418</v>
      </c>
      <c r="B678" s="262">
        <v>44267</v>
      </c>
      <c r="C678" t="s">
        <v>17209</v>
      </c>
      <c r="D678" t="s">
        <v>17210</v>
      </c>
      <c r="E678" s="60">
        <v>0</v>
      </c>
      <c r="F678" s="60">
        <v>46962.027000000002</v>
      </c>
      <c r="G678" s="60">
        <v>0</v>
      </c>
      <c r="H678" s="60">
        <v>31768.5108</v>
      </c>
      <c r="I678" s="60">
        <v>8586.0840000000007</v>
      </c>
      <c r="J678" s="60">
        <v>2204.3119500000003</v>
      </c>
      <c r="K678" s="260">
        <v>0</v>
      </c>
      <c r="L678" s="260">
        <v>3333.3082352941174</v>
      </c>
      <c r="M678" s="260">
        <v>900.89411764705881</v>
      </c>
      <c r="N678" s="260">
        <v>168.91764705882352</v>
      </c>
      <c r="O678" s="264">
        <v>0</v>
      </c>
      <c r="P678" s="264">
        <v>35101.819035294116</v>
      </c>
      <c r="Q678" s="264">
        <v>9486.9781176470588</v>
      </c>
      <c r="R678" s="264">
        <v>2373.2295970588239</v>
      </c>
      <c r="S678" s="60">
        <v>46962.026749999997</v>
      </c>
      <c r="T678" s="60">
        <v>2.5000000459840521E-4</v>
      </c>
      <c r="W678" s="272">
        <v>46962.026749999997</v>
      </c>
      <c r="X678" s="272">
        <f t="shared" si="1"/>
        <v>2.5000000459840521E-4</v>
      </c>
    </row>
    <row r="679" spans="1:24">
      <c r="A679" t="s">
        <v>18419</v>
      </c>
      <c r="B679" s="262">
        <v>44287</v>
      </c>
      <c r="C679" t="s">
        <v>17230</v>
      </c>
      <c r="D679" t="s">
        <v>17231</v>
      </c>
      <c r="E679" s="60">
        <v>0</v>
      </c>
      <c r="F679" s="60">
        <v>56090.810999999994</v>
      </c>
      <c r="G679" s="60">
        <v>1878.59112</v>
      </c>
      <c r="H679" s="60">
        <v>23484.164978999997</v>
      </c>
      <c r="I679" s="60">
        <v>11247.867</v>
      </c>
      <c r="J679" s="60">
        <v>19480.187435</v>
      </c>
      <c r="K679" s="260">
        <v>0</v>
      </c>
      <c r="L679" s="260">
        <v>0</v>
      </c>
      <c r="M679" s="260">
        <v>0</v>
      </c>
      <c r="N679" s="260">
        <v>0</v>
      </c>
      <c r="O679" s="264">
        <v>1878.59112</v>
      </c>
      <c r="P679" s="264">
        <v>23484.164978999997</v>
      </c>
      <c r="Q679" s="264">
        <v>11247.867</v>
      </c>
      <c r="R679" s="264">
        <v>19480.187435</v>
      </c>
      <c r="S679" s="60">
        <v>56090.810533999997</v>
      </c>
      <c r="T679" s="60">
        <v>4.6599999768659472E-4</v>
      </c>
      <c r="W679" s="272">
        <v>56090.810534000004</v>
      </c>
      <c r="X679" s="272">
        <f t="shared" si="1"/>
        <v>4.6599999041063711E-4</v>
      </c>
    </row>
    <row r="680" spans="1:24">
      <c r="A680" t="s">
        <v>18420</v>
      </c>
      <c r="B680" s="262">
        <v>44267</v>
      </c>
      <c r="C680" t="s">
        <v>16838</v>
      </c>
      <c r="D680" t="s">
        <v>16839</v>
      </c>
      <c r="E680" s="60">
        <v>0</v>
      </c>
      <c r="F680" s="60">
        <v>149654.39999999999</v>
      </c>
      <c r="G680" s="60">
        <v>149654.39999999999</v>
      </c>
      <c r="H680" s="60">
        <v>0</v>
      </c>
      <c r="I680" s="60">
        <v>0</v>
      </c>
      <c r="J680" s="60">
        <v>0</v>
      </c>
      <c r="K680" s="260">
        <v>0</v>
      </c>
      <c r="L680" s="260">
        <v>0</v>
      </c>
      <c r="M680" s="260">
        <v>0</v>
      </c>
      <c r="N680" s="260">
        <v>0</v>
      </c>
      <c r="O680" s="264">
        <v>149654.39999999999</v>
      </c>
      <c r="P680" s="264">
        <v>0</v>
      </c>
      <c r="Q680" s="264">
        <v>0</v>
      </c>
      <c r="R680" s="264">
        <v>0</v>
      </c>
      <c r="S680" s="60">
        <v>149654.39999999999</v>
      </c>
      <c r="T680" s="60">
        <v>0</v>
      </c>
      <c r="W680" s="272">
        <v>149654.39999999999</v>
      </c>
      <c r="X680" s="272">
        <f t="shared" si="1"/>
        <v>0</v>
      </c>
    </row>
    <row r="681" spans="1:24">
      <c r="A681" t="s">
        <v>18421</v>
      </c>
      <c r="B681" s="262">
        <v>44267</v>
      </c>
      <c r="C681" t="s">
        <v>16904</v>
      </c>
      <c r="D681" t="s">
        <v>16905</v>
      </c>
      <c r="E681" s="60">
        <v>0</v>
      </c>
      <c r="F681" s="60">
        <v>58782.619000000006</v>
      </c>
      <c r="G681" s="60">
        <v>0</v>
      </c>
      <c r="H681" s="60">
        <v>29445.704928000003</v>
      </c>
      <c r="I681" s="60">
        <v>18346.2336</v>
      </c>
      <c r="J681" s="60">
        <v>0</v>
      </c>
      <c r="K681" s="260">
        <v>0</v>
      </c>
      <c r="L681" s="260">
        <v>6744.9388235294127</v>
      </c>
      <c r="M681" s="260">
        <v>4245.7411764705885</v>
      </c>
      <c r="N681" s="260">
        <v>0</v>
      </c>
      <c r="O681" s="264">
        <v>0</v>
      </c>
      <c r="P681" s="264">
        <v>36190.643751529416</v>
      </c>
      <c r="Q681" s="264">
        <v>22591.97477647059</v>
      </c>
      <c r="R681" s="264">
        <v>0</v>
      </c>
      <c r="S681" s="60">
        <v>58782.618528000006</v>
      </c>
      <c r="T681" s="60">
        <v>4.7199999971780926E-4</v>
      </c>
      <c r="W681" s="272">
        <v>58782.618527999999</v>
      </c>
      <c r="X681" s="272">
        <f t="shared" si="1"/>
        <v>4.7200000699376687E-4</v>
      </c>
    </row>
    <row r="682" spans="1:24">
      <c r="A682" t="s">
        <v>18422</v>
      </c>
      <c r="B682" s="262">
        <v>44267</v>
      </c>
      <c r="C682" t="s">
        <v>16384</v>
      </c>
      <c r="D682" t="s">
        <v>16385</v>
      </c>
      <c r="E682" s="60">
        <v>0</v>
      </c>
      <c r="F682" s="60">
        <v>164640</v>
      </c>
      <c r="G682" s="60">
        <v>164640</v>
      </c>
      <c r="H682" s="60">
        <v>0</v>
      </c>
      <c r="I682" s="60">
        <v>0</v>
      </c>
      <c r="J682" s="60">
        <v>0</v>
      </c>
      <c r="K682" s="260">
        <v>0</v>
      </c>
      <c r="L682" s="260">
        <v>0</v>
      </c>
      <c r="M682" s="260">
        <v>0</v>
      </c>
      <c r="N682" s="260">
        <v>0</v>
      </c>
      <c r="O682" s="264">
        <v>164640</v>
      </c>
      <c r="P682" s="264">
        <v>0</v>
      </c>
      <c r="Q682" s="264">
        <v>0</v>
      </c>
      <c r="R682" s="264">
        <v>0</v>
      </c>
      <c r="S682" s="60">
        <v>164640</v>
      </c>
      <c r="T682" s="60">
        <v>0</v>
      </c>
      <c r="W682" s="272">
        <v>164640</v>
      </c>
      <c r="X682" s="272">
        <f t="shared" si="1"/>
        <v>0</v>
      </c>
    </row>
    <row r="683" spans="1:24">
      <c r="A683" t="s">
        <v>18423</v>
      </c>
      <c r="B683" s="262">
        <v>44267</v>
      </c>
      <c r="C683" t="s">
        <v>16838</v>
      </c>
      <c r="D683" t="s">
        <v>16839</v>
      </c>
      <c r="E683" s="60">
        <v>0</v>
      </c>
      <c r="F683" s="60">
        <v>221520</v>
      </c>
      <c r="G683" s="60">
        <v>0</v>
      </c>
      <c r="H683" s="60">
        <v>0</v>
      </c>
      <c r="I683" s="60">
        <v>221520</v>
      </c>
      <c r="J683" s="60">
        <v>0</v>
      </c>
      <c r="K683" s="260">
        <v>0</v>
      </c>
      <c r="L683" s="260">
        <v>0</v>
      </c>
      <c r="M683" s="260">
        <v>0</v>
      </c>
      <c r="N683" s="260">
        <v>0</v>
      </c>
      <c r="O683" s="264">
        <v>0</v>
      </c>
      <c r="P683" s="264">
        <v>0</v>
      </c>
      <c r="Q683" s="264">
        <v>221520</v>
      </c>
      <c r="R683" s="264">
        <v>0</v>
      </c>
      <c r="S683" s="60">
        <v>221520</v>
      </c>
      <c r="T683" s="60">
        <v>0</v>
      </c>
      <c r="W683" s="272">
        <v>221520</v>
      </c>
      <c r="X683" s="272">
        <f t="shared" si="1"/>
        <v>0</v>
      </c>
    </row>
    <row r="684" spans="1:24">
      <c r="A684" t="s">
        <v>18424</v>
      </c>
      <c r="B684" s="262">
        <v>44318</v>
      </c>
      <c r="C684" t="s">
        <v>16838</v>
      </c>
      <c r="D684" t="s">
        <v>16839</v>
      </c>
      <c r="E684" s="60">
        <v>0</v>
      </c>
      <c r="F684" s="60">
        <v>385620</v>
      </c>
      <c r="G684" s="60">
        <v>298524</v>
      </c>
      <c r="H684" s="60">
        <v>80064</v>
      </c>
      <c r="I684" s="60">
        <v>7032</v>
      </c>
      <c r="J684" s="60">
        <v>0</v>
      </c>
      <c r="K684" s="260">
        <v>0</v>
      </c>
      <c r="L684" s="260">
        <v>0</v>
      </c>
      <c r="M684" s="260">
        <v>0</v>
      </c>
      <c r="N684" s="260">
        <v>0</v>
      </c>
      <c r="O684" s="264">
        <v>298524</v>
      </c>
      <c r="P684" s="264">
        <v>80064</v>
      </c>
      <c r="Q684" s="264">
        <v>7032</v>
      </c>
      <c r="R684" s="264">
        <v>0</v>
      </c>
      <c r="S684" s="60">
        <v>385620</v>
      </c>
      <c r="T684" s="60">
        <v>0</v>
      </c>
      <c r="W684" s="272">
        <v>385620</v>
      </c>
      <c r="X684" s="272">
        <f t="shared" si="1"/>
        <v>0</v>
      </c>
    </row>
    <row r="685" spans="1:24">
      <c r="A685" t="s">
        <v>18425</v>
      </c>
      <c r="B685" s="262">
        <v>44267</v>
      </c>
      <c r="C685" t="s">
        <v>16957</v>
      </c>
      <c r="D685" t="s">
        <v>17451</v>
      </c>
      <c r="E685" s="60">
        <v>0</v>
      </c>
      <c r="F685" s="60">
        <v>41934.519999999997</v>
      </c>
      <c r="G685" s="60">
        <v>41934.519999999997</v>
      </c>
      <c r="H685" s="60">
        <v>0</v>
      </c>
      <c r="I685" s="60">
        <v>0</v>
      </c>
      <c r="J685" s="60">
        <v>0</v>
      </c>
      <c r="K685" s="260">
        <v>0</v>
      </c>
      <c r="L685" s="260">
        <v>0</v>
      </c>
      <c r="M685" s="260">
        <v>0</v>
      </c>
      <c r="N685" s="260">
        <v>0</v>
      </c>
      <c r="O685" s="264">
        <v>41934.519999999997</v>
      </c>
      <c r="P685" s="264">
        <v>0</v>
      </c>
      <c r="Q685" s="264">
        <v>0</v>
      </c>
      <c r="R685" s="264">
        <v>0</v>
      </c>
      <c r="S685" s="60">
        <v>41934.519999999997</v>
      </c>
      <c r="T685" s="60">
        <v>0</v>
      </c>
      <c r="W685" s="272">
        <v>41934.519999999997</v>
      </c>
      <c r="X685" s="272">
        <f t="shared" si="1"/>
        <v>0</v>
      </c>
    </row>
    <row r="686" spans="1:24">
      <c r="A686" t="s">
        <v>18426</v>
      </c>
      <c r="B686" s="262">
        <v>44267</v>
      </c>
      <c r="C686" t="s">
        <v>17017</v>
      </c>
      <c r="D686" t="s">
        <v>17430</v>
      </c>
      <c r="E686" s="60">
        <v>0</v>
      </c>
      <c r="F686" s="60">
        <v>1226.68</v>
      </c>
      <c r="G686" s="60">
        <v>0</v>
      </c>
      <c r="H686" s="60">
        <v>1226.7080000000001</v>
      </c>
      <c r="I686" s="60">
        <v>0</v>
      </c>
      <c r="J686" s="60">
        <v>0</v>
      </c>
      <c r="K686" s="260">
        <v>0</v>
      </c>
      <c r="L686" s="260">
        <v>0</v>
      </c>
      <c r="M686" s="260">
        <v>0</v>
      </c>
      <c r="N686" s="260">
        <v>0</v>
      </c>
      <c r="O686" s="264">
        <v>0</v>
      </c>
      <c r="P686" s="264">
        <v>1226.7080000000001</v>
      </c>
      <c r="Q686" s="264">
        <v>0</v>
      </c>
      <c r="R686" s="264">
        <v>0</v>
      </c>
      <c r="S686" s="60">
        <v>1226.7080000000001</v>
      </c>
      <c r="T686" s="60">
        <v>-2.8000000000020009E-2</v>
      </c>
      <c r="W686" s="272">
        <v>1226.7080000000001</v>
      </c>
      <c r="X686" s="272">
        <f t="shared" si="1"/>
        <v>-2.8000000000020009E-2</v>
      </c>
    </row>
    <row r="687" spans="1:24">
      <c r="A687" t="s">
        <v>18427</v>
      </c>
      <c r="B687" s="262">
        <v>44267</v>
      </c>
      <c r="C687" t="s">
        <v>16444</v>
      </c>
      <c r="D687" t="s">
        <v>16445</v>
      </c>
      <c r="E687" s="60">
        <v>0</v>
      </c>
      <c r="F687" s="60">
        <v>202176</v>
      </c>
      <c r="G687" s="60">
        <v>202176</v>
      </c>
      <c r="H687" s="60">
        <v>0</v>
      </c>
      <c r="I687" s="60">
        <v>0</v>
      </c>
      <c r="J687" s="60">
        <v>0</v>
      </c>
      <c r="K687" s="260">
        <v>0</v>
      </c>
      <c r="L687" s="260">
        <v>0</v>
      </c>
      <c r="M687" s="260">
        <v>0</v>
      </c>
      <c r="N687" s="260">
        <v>0</v>
      </c>
      <c r="O687" s="264">
        <v>202176</v>
      </c>
      <c r="P687" s="264">
        <v>0</v>
      </c>
      <c r="Q687" s="264">
        <v>0</v>
      </c>
      <c r="R687" s="264">
        <v>0</v>
      </c>
      <c r="S687" s="60">
        <v>202176</v>
      </c>
      <c r="T687" s="60">
        <v>0</v>
      </c>
      <c r="W687" s="272">
        <v>202176</v>
      </c>
      <c r="X687" s="272">
        <f t="shared" si="1"/>
        <v>0</v>
      </c>
    </row>
    <row r="688" spans="1:24">
      <c r="A688" t="s">
        <v>18428</v>
      </c>
      <c r="B688" s="262">
        <v>44267</v>
      </c>
      <c r="C688" t="s">
        <v>16783</v>
      </c>
      <c r="D688" t="s">
        <v>17509</v>
      </c>
      <c r="E688" s="60">
        <v>0</v>
      </c>
      <c r="F688" s="60">
        <v>214288.927</v>
      </c>
      <c r="G688" s="60">
        <v>0</v>
      </c>
      <c r="H688" s="60">
        <v>0</v>
      </c>
      <c r="I688" s="60">
        <v>0</v>
      </c>
      <c r="J688" s="60">
        <v>214288.92649999997</v>
      </c>
      <c r="K688" s="260">
        <v>0</v>
      </c>
      <c r="L688" s="260">
        <v>0</v>
      </c>
      <c r="M688" s="260">
        <v>0</v>
      </c>
      <c r="N688" s="260">
        <v>0</v>
      </c>
      <c r="O688" s="264">
        <v>0</v>
      </c>
      <c r="P688" s="264">
        <v>0</v>
      </c>
      <c r="Q688" s="264">
        <v>0</v>
      </c>
      <c r="R688" s="264">
        <v>214288.92649999997</v>
      </c>
      <c r="S688" s="60">
        <v>214288.92649999997</v>
      </c>
      <c r="T688" s="60">
        <v>5.0000002374872565E-4</v>
      </c>
      <c r="W688" s="272">
        <v>214288.9265</v>
      </c>
      <c r="X688" s="272">
        <f t="shared" si="1"/>
        <v>4.999999946448952E-4</v>
      </c>
    </row>
    <row r="689" spans="1:24">
      <c r="A689" t="s">
        <v>18429</v>
      </c>
      <c r="B689" s="262">
        <v>44287</v>
      </c>
      <c r="C689" t="s">
        <v>16872</v>
      </c>
      <c r="D689" t="s">
        <v>16873</v>
      </c>
      <c r="E689" s="60">
        <v>0</v>
      </c>
      <c r="F689" s="60">
        <v>39781.839999999997</v>
      </c>
      <c r="G689" s="60">
        <v>29771.567999999999</v>
      </c>
      <c r="H689" s="60">
        <v>10010.2716</v>
      </c>
      <c r="I689" s="60">
        <v>0</v>
      </c>
      <c r="J689" s="60">
        <v>0</v>
      </c>
      <c r="K689" s="260">
        <v>0</v>
      </c>
      <c r="L689" s="260">
        <v>0</v>
      </c>
      <c r="M689" s="260">
        <v>0</v>
      </c>
      <c r="N689" s="260">
        <v>0</v>
      </c>
      <c r="O689" s="264">
        <v>29771.567999999999</v>
      </c>
      <c r="P689" s="264">
        <v>10010.2716</v>
      </c>
      <c r="Q689" s="264">
        <v>0</v>
      </c>
      <c r="R689" s="264">
        <v>0</v>
      </c>
      <c r="S689" s="60">
        <v>39781.839599999999</v>
      </c>
      <c r="T689" s="60">
        <v>3.9999999717110768E-4</v>
      </c>
      <c r="W689" s="272">
        <v>39781.839599999999</v>
      </c>
      <c r="X689" s="272">
        <f t="shared" si="1"/>
        <v>3.9999999717110768E-4</v>
      </c>
    </row>
    <row r="690" spans="1:24">
      <c r="A690" t="s">
        <v>18430</v>
      </c>
      <c r="B690" s="262">
        <v>44267</v>
      </c>
      <c r="C690" t="s">
        <v>16972</v>
      </c>
      <c r="D690" t="s">
        <v>17424</v>
      </c>
      <c r="E690" s="60">
        <v>0</v>
      </c>
      <c r="F690" s="60">
        <v>140000</v>
      </c>
      <c r="G690" s="60">
        <v>0</v>
      </c>
      <c r="H690" s="60">
        <v>140000</v>
      </c>
      <c r="I690" s="60">
        <v>0</v>
      </c>
      <c r="J690" s="60">
        <v>0</v>
      </c>
      <c r="K690" s="260">
        <v>0</v>
      </c>
      <c r="L690" s="260">
        <v>0</v>
      </c>
      <c r="M690" s="260">
        <v>0</v>
      </c>
      <c r="N690" s="260">
        <v>0</v>
      </c>
      <c r="O690" s="264">
        <v>0</v>
      </c>
      <c r="P690" s="264">
        <v>140000</v>
      </c>
      <c r="Q690" s="264">
        <v>0</v>
      </c>
      <c r="R690" s="264">
        <v>0</v>
      </c>
      <c r="S690" s="60">
        <v>140000</v>
      </c>
      <c r="T690" s="60">
        <v>0</v>
      </c>
      <c r="W690" s="272">
        <v>140000</v>
      </c>
    </row>
    <row r="691" spans="1:24">
      <c r="A691" t="s">
        <v>18431</v>
      </c>
      <c r="B691" s="262">
        <v>44272</v>
      </c>
      <c r="C691" t="s">
        <v>17233</v>
      </c>
      <c r="D691" t="s">
        <v>17234</v>
      </c>
      <c r="E691" s="60">
        <v>0</v>
      </c>
      <c r="F691" s="60">
        <v>1734259.8510000003</v>
      </c>
      <c r="G691" s="60">
        <v>0</v>
      </c>
      <c r="H691" s="60">
        <v>885769.57965600025</v>
      </c>
      <c r="I691" s="60">
        <v>724706.52134399966</v>
      </c>
      <c r="J691" s="60">
        <v>0</v>
      </c>
      <c r="K691" s="260">
        <v>0</v>
      </c>
      <c r="L691" s="260">
        <v>68081.656187050365</v>
      </c>
      <c r="M691" s="260">
        <v>55702.093812949643</v>
      </c>
      <c r="N691" s="260">
        <v>0</v>
      </c>
      <c r="O691" s="264">
        <v>0</v>
      </c>
      <c r="P691" s="264">
        <v>953851.23584305064</v>
      </c>
      <c r="Q691" s="264">
        <v>780408.61515694926</v>
      </c>
      <c r="R691" s="264">
        <v>0</v>
      </c>
      <c r="S691" s="60">
        <v>1734259.8509999998</v>
      </c>
      <c r="T691" s="60">
        <v>0</v>
      </c>
      <c r="W691" s="272">
        <v>1734259.851</v>
      </c>
    </row>
    <row r="692" spans="1:24">
      <c r="A692" t="s">
        <v>18432</v>
      </c>
      <c r="B692" s="262">
        <v>44287</v>
      </c>
      <c r="C692" t="s">
        <v>17287</v>
      </c>
      <c r="D692" t="s">
        <v>18398</v>
      </c>
      <c r="E692" s="60">
        <v>0</v>
      </c>
      <c r="F692" s="60">
        <v>99072</v>
      </c>
      <c r="G692" s="60">
        <v>99072</v>
      </c>
      <c r="H692" s="60">
        <v>0</v>
      </c>
      <c r="I692" s="60">
        <v>0</v>
      </c>
      <c r="J692" s="60">
        <v>0</v>
      </c>
      <c r="K692" s="260">
        <v>0</v>
      </c>
      <c r="L692" s="260">
        <v>0</v>
      </c>
      <c r="M692" s="260">
        <v>0</v>
      </c>
      <c r="N692" s="260">
        <v>0</v>
      </c>
      <c r="O692" s="264">
        <v>99072</v>
      </c>
      <c r="P692" s="264">
        <v>0</v>
      </c>
      <c r="Q692" s="264">
        <v>0</v>
      </c>
      <c r="R692" s="264">
        <v>0</v>
      </c>
      <c r="S692" s="60">
        <v>99072</v>
      </c>
      <c r="T692" s="60">
        <v>0</v>
      </c>
      <c r="W692" s="272">
        <v>99072</v>
      </c>
    </row>
    <row r="693" spans="1:24">
      <c r="A693" t="s">
        <v>18433</v>
      </c>
      <c r="B693" s="262">
        <v>44280</v>
      </c>
      <c r="C693" t="s">
        <v>16470</v>
      </c>
      <c r="D693" t="s">
        <v>16471</v>
      </c>
      <c r="E693" s="60">
        <v>0</v>
      </c>
      <c r="F693" s="60">
        <v>571207.63500000001</v>
      </c>
      <c r="G693" s="60">
        <v>42689.611199999985</v>
      </c>
      <c r="H693" s="60">
        <v>410849.43977999984</v>
      </c>
      <c r="I693" s="60">
        <v>0</v>
      </c>
      <c r="J693" s="60">
        <v>0</v>
      </c>
      <c r="K693" s="260">
        <v>9281.6602214918548</v>
      </c>
      <c r="L693" s="260">
        <v>108386.92352850815</v>
      </c>
      <c r="M693" s="260">
        <v>0</v>
      </c>
      <c r="N693" s="260">
        <v>0</v>
      </c>
      <c r="O693" s="264">
        <v>51971.271421491838</v>
      </c>
      <c r="P693" s="264">
        <v>519236.36330850801</v>
      </c>
      <c r="Q693" s="264">
        <v>0</v>
      </c>
      <c r="R693" s="264">
        <v>0</v>
      </c>
      <c r="S693" s="60">
        <v>571207.63472999982</v>
      </c>
      <c r="T693" s="60">
        <v>2.7000019326806068E-4</v>
      </c>
      <c r="W693" s="272">
        <v>571207.63473000005</v>
      </c>
    </row>
    <row r="694" spans="1:24">
      <c r="A694" t="s">
        <v>18434</v>
      </c>
      <c r="B694" s="262">
        <v>44287</v>
      </c>
      <c r="C694" t="s">
        <v>16838</v>
      </c>
      <c r="D694" t="s">
        <v>16839</v>
      </c>
      <c r="E694" s="60">
        <v>0</v>
      </c>
      <c r="F694" s="60">
        <v>124125.12</v>
      </c>
      <c r="G694" s="60">
        <v>0</v>
      </c>
      <c r="H694" s="60">
        <v>124125.12</v>
      </c>
      <c r="I694" s="60">
        <v>0</v>
      </c>
      <c r="J694" s="60">
        <v>0</v>
      </c>
      <c r="K694" s="260">
        <v>0</v>
      </c>
      <c r="L694" s="260">
        <v>0</v>
      </c>
      <c r="M694" s="260">
        <v>0</v>
      </c>
      <c r="N694" s="260">
        <v>0</v>
      </c>
      <c r="O694" s="264">
        <v>0</v>
      </c>
      <c r="P694" s="264">
        <v>124125.12</v>
      </c>
      <c r="Q694" s="264">
        <v>0</v>
      </c>
      <c r="R694" s="264">
        <v>0</v>
      </c>
      <c r="S694" s="60">
        <v>124125.12</v>
      </c>
      <c r="T694" s="60">
        <v>0</v>
      </c>
      <c r="W694" s="272">
        <v>124125.12</v>
      </c>
    </row>
    <row r="695" spans="1:24">
      <c r="A695" t="s">
        <v>18435</v>
      </c>
      <c r="B695" s="262">
        <v>44287</v>
      </c>
      <c r="C695" t="s">
        <v>16560</v>
      </c>
      <c r="D695" t="s">
        <v>16561</v>
      </c>
      <c r="E695" s="60">
        <v>0</v>
      </c>
      <c r="F695" s="60">
        <v>163799.92800000001</v>
      </c>
      <c r="G695" s="60">
        <v>0</v>
      </c>
      <c r="H695" s="60">
        <v>0</v>
      </c>
      <c r="I695" s="60">
        <v>163799.92800000001</v>
      </c>
      <c r="J695" s="60">
        <v>0</v>
      </c>
      <c r="K695" s="260">
        <v>0</v>
      </c>
      <c r="L695" s="260">
        <v>0</v>
      </c>
      <c r="M695" s="260">
        <v>0</v>
      </c>
      <c r="N695" s="260">
        <v>0</v>
      </c>
      <c r="O695" s="264">
        <v>0</v>
      </c>
      <c r="P695" s="264">
        <v>0</v>
      </c>
      <c r="Q695" s="264">
        <v>163799.92800000001</v>
      </c>
      <c r="R695" s="264">
        <v>0</v>
      </c>
      <c r="S695" s="60">
        <v>163799.92800000001</v>
      </c>
      <c r="T695" s="60">
        <v>0</v>
      </c>
      <c r="W695" s="272">
        <v>163799.92799999999</v>
      </c>
    </row>
    <row r="696" spans="1:24">
      <c r="A696" t="s">
        <v>18436</v>
      </c>
      <c r="B696" s="262">
        <v>44287</v>
      </c>
      <c r="C696" t="s">
        <v>16560</v>
      </c>
      <c r="D696" t="s">
        <v>16561</v>
      </c>
      <c r="E696" s="60">
        <v>0</v>
      </c>
      <c r="F696" s="60">
        <v>163901.772</v>
      </c>
      <c r="G696" s="60">
        <v>0</v>
      </c>
      <c r="H696" s="60">
        <v>0</v>
      </c>
      <c r="I696" s="60">
        <v>163901.772</v>
      </c>
      <c r="J696" s="60">
        <v>0</v>
      </c>
      <c r="K696" s="260">
        <v>0</v>
      </c>
      <c r="L696" s="260">
        <v>0</v>
      </c>
      <c r="M696" s="260">
        <v>0</v>
      </c>
      <c r="N696" s="260">
        <v>0</v>
      </c>
      <c r="O696" s="264">
        <v>0</v>
      </c>
      <c r="P696" s="264">
        <v>0</v>
      </c>
      <c r="Q696" s="264">
        <v>163901.772</v>
      </c>
      <c r="R696" s="264">
        <v>0</v>
      </c>
      <c r="S696" s="60">
        <v>163901.772</v>
      </c>
      <c r="T696" s="60">
        <v>0</v>
      </c>
      <c r="W696" s="272">
        <v>163901.772</v>
      </c>
    </row>
    <row r="697" spans="1:24">
      <c r="A697" t="s">
        <v>18437</v>
      </c>
      <c r="B697" s="262">
        <v>44287</v>
      </c>
      <c r="C697" t="s">
        <v>16560</v>
      </c>
      <c r="D697" t="s">
        <v>16561</v>
      </c>
      <c r="E697" s="60">
        <v>0</v>
      </c>
      <c r="F697" s="60">
        <v>163971.32399999999</v>
      </c>
      <c r="G697" s="60">
        <v>0</v>
      </c>
      <c r="H697" s="60">
        <v>0</v>
      </c>
      <c r="I697" s="60">
        <v>163971.32399999999</v>
      </c>
      <c r="J697" s="60">
        <v>0</v>
      </c>
      <c r="K697" s="260">
        <v>0</v>
      </c>
      <c r="L697" s="260">
        <v>0</v>
      </c>
      <c r="M697" s="260">
        <v>0</v>
      </c>
      <c r="N697" s="260">
        <v>0</v>
      </c>
      <c r="O697" s="264">
        <v>0</v>
      </c>
      <c r="P697" s="264">
        <v>0</v>
      </c>
      <c r="Q697" s="264">
        <v>163971.32399999999</v>
      </c>
      <c r="R697" s="264">
        <v>0</v>
      </c>
      <c r="S697" s="60">
        <v>163971.32399999999</v>
      </c>
      <c r="T697" s="60">
        <v>0</v>
      </c>
      <c r="W697" s="272">
        <v>163971.32399999999</v>
      </c>
    </row>
    <row r="698" spans="1:24">
      <c r="A698" t="s">
        <v>18438</v>
      </c>
      <c r="B698" s="262">
        <v>44287</v>
      </c>
      <c r="C698" t="s">
        <v>16384</v>
      </c>
      <c r="D698" t="s">
        <v>16385</v>
      </c>
      <c r="E698" s="60">
        <v>0</v>
      </c>
      <c r="F698" s="60">
        <v>383600</v>
      </c>
      <c r="G698" s="60">
        <v>0</v>
      </c>
      <c r="H698" s="60">
        <v>0</v>
      </c>
      <c r="I698" s="60">
        <v>383600</v>
      </c>
      <c r="J698" s="60">
        <v>0</v>
      </c>
      <c r="K698" s="260">
        <v>0</v>
      </c>
      <c r="L698" s="260">
        <v>0</v>
      </c>
      <c r="M698" s="260">
        <v>0</v>
      </c>
      <c r="N698" s="260">
        <v>0</v>
      </c>
      <c r="O698" s="264">
        <v>0</v>
      </c>
      <c r="P698" s="264">
        <v>0</v>
      </c>
      <c r="Q698" s="264">
        <v>383600</v>
      </c>
      <c r="R698" s="264">
        <v>0</v>
      </c>
      <c r="S698" s="60">
        <v>383600</v>
      </c>
      <c r="T698" s="60">
        <v>0</v>
      </c>
      <c r="W698" s="272">
        <v>383600</v>
      </c>
    </row>
    <row r="699" spans="1:24">
      <c r="A699" t="s">
        <v>18439</v>
      </c>
      <c r="B699" s="262">
        <v>44287</v>
      </c>
      <c r="C699" t="s">
        <v>17291</v>
      </c>
      <c r="D699" t="s">
        <v>18440</v>
      </c>
      <c r="E699" s="60">
        <v>0</v>
      </c>
      <c r="F699" s="60">
        <v>46513.120000000003</v>
      </c>
      <c r="G699" s="60">
        <v>0</v>
      </c>
      <c r="H699" s="60">
        <v>29393.696160000003</v>
      </c>
      <c r="I699" s="60">
        <v>14023.71</v>
      </c>
      <c r="J699" s="60">
        <v>3095.7134799999999</v>
      </c>
      <c r="K699" s="260">
        <v>0</v>
      </c>
      <c r="L699" s="260">
        <v>0</v>
      </c>
      <c r="M699" s="260">
        <v>0</v>
      </c>
      <c r="N699" s="260">
        <v>0</v>
      </c>
      <c r="O699" s="264">
        <v>0</v>
      </c>
      <c r="P699" s="264">
        <v>29393.696160000003</v>
      </c>
      <c r="Q699" s="264">
        <v>14023.71</v>
      </c>
      <c r="R699" s="264">
        <v>3095.7134799999999</v>
      </c>
      <c r="S699" s="60">
        <v>46513.119639999997</v>
      </c>
      <c r="T699" s="60">
        <v>3.6000000545755029E-4</v>
      </c>
      <c r="W699" s="272">
        <v>46513.119640000004</v>
      </c>
    </row>
    <row r="700" spans="1:24">
      <c r="A700" t="s">
        <v>18441</v>
      </c>
      <c r="B700" s="262">
        <v>44287</v>
      </c>
      <c r="C700" t="s">
        <v>16957</v>
      </c>
      <c r="D700" t="s">
        <v>17451</v>
      </c>
      <c r="E700" s="60">
        <v>0</v>
      </c>
      <c r="F700" s="60">
        <v>83629.5</v>
      </c>
      <c r="G700" s="60">
        <v>83629.5</v>
      </c>
      <c r="H700" s="60">
        <v>0</v>
      </c>
      <c r="I700" s="60">
        <v>0</v>
      </c>
      <c r="J700" s="60">
        <v>0</v>
      </c>
      <c r="K700" s="260">
        <v>0</v>
      </c>
      <c r="L700" s="260">
        <v>0</v>
      </c>
      <c r="M700" s="260">
        <v>0</v>
      </c>
      <c r="N700" s="260">
        <v>0</v>
      </c>
      <c r="O700" s="264">
        <v>83629.5</v>
      </c>
      <c r="P700" s="264">
        <v>0</v>
      </c>
      <c r="Q700" s="264">
        <v>0</v>
      </c>
      <c r="R700" s="264">
        <v>0</v>
      </c>
      <c r="S700" s="60">
        <v>83629.5</v>
      </c>
      <c r="T700" s="60">
        <v>0</v>
      </c>
      <c r="W700" s="272">
        <v>83629.5</v>
      </c>
    </row>
    <row r="701" spans="1:24">
      <c r="A701" t="s">
        <v>18442</v>
      </c>
      <c r="B701" s="262">
        <v>44287</v>
      </c>
      <c r="C701" t="s">
        <v>17017</v>
      </c>
      <c r="D701" t="s">
        <v>17430</v>
      </c>
      <c r="E701" s="60">
        <v>0</v>
      </c>
      <c r="F701" s="60">
        <v>35879.64</v>
      </c>
      <c r="G701" s="60">
        <v>0</v>
      </c>
      <c r="H701" s="60">
        <v>0</v>
      </c>
      <c r="I701" s="60">
        <v>35880.527999999998</v>
      </c>
      <c r="J701" s="60">
        <v>0</v>
      </c>
      <c r="K701" s="260">
        <v>0</v>
      </c>
      <c r="L701" s="260">
        <v>0</v>
      </c>
      <c r="M701" s="260">
        <v>0</v>
      </c>
      <c r="N701" s="260">
        <v>0</v>
      </c>
      <c r="O701" s="264">
        <v>0</v>
      </c>
      <c r="P701" s="264">
        <v>0</v>
      </c>
      <c r="Q701" s="264">
        <v>35880.527999999998</v>
      </c>
      <c r="R701" s="264">
        <v>0</v>
      </c>
      <c r="S701" s="60">
        <v>35880.527999999998</v>
      </c>
      <c r="T701" s="60">
        <v>-0.88799999999901047</v>
      </c>
      <c r="W701" s="272">
        <v>35880.527999999998</v>
      </c>
    </row>
    <row r="702" spans="1:24">
      <c r="A702" t="s">
        <v>18443</v>
      </c>
      <c r="B702" s="262">
        <v>44287</v>
      </c>
      <c r="C702" t="s">
        <v>17017</v>
      </c>
      <c r="D702" t="s">
        <v>17430</v>
      </c>
      <c r="E702" s="60">
        <v>0</v>
      </c>
      <c r="F702" s="60">
        <v>68450.5</v>
      </c>
      <c r="G702" s="60">
        <v>20844</v>
      </c>
      <c r="H702" s="60">
        <v>16416</v>
      </c>
      <c r="I702" s="60">
        <v>23976</v>
      </c>
      <c r="J702" s="60">
        <v>7214.5</v>
      </c>
      <c r="K702" s="260">
        <v>0</v>
      </c>
      <c r="L702" s="260">
        <v>0</v>
      </c>
      <c r="M702" s="260">
        <v>0</v>
      </c>
      <c r="N702" s="260">
        <v>0</v>
      </c>
      <c r="O702" s="264">
        <v>20844</v>
      </c>
      <c r="P702" s="264">
        <v>16416</v>
      </c>
      <c r="Q702" s="264">
        <v>23976</v>
      </c>
      <c r="R702" s="264">
        <v>7214.5</v>
      </c>
      <c r="S702" s="60">
        <v>68450.5</v>
      </c>
      <c r="T702" s="60">
        <v>0</v>
      </c>
      <c r="W702" s="272">
        <v>68450.5</v>
      </c>
    </row>
    <row r="703" spans="1:24">
      <c r="A703" t="s">
        <v>18444</v>
      </c>
      <c r="B703" s="262">
        <v>44288</v>
      </c>
      <c r="C703" t="s">
        <v>16444</v>
      </c>
      <c r="D703" t="s">
        <v>16445</v>
      </c>
      <c r="E703" s="60">
        <v>0</v>
      </c>
      <c r="F703" s="60">
        <v>77669.759999999995</v>
      </c>
      <c r="G703" s="60">
        <v>37853.760000000002</v>
      </c>
      <c r="H703" s="60">
        <v>39816</v>
      </c>
      <c r="I703" s="60">
        <v>0</v>
      </c>
      <c r="J703" s="60">
        <v>0</v>
      </c>
      <c r="K703" s="260">
        <v>0</v>
      </c>
      <c r="L703" s="260">
        <v>0</v>
      </c>
      <c r="M703" s="260">
        <v>0</v>
      </c>
      <c r="N703" s="260">
        <v>0</v>
      </c>
      <c r="O703" s="264">
        <v>37853.760000000002</v>
      </c>
      <c r="P703" s="264">
        <v>39816</v>
      </c>
      <c r="Q703" s="264">
        <v>0</v>
      </c>
      <c r="R703" s="264">
        <v>0</v>
      </c>
      <c r="S703" s="60">
        <v>77669.760000000009</v>
      </c>
      <c r="T703" s="60">
        <v>0</v>
      </c>
      <c r="W703" s="272">
        <v>77669.759999999995</v>
      </c>
    </row>
    <row r="704" spans="1:24">
      <c r="A704" t="s">
        <v>18445</v>
      </c>
      <c r="B704" s="262">
        <v>44291</v>
      </c>
      <c r="C704" t="s">
        <v>16444</v>
      </c>
      <c r="D704" t="s">
        <v>16445</v>
      </c>
      <c r="E704" s="60">
        <v>0</v>
      </c>
      <c r="F704" s="60">
        <v>75657.84</v>
      </c>
      <c r="G704" s="60">
        <v>75657.84</v>
      </c>
      <c r="H704" s="60">
        <v>0</v>
      </c>
      <c r="I704" s="60">
        <v>0</v>
      </c>
      <c r="J704" s="60">
        <v>0</v>
      </c>
      <c r="K704" s="260">
        <v>0</v>
      </c>
      <c r="L704" s="260">
        <v>0</v>
      </c>
      <c r="M704" s="260">
        <v>0</v>
      </c>
      <c r="N704" s="260">
        <v>0</v>
      </c>
      <c r="O704" s="264">
        <v>75657.84</v>
      </c>
      <c r="P704" s="264">
        <v>0</v>
      </c>
      <c r="Q704" s="264">
        <v>0</v>
      </c>
      <c r="R704" s="264">
        <v>0</v>
      </c>
      <c r="S704" s="60">
        <v>75657.84</v>
      </c>
      <c r="T704" s="60">
        <v>0</v>
      </c>
      <c r="W704" s="272">
        <v>75657.84</v>
      </c>
    </row>
    <row r="705" spans="1:23">
      <c r="A705" t="s">
        <v>18446</v>
      </c>
      <c r="B705" s="262">
        <v>44291</v>
      </c>
      <c r="C705" t="s">
        <v>17200</v>
      </c>
      <c r="D705" t="s">
        <v>17645</v>
      </c>
      <c r="E705" s="60">
        <v>0</v>
      </c>
      <c r="F705" s="60">
        <v>43412.82</v>
      </c>
      <c r="G705" s="60">
        <v>43412.82</v>
      </c>
      <c r="H705" s="60">
        <v>0</v>
      </c>
      <c r="I705" s="60">
        <v>0</v>
      </c>
      <c r="J705" s="60">
        <v>0</v>
      </c>
      <c r="K705" s="260">
        <v>0</v>
      </c>
      <c r="L705" s="260">
        <v>0</v>
      </c>
      <c r="M705" s="260">
        <v>0</v>
      </c>
      <c r="N705" s="260">
        <v>0</v>
      </c>
      <c r="O705" s="264">
        <v>43412.82</v>
      </c>
      <c r="P705" s="264">
        <v>0</v>
      </c>
      <c r="Q705" s="264">
        <v>0</v>
      </c>
      <c r="R705" s="264">
        <v>0</v>
      </c>
      <c r="S705" s="60">
        <v>43412.82</v>
      </c>
      <c r="T705" s="60">
        <v>0</v>
      </c>
      <c r="W705" s="272">
        <v>43412.82</v>
      </c>
    </row>
    <row r="706" spans="1:23" s="257" customFormat="1" ht="12.95">
      <c r="A706" t="s">
        <v>18447</v>
      </c>
      <c r="B706" s="262">
        <v>44294</v>
      </c>
      <c r="C706" t="s">
        <v>16444</v>
      </c>
      <c r="D706" t="s">
        <v>16445</v>
      </c>
      <c r="E706" s="60">
        <v>0</v>
      </c>
      <c r="F706" s="60">
        <v>33822.5</v>
      </c>
      <c r="G706" s="60">
        <v>33822.5</v>
      </c>
      <c r="H706" s="60">
        <v>0</v>
      </c>
      <c r="I706" s="60">
        <v>0</v>
      </c>
      <c r="J706" s="60">
        <v>0</v>
      </c>
      <c r="K706" s="31">
        <v>0</v>
      </c>
      <c r="L706" s="31">
        <v>0</v>
      </c>
      <c r="M706" s="31">
        <v>0</v>
      </c>
      <c r="N706" s="31">
        <v>0</v>
      </c>
      <c r="O706" s="31">
        <v>33822.5</v>
      </c>
      <c r="P706" s="31">
        <v>0</v>
      </c>
      <c r="Q706" s="31">
        <v>0</v>
      </c>
      <c r="R706" s="31">
        <v>0</v>
      </c>
      <c r="S706" s="31">
        <v>33822.5</v>
      </c>
      <c r="T706" s="31">
        <v>0</v>
      </c>
      <c r="W706" s="272">
        <v>33822.5</v>
      </c>
    </row>
    <row r="707" spans="1:23" s="257" customFormat="1" ht="12.95">
      <c r="A707" t="s">
        <v>18448</v>
      </c>
      <c r="B707" s="262">
        <v>44348</v>
      </c>
      <c r="C707" t="s">
        <v>16444</v>
      </c>
      <c r="D707" t="s">
        <v>16445</v>
      </c>
      <c r="E707" s="60">
        <v>0</v>
      </c>
      <c r="F707" s="60">
        <v>190520</v>
      </c>
      <c r="G707" s="60">
        <v>0</v>
      </c>
      <c r="H707" s="60">
        <v>186800</v>
      </c>
      <c r="I707" s="60">
        <v>3720</v>
      </c>
      <c r="J707" s="60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186800</v>
      </c>
      <c r="Q707" s="31">
        <v>3720</v>
      </c>
      <c r="R707" s="31">
        <v>0</v>
      </c>
      <c r="S707" s="31">
        <v>190520</v>
      </c>
      <c r="T707" s="31">
        <v>0</v>
      </c>
      <c r="W707" s="272">
        <v>190520</v>
      </c>
    </row>
    <row r="708" spans="1:23" s="258" customFormat="1">
      <c r="A708" t="s">
        <v>18449</v>
      </c>
      <c r="B708" s="262">
        <v>44348</v>
      </c>
      <c r="C708" t="s">
        <v>16444</v>
      </c>
      <c r="D708" t="s">
        <v>16445</v>
      </c>
      <c r="E708" s="60">
        <v>0</v>
      </c>
      <c r="F708" s="60">
        <v>24000</v>
      </c>
      <c r="G708" s="60">
        <v>0</v>
      </c>
      <c r="H708" s="60">
        <v>24000</v>
      </c>
      <c r="I708" s="60">
        <v>0</v>
      </c>
      <c r="J708" s="60">
        <v>0</v>
      </c>
      <c r="K708" s="141">
        <v>0</v>
      </c>
      <c r="L708" s="141">
        <v>0</v>
      </c>
      <c r="M708" s="141">
        <v>0</v>
      </c>
      <c r="N708" s="141">
        <v>0</v>
      </c>
      <c r="O708" s="141">
        <v>0</v>
      </c>
      <c r="P708" s="141">
        <v>24000</v>
      </c>
      <c r="Q708" s="141">
        <v>0</v>
      </c>
      <c r="R708" s="141">
        <v>0</v>
      </c>
      <c r="S708" s="141">
        <v>24000</v>
      </c>
      <c r="T708" s="141">
        <v>0</v>
      </c>
      <c r="W708" s="272">
        <v>24000</v>
      </c>
    </row>
    <row r="709" spans="1:23">
      <c r="A709" t="s">
        <v>18450</v>
      </c>
      <c r="B709" s="262">
        <v>44299</v>
      </c>
      <c r="C709" t="s">
        <v>17017</v>
      </c>
      <c r="D709" t="s">
        <v>17430</v>
      </c>
      <c r="E709" s="60">
        <v>0</v>
      </c>
      <c r="F709" s="60">
        <v>13194.32</v>
      </c>
      <c r="G709" s="60">
        <v>0</v>
      </c>
      <c r="H709" s="60">
        <v>5650.32</v>
      </c>
      <c r="I709" s="60">
        <v>0</v>
      </c>
      <c r="J709" s="60">
        <v>7544</v>
      </c>
      <c r="K709" s="260">
        <v>0</v>
      </c>
      <c r="L709" s="260">
        <v>0</v>
      </c>
      <c r="M709" s="260">
        <v>0</v>
      </c>
      <c r="N709" s="260">
        <v>0</v>
      </c>
      <c r="O709" s="264">
        <v>0</v>
      </c>
      <c r="P709" s="264">
        <v>5650.32</v>
      </c>
      <c r="Q709" s="264">
        <v>0</v>
      </c>
      <c r="R709" s="264">
        <v>7544</v>
      </c>
      <c r="S709" s="60">
        <v>13194.32</v>
      </c>
      <c r="T709" s="60">
        <v>0</v>
      </c>
      <c r="W709" s="272">
        <v>13194.32</v>
      </c>
    </row>
    <row r="710" spans="1:23" s="252" customFormat="1">
      <c r="A710" t="s">
        <v>18451</v>
      </c>
      <c r="B710" s="262">
        <v>44301</v>
      </c>
      <c r="C710" t="s">
        <v>16838</v>
      </c>
      <c r="D710" t="s">
        <v>16839</v>
      </c>
      <c r="E710" s="60">
        <v>0</v>
      </c>
      <c r="F710" s="60">
        <v>120232.8</v>
      </c>
      <c r="G710" s="60">
        <v>0</v>
      </c>
      <c r="H710" s="60">
        <v>31372.799999999999</v>
      </c>
      <c r="I710" s="60">
        <v>84560</v>
      </c>
      <c r="J710" s="60">
        <v>4300</v>
      </c>
      <c r="K710" s="274">
        <v>0</v>
      </c>
      <c r="L710" s="274">
        <v>0</v>
      </c>
      <c r="M710" s="274">
        <v>0</v>
      </c>
      <c r="N710" s="274">
        <v>0</v>
      </c>
      <c r="O710" s="275">
        <v>0</v>
      </c>
      <c r="P710" s="275">
        <v>31372.799999999999</v>
      </c>
      <c r="Q710" s="275">
        <v>84560</v>
      </c>
      <c r="R710" s="275">
        <v>4300</v>
      </c>
      <c r="S710" s="276">
        <v>120232.8</v>
      </c>
      <c r="T710" s="276">
        <v>0</v>
      </c>
      <c r="W710" s="272">
        <v>120232.8</v>
      </c>
    </row>
    <row r="711" spans="1:23" s="252" customFormat="1">
      <c r="A711" t="s">
        <v>18452</v>
      </c>
      <c r="B711" s="262">
        <v>44303</v>
      </c>
      <c r="C711" t="s">
        <v>17209</v>
      </c>
      <c r="D711" t="s">
        <v>17210</v>
      </c>
      <c r="E711" s="60">
        <v>0</v>
      </c>
      <c r="F711" s="60">
        <v>49411.030999999995</v>
      </c>
      <c r="G711" s="60">
        <v>0</v>
      </c>
      <c r="H711" s="60">
        <v>32862.105000000003</v>
      </c>
      <c r="I711" s="60">
        <v>10657.98</v>
      </c>
      <c r="J711" s="60">
        <v>1504.94625</v>
      </c>
      <c r="K711" s="274">
        <v>0</v>
      </c>
      <c r="L711" s="274">
        <v>3229.4925373134329</v>
      </c>
      <c r="M711" s="274">
        <v>1047.4029850746269</v>
      </c>
      <c r="N711" s="274">
        <v>109.1044776119403</v>
      </c>
      <c r="O711" s="275">
        <v>0</v>
      </c>
      <c r="P711" s="275">
        <v>36091.597537313435</v>
      </c>
      <c r="Q711" s="275">
        <v>11705.382985074626</v>
      </c>
      <c r="R711" s="275">
        <v>1614.0507276119401</v>
      </c>
      <c r="S711" s="276">
        <v>49411.03125</v>
      </c>
      <c r="T711" s="276">
        <v>-2.5000000459840521E-4</v>
      </c>
      <c r="W711" s="272">
        <v>0</v>
      </c>
    </row>
    <row r="712" spans="1:23" s="252" customFormat="1">
      <c r="A712" t="s">
        <v>18453</v>
      </c>
      <c r="B712" s="262">
        <v>44303</v>
      </c>
      <c r="C712" t="s">
        <v>16470</v>
      </c>
      <c r="D712" t="s">
        <v>16471</v>
      </c>
      <c r="E712" s="60">
        <v>0</v>
      </c>
      <c r="F712" s="60">
        <v>208458.35600000003</v>
      </c>
      <c r="G712" s="60">
        <v>0</v>
      </c>
      <c r="H712" s="60">
        <v>0</v>
      </c>
      <c r="I712" s="60">
        <v>182457.60000000001</v>
      </c>
      <c r="J712" s="60">
        <v>0</v>
      </c>
      <c r="K712" s="274">
        <v>0</v>
      </c>
      <c r="L712" s="274">
        <v>0</v>
      </c>
      <c r="M712" s="274">
        <v>26000.756250000002</v>
      </c>
      <c r="N712" s="274">
        <v>0</v>
      </c>
      <c r="O712" s="275">
        <v>0</v>
      </c>
      <c r="P712" s="275">
        <v>0</v>
      </c>
      <c r="Q712" s="275">
        <v>208458.35625000001</v>
      </c>
      <c r="R712" s="275">
        <v>0</v>
      </c>
      <c r="S712" s="276">
        <v>208458.35625000001</v>
      </c>
      <c r="T712" s="276">
        <v>-2.4999998277053237E-4</v>
      </c>
      <c r="W712" s="272">
        <v>0</v>
      </c>
    </row>
    <row r="713" spans="1:23" s="252" customFormat="1">
      <c r="A713" t="s">
        <v>18454</v>
      </c>
      <c r="B713" s="262">
        <v>44303</v>
      </c>
      <c r="C713" t="s">
        <v>16470</v>
      </c>
      <c r="D713" t="s">
        <v>16471</v>
      </c>
      <c r="E713" s="60">
        <v>0</v>
      </c>
      <c r="F713" s="60">
        <v>381171.69</v>
      </c>
      <c r="G713" s="60">
        <v>59099.156999999999</v>
      </c>
      <c r="H713" s="60">
        <v>244851.52020000003</v>
      </c>
      <c r="I713" s="60">
        <v>0</v>
      </c>
      <c r="J713" s="60">
        <v>0</v>
      </c>
      <c r="K713" s="274">
        <v>12844.421056016005</v>
      </c>
      <c r="L713" s="274">
        <v>64376.591443983998</v>
      </c>
      <c r="M713" s="274">
        <v>0</v>
      </c>
      <c r="N713" s="274">
        <v>0</v>
      </c>
      <c r="O713" s="275">
        <v>71943.578056016006</v>
      </c>
      <c r="P713" s="275">
        <v>309228.11164398404</v>
      </c>
      <c r="Q713" s="275">
        <v>0</v>
      </c>
      <c r="R713" s="275">
        <v>0</v>
      </c>
      <c r="S713" s="276">
        <v>381171.68970000005</v>
      </c>
      <c r="T713" s="276">
        <v>2.9999995604157448E-4</v>
      </c>
      <c r="W713" s="272">
        <v>0</v>
      </c>
    </row>
    <row r="714" spans="1:23">
      <c r="A714" t="s">
        <v>18455</v>
      </c>
      <c r="B714" s="262">
        <v>44303</v>
      </c>
      <c r="C714" t="s">
        <v>16904</v>
      </c>
      <c r="D714" t="s">
        <v>16905</v>
      </c>
      <c r="E714" s="60">
        <v>0</v>
      </c>
      <c r="F714" s="60">
        <v>63759.898000000001</v>
      </c>
      <c r="G714" s="60">
        <v>0</v>
      </c>
      <c r="H714" s="60">
        <v>32414.878781999996</v>
      </c>
      <c r="I714" s="60">
        <v>20272.264277999999</v>
      </c>
      <c r="J714" s="60">
        <v>0</v>
      </c>
      <c r="K714" s="260">
        <v>0</v>
      </c>
      <c r="L714" s="260">
        <v>6790.4472058823521</v>
      </c>
      <c r="M714" s="260">
        <v>4282.3077941176471</v>
      </c>
      <c r="N714" s="260">
        <v>0</v>
      </c>
      <c r="O714" s="264">
        <v>0</v>
      </c>
      <c r="P714" s="264">
        <v>39205.325987882345</v>
      </c>
      <c r="Q714" s="264">
        <v>24554.572072117648</v>
      </c>
      <c r="R714" s="264">
        <v>0</v>
      </c>
      <c r="S714" s="60">
        <v>63759.898059999992</v>
      </c>
      <c r="T714" s="60">
        <v>-5.9999991208314896E-5</v>
      </c>
      <c r="W714" s="272">
        <v>0</v>
      </c>
    </row>
    <row r="715" spans="1:23">
      <c r="A715" t="s">
        <v>18456</v>
      </c>
      <c r="B715" s="262">
        <v>44303</v>
      </c>
      <c r="C715" t="s">
        <v>16957</v>
      </c>
      <c r="D715" t="s">
        <v>17451</v>
      </c>
      <c r="E715" s="60">
        <v>0</v>
      </c>
      <c r="F715" s="60">
        <v>82395</v>
      </c>
      <c r="G715" s="60">
        <v>82394.999999999985</v>
      </c>
      <c r="H715" s="60">
        <v>0</v>
      </c>
      <c r="I715" s="60">
        <v>0</v>
      </c>
      <c r="J715" s="60">
        <v>0</v>
      </c>
      <c r="K715" s="260">
        <v>0</v>
      </c>
      <c r="L715" s="260">
        <v>0</v>
      </c>
      <c r="M715" s="260">
        <v>0</v>
      </c>
      <c r="N715" s="260">
        <v>0</v>
      </c>
      <c r="O715" s="264">
        <v>82394.999999999985</v>
      </c>
      <c r="P715" s="264">
        <v>0</v>
      </c>
      <c r="Q715" s="264">
        <v>0</v>
      </c>
      <c r="R715" s="264">
        <v>0</v>
      </c>
      <c r="S715" s="60">
        <v>82394.999999999985</v>
      </c>
      <c r="T715" s="60">
        <v>0</v>
      </c>
      <c r="W715" s="272">
        <v>0</v>
      </c>
    </row>
    <row r="716" spans="1:23">
      <c r="A716" t="s">
        <v>18457</v>
      </c>
      <c r="B716" s="262">
        <v>44318</v>
      </c>
      <c r="C716" t="s">
        <v>16779</v>
      </c>
      <c r="D716" t="s">
        <v>17613</v>
      </c>
      <c r="E716" s="60">
        <v>0</v>
      </c>
      <c r="F716" s="60">
        <v>56644.54</v>
      </c>
      <c r="G716" s="60">
        <v>0</v>
      </c>
      <c r="H716" s="60">
        <v>34368.152279999995</v>
      </c>
      <c r="I716" s="60">
        <v>5647.7024999999985</v>
      </c>
      <c r="J716" s="60">
        <v>16628.685699999998</v>
      </c>
      <c r="K716" s="260">
        <v>0</v>
      </c>
      <c r="L716" s="260">
        <v>0</v>
      </c>
      <c r="M716" s="260">
        <v>0</v>
      </c>
      <c r="N716" s="260">
        <v>0</v>
      </c>
      <c r="O716" s="264">
        <v>0</v>
      </c>
      <c r="P716" s="264">
        <v>34368.152279999995</v>
      </c>
      <c r="Q716" s="264">
        <v>5647.7024999999985</v>
      </c>
      <c r="R716" s="264">
        <v>16628.685699999998</v>
      </c>
      <c r="S716" s="60">
        <v>56644.540479999996</v>
      </c>
      <c r="T716" s="60">
        <v>-4.7999999515013769E-4</v>
      </c>
      <c r="W716" s="272">
        <v>0</v>
      </c>
    </row>
    <row r="717" spans="1:23">
      <c r="A717" t="s">
        <v>18458</v>
      </c>
      <c r="B717" s="262">
        <v>44303</v>
      </c>
      <c r="C717" t="s">
        <v>16838</v>
      </c>
      <c r="D717" t="s">
        <v>16839</v>
      </c>
      <c r="E717" s="60">
        <v>0</v>
      </c>
      <c r="F717" s="60">
        <v>185778.88</v>
      </c>
      <c r="G717" s="60">
        <v>145937.68</v>
      </c>
      <c r="H717" s="60">
        <v>28238.400000000001</v>
      </c>
      <c r="I717" s="60">
        <v>11602.8</v>
      </c>
      <c r="J717" s="60">
        <v>0</v>
      </c>
      <c r="K717" s="260">
        <v>0</v>
      </c>
      <c r="L717" s="260">
        <v>0</v>
      </c>
      <c r="M717" s="260">
        <v>0</v>
      </c>
      <c r="N717" s="260">
        <v>0</v>
      </c>
      <c r="O717" s="264">
        <v>145937.68</v>
      </c>
      <c r="P717" s="264">
        <v>28238.400000000001</v>
      </c>
      <c r="Q717" s="264">
        <v>11602.8</v>
      </c>
      <c r="R717" s="264">
        <v>0</v>
      </c>
      <c r="S717" s="60">
        <v>185778.87999999998</v>
      </c>
      <c r="T717" s="60">
        <v>0</v>
      </c>
      <c r="W717" s="272">
        <v>185778.88</v>
      </c>
    </row>
    <row r="718" spans="1:23">
      <c r="A718" t="s">
        <v>18459</v>
      </c>
      <c r="B718" s="262">
        <v>44303</v>
      </c>
      <c r="C718" t="s">
        <v>16384</v>
      </c>
      <c r="D718" t="s">
        <v>16385</v>
      </c>
      <c r="E718" s="60">
        <v>0</v>
      </c>
      <c r="F718" s="60">
        <v>77028</v>
      </c>
      <c r="G718" s="60">
        <v>28728</v>
      </c>
      <c r="H718" s="60">
        <v>48300</v>
      </c>
      <c r="I718" s="60">
        <v>0</v>
      </c>
      <c r="J718" s="60">
        <v>0</v>
      </c>
      <c r="K718" s="260">
        <v>0</v>
      </c>
      <c r="L718" s="260">
        <v>0</v>
      </c>
      <c r="M718" s="260">
        <v>0</v>
      </c>
      <c r="N718" s="260">
        <v>0</v>
      </c>
      <c r="O718" s="264">
        <v>28728</v>
      </c>
      <c r="P718" s="264">
        <v>48300</v>
      </c>
      <c r="Q718" s="264">
        <v>0</v>
      </c>
      <c r="R718" s="264">
        <v>0</v>
      </c>
      <c r="S718" s="60">
        <v>77028</v>
      </c>
      <c r="T718" s="60">
        <v>0</v>
      </c>
      <c r="W718" s="272">
        <v>77028</v>
      </c>
    </row>
    <row r="719" spans="1:23">
      <c r="A719" t="s">
        <v>18460</v>
      </c>
      <c r="B719" s="262">
        <v>44302</v>
      </c>
      <c r="C719" t="s">
        <v>16444</v>
      </c>
      <c r="D719" t="s">
        <v>16445</v>
      </c>
      <c r="E719" s="60">
        <v>0</v>
      </c>
      <c r="F719" s="60">
        <v>135072</v>
      </c>
      <c r="G719" s="60">
        <v>49752</v>
      </c>
      <c r="H719" s="60">
        <v>79632</v>
      </c>
      <c r="I719" s="60">
        <v>5688</v>
      </c>
      <c r="J719" s="60">
        <v>0</v>
      </c>
      <c r="K719" s="260">
        <v>0</v>
      </c>
      <c r="L719" s="260">
        <v>0</v>
      </c>
      <c r="M719" s="260">
        <v>0</v>
      </c>
      <c r="N719" s="260">
        <v>0</v>
      </c>
      <c r="O719" s="264">
        <v>49752</v>
      </c>
      <c r="P719" s="264">
        <v>79632</v>
      </c>
      <c r="Q719" s="264">
        <v>5688</v>
      </c>
      <c r="R719" s="264">
        <v>0</v>
      </c>
      <c r="S719" s="60">
        <v>135072</v>
      </c>
      <c r="T719" s="60">
        <v>0</v>
      </c>
      <c r="W719" s="272">
        <v>135072</v>
      </c>
    </row>
    <row r="720" spans="1:23">
      <c r="A720" t="s">
        <v>18461</v>
      </c>
      <c r="B720" s="262">
        <v>44318</v>
      </c>
      <c r="C720" t="s">
        <v>16972</v>
      </c>
      <c r="D720" t="s">
        <v>17424</v>
      </c>
      <c r="E720" s="60">
        <v>0</v>
      </c>
      <c r="F720" s="60">
        <v>378000</v>
      </c>
      <c r="G720" s="60">
        <v>0</v>
      </c>
      <c r="H720" s="60">
        <v>0</v>
      </c>
      <c r="I720" s="60">
        <v>378000</v>
      </c>
      <c r="J720" s="60">
        <v>0</v>
      </c>
      <c r="K720" s="260">
        <v>0</v>
      </c>
      <c r="L720" s="260">
        <v>0</v>
      </c>
      <c r="M720" s="260">
        <v>0</v>
      </c>
      <c r="N720" s="260">
        <v>0</v>
      </c>
      <c r="O720" s="264">
        <v>0</v>
      </c>
      <c r="P720" s="264">
        <v>0</v>
      </c>
      <c r="Q720" s="264">
        <v>378000</v>
      </c>
      <c r="R720" s="264">
        <v>0</v>
      </c>
      <c r="S720" s="60">
        <v>378000</v>
      </c>
      <c r="T720" s="60">
        <v>0</v>
      </c>
      <c r="W720" s="272">
        <v>378000</v>
      </c>
    </row>
    <row r="721" spans="1:23">
      <c r="A721" t="s">
        <v>18462</v>
      </c>
      <c r="B721" s="262">
        <v>44303</v>
      </c>
      <c r="C721" t="s">
        <v>17293</v>
      </c>
      <c r="D721" t="s">
        <v>17294</v>
      </c>
      <c r="E721" s="60">
        <v>0</v>
      </c>
      <c r="F721" s="60">
        <v>23536.2</v>
      </c>
      <c r="G721" s="60">
        <v>1305</v>
      </c>
      <c r="H721" s="60">
        <v>16861.2</v>
      </c>
      <c r="I721" s="60">
        <v>666</v>
      </c>
      <c r="J721" s="60">
        <v>4704</v>
      </c>
      <c r="K721" s="260">
        <v>0</v>
      </c>
      <c r="L721" s="260">
        <v>0</v>
      </c>
      <c r="M721" s="260">
        <v>0</v>
      </c>
      <c r="N721" s="260">
        <v>0</v>
      </c>
      <c r="O721" s="264">
        <v>1305</v>
      </c>
      <c r="P721" s="264">
        <v>16861.2</v>
      </c>
      <c r="Q721" s="264">
        <v>666</v>
      </c>
      <c r="R721" s="264">
        <v>4704</v>
      </c>
      <c r="S721" s="60">
        <v>23536.2</v>
      </c>
      <c r="T721" s="60">
        <v>0</v>
      </c>
      <c r="W721" s="272">
        <v>23536.2</v>
      </c>
    </row>
    <row r="722" spans="1:23">
      <c r="A722" t="s">
        <v>18463</v>
      </c>
      <c r="B722" s="262">
        <v>44303</v>
      </c>
      <c r="C722" t="s">
        <v>17017</v>
      </c>
      <c r="D722" t="s">
        <v>17430</v>
      </c>
      <c r="E722" s="60">
        <v>0</v>
      </c>
      <c r="F722" s="60">
        <v>15125.6</v>
      </c>
      <c r="G722" s="60">
        <v>0</v>
      </c>
      <c r="H722" s="60">
        <v>9301.6</v>
      </c>
      <c r="I722" s="60">
        <v>0</v>
      </c>
      <c r="J722" s="60">
        <v>5824</v>
      </c>
      <c r="K722" s="260">
        <v>0</v>
      </c>
      <c r="L722" s="260">
        <v>0</v>
      </c>
      <c r="M722" s="260">
        <v>0</v>
      </c>
      <c r="N722" s="260">
        <v>0</v>
      </c>
      <c r="O722" s="264">
        <v>0</v>
      </c>
      <c r="P722" s="264">
        <v>9301.6</v>
      </c>
      <c r="Q722" s="264">
        <v>0</v>
      </c>
      <c r="R722" s="264">
        <v>5824</v>
      </c>
      <c r="S722" s="60">
        <v>15125.6</v>
      </c>
      <c r="T722" s="60">
        <v>0</v>
      </c>
      <c r="W722" s="272">
        <v>15125.6</v>
      </c>
    </row>
    <row r="723" spans="1:23">
      <c r="A723" t="s">
        <v>18464</v>
      </c>
      <c r="B723" s="262">
        <v>44318</v>
      </c>
      <c r="C723" t="s">
        <v>16444</v>
      </c>
      <c r="D723" t="s">
        <v>16445</v>
      </c>
      <c r="E723" s="60">
        <v>0</v>
      </c>
      <c r="F723" s="60">
        <v>78354.899999999994</v>
      </c>
      <c r="G723" s="60">
        <v>78354.899999999994</v>
      </c>
      <c r="H723" s="60">
        <v>0</v>
      </c>
      <c r="I723" s="60">
        <v>0</v>
      </c>
      <c r="J723" s="60">
        <v>0</v>
      </c>
      <c r="K723" s="260">
        <v>0</v>
      </c>
      <c r="L723" s="260">
        <v>0</v>
      </c>
      <c r="M723" s="260">
        <v>0</v>
      </c>
      <c r="N723" s="260">
        <v>0</v>
      </c>
      <c r="O723" s="264">
        <v>78354.899999999994</v>
      </c>
      <c r="P723" s="264">
        <v>0</v>
      </c>
      <c r="Q723" s="264">
        <v>0</v>
      </c>
      <c r="R723" s="264">
        <v>0</v>
      </c>
      <c r="S723" s="60">
        <v>78354.899999999994</v>
      </c>
      <c r="T723" s="60">
        <v>0</v>
      </c>
      <c r="W723" s="272" t="e">
        <v>#N/A</v>
      </c>
    </row>
    <row r="724" spans="1:23">
      <c r="A724" t="s">
        <v>18465</v>
      </c>
      <c r="B724" s="262">
        <v>44306</v>
      </c>
      <c r="C724" t="s">
        <v>17017</v>
      </c>
      <c r="D724" t="s">
        <v>17430</v>
      </c>
      <c r="E724" s="60">
        <v>0</v>
      </c>
      <c r="F724" s="60">
        <v>58060.800000000003</v>
      </c>
      <c r="G724" s="60">
        <v>0</v>
      </c>
      <c r="H724" s="60">
        <v>0</v>
      </c>
      <c r="I724" s="60">
        <v>58060.800000000003</v>
      </c>
      <c r="J724" s="60">
        <v>0</v>
      </c>
      <c r="K724" s="260">
        <v>0</v>
      </c>
      <c r="L724" s="260">
        <v>0</v>
      </c>
      <c r="M724" s="260">
        <v>0</v>
      </c>
      <c r="N724" s="260">
        <v>0</v>
      </c>
      <c r="O724" s="264">
        <v>0</v>
      </c>
      <c r="P724" s="264">
        <v>0</v>
      </c>
      <c r="Q724" s="264">
        <v>58060.800000000003</v>
      </c>
      <c r="R724" s="264">
        <v>0</v>
      </c>
      <c r="S724" s="60">
        <v>58060.800000000003</v>
      </c>
      <c r="T724" s="60">
        <v>0</v>
      </c>
      <c r="W724" s="272" t="e">
        <v>#N/A</v>
      </c>
    </row>
    <row r="725" spans="1:23">
      <c r="A725" t="s">
        <v>18466</v>
      </c>
      <c r="B725" s="262">
        <v>44318</v>
      </c>
      <c r="C725" t="s">
        <v>16444</v>
      </c>
      <c r="D725" t="s">
        <v>16445</v>
      </c>
      <c r="E725" s="60">
        <v>0</v>
      </c>
      <c r="F725" s="60">
        <v>131328</v>
      </c>
      <c r="G725" s="60">
        <v>131328</v>
      </c>
      <c r="H725" s="60">
        <v>0</v>
      </c>
      <c r="I725" s="60">
        <v>0</v>
      </c>
      <c r="J725" s="60">
        <v>0</v>
      </c>
      <c r="K725" s="260">
        <v>0</v>
      </c>
      <c r="L725" s="260">
        <v>0</v>
      </c>
      <c r="M725" s="260">
        <v>0</v>
      </c>
      <c r="N725" s="260">
        <v>0</v>
      </c>
      <c r="O725" s="264">
        <v>131328</v>
      </c>
      <c r="P725" s="264">
        <v>0</v>
      </c>
      <c r="Q725" s="264">
        <v>0</v>
      </c>
      <c r="R725" s="264">
        <v>0</v>
      </c>
      <c r="S725" s="60">
        <v>131328</v>
      </c>
      <c r="T725" s="60">
        <v>0</v>
      </c>
      <c r="W725" s="272" t="e">
        <v>#N/A</v>
      </c>
    </row>
    <row r="726" spans="1:23">
      <c r="A726" t="s">
        <v>18467</v>
      </c>
      <c r="B726" s="262">
        <v>44318</v>
      </c>
      <c r="C726" t="s">
        <v>17274</v>
      </c>
      <c r="D726" t="s">
        <v>17275</v>
      </c>
      <c r="E726" s="60">
        <v>0</v>
      </c>
      <c r="F726" s="60">
        <v>49107.13</v>
      </c>
      <c r="G726" s="60">
        <v>0</v>
      </c>
      <c r="H726" s="60">
        <v>28128.919968000009</v>
      </c>
      <c r="I726" s="60">
        <v>19785.213</v>
      </c>
      <c r="J726" s="60">
        <v>1192.997104</v>
      </c>
      <c r="K726" s="260">
        <v>0</v>
      </c>
      <c r="L726" s="260">
        <v>0</v>
      </c>
      <c r="M726" s="260">
        <v>0</v>
      </c>
      <c r="N726" s="260">
        <v>0</v>
      </c>
      <c r="O726" s="264">
        <v>0</v>
      </c>
      <c r="P726" s="264">
        <v>28128.919968000009</v>
      </c>
      <c r="Q726" s="264">
        <v>19785.213</v>
      </c>
      <c r="R726" s="264">
        <v>1192.997104</v>
      </c>
      <c r="S726" s="60">
        <v>49107.130072000007</v>
      </c>
      <c r="T726" s="60">
        <v>-7.2000009822659194E-5</v>
      </c>
      <c r="W726" s="272" t="e">
        <v>#N/A</v>
      </c>
    </row>
    <row r="727" spans="1:23">
      <c r="A727" t="s">
        <v>18468</v>
      </c>
      <c r="B727" s="262">
        <v>44320</v>
      </c>
      <c r="C727" t="s">
        <v>17226</v>
      </c>
      <c r="D727" t="s">
        <v>17891</v>
      </c>
      <c r="E727" s="60">
        <v>0</v>
      </c>
      <c r="F727" s="60">
        <v>38274.400000000001</v>
      </c>
      <c r="G727" s="60">
        <v>20006.400000000001</v>
      </c>
      <c r="H727" s="60">
        <v>16118</v>
      </c>
      <c r="I727" s="60">
        <v>0</v>
      </c>
      <c r="J727" s="60">
        <v>2150</v>
      </c>
      <c r="K727" s="260">
        <v>0</v>
      </c>
      <c r="L727" s="260">
        <v>0</v>
      </c>
      <c r="M727" s="260">
        <v>0</v>
      </c>
      <c r="N727" s="260">
        <v>0</v>
      </c>
      <c r="O727" s="264">
        <v>20006.400000000001</v>
      </c>
      <c r="P727" s="264">
        <v>16118</v>
      </c>
      <c r="Q727" s="264">
        <v>0</v>
      </c>
      <c r="R727" s="264">
        <v>2150</v>
      </c>
      <c r="S727" s="60">
        <v>38274.400000000001</v>
      </c>
      <c r="T727" s="60">
        <v>0</v>
      </c>
      <c r="W727" s="272" t="e">
        <v>#N/A</v>
      </c>
    </row>
    <row r="728" spans="1:23">
      <c r="A728" t="s">
        <v>18469</v>
      </c>
      <c r="B728" s="262">
        <v>44320</v>
      </c>
      <c r="C728" t="s">
        <v>16444</v>
      </c>
      <c r="D728" t="s">
        <v>16445</v>
      </c>
      <c r="E728" s="60">
        <v>0</v>
      </c>
      <c r="F728" s="60">
        <v>259220</v>
      </c>
      <c r="G728" s="60">
        <v>0</v>
      </c>
      <c r="H728" s="60">
        <v>259220</v>
      </c>
      <c r="I728" s="60">
        <v>0</v>
      </c>
      <c r="J728" s="60">
        <v>0</v>
      </c>
      <c r="K728" s="260">
        <v>0</v>
      </c>
      <c r="L728" s="260">
        <v>0</v>
      </c>
      <c r="M728" s="260">
        <v>0</v>
      </c>
      <c r="N728" s="260">
        <v>0</v>
      </c>
      <c r="O728" s="264">
        <v>0</v>
      </c>
      <c r="P728" s="264">
        <v>259220</v>
      </c>
      <c r="Q728" s="264">
        <v>0</v>
      </c>
      <c r="R728" s="264">
        <v>0</v>
      </c>
      <c r="S728" s="60">
        <v>259220</v>
      </c>
      <c r="T728" s="60">
        <v>0</v>
      </c>
      <c r="W728" s="272" t="e">
        <v>#N/A</v>
      </c>
    </row>
    <row r="729" spans="1:23">
      <c r="A729" t="s">
        <v>18470</v>
      </c>
      <c r="B729" s="262">
        <v>44321</v>
      </c>
      <c r="C729" t="s">
        <v>17291</v>
      </c>
      <c r="D729" t="s">
        <v>18440</v>
      </c>
      <c r="E729" s="60">
        <v>0</v>
      </c>
      <c r="F729" s="60">
        <v>52430.644999999997</v>
      </c>
      <c r="G729" s="60">
        <v>0</v>
      </c>
      <c r="H729" s="60">
        <v>26793.998898000002</v>
      </c>
      <c r="I729" s="60">
        <v>19882.768499999998</v>
      </c>
      <c r="J729" s="60">
        <v>5753.8771999999999</v>
      </c>
      <c r="K729" s="260">
        <v>0</v>
      </c>
      <c r="L729" s="260">
        <v>0</v>
      </c>
      <c r="M729" s="260">
        <v>0</v>
      </c>
      <c r="N729" s="260">
        <v>0</v>
      </c>
      <c r="O729" s="264">
        <v>0</v>
      </c>
      <c r="P729" s="264">
        <v>26793.998898000002</v>
      </c>
      <c r="Q729" s="264">
        <v>19882.768499999998</v>
      </c>
      <c r="R729" s="264">
        <v>5753.8771999999999</v>
      </c>
      <c r="S729" s="60">
        <v>52430.644597999999</v>
      </c>
      <c r="T729" s="60">
        <v>4.0199999784817919E-4</v>
      </c>
      <c r="W729" s="272" t="e">
        <v>#N/A</v>
      </c>
    </row>
    <row r="730" spans="1:23">
      <c r="A730" t="s">
        <v>18471</v>
      </c>
      <c r="B730" s="262">
        <v>44348</v>
      </c>
      <c r="C730" t="s">
        <v>16754</v>
      </c>
      <c r="D730" t="s">
        <v>16755</v>
      </c>
      <c r="E730" s="60">
        <v>0</v>
      </c>
      <c r="F730" s="60">
        <v>248210.19600000003</v>
      </c>
      <c r="G730" s="60">
        <v>0</v>
      </c>
      <c r="H730" s="60">
        <v>0</v>
      </c>
      <c r="I730" s="60">
        <v>248210.19600000005</v>
      </c>
      <c r="J730" s="60">
        <v>0</v>
      </c>
      <c r="K730" s="260">
        <v>0</v>
      </c>
      <c r="L730" s="260">
        <v>0</v>
      </c>
      <c r="M730" s="260">
        <v>0</v>
      </c>
      <c r="N730" s="260">
        <v>0</v>
      </c>
      <c r="O730" s="264">
        <v>0</v>
      </c>
      <c r="P730" s="264">
        <v>0</v>
      </c>
      <c r="Q730" s="264">
        <v>248210.19600000005</v>
      </c>
      <c r="R730" s="264">
        <v>0</v>
      </c>
      <c r="S730" s="60">
        <v>248210.19600000005</v>
      </c>
      <c r="T730" s="60">
        <v>0</v>
      </c>
      <c r="W730" s="272" t="e">
        <v>#N/A</v>
      </c>
    </row>
    <row r="731" spans="1:23">
      <c r="A731" t="s">
        <v>18472</v>
      </c>
      <c r="B731" s="262">
        <v>44321</v>
      </c>
      <c r="C731" t="s">
        <v>17017</v>
      </c>
      <c r="D731" t="s">
        <v>17430</v>
      </c>
      <c r="E731" s="60">
        <v>0</v>
      </c>
      <c r="F731" s="60">
        <v>35200</v>
      </c>
      <c r="G731" s="60">
        <v>0</v>
      </c>
      <c r="H731" s="60">
        <v>35200</v>
      </c>
      <c r="I731" s="60">
        <v>0</v>
      </c>
      <c r="J731" s="60">
        <v>0</v>
      </c>
      <c r="K731" s="260">
        <v>0</v>
      </c>
      <c r="L731" s="260">
        <v>0</v>
      </c>
      <c r="M731" s="260">
        <v>0</v>
      </c>
      <c r="N731" s="260">
        <v>0</v>
      </c>
      <c r="O731" s="264">
        <v>0</v>
      </c>
      <c r="P731" s="264">
        <v>35200</v>
      </c>
      <c r="Q731" s="264">
        <v>0</v>
      </c>
      <c r="R731" s="264">
        <v>0</v>
      </c>
      <c r="S731" s="60">
        <v>35200</v>
      </c>
      <c r="T731" s="60">
        <v>0</v>
      </c>
      <c r="W731" s="272" t="e">
        <v>#N/A</v>
      </c>
    </row>
    <row r="732" spans="1:23">
      <c r="A732" t="s">
        <v>18473</v>
      </c>
      <c r="B732" s="262">
        <v>44321</v>
      </c>
      <c r="C732" t="s">
        <v>16823</v>
      </c>
      <c r="D732" t="s">
        <v>17805</v>
      </c>
      <c r="E732" s="60">
        <v>0</v>
      </c>
      <c r="F732" s="60">
        <v>137359.01999999999</v>
      </c>
      <c r="G732" s="60">
        <v>57166.244604000014</v>
      </c>
      <c r="H732" s="60">
        <v>57619.265033000011</v>
      </c>
      <c r="I732" s="60">
        <v>0</v>
      </c>
      <c r="J732" s="60">
        <v>0</v>
      </c>
      <c r="K732" s="260">
        <v>10812.952809383809</v>
      </c>
      <c r="L732" s="260">
        <v>11760.557190616191</v>
      </c>
      <c r="M732" s="260">
        <v>0</v>
      </c>
      <c r="N732" s="260">
        <v>0</v>
      </c>
      <c r="O732" s="264">
        <v>67979.197413383823</v>
      </c>
      <c r="P732" s="264">
        <v>69379.822223616196</v>
      </c>
      <c r="Q732" s="264">
        <v>0</v>
      </c>
      <c r="R732" s="264">
        <v>0</v>
      </c>
      <c r="S732" s="60">
        <v>137359.01963700002</v>
      </c>
      <c r="T732" s="60">
        <v>3.6299997009336948E-4</v>
      </c>
      <c r="W732" s="272" t="e">
        <v>#N/A</v>
      </c>
    </row>
    <row r="733" spans="1:23">
      <c r="A733" t="s">
        <v>18474</v>
      </c>
      <c r="B733" s="262">
        <v>44321</v>
      </c>
      <c r="C733" t="s">
        <v>16904</v>
      </c>
      <c r="D733" t="s">
        <v>16905</v>
      </c>
      <c r="E733" s="60">
        <v>0</v>
      </c>
      <c r="F733" s="60">
        <v>64038.254000000001</v>
      </c>
      <c r="G733" s="60">
        <v>0</v>
      </c>
      <c r="H733" s="60">
        <v>35158.743359999993</v>
      </c>
      <c r="I733" s="60">
        <v>17768.230272000001</v>
      </c>
      <c r="J733" s="60">
        <v>0</v>
      </c>
      <c r="K733" s="260">
        <v>0</v>
      </c>
      <c r="L733" s="260">
        <v>7365.2470588235301</v>
      </c>
      <c r="M733" s="260">
        <v>3746.0329411764706</v>
      </c>
      <c r="N733" s="260">
        <v>0</v>
      </c>
      <c r="O733" s="264">
        <v>0</v>
      </c>
      <c r="P733" s="264">
        <v>42523.990418823523</v>
      </c>
      <c r="Q733" s="264">
        <v>21514.263213176469</v>
      </c>
      <c r="R733" s="264">
        <v>0</v>
      </c>
      <c r="S733" s="60">
        <v>64038.253631999993</v>
      </c>
      <c r="T733" s="60">
        <v>3.6800000816583633E-4</v>
      </c>
      <c r="W733" s="272" t="e">
        <v>#N/A</v>
      </c>
    </row>
    <row r="734" spans="1:23">
      <c r="A734" t="s">
        <v>18475</v>
      </c>
      <c r="B734" s="262">
        <v>44321</v>
      </c>
      <c r="C734" t="s">
        <v>16643</v>
      </c>
      <c r="D734" t="s">
        <v>16644</v>
      </c>
      <c r="E734" s="60">
        <v>0</v>
      </c>
      <c r="F734" s="60">
        <v>43936.97</v>
      </c>
      <c r="G734" s="60">
        <v>0</v>
      </c>
      <c r="H734" s="60">
        <v>36616.360200000003</v>
      </c>
      <c r="I734" s="60">
        <v>0</v>
      </c>
      <c r="J734" s="60">
        <v>0</v>
      </c>
      <c r="K734" s="260">
        <v>0</v>
      </c>
      <c r="L734" s="260">
        <v>7320.06</v>
      </c>
      <c r="M734" s="260">
        <v>0</v>
      </c>
      <c r="N734" s="260">
        <v>0</v>
      </c>
      <c r="O734" s="264">
        <v>0</v>
      </c>
      <c r="P734" s="264">
        <v>43936.4202</v>
      </c>
      <c r="Q734" s="264">
        <v>0</v>
      </c>
      <c r="R734" s="264">
        <v>0</v>
      </c>
      <c r="S734" s="60">
        <v>43936.4202</v>
      </c>
      <c r="T734" s="60">
        <v>0.54980000000068685</v>
      </c>
      <c r="W734" s="272" t="e">
        <v>#N/A</v>
      </c>
    </row>
    <row r="735" spans="1:23">
      <c r="A735" t="s">
        <v>18476</v>
      </c>
      <c r="B735" s="262">
        <v>44321</v>
      </c>
      <c r="C735" t="s">
        <v>16838</v>
      </c>
      <c r="D735" t="s">
        <v>16839</v>
      </c>
      <c r="E735" s="60">
        <v>0</v>
      </c>
      <c r="F735" s="60">
        <v>44240</v>
      </c>
      <c r="G735" s="60">
        <v>0</v>
      </c>
      <c r="H735" s="60">
        <v>0</v>
      </c>
      <c r="I735" s="60">
        <v>44240</v>
      </c>
      <c r="J735" s="60">
        <v>0</v>
      </c>
      <c r="K735" s="260">
        <v>0</v>
      </c>
      <c r="L735" s="260">
        <v>0</v>
      </c>
      <c r="M735" s="260">
        <v>0</v>
      </c>
      <c r="N735" s="260">
        <v>0</v>
      </c>
      <c r="O735" s="264">
        <v>0</v>
      </c>
      <c r="P735" s="264">
        <v>0</v>
      </c>
      <c r="Q735" s="264">
        <v>44240</v>
      </c>
      <c r="R735" s="264">
        <v>0</v>
      </c>
      <c r="S735" s="60">
        <v>44240</v>
      </c>
      <c r="T735" s="60">
        <v>0</v>
      </c>
      <c r="W735" s="272" t="e">
        <v>#N/A</v>
      </c>
    </row>
    <row r="736" spans="1:23">
      <c r="A736" t="s">
        <v>18477</v>
      </c>
      <c r="B736" s="262">
        <v>44321</v>
      </c>
      <c r="C736" t="s">
        <v>16838</v>
      </c>
      <c r="D736" t="s">
        <v>16839</v>
      </c>
      <c r="E736" s="60">
        <v>0</v>
      </c>
      <c r="F736" s="60">
        <v>155156.4</v>
      </c>
      <c r="G736" s="60">
        <v>0</v>
      </c>
      <c r="H736" s="60">
        <v>155156.4</v>
      </c>
      <c r="I736" s="60">
        <v>0</v>
      </c>
      <c r="J736" s="60">
        <v>0</v>
      </c>
      <c r="K736" s="260">
        <v>0</v>
      </c>
      <c r="L736" s="260">
        <v>0</v>
      </c>
      <c r="M736" s="260">
        <v>0</v>
      </c>
      <c r="N736" s="260">
        <v>0</v>
      </c>
      <c r="O736" s="264">
        <v>0</v>
      </c>
      <c r="P736" s="264">
        <v>155156.4</v>
      </c>
      <c r="Q736" s="264">
        <v>0</v>
      </c>
      <c r="R736" s="264">
        <v>0</v>
      </c>
      <c r="S736" s="60">
        <v>155156.4</v>
      </c>
      <c r="T736" s="60">
        <v>0</v>
      </c>
      <c r="W736" s="272" t="e">
        <v>#N/A</v>
      </c>
    </row>
    <row r="737" spans="1:23">
      <c r="A737" t="s">
        <v>18478</v>
      </c>
      <c r="B737" s="262">
        <v>44333</v>
      </c>
      <c r="C737" t="s">
        <v>16880</v>
      </c>
      <c r="D737" t="s">
        <v>16881</v>
      </c>
      <c r="E737" s="60">
        <v>0</v>
      </c>
      <c r="F737" s="60">
        <v>69433.940999999992</v>
      </c>
      <c r="G737" s="60">
        <v>0</v>
      </c>
      <c r="H737" s="60">
        <v>69433.941000000021</v>
      </c>
      <c r="I737" s="60">
        <v>0</v>
      </c>
      <c r="J737" s="60">
        <v>0</v>
      </c>
      <c r="K737" s="260">
        <v>0</v>
      </c>
      <c r="L737" s="260">
        <v>0</v>
      </c>
      <c r="M737" s="260">
        <v>0</v>
      </c>
      <c r="N737" s="260">
        <v>0</v>
      </c>
      <c r="O737" s="264">
        <v>0</v>
      </c>
      <c r="P737" s="264">
        <v>69433.941000000021</v>
      </c>
      <c r="Q737" s="264">
        <v>0</v>
      </c>
      <c r="R737" s="264">
        <v>0</v>
      </c>
      <c r="S737" s="60">
        <v>69433.941000000021</v>
      </c>
      <c r="T737" s="60">
        <v>0</v>
      </c>
      <c r="W737" s="272" t="e">
        <v>#N/A</v>
      </c>
    </row>
    <row r="738" spans="1:23">
      <c r="A738" t="s">
        <v>18479</v>
      </c>
      <c r="B738" s="262">
        <v>44333</v>
      </c>
      <c r="C738" t="s">
        <v>16957</v>
      </c>
      <c r="D738" t="s">
        <v>17451</v>
      </c>
      <c r="E738" s="60">
        <v>0</v>
      </c>
      <c r="F738" s="60">
        <v>82788.320000000007</v>
      </c>
      <c r="G738" s="60">
        <v>82788.320000000007</v>
      </c>
      <c r="H738" s="60">
        <v>0</v>
      </c>
      <c r="I738" s="60">
        <v>0</v>
      </c>
      <c r="J738" s="60">
        <v>0</v>
      </c>
      <c r="K738" s="260">
        <v>0</v>
      </c>
      <c r="L738" s="260">
        <v>0</v>
      </c>
      <c r="M738" s="260">
        <v>0</v>
      </c>
      <c r="N738" s="260">
        <v>0</v>
      </c>
      <c r="O738" s="264">
        <v>82788.320000000007</v>
      </c>
      <c r="P738" s="264">
        <v>0</v>
      </c>
      <c r="Q738" s="264">
        <v>0</v>
      </c>
      <c r="R738" s="264">
        <v>0</v>
      </c>
      <c r="S738" s="60">
        <v>82788.320000000007</v>
      </c>
      <c r="T738" s="60">
        <v>0</v>
      </c>
      <c r="W738" s="272" t="e">
        <v>#N/A</v>
      </c>
    </row>
    <row r="739" spans="1:23">
      <c r="A739" t="s">
        <v>18480</v>
      </c>
      <c r="B739" s="262">
        <v>44333</v>
      </c>
      <c r="C739" t="s">
        <v>16384</v>
      </c>
      <c r="D739" t="s">
        <v>16385</v>
      </c>
      <c r="E739" s="60">
        <v>0</v>
      </c>
      <c r="F739" s="60">
        <v>211144.32000000001</v>
      </c>
      <c r="G739" s="60">
        <v>211144.32000000001</v>
      </c>
      <c r="H739" s="60">
        <v>0</v>
      </c>
      <c r="I739" s="60">
        <v>0</v>
      </c>
      <c r="J739" s="60">
        <v>0</v>
      </c>
      <c r="K739" s="260">
        <v>0</v>
      </c>
      <c r="L739" s="260">
        <v>0</v>
      </c>
      <c r="M739" s="260">
        <v>0</v>
      </c>
      <c r="N739" s="260">
        <v>0</v>
      </c>
      <c r="O739" s="264">
        <v>211144.32000000001</v>
      </c>
      <c r="P739" s="264">
        <v>0</v>
      </c>
      <c r="Q739" s="264">
        <v>0</v>
      </c>
      <c r="R739" s="264">
        <v>0</v>
      </c>
      <c r="S739" s="60">
        <v>211144.32000000001</v>
      </c>
      <c r="T739" s="60">
        <v>0</v>
      </c>
      <c r="W739" s="272" t="e">
        <v>#N/A</v>
      </c>
    </row>
    <row r="740" spans="1:23">
      <c r="A740" t="s">
        <v>18481</v>
      </c>
      <c r="B740" s="262">
        <v>44333</v>
      </c>
      <c r="C740" t="s">
        <v>17017</v>
      </c>
      <c r="D740" t="s">
        <v>17430</v>
      </c>
      <c r="E740" s="60">
        <v>0</v>
      </c>
      <c r="F740" s="60">
        <v>73390</v>
      </c>
      <c r="G740" s="60">
        <v>0</v>
      </c>
      <c r="H740" s="60">
        <v>73390</v>
      </c>
      <c r="I740" s="60">
        <v>0</v>
      </c>
      <c r="J740" s="60">
        <v>0</v>
      </c>
      <c r="K740" s="260">
        <v>0</v>
      </c>
      <c r="L740" s="260">
        <v>0</v>
      </c>
      <c r="M740" s="260">
        <v>0</v>
      </c>
      <c r="N740" s="260">
        <v>0</v>
      </c>
      <c r="O740" s="264">
        <v>0</v>
      </c>
      <c r="P740" s="264">
        <v>73390</v>
      </c>
      <c r="Q740" s="264">
        <v>0</v>
      </c>
      <c r="R740" s="264">
        <v>0</v>
      </c>
      <c r="S740" s="60">
        <v>73390</v>
      </c>
      <c r="T740" s="60">
        <v>0</v>
      </c>
      <c r="W740" s="272" t="e">
        <v>#N/A</v>
      </c>
    </row>
    <row r="741" spans="1:23">
      <c r="A741" t="s">
        <v>18482</v>
      </c>
      <c r="B741" s="262">
        <v>44334</v>
      </c>
      <c r="C741" t="s">
        <v>16972</v>
      </c>
      <c r="D741" t="s">
        <v>17424</v>
      </c>
      <c r="E741" s="60">
        <v>0</v>
      </c>
      <c r="F741" s="60">
        <v>378000</v>
      </c>
      <c r="G741" s="60">
        <v>0</v>
      </c>
      <c r="H741" s="60">
        <v>0</v>
      </c>
      <c r="I741" s="60">
        <v>378000</v>
      </c>
      <c r="J741" s="60">
        <v>0</v>
      </c>
      <c r="K741" s="260">
        <v>0</v>
      </c>
      <c r="L741" s="260">
        <v>0</v>
      </c>
      <c r="M741" s="260">
        <v>0</v>
      </c>
      <c r="N741" s="260">
        <v>0</v>
      </c>
      <c r="O741" s="264">
        <v>0</v>
      </c>
      <c r="P741" s="264">
        <v>0</v>
      </c>
      <c r="Q741" s="264">
        <v>378000</v>
      </c>
      <c r="R741" s="264">
        <v>0</v>
      </c>
      <c r="S741" s="60">
        <v>378000</v>
      </c>
      <c r="T741" s="60">
        <v>0</v>
      </c>
      <c r="W741" s="272" t="e">
        <v>#N/A</v>
      </c>
    </row>
    <row r="742" spans="1:23">
      <c r="A742" t="s">
        <v>18483</v>
      </c>
      <c r="B742" s="262">
        <v>44334</v>
      </c>
      <c r="C742" t="s">
        <v>16444</v>
      </c>
      <c r="D742" t="s">
        <v>16445</v>
      </c>
      <c r="E742" s="60">
        <v>0</v>
      </c>
      <c r="F742" s="60">
        <v>73008</v>
      </c>
      <c r="G742" s="60">
        <v>73008</v>
      </c>
      <c r="H742" s="60">
        <v>0</v>
      </c>
      <c r="I742" s="60">
        <v>0</v>
      </c>
      <c r="J742" s="60">
        <v>0</v>
      </c>
      <c r="K742" s="260">
        <v>0</v>
      </c>
      <c r="L742" s="260">
        <v>0</v>
      </c>
      <c r="M742" s="260">
        <v>0</v>
      </c>
      <c r="N742" s="260">
        <v>0</v>
      </c>
      <c r="O742" s="264">
        <v>73008</v>
      </c>
      <c r="P742" s="264">
        <v>0</v>
      </c>
      <c r="Q742" s="264">
        <v>0</v>
      </c>
      <c r="R742" s="264">
        <v>0</v>
      </c>
      <c r="S742" s="60">
        <v>73008</v>
      </c>
      <c r="T742" s="60">
        <v>0</v>
      </c>
      <c r="W742" s="272" t="e">
        <v>#N/A</v>
      </c>
    </row>
    <row r="743" spans="1:23">
      <c r="A743" t="s">
        <v>18484</v>
      </c>
      <c r="B743" s="262">
        <v>44334</v>
      </c>
      <c r="C743" t="s">
        <v>17017</v>
      </c>
      <c r="D743" t="s">
        <v>17430</v>
      </c>
      <c r="E743" s="60">
        <v>0</v>
      </c>
      <c r="F743" s="60">
        <v>35200</v>
      </c>
      <c r="G743" s="60">
        <v>0</v>
      </c>
      <c r="H743" s="60">
        <v>35200</v>
      </c>
      <c r="I743" s="60">
        <v>0</v>
      </c>
      <c r="J743" s="60">
        <v>0</v>
      </c>
      <c r="K743" s="260">
        <v>0</v>
      </c>
      <c r="L743" s="260">
        <v>0</v>
      </c>
      <c r="M743" s="260">
        <v>0</v>
      </c>
      <c r="N743" s="260">
        <v>0</v>
      </c>
      <c r="O743" s="264">
        <v>0</v>
      </c>
      <c r="P743" s="264">
        <v>35200</v>
      </c>
      <c r="Q743" s="264">
        <v>0</v>
      </c>
      <c r="R743" s="264">
        <v>0</v>
      </c>
      <c r="S743" s="60">
        <v>35200</v>
      </c>
      <c r="T743" s="60">
        <v>0</v>
      </c>
      <c r="W743" s="272" t="e">
        <v>#N/A</v>
      </c>
    </row>
    <row r="744" spans="1:23">
      <c r="A744" t="s">
        <v>18485</v>
      </c>
      <c r="B744" s="262">
        <v>44348</v>
      </c>
      <c r="C744" t="s">
        <v>16838</v>
      </c>
      <c r="D744" t="s">
        <v>16839</v>
      </c>
      <c r="E744" s="60">
        <v>0</v>
      </c>
      <c r="F744" s="60">
        <v>186187.68</v>
      </c>
      <c r="G744" s="60">
        <v>0</v>
      </c>
      <c r="H744" s="60">
        <v>186187.68</v>
      </c>
      <c r="I744" s="60">
        <v>0</v>
      </c>
      <c r="J744" s="60">
        <v>0</v>
      </c>
      <c r="K744" s="260">
        <v>0</v>
      </c>
      <c r="L744" s="260">
        <v>0</v>
      </c>
      <c r="M744" s="260">
        <v>0</v>
      </c>
      <c r="N744" s="260">
        <v>0</v>
      </c>
      <c r="O744" s="264">
        <v>0</v>
      </c>
      <c r="P744" s="264">
        <v>186187.68</v>
      </c>
      <c r="Q744" s="264">
        <v>0</v>
      </c>
      <c r="R744" s="264">
        <v>0</v>
      </c>
      <c r="S744" s="60">
        <v>186187.68</v>
      </c>
      <c r="T744" s="60">
        <v>0</v>
      </c>
      <c r="W744" s="272" t="e">
        <v>#N/A</v>
      </c>
    </row>
    <row r="745" spans="1:23">
      <c r="A745" t="s">
        <v>18486</v>
      </c>
      <c r="B745" s="262">
        <v>44334</v>
      </c>
      <c r="C745" t="s">
        <v>16838</v>
      </c>
      <c r="D745" t="s">
        <v>16839</v>
      </c>
      <c r="E745" s="60">
        <v>0</v>
      </c>
      <c r="F745" s="60">
        <v>184600</v>
      </c>
      <c r="G745" s="60">
        <v>0</v>
      </c>
      <c r="H745" s="60">
        <v>0</v>
      </c>
      <c r="I745" s="60">
        <v>184600</v>
      </c>
      <c r="J745" s="60">
        <v>0</v>
      </c>
      <c r="K745" s="260">
        <v>0</v>
      </c>
      <c r="L745" s="260">
        <v>0</v>
      </c>
      <c r="M745" s="260">
        <v>0</v>
      </c>
      <c r="N745" s="260">
        <v>0</v>
      </c>
      <c r="O745" s="264">
        <v>0</v>
      </c>
      <c r="P745" s="264">
        <v>0</v>
      </c>
      <c r="Q745" s="264">
        <v>184600</v>
      </c>
      <c r="R745" s="264">
        <v>0</v>
      </c>
      <c r="S745" s="60">
        <v>184600</v>
      </c>
      <c r="T745" s="60">
        <v>0</v>
      </c>
      <c r="W745" s="272" t="e">
        <v>#N/A</v>
      </c>
    </row>
    <row r="746" spans="1:23">
      <c r="A746" t="s">
        <v>18487</v>
      </c>
      <c r="B746" s="262">
        <v>44335</v>
      </c>
      <c r="C746" t="s">
        <v>16444</v>
      </c>
      <c r="D746" t="s">
        <v>16445</v>
      </c>
      <c r="E746" s="60">
        <v>0</v>
      </c>
      <c r="F746" s="60">
        <v>397280</v>
      </c>
      <c r="G746" s="60">
        <v>0</v>
      </c>
      <c r="H746" s="60">
        <v>397280</v>
      </c>
      <c r="I746" s="60">
        <v>0</v>
      </c>
      <c r="J746" s="60">
        <v>0</v>
      </c>
      <c r="K746" s="260">
        <v>0</v>
      </c>
      <c r="L746" s="260">
        <v>0</v>
      </c>
      <c r="M746" s="260">
        <v>0</v>
      </c>
      <c r="N746" s="260">
        <v>0</v>
      </c>
      <c r="O746" s="264">
        <v>0</v>
      </c>
      <c r="P746" s="264">
        <v>397280</v>
      </c>
      <c r="Q746" s="264">
        <v>0</v>
      </c>
      <c r="R746" s="264">
        <v>0</v>
      </c>
      <c r="S746" s="60">
        <v>397280</v>
      </c>
      <c r="T746" s="60">
        <v>0</v>
      </c>
      <c r="W746" s="272" t="e">
        <v>#N/A</v>
      </c>
    </row>
    <row r="747" spans="1:23">
      <c r="A747" t="s">
        <v>18488</v>
      </c>
      <c r="B747" s="262">
        <v>44348</v>
      </c>
      <c r="C747" t="s">
        <v>17017</v>
      </c>
      <c r="D747" t="s">
        <v>17430</v>
      </c>
      <c r="E747" s="60">
        <v>0</v>
      </c>
      <c r="F747" s="60">
        <v>38248.980000000003</v>
      </c>
      <c r="G747" s="60">
        <v>0</v>
      </c>
      <c r="H747" s="60">
        <v>0</v>
      </c>
      <c r="I747" s="60">
        <v>18444.203999999998</v>
      </c>
      <c r="J747" s="60">
        <v>19804.842000000001</v>
      </c>
      <c r="K747" s="260">
        <v>0</v>
      </c>
      <c r="L747" s="260">
        <v>0</v>
      </c>
      <c r="M747" s="260">
        <v>0</v>
      </c>
      <c r="N747" s="260">
        <v>0</v>
      </c>
      <c r="O747" s="264">
        <v>0</v>
      </c>
      <c r="P747" s="264">
        <v>0</v>
      </c>
      <c r="Q747" s="264">
        <v>18444.203999999998</v>
      </c>
      <c r="R747" s="264">
        <v>19804.842000000001</v>
      </c>
      <c r="S747" s="60">
        <v>38249.046000000002</v>
      </c>
      <c r="T747" s="60">
        <v>-6.5999999998894054E-2</v>
      </c>
      <c r="W747" s="272" t="e">
        <v>#N/A</v>
      </c>
    </row>
    <row r="748" spans="1:23">
      <c r="A748" t="s">
        <v>18489</v>
      </c>
      <c r="B748" s="262">
        <v>44338</v>
      </c>
      <c r="C748" t="s">
        <v>17251</v>
      </c>
      <c r="D748" t="s">
        <v>17252</v>
      </c>
      <c r="E748" s="60">
        <v>0</v>
      </c>
      <c r="F748" s="60">
        <v>582456.03399999999</v>
      </c>
      <c r="G748" s="60">
        <v>0</v>
      </c>
      <c r="H748" s="60">
        <v>455748.04223999992</v>
      </c>
      <c r="I748" s="60">
        <v>84397.785600000003</v>
      </c>
      <c r="J748" s="60">
        <v>0</v>
      </c>
      <c r="K748" s="260">
        <v>0</v>
      </c>
      <c r="L748" s="260">
        <v>35713.911096000003</v>
      </c>
      <c r="M748" s="260">
        <v>6613.6872400000002</v>
      </c>
      <c r="N748" s="260">
        <v>0</v>
      </c>
      <c r="O748" s="264">
        <v>0</v>
      </c>
      <c r="P748" s="264">
        <v>491461.95333599992</v>
      </c>
      <c r="Q748" s="264">
        <v>91011.472840000002</v>
      </c>
      <c r="R748" s="264">
        <v>0</v>
      </c>
      <c r="S748" s="60">
        <v>582473.42617599992</v>
      </c>
      <c r="T748" s="60">
        <v>-17.392175999935716</v>
      </c>
      <c r="W748" s="272" t="e">
        <v>#N/A</v>
      </c>
    </row>
    <row r="749" spans="1:23">
      <c r="A749" t="s">
        <v>18490</v>
      </c>
      <c r="B749" s="262">
        <v>44378</v>
      </c>
      <c r="C749" t="s">
        <v>16904</v>
      </c>
      <c r="D749" t="s">
        <v>16905</v>
      </c>
      <c r="E749" s="60">
        <v>0</v>
      </c>
      <c r="F749" s="60">
        <v>63739.6</v>
      </c>
      <c r="G749" s="60">
        <v>0</v>
      </c>
      <c r="H749" s="60">
        <v>36329.624604000004</v>
      </c>
      <c r="I749" s="60">
        <v>16339.229928000001</v>
      </c>
      <c r="J749" s="60">
        <v>0</v>
      </c>
      <c r="K749" s="260">
        <v>0</v>
      </c>
      <c r="L749" s="260">
        <v>7610.5297058823535</v>
      </c>
      <c r="M749" s="260">
        <v>3460.2152941176473</v>
      </c>
      <c r="N749" s="260">
        <v>0</v>
      </c>
      <c r="O749" s="264">
        <v>0</v>
      </c>
      <c r="P749" s="264">
        <v>43940.15430988236</v>
      </c>
      <c r="Q749" s="264">
        <v>19799.445222117647</v>
      </c>
      <c r="R749" s="264">
        <v>0</v>
      </c>
      <c r="S749" s="60">
        <v>63739.599532000007</v>
      </c>
      <c r="T749" s="60">
        <v>4.6799999108770862E-4</v>
      </c>
      <c r="W749" s="272" t="e">
        <v>#N/A</v>
      </c>
    </row>
    <row r="750" spans="1:23">
      <c r="A750" t="s">
        <v>18491</v>
      </c>
      <c r="B750" s="262">
        <v>44350</v>
      </c>
      <c r="C750" t="s">
        <v>16444</v>
      </c>
      <c r="D750" t="s">
        <v>16445</v>
      </c>
      <c r="E750" s="60">
        <v>0</v>
      </c>
      <c r="F750" s="60">
        <v>67200</v>
      </c>
      <c r="G750" s="60">
        <v>67200</v>
      </c>
      <c r="H750" s="60">
        <v>0</v>
      </c>
      <c r="I750" s="60">
        <v>0</v>
      </c>
      <c r="J750" s="60">
        <v>0</v>
      </c>
      <c r="K750" s="260">
        <v>0</v>
      </c>
      <c r="L750" s="260">
        <v>0</v>
      </c>
      <c r="M750" s="260">
        <v>0</v>
      </c>
      <c r="N750" s="260">
        <v>0</v>
      </c>
      <c r="O750" s="264">
        <v>67200</v>
      </c>
      <c r="P750" s="264">
        <v>0</v>
      </c>
      <c r="Q750" s="264">
        <v>0</v>
      </c>
      <c r="R750" s="264">
        <v>0</v>
      </c>
      <c r="S750" s="60">
        <v>67200</v>
      </c>
      <c r="T750" s="60">
        <v>0</v>
      </c>
      <c r="W750" s="272" t="e">
        <v>#N/A</v>
      </c>
    </row>
    <row r="751" spans="1:23">
      <c r="A751" t="s">
        <v>18492</v>
      </c>
      <c r="B751" s="262">
        <v>44350</v>
      </c>
      <c r="C751" t="s">
        <v>16444</v>
      </c>
      <c r="D751" t="s">
        <v>16445</v>
      </c>
      <c r="E751" s="60">
        <v>0</v>
      </c>
      <c r="F751" s="60">
        <v>36312.5</v>
      </c>
      <c r="G751" s="60">
        <v>36312.5</v>
      </c>
      <c r="H751" s="60">
        <v>0</v>
      </c>
      <c r="I751" s="60">
        <v>0</v>
      </c>
      <c r="J751" s="60">
        <v>0</v>
      </c>
      <c r="K751" s="260">
        <v>0</v>
      </c>
      <c r="L751" s="260">
        <v>0</v>
      </c>
      <c r="M751" s="260">
        <v>0</v>
      </c>
      <c r="N751" s="260">
        <v>0</v>
      </c>
      <c r="O751" s="264">
        <v>36312.5</v>
      </c>
      <c r="P751" s="264">
        <v>0</v>
      </c>
      <c r="Q751" s="264">
        <v>0</v>
      </c>
      <c r="R751" s="264">
        <v>0</v>
      </c>
      <c r="S751" s="60">
        <v>36312.5</v>
      </c>
      <c r="T751" s="60">
        <v>0</v>
      </c>
      <c r="W751" s="272" t="e">
        <v>#N/A</v>
      </c>
    </row>
    <row r="752" spans="1:23">
      <c r="A752" t="s">
        <v>18493</v>
      </c>
      <c r="B752" s="262">
        <v>44350</v>
      </c>
      <c r="C752" t="s">
        <v>16444</v>
      </c>
      <c r="D752" t="s">
        <v>16445</v>
      </c>
      <c r="E752" s="60">
        <v>0</v>
      </c>
      <c r="F752" s="60">
        <v>36504</v>
      </c>
      <c r="G752" s="60">
        <v>36504</v>
      </c>
      <c r="H752" s="60">
        <v>0</v>
      </c>
      <c r="I752" s="60">
        <v>0</v>
      </c>
      <c r="J752" s="60">
        <v>0</v>
      </c>
      <c r="K752" s="260">
        <v>0</v>
      </c>
      <c r="L752" s="260">
        <v>0</v>
      </c>
      <c r="M752" s="260">
        <v>0</v>
      </c>
      <c r="N752" s="260">
        <v>0</v>
      </c>
      <c r="O752" s="264">
        <v>36504</v>
      </c>
      <c r="P752" s="264">
        <v>0</v>
      </c>
      <c r="Q752" s="264">
        <v>0</v>
      </c>
      <c r="R752" s="264">
        <v>0</v>
      </c>
      <c r="S752" s="60">
        <v>36504</v>
      </c>
      <c r="T752" s="60">
        <v>0</v>
      </c>
      <c r="W752" s="272" t="e">
        <v>#N/A</v>
      </c>
    </row>
    <row r="753" spans="1:23">
      <c r="A753" t="s">
        <v>18494</v>
      </c>
      <c r="B753" s="262">
        <v>44351</v>
      </c>
      <c r="C753" t="s">
        <v>16444</v>
      </c>
      <c r="D753" t="s">
        <v>16445</v>
      </c>
      <c r="E753" s="60">
        <v>0</v>
      </c>
      <c r="F753" s="60">
        <v>33984</v>
      </c>
      <c r="G753" s="60">
        <v>33984</v>
      </c>
      <c r="H753" s="60">
        <v>0</v>
      </c>
      <c r="I753" s="60">
        <v>0</v>
      </c>
      <c r="J753" s="60">
        <v>0</v>
      </c>
      <c r="K753" s="260">
        <v>0</v>
      </c>
      <c r="L753" s="260">
        <v>0</v>
      </c>
      <c r="M753" s="260">
        <v>0</v>
      </c>
      <c r="N753" s="260">
        <v>0</v>
      </c>
      <c r="O753" s="264">
        <v>33984</v>
      </c>
      <c r="P753" s="264">
        <v>0</v>
      </c>
      <c r="Q753" s="264">
        <v>0</v>
      </c>
      <c r="R753" s="264">
        <v>0</v>
      </c>
      <c r="S753" s="60">
        <v>33984</v>
      </c>
      <c r="T753" s="60">
        <v>0</v>
      </c>
      <c r="W753" s="272" t="e">
        <v>#N/A</v>
      </c>
    </row>
    <row r="754" spans="1:23">
      <c r="A754" t="s">
        <v>18495</v>
      </c>
      <c r="B754" s="262">
        <v>44351</v>
      </c>
      <c r="C754" t="s">
        <v>17017</v>
      </c>
      <c r="D754" t="s">
        <v>17430</v>
      </c>
      <c r="E754" s="60">
        <v>0</v>
      </c>
      <c r="F754" s="60">
        <v>35800</v>
      </c>
      <c r="G754" s="60">
        <v>0</v>
      </c>
      <c r="H754" s="60">
        <v>35800</v>
      </c>
      <c r="I754" s="60">
        <v>0</v>
      </c>
      <c r="J754" s="60">
        <v>0</v>
      </c>
      <c r="K754" s="260">
        <v>0</v>
      </c>
      <c r="L754" s="260">
        <v>0</v>
      </c>
      <c r="M754" s="260">
        <v>0</v>
      </c>
      <c r="N754" s="260">
        <v>0</v>
      </c>
      <c r="O754" s="264">
        <v>0</v>
      </c>
      <c r="P754" s="264">
        <v>35800</v>
      </c>
      <c r="Q754" s="264">
        <v>0</v>
      </c>
      <c r="R754" s="264">
        <v>0</v>
      </c>
      <c r="S754" s="60">
        <v>35800</v>
      </c>
      <c r="T754" s="60">
        <v>0</v>
      </c>
      <c r="W754" s="272" t="e">
        <v>#N/A</v>
      </c>
    </row>
    <row r="755" spans="1:23">
      <c r="A755" t="s">
        <v>18496</v>
      </c>
      <c r="B755" s="262">
        <v>44351</v>
      </c>
      <c r="C755" t="s">
        <v>16384</v>
      </c>
      <c r="D755" t="s">
        <v>16385</v>
      </c>
      <c r="E755" s="60">
        <v>0</v>
      </c>
      <c r="F755" s="60">
        <v>170880</v>
      </c>
      <c r="G755" s="60">
        <v>170880</v>
      </c>
      <c r="H755" s="60">
        <v>0</v>
      </c>
      <c r="I755" s="60">
        <v>0</v>
      </c>
      <c r="J755" s="60">
        <v>0</v>
      </c>
      <c r="K755" s="260">
        <v>0</v>
      </c>
      <c r="L755" s="260">
        <v>0</v>
      </c>
      <c r="M755" s="260">
        <v>0</v>
      </c>
      <c r="N755" s="260">
        <v>0</v>
      </c>
      <c r="O755" s="264">
        <v>170880</v>
      </c>
      <c r="P755" s="264">
        <v>0</v>
      </c>
      <c r="Q755" s="264">
        <v>0</v>
      </c>
      <c r="R755" s="264">
        <v>0</v>
      </c>
      <c r="S755" s="60">
        <v>170880</v>
      </c>
      <c r="T755" s="60">
        <v>0</v>
      </c>
      <c r="W755" s="272" t="e">
        <v>#N/A</v>
      </c>
    </row>
    <row r="756" spans="1:23">
      <c r="A756" t="s">
        <v>18497</v>
      </c>
      <c r="B756" s="262">
        <v>44351</v>
      </c>
      <c r="C756" t="s">
        <v>16384</v>
      </c>
      <c r="D756" t="s">
        <v>16385</v>
      </c>
      <c r="E756" s="60">
        <v>0</v>
      </c>
      <c r="F756" s="60">
        <v>168000</v>
      </c>
      <c r="G756" s="60">
        <v>0</v>
      </c>
      <c r="H756" s="60">
        <v>85120</v>
      </c>
      <c r="I756" s="60">
        <v>82880</v>
      </c>
      <c r="J756" s="60">
        <v>0</v>
      </c>
      <c r="K756" s="260">
        <v>0</v>
      </c>
      <c r="L756" s="260">
        <v>0</v>
      </c>
      <c r="M756" s="260">
        <v>0</v>
      </c>
      <c r="N756" s="260">
        <v>0</v>
      </c>
      <c r="O756" s="264">
        <v>0</v>
      </c>
      <c r="P756" s="264">
        <v>85120</v>
      </c>
      <c r="Q756" s="264">
        <v>82880</v>
      </c>
      <c r="R756" s="264">
        <v>0</v>
      </c>
      <c r="S756" s="60">
        <v>168000</v>
      </c>
      <c r="T756" s="60">
        <v>0</v>
      </c>
      <c r="W756" s="272" t="e">
        <v>#N/A</v>
      </c>
    </row>
    <row r="757" spans="1:23">
      <c r="A757" t="s">
        <v>18498</v>
      </c>
      <c r="B757" s="262">
        <v>44351</v>
      </c>
      <c r="C757" t="s">
        <v>16384</v>
      </c>
      <c r="D757" t="s">
        <v>16385</v>
      </c>
      <c r="E757" s="60">
        <v>0</v>
      </c>
      <c r="F757" s="60">
        <v>448740.88</v>
      </c>
      <c r="G757" s="60">
        <v>414516.88</v>
      </c>
      <c r="H757" s="60">
        <v>4272</v>
      </c>
      <c r="I757" s="60">
        <v>29952</v>
      </c>
      <c r="J757" s="60">
        <v>0</v>
      </c>
      <c r="K757" s="260">
        <v>0</v>
      </c>
      <c r="L757" s="260">
        <v>0</v>
      </c>
      <c r="M757" s="260">
        <v>0</v>
      </c>
      <c r="N757" s="260">
        <v>0</v>
      </c>
      <c r="O757" s="264">
        <v>414516.88</v>
      </c>
      <c r="P757" s="264">
        <v>4272</v>
      </c>
      <c r="Q757" s="264">
        <v>29952</v>
      </c>
      <c r="R757" s="264">
        <v>0</v>
      </c>
      <c r="S757" s="60">
        <v>448740.88</v>
      </c>
      <c r="T757" s="60">
        <v>0</v>
      </c>
      <c r="W757" s="272" t="e">
        <v>#N/A</v>
      </c>
    </row>
    <row r="758" spans="1:23">
      <c r="A758" t="s">
        <v>18499</v>
      </c>
      <c r="B758" s="262">
        <v>44351</v>
      </c>
      <c r="C758" t="s">
        <v>16444</v>
      </c>
      <c r="D758" t="s">
        <v>16445</v>
      </c>
      <c r="E758" s="60">
        <v>0</v>
      </c>
      <c r="F758" s="60">
        <v>423816</v>
      </c>
      <c r="G758" s="60">
        <v>0</v>
      </c>
      <c r="H758" s="60">
        <v>177840</v>
      </c>
      <c r="I758" s="60">
        <v>245976</v>
      </c>
      <c r="J758" s="60">
        <v>0</v>
      </c>
      <c r="K758" s="260">
        <v>0</v>
      </c>
      <c r="L758" s="260">
        <v>0</v>
      </c>
      <c r="M758" s="260">
        <v>0</v>
      </c>
      <c r="N758" s="260">
        <v>0</v>
      </c>
      <c r="O758" s="264">
        <v>0</v>
      </c>
      <c r="P758" s="264">
        <v>177840</v>
      </c>
      <c r="Q758" s="264">
        <v>245976</v>
      </c>
      <c r="R758" s="264">
        <v>0</v>
      </c>
      <c r="S758" s="60">
        <v>423816</v>
      </c>
      <c r="T758" s="60">
        <v>0</v>
      </c>
      <c r="W758" s="272" t="e">
        <v>#N/A</v>
      </c>
    </row>
    <row r="759" spans="1:23">
      <c r="A759" t="s">
        <v>18500</v>
      </c>
      <c r="B759" s="262">
        <v>44355</v>
      </c>
      <c r="C759" t="s">
        <v>16444</v>
      </c>
      <c r="D759" t="s">
        <v>16445</v>
      </c>
      <c r="E759" s="60">
        <v>0</v>
      </c>
      <c r="F759" s="60">
        <v>134400</v>
      </c>
      <c r="G759" s="60">
        <v>134400</v>
      </c>
      <c r="H759" s="60">
        <v>0</v>
      </c>
      <c r="I759" s="60">
        <v>0</v>
      </c>
      <c r="J759" s="60">
        <v>0</v>
      </c>
      <c r="K759" s="260">
        <v>0</v>
      </c>
      <c r="L759" s="260">
        <v>0</v>
      </c>
      <c r="M759" s="260">
        <v>0</v>
      </c>
      <c r="N759" s="260">
        <v>0</v>
      </c>
      <c r="O759" s="264">
        <v>134400</v>
      </c>
      <c r="P759" s="264">
        <v>0</v>
      </c>
      <c r="Q759" s="264">
        <v>0</v>
      </c>
      <c r="R759" s="264">
        <v>0</v>
      </c>
      <c r="S759" s="60">
        <v>134400</v>
      </c>
      <c r="T759" s="60">
        <v>0</v>
      </c>
      <c r="W759" s="272" t="e">
        <v>#N/A</v>
      </c>
    </row>
    <row r="760" spans="1:23">
      <c r="A760" t="s">
        <v>18501</v>
      </c>
      <c r="B760" s="262">
        <v>44355</v>
      </c>
      <c r="C760" t="s">
        <v>16957</v>
      </c>
      <c r="D760" t="s">
        <v>17451</v>
      </c>
      <c r="E760" s="60">
        <v>0</v>
      </c>
      <c r="F760" s="60">
        <v>40976.76</v>
      </c>
      <c r="G760" s="60">
        <v>40976.76</v>
      </c>
      <c r="H760" s="60">
        <v>0</v>
      </c>
      <c r="I760" s="60">
        <v>0</v>
      </c>
      <c r="J760" s="60">
        <v>0</v>
      </c>
      <c r="K760" s="260">
        <v>0</v>
      </c>
      <c r="L760" s="260">
        <v>0</v>
      </c>
      <c r="M760" s="260">
        <v>0</v>
      </c>
      <c r="N760" s="260">
        <v>0</v>
      </c>
      <c r="O760" s="264">
        <v>40976.76</v>
      </c>
      <c r="P760" s="264">
        <v>0</v>
      </c>
      <c r="Q760" s="264">
        <v>0</v>
      </c>
      <c r="R760" s="264">
        <v>0</v>
      </c>
      <c r="S760" s="60">
        <v>40976.76</v>
      </c>
      <c r="T760" s="60">
        <v>0</v>
      </c>
      <c r="W760" s="272" t="e">
        <v>#N/A</v>
      </c>
    </row>
    <row r="761" spans="1:23" s="256" customFormat="1">
      <c r="A761" t="s">
        <v>18502</v>
      </c>
      <c r="B761" s="262">
        <v>44355</v>
      </c>
      <c r="C761" t="s">
        <v>16972</v>
      </c>
      <c r="D761" t="s">
        <v>17424</v>
      </c>
      <c r="E761" s="60">
        <v>0</v>
      </c>
      <c r="F761" s="60">
        <v>69368.100000000006</v>
      </c>
      <c r="G761" s="60">
        <v>69368.100000000006</v>
      </c>
      <c r="H761" s="60">
        <v>0</v>
      </c>
      <c r="I761" s="60">
        <v>0</v>
      </c>
      <c r="J761" s="60">
        <v>0</v>
      </c>
      <c r="K761" s="269">
        <v>0</v>
      </c>
      <c r="L761" s="269">
        <v>0</v>
      </c>
      <c r="M761" s="269">
        <v>0</v>
      </c>
      <c r="N761" s="269">
        <v>0</v>
      </c>
      <c r="O761" s="264">
        <v>69368.100000000006</v>
      </c>
      <c r="P761" s="270">
        <v>0</v>
      </c>
      <c r="Q761" s="270">
        <v>0</v>
      </c>
      <c r="R761" s="264">
        <v>0</v>
      </c>
      <c r="S761" s="273">
        <v>69368.100000000006</v>
      </c>
      <c r="T761" s="273">
        <v>0</v>
      </c>
      <c r="W761" s="273"/>
    </row>
    <row r="762" spans="1:23">
      <c r="A762" t="s">
        <v>18503</v>
      </c>
      <c r="B762" s="262">
        <v>44355</v>
      </c>
      <c r="C762" t="s">
        <v>17209</v>
      </c>
      <c r="D762" t="s">
        <v>17210</v>
      </c>
      <c r="E762" s="60">
        <v>0</v>
      </c>
      <c r="F762" s="60">
        <v>69603.793000000005</v>
      </c>
      <c r="G762" s="60">
        <v>16562.141275000005</v>
      </c>
      <c r="H762" s="60">
        <v>0</v>
      </c>
      <c r="I762" s="60">
        <v>0</v>
      </c>
      <c r="J762" s="60">
        <v>48668.253812499985</v>
      </c>
      <c r="K762" s="260">
        <v>1906.1973555934735</v>
      </c>
      <c r="L762" s="260">
        <v>0</v>
      </c>
      <c r="M762" s="260">
        <v>0</v>
      </c>
      <c r="N762" s="260">
        <v>2467.200878406527</v>
      </c>
      <c r="O762" s="264">
        <v>18468.33863059348</v>
      </c>
      <c r="P762" s="264">
        <v>0</v>
      </c>
      <c r="Q762" s="264">
        <v>0</v>
      </c>
      <c r="R762" s="264">
        <v>51135.45469090651</v>
      </c>
      <c r="S762" s="60">
        <v>69603.793321499994</v>
      </c>
      <c r="T762" s="60">
        <v>-3.2149998878594488E-4</v>
      </c>
    </row>
    <row r="763" spans="1:23">
      <c r="A763" t="s">
        <v>18504</v>
      </c>
      <c r="B763" s="262">
        <v>44355</v>
      </c>
      <c r="C763" t="s">
        <v>17017</v>
      </c>
      <c r="D763" t="s">
        <v>17430</v>
      </c>
      <c r="E763" s="60">
        <v>0</v>
      </c>
      <c r="F763" s="60">
        <v>72400</v>
      </c>
      <c r="G763" s="60">
        <v>72400</v>
      </c>
      <c r="H763" s="60">
        <v>0</v>
      </c>
      <c r="I763" s="60">
        <v>0</v>
      </c>
      <c r="J763" s="60">
        <v>0</v>
      </c>
      <c r="K763" s="260">
        <v>0</v>
      </c>
      <c r="L763" s="260">
        <v>0</v>
      </c>
      <c r="M763" s="260">
        <v>0</v>
      </c>
      <c r="N763" s="260">
        <v>0</v>
      </c>
      <c r="O763" s="264">
        <v>72400</v>
      </c>
      <c r="P763" s="264">
        <v>0</v>
      </c>
      <c r="Q763" s="264">
        <v>0</v>
      </c>
      <c r="R763" s="264">
        <v>0</v>
      </c>
      <c r="S763" s="60">
        <v>72400</v>
      </c>
      <c r="T763" s="60">
        <v>0</v>
      </c>
    </row>
    <row r="764" spans="1:23">
      <c r="A764" t="s">
        <v>18505</v>
      </c>
      <c r="B764" s="262">
        <v>44355</v>
      </c>
      <c r="C764" t="s">
        <v>16823</v>
      </c>
      <c r="D764" t="s">
        <v>17805</v>
      </c>
      <c r="E764" s="60">
        <v>0</v>
      </c>
      <c r="F764" s="60">
        <v>273473.913</v>
      </c>
      <c r="G764" s="60">
        <v>120648.42820800001</v>
      </c>
      <c r="H764" s="60">
        <v>109910.634372</v>
      </c>
      <c r="I764" s="60">
        <v>0</v>
      </c>
      <c r="J764" s="60">
        <v>0</v>
      </c>
      <c r="K764" s="260">
        <v>21622.482115384613</v>
      </c>
      <c r="L764" s="260">
        <v>21292.367884615385</v>
      </c>
      <c r="M764" s="260">
        <v>0</v>
      </c>
      <c r="N764" s="260">
        <v>0</v>
      </c>
      <c r="O764" s="264">
        <v>142270.91032338463</v>
      </c>
      <c r="P764" s="264">
        <v>131203.00225661538</v>
      </c>
      <c r="Q764" s="264">
        <v>0</v>
      </c>
      <c r="R764" s="264">
        <v>0</v>
      </c>
      <c r="S764" s="60">
        <v>273473.91258</v>
      </c>
      <c r="T764" s="60">
        <v>4.1999999666586518E-4</v>
      </c>
    </row>
    <row r="765" spans="1:23">
      <c r="A765" t="s">
        <v>18506</v>
      </c>
      <c r="B765" s="262">
        <v>44355</v>
      </c>
      <c r="C765" t="s">
        <v>16560</v>
      </c>
      <c r="D765" t="s">
        <v>16561</v>
      </c>
      <c r="E765" s="60">
        <v>0</v>
      </c>
      <c r="F765" s="60">
        <v>173959.21799999999</v>
      </c>
      <c r="G765" s="60">
        <v>0</v>
      </c>
      <c r="H765" s="60">
        <v>0</v>
      </c>
      <c r="I765" s="60">
        <v>173959.21799999999</v>
      </c>
      <c r="J765" s="60">
        <v>0</v>
      </c>
      <c r="K765" s="260">
        <v>0</v>
      </c>
      <c r="L765" s="260">
        <v>0</v>
      </c>
      <c r="M765" s="260">
        <v>0</v>
      </c>
      <c r="N765" s="260">
        <v>0</v>
      </c>
      <c r="O765" s="264">
        <v>0</v>
      </c>
      <c r="P765" s="264">
        <v>0</v>
      </c>
      <c r="Q765" s="264">
        <v>173959.21799999999</v>
      </c>
      <c r="R765" s="264">
        <v>0</v>
      </c>
      <c r="S765" s="60">
        <v>173959.21799999999</v>
      </c>
      <c r="T765" s="60">
        <v>0</v>
      </c>
    </row>
    <row r="766" spans="1:23">
      <c r="A766" t="s">
        <v>18507</v>
      </c>
      <c r="B766" s="262">
        <v>44355</v>
      </c>
      <c r="C766" t="s">
        <v>16560</v>
      </c>
      <c r="D766" t="s">
        <v>16561</v>
      </c>
      <c r="E766" s="60">
        <v>0</v>
      </c>
      <c r="F766" s="60">
        <v>173862.315</v>
      </c>
      <c r="G766" s="60">
        <v>0</v>
      </c>
      <c r="H766" s="60">
        <v>0</v>
      </c>
      <c r="I766" s="60">
        <v>173862.315</v>
      </c>
      <c r="J766" s="60">
        <v>0</v>
      </c>
      <c r="K766" s="260">
        <v>0</v>
      </c>
      <c r="L766" s="260">
        <v>0</v>
      </c>
      <c r="M766" s="260">
        <v>0</v>
      </c>
      <c r="N766" s="260">
        <v>0</v>
      </c>
      <c r="O766" s="264">
        <v>0</v>
      </c>
      <c r="P766" s="264">
        <v>0</v>
      </c>
      <c r="Q766" s="264">
        <v>173862.315</v>
      </c>
      <c r="R766" s="264">
        <v>0</v>
      </c>
      <c r="S766" s="60">
        <v>173862.315</v>
      </c>
      <c r="T766" s="60">
        <v>0</v>
      </c>
    </row>
    <row r="767" spans="1:23">
      <c r="A767" t="s">
        <v>18508</v>
      </c>
      <c r="B767" s="262">
        <v>44355</v>
      </c>
      <c r="C767" t="s">
        <v>16560</v>
      </c>
      <c r="D767" t="s">
        <v>16561</v>
      </c>
      <c r="E767" s="60">
        <v>0</v>
      </c>
      <c r="F767" s="60">
        <v>173029.473</v>
      </c>
      <c r="G767" s="60">
        <v>0</v>
      </c>
      <c r="H767" s="60">
        <v>0</v>
      </c>
      <c r="I767" s="60">
        <v>173029.473</v>
      </c>
      <c r="J767" s="60">
        <v>0</v>
      </c>
      <c r="K767" s="260">
        <v>0</v>
      </c>
      <c r="L767" s="260">
        <v>0</v>
      </c>
      <c r="M767" s="260">
        <v>0</v>
      </c>
      <c r="N767" s="260">
        <v>0</v>
      </c>
      <c r="O767" s="264">
        <v>0</v>
      </c>
      <c r="P767" s="264">
        <v>0</v>
      </c>
      <c r="Q767" s="264">
        <v>173029.473</v>
      </c>
      <c r="R767" s="264">
        <v>0</v>
      </c>
      <c r="S767" s="60">
        <v>173029.473</v>
      </c>
      <c r="T767" s="60">
        <v>0</v>
      </c>
    </row>
    <row r="768" spans="1:23">
      <c r="A768" t="s">
        <v>18509</v>
      </c>
      <c r="B768" s="262">
        <v>44355</v>
      </c>
      <c r="C768" t="s">
        <v>16560</v>
      </c>
      <c r="D768" t="s">
        <v>16561</v>
      </c>
      <c r="E768" s="60">
        <v>0</v>
      </c>
      <c r="F768" s="60">
        <v>173029.473</v>
      </c>
      <c r="G768" s="60">
        <v>0</v>
      </c>
      <c r="H768" s="60">
        <v>0</v>
      </c>
      <c r="I768" s="60">
        <v>173029.473</v>
      </c>
      <c r="J768" s="60">
        <v>0</v>
      </c>
      <c r="K768" s="260">
        <v>0</v>
      </c>
      <c r="L768" s="260">
        <v>0</v>
      </c>
      <c r="M768" s="260">
        <v>0</v>
      </c>
      <c r="N768" s="260">
        <v>0</v>
      </c>
      <c r="O768" s="264">
        <v>0</v>
      </c>
      <c r="P768" s="264">
        <v>0</v>
      </c>
      <c r="Q768" s="264">
        <v>173029.473</v>
      </c>
      <c r="R768" s="264">
        <v>0</v>
      </c>
      <c r="S768" s="60">
        <v>173029.473</v>
      </c>
      <c r="T768" s="60">
        <v>0</v>
      </c>
    </row>
    <row r="769" spans="1:20">
      <c r="A769" t="s">
        <v>18510</v>
      </c>
      <c r="B769" s="262">
        <v>44355</v>
      </c>
      <c r="C769" t="s">
        <v>16783</v>
      </c>
      <c r="D769" t="s">
        <v>17509</v>
      </c>
      <c r="E769" s="60">
        <v>0</v>
      </c>
      <c r="F769" s="60">
        <v>170967.22500000001</v>
      </c>
      <c r="G769" s="60">
        <v>0</v>
      </c>
      <c r="H769" s="60">
        <v>0</v>
      </c>
      <c r="I769" s="60">
        <v>0</v>
      </c>
      <c r="J769" s="60">
        <v>170967.22500000001</v>
      </c>
      <c r="K769" s="260">
        <v>0</v>
      </c>
      <c r="L769" s="260">
        <v>0</v>
      </c>
      <c r="M769" s="260">
        <v>0</v>
      </c>
      <c r="N769" s="260">
        <v>0</v>
      </c>
      <c r="O769" s="264">
        <v>0</v>
      </c>
      <c r="P769" s="264">
        <v>0</v>
      </c>
      <c r="Q769" s="264">
        <v>0</v>
      </c>
      <c r="R769" s="264">
        <v>170967.22500000001</v>
      </c>
      <c r="S769" s="60">
        <v>170967.22500000001</v>
      </c>
      <c r="T769" s="60">
        <v>0</v>
      </c>
    </row>
    <row r="770" spans="1:20">
      <c r="A770" t="s">
        <v>18511</v>
      </c>
      <c r="B770" s="262">
        <v>44357</v>
      </c>
      <c r="C770" t="s">
        <v>16957</v>
      </c>
      <c r="D770" t="s">
        <v>17451</v>
      </c>
      <c r="E770" s="60">
        <v>0</v>
      </c>
      <c r="F770" s="60">
        <v>41050.019999999997</v>
      </c>
      <c r="G770" s="60">
        <v>41050.019999999997</v>
      </c>
      <c r="H770" s="60">
        <v>0</v>
      </c>
      <c r="I770" s="60">
        <v>0</v>
      </c>
      <c r="J770" s="60">
        <v>0</v>
      </c>
      <c r="K770" s="260">
        <v>0</v>
      </c>
      <c r="L770" s="260">
        <v>0</v>
      </c>
      <c r="M770" s="260">
        <v>0</v>
      </c>
      <c r="N770" s="260">
        <v>0</v>
      </c>
      <c r="O770" s="264">
        <v>41050.019999999997</v>
      </c>
      <c r="P770" s="264">
        <v>0</v>
      </c>
      <c r="Q770" s="264">
        <v>0</v>
      </c>
      <c r="R770" s="264">
        <v>0</v>
      </c>
      <c r="S770" s="60">
        <v>41050.019999999997</v>
      </c>
      <c r="T770" s="60">
        <v>0</v>
      </c>
    </row>
    <row r="771" spans="1:20">
      <c r="A771" t="s">
        <v>18512</v>
      </c>
      <c r="B771" s="262">
        <v>44362</v>
      </c>
      <c r="C771" t="s">
        <v>16838</v>
      </c>
      <c r="D771" t="s">
        <v>16839</v>
      </c>
      <c r="E771" s="60">
        <v>0</v>
      </c>
      <c r="F771" s="60">
        <v>201500</v>
      </c>
      <c r="G771" s="60">
        <v>0</v>
      </c>
      <c r="H771" s="60">
        <v>0</v>
      </c>
      <c r="I771" s="60">
        <v>201500</v>
      </c>
      <c r="J771" s="60">
        <v>0</v>
      </c>
      <c r="K771" s="260">
        <v>0</v>
      </c>
      <c r="L771" s="260">
        <v>0</v>
      </c>
      <c r="M771" s="260">
        <v>0</v>
      </c>
      <c r="N771" s="260">
        <v>0</v>
      </c>
      <c r="O771" s="264">
        <v>0</v>
      </c>
      <c r="P771" s="264">
        <v>0</v>
      </c>
      <c r="Q771" s="264">
        <v>201500</v>
      </c>
      <c r="R771" s="264">
        <v>0</v>
      </c>
      <c r="S771" s="60">
        <v>201500</v>
      </c>
      <c r="T771" s="60">
        <v>0</v>
      </c>
    </row>
    <row r="772" spans="1:20">
      <c r="A772" t="s">
        <v>18513</v>
      </c>
      <c r="B772" s="262">
        <v>44362</v>
      </c>
      <c r="C772" t="s">
        <v>17293</v>
      </c>
      <c r="D772" t="s">
        <v>17294</v>
      </c>
      <c r="E772" s="60">
        <v>0</v>
      </c>
      <c r="F772" s="60">
        <v>17989.2</v>
      </c>
      <c r="G772" s="60">
        <v>0</v>
      </c>
      <c r="H772" s="60">
        <v>15139.2</v>
      </c>
      <c r="I772" s="60">
        <v>2850</v>
      </c>
      <c r="J772" s="60">
        <v>0</v>
      </c>
      <c r="K772" s="260">
        <v>0</v>
      </c>
      <c r="L772" s="260">
        <v>0</v>
      </c>
      <c r="M772" s="260">
        <v>0</v>
      </c>
      <c r="N772" s="260">
        <v>0</v>
      </c>
      <c r="O772" s="264">
        <v>0</v>
      </c>
      <c r="P772" s="264">
        <v>15139.2</v>
      </c>
      <c r="Q772" s="264">
        <v>2850</v>
      </c>
      <c r="R772" s="264">
        <v>0</v>
      </c>
      <c r="S772" s="60">
        <v>17989.2</v>
      </c>
      <c r="T772" s="60">
        <v>0</v>
      </c>
    </row>
    <row r="773" spans="1:20">
      <c r="A773" t="s">
        <v>18514</v>
      </c>
      <c r="B773" s="262">
        <v>44365</v>
      </c>
      <c r="C773" t="s">
        <v>17119</v>
      </c>
      <c r="D773" t="s">
        <v>17120</v>
      </c>
      <c r="E773" s="60">
        <v>0</v>
      </c>
      <c r="F773" s="60">
        <v>219693.28899999999</v>
      </c>
      <c r="G773" s="60">
        <v>73331.654399999999</v>
      </c>
      <c r="H773" s="60">
        <v>111212.47995000001</v>
      </c>
      <c r="I773" s="60">
        <v>0</v>
      </c>
      <c r="J773" s="60">
        <v>0</v>
      </c>
      <c r="K773" s="260">
        <v>13155.239298245615</v>
      </c>
      <c r="L773" s="260">
        <v>21993.915701754388</v>
      </c>
      <c r="M773" s="260">
        <v>0</v>
      </c>
      <c r="N773" s="260">
        <v>0</v>
      </c>
      <c r="O773" s="264">
        <v>86486.893698245607</v>
      </c>
      <c r="P773" s="264">
        <v>133206.3956517544</v>
      </c>
      <c r="Q773" s="264">
        <v>0</v>
      </c>
      <c r="R773" s="264">
        <v>0</v>
      </c>
      <c r="S773" s="60">
        <v>219693.28935000001</v>
      </c>
      <c r="T773" s="60">
        <v>-3.5000001662410796E-4</v>
      </c>
    </row>
    <row r="774" spans="1:20">
      <c r="A774" t="s">
        <v>18515</v>
      </c>
      <c r="B774" s="262">
        <v>44378</v>
      </c>
      <c r="C774" t="s">
        <v>16470</v>
      </c>
      <c r="D774" t="s">
        <v>16471</v>
      </c>
      <c r="E774" s="60">
        <v>0</v>
      </c>
      <c r="F774" s="60">
        <v>519741.261</v>
      </c>
      <c r="G774" s="60">
        <v>57879.666900000004</v>
      </c>
      <c r="H774" s="60">
        <v>364399.56044999987</v>
      </c>
      <c r="I774" s="60">
        <v>0</v>
      </c>
      <c r="J774" s="60">
        <v>0</v>
      </c>
      <c r="K774" s="260">
        <v>11942.831238512033</v>
      </c>
      <c r="L774" s="260">
        <v>85519.202261487953</v>
      </c>
      <c r="M774" s="260">
        <v>0</v>
      </c>
      <c r="N774" s="260">
        <v>0</v>
      </c>
      <c r="O774" s="264">
        <v>69822.498138512034</v>
      </c>
      <c r="P774" s="264">
        <v>449918.76271148783</v>
      </c>
      <c r="Q774" s="264">
        <v>0</v>
      </c>
      <c r="R774" s="264">
        <v>0</v>
      </c>
      <c r="S774" s="60">
        <v>519741.26084999985</v>
      </c>
      <c r="T774" s="60">
        <v>1.5000015264376998E-4</v>
      </c>
    </row>
    <row r="775" spans="1:20">
      <c r="A775" t="s">
        <v>18516</v>
      </c>
      <c r="B775" s="262">
        <v>44365</v>
      </c>
      <c r="C775" t="s">
        <v>16444</v>
      </c>
      <c r="D775" t="s">
        <v>16445</v>
      </c>
      <c r="E775" s="60">
        <v>0</v>
      </c>
      <c r="F775" s="60">
        <v>370504</v>
      </c>
      <c r="G775" s="60">
        <v>0</v>
      </c>
      <c r="H775" s="60">
        <v>202080</v>
      </c>
      <c r="I775" s="60">
        <v>168424</v>
      </c>
      <c r="J775" s="60">
        <v>0</v>
      </c>
      <c r="K775" s="260">
        <v>0</v>
      </c>
      <c r="L775" s="260">
        <v>0</v>
      </c>
      <c r="M775" s="260">
        <v>0</v>
      </c>
      <c r="N775" s="260">
        <v>0</v>
      </c>
      <c r="O775" s="264">
        <v>0</v>
      </c>
      <c r="P775" s="264">
        <v>202080</v>
      </c>
      <c r="Q775" s="264">
        <v>168424</v>
      </c>
      <c r="R775" s="264">
        <v>0</v>
      </c>
      <c r="S775" s="60">
        <v>370504</v>
      </c>
      <c r="T775" s="60">
        <v>0</v>
      </c>
    </row>
    <row r="776" spans="1:20">
      <c r="A776" t="s">
        <v>18517</v>
      </c>
      <c r="B776" s="262">
        <v>44378</v>
      </c>
      <c r="C776" t="s">
        <v>17272</v>
      </c>
      <c r="D776" t="s">
        <v>17273</v>
      </c>
      <c r="E776" s="60">
        <v>0</v>
      </c>
      <c r="F776" s="60">
        <v>16296.4</v>
      </c>
      <c r="G776" s="60">
        <v>0</v>
      </c>
      <c r="H776" s="60">
        <v>8960.4</v>
      </c>
      <c r="I776" s="60">
        <v>2850</v>
      </c>
      <c r="J776" s="60">
        <v>4486</v>
      </c>
      <c r="K776" s="260">
        <v>0</v>
      </c>
      <c r="L776" s="260">
        <v>0</v>
      </c>
      <c r="M776" s="260">
        <v>0</v>
      </c>
      <c r="N776" s="260">
        <v>0</v>
      </c>
      <c r="O776" s="264">
        <v>0</v>
      </c>
      <c r="P776" s="264">
        <v>8960.4</v>
      </c>
      <c r="Q776" s="264">
        <v>2850</v>
      </c>
      <c r="R776" s="264">
        <v>4486</v>
      </c>
      <c r="S776" s="60">
        <v>16296.4</v>
      </c>
      <c r="T776" s="60">
        <v>0</v>
      </c>
    </row>
    <row r="777" spans="1:20">
      <c r="A777" t="s">
        <v>18518</v>
      </c>
      <c r="B777" s="262">
        <v>44378</v>
      </c>
      <c r="C777" t="s">
        <v>16972</v>
      </c>
      <c r="D777" t="s">
        <v>17424</v>
      </c>
      <c r="E777" s="60">
        <v>0</v>
      </c>
      <c r="F777" s="60">
        <v>378000</v>
      </c>
      <c r="G777" s="60">
        <v>0</v>
      </c>
      <c r="H777" s="60">
        <v>0</v>
      </c>
      <c r="I777" s="60">
        <v>378000</v>
      </c>
      <c r="J777" s="60">
        <v>0</v>
      </c>
      <c r="K777" s="260">
        <v>0</v>
      </c>
      <c r="L777" s="260">
        <v>0</v>
      </c>
      <c r="M777" s="260">
        <v>0</v>
      </c>
      <c r="N777" s="260">
        <v>0</v>
      </c>
      <c r="O777" s="264">
        <v>0</v>
      </c>
      <c r="P777" s="264">
        <v>0</v>
      </c>
      <c r="Q777" s="264">
        <v>378000</v>
      </c>
      <c r="R777" s="264">
        <v>0</v>
      </c>
      <c r="S777" s="60">
        <v>378000</v>
      </c>
      <c r="T777" s="60">
        <v>0</v>
      </c>
    </row>
    <row r="778" spans="1:20">
      <c r="A778" t="s">
        <v>18519</v>
      </c>
      <c r="B778" s="262">
        <v>44378</v>
      </c>
      <c r="C778" t="s">
        <v>16384</v>
      </c>
      <c r="D778" t="s">
        <v>16385</v>
      </c>
      <c r="E778" s="60">
        <v>0</v>
      </c>
      <c r="F778" s="60">
        <v>170880</v>
      </c>
      <c r="G778" s="60">
        <v>170880</v>
      </c>
      <c r="H778" s="60">
        <v>0</v>
      </c>
      <c r="I778" s="60">
        <v>0</v>
      </c>
      <c r="J778" s="60">
        <v>0</v>
      </c>
      <c r="K778" s="260">
        <v>0</v>
      </c>
      <c r="L778" s="260">
        <v>0</v>
      </c>
      <c r="M778" s="260">
        <v>0</v>
      </c>
      <c r="N778" s="260">
        <v>0</v>
      </c>
      <c r="O778" s="264">
        <v>170880</v>
      </c>
      <c r="P778" s="264">
        <v>0</v>
      </c>
      <c r="Q778" s="264">
        <v>0</v>
      </c>
      <c r="R778" s="264">
        <v>0</v>
      </c>
      <c r="S778" s="60">
        <v>170880</v>
      </c>
      <c r="T778" s="60">
        <v>0</v>
      </c>
    </row>
    <row r="779" spans="1:20">
      <c r="A779" t="s">
        <v>18520</v>
      </c>
      <c r="B779" s="262">
        <v>44378</v>
      </c>
      <c r="C779" t="s">
        <v>16444</v>
      </c>
      <c r="D779" t="s">
        <v>16445</v>
      </c>
      <c r="E779" s="60">
        <v>0</v>
      </c>
      <c r="F779" s="60">
        <v>100240</v>
      </c>
      <c r="G779" s="60">
        <v>100240</v>
      </c>
      <c r="H779" s="60">
        <v>0</v>
      </c>
      <c r="I779" s="60">
        <v>0</v>
      </c>
      <c r="J779" s="60">
        <v>0</v>
      </c>
      <c r="K779" s="260">
        <v>0</v>
      </c>
      <c r="L779" s="260">
        <v>0</v>
      </c>
      <c r="M779" s="260">
        <v>0</v>
      </c>
      <c r="N779" s="260">
        <v>0</v>
      </c>
      <c r="O779" s="264">
        <v>100240</v>
      </c>
      <c r="P779" s="264">
        <v>0</v>
      </c>
      <c r="Q779" s="264">
        <v>0</v>
      </c>
      <c r="R779" s="264">
        <v>0</v>
      </c>
      <c r="S779" s="60">
        <v>100240</v>
      </c>
      <c r="T779" s="60">
        <v>0</v>
      </c>
    </row>
    <row r="780" spans="1:20">
      <c r="A780" t="s">
        <v>18521</v>
      </c>
      <c r="B780" s="262">
        <v>44379</v>
      </c>
      <c r="C780" t="s">
        <v>17017</v>
      </c>
      <c r="D780" t="s">
        <v>17430</v>
      </c>
      <c r="E780" s="60">
        <v>0</v>
      </c>
      <c r="F780" s="60">
        <v>5700</v>
      </c>
      <c r="G780" s="60">
        <v>5700</v>
      </c>
      <c r="H780" s="60">
        <v>0</v>
      </c>
      <c r="I780" s="60">
        <v>0</v>
      </c>
      <c r="J780" s="60">
        <v>0</v>
      </c>
      <c r="K780" s="260">
        <v>0</v>
      </c>
      <c r="L780" s="260">
        <v>0</v>
      </c>
      <c r="M780" s="260">
        <v>0</v>
      </c>
      <c r="N780" s="260">
        <v>0</v>
      </c>
      <c r="O780" s="264">
        <v>5700</v>
      </c>
      <c r="P780" s="264">
        <v>0</v>
      </c>
      <c r="Q780" s="264">
        <v>0</v>
      </c>
      <c r="R780" s="264">
        <v>0</v>
      </c>
      <c r="S780" s="60">
        <v>5700</v>
      </c>
      <c r="T780" s="60">
        <v>0</v>
      </c>
    </row>
    <row r="781" spans="1:20">
      <c r="A781" t="s">
        <v>18522</v>
      </c>
      <c r="B781" s="262">
        <v>44382</v>
      </c>
      <c r="C781" t="s">
        <v>16384</v>
      </c>
      <c r="D781" t="s">
        <v>16385</v>
      </c>
      <c r="E781" s="60">
        <v>0</v>
      </c>
      <c r="F781" s="60">
        <v>103800</v>
      </c>
      <c r="G781" s="60">
        <v>103800</v>
      </c>
      <c r="H781" s="60">
        <v>0</v>
      </c>
      <c r="I781" s="60">
        <v>0</v>
      </c>
      <c r="J781" s="60">
        <v>0</v>
      </c>
      <c r="K781" s="260">
        <v>0</v>
      </c>
      <c r="L781" s="260">
        <v>0</v>
      </c>
      <c r="M781" s="260">
        <v>0</v>
      </c>
      <c r="N781" s="260">
        <v>0</v>
      </c>
      <c r="O781" s="264">
        <v>103800</v>
      </c>
      <c r="P781" s="264">
        <v>0</v>
      </c>
      <c r="Q781" s="264">
        <v>0</v>
      </c>
      <c r="R781" s="264">
        <v>0</v>
      </c>
      <c r="S781" s="60">
        <v>103800</v>
      </c>
      <c r="T781" s="60">
        <v>0</v>
      </c>
    </row>
    <row r="782" spans="1:20">
      <c r="A782" t="s">
        <v>18523</v>
      </c>
      <c r="B782" s="262">
        <v>44383</v>
      </c>
      <c r="C782" t="s">
        <v>16444</v>
      </c>
      <c r="D782" t="s">
        <v>16445</v>
      </c>
      <c r="E782" s="60">
        <v>0</v>
      </c>
      <c r="F782" s="60">
        <v>38954.160000000003</v>
      </c>
      <c r="G782" s="60">
        <v>38954.160000000003</v>
      </c>
      <c r="H782" s="60">
        <v>0</v>
      </c>
      <c r="I782" s="60">
        <v>0</v>
      </c>
      <c r="J782" s="60">
        <v>0</v>
      </c>
      <c r="K782" s="260">
        <v>0</v>
      </c>
      <c r="L782" s="260">
        <v>0</v>
      </c>
      <c r="M782" s="260">
        <v>0</v>
      </c>
      <c r="N782" s="260">
        <v>0</v>
      </c>
      <c r="O782" s="264">
        <v>38954.160000000003</v>
      </c>
      <c r="P782" s="264">
        <v>0</v>
      </c>
      <c r="Q782" s="264">
        <v>0</v>
      </c>
      <c r="R782" s="264">
        <v>0</v>
      </c>
      <c r="S782" s="60">
        <v>38954.160000000003</v>
      </c>
      <c r="T782" s="60">
        <v>0</v>
      </c>
    </row>
    <row r="783" spans="1:20">
      <c r="A783" t="s">
        <v>18524</v>
      </c>
      <c r="B783" s="262">
        <v>44384</v>
      </c>
      <c r="C783" t="s">
        <v>16384</v>
      </c>
      <c r="D783" t="s">
        <v>16385</v>
      </c>
      <c r="E783" s="60">
        <v>0</v>
      </c>
      <c r="F783" s="60">
        <v>170880</v>
      </c>
      <c r="G783" s="60">
        <v>170880</v>
      </c>
      <c r="H783" s="60">
        <v>0</v>
      </c>
      <c r="I783" s="60">
        <v>0</v>
      </c>
      <c r="J783" s="60">
        <v>0</v>
      </c>
      <c r="K783" s="260">
        <v>0</v>
      </c>
      <c r="L783" s="260">
        <v>0</v>
      </c>
      <c r="M783" s="260">
        <v>0</v>
      </c>
      <c r="N783" s="260">
        <v>0</v>
      </c>
      <c r="O783" s="264">
        <v>170880</v>
      </c>
      <c r="P783" s="264">
        <v>0</v>
      </c>
      <c r="Q783" s="264">
        <v>0</v>
      </c>
      <c r="R783" s="264">
        <v>0</v>
      </c>
      <c r="S783" s="60">
        <v>170880</v>
      </c>
      <c r="T783" s="60">
        <v>0</v>
      </c>
    </row>
    <row r="784" spans="1:20">
      <c r="A784" t="s">
        <v>18525</v>
      </c>
      <c r="B784" s="262">
        <v>44386</v>
      </c>
      <c r="C784" t="s">
        <v>16957</v>
      </c>
      <c r="D784" t="s">
        <v>17451</v>
      </c>
      <c r="E784" s="60">
        <v>0</v>
      </c>
      <c r="F784" s="60">
        <v>82585.48</v>
      </c>
      <c r="G784" s="60">
        <v>82585.48</v>
      </c>
      <c r="H784" s="60">
        <v>0</v>
      </c>
      <c r="I784" s="60">
        <v>0</v>
      </c>
      <c r="J784" s="60">
        <v>0</v>
      </c>
      <c r="K784" s="260">
        <v>0</v>
      </c>
      <c r="L784" s="260">
        <v>0</v>
      </c>
      <c r="M784" s="260">
        <v>0</v>
      </c>
      <c r="N784" s="260">
        <v>0</v>
      </c>
      <c r="O784" s="264">
        <v>82585.48</v>
      </c>
      <c r="P784" s="264">
        <v>0</v>
      </c>
      <c r="Q784" s="264">
        <v>0</v>
      </c>
      <c r="R784" s="264">
        <v>0</v>
      </c>
      <c r="S784" s="60">
        <v>82585.48</v>
      </c>
      <c r="T784" s="60">
        <v>0</v>
      </c>
    </row>
    <row r="785" spans="1:20">
      <c r="A785" t="s">
        <v>18526</v>
      </c>
      <c r="B785" s="262">
        <v>44386</v>
      </c>
      <c r="C785" t="s">
        <v>16384</v>
      </c>
      <c r="D785" t="s">
        <v>16385</v>
      </c>
      <c r="E785" s="60">
        <v>0</v>
      </c>
      <c r="F785" s="60">
        <v>127400</v>
      </c>
      <c r="G785" s="60">
        <v>21000</v>
      </c>
      <c r="H785" s="60">
        <v>79760</v>
      </c>
      <c r="I785" s="60">
        <v>26640</v>
      </c>
      <c r="J785" s="60">
        <v>0</v>
      </c>
      <c r="K785" s="260">
        <v>0</v>
      </c>
      <c r="L785" s="260">
        <v>0</v>
      </c>
      <c r="M785" s="260">
        <v>0</v>
      </c>
      <c r="N785" s="260">
        <v>0</v>
      </c>
      <c r="O785" s="264">
        <v>21000</v>
      </c>
      <c r="P785" s="264">
        <v>79760</v>
      </c>
      <c r="Q785" s="264">
        <v>26640</v>
      </c>
      <c r="R785" s="264">
        <v>0</v>
      </c>
      <c r="S785" s="60">
        <v>127400</v>
      </c>
      <c r="T785" s="60">
        <v>0</v>
      </c>
    </row>
    <row r="786" spans="1:20">
      <c r="A786" t="s">
        <v>18527</v>
      </c>
      <c r="B786" s="262">
        <v>44386</v>
      </c>
      <c r="C786" t="s">
        <v>17264</v>
      </c>
      <c r="D786" t="s">
        <v>17265</v>
      </c>
      <c r="E786" s="60">
        <v>0</v>
      </c>
      <c r="F786" s="60">
        <v>112547.33099999999</v>
      </c>
      <c r="G786" s="60">
        <v>0</v>
      </c>
      <c r="H786" s="60">
        <v>0</v>
      </c>
      <c r="I786" s="60">
        <v>0</v>
      </c>
      <c r="J786" s="60">
        <v>112547.33125</v>
      </c>
      <c r="K786" s="260">
        <v>0</v>
      </c>
      <c r="L786" s="260">
        <v>0</v>
      </c>
      <c r="M786" s="260">
        <v>0</v>
      </c>
      <c r="N786" s="260">
        <v>0</v>
      </c>
      <c r="O786" s="264">
        <v>0</v>
      </c>
      <c r="P786" s="264">
        <v>0</v>
      </c>
      <c r="Q786" s="264">
        <v>0</v>
      </c>
      <c r="R786" s="264">
        <v>112547.33125</v>
      </c>
      <c r="S786" s="60">
        <v>112547.33125</v>
      </c>
      <c r="T786" s="60">
        <v>-2.5000001187436283E-4</v>
      </c>
    </row>
    <row r="787" spans="1:20">
      <c r="A787" t="s">
        <v>18528</v>
      </c>
      <c r="B787" s="262">
        <v>44410</v>
      </c>
      <c r="C787" t="s">
        <v>17017</v>
      </c>
      <c r="D787" t="s">
        <v>17430</v>
      </c>
      <c r="E787" s="60">
        <v>0</v>
      </c>
      <c r="F787" s="60">
        <v>14651.92</v>
      </c>
      <c r="G787" s="60">
        <v>0</v>
      </c>
      <c r="H787" s="60">
        <v>9751.92</v>
      </c>
      <c r="I787" s="60">
        <v>0</v>
      </c>
      <c r="J787" s="60">
        <v>4900</v>
      </c>
      <c r="K787" s="260">
        <v>0</v>
      </c>
      <c r="L787" s="260">
        <v>0</v>
      </c>
      <c r="M787" s="260">
        <v>0</v>
      </c>
      <c r="N787" s="260">
        <v>0</v>
      </c>
      <c r="O787" s="264">
        <v>0</v>
      </c>
      <c r="P787" s="264">
        <v>9751.92</v>
      </c>
      <c r="Q787" s="264">
        <v>0</v>
      </c>
      <c r="R787" s="264">
        <v>4900</v>
      </c>
      <c r="S787" s="60">
        <v>14651.92</v>
      </c>
      <c r="T787" s="60">
        <v>0</v>
      </c>
    </row>
    <row r="788" spans="1:20">
      <c r="A788" t="s">
        <v>18529</v>
      </c>
      <c r="B788" s="262">
        <v>44386</v>
      </c>
      <c r="C788" t="s">
        <v>17017</v>
      </c>
      <c r="D788" t="s">
        <v>17430</v>
      </c>
      <c r="E788" s="60">
        <v>0</v>
      </c>
      <c r="F788" s="60">
        <v>35800</v>
      </c>
      <c r="G788" s="60">
        <v>0</v>
      </c>
      <c r="H788" s="60">
        <v>35800</v>
      </c>
      <c r="I788" s="60">
        <v>0</v>
      </c>
      <c r="J788" s="60">
        <v>0</v>
      </c>
      <c r="K788" s="260">
        <v>0</v>
      </c>
      <c r="L788" s="260">
        <v>0</v>
      </c>
      <c r="M788" s="260">
        <v>0</v>
      </c>
      <c r="N788" s="260">
        <v>0</v>
      </c>
      <c r="O788" s="264">
        <v>0</v>
      </c>
      <c r="P788" s="264">
        <v>35800</v>
      </c>
      <c r="Q788" s="264">
        <v>0</v>
      </c>
      <c r="R788" s="264">
        <v>0</v>
      </c>
      <c r="S788" s="60">
        <v>35800</v>
      </c>
      <c r="T788" s="60">
        <v>0</v>
      </c>
    </row>
    <row r="789" spans="1:20">
      <c r="A789" t="s">
        <v>18530</v>
      </c>
      <c r="B789" s="262">
        <v>44386</v>
      </c>
      <c r="C789" t="s">
        <v>16880</v>
      </c>
      <c r="D789" t="s">
        <v>16881</v>
      </c>
      <c r="E789" s="60">
        <v>0</v>
      </c>
      <c r="F789" s="60">
        <v>62301.372000000003</v>
      </c>
      <c r="G789" s="60">
        <v>0</v>
      </c>
      <c r="H789" s="60">
        <v>62301.371750000006</v>
      </c>
      <c r="I789" s="60">
        <v>0</v>
      </c>
      <c r="J789" s="60">
        <v>0</v>
      </c>
      <c r="K789" s="260">
        <v>0</v>
      </c>
      <c r="L789" s="260">
        <v>0</v>
      </c>
      <c r="M789" s="260">
        <v>0</v>
      </c>
      <c r="N789" s="260">
        <v>0</v>
      </c>
      <c r="O789" s="264">
        <v>0</v>
      </c>
      <c r="P789" s="264">
        <v>62301.371750000006</v>
      </c>
      <c r="Q789" s="264">
        <v>0</v>
      </c>
      <c r="R789" s="264">
        <v>0</v>
      </c>
      <c r="S789" s="60">
        <v>62301.371750000006</v>
      </c>
      <c r="T789" s="60">
        <v>2.499999973224476E-4</v>
      </c>
    </row>
    <row r="790" spans="1:20">
      <c r="A790" t="s">
        <v>18531</v>
      </c>
      <c r="B790" s="262">
        <v>44386</v>
      </c>
      <c r="C790" t="s">
        <v>16838</v>
      </c>
      <c r="D790" t="s">
        <v>16839</v>
      </c>
      <c r="E790" s="60">
        <v>0</v>
      </c>
      <c r="F790" s="60">
        <v>202800</v>
      </c>
      <c r="G790" s="60">
        <v>0</v>
      </c>
      <c r="H790" s="60">
        <v>0</v>
      </c>
      <c r="I790" s="60">
        <v>202800</v>
      </c>
      <c r="J790" s="60">
        <v>0</v>
      </c>
      <c r="K790" s="260">
        <v>0</v>
      </c>
      <c r="L790" s="260">
        <v>0</v>
      </c>
      <c r="M790" s="260">
        <v>0</v>
      </c>
      <c r="N790" s="260">
        <v>0</v>
      </c>
      <c r="O790" s="264">
        <v>0</v>
      </c>
      <c r="P790" s="264">
        <v>0</v>
      </c>
      <c r="Q790" s="264">
        <v>202800</v>
      </c>
      <c r="R790" s="264">
        <v>0</v>
      </c>
      <c r="S790" s="60">
        <v>202800</v>
      </c>
      <c r="T790" s="60">
        <v>0</v>
      </c>
    </row>
    <row r="791" spans="1:20">
      <c r="A791" t="s">
        <v>18532</v>
      </c>
      <c r="B791" s="262">
        <v>44390</v>
      </c>
      <c r="C791" t="s">
        <v>16838</v>
      </c>
      <c r="D791" t="s">
        <v>16839</v>
      </c>
      <c r="E791" s="60">
        <v>0</v>
      </c>
      <c r="F791" s="60">
        <v>269598</v>
      </c>
      <c r="G791" s="60">
        <v>0</v>
      </c>
      <c r="H791" s="60">
        <v>269598</v>
      </c>
      <c r="I791" s="60">
        <v>0</v>
      </c>
      <c r="J791" s="60">
        <v>0</v>
      </c>
      <c r="K791" s="260">
        <v>0</v>
      </c>
      <c r="L791" s="260">
        <v>0</v>
      </c>
      <c r="M791" s="260">
        <v>0</v>
      </c>
      <c r="N791" s="260">
        <v>0</v>
      </c>
      <c r="O791" s="264">
        <v>0</v>
      </c>
      <c r="P791" s="264">
        <v>269598</v>
      </c>
      <c r="Q791" s="264">
        <v>0</v>
      </c>
      <c r="R791" s="264">
        <v>0</v>
      </c>
      <c r="S791" s="60">
        <v>269598</v>
      </c>
      <c r="T791" s="60">
        <v>0</v>
      </c>
    </row>
    <row r="792" spans="1:20">
      <c r="A792" t="s">
        <v>18533</v>
      </c>
      <c r="B792" s="262">
        <v>44410</v>
      </c>
      <c r="C792" t="s">
        <v>17209</v>
      </c>
      <c r="D792" t="s">
        <v>17210</v>
      </c>
      <c r="E792" s="60">
        <v>0</v>
      </c>
      <c r="F792" s="60">
        <v>26841.776000000002</v>
      </c>
      <c r="G792" s="60">
        <v>0</v>
      </c>
      <c r="H792" s="60">
        <v>8978.2019999999993</v>
      </c>
      <c r="I792" s="60">
        <v>8978.2019999999993</v>
      </c>
      <c r="J792" s="60">
        <v>7153.4655750000011</v>
      </c>
      <c r="K792" s="260">
        <v>0</v>
      </c>
      <c r="L792" s="260">
        <v>695.66108786610869</v>
      </c>
      <c r="M792" s="260">
        <v>695.66108786610869</v>
      </c>
      <c r="N792" s="260">
        <v>340.58407426778234</v>
      </c>
      <c r="O792" s="264">
        <v>0</v>
      </c>
      <c r="P792" s="264">
        <v>9673.8630878661079</v>
      </c>
      <c r="Q792" s="264">
        <v>9673.8630878661079</v>
      </c>
      <c r="R792" s="264">
        <v>7494.049649267783</v>
      </c>
      <c r="S792" s="60">
        <v>26841.775824999997</v>
      </c>
      <c r="T792" s="60">
        <v>1.7500000467407517E-4</v>
      </c>
    </row>
    <row r="793" spans="1:20">
      <c r="A793" t="s">
        <v>18534</v>
      </c>
      <c r="B793" s="262">
        <v>44394</v>
      </c>
      <c r="C793" t="s">
        <v>16560</v>
      </c>
      <c r="D793" t="s">
        <v>16561</v>
      </c>
      <c r="E793" s="60">
        <v>0</v>
      </c>
      <c r="F793" s="60">
        <v>172084.014</v>
      </c>
      <c r="G793" s="60">
        <v>0</v>
      </c>
      <c r="H793" s="60">
        <v>0</v>
      </c>
      <c r="I793" s="60">
        <v>172084.014</v>
      </c>
      <c r="J793" s="60">
        <v>0</v>
      </c>
      <c r="K793" s="260">
        <v>0</v>
      </c>
      <c r="L793" s="260">
        <v>0</v>
      </c>
      <c r="M793" s="260">
        <v>0</v>
      </c>
      <c r="N793" s="260">
        <v>0</v>
      </c>
      <c r="O793" s="264">
        <v>0</v>
      </c>
      <c r="P793" s="264">
        <v>0</v>
      </c>
      <c r="Q793" s="264">
        <v>172084.014</v>
      </c>
      <c r="R793" s="264">
        <v>0</v>
      </c>
      <c r="S793" s="60">
        <v>172084.014</v>
      </c>
      <c r="T793" s="60">
        <v>0</v>
      </c>
    </row>
    <row r="794" spans="1:20">
      <c r="A794" t="s">
        <v>18535</v>
      </c>
      <c r="B794" s="262">
        <v>44394</v>
      </c>
      <c r="C794" t="s">
        <v>16560</v>
      </c>
      <c r="D794" t="s">
        <v>16561</v>
      </c>
      <c r="E794" s="60">
        <v>0</v>
      </c>
      <c r="F794" s="60">
        <v>172675.908</v>
      </c>
      <c r="G794" s="60">
        <v>0</v>
      </c>
      <c r="H794" s="60">
        <v>0</v>
      </c>
      <c r="I794" s="60">
        <v>172675.908</v>
      </c>
      <c r="J794" s="60">
        <v>0</v>
      </c>
      <c r="K794" s="260">
        <v>0</v>
      </c>
      <c r="L794" s="260">
        <v>0</v>
      </c>
      <c r="M794" s="260">
        <v>0</v>
      </c>
      <c r="N794" s="260">
        <v>0</v>
      </c>
      <c r="O794" s="264">
        <v>0</v>
      </c>
      <c r="P794" s="264">
        <v>0</v>
      </c>
      <c r="Q794" s="264">
        <v>172675.908</v>
      </c>
      <c r="R794" s="264">
        <v>0</v>
      </c>
      <c r="S794" s="60">
        <v>172675.908</v>
      </c>
      <c r="T794" s="60">
        <v>0</v>
      </c>
    </row>
    <row r="795" spans="1:20">
      <c r="A795" t="s">
        <v>18536</v>
      </c>
      <c r="B795" s="262">
        <v>44410</v>
      </c>
      <c r="C795" t="s">
        <v>16560</v>
      </c>
      <c r="D795" t="s">
        <v>16561</v>
      </c>
      <c r="E795" s="60">
        <v>0</v>
      </c>
      <c r="F795" s="60">
        <v>172675.908</v>
      </c>
      <c r="G795" s="60">
        <v>0</v>
      </c>
      <c r="H795" s="60">
        <v>0</v>
      </c>
      <c r="I795" s="60">
        <v>172675.908</v>
      </c>
      <c r="J795" s="60">
        <v>0</v>
      </c>
      <c r="K795" s="260">
        <v>0</v>
      </c>
      <c r="L795" s="260">
        <v>0</v>
      </c>
      <c r="M795" s="260">
        <v>0</v>
      </c>
      <c r="N795" s="260">
        <v>0</v>
      </c>
      <c r="O795" s="264">
        <v>0</v>
      </c>
      <c r="P795" s="264">
        <v>0</v>
      </c>
      <c r="Q795" s="264">
        <v>172675.908</v>
      </c>
      <c r="R795" s="264">
        <v>0</v>
      </c>
      <c r="S795" s="60">
        <v>172675.908</v>
      </c>
      <c r="T795" s="60">
        <v>0</v>
      </c>
    </row>
    <row r="796" spans="1:20">
      <c r="A796" t="s">
        <v>18537</v>
      </c>
      <c r="B796" s="262">
        <v>44410</v>
      </c>
      <c r="C796" t="s">
        <v>16560</v>
      </c>
      <c r="D796" t="s">
        <v>16561</v>
      </c>
      <c r="E796" s="60">
        <v>0</v>
      </c>
      <c r="F796" s="60">
        <v>172675.908</v>
      </c>
      <c r="G796" s="60">
        <v>0</v>
      </c>
      <c r="H796" s="60">
        <v>0</v>
      </c>
      <c r="I796" s="60">
        <v>172675.908</v>
      </c>
      <c r="J796" s="60">
        <v>0</v>
      </c>
      <c r="K796" s="260">
        <v>0</v>
      </c>
      <c r="L796" s="260">
        <v>0</v>
      </c>
      <c r="M796" s="260">
        <v>0</v>
      </c>
      <c r="N796" s="260">
        <v>0</v>
      </c>
      <c r="O796" s="264">
        <v>0</v>
      </c>
      <c r="P796" s="264">
        <v>0</v>
      </c>
      <c r="Q796" s="264">
        <v>172675.908</v>
      </c>
      <c r="R796" s="264">
        <v>0</v>
      </c>
      <c r="S796" s="60">
        <v>172675.908</v>
      </c>
      <c r="T796" s="60">
        <v>0</v>
      </c>
    </row>
    <row r="797" spans="1:20">
      <c r="A797" t="s">
        <v>18538</v>
      </c>
      <c r="B797" s="262">
        <v>44394</v>
      </c>
      <c r="C797" t="s">
        <v>16470</v>
      </c>
      <c r="D797" t="s">
        <v>16471</v>
      </c>
      <c r="E797" s="60">
        <v>0</v>
      </c>
      <c r="F797" s="60">
        <v>303110.527</v>
      </c>
      <c r="G797" s="60">
        <v>24922.804500000006</v>
      </c>
      <c r="H797" s="60">
        <v>219623.84878500001</v>
      </c>
      <c r="I797" s="60">
        <v>0</v>
      </c>
      <c r="J797" s="60">
        <v>0</v>
      </c>
      <c r="K797" s="260">
        <v>5310.7117206982548</v>
      </c>
      <c r="L797" s="260">
        <v>53253.161779301743</v>
      </c>
      <c r="M797" s="260">
        <v>0</v>
      </c>
      <c r="N797" s="260">
        <v>0</v>
      </c>
      <c r="O797" s="264">
        <v>30233.51622069826</v>
      </c>
      <c r="P797" s="264">
        <v>272877.01056430175</v>
      </c>
      <c r="Q797" s="264">
        <v>0</v>
      </c>
      <c r="R797" s="264">
        <v>0</v>
      </c>
      <c r="S797" s="60">
        <v>303110.52678499999</v>
      </c>
      <c r="T797" s="60">
        <v>2.1500000730156898E-4</v>
      </c>
    </row>
    <row r="798" spans="1:20">
      <c r="A798" t="s">
        <v>18539</v>
      </c>
      <c r="B798" s="262">
        <v>44394</v>
      </c>
      <c r="C798" t="s">
        <v>16904</v>
      </c>
      <c r="D798" t="s">
        <v>16905</v>
      </c>
      <c r="E798" s="60">
        <v>0</v>
      </c>
      <c r="F798" s="60">
        <v>63265.587999999996</v>
      </c>
      <c r="G798" s="60">
        <v>0</v>
      </c>
      <c r="H798" s="60">
        <v>32220.701370000002</v>
      </c>
      <c r="I798" s="60">
        <v>20038.461630000002</v>
      </c>
      <c r="J798" s="60">
        <v>0</v>
      </c>
      <c r="K798" s="260">
        <v>0</v>
      </c>
      <c r="L798" s="260">
        <v>6749.7698529411755</v>
      </c>
      <c r="M798" s="260">
        <v>4256.6551470588229</v>
      </c>
      <c r="N798" s="260">
        <v>0</v>
      </c>
      <c r="O798" s="264">
        <v>0</v>
      </c>
      <c r="P798" s="264">
        <v>38970.471222941182</v>
      </c>
      <c r="Q798" s="264">
        <v>24295.116777058825</v>
      </c>
      <c r="R798" s="264">
        <v>0</v>
      </c>
      <c r="S798" s="60">
        <v>63265.588000000003</v>
      </c>
      <c r="T798" s="60">
        <v>0</v>
      </c>
    </row>
    <row r="799" spans="1:20">
      <c r="A799" t="s">
        <v>18540</v>
      </c>
      <c r="B799" s="262">
        <v>44410</v>
      </c>
      <c r="C799" t="s">
        <v>16838</v>
      </c>
      <c r="D799" t="s">
        <v>16839</v>
      </c>
      <c r="E799" s="60">
        <v>0</v>
      </c>
      <c r="F799" s="60">
        <v>224368.56</v>
      </c>
      <c r="G799" s="60">
        <v>170788.56</v>
      </c>
      <c r="H799" s="60">
        <v>48900</v>
      </c>
      <c r="I799" s="60">
        <v>4680</v>
      </c>
      <c r="J799" s="60">
        <v>0</v>
      </c>
      <c r="K799" s="260">
        <v>0</v>
      </c>
      <c r="L799" s="260">
        <v>0</v>
      </c>
      <c r="M799" s="260">
        <v>0</v>
      </c>
      <c r="N799" s="260">
        <v>0</v>
      </c>
      <c r="O799" s="264">
        <v>170788.56</v>
      </c>
      <c r="P799" s="264">
        <v>48900</v>
      </c>
      <c r="Q799" s="264">
        <v>4680</v>
      </c>
      <c r="R799" s="264">
        <v>0</v>
      </c>
      <c r="S799" s="60">
        <v>224368.56</v>
      </c>
      <c r="T799" s="60">
        <v>0</v>
      </c>
    </row>
    <row r="800" spans="1:20">
      <c r="A800" t="s">
        <v>18541</v>
      </c>
      <c r="B800" s="262">
        <v>44410</v>
      </c>
      <c r="C800" t="s">
        <v>16838</v>
      </c>
      <c r="D800" t="s">
        <v>16839</v>
      </c>
      <c r="E800" s="60">
        <v>0</v>
      </c>
      <c r="F800" s="60">
        <v>236145.84</v>
      </c>
      <c r="G800" s="60">
        <v>0</v>
      </c>
      <c r="H800" s="60">
        <v>236145.84</v>
      </c>
      <c r="I800" s="60">
        <v>0</v>
      </c>
      <c r="J800" s="60">
        <v>0</v>
      </c>
      <c r="K800" s="260">
        <v>0</v>
      </c>
      <c r="L800" s="260">
        <v>0</v>
      </c>
      <c r="M800" s="260">
        <v>0</v>
      </c>
      <c r="N800" s="260">
        <v>0</v>
      </c>
      <c r="O800" s="264">
        <v>0</v>
      </c>
      <c r="P800" s="264">
        <v>236145.84</v>
      </c>
      <c r="Q800" s="264">
        <v>0</v>
      </c>
      <c r="R800" s="264">
        <v>0</v>
      </c>
      <c r="S800" s="60">
        <v>236145.84</v>
      </c>
      <c r="T800" s="60">
        <v>0</v>
      </c>
    </row>
    <row r="801" spans="1:20">
      <c r="A801" t="s">
        <v>18542</v>
      </c>
      <c r="B801" s="262">
        <v>44394</v>
      </c>
      <c r="C801" t="s">
        <v>16444</v>
      </c>
      <c r="D801" t="s">
        <v>16445</v>
      </c>
      <c r="E801" s="60">
        <v>0</v>
      </c>
      <c r="F801" s="60">
        <v>70080</v>
      </c>
      <c r="G801" s="60">
        <v>70080</v>
      </c>
      <c r="H801" s="60">
        <v>0</v>
      </c>
      <c r="I801" s="60">
        <v>0</v>
      </c>
      <c r="J801" s="60">
        <v>0</v>
      </c>
      <c r="K801" s="260">
        <v>0</v>
      </c>
      <c r="L801" s="260">
        <v>0</v>
      </c>
      <c r="M801" s="260">
        <v>0</v>
      </c>
      <c r="N801" s="260">
        <v>0</v>
      </c>
      <c r="O801" s="264">
        <v>70080</v>
      </c>
      <c r="P801" s="264">
        <v>0</v>
      </c>
      <c r="Q801" s="264">
        <v>0</v>
      </c>
      <c r="R801" s="264">
        <v>0</v>
      </c>
      <c r="S801" s="60">
        <v>70080</v>
      </c>
      <c r="T801" s="60">
        <v>0</v>
      </c>
    </row>
    <row r="802" spans="1:20">
      <c r="A802" t="s">
        <v>18543</v>
      </c>
      <c r="B802" s="262">
        <v>44399</v>
      </c>
      <c r="C802" t="s">
        <v>16444</v>
      </c>
      <c r="D802" t="s">
        <v>16445</v>
      </c>
      <c r="E802" s="60">
        <v>0</v>
      </c>
      <c r="F802" s="60">
        <v>72625</v>
      </c>
      <c r="G802" s="60">
        <v>72625</v>
      </c>
      <c r="H802" s="60">
        <v>0</v>
      </c>
      <c r="I802" s="60">
        <v>0</v>
      </c>
      <c r="J802" s="60">
        <v>0</v>
      </c>
      <c r="K802" s="260">
        <v>0</v>
      </c>
      <c r="L802" s="260">
        <v>0</v>
      </c>
      <c r="M802" s="260">
        <v>0</v>
      </c>
      <c r="N802" s="260">
        <v>0</v>
      </c>
      <c r="O802" s="264">
        <v>72625</v>
      </c>
      <c r="P802" s="264">
        <v>0</v>
      </c>
      <c r="Q802" s="264">
        <v>0</v>
      </c>
      <c r="R802" s="264">
        <v>0</v>
      </c>
      <c r="S802" s="60">
        <v>72625</v>
      </c>
      <c r="T802" s="60">
        <v>0</v>
      </c>
    </row>
    <row r="803" spans="1:20">
      <c r="A803" t="s">
        <v>18544</v>
      </c>
      <c r="B803" s="262">
        <v>44410</v>
      </c>
      <c r="C803" t="s">
        <v>16444</v>
      </c>
      <c r="D803" t="s">
        <v>16445</v>
      </c>
      <c r="E803" s="60">
        <v>0</v>
      </c>
      <c r="F803" s="60">
        <v>86448.960000000006</v>
      </c>
      <c r="G803" s="60">
        <v>0</v>
      </c>
      <c r="H803" s="60">
        <v>0</v>
      </c>
      <c r="I803" s="60">
        <v>86448.960000000006</v>
      </c>
      <c r="J803" s="60">
        <v>0</v>
      </c>
      <c r="K803" s="260">
        <v>0</v>
      </c>
      <c r="L803" s="260">
        <v>0</v>
      </c>
      <c r="M803" s="260">
        <v>0</v>
      </c>
      <c r="N803" s="260">
        <v>0</v>
      </c>
      <c r="O803" s="264">
        <v>0</v>
      </c>
      <c r="P803" s="264">
        <v>0</v>
      </c>
      <c r="Q803" s="264">
        <v>86448.960000000006</v>
      </c>
      <c r="R803" s="264">
        <v>0</v>
      </c>
      <c r="S803" s="60">
        <v>86448.960000000006</v>
      </c>
      <c r="T803" s="60">
        <v>0</v>
      </c>
    </row>
    <row r="804" spans="1:20">
      <c r="A804" t="s">
        <v>18545</v>
      </c>
      <c r="B804" s="262">
        <v>44410</v>
      </c>
      <c r="C804" t="s">
        <v>16444</v>
      </c>
      <c r="D804" t="s">
        <v>16445</v>
      </c>
      <c r="E804" s="60">
        <v>0</v>
      </c>
      <c r="F804" s="60">
        <v>74973</v>
      </c>
      <c r="G804" s="60">
        <v>74973</v>
      </c>
      <c r="H804" s="60">
        <v>0</v>
      </c>
      <c r="I804" s="60">
        <v>0</v>
      </c>
      <c r="J804" s="60">
        <v>0</v>
      </c>
      <c r="K804" s="260">
        <v>0</v>
      </c>
      <c r="L804" s="260">
        <v>0</v>
      </c>
      <c r="M804" s="260">
        <v>0</v>
      </c>
      <c r="N804" s="260">
        <v>0</v>
      </c>
      <c r="O804" s="264">
        <v>74973</v>
      </c>
      <c r="P804" s="264">
        <v>0</v>
      </c>
      <c r="Q804" s="264">
        <v>0</v>
      </c>
      <c r="R804" s="264">
        <v>0</v>
      </c>
      <c r="S804" s="60">
        <v>74973</v>
      </c>
      <c r="T804" s="60">
        <v>0</v>
      </c>
    </row>
    <row r="805" spans="1:20">
      <c r="A805" t="s">
        <v>18546</v>
      </c>
      <c r="B805" s="262">
        <v>44417</v>
      </c>
      <c r="C805" t="s">
        <v>17017</v>
      </c>
      <c r="D805" t="s">
        <v>17430</v>
      </c>
      <c r="E805" s="60">
        <v>0</v>
      </c>
      <c r="F805" s="60">
        <v>35600</v>
      </c>
      <c r="G805" s="60">
        <v>35600</v>
      </c>
      <c r="H805" s="60">
        <v>0</v>
      </c>
      <c r="I805" s="60">
        <v>0</v>
      </c>
      <c r="J805" s="60">
        <v>0</v>
      </c>
      <c r="K805" s="260">
        <v>0</v>
      </c>
      <c r="L805" s="260">
        <v>0</v>
      </c>
      <c r="M805" s="260">
        <v>0</v>
      </c>
      <c r="N805" s="260">
        <v>0</v>
      </c>
      <c r="O805" s="264">
        <v>35600</v>
      </c>
      <c r="P805" s="264">
        <v>0</v>
      </c>
      <c r="Q805" s="264">
        <v>0</v>
      </c>
      <c r="R805" s="264">
        <v>0</v>
      </c>
      <c r="S805" s="60">
        <v>35600</v>
      </c>
      <c r="T805" s="60">
        <v>0</v>
      </c>
    </row>
    <row r="806" spans="1:20">
      <c r="A806" t="s">
        <v>18547</v>
      </c>
      <c r="B806" s="262">
        <v>44417</v>
      </c>
      <c r="C806" t="s">
        <v>17259</v>
      </c>
      <c r="D806" t="s">
        <v>17260</v>
      </c>
      <c r="E806" s="60">
        <v>0</v>
      </c>
      <c r="F806" s="60">
        <v>50812.289000000004</v>
      </c>
      <c r="G806" s="60">
        <v>4600.9805999999999</v>
      </c>
      <c r="H806" s="60">
        <v>26335.296500000004</v>
      </c>
      <c r="I806" s="60">
        <v>0</v>
      </c>
      <c r="J806" s="60">
        <v>10360.6023</v>
      </c>
      <c r="K806" s="260">
        <v>1165.1522448979592</v>
      </c>
      <c r="L806" s="260">
        <v>6796.7214285714281</v>
      </c>
      <c r="M806" s="260">
        <v>0</v>
      </c>
      <c r="N806" s="260">
        <v>1553.5363265306123</v>
      </c>
      <c r="O806" s="264">
        <v>5766.1328448979593</v>
      </c>
      <c r="P806" s="264">
        <v>33132.017928571433</v>
      </c>
      <c r="Q806" s="264">
        <v>0</v>
      </c>
      <c r="R806" s="264">
        <v>11914.138626530614</v>
      </c>
      <c r="S806" s="60">
        <v>50812.289400000009</v>
      </c>
      <c r="T806" s="60">
        <v>-4.0000000444706529E-4</v>
      </c>
    </row>
    <row r="807" spans="1:20">
      <c r="A807" t="s">
        <v>18548</v>
      </c>
      <c r="B807" s="262">
        <v>44417</v>
      </c>
      <c r="C807" t="s">
        <v>16444</v>
      </c>
      <c r="D807" t="s">
        <v>16445</v>
      </c>
      <c r="E807" s="60">
        <v>0</v>
      </c>
      <c r="F807" s="60">
        <v>33984</v>
      </c>
      <c r="G807" s="60">
        <v>33984</v>
      </c>
      <c r="H807" s="60">
        <v>0</v>
      </c>
      <c r="I807" s="60">
        <v>0</v>
      </c>
      <c r="J807" s="60">
        <v>0</v>
      </c>
      <c r="K807" s="260">
        <v>0</v>
      </c>
      <c r="L807" s="260">
        <v>0</v>
      </c>
      <c r="M807" s="260">
        <v>0</v>
      </c>
      <c r="N807" s="260">
        <v>0</v>
      </c>
      <c r="O807" s="264">
        <v>33984</v>
      </c>
      <c r="P807" s="264">
        <v>0</v>
      </c>
      <c r="Q807" s="264">
        <v>0</v>
      </c>
      <c r="R807" s="264">
        <v>0</v>
      </c>
      <c r="S807" s="60">
        <v>33984</v>
      </c>
      <c r="T807" s="60">
        <v>0</v>
      </c>
    </row>
    <row r="808" spans="1:20">
      <c r="A808" t="s">
        <v>18549</v>
      </c>
      <c r="B808" s="262">
        <v>44417</v>
      </c>
      <c r="C808" t="s">
        <v>16972</v>
      </c>
      <c r="D808" t="s">
        <v>17424</v>
      </c>
      <c r="E808" s="60">
        <v>0</v>
      </c>
      <c r="F808" s="60">
        <v>378000</v>
      </c>
      <c r="G808" s="60">
        <v>0</v>
      </c>
      <c r="H808" s="60">
        <v>0</v>
      </c>
      <c r="I808" s="60">
        <v>378000</v>
      </c>
      <c r="J808" s="60">
        <v>0</v>
      </c>
      <c r="K808" s="260">
        <v>0</v>
      </c>
      <c r="L808" s="260">
        <v>0</v>
      </c>
      <c r="M808" s="260">
        <v>0</v>
      </c>
      <c r="N808" s="260">
        <v>0</v>
      </c>
      <c r="O808" s="264">
        <v>0</v>
      </c>
      <c r="P808" s="264">
        <v>0</v>
      </c>
      <c r="Q808" s="264">
        <v>378000</v>
      </c>
      <c r="R808" s="264">
        <v>0</v>
      </c>
      <c r="S808" s="60">
        <v>378000</v>
      </c>
      <c r="T808" s="60">
        <v>0</v>
      </c>
    </row>
    <row r="809" spans="1:20">
      <c r="A809" t="s">
        <v>18550</v>
      </c>
      <c r="B809" s="262">
        <v>44420</v>
      </c>
      <c r="C809" t="s">
        <v>16838</v>
      </c>
      <c r="D809" t="s">
        <v>16839</v>
      </c>
      <c r="E809" s="60">
        <v>0</v>
      </c>
      <c r="F809" s="60">
        <v>40759.199999999997</v>
      </c>
      <c r="G809" s="60">
        <v>5812.8</v>
      </c>
      <c r="H809" s="60">
        <v>34946.400000000001</v>
      </c>
      <c r="I809" s="60">
        <v>0</v>
      </c>
      <c r="J809" s="60">
        <v>0</v>
      </c>
      <c r="K809" s="260">
        <v>0</v>
      </c>
      <c r="L809" s="260">
        <v>0</v>
      </c>
      <c r="M809" s="260">
        <v>0</v>
      </c>
      <c r="N809" s="260">
        <v>0</v>
      </c>
      <c r="O809" s="264">
        <v>5812.8</v>
      </c>
      <c r="P809" s="264">
        <v>34946.400000000001</v>
      </c>
      <c r="Q809" s="264">
        <v>0</v>
      </c>
      <c r="R809" s="264">
        <v>0</v>
      </c>
      <c r="S809" s="60">
        <v>40759.200000000004</v>
      </c>
      <c r="T809" s="60">
        <v>0</v>
      </c>
    </row>
    <row r="810" spans="1:20">
      <c r="A810" t="s">
        <v>18551</v>
      </c>
      <c r="B810" s="262">
        <v>44426</v>
      </c>
      <c r="C810" t="s">
        <v>16904</v>
      </c>
      <c r="D810" t="s">
        <v>16905</v>
      </c>
      <c r="E810" s="60">
        <v>0</v>
      </c>
      <c r="F810" s="60">
        <v>63245.445</v>
      </c>
      <c r="G810" s="60">
        <v>0</v>
      </c>
      <c r="H810" s="60">
        <v>33940.769147999999</v>
      </c>
      <c r="I810" s="60">
        <v>18316.340808000001</v>
      </c>
      <c r="J810" s="60">
        <v>0</v>
      </c>
      <c r="K810" s="260">
        <v>0</v>
      </c>
      <c r="L810" s="260">
        <v>7110.0991176470598</v>
      </c>
      <c r="M810" s="260">
        <v>3878.2358823529416</v>
      </c>
      <c r="N810" s="260">
        <v>0</v>
      </c>
      <c r="O810" s="264">
        <v>0</v>
      </c>
      <c r="P810" s="264">
        <v>41050.868265647063</v>
      </c>
      <c r="Q810" s="264">
        <v>22194.576690352944</v>
      </c>
      <c r="R810" s="264">
        <v>0</v>
      </c>
      <c r="S810" s="60">
        <v>63245.444956000007</v>
      </c>
      <c r="T810" s="60">
        <v>4.3999993067700416E-5</v>
      </c>
    </row>
    <row r="811" spans="1:20">
      <c r="A811" t="s">
        <v>18552</v>
      </c>
      <c r="B811" s="262">
        <v>44426</v>
      </c>
      <c r="C811" t="s">
        <v>16444</v>
      </c>
      <c r="D811" t="s">
        <v>16445</v>
      </c>
      <c r="E811" s="60">
        <v>0</v>
      </c>
      <c r="F811" s="60">
        <v>84708</v>
      </c>
      <c r="G811" s="60">
        <v>21240</v>
      </c>
      <c r="H811" s="60">
        <v>63468</v>
      </c>
      <c r="I811" s="60">
        <v>0</v>
      </c>
      <c r="J811" s="60">
        <v>0</v>
      </c>
      <c r="K811" s="260">
        <v>0</v>
      </c>
      <c r="L811" s="260">
        <v>0</v>
      </c>
      <c r="M811" s="260">
        <v>0</v>
      </c>
      <c r="N811" s="260">
        <v>0</v>
      </c>
      <c r="O811" s="264">
        <v>21240</v>
      </c>
      <c r="P811" s="264">
        <v>63468</v>
      </c>
      <c r="Q811" s="264">
        <v>0</v>
      </c>
      <c r="R811" s="264">
        <v>0</v>
      </c>
      <c r="S811" s="60">
        <v>84708</v>
      </c>
      <c r="T811" s="60">
        <v>0</v>
      </c>
    </row>
    <row r="812" spans="1:20">
      <c r="A812" t="s">
        <v>18553</v>
      </c>
      <c r="B812" s="262">
        <v>44440</v>
      </c>
      <c r="C812" t="s">
        <v>16783</v>
      </c>
      <c r="D812" t="s">
        <v>17509</v>
      </c>
      <c r="E812" s="60">
        <v>0</v>
      </c>
      <c r="F812" s="60">
        <v>175099.99899999998</v>
      </c>
      <c r="G812" s="60">
        <v>0</v>
      </c>
      <c r="H812" s="60">
        <v>0</v>
      </c>
      <c r="I812" s="60">
        <v>0</v>
      </c>
      <c r="J812" s="60">
        <v>175099.99937499996</v>
      </c>
      <c r="K812" s="260">
        <v>0</v>
      </c>
      <c r="L812" s="260">
        <v>0</v>
      </c>
      <c r="M812" s="260">
        <v>0</v>
      </c>
      <c r="N812" s="260">
        <v>0</v>
      </c>
      <c r="O812" s="264">
        <v>0</v>
      </c>
      <c r="P812" s="264">
        <v>0</v>
      </c>
      <c r="Q812" s="264">
        <v>0</v>
      </c>
      <c r="R812" s="264">
        <v>175099.99937499996</v>
      </c>
      <c r="S812" s="60">
        <v>175099.99937499996</v>
      </c>
      <c r="T812" s="60">
        <v>-3.7499997415579855E-4</v>
      </c>
    </row>
    <row r="813" spans="1:20">
      <c r="A813" t="s">
        <v>18554</v>
      </c>
      <c r="B813" s="262">
        <v>44428</v>
      </c>
      <c r="C813" t="s">
        <v>16838</v>
      </c>
      <c r="D813" t="s">
        <v>16839</v>
      </c>
      <c r="E813" s="60">
        <v>0</v>
      </c>
      <c r="F813" s="60">
        <v>136449.60000000001</v>
      </c>
      <c r="G813" s="60">
        <v>0</v>
      </c>
      <c r="H813" s="60">
        <v>136449.60000000001</v>
      </c>
      <c r="I813" s="60">
        <v>0</v>
      </c>
      <c r="J813" s="60">
        <v>0</v>
      </c>
      <c r="K813" s="260">
        <v>0</v>
      </c>
      <c r="L813" s="260">
        <v>0</v>
      </c>
      <c r="M813" s="260">
        <v>0</v>
      </c>
      <c r="N813" s="260">
        <v>0</v>
      </c>
      <c r="O813" s="264">
        <v>0</v>
      </c>
      <c r="P813" s="264">
        <v>136449.60000000001</v>
      </c>
      <c r="Q813" s="264">
        <v>0</v>
      </c>
      <c r="R813" s="264">
        <v>0</v>
      </c>
      <c r="S813" s="60">
        <v>136449.60000000001</v>
      </c>
      <c r="T813" s="60">
        <v>0</v>
      </c>
    </row>
    <row r="814" spans="1:20">
      <c r="A814" t="s">
        <v>18555</v>
      </c>
      <c r="B814" s="262">
        <v>44428</v>
      </c>
      <c r="C814" t="s">
        <v>16384</v>
      </c>
      <c r="D814" t="s">
        <v>16385</v>
      </c>
      <c r="E814" s="60">
        <v>0</v>
      </c>
      <c r="F814" s="60">
        <v>102528</v>
      </c>
      <c r="G814" s="60">
        <v>102528</v>
      </c>
      <c r="H814" s="60">
        <v>0</v>
      </c>
      <c r="I814" s="60">
        <v>0</v>
      </c>
      <c r="J814" s="60">
        <v>0</v>
      </c>
      <c r="K814" s="260">
        <v>0</v>
      </c>
      <c r="L814" s="260">
        <v>0</v>
      </c>
      <c r="M814" s="260">
        <v>0</v>
      </c>
      <c r="N814" s="260">
        <v>0</v>
      </c>
      <c r="O814" s="264">
        <v>102528</v>
      </c>
      <c r="P814" s="264">
        <v>0</v>
      </c>
      <c r="Q814" s="264">
        <v>0</v>
      </c>
      <c r="R814" s="264">
        <v>0</v>
      </c>
      <c r="S814" s="60">
        <v>102528</v>
      </c>
      <c r="T814" s="60">
        <v>0</v>
      </c>
    </row>
    <row r="815" spans="1:20">
      <c r="A815" t="s">
        <v>18556</v>
      </c>
      <c r="B815" s="262">
        <v>44440</v>
      </c>
      <c r="C815" t="s">
        <v>16838</v>
      </c>
      <c r="D815" t="s">
        <v>16839</v>
      </c>
      <c r="E815" s="60">
        <v>0</v>
      </c>
      <c r="F815" s="60">
        <v>43120</v>
      </c>
      <c r="G815" s="60">
        <v>0</v>
      </c>
      <c r="H815" s="60">
        <v>0</v>
      </c>
      <c r="I815" s="60">
        <v>43120</v>
      </c>
      <c r="J815" s="60">
        <v>0</v>
      </c>
      <c r="K815" s="260">
        <v>0</v>
      </c>
      <c r="L815" s="260">
        <v>0</v>
      </c>
      <c r="M815" s="260">
        <v>0</v>
      </c>
      <c r="N815" s="260">
        <v>0</v>
      </c>
      <c r="O815" s="264">
        <v>0</v>
      </c>
      <c r="P815" s="264">
        <v>0</v>
      </c>
      <c r="Q815" s="264">
        <v>43120</v>
      </c>
      <c r="R815" s="264">
        <v>0</v>
      </c>
      <c r="S815" s="60">
        <v>43120</v>
      </c>
      <c r="T815" s="60">
        <v>0</v>
      </c>
    </row>
    <row r="816" spans="1:20">
      <c r="A816" t="s">
        <v>18557</v>
      </c>
      <c r="B816" s="262">
        <v>44531</v>
      </c>
      <c r="C816" t="s">
        <v>16470</v>
      </c>
      <c r="D816" t="s">
        <v>16471</v>
      </c>
      <c r="E816" s="60">
        <v>0</v>
      </c>
      <c r="F816" s="60">
        <v>305688.56400000001</v>
      </c>
      <c r="G816" s="60">
        <v>25134.779700000003</v>
      </c>
      <c r="H816" s="60">
        <v>221476.36218899998</v>
      </c>
      <c r="I816" s="60">
        <v>0</v>
      </c>
      <c r="J816" s="60">
        <v>0</v>
      </c>
      <c r="K816" s="260">
        <v>5326.2889850037573</v>
      </c>
      <c r="L816" s="260">
        <v>53751.13300699625</v>
      </c>
      <c r="M816" s="260">
        <v>0</v>
      </c>
      <c r="N816" s="260">
        <v>0</v>
      </c>
      <c r="O816" s="264">
        <v>30461.06868500376</v>
      </c>
      <c r="P816" s="264">
        <v>275227.49519599625</v>
      </c>
      <c r="Q816" s="264">
        <v>0</v>
      </c>
      <c r="R816" s="264">
        <v>0</v>
      </c>
      <c r="S816" s="60">
        <v>305688.56388100004</v>
      </c>
      <c r="T816" s="60">
        <v>1.1899997480213642E-4</v>
      </c>
    </row>
    <row r="817" spans="1:20">
      <c r="A817" t="s">
        <v>18558</v>
      </c>
      <c r="B817" s="262">
        <v>44440</v>
      </c>
      <c r="C817" t="s">
        <v>16880</v>
      </c>
      <c r="D817" t="s">
        <v>16881</v>
      </c>
      <c r="E817" s="60">
        <v>0</v>
      </c>
      <c r="F817" s="60">
        <v>62679.404000000002</v>
      </c>
      <c r="G817" s="60">
        <v>0</v>
      </c>
      <c r="H817" s="60">
        <v>62679.403749999998</v>
      </c>
      <c r="I817" s="60">
        <v>0</v>
      </c>
      <c r="J817" s="60">
        <v>0</v>
      </c>
      <c r="K817" s="260">
        <v>0</v>
      </c>
      <c r="L817" s="260">
        <v>0</v>
      </c>
      <c r="M817" s="260">
        <v>0</v>
      </c>
      <c r="N817" s="260">
        <v>0</v>
      </c>
      <c r="O817" s="264">
        <v>0</v>
      </c>
      <c r="P817" s="264">
        <v>62679.403749999998</v>
      </c>
      <c r="Q817" s="264">
        <v>0</v>
      </c>
      <c r="R817" s="264">
        <v>0</v>
      </c>
      <c r="S817" s="60">
        <v>62679.403749999998</v>
      </c>
      <c r="T817" s="60">
        <v>2.5000000459840521E-4</v>
      </c>
    </row>
    <row r="818" spans="1:20">
      <c r="A818" t="s">
        <v>18559</v>
      </c>
      <c r="B818" s="262">
        <v>44440</v>
      </c>
      <c r="C818" t="s">
        <v>17248</v>
      </c>
      <c r="D818" t="s">
        <v>18158</v>
      </c>
      <c r="E818" s="60">
        <v>0</v>
      </c>
      <c r="F818" s="60">
        <v>62542.322999999997</v>
      </c>
      <c r="G818" s="60">
        <v>0</v>
      </c>
      <c r="H818" s="60">
        <v>62539.919218000017</v>
      </c>
      <c r="I818" s="60">
        <v>0</v>
      </c>
      <c r="J818" s="60">
        <v>0</v>
      </c>
      <c r="K818" s="260">
        <v>0</v>
      </c>
      <c r="L818" s="260">
        <v>0</v>
      </c>
      <c r="M818" s="260">
        <v>0</v>
      </c>
      <c r="N818" s="260">
        <v>0</v>
      </c>
      <c r="O818" s="264">
        <v>0</v>
      </c>
      <c r="P818" s="264">
        <v>62539.919218000017</v>
      </c>
      <c r="Q818" s="264">
        <v>0</v>
      </c>
      <c r="R818" s="264">
        <v>0</v>
      </c>
      <c r="S818" s="60">
        <v>62539.919218000017</v>
      </c>
      <c r="T818" s="60">
        <v>2.403781999979401</v>
      </c>
    </row>
    <row r="819" spans="1:20">
      <c r="A819" t="s">
        <v>18560</v>
      </c>
      <c r="B819" s="262">
        <v>44440</v>
      </c>
      <c r="C819" t="s">
        <v>16952</v>
      </c>
      <c r="D819" t="s">
        <v>16953</v>
      </c>
      <c r="E819" s="60">
        <v>0</v>
      </c>
      <c r="F819" s="60">
        <v>77908.320000000007</v>
      </c>
      <c r="G819" s="60">
        <v>77908.320000000007</v>
      </c>
      <c r="H819" s="60">
        <v>0</v>
      </c>
      <c r="I819" s="60">
        <v>0</v>
      </c>
      <c r="J819" s="60">
        <v>0</v>
      </c>
      <c r="K819" s="260">
        <v>0</v>
      </c>
      <c r="L819" s="260">
        <v>0</v>
      </c>
      <c r="M819" s="260">
        <v>0</v>
      </c>
      <c r="N819" s="260">
        <v>0</v>
      </c>
      <c r="O819" s="264">
        <v>77908.320000000007</v>
      </c>
      <c r="P819" s="264">
        <v>0</v>
      </c>
      <c r="Q819" s="264">
        <v>0</v>
      </c>
      <c r="R819" s="264">
        <v>0</v>
      </c>
      <c r="S819" s="60">
        <v>77908.320000000007</v>
      </c>
      <c r="T819" s="60">
        <v>0</v>
      </c>
    </row>
    <row r="820" spans="1:20">
      <c r="A820" t="s">
        <v>18561</v>
      </c>
      <c r="B820" s="262">
        <v>44440</v>
      </c>
      <c r="C820" t="s">
        <v>17276</v>
      </c>
      <c r="D820" t="s">
        <v>17277</v>
      </c>
      <c r="E820" s="60">
        <v>0</v>
      </c>
      <c r="F820" s="60">
        <v>174139.622</v>
      </c>
      <c r="G820" s="60">
        <v>148537.40160000001</v>
      </c>
      <c r="H820" s="60">
        <v>0</v>
      </c>
      <c r="I820" s="60">
        <v>0</v>
      </c>
      <c r="J820" s="60">
        <v>0</v>
      </c>
      <c r="K820" s="260">
        <v>25602.219999999994</v>
      </c>
      <c r="L820" s="260">
        <v>0</v>
      </c>
      <c r="M820" s="260">
        <v>0</v>
      </c>
      <c r="N820" s="260">
        <v>0</v>
      </c>
      <c r="O820" s="264">
        <v>174139.62160000001</v>
      </c>
      <c r="P820" s="264">
        <v>0</v>
      </c>
      <c r="Q820" s="264">
        <v>0</v>
      </c>
      <c r="R820" s="264">
        <v>0</v>
      </c>
      <c r="S820" s="60">
        <v>174139.62160000001</v>
      </c>
      <c r="T820" s="60">
        <v>3.9999998989515007E-4</v>
      </c>
    </row>
    <row r="821" spans="1:20">
      <c r="A821" t="s">
        <v>18562</v>
      </c>
      <c r="B821" s="262">
        <v>44440</v>
      </c>
      <c r="C821" t="s">
        <v>17017</v>
      </c>
      <c r="D821" t="s">
        <v>17430</v>
      </c>
      <c r="E821" s="60">
        <v>0</v>
      </c>
      <c r="F821" s="60">
        <v>35800</v>
      </c>
      <c r="G821" s="60">
        <v>0</v>
      </c>
      <c r="H821" s="60">
        <v>35800</v>
      </c>
      <c r="I821" s="60">
        <v>0</v>
      </c>
      <c r="J821" s="60">
        <v>0</v>
      </c>
      <c r="K821" s="260">
        <v>0</v>
      </c>
      <c r="L821" s="260">
        <v>0</v>
      </c>
      <c r="M821" s="260">
        <v>0</v>
      </c>
      <c r="N821" s="260">
        <v>0</v>
      </c>
      <c r="O821" s="264">
        <v>0</v>
      </c>
      <c r="P821" s="264">
        <v>35800</v>
      </c>
      <c r="Q821" s="264">
        <v>0</v>
      </c>
      <c r="R821" s="264">
        <v>0</v>
      </c>
      <c r="S821" s="60">
        <v>35800</v>
      </c>
      <c r="T821" s="60">
        <v>0</v>
      </c>
    </row>
    <row r="822" spans="1:20">
      <c r="A822" t="s">
        <v>18563</v>
      </c>
      <c r="B822" s="262">
        <v>44440</v>
      </c>
      <c r="C822" t="s">
        <v>16904</v>
      </c>
      <c r="D822" t="s">
        <v>16905</v>
      </c>
      <c r="E822" s="60">
        <v>0</v>
      </c>
      <c r="F822" s="60">
        <v>63405.457000000002</v>
      </c>
      <c r="G822" s="60">
        <v>0</v>
      </c>
      <c r="H822" s="60">
        <v>32608.791540000002</v>
      </c>
      <c r="I822" s="60">
        <v>19776.00315</v>
      </c>
      <c r="J822" s="60">
        <v>0</v>
      </c>
      <c r="K822" s="260">
        <v>0</v>
      </c>
      <c r="L822" s="260">
        <v>6831.0691176470591</v>
      </c>
      <c r="M822" s="260">
        <v>4189.5933823529413</v>
      </c>
      <c r="N822" s="260">
        <v>0</v>
      </c>
      <c r="O822" s="264">
        <v>0</v>
      </c>
      <c r="P822" s="264">
        <v>39439.860657647063</v>
      </c>
      <c r="Q822" s="264">
        <v>23965.596532352942</v>
      </c>
      <c r="R822" s="264">
        <v>0</v>
      </c>
      <c r="S822" s="60">
        <v>63405.457190000001</v>
      </c>
      <c r="T822" s="60">
        <v>-1.8999999883817509E-4</v>
      </c>
    </row>
    <row r="823" spans="1:20">
      <c r="A823" t="s">
        <v>18564</v>
      </c>
      <c r="B823" s="262">
        <v>44446</v>
      </c>
      <c r="C823" t="s">
        <v>16880</v>
      </c>
      <c r="D823" t="s">
        <v>16881</v>
      </c>
      <c r="E823" s="60">
        <v>0</v>
      </c>
      <c r="F823" s="60">
        <v>67623.27</v>
      </c>
      <c r="G823" s="60">
        <v>0</v>
      </c>
      <c r="H823" s="60">
        <v>67623.27</v>
      </c>
      <c r="I823" s="60">
        <v>0</v>
      </c>
      <c r="J823" s="60">
        <v>0</v>
      </c>
      <c r="K823" s="260">
        <v>0</v>
      </c>
      <c r="L823" s="260">
        <v>0</v>
      </c>
      <c r="M823" s="260">
        <v>0</v>
      </c>
      <c r="N823" s="260">
        <v>0</v>
      </c>
      <c r="O823" s="264">
        <v>0</v>
      </c>
      <c r="P823" s="264">
        <v>67623.27</v>
      </c>
      <c r="Q823" s="264">
        <v>0</v>
      </c>
      <c r="R823" s="264">
        <v>0</v>
      </c>
      <c r="S823" s="60">
        <v>67623.27</v>
      </c>
      <c r="T823" s="60">
        <v>0</v>
      </c>
    </row>
    <row r="824" spans="1:20">
      <c r="A824" t="s">
        <v>18565</v>
      </c>
      <c r="B824" s="262">
        <v>44446</v>
      </c>
      <c r="C824" t="s">
        <v>17295</v>
      </c>
      <c r="D824" t="s">
        <v>18566</v>
      </c>
      <c r="E824" s="60">
        <v>0</v>
      </c>
      <c r="F824" s="60">
        <v>49333.599999999999</v>
      </c>
      <c r="G824" s="60">
        <v>8448</v>
      </c>
      <c r="H824" s="60">
        <v>9525.6</v>
      </c>
      <c r="I824" s="60">
        <v>0</v>
      </c>
      <c r="J824" s="60">
        <v>31360</v>
      </c>
      <c r="K824" s="260">
        <v>0</v>
      </c>
      <c r="L824" s="260">
        <v>0</v>
      </c>
      <c r="M824" s="260">
        <v>0</v>
      </c>
      <c r="N824" s="260">
        <v>0</v>
      </c>
      <c r="O824" s="264">
        <v>8448</v>
      </c>
      <c r="P824" s="264">
        <v>9525.6</v>
      </c>
      <c r="Q824" s="264">
        <v>0</v>
      </c>
      <c r="R824" s="264">
        <v>31360</v>
      </c>
      <c r="S824" s="60">
        <v>49333.599999999999</v>
      </c>
      <c r="T824" s="60">
        <v>0</v>
      </c>
    </row>
    <row r="825" spans="1:20">
      <c r="A825" t="s">
        <v>18567</v>
      </c>
      <c r="B825" s="262">
        <v>44531</v>
      </c>
      <c r="C825" t="s">
        <v>17297</v>
      </c>
      <c r="D825" t="s">
        <v>18568</v>
      </c>
      <c r="E825" s="60">
        <v>0</v>
      </c>
      <c r="F825" s="60">
        <v>41256</v>
      </c>
      <c r="G825" s="60">
        <v>41256</v>
      </c>
      <c r="H825" s="60">
        <v>0</v>
      </c>
      <c r="I825" s="60">
        <v>0</v>
      </c>
      <c r="J825" s="60">
        <v>0</v>
      </c>
      <c r="K825" s="260">
        <v>0</v>
      </c>
      <c r="L825" s="260">
        <v>0</v>
      </c>
      <c r="M825" s="260">
        <v>0</v>
      </c>
      <c r="N825" s="260">
        <v>0</v>
      </c>
      <c r="O825" s="264">
        <v>41256</v>
      </c>
      <c r="P825" s="264">
        <v>0</v>
      </c>
      <c r="Q825" s="264">
        <v>0</v>
      </c>
      <c r="R825" s="264">
        <v>0</v>
      </c>
      <c r="S825" s="60">
        <v>41256</v>
      </c>
      <c r="T825" s="60">
        <v>0</v>
      </c>
    </row>
    <row r="826" spans="1:20">
      <c r="A826" t="s">
        <v>18569</v>
      </c>
      <c r="B826" s="262">
        <v>44447</v>
      </c>
      <c r="C826" t="s">
        <v>16444</v>
      </c>
      <c r="D826" t="s">
        <v>16445</v>
      </c>
      <c r="E826" s="60">
        <v>0</v>
      </c>
      <c r="F826" s="60">
        <v>84708</v>
      </c>
      <c r="G826" s="60">
        <v>21240</v>
      </c>
      <c r="H826" s="60">
        <v>63468</v>
      </c>
      <c r="I826" s="60">
        <v>0</v>
      </c>
      <c r="J826" s="60">
        <v>0</v>
      </c>
      <c r="K826" s="260">
        <v>0</v>
      </c>
      <c r="L826" s="260">
        <v>0</v>
      </c>
      <c r="M826" s="260">
        <v>0</v>
      </c>
      <c r="N826" s="260">
        <v>0</v>
      </c>
      <c r="O826" s="264">
        <v>21240</v>
      </c>
      <c r="P826" s="264">
        <v>63468</v>
      </c>
      <c r="Q826" s="264">
        <v>0</v>
      </c>
      <c r="R826" s="264">
        <v>0</v>
      </c>
      <c r="S826" s="60">
        <v>84708</v>
      </c>
      <c r="T826" s="60">
        <v>0</v>
      </c>
    </row>
    <row r="827" spans="1:20">
      <c r="A827" t="s">
        <v>18570</v>
      </c>
      <c r="B827" s="262">
        <v>44448</v>
      </c>
      <c r="C827" t="s">
        <v>16444</v>
      </c>
      <c r="D827" t="s">
        <v>16445</v>
      </c>
      <c r="E827" s="60">
        <v>0</v>
      </c>
      <c r="F827" s="60">
        <v>36312.5</v>
      </c>
      <c r="G827" s="60">
        <v>36312.5</v>
      </c>
      <c r="H827" s="60">
        <v>0</v>
      </c>
      <c r="I827" s="60">
        <v>0</v>
      </c>
      <c r="J827" s="60">
        <v>0</v>
      </c>
      <c r="K827" s="260">
        <v>0</v>
      </c>
      <c r="L827" s="260">
        <v>0</v>
      </c>
      <c r="M827" s="260">
        <v>0</v>
      </c>
      <c r="N827" s="260">
        <v>0</v>
      </c>
      <c r="O827" s="264">
        <v>36312.5</v>
      </c>
      <c r="P827" s="264">
        <v>0</v>
      </c>
      <c r="Q827" s="264">
        <v>0</v>
      </c>
      <c r="R827" s="264">
        <v>0</v>
      </c>
      <c r="S827" s="60">
        <v>36312.5</v>
      </c>
      <c r="T827" s="60">
        <v>0</v>
      </c>
    </row>
    <row r="828" spans="1:20">
      <c r="A828" t="s">
        <v>18571</v>
      </c>
      <c r="B828" s="262">
        <v>44452</v>
      </c>
      <c r="C828" t="s">
        <v>16972</v>
      </c>
      <c r="D828" t="s">
        <v>17424</v>
      </c>
      <c r="E828" s="60">
        <v>0</v>
      </c>
      <c r="F828" s="60">
        <v>428400</v>
      </c>
      <c r="G828" s="60">
        <v>0</v>
      </c>
      <c r="H828" s="60">
        <v>0</v>
      </c>
      <c r="I828" s="60">
        <v>428400</v>
      </c>
      <c r="J828" s="60">
        <v>0</v>
      </c>
      <c r="K828" s="260">
        <v>0</v>
      </c>
      <c r="L828" s="260">
        <v>0</v>
      </c>
      <c r="M828" s="260">
        <v>0</v>
      </c>
      <c r="N828" s="260">
        <v>0</v>
      </c>
      <c r="O828" s="264">
        <v>0</v>
      </c>
      <c r="P828" s="264">
        <v>0</v>
      </c>
      <c r="Q828" s="264">
        <v>428400</v>
      </c>
      <c r="R828" s="264">
        <v>0</v>
      </c>
      <c r="S828" s="60">
        <v>428400</v>
      </c>
      <c r="T828" s="60">
        <v>0</v>
      </c>
    </row>
    <row r="829" spans="1:20">
      <c r="A829" t="s">
        <v>18572</v>
      </c>
      <c r="B829" s="262">
        <v>44457</v>
      </c>
      <c r="C829" t="s">
        <v>16972</v>
      </c>
      <c r="D829" t="s">
        <v>17424</v>
      </c>
      <c r="E829" s="60">
        <v>0</v>
      </c>
      <c r="F829" s="60">
        <v>428400</v>
      </c>
      <c r="G829" s="60">
        <v>0</v>
      </c>
      <c r="H829" s="60">
        <v>0</v>
      </c>
      <c r="I829" s="60">
        <v>428400</v>
      </c>
      <c r="J829" s="60">
        <v>0</v>
      </c>
      <c r="K829" s="260">
        <v>0</v>
      </c>
      <c r="L829" s="260">
        <v>0</v>
      </c>
      <c r="M829" s="260">
        <v>0</v>
      </c>
      <c r="N829" s="260">
        <v>0</v>
      </c>
      <c r="O829" s="264">
        <v>0</v>
      </c>
      <c r="P829" s="264">
        <v>0</v>
      </c>
      <c r="Q829" s="264">
        <v>428400</v>
      </c>
      <c r="R829" s="264">
        <v>0</v>
      </c>
      <c r="S829" s="60">
        <v>428400</v>
      </c>
      <c r="T829" s="60">
        <v>0</v>
      </c>
    </row>
    <row r="830" spans="1:20">
      <c r="A830" t="s">
        <v>18573</v>
      </c>
      <c r="B830" s="262">
        <v>44459</v>
      </c>
      <c r="C830" t="s">
        <v>16838</v>
      </c>
      <c r="D830" t="s">
        <v>16839</v>
      </c>
      <c r="E830" s="60">
        <v>0</v>
      </c>
      <c r="F830" s="60">
        <v>43120</v>
      </c>
      <c r="G830" s="60">
        <v>0</v>
      </c>
      <c r="H830" s="60">
        <v>0</v>
      </c>
      <c r="I830" s="60">
        <v>43120</v>
      </c>
      <c r="J830" s="60">
        <v>0</v>
      </c>
      <c r="K830" s="260">
        <v>0</v>
      </c>
      <c r="L830" s="260">
        <v>0</v>
      </c>
      <c r="M830" s="260">
        <v>0</v>
      </c>
      <c r="N830" s="260">
        <v>0</v>
      </c>
      <c r="O830" s="264">
        <v>0</v>
      </c>
      <c r="P830" s="264">
        <v>0</v>
      </c>
      <c r="Q830" s="264">
        <v>43120</v>
      </c>
      <c r="R830" s="264">
        <v>0</v>
      </c>
      <c r="S830" s="60">
        <v>43120</v>
      </c>
      <c r="T830" s="60">
        <v>0</v>
      </c>
    </row>
    <row r="831" spans="1:20">
      <c r="A831" t="s">
        <v>18574</v>
      </c>
      <c r="B831" s="262">
        <v>44459</v>
      </c>
      <c r="C831" t="s">
        <v>16838</v>
      </c>
      <c r="D831" t="s">
        <v>16839</v>
      </c>
      <c r="E831" s="60">
        <v>0</v>
      </c>
      <c r="F831" s="60">
        <v>43120</v>
      </c>
      <c r="G831" s="60">
        <v>0</v>
      </c>
      <c r="H831" s="60">
        <v>0</v>
      </c>
      <c r="I831" s="60">
        <v>43120</v>
      </c>
      <c r="J831" s="60">
        <v>0</v>
      </c>
      <c r="K831" s="260">
        <v>0</v>
      </c>
      <c r="L831" s="260">
        <v>0</v>
      </c>
      <c r="M831" s="260">
        <v>0</v>
      </c>
      <c r="N831" s="260">
        <v>0</v>
      </c>
      <c r="O831" s="264">
        <v>0</v>
      </c>
      <c r="P831" s="264">
        <v>0</v>
      </c>
      <c r="Q831" s="264">
        <v>43120</v>
      </c>
      <c r="R831" s="264">
        <v>0</v>
      </c>
      <c r="S831" s="60">
        <v>43120</v>
      </c>
      <c r="T831" s="60">
        <v>0</v>
      </c>
    </row>
    <row r="832" spans="1:20">
      <c r="A832" t="s">
        <v>18575</v>
      </c>
      <c r="B832" s="262">
        <v>44460</v>
      </c>
      <c r="C832" t="s">
        <v>16838</v>
      </c>
      <c r="D832" t="s">
        <v>16839</v>
      </c>
      <c r="E832" s="60">
        <v>0</v>
      </c>
      <c r="F832" s="60">
        <v>68224.800000000003</v>
      </c>
      <c r="G832" s="60">
        <v>0</v>
      </c>
      <c r="H832" s="60">
        <v>68224.800000000003</v>
      </c>
      <c r="I832" s="60">
        <v>0</v>
      </c>
      <c r="J832" s="60">
        <v>0</v>
      </c>
      <c r="K832" s="260">
        <v>0</v>
      </c>
      <c r="L832" s="260">
        <v>0</v>
      </c>
      <c r="M832" s="260">
        <v>0</v>
      </c>
      <c r="N832" s="260">
        <v>0</v>
      </c>
      <c r="O832" s="264">
        <v>0</v>
      </c>
      <c r="P832" s="264">
        <v>68224.800000000003</v>
      </c>
      <c r="Q832" s="264">
        <v>0</v>
      </c>
      <c r="R832" s="264">
        <v>0</v>
      </c>
      <c r="S832" s="60">
        <v>68224.800000000003</v>
      </c>
      <c r="T832" s="60">
        <v>0</v>
      </c>
    </row>
    <row r="833" spans="1:20">
      <c r="A833" t="s">
        <v>18576</v>
      </c>
      <c r="B833" s="262">
        <v>44470</v>
      </c>
      <c r="C833" t="s">
        <v>17226</v>
      </c>
      <c r="D833" t="s">
        <v>17891</v>
      </c>
      <c r="E833" s="60">
        <v>0</v>
      </c>
      <c r="F833" s="60">
        <v>167732</v>
      </c>
      <c r="G833" s="60">
        <v>0</v>
      </c>
      <c r="H833" s="60">
        <v>102732</v>
      </c>
      <c r="I833" s="60">
        <v>22200</v>
      </c>
      <c r="J833" s="60">
        <v>42800</v>
      </c>
      <c r="K833" s="260">
        <v>0</v>
      </c>
      <c r="L833" s="260">
        <v>0</v>
      </c>
      <c r="M833" s="260">
        <v>0</v>
      </c>
      <c r="N833" s="260">
        <v>0</v>
      </c>
      <c r="O833" s="264">
        <v>0</v>
      </c>
      <c r="P833" s="264">
        <v>102732</v>
      </c>
      <c r="Q833" s="264">
        <v>22200</v>
      </c>
      <c r="R833" s="264">
        <v>42800</v>
      </c>
      <c r="S833" s="60">
        <v>167732</v>
      </c>
      <c r="T833" s="60">
        <v>0</v>
      </c>
    </row>
    <row r="834" spans="1:20">
      <c r="A834" t="s">
        <v>18577</v>
      </c>
      <c r="B834" s="262">
        <v>44470</v>
      </c>
      <c r="C834" t="s">
        <v>16444</v>
      </c>
      <c r="D834" t="s">
        <v>16445</v>
      </c>
      <c r="E834" s="60">
        <v>0</v>
      </c>
      <c r="F834" s="60">
        <v>116862.48</v>
      </c>
      <c r="G834" s="60">
        <v>116862.48</v>
      </c>
      <c r="H834" s="60">
        <v>0</v>
      </c>
      <c r="I834" s="60">
        <v>0</v>
      </c>
      <c r="J834" s="60">
        <v>0</v>
      </c>
      <c r="K834" s="260">
        <v>0</v>
      </c>
      <c r="L834" s="260">
        <v>0</v>
      </c>
      <c r="M834" s="260">
        <v>0</v>
      </c>
      <c r="N834" s="260">
        <v>0</v>
      </c>
      <c r="O834" s="264">
        <v>116862.48</v>
      </c>
      <c r="P834" s="264">
        <v>0</v>
      </c>
      <c r="Q834" s="264">
        <v>0</v>
      </c>
      <c r="R834" s="264">
        <v>0</v>
      </c>
      <c r="S834" s="60">
        <v>116862.48</v>
      </c>
      <c r="T834" s="60">
        <v>0</v>
      </c>
    </row>
    <row r="835" spans="1:20">
      <c r="A835" t="s">
        <v>18578</v>
      </c>
      <c r="B835" s="262">
        <v>44470</v>
      </c>
      <c r="C835" t="s">
        <v>16444</v>
      </c>
      <c r="D835" t="s">
        <v>16445</v>
      </c>
      <c r="E835" s="60">
        <v>0</v>
      </c>
      <c r="F835" s="60">
        <v>108000</v>
      </c>
      <c r="G835" s="60">
        <v>108000</v>
      </c>
      <c r="H835" s="60">
        <v>0</v>
      </c>
      <c r="I835" s="60">
        <v>0</v>
      </c>
      <c r="J835" s="60">
        <v>0</v>
      </c>
      <c r="K835" s="260">
        <v>0</v>
      </c>
      <c r="L835" s="260">
        <v>0</v>
      </c>
      <c r="M835" s="260">
        <v>0</v>
      </c>
      <c r="N835" s="260">
        <v>0</v>
      </c>
      <c r="O835" s="264">
        <v>108000</v>
      </c>
      <c r="P835" s="264">
        <v>0</v>
      </c>
      <c r="Q835" s="264">
        <v>0</v>
      </c>
      <c r="R835" s="264">
        <v>0</v>
      </c>
      <c r="S835" s="60">
        <v>108000</v>
      </c>
      <c r="T835" s="60">
        <v>0</v>
      </c>
    </row>
    <row r="836" spans="1:20">
      <c r="A836" t="s">
        <v>18579</v>
      </c>
      <c r="B836" s="262">
        <v>44474</v>
      </c>
      <c r="C836" t="s">
        <v>17017</v>
      </c>
      <c r="D836" t="s">
        <v>17430</v>
      </c>
      <c r="E836" s="60">
        <v>0</v>
      </c>
      <c r="F836" s="60">
        <v>76260</v>
      </c>
      <c r="G836" s="60">
        <v>0</v>
      </c>
      <c r="H836" s="60">
        <v>76260</v>
      </c>
      <c r="I836" s="60">
        <v>0</v>
      </c>
      <c r="J836" s="60">
        <v>0</v>
      </c>
      <c r="K836" s="260">
        <v>0</v>
      </c>
      <c r="L836" s="260">
        <v>0</v>
      </c>
      <c r="M836" s="260">
        <v>0</v>
      </c>
      <c r="N836" s="260">
        <v>0</v>
      </c>
      <c r="O836" s="264">
        <v>0</v>
      </c>
      <c r="P836" s="264">
        <v>76260</v>
      </c>
      <c r="Q836" s="264">
        <v>0</v>
      </c>
      <c r="R836" s="264">
        <v>0</v>
      </c>
      <c r="S836" s="60">
        <v>76260</v>
      </c>
      <c r="T836" s="60">
        <v>0</v>
      </c>
    </row>
    <row r="837" spans="1:20">
      <c r="A837" t="s">
        <v>18580</v>
      </c>
      <c r="B837" s="262">
        <v>44474</v>
      </c>
      <c r="C837" t="s">
        <v>16972</v>
      </c>
      <c r="D837" t="s">
        <v>17424</v>
      </c>
      <c r="E837" s="60">
        <v>0</v>
      </c>
      <c r="F837" s="60">
        <v>856800</v>
      </c>
      <c r="G837" s="60">
        <v>0</v>
      </c>
      <c r="H837" s="60">
        <v>0</v>
      </c>
      <c r="I837" s="60">
        <v>856800</v>
      </c>
      <c r="J837" s="60">
        <v>0</v>
      </c>
      <c r="K837" s="260">
        <v>0</v>
      </c>
      <c r="L837" s="260">
        <v>0</v>
      </c>
      <c r="M837" s="260">
        <v>0</v>
      </c>
      <c r="N837" s="260">
        <v>0</v>
      </c>
      <c r="O837" s="264">
        <v>0</v>
      </c>
      <c r="P837" s="264">
        <v>0</v>
      </c>
      <c r="Q837" s="264">
        <v>856800</v>
      </c>
      <c r="R837" s="264">
        <v>0</v>
      </c>
      <c r="S837" s="60">
        <v>856800</v>
      </c>
      <c r="T837" s="60">
        <v>0</v>
      </c>
    </row>
    <row r="838" spans="1:20">
      <c r="A838" t="s">
        <v>18581</v>
      </c>
      <c r="B838" s="262">
        <v>44474</v>
      </c>
      <c r="C838" t="s">
        <v>16444</v>
      </c>
      <c r="D838" t="s">
        <v>16445</v>
      </c>
      <c r="E838" s="60">
        <v>0</v>
      </c>
      <c r="F838" s="60">
        <v>38664</v>
      </c>
      <c r="G838" s="60">
        <v>38664</v>
      </c>
      <c r="H838" s="60">
        <v>0</v>
      </c>
      <c r="I838" s="60">
        <v>0</v>
      </c>
      <c r="J838" s="60">
        <v>0</v>
      </c>
      <c r="K838" s="260">
        <v>0</v>
      </c>
      <c r="L838" s="260">
        <v>0</v>
      </c>
      <c r="M838" s="260">
        <v>0</v>
      </c>
      <c r="N838" s="260">
        <v>0</v>
      </c>
      <c r="O838" s="264">
        <v>38664</v>
      </c>
      <c r="P838" s="264">
        <v>0</v>
      </c>
      <c r="Q838" s="264">
        <v>0</v>
      </c>
      <c r="R838" s="264">
        <v>0</v>
      </c>
      <c r="S838" s="60">
        <v>38664</v>
      </c>
      <c r="T838" s="60">
        <v>0</v>
      </c>
    </row>
    <row r="839" spans="1:20">
      <c r="A839" t="s">
        <v>18582</v>
      </c>
      <c r="B839" s="262">
        <v>44475</v>
      </c>
      <c r="C839" t="s">
        <v>16957</v>
      </c>
      <c r="D839" t="s">
        <v>17451</v>
      </c>
      <c r="E839" s="60">
        <v>0</v>
      </c>
      <c r="F839" s="60">
        <v>110975.2</v>
      </c>
      <c r="G839" s="60">
        <v>110975.2</v>
      </c>
      <c r="H839" s="60">
        <v>0</v>
      </c>
      <c r="I839" s="60">
        <v>0</v>
      </c>
      <c r="J839" s="60">
        <v>0</v>
      </c>
      <c r="K839" s="260">
        <v>0</v>
      </c>
      <c r="L839" s="260">
        <v>0</v>
      </c>
      <c r="M839" s="260">
        <v>0</v>
      </c>
      <c r="N839" s="260">
        <v>0</v>
      </c>
      <c r="O839" s="264">
        <v>110975.2</v>
      </c>
      <c r="P839" s="264">
        <v>0</v>
      </c>
      <c r="Q839" s="264">
        <v>0</v>
      </c>
      <c r="R839" s="264">
        <v>0</v>
      </c>
      <c r="S839" s="60">
        <v>110975.2</v>
      </c>
      <c r="T839" s="60">
        <v>0</v>
      </c>
    </row>
    <row r="840" spans="1:20">
      <c r="A840" t="s">
        <v>18583</v>
      </c>
      <c r="B840" s="262">
        <v>44476</v>
      </c>
      <c r="C840" t="s">
        <v>16444</v>
      </c>
      <c r="D840" t="s">
        <v>16445</v>
      </c>
      <c r="E840" s="60">
        <v>0</v>
      </c>
      <c r="F840" s="60">
        <v>34944</v>
      </c>
      <c r="G840" s="60">
        <v>34944</v>
      </c>
      <c r="H840" s="60">
        <v>0</v>
      </c>
      <c r="I840" s="60">
        <v>0</v>
      </c>
      <c r="J840" s="60">
        <v>0</v>
      </c>
      <c r="K840" s="260">
        <v>0</v>
      </c>
      <c r="L840" s="260">
        <v>0</v>
      </c>
      <c r="M840" s="260">
        <v>0</v>
      </c>
      <c r="N840" s="260">
        <v>0</v>
      </c>
      <c r="O840" s="264">
        <v>34944</v>
      </c>
      <c r="P840" s="264">
        <v>0</v>
      </c>
      <c r="Q840" s="264">
        <v>0</v>
      </c>
      <c r="R840" s="264">
        <v>0</v>
      </c>
      <c r="S840" s="60">
        <v>34944</v>
      </c>
      <c r="T840" s="60">
        <v>0</v>
      </c>
    </row>
    <row r="841" spans="1:20">
      <c r="A841" t="s">
        <v>18584</v>
      </c>
      <c r="B841" s="262">
        <v>44481</v>
      </c>
      <c r="C841" t="s">
        <v>16904</v>
      </c>
      <c r="D841" t="s">
        <v>16905</v>
      </c>
      <c r="E841" s="60">
        <v>0</v>
      </c>
      <c r="F841" s="60">
        <v>95178.486999999994</v>
      </c>
      <c r="G841" s="60">
        <v>0</v>
      </c>
      <c r="H841" s="60">
        <v>67092.414648000005</v>
      </c>
      <c r="I841" s="60">
        <v>17095.727699999999</v>
      </c>
      <c r="J841" s="60">
        <v>0</v>
      </c>
      <c r="K841" s="260">
        <v>0</v>
      </c>
      <c r="L841" s="260">
        <v>8746.9251470588242</v>
      </c>
      <c r="M841" s="260">
        <v>2243.4198529411765</v>
      </c>
      <c r="N841" s="260">
        <v>0</v>
      </c>
      <c r="O841" s="264">
        <v>0</v>
      </c>
      <c r="P841" s="264">
        <v>75839.339795058826</v>
      </c>
      <c r="Q841" s="264">
        <v>19339.147552941176</v>
      </c>
      <c r="R841" s="264">
        <v>0</v>
      </c>
      <c r="S841" s="60">
        <v>95178.487347999995</v>
      </c>
      <c r="T841" s="60">
        <v>-3.4800000139512122E-4</v>
      </c>
    </row>
    <row r="842" spans="1:20">
      <c r="A842" t="s">
        <v>18585</v>
      </c>
      <c r="B842" s="262">
        <v>44481</v>
      </c>
      <c r="C842" t="s">
        <v>17278</v>
      </c>
      <c r="D842" t="s">
        <v>17279</v>
      </c>
      <c r="E842" s="60">
        <v>0</v>
      </c>
      <c r="F842" s="60">
        <v>223321.18600000002</v>
      </c>
      <c r="G842" s="60">
        <v>0</v>
      </c>
      <c r="H842" s="60">
        <v>223321.18583999999</v>
      </c>
      <c r="I842" s="60">
        <v>0</v>
      </c>
      <c r="J842" s="60">
        <v>0</v>
      </c>
      <c r="K842" s="260">
        <v>0</v>
      </c>
      <c r="L842" s="260">
        <v>0</v>
      </c>
      <c r="M842" s="260">
        <v>0</v>
      </c>
      <c r="N842" s="260">
        <v>0</v>
      </c>
      <c r="O842" s="264">
        <v>0</v>
      </c>
      <c r="P842" s="264">
        <v>223321.18583999999</v>
      </c>
      <c r="Q842" s="264">
        <v>0</v>
      </c>
      <c r="R842" s="264">
        <v>0</v>
      </c>
      <c r="S842" s="60">
        <v>223321.18583999999</v>
      </c>
      <c r="T842" s="60">
        <v>1.6000002506189048E-4</v>
      </c>
    </row>
    <row r="843" spans="1:20">
      <c r="A843" t="s">
        <v>18586</v>
      </c>
      <c r="B843" s="262">
        <v>44482</v>
      </c>
      <c r="C843" t="s">
        <v>16560</v>
      </c>
      <c r="D843" t="s">
        <v>16561</v>
      </c>
      <c r="E843" s="60">
        <v>0</v>
      </c>
      <c r="F843" s="60">
        <v>175421.05899999998</v>
      </c>
      <c r="G843" s="60">
        <v>0</v>
      </c>
      <c r="H843" s="60">
        <v>0</v>
      </c>
      <c r="I843" s="60">
        <v>175410.41373</v>
      </c>
      <c r="J843" s="60">
        <v>0</v>
      </c>
      <c r="K843" s="260">
        <v>0</v>
      </c>
      <c r="L843" s="260">
        <v>0</v>
      </c>
      <c r="M843" s="260">
        <v>0</v>
      </c>
      <c r="N843" s="260">
        <v>0</v>
      </c>
      <c r="O843" s="264">
        <v>0</v>
      </c>
      <c r="P843" s="264">
        <v>0</v>
      </c>
      <c r="Q843" s="264">
        <v>175410.41373</v>
      </c>
      <c r="R843" s="264">
        <v>0</v>
      </c>
      <c r="S843" s="60">
        <v>175410.41373</v>
      </c>
      <c r="T843" s="60">
        <v>10.645269999979064</v>
      </c>
    </row>
    <row r="844" spans="1:20">
      <c r="A844" t="s">
        <v>18587</v>
      </c>
      <c r="B844" s="262">
        <v>44482</v>
      </c>
      <c r="C844" t="s">
        <v>16560</v>
      </c>
      <c r="D844" t="s">
        <v>16561</v>
      </c>
      <c r="E844" s="60">
        <v>0</v>
      </c>
      <c r="F844" s="60">
        <v>175421.05899999998</v>
      </c>
      <c r="G844" s="60">
        <v>0</v>
      </c>
      <c r="H844" s="60">
        <v>0</v>
      </c>
      <c r="I844" s="60">
        <v>175410.41373</v>
      </c>
      <c r="J844" s="60">
        <v>0</v>
      </c>
      <c r="K844" s="260">
        <v>0</v>
      </c>
      <c r="L844" s="260">
        <v>0</v>
      </c>
      <c r="M844" s="260">
        <v>0</v>
      </c>
      <c r="N844" s="260">
        <v>0</v>
      </c>
      <c r="O844" s="264">
        <v>0</v>
      </c>
      <c r="P844" s="264">
        <v>0</v>
      </c>
      <c r="Q844" s="264">
        <v>175410.41373</v>
      </c>
      <c r="R844" s="264">
        <v>0</v>
      </c>
      <c r="S844" s="60">
        <v>175410.41373</v>
      </c>
      <c r="T844" s="60">
        <v>10.645269999979064</v>
      </c>
    </row>
    <row r="845" spans="1:20">
      <c r="A845" t="s">
        <v>18588</v>
      </c>
      <c r="B845" s="262">
        <v>44482</v>
      </c>
      <c r="C845" t="s">
        <v>16560</v>
      </c>
      <c r="D845" t="s">
        <v>16561</v>
      </c>
      <c r="E845" s="60">
        <v>0</v>
      </c>
      <c r="F845" s="60">
        <v>175421.05899999998</v>
      </c>
      <c r="G845" s="60">
        <v>0</v>
      </c>
      <c r="H845" s="60">
        <v>0</v>
      </c>
      <c r="I845" s="60">
        <v>175410.41373</v>
      </c>
      <c r="J845" s="60">
        <v>0</v>
      </c>
      <c r="K845" s="260">
        <v>0</v>
      </c>
      <c r="L845" s="260">
        <v>0</v>
      </c>
      <c r="M845" s="260">
        <v>0</v>
      </c>
      <c r="N845" s="260">
        <v>0</v>
      </c>
      <c r="O845" s="264">
        <v>0</v>
      </c>
      <c r="P845" s="264">
        <v>0</v>
      </c>
      <c r="Q845" s="264">
        <v>175410.41373</v>
      </c>
      <c r="R845" s="264">
        <v>0</v>
      </c>
      <c r="S845" s="60">
        <v>175410.41373</v>
      </c>
      <c r="T845" s="60">
        <v>10.645269999979064</v>
      </c>
    </row>
    <row r="846" spans="1:20">
      <c r="A846" t="s">
        <v>18589</v>
      </c>
      <c r="B846" s="262">
        <v>44482</v>
      </c>
      <c r="C846" t="s">
        <v>16560</v>
      </c>
      <c r="D846" t="s">
        <v>16561</v>
      </c>
      <c r="E846" s="60">
        <v>0</v>
      </c>
      <c r="F846" s="60">
        <v>175421.05899999998</v>
      </c>
      <c r="G846" s="60">
        <v>0</v>
      </c>
      <c r="H846" s="60">
        <v>0</v>
      </c>
      <c r="I846" s="60">
        <v>175410.41373000003</v>
      </c>
      <c r="J846" s="60">
        <v>0</v>
      </c>
      <c r="K846" s="260">
        <v>0</v>
      </c>
      <c r="L846" s="260">
        <v>0</v>
      </c>
      <c r="M846" s="260">
        <v>0</v>
      </c>
      <c r="N846" s="260">
        <v>0</v>
      </c>
      <c r="O846" s="264">
        <v>0</v>
      </c>
      <c r="P846" s="264">
        <v>0</v>
      </c>
      <c r="Q846" s="264">
        <v>175410.41373000003</v>
      </c>
      <c r="R846" s="264">
        <v>0</v>
      </c>
      <c r="S846" s="60">
        <v>175410.41373000003</v>
      </c>
      <c r="T846" s="60">
        <v>10.64526999994996</v>
      </c>
    </row>
    <row r="847" spans="1:20">
      <c r="A847" t="s">
        <v>18590</v>
      </c>
      <c r="B847" s="262">
        <v>44501</v>
      </c>
      <c r="C847" t="s">
        <v>16779</v>
      </c>
      <c r="D847" t="s">
        <v>17613</v>
      </c>
      <c r="E847" s="60">
        <v>0</v>
      </c>
      <c r="F847" s="60">
        <v>48570.614999999998</v>
      </c>
      <c r="G847" s="60">
        <v>602.26307999999995</v>
      </c>
      <c r="H847" s="60">
        <v>34200.276587999993</v>
      </c>
      <c r="I847" s="60">
        <v>12204.684179999998</v>
      </c>
      <c r="J847" s="60">
        <v>1563.3909799999999</v>
      </c>
      <c r="K847" s="260">
        <v>0</v>
      </c>
      <c r="L847" s="260">
        <v>0</v>
      </c>
      <c r="M847" s="260">
        <v>0</v>
      </c>
      <c r="N847" s="260">
        <v>0</v>
      </c>
      <c r="O847" s="264">
        <v>602.26307999999995</v>
      </c>
      <c r="P847" s="264">
        <v>34200.276587999993</v>
      </c>
      <c r="Q847" s="264">
        <v>12204.684179999998</v>
      </c>
      <c r="R847" s="264">
        <v>1563.3909799999999</v>
      </c>
      <c r="S847" s="60">
        <v>48570.614827999983</v>
      </c>
      <c r="T847" s="60">
        <v>1.7200001457240433E-4</v>
      </c>
    </row>
    <row r="848" spans="1:20">
      <c r="A848" t="s">
        <v>18591</v>
      </c>
      <c r="B848" s="262">
        <v>44488</v>
      </c>
      <c r="C848" t="s">
        <v>16957</v>
      </c>
      <c r="D848" t="s">
        <v>17451</v>
      </c>
      <c r="E848" s="60">
        <v>0</v>
      </c>
      <c r="F848" s="60">
        <v>165695.46</v>
      </c>
      <c r="G848" s="60">
        <v>165695.46</v>
      </c>
      <c r="H848" s="60">
        <v>0</v>
      </c>
      <c r="I848" s="60">
        <v>0</v>
      </c>
      <c r="J848" s="60">
        <v>0</v>
      </c>
      <c r="K848" s="260">
        <v>0</v>
      </c>
      <c r="L848" s="260">
        <v>0</v>
      </c>
      <c r="M848" s="260">
        <v>0</v>
      </c>
      <c r="N848" s="260">
        <v>0</v>
      </c>
      <c r="O848" s="264">
        <v>165695.46</v>
      </c>
      <c r="P848" s="264">
        <v>0</v>
      </c>
      <c r="Q848" s="264">
        <v>0</v>
      </c>
      <c r="R848" s="264">
        <v>0</v>
      </c>
      <c r="S848" s="60">
        <v>165695.46</v>
      </c>
      <c r="T848" s="60">
        <v>0</v>
      </c>
    </row>
    <row r="849" spans="1:20">
      <c r="A849" t="s">
        <v>18592</v>
      </c>
      <c r="B849" s="262">
        <v>44501</v>
      </c>
      <c r="C849" t="s">
        <v>16470</v>
      </c>
      <c r="D849" t="s">
        <v>16471</v>
      </c>
      <c r="E849" s="60">
        <v>0</v>
      </c>
      <c r="F849" s="60">
        <v>311998.23100000003</v>
      </c>
      <c r="G849" s="60">
        <v>25646.304599999999</v>
      </c>
      <c r="H849" s="60">
        <v>225999.45055799998</v>
      </c>
      <c r="I849" s="60">
        <v>0</v>
      </c>
      <c r="J849" s="60">
        <v>0</v>
      </c>
      <c r="K849" s="260">
        <v>5472.9064701881662</v>
      </c>
      <c r="L849" s="260">
        <v>54879.569629811842</v>
      </c>
      <c r="M849" s="260">
        <v>0</v>
      </c>
      <c r="N849" s="260">
        <v>0</v>
      </c>
      <c r="O849" s="264">
        <v>31119.211070188165</v>
      </c>
      <c r="P849" s="264">
        <v>280879.02018781181</v>
      </c>
      <c r="Q849" s="264">
        <v>0</v>
      </c>
      <c r="R849" s="264">
        <v>0</v>
      </c>
      <c r="S849" s="60">
        <v>311998.23125799996</v>
      </c>
      <c r="T849" s="60">
        <v>-2.579999272711575E-4</v>
      </c>
    </row>
    <row r="850" spans="1:20">
      <c r="A850" t="s">
        <v>18593</v>
      </c>
      <c r="B850" s="262">
        <v>44488</v>
      </c>
      <c r="C850" t="s">
        <v>16838</v>
      </c>
      <c r="D850" t="s">
        <v>16839</v>
      </c>
      <c r="E850" s="60">
        <v>0</v>
      </c>
      <c r="F850" s="60">
        <v>102337.2</v>
      </c>
      <c r="G850" s="60">
        <v>0</v>
      </c>
      <c r="H850" s="60">
        <v>102337.2</v>
      </c>
      <c r="I850" s="60">
        <v>0</v>
      </c>
      <c r="J850" s="60">
        <v>0</v>
      </c>
      <c r="K850" s="260">
        <v>0</v>
      </c>
      <c r="L850" s="260">
        <v>0</v>
      </c>
      <c r="M850" s="260">
        <v>0</v>
      </c>
      <c r="N850" s="260">
        <v>0</v>
      </c>
      <c r="O850" s="264">
        <v>0</v>
      </c>
      <c r="P850" s="264">
        <v>102337.2</v>
      </c>
      <c r="Q850" s="264">
        <v>0</v>
      </c>
      <c r="R850" s="264">
        <v>0</v>
      </c>
      <c r="S850" s="60">
        <v>102337.2</v>
      </c>
      <c r="T850" s="60">
        <v>0</v>
      </c>
    </row>
    <row r="851" spans="1:20">
      <c r="A851" t="s">
        <v>18594</v>
      </c>
      <c r="B851" s="262">
        <v>44488</v>
      </c>
      <c r="C851" t="s">
        <v>17278</v>
      </c>
      <c r="D851" t="s">
        <v>17279</v>
      </c>
      <c r="E851" s="60">
        <v>0</v>
      </c>
      <c r="F851" s="60">
        <v>255283.35</v>
      </c>
      <c r="G851" s="60">
        <v>0</v>
      </c>
      <c r="H851" s="60">
        <v>0</v>
      </c>
      <c r="I851" s="60">
        <v>255283.35</v>
      </c>
      <c r="J851" s="60">
        <v>0</v>
      </c>
      <c r="K851" s="260">
        <v>0</v>
      </c>
      <c r="L851" s="260">
        <v>0</v>
      </c>
      <c r="M851" s="260">
        <v>0</v>
      </c>
      <c r="N851" s="260">
        <v>0</v>
      </c>
      <c r="O851" s="264">
        <v>0</v>
      </c>
      <c r="P851" s="264">
        <v>0</v>
      </c>
      <c r="Q851" s="264">
        <v>255283.35</v>
      </c>
      <c r="R851" s="264">
        <v>0</v>
      </c>
      <c r="S851" s="60">
        <v>255283.35</v>
      </c>
      <c r="T851" s="60">
        <v>0</v>
      </c>
    </row>
    <row r="852" spans="1:20">
      <c r="A852" t="s">
        <v>18595</v>
      </c>
      <c r="B852" s="262">
        <v>44489</v>
      </c>
      <c r="C852" t="s">
        <v>17017</v>
      </c>
      <c r="D852" t="s">
        <v>17430</v>
      </c>
      <c r="E852" s="60">
        <v>0</v>
      </c>
      <c r="F852" s="60">
        <v>52044.351999999999</v>
      </c>
      <c r="G852" s="60">
        <v>0</v>
      </c>
      <c r="H852" s="60">
        <v>32106.152000000002</v>
      </c>
      <c r="I852" s="60">
        <v>11218.34</v>
      </c>
      <c r="J852" s="60">
        <v>8720</v>
      </c>
      <c r="K852" s="260">
        <v>0</v>
      </c>
      <c r="L852" s="260">
        <v>0</v>
      </c>
      <c r="M852" s="260">
        <v>0</v>
      </c>
      <c r="N852" s="260">
        <v>0</v>
      </c>
      <c r="O852" s="264">
        <v>0</v>
      </c>
      <c r="P852" s="264">
        <v>32106.152000000002</v>
      </c>
      <c r="Q852" s="264">
        <v>11218.34</v>
      </c>
      <c r="R852" s="264">
        <v>8720</v>
      </c>
      <c r="S852" s="60">
        <v>52044.491999999998</v>
      </c>
      <c r="T852" s="60">
        <v>-0.13999999999941792</v>
      </c>
    </row>
    <row r="853" spans="1:20">
      <c r="A853" t="s">
        <v>18596</v>
      </c>
      <c r="B853" s="262">
        <v>44531</v>
      </c>
      <c r="C853" t="s">
        <v>16444</v>
      </c>
      <c r="D853" t="s">
        <v>16445</v>
      </c>
      <c r="E853" s="60">
        <v>0</v>
      </c>
      <c r="F853" s="60">
        <v>68475</v>
      </c>
      <c r="G853" s="60">
        <v>68475</v>
      </c>
      <c r="H853" s="60">
        <v>0</v>
      </c>
      <c r="I853" s="60">
        <v>0</v>
      </c>
      <c r="J853" s="60">
        <v>0</v>
      </c>
      <c r="K853" s="260">
        <v>0</v>
      </c>
      <c r="L853" s="260">
        <v>0</v>
      </c>
      <c r="M853" s="260">
        <v>0</v>
      </c>
      <c r="N853" s="260">
        <v>0</v>
      </c>
      <c r="O853" s="264">
        <v>68475</v>
      </c>
      <c r="P853" s="264">
        <v>0</v>
      </c>
      <c r="Q853" s="264">
        <v>0</v>
      </c>
      <c r="R853" s="264">
        <v>0</v>
      </c>
      <c r="S853" s="60">
        <v>68475</v>
      </c>
      <c r="T853" s="60">
        <v>0</v>
      </c>
    </row>
    <row r="854" spans="1:20">
      <c r="A854" t="s">
        <v>18597</v>
      </c>
      <c r="B854" s="262">
        <v>44501</v>
      </c>
      <c r="C854" t="s">
        <v>16444</v>
      </c>
      <c r="D854" t="s">
        <v>16445</v>
      </c>
      <c r="E854" s="60">
        <v>0</v>
      </c>
      <c r="F854" s="60">
        <v>108000</v>
      </c>
      <c r="G854" s="60">
        <v>108000</v>
      </c>
      <c r="H854" s="60">
        <v>0</v>
      </c>
      <c r="I854" s="60">
        <v>0</v>
      </c>
      <c r="J854" s="60">
        <v>0</v>
      </c>
      <c r="K854" s="260">
        <v>0</v>
      </c>
      <c r="L854" s="260">
        <v>0</v>
      </c>
      <c r="M854" s="260">
        <v>0</v>
      </c>
      <c r="N854" s="260">
        <v>0</v>
      </c>
      <c r="O854" s="264">
        <v>108000</v>
      </c>
      <c r="P854" s="264">
        <v>0</v>
      </c>
      <c r="Q854" s="264">
        <v>0</v>
      </c>
      <c r="R854" s="264">
        <v>0</v>
      </c>
      <c r="S854" s="60">
        <v>108000</v>
      </c>
      <c r="T854" s="60">
        <v>0</v>
      </c>
    </row>
    <row r="855" spans="1:20">
      <c r="A855" t="s">
        <v>18598</v>
      </c>
      <c r="B855" s="262">
        <v>44501</v>
      </c>
      <c r="C855" t="s">
        <v>16880</v>
      </c>
      <c r="D855" t="s">
        <v>16881</v>
      </c>
      <c r="E855" s="60">
        <v>0</v>
      </c>
      <c r="F855" s="60">
        <v>69490.785999999993</v>
      </c>
      <c r="G855" s="60">
        <v>0</v>
      </c>
      <c r="H855" s="60">
        <v>69490.785919999995</v>
      </c>
      <c r="I855" s="60">
        <v>0</v>
      </c>
      <c r="J855" s="60">
        <v>0</v>
      </c>
      <c r="K855" s="260">
        <v>0</v>
      </c>
      <c r="L855" s="260">
        <v>0</v>
      </c>
      <c r="M855" s="260">
        <v>0</v>
      </c>
      <c r="N855" s="260">
        <v>0</v>
      </c>
      <c r="O855" s="264">
        <v>0</v>
      </c>
      <c r="P855" s="264">
        <v>69490.785919999995</v>
      </c>
      <c r="Q855" s="264">
        <v>0</v>
      </c>
      <c r="R855" s="264">
        <v>0</v>
      </c>
      <c r="S855" s="60">
        <v>69490.785919999995</v>
      </c>
      <c r="T855" s="60">
        <v>7.9999997979030013E-5</v>
      </c>
    </row>
    <row r="856" spans="1:20">
      <c r="A856" t="s">
        <v>18599</v>
      </c>
      <c r="B856" s="262">
        <v>44531</v>
      </c>
      <c r="C856" t="s">
        <v>16904</v>
      </c>
      <c r="D856" t="s">
        <v>16905</v>
      </c>
      <c r="E856" s="60">
        <v>0</v>
      </c>
      <c r="F856" s="60">
        <v>63311.817000000003</v>
      </c>
      <c r="G856" s="60">
        <v>0</v>
      </c>
      <c r="H856" s="60">
        <v>36351.013139999995</v>
      </c>
      <c r="I856" s="60">
        <v>15967.778999999999</v>
      </c>
      <c r="J856" s="60">
        <v>0</v>
      </c>
      <c r="K856" s="260">
        <v>0</v>
      </c>
      <c r="L856" s="260">
        <v>7615.0102941176465</v>
      </c>
      <c r="M856" s="260">
        <v>3378.0147058823527</v>
      </c>
      <c r="N856" s="260">
        <v>0</v>
      </c>
      <c r="O856" s="264">
        <v>0</v>
      </c>
      <c r="P856" s="264">
        <v>43966.02343411764</v>
      </c>
      <c r="Q856" s="264">
        <v>19345.793705882352</v>
      </c>
      <c r="R856" s="264">
        <v>0</v>
      </c>
      <c r="S856" s="60">
        <v>63311.817139999992</v>
      </c>
      <c r="T856" s="60">
        <v>-1.3999998918734491E-4</v>
      </c>
    </row>
    <row r="857" spans="1:20">
      <c r="A857" t="s">
        <v>18600</v>
      </c>
      <c r="B857" s="262">
        <v>44502</v>
      </c>
      <c r="C857" t="s">
        <v>17281</v>
      </c>
      <c r="D857" t="s">
        <v>18381</v>
      </c>
      <c r="E857" s="60">
        <v>0</v>
      </c>
      <c r="F857" s="60">
        <v>61040</v>
      </c>
      <c r="G857" s="60">
        <v>0</v>
      </c>
      <c r="H857" s="60">
        <v>0</v>
      </c>
      <c r="I857" s="60">
        <v>0</v>
      </c>
      <c r="J857" s="60">
        <v>61040</v>
      </c>
      <c r="K857" s="260">
        <v>0</v>
      </c>
      <c r="L857" s="260">
        <v>0</v>
      </c>
      <c r="M857" s="260">
        <v>0</v>
      </c>
      <c r="N857" s="260">
        <v>0</v>
      </c>
      <c r="O857" s="264">
        <v>0</v>
      </c>
      <c r="P857" s="264">
        <v>0</v>
      </c>
      <c r="Q857" s="264">
        <v>0</v>
      </c>
      <c r="R857" s="264">
        <v>61040</v>
      </c>
      <c r="S857" s="60">
        <v>61040</v>
      </c>
      <c r="T857" s="60">
        <v>0</v>
      </c>
    </row>
    <row r="858" spans="1:20">
      <c r="A858" t="s">
        <v>18601</v>
      </c>
      <c r="B858" s="262">
        <v>44531</v>
      </c>
      <c r="C858" t="s">
        <v>17284</v>
      </c>
      <c r="D858" t="s">
        <v>18383</v>
      </c>
      <c r="E858" s="60">
        <v>0</v>
      </c>
      <c r="F858" s="60">
        <v>43431.6</v>
      </c>
      <c r="G858" s="60">
        <v>6969.6</v>
      </c>
      <c r="H858" s="60">
        <v>23190</v>
      </c>
      <c r="I858" s="60">
        <v>0</v>
      </c>
      <c r="J858" s="60">
        <v>13272</v>
      </c>
      <c r="K858" s="260">
        <v>0</v>
      </c>
      <c r="L858" s="260">
        <v>0</v>
      </c>
      <c r="M858" s="260">
        <v>0</v>
      </c>
      <c r="N858" s="260">
        <v>0</v>
      </c>
      <c r="O858" s="264">
        <v>6969.6</v>
      </c>
      <c r="P858" s="264">
        <v>23190</v>
      </c>
      <c r="Q858" s="264">
        <v>0</v>
      </c>
      <c r="R858" s="264">
        <v>13272</v>
      </c>
      <c r="S858" s="60">
        <v>43431.6</v>
      </c>
      <c r="T858" s="60">
        <v>0</v>
      </c>
    </row>
    <row r="859" spans="1:20">
      <c r="A859" t="s">
        <v>18602</v>
      </c>
      <c r="B859" s="262">
        <v>44509</v>
      </c>
      <c r="C859" t="s">
        <v>16384</v>
      </c>
      <c r="D859" t="s">
        <v>16385</v>
      </c>
      <c r="E859" s="60">
        <v>0</v>
      </c>
      <c r="F859" s="60">
        <v>501200</v>
      </c>
      <c r="G859" s="60">
        <v>0</v>
      </c>
      <c r="H859" s="60">
        <v>0</v>
      </c>
      <c r="I859" s="60">
        <v>501200</v>
      </c>
      <c r="J859" s="60">
        <v>0</v>
      </c>
      <c r="K859" s="260">
        <v>0</v>
      </c>
      <c r="L859" s="260">
        <v>0</v>
      </c>
      <c r="M859" s="260">
        <v>0</v>
      </c>
      <c r="N859" s="260">
        <v>0</v>
      </c>
      <c r="O859" s="264">
        <v>0</v>
      </c>
      <c r="P859" s="264">
        <v>0</v>
      </c>
      <c r="Q859" s="264">
        <v>501200</v>
      </c>
      <c r="R859" s="264">
        <v>0</v>
      </c>
      <c r="S859" s="60">
        <v>501200</v>
      </c>
      <c r="T859" s="60">
        <v>0</v>
      </c>
    </row>
    <row r="860" spans="1:20">
      <c r="A860" t="s">
        <v>18603</v>
      </c>
      <c r="B860" s="262">
        <v>44509</v>
      </c>
      <c r="C860" t="s">
        <v>16838</v>
      </c>
      <c r="D860" t="s">
        <v>16839</v>
      </c>
      <c r="E860" s="60">
        <v>0</v>
      </c>
      <c r="F860" s="60">
        <v>390707.6</v>
      </c>
      <c r="G860" s="60">
        <v>311001.59999999998</v>
      </c>
      <c r="H860" s="60">
        <v>22950</v>
      </c>
      <c r="I860" s="60">
        <v>56756</v>
      </c>
      <c r="J860" s="60">
        <v>0</v>
      </c>
      <c r="K860" s="260">
        <v>0</v>
      </c>
      <c r="L860" s="260">
        <v>0</v>
      </c>
      <c r="M860" s="260">
        <v>0</v>
      </c>
      <c r="N860" s="260">
        <v>0</v>
      </c>
      <c r="O860" s="264">
        <v>311001.59999999998</v>
      </c>
      <c r="P860" s="264">
        <v>22950</v>
      </c>
      <c r="Q860" s="264">
        <v>56756</v>
      </c>
      <c r="R860" s="264">
        <v>0</v>
      </c>
      <c r="S860" s="60">
        <v>390707.6</v>
      </c>
      <c r="T860" s="60">
        <v>0</v>
      </c>
    </row>
    <row r="861" spans="1:20">
      <c r="A861" t="s">
        <v>18604</v>
      </c>
      <c r="B861" s="262">
        <v>44509</v>
      </c>
      <c r="C861" t="s">
        <v>16643</v>
      </c>
      <c r="D861" t="s">
        <v>16644</v>
      </c>
      <c r="E861" s="60">
        <v>0</v>
      </c>
      <c r="F861" s="60">
        <v>67134.990000000005</v>
      </c>
      <c r="G861" s="60">
        <v>0</v>
      </c>
      <c r="H861" s="60">
        <v>57656.34</v>
      </c>
      <c r="I861" s="60">
        <v>0</v>
      </c>
      <c r="J861" s="60">
        <v>0</v>
      </c>
      <c r="K861" s="260">
        <v>0</v>
      </c>
      <c r="L861" s="260">
        <v>9478.65</v>
      </c>
      <c r="M861" s="260">
        <v>0</v>
      </c>
      <c r="N861" s="260">
        <v>0</v>
      </c>
      <c r="O861" s="264">
        <v>0</v>
      </c>
      <c r="P861" s="264">
        <v>67134.989999999991</v>
      </c>
      <c r="Q861" s="264">
        <v>0</v>
      </c>
      <c r="R861" s="264">
        <v>0</v>
      </c>
      <c r="S861" s="60">
        <v>67134.989999999991</v>
      </c>
      <c r="T861" s="60">
        <v>0</v>
      </c>
    </row>
    <row r="862" spans="1:20">
      <c r="A862" t="s">
        <v>18605</v>
      </c>
      <c r="B862" s="262">
        <v>44509</v>
      </c>
      <c r="C862" t="s">
        <v>17017</v>
      </c>
      <c r="D862" t="s">
        <v>17430</v>
      </c>
      <c r="E862" s="60">
        <v>0</v>
      </c>
      <c r="F862" s="60">
        <v>62000</v>
      </c>
      <c r="G862" s="60">
        <v>0</v>
      </c>
      <c r="H862" s="60">
        <v>62000</v>
      </c>
      <c r="I862" s="60">
        <v>0</v>
      </c>
      <c r="J862" s="60">
        <v>0</v>
      </c>
      <c r="K862" s="260">
        <v>0</v>
      </c>
      <c r="L862" s="260">
        <v>0</v>
      </c>
      <c r="M862" s="260">
        <v>0</v>
      </c>
      <c r="N862" s="260">
        <v>0</v>
      </c>
      <c r="O862" s="264">
        <v>0</v>
      </c>
      <c r="P862" s="264">
        <v>62000</v>
      </c>
      <c r="Q862" s="264">
        <v>0</v>
      </c>
      <c r="R862" s="264">
        <v>0</v>
      </c>
      <c r="S862" s="60">
        <v>62000</v>
      </c>
      <c r="T862" s="60">
        <v>0</v>
      </c>
    </row>
    <row r="863" spans="1:20">
      <c r="A863" t="s">
        <v>18606</v>
      </c>
      <c r="B863" s="262">
        <v>44512</v>
      </c>
      <c r="C863" t="s">
        <v>17278</v>
      </c>
      <c r="D863" t="s">
        <v>17279</v>
      </c>
      <c r="E863" s="60">
        <v>0</v>
      </c>
      <c r="F863" s="60">
        <v>244047.94600000003</v>
      </c>
      <c r="G863" s="60">
        <v>0</v>
      </c>
      <c r="H863" s="60">
        <v>0</v>
      </c>
      <c r="I863" s="60">
        <v>244047.94560000004</v>
      </c>
      <c r="J863" s="60">
        <v>0</v>
      </c>
      <c r="K863" s="260">
        <v>0</v>
      </c>
      <c r="L863" s="260">
        <v>0</v>
      </c>
      <c r="M863" s="260">
        <v>0</v>
      </c>
      <c r="N863" s="260">
        <v>0</v>
      </c>
      <c r="O863" s="264">
        <v>0</v>
      </c>
      <c r="P863" s="264">
        <v>0</v>
      </c>
      <c r="Q863" s="264">
        <v>244047.94560000004</v>
      </c>
      <c r="R863" s="264">
        <v>0</v>
      </c>
      <c r="S863" s="60">
        <v>244047.94560000004</v>
      </c>
      <c r="T863" s="60">
        <v>3.9999998989515007E-4</v>
      </c>
    </row>
    <row r="864" spans="1:20">
      <c r="A864" t="s">
        <v>18607</v>
      </c>
      <c r="B864" s="262">
        <v>44515</v>
      </c>
      <c r="C864" t="s">
        <v>16444</v>
      </c>
      <c r="D864" t="s">
        <v>16445</v>
      </c>
      <c r="E864" s="60">
        <v>0</v>
      </c>
      <c r="F864" s="60">
        <v>68736</v>
      </c>
      <c r="G864" s="60">
        <v>68736</v>
      </c>
      <c r="H864" s="60">
        <v>0</v>
      </c>
      <c r="I864" s="60">
        <v>0</v>
      </c>
      <c r="J864" s="60">
        <v>0</v>
      </c>
      <c r="K864" s="260">
        <v>0</v>
      </c>
      <c r="L864" s="260">
        <v>0</v>
      </c>
      <c r="M864" s="260">
        <v>0</v>
      </c>
      <c r="N864" s="260">
        <v>0</v>
      </c>
      <c r="O864" s="264">
        <v>68736</v>
      </c>
      <c r="P864" s="264">
        <v>0</v>
      </c>
      <c r="Q864" s="264">
        <v>0</v>
      </c>
      <c r="R864" s="264">
        <v>0</v>
      </c>
      <c r="S864" s="60">
        <v>68736</v>
      </c>
      <c r="T864" s="60">
        <v>0</v>
      </c>
    </row>
    <row r="865" spans="1:20">
      <c r="A865" t="s">
        <v>18608</v>
      </c>
      <c r="B865" s="262">
        <v>44515</v>
      </c>
      <c r="C865" t="s">
        <v>17017</v>
      </c>
      <c r="D865" t="s">
        <v>17430</v>
      </c>
      <c r="E865" s="60">
        <v>0</v>
      </c>
      <c r="F865" s="60">
        <v>186000</v>
      </c>
      <c r="G865" s="60">
        <v>186000</v>
      </c>
      <c r="H865" s="60">
        <v>0</v>
      </c>
      <c r="I865" s="60">
        <v>0</v>
      </c>
      <c r="J865" s="60">
        <v>0</v>
      </c>
      <c r="K865" s="260">
        <v>0</v>
      </c>
      <c r="L865" s="260">
        <v>0</v>
      </c>
      <c r="M865" s="260">
        <v>0</v>
      </c>
      <c r="N865" s="260">
        <v>0</v>
      </c>
      <c r="O865" s="264">
        <v>186000</v>
      </c>
      <c r="P865" s="264">
        <v>0</v>
      </c>
      <c r="Q865" s="264">
        <v>0</v>
      </c>
      <c r="R865" s="264">
        <v>0</v>
      </c>
      <c r="S865" s="60">
        <v>186000</v>
      </c>
      <c r="T865" s="60">
        <v>0</v>
      </c>
    </row>
    <row r="866" spans="1:20">
      <c r="A866" t="s">
        <v>18609</v>
      </c>
      <c r="B866" s="262">
        <v>44531</v>
      </c>
      <c r="C866" t="s">
        <v>17284</v>
      </c>
      <c r="D866" t="s">
        <v>18383</v>
      </c>
      <c r="E866" s="60">
        <v>0</v>
      </c>
      <c r="F866" s="60">
        <v>30576</v>
      </c>
      <c r="G866" s="60">
        <v>0</v>
      </c>
      <c r="H866" s="60">
        <v>0</v>
      </c>
      <c r="I866" s="60">
        <v>0</v>
      </c>
      <c r="J866" s="60">
        <v>30576</v>
      </c>
      <c r="K866" s="260">
        <v>0</v>
      </c>
      <c r="L866" s="260">
        <v>0</v>
      </c>
      <c r="M866" s="260">
        <v>0</v>
      </c>
      <c r="N866" s="260">
        <v>0</v>
      </c>
      <c r="O866" s="264">
        <v>0</v>
      </c>
      <c r="P866" s="264">
        <v>0</v>
      </c>
      <c r="Q866" s="264">
        <v>0</v>
      </c>
      <c r="R866" s="264">
        <v>30576</v>
      </c>
      <c r="S866" s="60">
        <v>30576</v>
      </c>
      <c r="T866" s="60">
        <v>0</v>
      </c>
    </row>
    <row r="867" spans="1:20">
      <c r="A867" t="s">
        <v>18610</v>
      </c>
      <c r="B867" s="262">
        <v>44531</v>
      </c>
      <c r="C867" t="s">
        <v>17017</v>
      </c>
      <c r="D867" t="s">
        <v>17430</v>
      </c>
      <c r="E867" s="60">
        <v>0</v>
      </c>
      <c r="F867" s="60">
        <v>28448</v>
      </c>
      <c r="G867" s="60">
        <v>0</v>
      </c>
      <c r="H867" s="60">
        <v>0</v>
      </c>
      <c r="I867" s="60">
        <v>0</v>
      </c>
      <c r="J867" s="60">
        <v>28448</v>
      </c>
      <c r="K867" s="260">
        <v>0</v>
      </c>
      <c r="L867" s="260">
        <v>0</v>
      </c>
      <c r="M867" s="260">
        <v>0</v>
      </c>
      <c r="N867" s="260">
        <v>0</v>
      </c>
      <c r="O867" s="264">
        <v>0</v>
      </c>
      <c r="P867" s="264">
        <v>0</v>
      </c>
      <c r="Q867" s="264">
        <v>0</v>
      </c>
      <c r="R867" s="264">
        <v>28448</v>
      </c>
      <c r="S867" s="60">
        <v>28448</v>
      </c>
      <c r="T867" s="60">
        <v>0</v>
      </c>
    </row>
    <row r="868" spans="1:20">
      <c r="A868" t="s">
        <v>18611</v>
      </c>
      <c r="B868" s="262">
        <v>44523</v>
      </c>
      <c r="C868" t="s">
        <v>16904</v>
      </c>
      <c r="D868" t="s">
        <v>16905</v>
      </c>
      <c r="E868" s="60">
        <v>0</v>
      </c>
      <c r="F868" s="60">
        <v>76797.441999999995</v>
      </c>
      <c r="G868" s="60">
        <v>0</v>
      </c>
      <c r="H868" s="60">
        <v>65920.996799999994</v>
      </c>
      <c r="I868" s="60">
        <v>0</v>
      </c>
      <c r="J868" s="60">
        <v>0</v>
      </c>
      <c r="K868" s="260">
        <v>0</v>
      </c>
      <c r="L868" s="260">
        <v>10876.445000000002</v>
      </c>
      <c r="M868" s="260">
        <v>0</v>
      </c>
      <c r="N868" s="260">
        <v>0</v>
      </c>
      <c r="O868" s="264">
        <v>0</v>
      </c>
      <c r="P868" s="264">
        <v>76797.441800000001</v>
      </c>
      <c r="Q868" s="264">
        <v>0</v>
      </c>
      <c r="R868" s="264">
        <v>0</v>
      </c>
      <c r="S868" s="60">
        <v>76797.441800000001</v>
      </c>
      <c r="T868" s="60">
        <v>1.9999999494757503E-4</v>
      </c>
    </row>
    <row r="869" spans="1:20">
      <c r="A869" t="s">
        <v>18612</v>
      </c>
      <c r="B869" s="262">
        <v>44523</v>
      </c>
      <c r="C869" t="s">
        <v>16904</v>
      </c>
      <c r="D869" t="s">
        <v>16905</v>
      </c>
      <c r="E869" s="60">
        <v>0</v>
      </c>
      <c r="F869" s="60">
        <v>76797.441999999995</v>
      </c>
      <c r="G869" s="60">
        <v>0</v>
      </c>
      <c r="H869" s="60">
        <v>65920.996799999994</v>
      </c>
      <c r="I869" s="60">
        <v>0</v>
      </c>
      <c r="J869" s="60">
        <v>0</v>
      </c>
      <c r="K869" s="260">
        <v>0</v>
      </c>
      <c r="L869" s="260">
        <v>10876.445000000002</v>
      </c>
      <c r="M869" s="260">
        <v>0</v>
      </c>
      <c r="N869" s="260">
        <v>0</v>
      </c>
      <c r="O869" s="264">
        <v>0</v>
      </c>
      <c r="P869" s="264">
        <v>76797.441800000001</v>
      </c>
      <c r="Q869" s="264">
        <v>0</v>
      </c>
      <c r="R869" s="264">
        <v>0</v>
      </c>
      <c r="S869" s="60">
        <v>76797.441800000001</v>
      </c>
      <c r="T869" s="60">
        <v>1.9999999494757503E-4</v>
      </c>
    </row>
    <row r="870" spans="1:20">
      <c r="A870" t="s">
        <v>18613</v>
      </c>
      <c r="B870" s="262">
        <v>44523</v>
      </c>
      <c r="C870" t="s">
        <v>16904</v>
      </c>
      <c r="D870" t="s">
        <v>16905</v>
      </c>
      <c r="E870" s="60">
        <v>0</v>
      </c>
      <c r="F870" s="60">
        <v>40525.309000000001</v>
      </c>
      <c r="G870" s="60">
        <v>0</v>
      </c>
      <c r="H870" s="60">
        <v>32960.498399999997</v>
      </c>
      <c r="I870" s="60">
        <v>0</v>
      </c>
      <c r="J870" s="60">
        <v>0</v>
      </c>
      <c r="K870" s="260">
        <v>0</v>
      </c>
      <c r="L870" s="260">
        <v>7564.8110000000015</v>
      </c>
      <c r="M870" s="260">
        <v>0</v>
      </c>
      <c r="N870" s="260">
        <v>0</v>
      </c>
      <c r="O870" s="264">
        <v>0</v>
      </c>
      <c r="P870" s="264">
        <v>40525.309399999998</v>
      </c>
      <c r="Q870" s="264">
        <v>0</v>
      </c>
      <c r="R870" s="264">
        <v>0</v>
      </c>
      <c r="S870" s="60">
        <v>40525.309399999998</v>
      </c>
      <c r="T870" s="60">
        <v>-3.9999999717110768E-4</v>
      </c>
    </row>
    <row r="871" spans="1:20">
      <c r="A871" t="s">
        <v>18614</v>
      </c>
      <c r="B871" s="262">
        <v>44523</v>
      </c>
      <c r="C871" t="s">
        <v>16838</v>
      </c>
      <c r="D871" t="s">
        <v>16839</v>
      </c>
      <c r="E871" s="60">
        <v>0</v>
      </c>
      <c r="F871" s="60">
        <v>170562</v>
      </c>
      <c r="G871" s="60">
        <v>0</v>
      </c>
      <c r="H871" s="60">
        <v>170562</v>
      </c>
      <c r="I871" s="60">
        <v>0</v>
      </c>
      <c r="J871" s="60">
        <v>0</v>
      </c>
      <c r="K871" s="260">
        <v>0</v>
      </c>
      <c r="L871" s="260">
        <v>0</v>
      </c>
      <c r="M871" s="260">
        <v>0</v>
      </c>
      <c r="N871" s="260">
        <v>0</v>
      </c>
      <c r="O871" s="264">
        <v>0</v>
      </c>
      <c r="P871" s="264">
        <v>170562</v>
      </c>
      <c r="Q871" s="264">
        <v>0</v>
      </c>
      <c r="R871" s="264">
        <v>0</v>
      </c>
      <c r="S871" s="60">
        <v>170562</v>
      </c>
      <c r="T871" s="60">
        <v>0</v>
      </c>
    </row>
    <row r="872" spans="1:20">
      <c r="A872" t="s">
        <v>18615</v>
      </c>
      <c r="B872" s="262">
        <v>44531</v>
      </c>
      <c r="C872" t="s">
        <v>16880</v>
      </c>
      <c r="D872" t="s">
        <v>16881</v>
      </c>
      <c r="E872" s="60">
        <v>0</v>
      </c>
      <c r="F872" s="60">
        <v>80373.574000000008</v>
      </c>
      <c r="G872" s="60">
        <v>0</v>
      </c>
      <c r="H872" s="60">
        <v>80373.573749999996</v>
      </c>
      <c r="I872" s="60">
        <v>0</v>
      </c>
      <c r="J872" s="60">
        <v>0</v>
      </c>
      <c r="K872" s="260">
        <v>0</v>
      </c>
      <c r="L872" s="260">
        <v>0</v>
      </c>
      <c r="M872" s="260">
        <v>0</v>
      </c>
      <c r="N872" s="260">
        <v>0</v>
      </c>
      <c r="O872" s="264">
        <v>0</v>
      </c>
      <c r="P872" s="264">
        <v>80373.573749999996</v>
      </c>
      <c r="Q872" s="264">
        <v>0</v>
      </c>
      <c r="R872" s="264">
        <v>0</v>
      </c>
      <c r="S872" s="60">
        <v>80373.573749999996</v>
      </c>
      <c r="T872" s="60">
        <v>2.5000001187436283E-4</v>
      </c>
    </row>
    <row r="873" spans="1:20">
      <c r="A873" t="s">
        <v>18616</v>
      </c>
      <c r="B873" s="262">
        <v>44531</v>
      </c>
      <c r="C873" t="s">
        <v>17017</v>
      </c>
      <c r="D873" t="s">
        <v>17430</v>
      </c>
      <c r="E873" s="60">
        <v>0</v>
      </c>
      <c r="F873" s="60">
        <v>34364.307999999997</v>
      </c>
      <c r="G873" s="60">
        <v>0</v>
      </c>
      <c r="H873" s="60">
        <v>26278.685600000001</v>
      </c>
      <c r="I873" s="60">
        <v>2642.4</v>
      </c>
      <c r="J873" s="60">
        <v>5442.9759999999997</v>
      </c>
      <c r="K873" s="260">
        <v>0</v>
      </c>
      <c r="L873" s="260">
        <v>0</v>
      </c>
      <c r="M873" s="260">
        <v>0</v>
      </c>
      <c r="N873" s="260">
        <v>0</v>
      </c>
      <c r="O873" s="264">
        <v>0</v>
      </c>
      <c r="P873" s="264">
        <v>26278.685600000001</v>
      </c>
      <c r="Q873" s="264">
        <v>2642.4</v>
      </c>
      <c r="R873" s="264">
        <v>5442.9759999999997</v>
      </c>
      <c r="S873" s="60">
        <v>34364.061600000001</v>
      </c>
      <c r="T873" s="60">
        <v>0.2463999999963562</v>
      </c>
    </row>
    <row r="874" spans="1:20">
      <c r="A874" t="s">
        <v>18617</v>
      </c>
      <c r="B874" s="262">
        <v>44531</v>
      </c>
      <c r="C874" t="s">
        <v>16470</v>
      </c>
      <c r="D874" t="s">
        <v>16471</v>
      </c>
      <c r="E874" s="60">
        <v>0</v>
      </c>
      <c r="F874" s="60">
        <v>314511.43800000002</v>
      </c>
      <c r="G874" s="60">
        <v>25852.890599999999</v>
      </c>
      <c r="H874" s="60">
        <v>227819.920338</v>
      </c>
      <c r="I874" s="60">
        <v>0</v>
      </c>
      <c r="J874" s="60">
        <v>0</v>
      </c>
      <c r="K874" s="260">
        <v>5516.991802312401</v>
      </c>
      <c r="L874" s="260">
        <v>55321.635297687601</v>
      </c>
      <c r="M874" s="260">
        <v>0</v>
      </c>
      <c r="N874" s="260">
        <v>0</v>
      </c>
      <c r="O874" s="264">
        <v>31369.8824023124</v>
      </c>
      <c r="P874" s="264">
        <v>283141.5556356876</v>
      </c>
      <c r="Q874" s="264">
        <v>0</v>
      </c>
      <c r="R874" s="264">
        <v>0</v>
      </c>
      <c r="S874" s="60">
        <v>314511.43803800002</v>
      </c>
      <c r="T874" s="60">
        <v>-3.7999998312443495E-5</v>
      </c>
    </row>
    <row r="875" spans="1:20">
      <c r="A875" t="s">
        <v>18618</v>
      </c>
      <c r="B875" s="262">
        <v>44531</v>
      </c>
      <c r="C875" t="s">
        <v>16838</v>
      </c>
      <c r="D875" t="s">
        <v>16839</v>
      </c>
      <c r="E875" s="60">
        <v>0</v>
      </c>
      <c r="F875" s="60">
        <v>103530</v>
      </c>
      <c r="G875" s="60">
        <v>0</v>
      </c>
      <c r="H875" s="60">
        <v>0</v>
      </c>
      <c r="I875" s="60">
        <v>103530</v>
      </c>
      <c r="J875" s="60">
        <v>0</v>
      </c>
      <c r="K875" s="260">
        <v>0</v>
      </c>
      <c r="L875" s="260">
        <v>0</v>
      </c>
      <c r="M875" s="260">
        <v>0</v>
      </c>
      <c r="N875" s="260">
        <v>0</v>
      </c>
      <c r="O875" s="264">
        <v>0</v>
      </c>
      <c r="P875" s="264">
        <v>0</v>
      </c>
      <c r="Q875" s="264">
        <v>103530</v>
      </c>
      <c r="R875" s="264">
        <v>0</v>
      </c>
      <c r="S875" s="60">
        <v>103530</v>
      </c>
      <c r="T875" s="60">
        <v>0</v>
      </c>
    </row>
    <row r="876" spans="1:20">
      <c r="A876" t="s">
        <v>18619</v>
      </c>
      <c r="B876" s="262">
        <v>44531</v>
      </c>
      <c r="C876" t="s">
        <v>16838</v>
      </c>
      <c r="D876" t="s">
        <v>16839</v>
      </c>
      <c r="E876" s="60">
        <v>0</v>
      </c>
      <c r="F876" s="60">
        <v>231998.4</v>
      </c>
      <c r="G876" s="60">
        <v>105638.39999999999</v>
      </c>
      <c r="H876" s="60">
        <v>126360</v>
      </c>
      <c r="I876" s="60">
        <v>0</v>
      </c>
      <c r="J876" s="60">
        <v>0</v>
      </c>
      <c r="K876" s="260">
        <v>0</v>
      </c>
      <c r="L876" s="260">
        <v>0</v>
      </c>
      <c r="M876" s="260">
        <v>0</v>
      </c>
      <c r="N876" s="260">
        <v>0</v>
      </c>
      <c r="O876" s="264">
        <v>105638.39999999999</v>
      </c>
      <c r="P876" s="264">
        <v>126360</v>
      </c>
      <c r="Q876" s="264">
        <v>0</v>
      </c>
      <c r="R876" s="264">
        <v>0</v>
      </c>
      <c r="S876" s="60">
        <v>231998.4</v>
      </c>
      <c r="T876" s="60">
        <v>0</v>
      </c>
    </row>
    <row r="877" spans="1:20">
      <c r="A877" t="s">
        <v>18620</v>
      </c>
      <c r="B877" s="262">
        <v>44531</v>
      </c>
      <c r="C877" t="s">
        <v>17302</v>
      </c>
      <c r="D877" t="s">
        <v>18621</v>
      </c>
      <c r="E877" s="60">
        <v>0</v>
      </c>
      <c r="F877" s="60">
        <v>168276.467</v>
      </c>
      <c r="G877" s="60">
        <v>0</v>
      </c>
      <c r="H877" s="60">
        <v>108673.07639999999</v>
      </c>
      <c r="I877" s="60">
        <v>22443.974999999995</v>
      </c>
      <c r="J877" s="60">
        <v>37159.415999999997</v>
      </c>
      <c r="K877" s="260">
        <v>0</v>
      </c>
      <c r="L877" s="260">
        <v>0</v>
      </c>
      <c r="M877" s="260">
        <v>0</v>
      </c>
      <c r="N877" s="260">
        <v>0</v>
      </c>
      <c r="O877" s="264">
        <v>0</v>
      </c>
      <c r="P877" s="264">
        <v>108673.07639999999</v>
      </c>
      <c r="Q877" s="264">
        <v>22443.974999999995</v>
      </c>
      <c r="R877" s="264">
        <v>37159.415999999997</v>
      </c>
      <c r="S877" s="60">
        <v>168276.46739999999</v>
      </c>
      <c r="T877" s="60">
        <v>-3.9999998989515007E-4</v>
      </c>
    </row>
    <row r="878" spans="1:20">
      <c r="A878" t="s">
        <v>18622</v>
      </c>
      <c r="B878" s="262">
        <v>44533</v>
      </c>
      <c r="C878" t="s">
        <v>16444</v>
      </c>
      <c r="D878" t="s">
        <v>16445</v>
      </c>
      <c r="E878" s="60">
        <v>0</v>
      </c>
      <c r="F878" s="60">
        <v>34944</v>
      </c>
      <c r="G878" s="60">
        <v>34944</v>
      </c>
      <c r="H878" s="60">
        <v>0</v>
      </c>
      <c r="I878" s="60">
        <v>0</v>
      </c>
      <c r="J878" s="60">
        <v>0</v>
      </c>
      <c r="K878" s="260">
        <v>0</v>
      </c>
      <c r="L878" s="260">
        <v>0</v>
      </c>
      <c r="M878" s="260">
        <v>0</v>
      </c>
      <c r="N878" s="260">
        <v>0</v>
      </c>
      <c r="O878" s="264">
        <v>34944</v>
      </c>
      <c r="P878" s="264">
        <v>0</v>
      </c>
      <c r="Q878" s="264">
        <v>0</v>
      </c>
      <c r="R878" s="264">
        <v>0</v>
      </c>
      <c r="S878" s="60">
        <v>34944</v>
      </c>
      <c r="T878" s="60">
        <v>0</v>
      </c>
    </row>
    <row r="879" spans="1:20">
      <c r="A879" t="s">
        <v>18623</v>
      </c>
      <c r="B879" s="262">
        <v>44534</v>
      </c>
      <c r="C879" t="s">
        <v>16444</v>
      </c>
      <c r="D879" t="s">
        <v>16445</v>
      </c>
      <c r="E879" s="60">
        <v>0</v>
      </c>
      <c r="F879" s="60">
        <v>34368</v>
      </c>
      <c r="G879" s="60">
        <v>34368</v>
      </c>
      <c r="H879" s="60">
        <v>0</v>
      </c>
      <c r="I879" s="60">
        <v>0</v>
      </c>
      <c r="J879" s="60">
        <v>0</v>
      </c>
      <c r="K879" s="260">
        <v>0</v>
      </c>
      <c r="L879" s="260">
        <v>0</v>
      </c>
      <c r="M879" s="260">
        <v>0</v>
      </c>
      <c r="N879" s="260">
        <v>0</v>
      </c>
      <c r="O879" s="264">
        <v>34368</v>
      </c>
      <c r="P879" s="264">
        <v>0</v>
      </c>
      <c r="Q879" s="264">
        <v>0</v>
      </c>
      <c r="R879" s="264">
        <v>0</v>
      </c>
      <c r="S879" s="60">
        <v>34368</v>
      </c>
      <c r="T879" s="60">
        <v>0</v>
      </c>
    </row>
    <row r="880" spans="1:20">
      <c r="A880" t="s">
        <v>18624</v>
      </c>
      <c r="B880" s="262">
        <v>44537</v>
      </c>
      <c r="C880" t="s">
        <v>16904</v>
      </c>
      <c r="D880" t="s">
        <v>16905</v>
      </c>
      <c r="E880" s="60">
        <v>0</v>
      </c>
      <c r="F880" s="60">
        <v>94315.011999999988</v>
      </c>
      <c r="G880" s="60">
        <v>0</v>
      </c>
      <c r="H880" s="60">
        <v>49663.553544000002</v>
      </c>
      <c r="I880" s="60">
        <v>33750.223559999999</v>
      </c>
      <c r="J880" s="60">
        <v>0</v>
      </c>
      <c r="K880" s="260">
        <v>0</v>
      </c>
      <c r="L880" s="260">
        <v>6474.701911764706</v>
      </c>
      <c r="M880" s="260">
        <v>4426.5330882352946</v>
      </c>
      <c r="N880" s="260">
        <v>0</v>
      </c>
      <c r="O880" s="264">
        <v>0</v>
      </c>
      <c r="P880" s="264">
        <v>56138.255455764709</v>
      </c>
      <c r="Q880" s="264">
        <v>38176.756648235292</v>
      </c>
      <c r="R880" s="264">
        <v>0</v>
      </c>
      <c r="S880" s="60">
        <v>94315.012103999994</v>
      </c>
      <c r="T880" s="60">
        <v>-1.0400000610388815E-4</v>
      </c>
    </row>
    <row r="881" spans="1:20">
      <c r="A881" t="s">
        <v>18625</v>
      </c>
      <c r="B881" s="262">
        <v>44537</v>
      </c>
      <c r="C881" t="s">
        <v>16838</v>
      </c>
      <c r="D881" t="s">
        <v>16839</v>
      </c>
      <c r="E881" s="60">
        <v>0</v>
      </c>
      <c r="F881" s="60">
        <v>281922.48</v>
      </c>
      <c r="G881" s="60">
        <v>0</v>
      </c>
      <c r="H881" s="60">
        <v>281922.48</v>
      </c>
      <c r="I881" s="60">
        <v>0</v>
      </c>
      <c r="J881" s="60">
        <v>0</v>
      </c>
      <c r="K881" s="260">
        <v>0</v>
      </c>
      <c r="L881" s="260">
        <v>0</v>
      </c>
      <c r="M881" s="260">
        <v>0</v>
      </c>
      <c r="N881" s="260">
        <v>0</v>
      </c>
      <c r="O881" s="264">
        <v>0</v>
      </c>
      <c r="P881" s="264">
        <v>281922.48</v>
      </c>
      <c r="Q881" s="264">
        <v>0</v>
      </c>
      <c r="R881" s="264">
        <v>0</v>
      </c>
      <c r="S881" s="60">
        <v>281922.48</v>
      </c>
      <c r="T881" s="60">
        <v>0</v>
      </c>
    </row>
    <row r="882" spans="1:20">
      <c r="A882" t="s">
        <v>18626</v>
      </c>
      <c r="B882" s="262">
        <v>44537</v>
      </c>
      <c r="C882" t="s">
        <v>16444</v>
      </c>
      <c r="D882" t="s">
        <v>16445</v>
      </c>
      <c r="E882" s="60">
        <v>0</v>
      </c>
      <c r="F882" s="60">
        <v>34944</v>
      </c>
      <c r="G882" s="60">
        <v>34944</v>
      </c>
      <c r="H882" s="60">
        <v>0</v>
      </c>
      <c r="I882" s="60">
        <v>0</v>
      </c>
      <c r="J882" s="60">
        <v>0</v>
      </c>
      <c r="K882" s="260">
        <v>0</v>
      </c>
      <c r="L882" s="260">
        <v>0</v>
      </c>
      <c r="M882" s="260">
        <v>0</v>
      </c>
      <c r="N882" s="260">
        <v>0</v>
      </c>
      <c r="O882" s="264">
        <v>34944</v>
      </c>
      <c r="P882" s="264">
        <v>0</v>
      </c>
      <c r="Q882" s="264">
        <v>0</v>
      </c>
      <c r="R882" s="264">
        <v>0</v>
      </c>
      <c r="S882" s="60">
        <v>34944</v>
      </c>
      <c r="T882" s="60">
        <v>0</v>
      </c>
    </row>
    <row r="883" spans="1:20">
      <c r="A883" t="s">
        <v>18627</v>
      </c>
      <c r="B883" s="262">
        <v>44543</v>
      </c>
      <c r="C883" t="s">
        <v>16783</v>
      </c>
      <c r="D883" t="s">
        <v>17509</v>
      </c>
      <c r="E883" s="60">
        <v>0</v>
      </c>
      <c r="F883" s="60">
        <v>310471.92499999999</v>
      </c>
      <c r="G883" s="60">
        <v>0</v>
      </c>
      <c r="H883" s="60">
        <v>0</v>
      </c>
      <c r="I883" s="60">
        <v>0</v>
      </c>
      <c r="J883" s="60">
        <v>310476.25350000005</v>
      </c>
      <c r="K883" s="260">
        <v>0</v>
      </c>
      <c r="L883" s="260">
        <v>0</v>
      </c>
      <c r="M883" s="260">
        <v>0</v>
      </c>
      <c r="N883" s="260">
        <v>0</v>
      </c>
      <c r="O883" s="264">
        <v>0</v>
      </c>
      <c r="P883" s="264">
        <v>0</v>
      </c>
      <c r="Q883" s="264">
        <v>0</v>
      </c>
      <c r="R883" s="264">
        <v>310476.25350000005</v>
      </c>
      <c r="S883" s="60">
        <v>310476.25350000005</v>
      </c>
      <c r="T883" s="60">
        <v>-4.3285000000614673</v>
      </c>
    </row>
    <row r="884" spans="1:20">
      <c r="A884" t="s">
        <v>18628</v>
      </c>
      <c r="B884" s="262">
        <v>44543</v>
      </c>
      <c r="C884" t="s">
        <v>17259</v>
      </c>
      <c r="D884" t="s">
        <v>17260</v>
      </c>
      <c r="E884" s="60">
        <v>0</v>
      </c>
      <c r="F884" s="60">
        <v>126613.86199999999</v>
      </c>
      <c r="G884" s="60">
        <v>0</v>
      </c>
      <c r="H884" s="60">
        <v>120582.98559999999</v>
      </c>
      <c r="I884" s="60">
        <v>0</v>
      </c>
      <c r="J884" s="60">
        <v>6030.8765000000003</v>
      </c>
      <c r="K884" s="260">
        <v>0</v>
      </c>
      <c r="L884" s="260">
        <v>0</v>
      </c>
      <c r="M884" s="260">
        <v>0</v>
      </c>
      <c r="N884" s="260">
        <v>0</v>
      </c>
      <c r="O884" s="264">
        <v>0</v>
      </c>
      <c r="P884" s="264">
        <v>120582.98559999999</v>
      </c>
      <c r="Q884" s="264">
        <v>0</v>
      </c>
      <c r="R884" s="264">
        <v>6030.8765000000003</v>
      </c>
      <c r="S884" s="60">
        <v>126613.86209999998</v>
      </c>
      <c r="T884" s="60">
        <v>-9.9999990197829902E-5</v>
      </c>
    </row>
    <row r="885" spans="1:20">
      <c r="A885" t="s">
        <v>18629</v>
      </c>
      <c r="B885" s="262">
        <v>44543</v>
      </c>
      <c r="C885" t="s">
        <v>16972</v>
      </c>
      <c r="D885" t="s">
        <v>17424</v>
      </c>
      <c r="E885" s="60">
        <v>0</v>
      </c>
      <c r="F885" s="60">
        <v>501200</v>
      </c>
      <c r="G885" s="60">
        <v>0</v>
      </c>
      <c r="H885" s="60">
        <v>0</v>
      </c>
      <c r="I885" s="60">
        <v>501200</v>
      </c>
      <c r="J885" s="60">
        <v>0</v>
      </c>
      <c r="K885" s="260">
        <v>0</v>
      </c>
      <c r="L885" s="260">
        <v>0</v>
      </c>
      <c r="M885" s="260">
        <v>0</v>
      </c>
      <c r="N885" s="260">
        <v>0</v>
      </c>
      <c r="O885" s="264">
        <v>0</v>
      </c>
      <c r="P885" s="264">
        <v>0</v>
      </c>
      <c r="Q885" s="264">
        <v>501200</v>
      </c>
      <c r="R885" s="264">
        <v>0</v>
      </c>
      <c r="S885" s="60">
        <v>501200</v>
      </c>
      <c r="T885" s="60">
        <v>0</v>
      </c>
    </row>
    <row r="886" spans="1:20">
      <c r="A886" t="s">
        <v>18630</v>
      </c>
      <c r="B886" s="262">
        <v>44544</v>
      </c>
      <c r="C886" t="s">
        <v>17299</v>
      </c>
      <c r="D886" t="s">
        <v>18631</v>
      </c>
      <c r="E886" s="60">
        <v>0</v>
      </c>
      <c r="F886" s="60">
        <v>272482.56</v>
      </c>
      <c r="G886" s="60">
        <v>272482.56</v>
      </c>
      <c r="H886" s="60">
        <v>0</v>
      </c>
      <c r="I886" s="60">
        <v>0</v>
      </c>
      <c r="J886" s="60">
        <v>0</v>
      </c>
      <c r="K886" s="260">
        <v>0</v>
      </c>
      <c r="L886" s="260">
        <v>0</v>
      </c>
      <c r="M886" s="260">
        <v>0</v>
      </c>
      <c r="N886" s="260">
        <v>0</v>
      </c>
      <c r="O886" s="264">
        <v>272482.56</v>
      </c>
      <c r="P886" s="264">
        <v>0</v>
      </c>
      <c r="Q886" s="264">
        <v>0</v>
      </c>
      <c r="R886" s="264">
        <v>0</v>
      </c>
      <c r="S886" s="60">
        <v>272482.56</v>
      </c>
      <c r="T886" s="60">
        <v>0</v>
      </c>
    </row>
    <row r="887" spans="1:20">
      <c r="A887" t="s">
        <v>18632</v>
      </c>
      <c r="B887" s="262">
        <v>44545</v>
      </c>
      <c r="C887" t="s">
        <v>16972</v>
      </c>
      <c r="D887" t="s">
        <v>17424</v>
      </c>
      <c r="E887" s="60">
        <v>0</v>
      </c>
      <c r="F887" s="60">
        <v>501200</v>
      </c>
      <c r="G887" s="60">
        <v>0</v>
      </c>
      <c r="H887" s="60">
        <v>0</v>
      </c>
      <c r="I887" s="60">
        <v>501200</v>
      </c>
      <c r="J887" s="60">
        <v>0</v>
      </c>
      <c r="K887" s="260">
        <v>0</v>
      </c>
      <c r="L887" s="260">
        <v>0</v>
      </c>
      <c r="M887" s="260">
        <v>0</v>
      </c>
      <c r="N887" s="260">
        <v>0</v>
      </c>
      <c r="O887" s="264">
        <v>0</v>
      </c>
      <c r="P887" s="264">
        <v>0</v>
      </c>
      <c r="Q887" s="264">
        <v>501200</v>
      </c>
      <c r="R887" s="264">
        <v>0</v>
      </c>
      <c r="S887" s="60">
        <v>501200</v>
      </c>
      <c r="T887" s="60">
        <v>0</v>
      </c>
    </row>
    <row r="888" spans="1:20">
      <c r="A888" t="s">
        <v>18633</v>
      </c>
      <c r="B888" s="262">
        <v>44545</v>
      </c>
      <c r="C888" t="s">
        <v>16972</v>
      </c>
      <c r="D888" t="s">
        <v>17424</v>
      </c>
      <c r="E888" s="60">
        <v>0</v>
      </c>
      <c r="F888" s="60">
        <v>501200</v>
      </c>
      <c r="G888" s="60">
        <v>0</v>
      </c>
      <c r="H888" s="60">
        <v>0</v>
      </c>
      <c r="I888" s="60">
        <v>501200</v>
      </c>
      <c r="J888" s="60">
        <v>0</v>
      </c>
      <c r="K888" s="260">
        <v>0</v>
      </c>
      <c r="L888" s="260">
        <v>0</v>
      </c>
      <c r="M888" s="260">
        <v>0</v>
      </c>
      <c r="N888" s="260">
        <v>0</v>
      </c>
      <c r="O888" s="264">
        <v>0</v>
      </c>
      <c r="P888" s="264">
        <v>0</v>
      </c>
      <c r="Q888" s="264">
        <v>501200</v>
      </c>
      <c r="R888" s="264">
        <v>0</v>
      </c>
      <c r="S888" s="60">
        <v>501200</v>
      </c>
      <c r="T888" s="60">
        <v>0</v>
      </c>
    </row>
    <row r="889" spans="1:20">
      <c r="A889" t="s">
        <v>18634</v>
      </c>
      <c r="B889" s="262">
        <v>44546</v>
      </c>
      <c r="C889" t="s">
        <v>17209</v>
      </c>
      <c r="D889" t="s">
        <v>17210</v>
      </c>
      <c r="E889" s="60">
        <v>0</v>
      </c>
      <c r="F889" s="60">
        <v>32359.113999999998</v>
      </c>
      <c r="G889" s="60">
        <v>28317.7278744</v>
      </c>
      <c r="H889" s="60">
        <v>0</v>
      </c>
      <c r="I889" s="60">
        <v>0</v>
      </c>
      <c r="J889" s="60">
        <v>0</v>
      </c>
      <c r="K889" s="260">
        <v>4041.3861580000003</v>
      </c>
      <c r="L889" s="260">
        <v>0</v>
      </c>
      <c r="M889" s="260">
        <v>0</v>
      </c>
      <c r="N889" s="260">
        <v>0</v>
      </c>
      <c r="O889" s="264">
        <v>32359.114032400001</v>
      </c>
      <c r="P889" s="264">
        <v>0</v>
      </c>
      <c r="Q889" s="264">
        <v>0</v>
      </c>
      <c r="R889" s="264">
        <v>0</v>
      </c>
      <c r="S889" s="60">
        <v>32359.114032400001</v>
      </c>
      <c r="T889" s="60">
        <v>-3.2400002965005115E-5</v>
      </c>
    </row>
    <row r="890" spans="1:20">
      <c r="A890" t="s">
        <v>18635</v>
      </c>
      <c r="B890" s="262">
        <v>44565</v>
      </c>
      <c r="C890" t="s">
        <v>17017</v>
      </c>
      <c r="D890" t="s">
        <v>17430</v>
      </c>
      <c r="E890" s="60">
        <v>0</v>
      </c>
      <c r="F890" s="60">
        <v>8811.6</v>
      </c>
      <c r="G890" s="60">
        <v>0</v>
      </c>
      <c r="H890" s="60">
        <v>6123.6</v>
      </c>
      <c r="I890" s="60">
        <v>0</v>
      </c>
      <c r="J890" s="60">
        <v>2688</v>
      </c>
      <c r="K890" s="260">
        <v>0</v>
      </c>
      <c r="L890" s="260">
        <v>0</v>
      </c>
      <c r="M890" s="260">
        <v>0</v>
      </c>
      <c r="N890" s="260">
        <v>0</v>
      </c>
      <c r="O890" s="264">
        <v>0</v>
      </c>
      <c r="P890" s="264">
        <v>6123.6</v>
      </c>
      <c r="Q890" s="264">
        <v>0</v>
      </c>
      <c r="R890" s="264">
        <v>2688</v>
      </c>
      <c r="S890" s="60">
        <v>8811.6</v>
      </c>
      <c r="T890" s="60">
        <v>0</v>
      </c>
    </row>
    <row r="891" spans="1:20">
      <c r="A891" t="s">
        <v>18636</v>
      </c>
      <c r="B891" s="262">
        <v>44565</v>
      </c>
      <c r="C891" t="s">
        <v>17281</v>
      </c>
      <c r="D891" t="s">
        <v>18381</v>
      </c>
      <c r="E891" s="60">
        <v>0</v>
      </c>
      <c r="F891" s="60">
        <v>73920</v>
      </c>
      <c r="G891" s="60">
        <v>0</v>
      </c>
      <c r="H891" s="60">
        <v>0</v>
      </c>
      <c r="I891" s="60">
        <v>0</v>
      </c>
      <c r="J891" s="60">
        <v>73920</v>
      </c>
      <c r="K891" s="260">
        <v>0</v>
      </c>
      <c r="L891" s="260">
        <v>0</v>
      </c>
      <c r="M891" s="260">
        <v>0</v>
      </c>
      <c r="N891" s="260">
        <v>0</v>
      </c>
      <c r="O891" s="264">
        <v>0</v>
      </c>
      <c r="P891" s="264">
        <v>0</v>
      </c>
      <c r="Q891" s="264">
        <v>0</v>
      </c>
      <c r="R891" s="264">
        <v>73920</v>
      </c>
      <c r="S891" s="60">
        <v>73920</v>
      </c>
      <c r="T891" s="60">
        <v>0</v>
      </c>
    </row>
    <row r="892" spans="1:20">
      <c r="A892" t="s">
        <v>18637</v>
      </c>
      <c r="B892" s="262">
        <v>44566</v>
      </c>
      <c r="C892" t="s">
        <v>16444</v>
      </c>
      <c r="D892" t="s">
        <v>16445</v>
      </c>
      <c r="E892" s="60">
        <v>0</v>
      </c>
      <c r="F892" s="60">
        <v>36312.5</v>
      </c>
      <c r="G892" s="60">
        <v>36312.5</v>
      </c>
      <c r="H892" s="60">
        <v>0</v>
      </c>
      <c r="I892" s="60">
        <v>0</v>
      </c>
      <c r="J892" s="60">
        <v>0</v>
      </c>
      <c r="K892" s="260">
        <v>0</v>
      </c>
      <c r="L892" s="260">
        <v>0</v>
      </c>
      <c r="M892" s="260">
        <v>0</v>
      </c>
      <c r="N892" s="260">
        <v>0</v>
      </c>
      <c r="O892" s="264">
        <v>36312.5</v>
      </c>
      <c r="P892" s="264">
        <v>0</v>
      </c>
      <c r="Q892" s="264">
        <v>0</v>
      </c>
      <c r="R892" s="264">
        <v>0</v>
      </c>
      <c r="S892" s="60">
        <v>36312.5</v>
      </c>
      <c r="T892" s="60">
        <v>0</v>
      </c>
    </row>
    <row r="893" spans="1:20">
      <c r="A893" t="s">
        <v>18638</v>
      </c>
      <c r="B893" s="262">
        <v>44568</v>
      </c>
      <c r="C893" t="s">
        <v>16444</v>
      </c>
      <c r="D893" t="s">
        <v>16445</v>
      </c>
      <c r="E893" s="60">
        <v>0</v>
      </c>
      <c r="F893" s="60">
        <v>73257.36</v>
      </c>
      <c r="G893" s="60">
        <v>73257.36</v>
      </c>
      <c r="H893" s="60">
        <v>0</v>
      </c>
      <c r="I893" s="60">
        <v>0</v>
      </c>
      <c r="J893" s="60">
        <v>0</v>
      </c>
      <c r="K893" s="260">
        <v>0</v>
      </c>
      <c r="L893" s="260">
        <v>0</v>
      </c>
      <c r="M893" s="260">
        <v>0</v>
      </c>
      <c r="N893" s="260">
        <v>0</v>
      </c>
      <c r="O893" s="264">
        <v>73257.36</v>
      </c>
      <c r="P893" s="264">
        <v>0</v>
      </c>
      <c r="Q893" s="264">
        <v>0</v>
      </c>
      <c r="R893" s="264">
        <v>0</v>
      </c>
      <c r="S893" s="60">
        <v>73257.36</v>
      </c>
      <c r="T893" s="60">
        <v>0</v>
      </c>
    </row>
    <row r="894" spans="1:20">
      <c r="A894" t="s">
        <v>18639</v>
      </c>
      <c r="B894" s="262">
        <v>44593</v>
      </c>
      <c r="C894" t="s">
        <v>17119</v>
      </c>
      <c r="D894" t="s">
        <v>17120</v>
      </c>
      <c r="E894" s="60">
        <v>0</v>
      </c>
      <c r="F894" s="60">
        <v>320114.68900000001</v>
      </c>
      <c r="G894" s="60">
        <v>99097.344000000026</v>
      </c>
      <c r="H894" s="60">
        <v>175965.1452</v>
      </c>
      <c r="I894" s="60">
        <v>0</v>
      </c>
      <c r="J894" s="60">
        <v>0</v>
      </c>
      <c r="K894" s="260">
        <v>15650.484</v>
      </c>
      <c r="L894" s="260">
        <v>29401.716</v>
      </c>
      <c r="M894" s="260">
        <v>0</v>
      </c>
      <c r="N894" s="260">
        <v>0</v>
      </c>
      <c r="O894" s="264">
        <v>114747.82800000002</v>
      </c>
      <c r="P894" s="264">
        <v>205366.86119999998</v>
      </c>
      <c r="Q894" s="264">
        <v>0</v>
      </c>
      <c r="R894" s="264">
        <v>0</v>
      </c>
      <c r="S894" s="60">
        <v>320114.68920000002</v>
      </c>
      <c r="T894" s="60">
        <v>-2.0000000949949026E-4</v>
      </c>
    </row>
    <row r="895" spans="1:20">
      <c r="A895" t="s">
        <v>18640</v>
      </c>
      <c r="B895" s="262">
        <v>44572</v>
      </c>
      <c r="C895" t="s">
        <v>16384</v>
      </c>
      <c r="D895" t="s">
        <v>16385</v>
      </c>
      <c r="E895" s="60">
        <v>0</v>
      </c>
      <c r="F895" s="60">
        <v>46200</v>
      </c>
      <c r="G895" s="60">
        <v>0</v>
      </c>
      <c r="H895" s="60">
        <v>46200</v>
      </c>
      <c r="I895" s="60">
        <v>0</v>
      </c>
      <c r="J895" s="60">
        <v>0</v>
      </c>
      <c r="K895" s="260">
        <v>0</v>
      </c>
      <c r="L895" s="260">
        <v>0</v>
      </c>
      <c r="M895" s="260">
        <v>0</v>
      </c>
      <c r="N895" s="260">
        <v>0</v>
      </c>
      <c r="O895" s="264">
        <v>0</v>
      </c>
      <c r="P895" s="264">
        <v>46200</v>
      </c>
      <c r="Q895" s="264">
        <v>0</v>
      </c>
      <c r="R895" s="264">
        <v>0</v>
      </c>
      <c r="S895" s="60">
        <v>46200</v>
      </c>
      <c r="T895" s="60">
        <v>0</v>
      </c>
    </row>
    <row r="896" spans="1:20">
      <c r="A896" t="s">
        <v>18641</v>
      </c>
      <c r="B896" s="262">
        <v>44573</v>
      </c>
      <c r="C896" t="s">
        <v>17017</v>
      </c>
      <c r="D896" t="s">
        <v>17430</v>
      </c>
      <c r="E896" s="60">
        <v>0</v>
      </c>
      <c r="F896" s="60">
        <v>61000</v>
      </c>
      <c r="G896" s="60">
        <v>0</v>
      </c>
      <c r="H896" s="60">
        <v>61000</v>
      </c>
      <c r="I896" s="60">
        <v>0</v>
      </c>
      <c r="J896" s="60">
        <v>0</v>
      </c>
      <c r="K896" s="260">
        <v>0</v>
      </c>
      <c r="L896" s="260">
        <v>0</v>
      </c>
      <c r="M896" s="260">
        <v>0</v>
      </c>
      <c r="N896" s="260">
        <v>0</v>
      </c>
      <c r="O896" s="264">
        <v>0</v>
      </c>
      <c r="P896" s="264">
        <v>61000</v>
      </c>
      <c r="Q896" s="264">
        <v>0</v>
      </c>
      <c r="R896" s="264">
        <v>0</v>
      </c>
      <c r="S896" s="60">
        <v>61000</v>
      </c>
      <c r="T896" s="60">
        <v>0</v>
      </c>
    </row>
    <row r="897" spans="1:20">
      <c r="A897" t="s">
        <v>18642</v>
      </c>
      <c r="B897" s="262">
        <v>44574</v>
      </c>
      <c r="C897" t="s">
        <v>16972</v>
      </c>
      <c r="D897" t="s">
        <v>17424</v>
      </c>
      <c r="E897" s="60">
        <v>0</v>
      </c>
      <c r="F897" s="60">
        <v>501200</v>
      </c>
      <c r="G897" s="60">
        <v>0</v>
      </c>
      <c r="H897" s="60">
        <v>0</v>
      </c>
      <c r="I897" s="60">
        <v>501200</v>
      </c>
      <c r="J897" s="60">
        <v>0</v>
      </c>
      <c r="K897" s="260">
        <v>0</v>
      </c>
      <c r="L897" s="260">
        <v>0</v>
      </c>
      <c r="M897" s="260">
        <v>0</v>
      </c>
      <c r="N897" s="260">
        <v>0</v>
      </c>
      <c r="O897" s="264">
        <v>0</v>
      </c>
      <c r="P897" s="264">
        <v>0</v>
      </c>
      <c r="Q897" s="264">
        <v>501200</v>
      </c>
      <c r="R897" s="264">
        <v>0</v>
      </c>
      <c r="S897" s="60">
        <v>501200</v>
      </c>
      <c r="T897" s="60">
        <v>0</v>
      </c>
    </row>
    <row r="898" spans="1:20">
      <c r="A898" t="s">
        <v>18643</v>
      </c>
      <c r="B898" s="262">
        <v>44593</v>
      </c>
      <c r="C898" t="s">
        <v>16972</v>
      </c>
      <c r="D898" t="s">
        <v>17424</v>
      </c>
      <c r="E898" s="60">
        <v>0</v>
      </c>
      <c r="F898" s="60">
        <v>501200</v>
      </c>
      <c r="G898" s="60">
        <v>0</v>
      </c>
      <c r="H898" s="60">
        <v>0</v>
      </c>
      <c r="I898" s="60">
        <v>501200</v>
      </c>
      <c r="J898" s="60">
        <v>0</v>
      </c>
      <c r="K898" s="260">
        <v>0</v>
      </c>
      <c r="L898" s="260">
        <v>0</v>
      </c>
      <c r="M898" s="260">
        <v>0</v>
      </c>
      <c r="N898" s="260">
        <v>0</v>
      </c>
      <c r="O898" s="264">
        <v>0</v>
      </c>
      <c r="P898" s="264">
        <v>0</v>
      </c>
      <c r="Q898" s="264">
        <v>501200</v>
      </c>
      <c r="R898" s="264">
        <v>0</v>
      </c>
      <c r="S898" s="60">
        <v>501200</v>
      </c>
      <c r="T898" s="60">
        <v>0</v>
      </c>
    </row>
    <row r="899" spans="1:20">
      <c r="A899" t="s">
        <v>18644</v>
      </c>
      <c r="B899" s="262">
        <v>44574</v>
      </c>
      <c r="C899" t="s">
        <v>17233</v>
      </c>
      <c r="D899" t="s">
        <v>17234</v>
      </c>
      <c r="E899" s="60">
        <v>0</v>
      </c>
      <c r="F899" s="60">
        <v>494704.77</v>
      </c>
      <c r="G899" s="60">
        <v>0</v>
      </c>
      <c r="H899" s="60">
        <v>346327.26161280001</v>
      </c>
      <c r="I899" s="60">
        <v>148377.50838719998</v>
      </c>
      <c r="J899" s="60">
        <v>0</v>
      </c>
      <c r="K899" s="260">
        <v>0</v>
      </c>
      <c r="L899" s="260">
        <v>0</v>
      </c>
      <c r="M899" s="260">
        <v>0</v>
      </c>
      <c r="N899" s="260">
        <v>0</v>
      </c>
      <c r="O899" s="264">
        <v>0</v>
      </c>
      <c r="P899" s="264">
        <v>346327.26161280001</v>
      </c>
      <c r="Q899" s="264">
        <v>148377.50838719998</v>
      </c>
      <c r="R899" s="264">
        <v>0</v>
      </c>
      <c r="S899" s="60">
        <v>494704.77</v>
      </c>
      <c r="T899" s="60">
        <v>0</v>
      </c>
    </row>
    <row r="900" spans="1:20">
      <c r="A900" t="s">
        <v>18645</v>
      </c>
      <c r="B900" s="262">
        <v>44593</v>
      </c>
      <c r="C900" t="s">
        <v>16957</v>
      </c>
      <c r="D900" t="s">
        <v>17451</v>
      </c>
      <c r="E900" s="60">
        <v>0</v>
      </c>
      <c r="F900" s="60">
        <v>132568.1</v>
      </c>
      <c r="G900" s="60">
        <v>132568.1</v>
      </c>
      <c r="H900" s="60">
        <v>0</v>
      </c>
      <c r="I900" s="60">
        <v>0</v>
      </c>
      <c r="J900" s="60">
        <v>0</v>
      </c>
      <c r="K900" s="260">
        <v>0</v>
      </c>
      <c r="L900" s="260">
        <v>0</v>
      </c>
      <c r="M900" s="260">
        <v>0</v>
      </c>
      <c r="N900" s="260">
        <v>0</v>
      </c>
      <c r="O900" s="264">
        <v>132568.1</v>
      </c>
      <c r="P900" s="264">
        <v>0</v>
      </c>
      <c r="Q900" s="264">
        <v>0</v>
      </c>
      <c r="R900" s="264">
        <v>0</v>
      </c>
      <c r="S900" s="60">
        <v>132568.1</v>
      </c>
      <c r="T900" s="60">
        <v>0</v>
      </c>
    </row>
    <row r="901" spans="1:20">
      <c r="A901" t="s">
        <v>18646</v>
      </c>
      <c r="B901" s="262">
        <v>44593</v>
      </c>
      <c r="C901" t="s">
        <v>16904</v>
      </c>
      <c r="D901" t="s">
        <v>16905</v>
      </c>
      <c r="E901" s="60">
        <v>0</v>
      </c>
      <c r="F901" s="60">
        <v>95348.77900000001</v>
      </c>
      <c r="G901" s="60">
        <v>0</v>
      </c>
      <c r="H901" s="60">
        <v>78204.943872000003</v>
      </c>
      <c r="I901" s="60">
        <v>6146.7900959999997</v>
      </c>
      <c r="J901" s="60">
        <v>0</v>
      </c>
      <c r="K901" s="260">
        <v>0</v>
      </c>
      <c r="L901" s="260">
        <v>10195.68</v>
      </c>
      <c r="M901" s="260">
        <v>801.36500000000001</v>
      </c>
      <c r="N901" s="260">
        <v>0</v>
      </c>
      <c r="O901" s="264">
        <v>0</v>
      </c>
      <c r="P901" s="264">
        <v>88400.623871999996</v>
      </c>
      <c r="Q901" s="264">
        <v>6948.1550959999995</v>
      </c>
      <c r="R901" s="264">
        <v>0</v>
      </c>
      <c r="S901" s="60">
        <v>95348.778967999999</v>
      </c>
      <c r="T901" s="60">
        <v>3.2000010833144188E-5</v>
      </c>
    </row>
    <row r="902" spans="1:20">
      <c r="A902" t="s">
        <v>18647</v>
      </c>
      <c r="B902" s="262">
        <v>44593</v>
      </c>
      <c r="C902" t="s">
        <v>16838</v>
      </c>
      <c r="D902" t="s">
        <v>16839</v>
      </c>
      <c r="E902" s="60">
        <v>0</v>
      </c>
      <c r="F902" s="60">
        <v>219519.49</v>
      </c>
      <c r="G902" s="60">
        <v>0</v>
      </c>
      <c r="H902" s="60">
        <v>0</v>
      </c>
      <c r="I902" s="60">
        <v>219519.49</v>
      </c>
      <c r="J902" s="60">
        <v>0</v>
      </c>
      <c r="K902" s="260">
        <v>0</v>
      </c>
      <c r="L902" s="260">
        <v>0</v>
      </c>
      <c r="M902" s="260">
        <v>0</v>
      </c>
      <c r="N902" s="260">
        <v>0</v>
      </c>
      <c r="O902" s="264">
        <v>0</v>
      </c>
      <c r="P902" s="264">
        <v>0</v>
      </c>
      <c r="Q902" s="264">
        <v>219519.49</v>
      </c>
      <c r="R902" s="264">
        <v>0</v>
      </c>
      <c r="S902" s="60">
        <v>219519.49</v>
      </c>
      <c r="T902" s="60">
        <v>0</v>
      </c>
    </row>
    <row r="903" spans="1:20">
      <c r="A903" t="s">
        <v>18648</v>
      </c>
      <c r="B903" s="262">
        <v>44593</v>
      </c>
      <c r="C903" t="s">
        <v>16838</v>
      </c>
      <c r="D903" t="s">
        <v>16839</v>
      </c>
      <c r="E903" s="60">
        <v>0</v>
      </c>
      <c r="F903" s="60">
        <v>201373.2</v>
      </c>
      <c r="G903" s="60">
        <v>0</v>
      </c>
      <c r="H903" s="60">
        <v>201373.2</v>
      </c>
      <c r="I903" s="60">
        <v>0</v>
      </c>
      <c r="J903" s="60">
        <v>0</v>
      </c>
      <c r="K903" s="260">
        <v>0</v>
      </c>
      <c r="L903" s="260">
        <v>0</v>
      </c>
      <c r="M903" s="260">
        <v>0</v>
      </c>
      <c r="N903" s="260">
        <v>0</v>
      </c>
      <c r="O903" s="264">
        <v>0</v>
      </c>
      <c r="P903" s="264">
        <v>201373.2</v>
      </c>
      <c r="Q903" s="264">
        <v>0</v>
      </c>
      <c r="R903" s="264">
        <v>0</v>
      </c>
      <c r="S903" s="60">
        <v>201373.2</v>
      </c>
      <c r="T903" s="60">
        <v>0</v>
      </c>
    </row>
    <row r="904" spans="1:20">
      <c r="A904" t="s">
        <v>18649</v>
      </c>
      <c r="B904" s="262">
        <v>44593</v>
      </c>
      <c r="C904" t="s">
        <v>16838</v>
      </c>
      <c r="D904" t="s">
        <v>16839</v>
      </c>
      <c r="E904" s="60">
        <v>0</v>
      </c>
      <c r="F904" s="60">
        <v>102480</v>
      </c>
      <c r="G904" s="60">
        <v>0</v>
      </c>
      <c r="H904" s="60">
        <v>0</v>
      </c>
      <c r="I904" s="60">
        <v>102480</v>
      </c>
      <c r="J904" s="60">
        <v>0</v>
      </c>
      <c r="K904" s="260">
        <v>0</v>
      </c>
      <c r="L904" s="260">
        <v>0</v>
      </c>
      <c r="M904" s="260">
        <v>0</v>
      </c>
      <c r="N904" s="260">
        <v>0</v>
      </c>
      <c r="O904" s="264">
        <v>0</v>
      </c>
      <c r="P904" s="264">
        <v>0</v>
      </c>
      <c r="Q904" s="264">
        <v>102480</v>
      </c>
      <c r="R904" s="264">
        <v>0</v>
      </c>
      <c r="S904" s="60">
        <v>102480</v>
      </c>
      <c r="T904" s="60">
        <v>0</v>
      </c>
    </row>
    <row r="905" spans="1:20">
      <c r="A905" t="s">
        <v>18650</v>
      </c>
      <c r="B905" s="262">
        <v>44585</v>
      </c>
      <c r="C905" t="s">
        <v>16560</v>
      </c>
      <c r="D905" t="s">
        <v>16561</v>
      </c>
      <c r="E905" s="60">
        <v>0</v>
      </c>
      <c r="F905" s="60">
        <v>204165.68399999998</v>
      </c>
      <c r="G905" s="60">
        <v>0</v>
      </c>
      <c r="H905" s="60">
        <v>0</v>
      </c>
      <c r="I905" s="60">
        <v>204165.68399999998</v>
      </c>
      <c r="J905" s="60">
        <v>0</v>
      </c>
      <c r="K905" s="260">
        <v>0</v>
      </c>
      <c r="L905" s="260">
        <v>0</v>
      </c>
      <c r="M905" s="260">
        <v>0</v>
      </c>
      <c r="N905" s="260">
        <v>0</v>
      </c>
      <c r="O905" s="264">
        <v>0</v>
      </c>
      <c r="P905" s="264">
        <v>0</v>
      </c>
      <c r="Q905" s="264">
        <v>204165.68399999998</v>
      </c>
      <c r="R905" s="264">
        <v>0</v>
      </c>
      <c r="S905" s="60">
        <v>204165.68399999998</v>
      </c>
      <c r="T905" s="60">
        <v>0</v>
      </c>
    </row>
    <row r="906" spans="1:20">
      <c r="A906" t="s">
        <v>18651</v>
      </c>
      <c r="B906" s="262">
        <v>44585</v>
      </c>
      <c r="C906" t="s">
        <v>16560</v>
      </c>
      <c r="D906" t="s">
        <v>16561</v>
      </c>
      <c r="E906" s="60">
        <v>0</v>
      </c>
      <c r="F906" s="60">
        <v>204165.68399999998</v>
      </c>
      <c r="G906" s="60">
        <v>0</v>
      </c>
      <c r="H906" s="60">
        <v>0</v>
      </c>
      <c r="I906" s="60">
        <v>204165.68399999998</v>
      </c>
      <c r="J906" s="60">
        <v>0</v>
      </c>
      <c r="K906" s="260">
        <v>0</v>
      </c>
      <c r="L906" s="260">
        <v>0</v>
      </c>
      <c r="M906" s="260">
        <v>0</v>
      </c>
      <c r="N906" s="260">
        <v>0</v>
      </c>
      <c r="O906" s="264">
        <v>0</v>
      </c>
      <c r="P906" s="264">
        <v>0</v>
      </c>
      <c r="Q906" s="264">
        <v>204165.68399999998</v>
      </c>
      <c r="R906" s="264">
        <v>0</v>
      </c>
      <c r="S906" s="60">
        <v>204165.68399999998</v>
      </c>
      <c r="T906" s="60">
        <v>0</v>
      </c>
    </row>
    <row r="907" spans="1:20">
      <c r="A907" t="s">
        <v>18652</v>
      </c>
      <c r="B907" s="262">
        <v>44585</v>
      </c>
      <c r="C907" t="s">
        <v>16560</v>
      </c>
      <c r="D907" t="s">
        <v>16561</v>
      </c>
      <c r="E907" s="60">
        <v>0</v>
      </c>
      <c r="F907" s="60">
        <v>203335.704</v>
      </c>
      <c r="G907" s="60">
        <v>0</v>
      </c>
      <c r="H907" s="60">
        <v>0</v>
      </c>
      <c r="I907" s="60">
        <v>203335.704</v>
      </c>
      <c r="J907" s="60">
        <v>0</v>
      </c>
      <c r="K907" s="260">
        <v>0</v>
      </c>
      <c r="L907" s="260">
        <v>0</v>
      </c>
      <c r="M907" s="260">
        <v>0</v>
      </c>
      <c r="N907" s="260">
        <v>0</v>
      </c>
      <c r="O907" s="264">
        <v>0</v>
      </c>
      <c r="P907" s="264">
        <v>0</v>
      </c>
      <c r="Q907" s="264">
        <v>203335.704</v>
      </c>
      <c r="R907" s="264">
        <v>0</v>
      </c>
      <c r="S907" s="60">
        <v>203335.704</v>
      </c>
      <c r="T907" s="60">
        <v>0</v>
      </c>
    </row>
    <row r="908" spans="1:20">
      <c r="A908" t="s">
        <v>18653</v>
      </c>
      <c r="B908" s="262">
        <v>44585</v>
      </c>
      <c r="C908" t="s">
        <v>16560</v>
      </c>
      <c r="D908" t="s">
        <v>16561</v>
      </c>
      <c r="E908" s="60">
        <v>0</v>
      </c>
      <c r="F908" s="60">
        <v>203335.704</v>
      </c>
      <c r="G908" s="60">
        <v>0</v>
      </c>
      <c r="H908" s="60">
        <v>0</v>
      </c>
      <c r="I908" s="60">
        <v>203335.704</v>
      </c>
      <c r="J908" s="60">
        <v>0</v>
      </c>
      <c r="K908" s="260">
        <v>0</v>
      </c>
      <c r="L908" s="260">
        <v>0</v>
      </c>
      <c r="M908" s="260">
        <v>0</v>
      </c>
      <c r="N908" s="260">
        <v>0</v>
      </c>
      <c r="O908" s="264">
        <v>0</v>
      </c>
      <c r="P908" s="264">
        <v>0</v>
      </c>
      <c r="Q908" s="264">
        <v>203335.704</v>
      </c>
      <c r="R908" s="264">
        <v>0</v>
      </c>
      <c r="S908" s="60">
        <v>203335.704</v>
      </c>
      <c r="T908" s="60">
        <v>0</v>
      </c>
    </row>
    <row r="909" spans="1:20">
      <c r="A909" t="s">
        <v>18654</v>
      </c>
      <c r="B909" s="262">
        <v>44586</v>
      </c>
      <c r="C909" t="s">
        <v>17307</v>
      </c>
      <c r="D909" t="s">
        <v>17308</v>
      </c>
      <c r="E909" s="60">
        <v>0</v>
      </c>
      <c r="F909" s="60">
        <v>1081672.7040000001</v>
      </c>
      <c r="G909" s="60">
        <v>0</v>
      </c>
      <c r="H909" s="60">
        <v>845507.49696000025</v>
      </c>
      <c r="I909" s="60">
        <v>236165.20704000004</v>
      </c>
      <c r="J909" s="60">
        <v>0</v>
      </c>
      <c r="K909" s="260">
        <v>0</v>
      </c>
      <c r="L909" s="260">
        <v>0</v>
      </c>
      <c r="M909" s="260">
        <v>0</v>
      </c>
      <c r="N909" s="260">
        <v>0</v>
      </c>
      <c r="O909" s="264">
        <v>0</v>
      </c>
      <c r="P909" s="264">
        <v>845507.49696000025</v>
      </c>
      <c r="Q909" s="264">
        <v>236165.20704000004</v>
      </c>
      <c r="R909" s="264">
        <v>0</v>
      </c>
      <c r="S909" s="60">
        <v>1081672.7040000004</v>
      </c>
      <c r="T909" s="60">
        <v>0</v>
      </c>
    </row>
    <row r="910" spans="1:20">
      <c r="A910" t="s">
        <v>18655</v>
      </c>
      <c r="B910" s="262">
        <v>44593</v>
      </c>
      <c r="C910" t="s">
        <v>17017</v>
      </c>
      <c r="D910" t="s">
        <v>17430</v>
      </c>
      <c r="E910" s="60">
        <v>0</v>
      </c>
      <c r="F910" s="60">
        <v>61000</v>
      </c>
      <c r="G910" s="60">
        <v>0</v>
      </c>
      <c r="H910" s="60">
        <v>61000</v>
      </c>
      <c r="I910" s="60">
        <v>0</v>
      </c>
      <c r="J910" s="60">
        <v>0</v>
      </c>
      <c r="K910" s="260">
        <v>0</v>
      </c>
      <c r="L910" s="260">
        <v>0</v>
      </c>
      <c r="M910" s="260">
        <v>0</v>
      </c>
      <c r="N910" s="260">
        <v>0</v>
      </c>
      <c r="O910" s="264">
        <v>0</v>
      </c>
      <c r="P910" s="264">
        <v>61000</v>
      </c>
      <c r="Q910" s="264">
        <v>0</v>
      </c>
      <c r="R910" s="264">
        <v>0</v>
      </c>
      <c r="S910" s="60">
        <v>61000</v>
      </c>
      <c r="T910" s="60">
        <v>0</v>
      </c>
    </row>
    <row r="911" spans="1:20">
      <c r="A911" t="s">
        <v>18656</v>
      </c>
      <c r="B911" s="262">
        <v>44621</v>
      </c>
      <c r="C911" t="s">
        <v>16779</v>
      </c>
      <c r="D911" t="s">
        <v>17613</v>
      </c>
      <c r="E911" s="60">
        <v>0</v>
      </c>
      <c r="F911" s="60">
        <v>84142.863000000012</v>
      </c>
      <c r="G911" s="60">
        <v>0</v>
      </c>
      <c r="H911" s="60">
        <v>56572.041720000001</v>
      </c>
      <c r="I911" s="60">
        <v>13923.298799999999</v>
      </c>
      <c r="J911" s="60">
        <v>13647.522375</v>
      </c>
      <c r="K911" s="260">
        <v>0</v>
      </c>
      <c r="L911" s="260">
        <v>0</v>
      </c>
      <c r="M911" s="260">
        <v>0</v>
      </c>
      <c r="N911" s="260">
        <v>0</v>
      </c>
      <c r="O911" s="264">
        <v>0</v>
      </c>
      <c r="P911" s="264">
        <v>56572.041720000001</v>
      </c>
      <c r="Q911" s="264">
        <v>13923.298799999999</v>
      </c>
      <c r="R911" s="264">
        <v>13647.522375</v>
      </c>
      <c r="S911" s="60">
        <v>84142.862894999998</v>
      </c>
      <c r="T911" s="60">
        <v>1.0500001371838152E-4</v>
      </c>
    </row>
    <row r="912" spans="1:20">
      <c r="A912" t="s">
        <v>18657</v>
      </c>
      <c r="B912" s="262">
        <v>44595</v>
      </c>
      <c r="C912" t="s">
        <v>17156</v>
      </c>
      <c r="D912" t="s">
        <v>17575</v>
      </c>
      <c r="E912" s="60">
        <v>0</v>
      </c>
      <c r="F912" s="60">
        <v>124640</v>
      </c>
      <c r="G912" s="60">
        <v>0</v>
      </c>
      <c r="H912" s="60">
        <v>124640</v>
      </c>
      <c r="I912" s="60">
        <v>0</v>
      </c>
      <c r="J912" s="60">
        <v>0</v>
      </c>
      <c r="K912" s="260">
        <v>0</v>
      </c>
      <c r="L912" s="260">
        <v>0</v>
      </c>
      <c r="M912" s="260">
        <v>0</v>
      </c>
      <c r="N912" s="260">
        <v>0</v>
      </c>
      <c r="O912" s="264">
        <v>0</v>
      </c>
      <c r="P912" s="264">
        <v>124640</v>
      </c>
      <c r="Q912" s="264">
        <v>0</v>
      </c>
      <c r="R912" s="264">
        <v>0</v>
      </c>
      <c r="S912" s="60">
        <v>124640</v>
      </c>
      <c r="T912" s="60">
        <v>0</v>
      </c>
    </row>
    <row r="913" spans="1:20">
      <c r="A913" t="s">
        <v>18658</v>
      </c>
      <c r="B913" s="262">
        <v>44597</v>
      </c>
      <c r="C913" t="s">
        <v>17017</v>
      </c>
      <c r="D913" t="s">
        <v>17430</v>
      </c>
      <c r="E913" s="60">
        <v>0</v>
      </c>
      <c r="F913" s="60">
        <v>12394.2</v>
      </c>
      <c r="G913" s="60">
        <v>0</v>
      </c>
      <c r="H913" s="60">
        <v>12394.2</v>
      </c>
      <c r="I913" s="60">
        <v>0</v>
      </c>
      <c r="J913" s="60">
        <v>0</v>
      </c>
      <c r="K913" s="260">
        <v>0</v>
      </c>
      <c r="L913" s="260">
        <v>0</v>
      </c>
      <c r="M913" s="260">
        <v>0</v>
      </c>
      <c r="N913" s="260">
        <v>0</v>
      </c>
      <c r="O913" s="264">
        <v>0</v>
      </c>
      <c r="P913" s="264">
        <v>12394.2</v>
      </c>
      <c r="Q913" s="264">
        <v>0</v>
      </c>
      <c r="R913" s="264">
        <v>0</v>
      </c>
      <c r="S913" s="60">
        <v>12394.2</v>
      </c>
      <c r="T913" s="60">
        <v>0</v>
      </c>
    </row>
    <row r="914" spans="1:20">
      <c r="A914" t="s">
        <v>18659</v>
      </c>
      <c r="B914" s="262">
        <v>44600</v>
      </c>
      <c r="C914" t="s">
        <v>16444</v>
      </c>
      <c r="D914" t="s">
        <v>16445</v>
      </c>
      <c r="E914" s="60">
        <v>0</v>
      </c>
      <c r="F914" s="60">
        <v>77328</v>
      </c>
      <c r="G914" s="60">
        <v>77328</v>
      </c>
      <c r="H914" s="60">
        <v>0</v>
      </c>
      <c r="I914" s="60">
        <v>0</v>
      </c>
      <c r="J914" s="60">
        <v>0</v>
      </c>
      <c r="K914" s="260">
        <v>0</v>
      </c>
      <c r="L914" s="260">
        <v>0</v>
      </c>
      <c r="M914" s="260">
        <v>0</v>
      </c>
      <c r="N914" s="260">
        <v>0</v>
      </c>
      <c r="O914" s="264">
        <v>77328</v>
      </c>
      <c r="P914" s="264">
        <v>0</v>
      </c>
      <c r="Q914" s="264">
        <v>0</v>
      </c>
      <c r="R914" s="264">
        <v>0</v>
      </c>
      <c r="S914" s="60">
        <v>77328</v>
      </c>
      <c r="T914" s="60">
        <v>0</v>
      </c>
    </row>
    <row r="915" spans="1:20">
      <c r="A915" t="s">
        <v>18660</v>
      </c>
      <c r="B915" s="262">
        <v>44602</v>
      </c>
      <c r="C915" t="s">
        <v>16957</v>
      </c>
      <c r="D915" t="s">
        <v>17451</v>
      </c>
      <c r="E915" s="60">
        <v>0</v>
      </c>
      <c r="F915" s="60">
        <v>131874.23000000001</v>
      </c>
      <c r="G915" s="60">
        <v>131874.23000000001</v>
      </c>
      <c r="H915" s="60">
        <v>0</v>
      </c>
      <c r="I915" s="60">
        <v>0</v>
      </c>
      <c r="J915" s="60">
        <v>0</v>
      </c>
      <c r="K915" s="260">
        <v>0</v>
      </c>
      <c r="L915" s="260">
        <v>0</v>
      </c>
      <c r="M915" s="260">
        <v>0</v>
      </c>
      <c r="N915" s="260">
        <v>0</v>
      </c>
      <c r="O915" s="264">
        <v>131874.23000000001</v>
      </c>
      <c r="P915" s="264">
        <v>0</v>
      </c>
      <c r="Q915" s="264">
        <v>0</v>
      </c>
      <c r="R915" s="264">
        <v>0</v>
      </c>
      <c r="S915" s="60">
        <v>131874.23000000001</v>
      </c>
      <c r="T915" s="60">
        <v>0</v>
      </c>
    </row>
    <row r="916" spans="1:20">
      <c r="A916" t="s">
        <v>18661</v>
      </c>
      <c r="B916" s="262">
        <v>44652</v>
      </c>
      <c r="C916" t="s">
        <v>16779</v>
      </c>
      <c r="D916" t="s">
        <v>17613</v>
      </c>
      <c r="E916" s="60">
        <v>0</v>
      </c>
      <c r="F916" s="60">
        <v>83305.815999999992</v>
      </c>
      <c r="G916" s="60">
        <v>0</v>
      </c>
      <c r="H916" s="60">
        <v>42438.017663999999</v>
      </c>
      <c r="I916" s="60">
        <v>33133.650696000004</v>
      </c>
      <c r="J916" s="60">
        <v>7734.1478400000015</v>
      </c>
      <c r="K916" s="260">
        <v>0</v>
      </c>
      <c r="L916" s="260">
        <v>0</v>
      </c>
      <c r="M916" s="260">
        <v>0</v>
      </c>
      <c r="N916" s="260">
        <v>0</v>
      </c>
      <c r="O916" s="264">
        <v>0</v>
      </c>
      <c r="P916" s="264">
        <v>42438.017663999999</v>
      </c>
      <c r="Q916" s="264">
        <v>33133.650696000004</v>
      </c>
      <c r="R916" s="264">
        <v>7734.1478400000015</v>
      </c>
      <c r="S916" s="60">
        <v>83305.816200000016</v>
      </c>
      <c r="T916" s="60">
        <v>-2.0000002405140549E-4</v>
      </c>
    </row>
    <row r="917" spans="1:20">
      <c r="A917" t="s">
        <v>18662</v>
      </c>
      <c r="B917" s="262">
        <v>44608</v>
      </c>
      <c r="C917" t="s">
        <v>17307</v>
      </c>
      <c r="D917" t="s">
        <v>17308</v>
      </c>
      <c r="E917" s="60">
        <v>0</v>
      </c>
      <c r="F917" s="60">
        <v>133690.073</v>
      </c>
      <c r="G917" s="60">
        <v>0</v>
      </c>
      <c r="H917" s="60">
        <v>0</v>
      </c>
      <c r="I917" s="60">
        <v>0</v>
      </c>
      <c r="J917" s="60">
        <v>133690.07250000001</v>
      </c>
      <c r="K917" s="260">
        <v>0</v>
      </c>
      <c r="L917" s="260">
        <v>0</v>
      </c>
      <c r="M917" s="260">
        <v>0</v>
      </c>
      <c r="N917" s="260">
        <v>0</v>
      </c>
      <c r="O917" s="264">
        <v>0</v>
      </c>
      <c r="P917" s="264">
        <v>0</v>
      </c>
      <c r="Q917" s="264">
        <v>0</v>
      </c>
      <c r="R917" s="264">
        <v>133690.07250000001</v>
      </c>
      <c r="S917" s="60">
        <v>133690.07250000001</v>
      </c>
      <c r="T917" s="60">
        <v>4.999999946448952E-4</v>
      </c>
    </row>
    <row r="918" spans="1:20">
      <c r="A918" t="s">
        <v>18663</v>
      </c>
      <c r="B918" s="262">
        <v>44682</v>
      </c>
      <c r="C918" t="s">
        <v>17119</v>
      </c>
      <c r="D918" t="s">
        <v>17120</v>
      </c>
      <c r="E918" s="60">
        <v>0</v>
      </c>
      <c r="F918" s="60">
        <v>64712.366999999998</v>
      </c>
      <c r="G918" s="60">
        <v>0</v>
      </c>
      <c r="H918" s="60">
        <v>54550.909300000007</v>
      </c>
      <c r="I918" s="60">
        <v>0</v>
      </c>
      <c r="J918" s="60">
        <v>0</v>
      </c>
      <c r="K918" s="260">
        <v>0</v>
      </c>
      <c r="L918" s="260">
        <v>10140.732</v>
      </c>
      <c r="M918" s="260">
        <v>0</v>
      </c>
      <c r="N918" s="260">
        <v>0</v>
      </c>
      <c r="O918" s="264">
        <v>0</v>
      </c>
      <c r="P918" s="264">
        <v>64691.641300000003</v>
      </c>
      <c r="Q918" s="264">
        <v>0</v>
      </c>
      <c r="R918" s="264">
        <v>0</v>
      </c>
      <c r="S918" s="60">
        <v>64691.641300000003</v>
      </c>
      <c r="T918" s="60">
        <v>20.725699999995413</v>
      </c>
    </row>
    <row r="919" spans="1:20">
      <c r="A919" t="s">
        <v>18664</v>
      </c>
      <c r="B919" s="262">
        <v>44610</v>
      </c>
      <c r="C919" t="s">
        <v>16470</v>
      </c>
      <c r="D919" t="s">
        <v>16471</v>
      </c>
      <c r="E919" s="60">
        <v>0</v>
      </c>
      <c r="F919" s="60">
        <v>869156.58200000005</v>
      </c>
      <c r="G919" s="60">
        <v>7486.9919999999984</v>
      </c>
      <c r="H919" s="60">
        <v>739312.73040000012</v>
      </c>
      <c r="I919" s="60">
        <v>0</v>
      </c>
      <c r="J919" s="60">
        <v>0</v>
      </c>
      <c r="K919" s="260">
        <v>1121.682</v>
      </c>
      <c r="L919" s="260">
        <v>121235.178</v>
      </c>
      <c r="M919" s="260">
        <v>0</v>
      </c>
      <c r="N919" s="260">
        <v>0</v>
      </c>
      <c r="O919" s="264">
        <v>8608.6739999999991</v>
      </c>
      <c r="P919" s="264">
        <v>860547.90840000007</v>
      </c>
      <c r="Q919" s="264">
        <v>0</v>
      </c>
      <c r="R919" s="264">
        <v>0</v>
      </c>
      <c r="S919" s="60">
        <v>869156.58240000007</v>
      </c>
      <c r="T919" s="60">
        <v>-4.0000001899898052E-4</v>
      </c>
    </row>
    <row r="920" spans="1:20">
      <c r="A920" t="s">
        <v>18665</v>
      </c>
      <c r="B920" s="262">
        <v>44610</v>
      </c>
      <c r="C920" t="s">
        <v>16643</v>
      </c>
      <c r="D920" t="s">
        <v>16644</v>
      </c>
      <c r="E920" s="60">
        <v>0</v>
      </c>
      <c r="F920" s="60">
        <v>173178.19399999999</v>
      </c>
      <c r="G920" s="60">
        <v>0</v>
      </c>
      <c r="H920" s="60">
        <v>146779.07940000002</v>
      </c>
      <c r="I920" s="60">
        <v>0</v>
      </c>
      <c r="J920" s="60">
        <v>0</v>
      </c>
      <c r="K920" s="260">
        <v>0</v>
      </c>
      <c r="L920" s="260">
        <v>26399.115000000002</v>
      </c>
      <c r="M920" s="260">
        <v>0</v>
      </c>
      <c r="N920" s="260">
        <v>0</v>
      </c>
      <c r="O920" s="264">
        <v>0</v>
      </c>
      <c r="P920" s="264">
        <v>173178.19440000001</v>
      </c>
      <c r="Q920" s="264">
        <v>0</v>
      </c>
      <c r="R920" s="264">
        <v>0</v>
      </c>
      <c r="S920" s="60">
        <v>173178.19440000001</v>
      </c>
      <c r="T920" s="60">
        <v>-4.0000001899898052E-4</v>
      </c>
    </row>
    <row r="921" spans="1:20">
      <c r="A921" t="s">
        <v>18666</v>
      </c>
      <c r="B921" s="262">
        <v>44621</v>
      </c>
      <c r="C921" t="s">
        <v>16904</v>
      </c>
      <c r="D921" t="s">
        <v>16905</v>
      </c>
      <c r="E921" s="60">
        <v>0</v>
      </c>
      <c r="F921" s="60">
        <v>95016.931999999986</v>
      </c>
      <c r="G921" s="60">
        <v>0</v>
      </c>
      <c r="H921" s="60">
        <v>63343.922879999998</v>
      </c>
      <c r="I921" s="60">
        <v>20703.769247999997</v>
      </c>
      <c r="J921" s="60">
        <v>0</v>
      </c>
      <c r="K921" s="260">
        <v>0</v>
      </c>
      <c r="L921" s="260">
        <v>8258.2289999999994</v>
      </c>
      <c r="M921" s="260">
        <v>2711.011</v>
      </c>
      <c r="N921" s="260">
        <v>0</v>
      </c>
      <c r="O921" s="264">
        <v>0</v>
      </c>
      <c r="P921" s="264">
        <v>71602.15187999999</v>
      </c>
      <c r="Q921" s="264">
        <v>23414.780247999995</v>
      </c>
      <c r="R921" s="264">
        <v>0</v>
      </c>
      <c r="S921" s="60">
        <v>95016.932127999986</v>
      </c>
      <c r="T921" s="60">
        <v>-1.2799999967683107E-4</v>
      </c>
    </row>
    <row r="922" spans="1:20">
      <c r="A922" t="s">
        <v>18667</v>
      </c>
      <c r="B922" s="262">
        <v>44610</v>
      </c>
      <c r="C922" t="s">
        <v>16444</v>
      </c>
      <c r="D922" t="s">
        <v>16445</v>
      </c>
      <c r="E922" s="60">
        <v>0</v>
      </c>
      <c r="F922" s="60">
        <v>248880</v>
      </c>
      <c r="G922" s="60">
        <v>75000</v>
      </c>
      <c r="H922" s="60">
        <v>161280</v>
      </c>
      <c r="I922" s="60">
        <v>12600</v>
      </c>
      <c r="J922" s="60">
        <v>0</v>
      </c>
      <c r="K922" s="260">
        <v>0</v>
      </c>
      <c r="L922" s="260">
        <v>0</v>
      </c>
      <c r="M922" s="260">
        <v>0</v>
      </c>
      <c r="N922" s="260">
        <v>0</v>
      </c>
      <c r="O922" s="264">
        <v>75000</v>
      </c>
      <c r="P922" s="264">
        <v>161280</v>
      </c>
      <c r="Q922" s="264">
        <v>12600</v>
      </c>
      <c r="R922" s="264">
        <v>0</v>
      </c>
      <c r="S922" s="60">
        <v>248880</v>
      </c>
      <c r="T922" s="60">
        <v>0</v>
      </c>
    </row>
    <row r="923" spans="1:20">
      <c r="A923" t="s">
        <v>18668</v>
      </c>
      <c r="B923" s="262">
        <v>44613</v>
      </c>
      <c r="C923" t="s">
        <v>16972</v>
      </c>
      <c r="D923" t="s">
        <v>17424</v>
      </c>
      <c r="E923" s="60">
        <v>0</v>
      </c>
      <c r="F923" s="60">
        <v>501200</v>
      </c>
      <c r="G923" s="60">
        <v>0</v>
      </c>
      <c r="H923" s="60">
        <v>0</v>
      </c>
      <c r="I923" s="60">
        <v>501200</v>
      </c>
      <c r="J923" s="60">
        <v>0</v>
      </c>
      <c r="K923" s="260">
        <v>0</v>
      </c>
      <c r="L923" s="260">
        <v>0</v>
      </c>
      <c r="M923" s="260">
        <v>0</v>
      </c>
      <c r="N923" s="260">
        <v>0</v>
      </c>
      <c r="O923" s="264">
        <v>0</v>
      </c>
      <c r="P923" s="264">
        <v>0</v>
      </c>
      <c r="Q923" s="264">
        <v>501200</v>
      </c>
      <c r="R923" s="264">
        <v>0</v>
      </c>
      <c r="S923" s="60">
        <v>501200</v>
      </c>
      <c r="T923" s="60">
        <v>0</v>
      </c>
    </row>
    <row r="924" spans="1:20">
      <c r="A924" t="s">
        <v>18669</v>
      </c>
      <c r="B924" s="262">
        <v>44621</v>
      </c>
      <c r="C924" t="s">
        <v>16972</v>
      </c>
      <c r="D924" t="s">
        <v>17424</v>
      </c>
      <c r="E924" s="60">
        <v>0</v>
      </c>
      <c r="F924" s="60">
        <v>501200</v>
      </c>
      <c r="G924" s="60">
        <v>0</v>
      </c>
      <c r="H924" s="60">
        <v>0</v>
      </c>
      <c r="I924" s="60">
        <v>501200</v>
      </c>
      <c r="J924" s="60">
        <v>0</v>
      </c>
      <c r="K924" s="260">
        <v>0</v>
      </c>
      <c r="L924" s="260">
        <v>0</v>
      </c>
      <c r="M924" s="260">
        <v>0</v>
      </c>
      <c r="N924" s="260">
        <v>0</v>
      </c>
      <c r="O924" s="264">
        <v>0</v>
      </c>
      <c r="P924" s="264">
        <v>0</v>
      </c>
      <c r="Q924" s="264">
        <v>501200</v>
      </c>
      <c r="R924" s="264">
        <v>0</v>
      </c>
      <c r="S924" s="60">
        <v>501200</v>
      </c>
      <c r="T924" s="60">
        <v>0</v>
      </c>
    </row>
    <row r="925" spans="1:20">
      <c r="A925" t="s">
        <v>18670</v>
      </c>
      <c r="B925" s="262">
        <v>44713</v>
      </c>
      <c r="C925" t="s">
        <v>17017</v>
      </c>
      <c r="D925" t="s">
        <v>17430</v>
      </c>
      <c r="E925" s="60">
        <v>0</v>
      </c>
      <c r="F925" s="60">
        <v>41044.9</v>
      </c>
      <c r="G925" s="60">
        <v>11160</v>
      </c>
      <c r="H925" s="60">
        <v>6180</v>
      </c>
      <c r="I925" s="60">
        <v>3812.5</v>
      </c>
      <c r="J925" s="60">
        <v>19892.400000000001</v>
      </c>
      <c r="K925" s="260">
        <v>0</v>
      </c>
      <c r="L925" s="260">
        <v>0</v>
      </c>
      <c r="M925" s="260">
        <v>0</v>
      </c>
      <c r="N925" s="260">
        <v>0</v>
      </c>
      <c r="O925" s="264">
        <v>11160</v>
      </c>
      <c r="P925" s="264">
        <v>6180</v>
      </c>
      <c r="Q925" s="264">
        <v>3812.5</v>
      </c>
      <c r="R925" s="264">
        <v>19892.400000000001</v>
      </c>
      <c r="S925" s="60">
        <v>41044.9</v>
      </c>
      <c r="T925" s="60">
        <v>0</v>
      </c>
    </row>
    <row r="926" spans="1:20">
      <c r="A926" t="s">
        <v>18671</v>
      </c>
      <c r="B926" s="262">
        <v>44621</v>
      </c>
      <c r="C926" t="s">
        <v>16838</v>
      </c>
      <c r="D926" t="s">
        <v>16839</v>
      </c>
      <c r="E926" s="60">
        <v>0</v>
      </c>
      <c r="F926" s="60">
        <v>322197.12</v>
      </c>
      <c r="G926" s="60">
        <v>0</v>
      </c>
      <c r="H926" s="60">
        <v>322197.12</v>
      </c>
      <c r="I926" s="60">
        <v>0</v>
      </c>
      <c r="J926" s="60">
        <v>0</v>
      </c>
      <c r="K926" s="260">
        <v>0</v>
      </c>
      <c r="L926" s="260">
        <v>0</v>
      </c>
      <c r="M926" s="260">
        <v>0</v>
      </c>
      <c r="N926" s="260">
        <v>0</v>
      </c>
      <c r="O926" s="264">
        <v>0</v>
      </c>
      <c r="P926" s="264">
        <v>322197.12</v>
      </c>
      <c r="Q926" s="264">
        <v>0</v>
      </c>
      <c r="R926" s="264">
        <v>0</v>
      </c>
      <c r="S926" s="60">
        <v>322197.12</v>
      </c>
      <c r="T926" s="60">
        <v>0</v>
      </c>
    </row>
    <row r="927" spans="1:20">
      <c r="A927" t="s">
        <v>18672</v>
      </c>
      <c r="B927" s="262">
        <v>44713</v>
      </c>
      <c r="C927" t="s">
        <v>16957</v>
      </c>
      <c r="D927" t="s">
        <v>17451</v>
      </c>
      <c r="E927" s="60">
        <v>0</v>
      </c>
      <c r="F927" s="60">
        <v>67713.009999999995</v>
      </c>
      <c r="G927" s="60">
        <v>67713.009999999995</v>
      </c>
      <c r="H927" s="60">
        <v>0</v>
      </c>
      <c r="I927" s="60">
        <v>0</v>
      </c>
      <c r="J927" s="60">
        <v>0</v>
      </c>
      <c r="K927" s="260">
        <v>0</v>
      </c>
      <c r="L927" s="260">
        <v>0</v>
      </c>
      <c r="M927" s="260">
        <v>0</v>
      </c>
      <c r="N927" s="260">
        <v>0</v>
      </c>
      <c r="O927" s="264">
        <v>67713.009999999995</v>
      </c>
      <c r="P927" s="264">
        <v>0</v>
      </c>
      <c r="Q927" s="264">
        <v>0</v>
      </c>
      <c r="R927" s="264">
        <v>0</v>
      </c>
      <c r="S927" s="60">
        <v>67713.009999999995</v>
      </c>
      <c r="T927" s="60">
        <v>0</v>
      </c>
    </row>
    <row r="928" spans="1:20">
      <c r="A928" t="s">
        <v>18673</v>
      </c>
      <c r="B928" s="262">
        <v>44621</v>
      </c>
      <c r="C928" t="s">
        <v>16838</v>
      </c>
      <c r="D928" t="s">
        <v>16839</v>
      </c>
      <c r="E928" s="60">
        <v>0</v>
      </c>
      <c r="F928" s="60">
        <v>277260.24</v>
      </c>
      <c r="G928" s="60">
        <v>220740.24</v>
      </c>
      <c r="H928" s="60">
        <v>56520</v>
      </c>
      <c r="I928" s="60">
        <v>0</v>
      </c>
      <c r="J928" s="60">
        <v>0</v>
      </c>
      <c r="K928" s="260">
        <v>0</v>
      </c>
      <c r="L928" s="260">
        <v>0</v>
      </c>
      <c r="M928" s="260">
        <v>0</v>
      </c>
      <c r="N928" s="260">
        <v>0</v>
      </c>
      <c r="O928" s="264">
        <v>220740.24</v>
      </c>
      <c r="P928" s="264">
        <v>56520</v>
      </c>
      <c r="Q928" s="264">
        <v>0</v>
      </c>
      <c r="R928" s="264">
        <v>0</v>
      </c>
      <c r="S928" s="60">
        <v>277260.24</v>
      </c>
      <c r="T928" s="60">
        <v>0</v>
      </c>
    </row>
    <row r="929" spans="1:20">
      <c r="A929" t="s">
        <v>18674</v>
      </c>
      <c r="B929" s="262">
        <v>44613</v>
      </c>
      <c r="C929" t="s">
        <v>17248</v>
      </c>
      <c r="D929" t="s">
        <v>18158</v>
      </c>
      <c r="E929" s="60">
        <v>0</v>
      </c>
      <c r="F929" s="60">
        <v>82944.843999999997</v>
      </c>
      <c r="G929" s="60">
        <v>0</v>
      </c>
      <c r="H929" s="60">
        <v>82944.843980000005</v>
      </c>
      <c r="I929" s="60">
        <v>0</v>
      </c>
      <c r="J929" s="60">
        <v>0</v>
      </c>
      <c r="K929" s="260">
        <v>0</v>
      </c>
      <c r="L929" s="260">
        <v>0</v>
      </c>
      <c r="M929" s="260">
        <v>0</v>
      </c>
      <c r="N929" s="260">
        <v>0</v>
      </c>
      <c r="O929" s="264">
        <v>0</v>
      </c>
      <c r="P929" s="264">
        <v>82944.843980000005</v>
      </c>
      <c r="Q929" s="264">
        <v>0</v>
      </c>
      <c r="R929" s="264">
        <v>0</v>
      </c>
      <c r="S929" s="60">
        <v>82944.843980000005</v>
      </c>
      <c r="T929" s="60">
        <v>1.9999992218799889E-5</v>
      </c>
    </row>
    <row r="930" spans="1:20">
      <c r="A930" t="s">
        <v>18675</v>
      </c>
      <c r="B930" s="262">
        <v>44613</v>
      </c>
      <c r="C930" t="s">
        <v>17299</v>
      </c>
      <c r="D930" t="s">
        <v>18631</v>
      </c>
      <c r="E930" s="60">
        <v>0</v>
      </c>
      <c r="F930" s="60">
        <v>328483.26699999999</v>
      </c>
      <c r="G930" s="60">
        <v>328483.2672</v>
      </c>
      <c r="H930" s="60">
        <v>0</v>
      </c>
      <c r="I930" s="60">
        <v>0</v>
      </c>
      <c r="J930" s="60">
        <v>0</v>
      </c>
      <c r="K930" s="260">
        <v>0</v>
      </c>
      <c r="L930" s="260">
        <v>0</v>
      </c>
      <c r="M930" s="260">
        <v>0</v>
      </c>
      <c r="N930" s="260">
        <v>0</v>
      </c>
      <c r="O930" s="264">
        <v>328483.2672</v>
      </c>
      <c r="P930" s="264">
        <v>0</v>
      </c>
      <c r="Q930" s="264">
        <v>0</v>
      </c>
      <c r="R930" s="264">
        <v>0</v>
      </c>
      <c r="S930" s="60">
        <v>328483.2672</v>
      </c>
      <c r="T930" s="60">
        <v>-2.0000000949949026E-4</v>
      </c>
    </row>
    <row r="931" spans="1:20">
      <c r="A931" t="s">
        <v>18676</v>
      </c>
      <c r="B931" s="262">
        <v>44621</v>
      </c>
      <c r="C931" t="s">
        <v>16880</v>
      </c>
      <c r="D931" t="s">
        <v>16881</v>
      </c>
      <c r="E931" s="60">
        <v>0</v>
      </c>
      <c r="F931" s="60">
        <v>88215.119000000006</v>
      </c>
      <c r="G931" s="60">
        <v>0</v>
      </c>
      <c r="H931" s="60">
        <v>88215.119179999994</v>
      </c>
      <c r="I931" s="60">
        <v>0</v>
      </c>
      <c r="J931" s="60">
        <v>0</v>
      </c>
      <c r="K931" s="260">
        <v>0</v>
      </c>
      <c r="L931" s="260">
        <v>0</v>
      </c>
      <c r="M931" s="260">
        <v>0</v>
      </c>
      <c r="N931" s="260">
        <v>0</v>
      </c>
      <c r="O931" s="264">
        <v>0</v>
      </c>
      <c r="P931" s="264">
        <v>88215.119179999994</v>
      </c>
      <c r="Q931" s="264">
        <v>0</v>
      </c>
      <c r="R931" s="264">
        <v>0</v>
      </c>
      <c r="S931" s="60">
        <v>88215.119179999994</v>
      </c>
      <c r="T931" s="60">
        <v>-1.7999998817685992E-4</v>
      </c>
    </row>
    <row r="932" spans="1:20">
      <c r="A932" t="s">
        <v>18677</v>
      </c>
      <c r="B932" s="262">
        <v>44621</v>
      </c>
      <c r="C932" t="s">
        <v>17311</v>
      </c>
      <c r="E932" s="60">
        <v>0</v>
      </c>
      <c r="F932" s="60">
        <v>178875.85600000003</v>
      </c>
      <c r="G932" s="60">
        <v>21648.222388800001</v>
      </c>
      <c r="H932" s="60">
        <v>118536.29531100001</v>
      </c>
      <c r="I932" s="60">
        <v>20889.689624999999</v>
      </c>
      <c r="J932" s="60">
        <v>4392.07755</v>
      </c>
      <c r="K932" s="260">
        <v>1540.518</v>
      </c>
      <c r="L932" s="260">
        <v>11423.106</v>
      </c>
      <c r="M932" s="260">
        <v>0</v>
      </c>
      <c r="N932" s="260">
        <v>445.947</v>
      </c>
      <c r="O932" s="264">
        <v>23188.740388800001</v>
      </c>
      <c r="P932" s="264">
        <v>129959.40131100001</v>
      </c>
      <c r="Q932" s="264">
        <v>20889.689624999999</v>
      </c>
      <c r="R932" s="264">
        <v>4838.0245500000001</v>
      </c>
      <c r="S932" s="60">
        <v>178875.85587480001</v>
      </c>
      <c r="T932" s="60">
        <v>1.2520002201199532E-4</v>
      </c>
    </row>
    <row r="933" spans="1:20">
      <c r="A933" t="s">
        <v>18678</v>
      </c>
      <c r="B933" s="262">
        <v>44627</v>
      </c>
      <c r="C933" t="s">
        <v>16904</v>
      </c>
      <c r="D933" t="s">
        <v>16905</v>
      </c>
      <c r="E933" s="60">
        <v>0</v>
      </c>
      <c r="F933" s="60">
        <v>77060.000999999989</v>
      </c>
      <c r="G933" s="60">
        <v>0</v>
      </c>
      <c r="H933" s="60">
        <v>66146.371199999994</v>
      </c>
      <c r="I933" s="60">
        <v>0</v>
      </c>
      <c r="J933" s="60">
        <v>0</v>
      </c>
      <c r="K933" s="260">
        <v>0</v>
      </c>
      <c r="L933" s="260">
        <v>10913.63</v>
      </c>
      <c r="M933" s="260">
        <v>0</v>
      </c>
      <c r="N933" s="260">
        <v>0</v>
      </c>
      <c r="O933" s="264">
        <v>0</v>
      </c>
      <c r="P933" s="264">
        <v>77060.001199999999</v>
      </c>
      <c r="Q933" s="264">
        <v>0</v>
      </c>
      <c r="R933" s="264">
        <v>0</v>
      </c>
      <c r="S933" s="60">
        <v>77060.001199999999</v>
      </c>
      <c r="T933" s="60">
        <v>-2.0000000949949026E-4</v>
      </c>
    </row>
    <row r="934" spans="1:20">
      <c r="A934" t="s">
        <v>18679</v>
      </c>
      <c r="B934" s="262">
        <v>44628</v>
      </c>
      <c r="C934" t="s">
        <v>16560</v>
      </c>
      <c r="D934" t="s">
        <v>16561</v>
      </c>
      <c r="E934" s="60">
        <v>0</v>
      </c>
      <c r="F934" s="60">
        <v>220102.59600000002</v>
      </c>
      <c r="G934" s="60">
        <v>0</v>
      </c>
      <c r="H934" s="60">
        <v>0</v>
      </c>
      <c r="I934" s="60">
        <v>220102.59600000002</v>
      </c>
      <c r="J934" s="60">
        <v>0</v>
      </c>
      <c r="K934" s="260">
        <v>0</v>
      </c>
      <c r="L934" s="260">
        <v>0</v>
      </c>
      <c r="M934" s="260">
        <v>0</v>
      </c>
      <c r="N934" s="260">
        <v>0</v>
      </c>
      <c r="O934" s="264">
        <v>0</v>
      </c>
      <c r="P934" s="264">
        <v>0</v>
      </c>
      <c r="Q934" s="264">
        <v>220102.59600000002</v>
      </c>
      <c r="R934" s="264">
        <v>0</v>
      </c>
      <c r="S934" s="60">
        <v>220102.59600000002</v>
      </c>
      <c r="T934" s="60">
        <v>0</v>
      </c>
    </row>
    <row r="935" spans="1:20">
      <c r="A935" t="s">
        <v>18680</v>
      </c>
      <c r="B935" s="262">
        <v>44628</v>
      </c>
      <c r="C935" t="s">
        <v>16560</v>
      </c>
      <c r="D935" t="s">
        <v>16561</v>
      </c>
      <c r="E935" s="60">
        <v>0</v>
      </c>
      <c r="F935" s="60">
        <v>220102.59600000002</v>
      </c>
      <c r="G935" s="60">
        <v>0</v>
      </c>
      <c r="H935" s="60">
        <v>0</v>
      </c>
      <c r="I935" s="60">
        <v>220102.59600000002</v>
      </c>
      <c r="J935" s="60">
        <v>0</v>
      </c>
      <c r="K935" s="260">
        <v>0</v>
      </c>
      <c r="L935" s="260">
        <v>0</v>
      </c>
      <c r="M935" s="260">
        <v>0</v>
      </c>
      <c r="N935" s="260">
        <v>0</v>
      </c>
      <c r="O935" s="264">
        <v>0</v>
      </c>
      <c r="P935" s="264">
        <v>0</v>
      </c>
      <c r="Q935" s="264">
        <v>220102.59600000002</v>
      </c>
      <c r="R935" s="264">
        <v>0</v>
      </c>
      <c r="S935" s="60">
        <v>220102.59600000002</v>
      </c>
      <c r="T935" s="60">
        <v>0</v>
      </c>
    </row>
    <row r="936" spans="1:20">
      <c r="A936" t="s">
        <v>18681</v>
      </c>
      <c r="B936" s="262">
        <v>44628</v>
      </c>
      <c r="C936" t="s">
        <v>16560</v>
      </c>
      <c r="D936" t="s">
        <v>16561</v>
      </c>
      <c r="E936" s="60">
        <v>0</v>
      </c>
      <c r="F936" s="60">
        <v>220742.17199999999</v>
      </c>
      <c r="G936" s="60">
        <v>0</v>
      </c>
      <c r="H936" s="60">
        <v>0</v>
      </c>
      <c r="I936" s="60">
        <v>220742.17199999999</v>
      </c>
      <c r="J936" s="60">
        <v>0</v>
      </c>
      <c r="K936" s="260">
        <v>0</v>
      </c>
      <c r="L936" s="260">
        <v>0</v>
      </c>
      <c r="M936" s="260">
        <v>0</v>
      </c>
      <c r="N936" s="260">
        <v>0</v>
      </c>
      <c r="O936" s="264">
        <v>0</v>
      </c>
      <c r="P936" s="264">
        <v>0</v>
      </c>
      <c r="Q936" s="264">
        <v>220742.17199999999</v>
      </c>
      <c r="R936" s="264">
        <v>0</v>
      </c>
      <c r="S936" s="60">
        <v>220742.17199999999</v>
      </c>
      <c r="T936" s="60">
        <v>0</v>
      </c>
    </row>
    <row r="937" spans="1:20">
      <c r="A937" t="s">
        <v>18682</v>
      </c>
      <c r="B937" s="262">
        <v>44628</v>
      </c>
      <c r="C937" t="s">
        <v>16560</v>
      </c>
      <c r="D937" t="s">
        <v>16561</v>
      </c>
      <c r="E937" s="60">
        <v>0</v>
      </c>
      <c r="F937" s="60">
        <v>220480.21799999999</v>
      </c>
      <c r="G937" s="60">
        <v>0</v>
      </c>
      <c r="H937" s="60">
        <v>0</v>
      </c>
      <c r="I937" s="60">
        <v>220480.21799999999</v>
      </c>
      <c r="J937" s="60">
        <v>0</v>
      </c>
      <c r="K937" s="260">
        <v>0</v>
      </c>
      <c r="L937" s="260">
        <v>0</v>
      </c>
      <c r="M937" s="260">
        <v>0</v>
      </c>
      <c r="N937" s="260">
        <v>0</v>
      </c>
      <c r="O937" s="264">
        <v>0</v>
      </c>
      <c r="P937" s="264">
        <v>0</v>
      </c>
      <c r="Q937" s="264">
        <v>220480.21799999999</v>
      </c>
      <c r="R937" s="264">
        <v>0</v>
      </c>
      <c r="S937" s="60">
        <v>220480.21799999999</v>
      </c>
      <c r="T937" s="60">
        <v>0</v>
      </c>
    </row>
    <row r="938" spans="1:20">
      <c r="A938" t="s">
        <v>18683</v>
      </c>
      <c r="B938" s="262">
        <v>44628</v>
      </c>
      <c r="C938" t="s">
        <v>16560</v>
      </c>
      <c r="D938" t="s">
        <v>16561</v>
      </c>
      <c r="E938" s="60">
        <v>0</v>
      </c>
      <c r="F938" s="60">
        <v>221119.79399999999</v>
      </c>
      <c r="G938" s="60">
        <v>0</v>
      </c>
      <c r="H938" s="60">
        <v>0</v>
      </c>
      <c r="I938" s="60">
        <v>221119.79399999999</v>
      </c>
      <c r="J938" s="60">
        <v>0</v>
      </c>
      <c r="K938" s="260">
        <v>0</v>
      </c>
      <c r="L938" s="260">
        <v>0</v>
      </c>
      <c r="M938" s="260">
        <v>0</v>
      </c>
      <c r="N938" s="260">
        <v>0</v>
      </c>
      <c r="O938" s="264">
        <v>0</v>
      </c>
      <c r="P938" s="264">
        <v>0</v>
      </c>
      <c r="Q938" s="264">
        <v>221119.79399999999</v>
      </c>
      <c r="R938" s="264">
        <v>0</v>
      </c>
      <c r="S938" s="60">
        <v>221119.79399999999</v>
      </c>
      <c r="T938" s="60">
        <v>0</v>
      </c>
    </row>
    <row r="939" spans="1:20">
      <c r="A939" t="s">
        <v>18684</v>
      </c>
      <c r="B939" s="262">
        <v>44630</v>
      </c>
      <c r="C939" t="s">
        <v>17017</v>
      </c>
      <c r="D939" t="s">
        <v>17430</v>
      </c>
      <c r="E939" s="60">
        <v>0</v>
      </c>
      <c r="F939" s="60">
        <v>64575</v>
      </c>
      <c r="G939" s="60">
        <v>0</v>
      </c>
      <c r="H939" s="60">
        <v>64575</v>
      </c>
      <c r="I939" s="60">
        <v>0</v>
      </c>
      <c r="J939" s="60">
        <v>0</v>
      </c>
      <c r="K939" s="260">
        <v>0</v>
      </c>
      <c r="L939" s="260">
        <v>0</v>
      </c>
      <c r="M939" s="260">
        <v>0</v>
      </c>
      <c r="N939" s="260">
        <v>0</v>
      </c>
      <c r="O939" s="264">
        <v>0</v>
      </c>
      <c r="P939" s="264">
        <v>64575</v>
      </c>
      <c r="Q939" s="264">
        <v>0</v>
      </c>
      <c r="R939" s="264">
        <v>0</v>
      </c>
      <c r="S939" s="60">
        <v>64575</v>
      </c>
      <c r="T939" s="60">
        <v>0</v>
      </c>
    </row>
    <row r="940" spans="1:20">
      <c r="A940" t="s">
        <v>18685</v>
      </c>
      <c r="B940" s="262">
        <v>44652</v>
      </c>
      <c r="C940" t="s">
        <v>17314</v>
      </c>
      <c r="D940" t="s">
        <v>18686</v>
      </c>
      <c r="E940" s="60">
        <v>0</v>
      </c>
      <c r="F940" s="60">
        <v>68598.077999999994</v>
      </c>
      <c r="G940" s="60">
        <v>60479.577599999997</v>
      </c>
      <c r="H940" s="60">
        <v>0</v>
      </c>
      <c r="I940" s="60">
        <v>0</v>
      </c>
      <c r="J940" s="60">
        <v>0</v>
      </c>
      <c r="K940" s="260">
        <v>8118.5</v>
      </c>
      <c r="L940" s="260">
        <v>0</v>
      </c>
      <c r="M940" s="260">
        <v>0</v>
      </c>
      <c r="N940" s="260">
        <v>0</v>
      </c>
      <c r="O940" s="264">
        <v>68598.07759999999</v>
      </c>
      <c r="P940" s="264">
        <v>0</v>
      </c>
      <c r="Q940" s="264">
        <v>0</v>
      </c>
      <c r="R940" s="264">
        <v>0</v>
      </c>
      <c r="S940" s="60">
        <v>68598.07759999999</v>
      </c>
      <c r="T940" s="60">
        <v>4.0000000444706529E-4</v>
      </c>
    </row>
    <row r="941" spans="1:20">
      <c r="A941" t="s">
        <v>18687</v>
      </c>
      <c r="B941" s="262">
        <v>44630</v>
      </c>
      <c r="C941" t="s">
        <v>17274</v>
      </c>
      <c r="D941" t="s">
        <v>17275</v>
      </c>
      <c r="E941" s="60">
        <v>0</v>
      </c>
      <c r="F941" s="60">
        <v>87090.115999999995</v>
      </c>
      <c r="G941" s="60">
        <v>0</v>
      </c>
      <c r="H941" s="60">
        <v>66061.016839999997</v>
      </c>
      <c r="I941" s="60">
        <v>6841.38</v>
      </c>
      <c r="J941" s="60">
        <v>14187.718999999999</v>
      </c>
      <c r="K941" s="260">
        <v>0</v>
      </c>
      <c r="L941" s="260">
        <v>0</v>
      </c>
      <c r="M941" s="260">
        <v>0</v>
      </c>
      <c r="N941" s="260">
        <v>0</v>
      </c>
      <c r="O941" s="264">
        <v>0</v>
      </c>
      <c r="P941" s="264">
        <v>66061.016839999997</v>
      </c>
      <c r="Q941" s="264">
        <v>6841.38</v>
      </c>
      <c r="R941" s="264">
        <v>14187.718999999999</v>
      </c>
      <c r="S941" s="60">
        <v>87090.115839999999</v>
      </c>
      <c r="T941" s="60">
        <v>1.5999999595806003E-4</v>
      </c>
    </row>
    <row r="942" spans="1:20">
      <c r="A942" t="s">
        <v>18688</v>
      </c>
      <c r="B942" s="262">
        <v>44630</v>
      </c>
      <c r="C942" t="s">
        <v>16904</v>
      </c>
      <c r="D942" t="s">
        <v>16905</v>
      </c>
      <c r="E942" s="60">
        <v>0</v>
      </c>
      <c r="F942" s="60">
        <v>94371.683000000005</v>
      </c>
      <c r="G942" s="60">
        <v>0</v>
      </c>
      <c r="H942" s="60">
        <v>46477.250207999998</v>
      </c>
      <c r="I942" s="60">
        <v>36991.523231999992</v>
      </c>
      <c r="J942" s="60">
        <v>0</v>
      </c>
      <c r="K942" s="260">
        <v>0</v>
      </c>
      <c r="L942" s="260">
        <v>4843.6109999999999</v>
      </c>
      <c r="M942" s="260">
        <v>6059.299</v>
      </c>
      <c r="N942" s="260">
        <v>0</v>
      </c>
      <c r="O942" s="264">
        <v>0</v>
      </c>
      <c r="P942" s="264">
        <v>51320.861207999995</v>
      </c>
      <c r="Q942" s="264">
        <v>43050.822231999991</v>
      </c>
      <c r="R942" s="264">
        <v>0</v>
      </c>
      <c r="S942" s="60">
        <v>94371.683439999993</v>
      </c>
      <c r="T942" s="60">
        <v>-4.3999998888466507E-4</v>
      </c>
    </row>
    <row r="943" spans="1:20">
      <c r="A943" t="s">
        <v>18689</v>
      </c>
      <c r="B943" s="262">
        <v>44635</v>
      </c>
      <c r="C943" t="s">
        <v>17287</v>
      </c>
      <c r="D943" t="s">
        <v>18398</v>
      </c>
      <c r="E943" s="60">
        <v>0</v>
      </c>
      <c r="F943" s="60">
        <v>269598</v>
      </c>
      <c r="G943" s="60">
        <v>269598</v>
      </c>
      <c r="H943" s="60">
        <v>0</v>
      </c>
      <c r="I943" s="60">
        <v>0</v>
      </c>
      <c r="J943" s="60">
        <v>0</v>
      </c>
      <c r="K943" s="260">
        <v>0</v>
      </c>
      <c r="L943" s="260">
        <v>0</v>
      </c>
      <c r="M943" s="260">
        <v>0</v>
      </c>
      <c r="N943" s="260">
        <v>0</v>
      </c>
      <c r="O943" s="264">
        <v>269598</v>
      </c>
      <c r="P943" s="264">
        <v>0</v>
      </c>
      <c r="Q943" s="264">
        <v>0</v>
      </c>
      <c r="R943" s="264">
        <v>0</v>
      </c>
      <c r="S943" s="60">
        <v>269598</v>
      </c>
      <c r="T943" s="60">
        <v>0</v>
      </c>
    </row>
    <row r="944" spans="1:20">
      <c r="A944" t="s">
        <v>18690</v>
      </c>
      <c r="B944" s="262">
        <v>44635</v>
      </c>
      <c r="C944" t="s">
        <v>17284</v>
      </c>
      <c r="D944" t="s">
        <v>18383</v>
      </c>
      <c r="E944" s="60">
        <v>0</v>
      </c>
      <c r="F944" s="60">
        <v>5936</v>
      </c>
      <c r="G944" s="60">
        <v>0</v>
      </c>
      <c r="H944" s="60">
        <v>0</v>
      </c>
      <c r="I944" s="60">
        <v>0</v>
      </c>
      <c r="J944" s="60">
        <v>5936</v>
      </c>
      <c r="K944" s="260">
        <v>0</v>
      </c>
      <c r="L944" s="260">
        <v>0</v>
      </c>
      <c r="M944" s="260">
        <v>0</v>
      </c>
      <c r="N944" s="260">
        <v>0</v>
      </c>
      <c r="O944" s="264">
        <v>0</v>
      </c>
      <c r="P944" s="264">
        <v>0</v>
      </c>
      <c r="Q944" s="264">
        <v>0</v>
      </c>
      <c r="R944" s="264">
        <v>5936</v>
      </c>
      <c r="S944" s="60">
        <v>5936</v>
      </c>
      <c r="T944" s="60">
        <v>0</v>
      </c>
    </row>
    <row r="945" spans="1:20">
      <c r="A945" t="s">
        <v>18691</v>
      </c>
      <c r="B945" s="262">
        <v>44652</v>
      </c>
      <c r="C945" t="s">
        <v>16838</v>
      </c>
      <c r="D945" t="s">
        <v>16839</v>
      </c>
      <c r="E945" s="60">
        <v>0</v>
      </c>
      <c r="F945" s="60">
        <v>218153.60000000001</v>
      </c>
      <c r="G945" s="60">
        <v>8366.4</v>
      </c>
      <c r="H945" s="60">
        <v>45427.199999999997</v>
      </c>
      <c r="I945" s="60">
        <v>164360</v>
      </c>
      <c r="J945" s="60">
        <v>0</v>
      </c>
      <c r="K945" s="260">
        <v>0</v>
      </c>
      <c r="L945" s="260">
        <v>0</v>
      </c>
      <c r="M945" s="260">
        <v>0</v>
      </c>
      <c r="N945" s="260">
        <v>0</v>
      </c>
      <c r="O945" s="264">
        <v>8366.4</v>
      </c>
      <c r="P945" s="264">
        <v>45427.199999999997</v>
      </c>
      <c r="Q945" s="264">
        <v>164360</v>
      </c>
      <c r="R945" s="264">
        <v>0</v>
      </c>
      <c r="S945" s="60">
        <v>218153.60000000001</v>
      </c>
      <c r="T945" s="60">
        <v>0</v>
      </c>
    </row>
    <row r="946" spans="1:20">
      <c r="A946" t="s">
        <v>18692</v>
      </c>
      <c r="B946" s="262">
        <v>44635</v>
      </c>
      <c r="C946" t="s">
        <v>16838</v>
      </c>
      <c r="D946" t="s">
        <v>16839</v>
      </c>
      <c r="E946" s="60">
        <v>0</v>
      </c>
      <c r="F946" s="60">
        <v>593788</v>
      </c>
      <c r="G946" s="60">
        <v>539788</v>
      </c>
      <c r="H946" s="60">
        <v>54000</v>
      </c>
      <c r="I946" s="60">
        <v>0</v>
      </c>
      <c r="J946" s="60">
        <v>0</v>
      </c>
      <c r="K946" s="260">
        <v>0</v>
      </c>
      <c r="L946" s="260">
        <v>0</v>
      </c>
      <c r="M946" s="260">
        <v>0</v>
      </c>
      <c r="N946" s="260">
        <v>0</v>
      </c>
      <c r="O946" s="264">
        <v>539788</v>
      </c>
      <c r="P946" s="264">
        <v>54000</v>
      </c>
      <c r="Q946" s="264">
        <v>0</v>
      </c>
      <c r="R946" s="264">
        <v>0</v>
      </c>
      <c r="S946" s="60">
        <v>593788</v>
      </c>
      <c r="T946" s="60">
        <v>0</v>
      </c>
    </row>
    <row r="947" spans="1:20">
      <c r="A947" t="s">
        <v>18693</v>
      </c>
      <c r="B947" s="262">
        <v>44638</v>
      </c>
      <c r="C947" t="s">
        <v>17272</v>
      </c>
      <c r="D947" t="s">
        <v>17273</v>
      </c>
      <c r="E947" s="60">
        <v>0</v>
      </c>
      <c r="F947" s="60">
        <v>28196.799999999999</v>
      </c>
      <c r="G947" s="60">
        <v>0</v>
      </c>
      <c r="H947" s="60">
        <v>20326.8</v>
      </c>
      <c r="I947" s="60">
        <v>4950</v>
      </c>
      <c r="J947" s="60">
        <v>2920</v>
      </c>
      <c r="K947" s="260">
        <v>0</v>
      </c>
      <c r="L947" s="260">
        <v>0</v>
      </c>
      <c r="M947" s="260">
        <v>0</v>
      </c>
      <c r="N947" s="260">
        <v>0</v>
      </c>
      <c r="O947" s="264">
        <v>0</v>
      </c>
      <c r="P947" s="264">
        <v>20326.8</v>
      </c>
      <c r="Q947" s="264">
        <v>4950</v>
      </c>
      <c r="R947" s="264">
        <v>2920</v>
      </c>
      <c r="S947" s="60">
        <v>28196.799999999999</v>
      </c>
      <c r="T947" s="60">
        <v>0</v>
      </c>
    </row>
    <row r="948" spans="1:20">
      <c r="A948" t="s">
        <v>18694</v>
      </c>
      <c r="B948" s="262">
        <v>44638</v>
      </c>
      <c r="C948" t="s">
        <v>16444</v>
      </c>
      <c r="D948" t="s">
        <v>16445</v>
      </c>
      <c r="E948" s="60">
        <v>0</v>
      </c>
      <c r="F948" s="60">
        <v>148704</v>
      </c>
      <c r="G948" s="60">
        <v>148704</v>
      </c>
      <c r="H948" s="60">
        <v>0</v>
      </c>
      <c r="I948" s="60">
        <v>0</v>
      </c>
      <c r="J948" s="60">
        <v>0</v>
      </c>
      <c r="K948" s="260">
        <v>0</v>
      </c>
      <c r="L948" s="260">
        <v>0</v>
      </c>
      <c r="M948" s="260">
        <v>0</v>
      </c>
      <c r="N948" s="260">
        <v>0</v>
      </c>
      <c r="O948" s="264">
        <v>148704</v>
      </c>
      <c r="P948" s="264">
        <v>0</v>
      </c>
      <c r="Q948" s="264">
        <v>0</v>
      </c>
      <c r="R948" s="264">
        <v>0</v>
      </c>
      <c r="S948" s="60">
        <v>148704</v>
      </c>
      <c r="T948" s="60">
        <v>0</v>
      </c>
    </row>
    <row r="949" spans="1:20">
      <c r="A949" t="s">
        <v>18695</v>
      </c>
      <c r="B949" s="262">
        <v>44638</v>
      </c>
      <c r="C949" t="s">
        <v>17233</v>
      </c>
      <c r="D949" t="s">
        <v>17234</v>
      </c>
      <c r="E949" s="60">
        <v>0</v>
      </c>
      <c r="F949" s="60">
        <v>815609.65500000003</v>
      </c>
      <c r="G949" s="60">
        <v>0</v>
      </c>
      <c r="H949" s="60">
        <v>570926.7585</v>
      </c>
      <c r="I949" s="60">
        <v>244682.89649999994</v>
      </c>
      <c r="J949" s="60">
        <v>0</v>
      </c>
      <c r="K949" s="260">
        <v>0</v>
      </c>
      <c r="L949" s="260">
        <v>0</v>
      </c>
      <c r="M949" s="260">
        <v>0</v>
      </c>
      <c r="N949" s="260">
        <v>0</v>
      </c>
      <c r="O949" s="264">
        <v>0</v>
      </c>
      <c r="P949" s="264">
        <v>570926.7585</v>
      </c>
      <c r="Q949" s="264">
        <v>244682.89649999994</v>
      </c>
      <c r="R949" s="264">
        <v>0</v>
      </c>
      <c r="S949" s="60">
        <v>815609.65499999991</v>
      </c>
      <c r="T949" s="60">
        <v>0</v>
      </c>
    </row>
    <row r="950" spans="1:20">
      <c r="A950" t="s">
        <v>18696</v>
      </c>
      <c r="B950" s="262">
        <v>44639</v>
      </c>
      <c r="C950" t="s">
        <v>16783</v>
      </c>
      <c r="D950" t="s">
        <v>17509</v>
      </c>
      <c r="E950" s="60">
        <v>0</v>
      </c>
      <c r="F950" s="60">
        <v>1144088.064</v>
      </c>
      <c r="G950" s="60">
        <v>0</v>
      </c>
      <c r="H950" s="60">
        <v>1024912.2240000004</v>
      </c>
      <c r="I950" s="60">
        <v>119175.84</v>
      </c>
      <c r="J950" s="60">
        <v>0</v>
      </c>
      <c r="K950" s="260">
        <v>0</v>
      </c>
      <c r="L950" s="260">
        <v>0</v>
      </c>
      <c r="M950" s="260">
        <v>0</v>
      </c>
      <c r="N950" s="260">
        <v>0</v>
      </c>
      <c r="O950" s="264">
        <v>0</v>
      </c>
      <c r="P950" s="264">
        <v>1024912.2240000004</v>
      </c>
      <c r="Q950" s="264">
        <v>119175.84</v>
      </c>
      <c r="R950" s="264">
        <v>0</v>
      </c>
      <c r="S950" s="60">
        <v>1144088.0640000005</v>
      </c>
      <c r="T950" s="60">
        <v>0</v>
      </c>
    </row>
    <row r="951" spans="1:20">
      <c r="A951" t="s">
        <v>18697</v>
      </c>
      <c r="B951" s="262">
        <v>44639</v>
      </c>
      <c r="C951" t="s">
        <v>17017</v>
      </c>
      <c r="D951" t="s">
        <v>17430</v>
      </c>
      <c r="E951" s="60">
        <v>0</v>
      </c>
      <c r="F951" s="60">
        <v>61000</v>
      </c>
      <c r="G951" s="60">
        <v>0</v>
      </c>
      <c r="H951" s="60">
        <v>61000</v>
      </c>
      <c r="I951" s="60">
        <v>0</v>
      </c>
      <c r="J951" s="60">
        <v>0</v>
      </c>
      <c r="K951" s="260">
        <v>0</v>
      </c>
      <c r="L951" s="260">
        <v>0</v>
      </c>
      <c r="M951" s="260">
        <v>0</v>
      </c>
      <c r="N951" s="260">
        <v>0</v>
      </c>
      <c r="O951" s="264">
        <v>0</v>
      </c>
      <c r="P951" s="264">
        <v>61000</v>
      </c>
      <c r="Q951" s="264">
        <v>0</v>
      </c>
      <c r="R951" s="264">
        <v>0</v>
      </c>
      <c r="S951" s="60">
        <v>61000</v>
      </c>
      <c r="T951" s="60">
        <v>0</v>
      </c>
    </row>
    <row r="952" spans="1:20">
      <c r="A952" t="s">
        <v>18698</v>
      </c>
      <c r="B952" s="262">
        <v>44643</v>
      </c>
      <c r="C952" t="s">
        <v>17299</v>
      </c>
      <c r="D952" t="s">
        <v>18631</v>
      </c>
      <c r="E952" s="60">
        <v>0</v>
      </c>
      <c r="F952" s="60">
        <v>217766.70699999999</v>
      </c>
      <c r="G952" s="60">
        <v>217766.70719999998</v>
      </c>
      <c r="H952" s="60">
        <v>0</v>
      </c>
      <c r="I952" s="60">
        <v>0</v>
      </c>
      <c r="J952" s="60">
        <v>0</v>
      </c>
      <c r="K952" s="260">
        <v>0</v>
      </c>
      <c r="L952" s="260">
        <v>0</v>
      </c>
      <c r="M952" s="260">
        <v>0</v>
      </c>
      <c r="N952" s="260">
        <v>0</v>
      </c>
      <c r="O952" s="264">
        <v>217766.70719999998</v>
      </c>
      <c r="P952" s="264">
        <v>0</v>
      </c>
      <c r="Q952" s="264">
        <v>0</v>
      </c>
      <c r="R952" s="264">
        <v>0</v>
      </c>
      <c r="S952" s="60">
        <v>217766.70719999998</v>
      </c>
      <c r="T952" s="60">
        <v>-1.999999803956598E-4</v>
      </c>
    </row>
    <row r="953" spans="1:20">
      <c r="A953" t="s">
        <v>18699</v>
      </c>
      <c r="B953" s="262">
        <v>44644</v>
      </c>
      <c r="C953" t="s">
        <v>17319</v>
      </c>
      <c r="D953" t="s">
        <v>18700</v>
      </c>
      <c r="E953" s="60">
        <v>0</v>
      </c>
      <c r="F953" s="60">
        <v>298303.99199999997</v>
      </c>
      <c r="G953" s="60">
        <v>0</v>
      </c>
      <c r="H953" s="60">
        <v>236749.2</v>
      </c>
      <c r="I953" s="60">
        <v>61554.792000000001</v>
      </c>
      <c r="J953" s="60">
        <v>0</v>
      </c>
      <c r="K953" s="260">
        <v>0</v>
      </c>
      <c r="L953" s="260">
        <v>0</v>
      </c>
      <c r="M953" s="260">
        <v>0</v>
      </c>
      <c r="N953" s="260">
        <v>0</v>
      </c>
      <c r="O953" s="264">
        <v>0</v>
      </c>
      <c r="P953" s="264">
        <v>236749.2</v>
      </c>
      <c r="Q953" s="264">
        <v>61554.792000000001</v>
      </c>
      <c r="R953" s="264">
        <v>0</v>
      </c>
      <c r="S953" s="60">
        <v>298303.99200000003</v>
      </c>
      <c r="T953" s="60">
        <v>0</v>
      </c>
    </row>
    <row r="954" spans="1:20">
      <c r="A954" t="s">
        <v>18701</v>
      </c>
      <c r="B954" s="262">
        <v>44683</v>
      </c>
      <c r="C954" t="s">
        <v>17317</v>
      </c>
      <c r="D954" t="s">
        <v>17318</v>
      </c>
      <c r="E954" s="60">
        <v>0</v>
      </c>
      <c r="F954" s="60">
        <v>26742.799999999999</v>
      </c>
      <c r="G954" s="60">
        <v>3484.8</v>
      </c>
      <c r="H954" s="60">
        <v>7362</v>
      </c>
      <c r="I954" s="60">
        <v>9750</v>
      </c>
      <c r="J954" s="60">
        <v>6146</v>
      </c>
      <c r="K954" s="260">
        <v>0</v>
      </c>
      <c r="L954" s="260">
        <v>0</v>
      </c>
      <c r="M954" s="260">
        <v>0</v>
      </c>
      <c r="N954" s="260">
        <v>0</v>
      </c>
      <c r="O954" s="264">
        <v>3484.8</v>
      </c>
      <c r="P954" s="264">
        <v>7362</v>
      </c>
      <c r="Q954" s="264">
        <v>9750</v>
      </c>
      <c r="R954" s="264">
        <v>6146</v>
      </c>
      <c r="S954" s="60">
        <v>26742.799999999999</v>
      </c>
      <c r="T954" s="60">
        <v>0</v>
      </c>
    </row>
    <row r="955" spans="1:20">
      <c r="A955" t="s">
        <v>18702</v>
      </c>
      <c r="B955" s="262">
        <v>44652</v>
      </c>
      <c r="C955" t="s">
        <v>16838</v>
      </c>
      <c r="D955" t="s">
        <v>16839</v>
      </c>
      <c r="E955" s="60">
        <v>0</v>
      </c>
      <c r="F955" s="60">
        <v>201373.2</v>
      </c>
      <c r="G955" s="60">
        <v>0</v>
      </c>
      <c r="H955" s="60">
        <v>201373.2</v>
      </c>
      <c r="I955" s="60">
        <v>0</v>
      </c>
      <c r="J955" s="60">
        <v>0</v>
      </c>
      <c r="K955" s="260">
        <v>0</v>
      </c>
      <c r="L955" s="260">
        <v>0</v>
      </c>
      <c r="M955" s="260">
        <v>0</v>
      </c>
      <c r="N955" s="260">
        <v>0</v>
      </c>
      <c r="O955" s="264">
        <v>0</v>
      </c>
      <c r="P955" s="264">
        <v>201373.2</v>
      </c>
      <c r="Q955" s="264">
        <v>0</v>
      </c>
      <c r="R955" s="264">
        <v>0</v>
      </c>
      <c r="S955" s="60">
        <v>201373.2</v>
      </c>
      <c r="T955" s="60">
        <v>0</v>
      </c>
    </row>
    <row r="956" spans="1:20">
      <c r="A956" t="s">
        <v>18703</v>
      </c>
      <c r="B956" s="262">
        <v>44652</v>
      </c>
      <c r="C956" t="s">
        <v>17309</v>
      </c>
      <c r="D956" t="s">
        <v>18704</v>
      </c>
      <c r="E956" s="60">
        <v>0</v>
      </c>
      <c r="F956" s="60">
        <v>561162</v>
      </c>
      <c r="G956" s="60">
        <v>0</v>
      </c>
      <c r="H956" s="60">
        <v>561162</v>
      </c>
      <c r="I956" s="60">
        <v>0</v>
      </c>
      <c r="J956" s="60">
        <v>0</v>
      </c>
      <c r="K956" s="260">
        <v>0</v>
      </c>
      <c r="L956" s="260">
        <v>0</v>
      </c>
      <c r="M956" s="260">
        <v>0</v>
      </c>
      <c r="N956" s="260">
        <v>0</v>
      </c>
      <c r="O956" s="264">
        <v>0</v>
      </c>
      <c r="P956" s="264">
        <v>561162</v>
      </c>
      <c r="Q956" s="264">
        <v>0</v>
      </c>
      <c r="R956" s="264">
        <v>0</v>
      </c>
      <c r="S956" s="60">
        <v>561162</v>
      </c>
      <c r="T956" s="60">
        <v>0</v>
      </c>
    </row>
    <row r="957" spans="1:20">
      <c r="A957" t="s">
        <v>18705</v>
      </c>
      <c r="B957" s="262">
        <v>44658</v>
      </c>
      <c r="C957" t="s">
        <v>16880</v>
      </c>
      <c r="D957" t="s">
        <v>16881</v>
      </c>
      <c r="E957" s="60">
        <v>0</v>
      </c>
      <c r="F957" s="60">
        <v>93522.356</v>
      </c>
      <c r="G957" s="60">
        <v>0</v>
      </c>
      <c r="H957" s="60">
        <v>93522.355884000004</v>
      </c>
      <c r="I957" s="60">
        <v>0</v>
      </c>
      <c r="J957" s="60">
        <v>0</v>
      </c>
      <c r="K957" s="260">
        <v>0</v>
      </c>
      <c r="L957" s="260">
        <v>0</v>
      </c>
      <c r="M957" s="260">
        <v>0</v>
      </c>
      <c r="N957" s="260">
        <v>0</v>
      </c>
      <c r="O957" s="264">
        <v>0</v>
      </c>
      <c r="P957" s="264">
        <v>93522.355884000004</v>
      </c>
      <c r="Q957" s="264">
        <v>0</v>
      </c>
      <c r="R957" s="264">
        <v>0</v>
      </c>
      <c r="S957" s="60">
        <v>93522.355884000004</v>
      </c>
      <c r="T957" s="60">
        <v>1.15999995614402E-4</v>
      </c>
    </row>
    <row r="958" spans="1:20">
      <c r="A958" t="s">
        <v>18706</v>
      </c>
      <c r="B958" s="262">
        <v>44658</v>
      </c>
      <c r="C958" t="s">
        <v>17017</v>
      </c>
      <c r="D958" t="s">
        <v>17430</v>
      </c>
      <c r="E958" s="60">
        <v>0</v>
      </c>
      <c r="F958" s="60">
        <v>76266.12</v>
      </c>
      <c r="G958" s="60">
        <v>0</v>
      </c>
      <c r="H958" s="60">
        <v>48966.12</v>
      </c>
      <c r="I958" s="60">
        <v>26220</v>
      </c>
      <c r="J958" s="60">
        <v>1080</v>
      </c>
      <c r="K958" s="260">
        <v>0</v>
      </c>
      <c r="L958" s="260">
        <v>0</v>
      </c>
      <c r="M958" s="260">
        <v>0</v>
      </c>
      <c r="N958" s="260">
        <v>0</v>
      </c>
      <c r="O958" s="264">
        <v>0</v>
      </c>
      <c r="P958" s="264">
        <v>48966.12</v>
      </c>
      <c r="Q958" s="264">
        <v>26220</v>
      </c>
      <c r="R958" s="264">
        <v>1080</v>
      </c>
      <c r="S958" s="60">
        <v>76266.12</v>
      </c>
      <c r="T958" s="60">
        <v>0</v>
      </c>
    </row>
    <row r="959" spans="1:20">
      <c r="A959" t="s">
        <v>18707</v>
      </c>
      <c r="B959" s="262">
        <v>44658</v>
      </c>
      <c r="C959" t="s">
        <v>16779</v>
      </c>
      <c r="D959" t="s">
        <v>17613</v>
      </c>
      <c r="E959" s="60">
        <v>0</v>
      </c>
      <c r="F959" s="60">
        <v>86363.221999999994</v>
      </c>
      <c r="G959" s="60">
        <v>0</v>
      </c>
      <c r="H959" s="60">
        <v>43874.656416000005</v>
      </c>
      <c r="I959" s="60">
        <v>31440.246552000001</v>
      </c>
      <c r="J959" s="60">
        <v>11048.31855</v>
      </c>
      <c r="K959" s="260">
        <v>0</v>
      </c>
      <c r="L959" s="260">
        <v>0</v>
      </c>
      <c r="M959" s="260">
        <v>0</v>
      </c>
      <c r="N959" s="260">
        <v>0</v>
      </c>
      <c r="O959" s="264">
        <v>0</v>
      </c>
      <c r="P959" s="264">
        <v>43874.656416000005</v>
      </c>
      <c r="Q959" s="264">
        <v>31440.246552000001</v>
      </c>
      <c r="R959" s="264">
        <v>11048.31855</v>
      </c>
      <c r="S959" s="60">
        <v>86363.221518000006</v>
      </c>
      <c r="T959" s="60">
        <v>4.8199998855125159E-4</v>
      </c>
    </row>
    <row r="960" spans="1:20">
      <c r="A960" t="s">
        <v>18708</v>
      </c>
      <c r="B960" s="262">
        <v>44658</v>
      </c>
      <c r="C960" t="s">
        <v>16904</v>
      </c>
      <c r="D960" t="s">
        <v>16905</v>
      </c>
      <c r="E960" s="60">
        <v>0</v>
      </c>
      <c r="F960" s="60">
        <v>95667.203999999998</v>
      </c>
      <c r="G960" s="60">
        <v>0</v>
      </c>
      <c r="H960" s="60">
        <v>54671.928251999998</v>
      </c>
      <c r="I960" s="60">
        <v>28935.311052000001</v>
      </c>
      <c r="J960" s="60">
        <v>0</v>
      </c>
      <c r="K960" s="260">
        <v>0</v>
      </c>
      <c r="L960" s="260">
        <v>8242.9172541703247</v>
      </c>
      <c r="M960" s="260">
        <v>3817.047745829675</v>
      </c>
      <c r="N960" s="260">
        <v>0</v>
      </c>
      <c r="O960" s="264">
        <v>0</v>
      </c>
      <c r="P960" s="264">
        <v>62914.845506170321</v>
      </c>
      <c r="Q960" s="264">
        <v>32752.358797829675</v>
      </c>
      <c r="R960" s="264">
        <v>0</v>
      </c>
      <c r="S960" s="60">
        <v>95667.204303999999</v>
      </c>
      <c r="T960" s="60">
        <v>-3.0400000105146319E-4</v>
      </c>
    </row>
    <row r="961" spans="1:20">
      <c r="A961" t="s">
        <v>18709</v>
      </c>
      <c r="B961" s="262">
        <v>44658</v>
      </c>
      <c r="C961" t="s">
        <v>16904</v>
      </c>
      <c r="D961" t="s">
        <v>16905</v>
      </c>
      <c r="E961" s="60">
        <v>0</v>
      </c>
      <c r="F961" s="60">
        <v>95667.203999999998</v>
      </c>
      <c r="G961" s="60">
        <v>0</v>
      </c>
      <c r="H961" s="60">
        <v>52392.399299999997</v>
      </c>
      <c r="I961" s="60">
        <v>31214.840003999998</v>
      </c>
      <c r="J961" s="60">
        <v>0</v>
      </c>
      <c r="K961" s="260">
        <v>0</v>
      </c>
      <c r="L961" s="260">
        <v>8544.6810842844588</v>
      </c>
      <c r="M961" s="260">
        <v>3515.2839157155399</v>
      </c>
      <c r="N961" s="260">
        <v>0</v>
      </c>
      <c r="O961" s="264">
        <v>0</v>
      </c>
      <c r="P961" s="264">
        <v>60937.080384284454</v>
      </c>
      <c r="Q961" s="264">
        <v>34730.123919715537</v>
      </c>
      <c r="R961" s="264">
        <v>0</v>
      </c>
      <c r="S961" s="60">
        <v>95667.204303999984</v>
      </c>
      <c r="T961" s="60">
        <v>-3.0399998649954796E-4</v>
      </c>
    </row>
    <row r="962" spans="1:20">
      <c r="A962" t="s">
        <v>18710</v>
      </c>
      <c r="B962" s="262">
        <v>44658</v>
      </c>
      <c r="C962" t="s">
        <v>16904</v>
      </c>
      <c r="D962" t="s">
        <v>16905</v>
      </c>
      <c r="E962" s="60">
        <v>0</v>
      </c>
      <c r="F962" s="60">
        <v>95657.816999999995</v>
      </c>
      <c r="G962" s="60">
        <v>0</v>
      </c>
      <c r="H962" s="60">
        <v>54341.028888000001</v>
      </c>
      <c r="I962" s="60">
        <v>29256.823200000003</v>
      </c>
      <c r="J962" s="60">
        <v>0</v>
      </c>
      <c r="K962" s="260">
        <v>0</v>
      </c>
      <c r="L962" s="260">
        <v>7401.1549912203682</v>
      </c>
      <c r="M962" s="260">
        <v>4658.8100087796311</v>
      </c>
      <c r="N962" s="260">
        <v>0</v>
      </c>
      <c r="O962" s="264">
        <v>0</v>
      </c>
      <c r="P962" s="264">
        <v>61742.183879220371</v>
      </c>
      <c r="Q962" s="264">
        <v>33915.633208779633</v>
      </c>
      <c r="R962" s="264">
        <v>0</v>
      </c>
      <c r="S962" s="60">
        <v>95657.817088000011</v>
      </c>
      <c r="T962" s="60">
        <v>-8.8000015239231288E-5</v>
      </c>
    </row>
    <row r="963" spans="1:20">
      <c r="A963" t="s">
        <v>18711</v>
      </c>
      <c r="B963" s="262">
        <v>44658</v>
      </c>
      <c r="C963" t="s">
        <v>16444</v>
      </c>
      <c r="D963" t="s">
        <v>16445</v>
      </c>
      <c r="E963" s="60">
        <v>0</v>
      </c>
      <c r="F963" s="60">
        <v>124125.12</v>
      </c>
      <c r="G963" s="60">
        <v>124125.12</v>
      </c>
      <c r="H963" s="60">
        <v>0</v>
      </c>
      <c r="I963" s="60">
        <v>0</v>
      </c>
      <c r="J963" s="60">
        <v>0</v>
      </c>
      <c r="K963" s="260">
        <v>0</v>
      </c>
      <c r="L963" s="260">
        <v>0</v>
      </c>
      <c r="M963" s="260">
        <v>0</v>
      </c>
      <c r="N963" s="260">
        <v>0</v>
      </c>
      <c r="O963" s="264">
        <v>124125.12</v>
      </c>
      <c r="P963" s="264">
        <v>0</v>
      </c>
      <c r="Q963" s="264">
        <v>0</v>
      </c>
      <c r="R963" s="264">
        <v>0</v>
      </c>
      <c r="S963" s="60">
        <v>124125.12</v>
      </c>
      <c r="T963" s="60">
        <v>0</v>
      </c>
    </row>
    <row r="964" spans="1:20">
      <c r="A964" t="s">
        <v>18712</v>
      </c>
      <c r="B964" s="262">
        <v>44658</v>
      </c>
      <c r="C964" t="s">
        <v>16972</v>
      </c>
      <c r="D964" t="s">
        <v>17424</v>
      </c>
      <c r="E964" s="60">
        <v>0</v>
      </c>
      <c r="F964" s="60">
        <v>501200</v>
      </c>
      <c r="G964" s="60">
        <v>0</v>
      </c>
      <c r="H964" s="60">
        <v>0</v>
      </c>
      <c r="I964" s="60">
        <v>501200</v>
      </c>
      <c r="J964" s="60">
        <v>0</v>
      </c>
      <c r="K964" s="260">
        <v>0</v>
      </c>
      <c r="L964" s="260">
        <v>0</v>
      </c>
      <c r="M964" s="260">
        <v>0</v>
      </c>
      <c r="N964" s="260">
        <v>0</v>
      </c>
      <c r="O964" s="264">
        <v>0</v>
      </c>
      <c r="P964" s="264">
        <v>0</v>
      </c>
      <c r="Q964" s="264">
        <v>501200</v>
      </c>
      <c r="R964" s="264">
        <v>0</v>
      </c>
      <c r="S964" s="60">
        <v>501200</v>
      </c>
      <c r="T964" s="60">
        <v>0</v>
      </c>
    </row>
    <row r="965" spans="1:20">
      <c r="A965" t="s">
        <v>18713</v>
      </c>
      <c r="B965" s="262">
        <v>44658</v>
      </c>
      <c r="C965" t="s">
        <v>16972</v>
      </c>
      <c r="D965" t="s">
        <v>17424</v>
      </c>
      <c r="E965" s="60">
        <v>0</v>
      </c>
      <c r="F965" s="60">
        <v>250600</v>
      </c>
      <c r="G965" s="60">
        <v>0</v>
      </c>
      <c r="H965" s="60">
        <v>0</v>
      </c>
      <c r="I965" s="60">
        <v>250600</v>
      </c>
      <c r="J965" s="60">
        <v>0</v>
      </c>
      <c r="K965" s="260">
        <v>0</v>
      </c>
      <c r="L965" s="260">
        <v>0</v>
      </c>
      <c r="M965" s="260">
        <v>0</v>
      </c>
      <c r="N965" s="260">
        <v>0</v>
      </c>
      <c r="O965" s="264">
        <v>0</v>
      </c>
      <c r="P965" s="264">
        <v>0</v>
      </c>
      <c r="Q965" s="264">
        <v>250600</v>
      </c>
      <c r="R965" s="264">
        <v>0</v>
      </c>
      <c r="S965" s="60">
        <v>250600</v>
      </c>
      <c r="T965" s="60">
        <v>0</v>
      </c>
    </row>
    <row r="966" spans="1:20">
      <c r="A966" t="s">
        <v>18714</v>
      </c>
      <c r="B966" s="262">
        <v>44658</v>
      </c>
      <c r="C966" t="s">
        <v>17209</v>
      </c>
      <c r="D966" t="s">
        <v>17210</v>
      </c>
      <c r="E966" s="60">
        <v>0</v>
      </c>
      <c r="F966" s="60">
        <v>45760.687999999995</v>
      </c>
      <c r="G966" s="60">
        <v>41110.455420000006</v>
      </c>
      <c r="H966" s="60">
        <v>0</v>
      </c>
      <c r="I966" s="60">
        <v>0</v>
      </c>
      <c r="J966" s="60">
        <v>0</v>
      </c>
      <c r="K966" s="260">
        <v>4650.2325000000001</v>
      </c>
      <c r="L966" s="260">
        <v>0</v>
      </c>
      <c r="M966" s="260">
        <v>0</v>
      </c>
      <c r="N966" s="260">
        <v>0</v>
      </c>
      <c r="O966" s="264">
        <v>45760.687920000004</v>
      </c>
      <c r="P966" s="264">
        <v>0</v>
      </c>
      <c r="Q966" s="264">
        <v>0</v>
      </c>
      <c r="R966" s="264">
        <v>0</v>
      </c>
      <c r="S966" s="60">
        <v>45760.687920000004</v>
      </c>
      <c r="T966" s="60">
        <v>7.9999990703072399E-5</v>
      </c>
    </row>
    <row r="967" spans="1:20">
      <c r="A967" t="s">
        <v>18715</v>
      </c>
      <c r="B967" s="262">
        <v>44658</v>
      </c>
      <c r="C967" t="s">
        <v>17017</v>
      </c>
      <c r="D967" t="s">
        <v>17430</v>
      </c>
      <c r="E967" s="60">
        <v>0</v>
      </c>
      <c r="F967" s="60">
        <v>138170</v>
      </c>
      <c r="G967" s="60">
        <v>0</v>
      </c>
      <c r="H967" s="60">
        <v>138170</v>
      </c>
      <c r="I967" s="60">
        <v>0</v>
      </c>
      <c r="J967" s="60">
        <v>0</v>
      </c>
      <c r="K967" s="260">
        <v>0</v>
      </c>
      <c r="L967" s="260">
        <v>0</v>
      </c>
      <c r="M967" s="260">
        <v>0</v>
      </c>
      <c r="N967" s="260">
        <v>0</v>
      </c>
      <c r="O967" s="264">
        <v>0</v>
      </c>
      <c r="P967" s="264">
        <v>138170</v>
      </c>
      <c r="Q967" s="264">
        <v>0</v>
      </c>
      <c r="R967" s="264">
        <v>0</v>
      </c>
      <c r="S967" s="60">
        <v>138170</v>
      </c>
      <c r="T967" s="60">
        <v>0</v>
      </c>
    </row>
    <row r="968" spans="1:20">
      <c r="A968" t="s">
        <v>18716</v>
      </c>
      <c r="B968" s="262">
        <v>44683</v>
      </c>
      <c r="C968" t="s">
        <v>17017</v>
      </c>
      <c r="D968" t="s">
        <v>17430</v>
      </c>
      <c r="E968" s="60">
        <v>0</v>
      </c>
      <c r="F968" s="60">
        <v>65300</v>
      </c>
      <c r="G968" s="60">
        <v>0</v>
      </c>
      <c r="H968" s="60">
        <v>65300</v>
      </c>
      <c r="I968" s="60">
        <v>0</v>
      </c>
      <c r="J968" s="60">
        <v>0</v>
      </c>
      <c r="K968" s="260">
        <v>0</v>
      </c>
      <c r="L968" s="260">
        <v>0</v>
      </c>
      <c r="M968" s="260">
        <v>0</v>
      </c>
      <c r="N968" s="260">
        <v>0</v>
      </c>
      <c r="O968" s="264">
        <v>0</v>
      </c>
      <c r="P968" s="264">
        <v>65300</v>
      </c>
      <c r="Q968" s="264">
        <v>0</v>
      </c>
      <c r="R968" s="264">
        <v>0</v>
      </c>
      <c r="S968" s="60">
        <v>65300</v>
      </c>
      <c r="T968" s="60">
        <v>0</v>
      </c>
    </row>
    <row r="969" spans="1:20">
      <c r="A969" t="s">
        <v>18717</v>
      </c>
      <c r="B969" s="262">
        <v>44658</v>
      </c>
      <c r="C969" t="s">
        <v>16444</v>
      </c>
      <c r="D969" t="s">
        <v>16445</v>
      </c>
      <c r="E969" s="60">
        <v>0</v>
      </c>
      <c r="F969" s="60">
        <v>97872.5</v>
      </c>
      <c r="G969" s="60">
        <v>97872.5</v>
      </c>
      <c r="H969" s="60">
        <v>0</v>
      </c>
      <c r="I969" s="60">
        <v>0</v>
      </c>
      <c r="J969" s="60">
        <v>0</v>
      </c>
      <c r="K969" s="260">
        <v>0</v>
      </c>
      <c r="L969" s="260">
        <v>0</v>
      </c>
      <c r="M969" s="260">
        <v>0</v>
      </c>
      <c r="N969" s="260">
        <v>0</v>
      </c>
      <c r="O969" s="264">
        <v>97872.5</v>
      </c>
      <c r="P969" s="264">
        <v>0</v>
      </c>
      <c r="Q969" s="264">
        <v>0</v>
      </c>
      <c r="R969" s="264">
        <v>0</v>
      </c>
      <c r="S969" s="60">
        <v>97872.5</v>
      </c>
      <c r="T969" s="60">
        <v>0</v>
      </c>
    </row>
    <row r="970" spans="1:20">
      <c r="A970" t="s">
        <v>18718</v>
      </c>
      <c r="B970" s="262">
        <v>44660</v>
      </c>
      <c r="C970" t="s">
        <v>17321</v>
      </c>
      <c r="D970" t="s">
        <v>18719</v>
      </c>
      <c r="E970" s="60">
        <v>0</v>
      </c>
      <c r="F970" s="60">
        <v>66456.520999999993</v>
      </c>
      <c r="G970" s="60">
        <v>0</v>
      </c>
      <c r="H970" s="60">
        <v>0</v>
      </c>
      <c r="I970" s="60">
        <v>0</v>
      </c>
      <c r="J970" s="60">
        <v>66456.520499999984</v>
      </c>
      <c r="K970" s="260">
        <v>0</v>
      </c>
      <c r="L970" s="260">
        <v>0</v>
      </c>
      <c r="M970" s="260">
        <v>0</v>
      </c>
      <c r="N970" s="260">
        <v>0</v>
      </c>
      <c r="O970" s="264">
        <v>0</v>
      </c>
      <c r="P970" s="264">
        <v>0</v>
      </c>
      <c r="Q970" s="264">
        <v>0</v>
      </c>
      <c r="R970" s="264">
        <v>66456.520499999984</v>
      </c>
      <c r="S970" s="60">
        <v>66456.520499999984</v>
      </c>
      <c r="T970" s="60">
        <v>5.0000000919681042E-4</v>
      </c>
    </row>
    <row r="971" spans="1:20">
      <c r="A971" t="s">
        <v>18720</v>
      </c>
      <c r="B971" s="262">
        <v>44663</v>
      </c>
      <c r="C971" t="s">
        <v>16838</v>
      </c>
      <c r="D971" t="s">
        <v>16839</v>
      </c>
      <c r="E971" s="60">
        <v>0</v>
      </c>
      <c r="F971" s="60">
        <v>217280</v>
      </c>
      <c r="G971" s="60">
        <v>0</v>
      </c>
      <c r="H971" s="60">
        <v>0</v>
      </c>
      <c r="I971" s="60">
        <v>217280</v>
      </c>
      <c r="J971" s="60">
        <v>0</v>
      </c>
      <c r="K971" s="260">
        <v>0</v>
      </c>
      <c r="L971" s="260">
        <v>0</v>
      </c>
      <c r="M971" s="260">
        <v>0</v>
      </c>
      <c r="N971" s="260">
        <v>0</v>
      </c>
      <c r="O971" s="264">
        <v>0</v>
      </c>
      <c r="P971" s="264">
        <v>0</v>
      </c>
      <c r="Q971" s="264">
        <v>217280</v>
      </c>
      <c r="R971" s="264">
        <v>0</v>
      </c>
      <c r="S971" s="60">
        <v>217280</v>
      </c>
      <c r="T971" s="60">
        <v>0</v>
      </c>
    </row>
    <row r="972" spans="1:20">
      <c r="A972" t="s">
        <v>18721</v>
      </c>
      <c r="B972" s="262">
        <v>44683</v>
      </c>
      <c r="C972" t="s">
        <v>17323</v>
      </c>
      <c r="D972" t="s">
        <v>18722</v>
      </c>
      <c r="E972" s="60">
        <v>0</v>
      </c>
      <c r="F972" s="60">
        <v>74940.509000000005</v>
      </c>
      <c r="G972" s="60">
        <v>74940.508799999996</v>
      </c>
      <c r="H972" s="60">
        <v>0</v>
      </c>
      <c r="I972" s="60">
        <v>0</v>
      </c>
      <c r="J972" s="60">
        <v>0</v>
      </c>
      <c r="K972" s="260">
        <v>0</v>
      </c>
      <c r="L972" s="260">
        <v>0</v>
      </c>
      <c r="M972" s="260">
        <v>0</v>
      </c>
      <c r="N972" s="260">
        <v>0</v>
      </c>
      <c r="O972" s="264">
        <v>74940.508799999996</v>
      </c>
      <c r="P972" s="264">
        <v>0</v>
      </c>
      <c r="Q972" s="264">
        <v>0</v>
      </c>
      <c r="R972" s="264">
        <v>0</v>
      </c>
      <c r="S972" s="60">
        <v>74940.508799999996</v>
      </c>
      <c r="T972" s="60">
        <v>2.0000000949949026E-4</v>
      </c>
    </row>
    <row r="973" spans="1:20">
      <c r="A973" t="s">
        <v>18723</v>
      </c>
      <c r="B973" s="262">
        <v>44669</v>
      </c>
      <c r="C973" t="s">
        <v>16779</v>
      </c>
      <c r="D973" t="s">
        <v>17613</v>
      </c>
      <c r="E973" s="60">
        <v>0</v>
      </c>
      <c r="F973" s="60">
        <v>66393.604999999996</v>
      </c>
      <c r="G973" s="60">
        <v>0</v>
      </c>
      <c r="H973" s="60">
        <v>61130.954016000011</v>
      </c>
      <c r="I973" s="60">
        <v>5262.6509999999998</v>
      </c>
      <c r="J973" s="60">
        <v>0</v>
      </c>
      <c r="K973" s="260">
        <v>0</v>
      </c>
      <c r="L973" s="260">
        <v>0</v>
      </c>
      <c r="M973" s="260">
        <v>0</v>
      </c>
      <c r="N973" s="260">
        <v>0</v>
      </c>
      <c r="O973" s="264">
        <v>0</v>
      </c>
      <c r="P973" s="264">
        <v>61130.954016000011</v>
      </c>
      <c r="Q973" s="264">
        <v>5262.6509999999998</v>
      </c>
      <c r="R973" s="264">
        <v>0</v>
      </c>
      <c r="S973" s="60">
        <v>66393.605016000016</v>
      </c>
      <c r="T973" s="60">
        <v>-1.6000019968487322E-5</v>
      </c>
    </row>
    <row r="974" spans="1:20">
      <c r="A974" t="s">
        <v>18724</v>
      </c>
      <c r="B974" s="262">
        <v>44669</v>
      </c>
      <c r="C974" t="s">
        <v>16904</v>
      </c>
      <c r="D974" t="s">
        <v>16905</v>
      </c>
      <c r="E974" s="60">
        <v>0</v>
      </c>
      <c r="F974" s="60">
        <v>95347.671000000002</v>
      </c>
      <c r="G974" s="60">
        <v>0</v>
      </c>
      <c r="H974" s="60">
        <v>57054.153708000005</v>
      </c>
      <c r="I974" s="60">
        <v>26273.882574000003</v>
      </c>
      <c r="J974" s="60">
        <v>0</v>
      </c>
      <c r="K974" s="260">
        <v>0</v>
      </c>
      <c r="L974" s="260">
        <v>8215.3519293239679</v>
      </c>
      <c r="M974" s="260">
        <v>3804.2830706760319</v>
      </c>
      <c r="N974" s="260">
        <v>0</v>
      </c>
      <c r="O974" s="264">
        <v>0</v>
      </c>
      <c r="P974" s="264">
        <v>65269.505637323971</v>
      </c>
      <c r="Q974" s="264">
        <v>30078.165644676035</v>
      </c>
      <c r="R974" s="264">
        <v>0</v>
      </c>
      <c r="S974" s="60">
        <v>95347.67128200001</v>
      </c>
      <c r="T974" s="60">
        <v>-2.8200000815559179E-4</v>
      </c>
    </row>
    <row r="975" spans="1:20">
      <c r="A975" t="s">
        <v>18725</v>
      </c>
      <c r="B975" s="262">
        <v>44669</v>
      </c>
      <c r="C975" t="s">
        <v>16904</v>
      </c>
      <c r="D975" t="s">
        <v>16905</v>
      </c>
      <c r="E975" s="60">
        <v>0</v>
      </c>
      <c r="F975" s="60">
        <v>95318.434000000008</v>
      </c>
      <c r="G975" s="60">
        <v>0</v>
      </c>
      <c r="H975" s="60">
        <v>59142.84141600001</v>
      </c>
      <c r="I975" s="60">
        <v>24155.957915999999</v>
      </c>
      <c r="J975" s="60">
        <v>0</v>
      </c>
      <c r="K975" s="260">
        <v>0</v>
      </c>
      <c r="L975" s="260">
        <v>8516.1066242317829</v>
      </c>
      <c r="M975" s="260">
        <v>3503.5283757682178</v>
      </c>
      <c r="N975" s="260">
        <v>0</v>
      </c>
      <c r="O975" s="264">
        <v>0</v>
      </c>
      <c r="P975" s="264">
        <v>67658.9480402318</v>
      </c>
      <c r="Q975" s="264">
        <v>27659.486291768219</v>
      </c>
      <c r="R975" s="264">
        <v>0</v>
      </c>
      <c r="S975" s="60">
        <v>95318.434332000019</v>
      </c>
      <c r="T975" s="60">
        <v>-3.3200001053046435E-4</v>
      </c>
    </row>
    <row r="976" spans="1:20">
      <c r="A976" t="s">
        <v>18726</v>
      </c>
      <c r="B976" s="262">
        <v>44669</v>
      </c>
      <c r="C976" t="s">
        <v>16904</v>
      </c>
      <c r="D976" t="s">
        <v>16905</v>
      </c>
      <c r="E976" s="60">
        <v>0</v>
      </c>
      <c r="F976" s="60">
        <v>95298.943000000014</v>
      </c>
      <c r="G976" s="60">
        <v>0</v>
      </c>
      <c r="H976" s="60">
        <v>51227.814312000002</v>
      </c>
      <c r="I976" s="60">
        <v>32051.493719999999</v>
      </c>
      <c r="J976" s="60">
        <v>0</v>
      </c>
      <c r="K976" s="260">
        <v>0</v>
      </c>
      <c r="L976" s="260">
        <v>7376.4046224758558</v>
      </c>
      <c r="M976" s="260">
        <v>4643.2303775241444</v>
      </c>
      <c r="N976" s="260">
        <v>0</v>
      </c>
      <c r="O976" s="264">
        <v>0</v>
      </c>
      <c r="P976" s="264">
        <v>58604.218934475859</v>
      </c>
      <c r="Q976" s="264">
        <v>36694.724097524144</v>
      </c>
      <c r="R976" s="264">
        <v>0</v>
      </c>
      <c r="S976" s="60">
        <v>95298.94303200001</v>
      </c>
      <c r="T976" s="60">
        <v>-3.199999628122896E-5</v>
      </c>
    </row>
    <row r="977" spans="1:20">
      <c r="A977" t="s">
        <v>18727</v>
      </c>
      <c r="B977" s="262">
        <v>44670</v>
      </c>
      <c r="C977" t="s">
        <v>17017</v>
      </c>
      <c r="D977" t="s">
        <v>17430</v>
      </c>
      <c r="E977" s="60">
        <v>0</v>
      </c>
      <c r="F977" s="60">
        <v>60000</v>
      </c>
      <c r="G977" s="60">
        <v>0</v>
      </c>
      <c r="H977" s="60">
        <v>60000</v>
      </c>
      <c r="I977" s="60">
        <v>0</v>
      </c>
      <c r="J977" s="60">
        <v>0</v>
      </c>
      <c r="K977" s="260">
        <v>0</v>
      </c>
      <c r="L977" s="260">
        <v>0</v>
      </c>
      <c r="M977" s="260">
        <v>0</v>
      </c>
      <c r="N977" s="260">
        <v>0</v>
      </c>
      <c r="O977" s="264">
        <v>0</v>
      </c>
      <c r="P977" s="264">
        <v>60000</v>
      </c>
      <c r="Q977" s="264">
        <v>0</v>
      </c>
      <c r="R977" s="264">
        <v>0</v>
      </c>
      <c r="S977" s="60">
        <v>60000</v>
      </c>
      <c r="T977" s="60">
        <v>0</v>
      </c>
    </row>
    <row r="978" spans="1:20">
      <c r="A978" t="s">
        <v>18728</v>
      </c>
      <c r="B978" s="262">
        <v>44670</v>
      </c>
      <c r="C978" t="s">
        <v>17017</v>
      </c>
      <c r="D978" t="s">
        <v>17430</v>
      </c>
      <c r="E978" s="60">
        <v>0</v>
      </c>
      <c r="F978" s="60">
        <v>130600</v>
      </c>
      <c r="G978" s="60">
        <v>130600</v>
      </c>
      <c r="H978" s="60">
        <v>0</v>
      </c>
      <c r="I978" s="60">
        <v>0</v>
      </c>
      <c r="J978" s="60">
        <v>0</v>
      </c>
      <c r="K978" s="260">
        <v>0</v>
      </c>
      <c r="L978" s="260">
        <v>0</v>
      </c>
      <c r="M978" s="260">
        <v>0</v>
      </c>
      <c r="N978" s="260">
        <v>0</v>
      </c>
      <c r="O978" s="264">
        <v>130600</v>
      </c>
      <c r="P978" s="264">
        <v>0</v>
      </c>
      <c r="Q978" s="264">
        <v>0</v>
      </c>
      <c r="R978" s="264">
        <v>0</v>
      </c>
      <c r="S978" s="60">
        <v>130600</v>
      </c>
      <c r="T978" s="60">
        <v>0</v>
      </c>
    </row>
    <row r="979" spans="1:20">
      <c r="A979" t="s">
        <v>18729</v>
      </c>
      <c r="B979" s="262">
        <v>44670</v>
      </c>
      <c r="C979" t="s">
        <v>16384</v>
      </c>
      <c r="D979" t="s">
        <v>16385</v>
      </c>
      <c r="E979" s="60">
        <v>0</v>
      </c>
      <c r="F979" s="60">
        <v>87930</v>
      </c>
      <c r="G979" s="60">
        <v>0</v>
      </c>
      <c r="H979" s="60">
        <v>87930</v>
      </c>
      <c r="I979" s="60">
        <v>0</v>
      </c>
      <c r="J979" s="60">
        <v>0</v>
      </c>
      <c r="K979" s="260">
        <v>0</v>
      </c>
      <c r="L979" s="260">
        <v>0</v>
      </c>
      <c r="M979" s="260">
        <v>0</v>
      </c>
      <c r="N979" s="260">
        <v>0</v>
      </c>
      <c r="O979" s="264">
        <v>0</v>
      </c>
      <c r="P979" s="264">
        <v>87930</v>
      </c>
      <c r="Q979" s="264">
        <v>0</v>
      </c>
      <c r="R979" s="264">
        <v>0</v>
      </c>
      <c r="S979" s="60">
        <v>87930</v>
      </c>
      <c r="T979" s="60">
        <v>0</v>
      </c>
    </row>
    <row r="980" spans="1:20">
      <c r="A980" t="s">
        <v>18730</v>
      </c>
      <c r="B980" s="262">
        <v>44670</v>
      </c>
      <c r="C980" t="s">
        <v>16643</v>
      </c>
      <c r="D980" t="s">
        <v>16644</v>
      </c>
      <c r="E980" s="60">
        <v>0</v>
      </c>
      <c r="F980" s="60">
        <v>207369.815</v>
      </c>
      <c r="G980" s="60">
        <v>14746.280093999998</v>
      </c>
      <c r="H980" s="60">
        <v>99093.51</v>
      </c>
      <c r="I980" s="60">
        <v>70893.958200000008</v>
      </c>
      <c r="J980" s="60">
        <v>0</v>
      </c>
      <c r="K980" s="260">
        <v>1690.5091750641752</v>
      </c>
      <c r="L980" s="260">
        <v>12161.93651125306</v>
      </c>
      <c r="M980" s="260">
        <v>8783.6208136827645</v>
      </c>
      <c r="N980" s="260">
        <v>0</v>
      </c>
      <c r="O980" s="264">
        <v>16436.789269064175</v>
      </c>
      <c r="P980" s="264">
        <v>111255.44651125306</v>
      </c>
      <c r="Q980" s="264">
        <v>79677.579013682771</v>
      </c>
      <c r="R980" s="264">
        <v>0</v>
      </c>
      <c r="S980" s="60">
        <v>207369.81479400001</v>
      </c>
      <c r="T980" s="60">
        <v>2.0599999697878957E-4</v>
      </c>
    </row>
    <row r="981" spans="1:20">
      <c r="A981" t="s">
        <v>18731</v>
      </c>
      <c r="B981" s="262">
        <v>44683</v>
      </c>
      <c r="C981" t="s">
        <v>16470</v>
      </c>
      <c r="D981" t="s">
        <v>16471</v>
      </c>
      <c r="E981" s="60">
        <v>0</v>
      </c>
      <c r="F981" s="60">
        <v>934420.43699999992</v>
      </c>
      <c r="G981" s="60">
        <v>77292.241199999989</v>
      </c>
      <c r="H981" s="60">
        <v>729213.70395600016</v>
      </c>
      <c r="I981" s="60">
        <v>0</v>
      </c>
      <c r="J981" s="60">
        <v>0</v>
      </c>
      <c r="K981" s="260">
        <v>11392.96299265197</v>
      </c>
      <c r="L981" s="260">
        <v>116521.52900734803</v>
      </c>
      <c r="M981" s="260">
        <v>0</v>
      </c>
      <c r="N981" s="260">
        <v>0</v>
      </c>
      <c r="O981" s="264">
        <v>88685.20419265196</v>
      </c>
      <c r="P981" s="264">
        <v>845735.23296334816</v>
      </c>
      <c r="Q981" s="264">
        <v>0</v>
      </c>
      <c r="R981" s="264">
        <v>0</v>
      </c>
      <c r="S981" s="60">
        <v>934420.43715600017</v>
      </c>
      <c r="T981" s="60">
        <v>-1.5600025653839111E-4</v>
      </c>
    </row>
    <row r="982" spans="1:20">
      <c r="A982" t="s">
        <v>18732</v>
      </c>
      <c r="B982" s="262">
        <v>44670</v>
      </c>
      <c r="C982" t="s">
        <v>16838</v>
      </c>
      <c r="D982" t="s">
        <v>16839</v>
      </c>
      <c r="E982" s="60">
        <v>0</v>
      </c>
      <c r="F982" s="60">
        <v>333421.2</v>
      </c>
      <c r="G982" s="60">
        <v>0</v>
      </c>
      <c r="H982" s="60">
        <v>333421.2</v>
      </c>
      <c r="I982" s="60">
        <v>0</v>
      </c>
      <c r="J982" s="60">
        <v>0</v>
      </c>
      <c r="K982" s="260">
        <v>0</v>
      </c>
      <c r="L982" s="260">
        <v>0</v>
      </c>
      <c r="M982" s="260">
        <v>0</v>
      </c>
      <c r="N982" s="260">
        <v>0</v>
      </c>
      <c r="O982" s="264">
        <v>0</v>
      </c>
      <c r="P982" s="264">
        <v>333421.2</v>
      </c>
      <c r="Q982" s="264">
        <v>0</v>
      </c>
      <c r="R982" s="264">
        <v>0</v>
      </c>
      <c r="S982" s="60">
        <v>333421.2</v>
      </c>
      <c r="T982" s="60">
        <v>0</v>
      </c>
    </row>
    <row r="983" spans="1:20">
      <c r="A983" t="s">
        <v>18733</v>
      </c>
      <c r="B983" s="262">
        <v>44683</v>
      </c>
      <c r="C983" t="s">
        <v>17278</v>
      </c>
      <c r="D983" t="s">
        <v>17279</v>
      </c>
      <c r="E983" s="60">
        <v>0</v>
      </c>
      <c r="F983" s="60">
        <v>434749.54799999995</v>
      </c>
      <c r="G983" s="60">
        <v>0</v>
      </c>
      <c r="H983" s="60">
        <v>434749.54824000003</v>
      </c>
      <c r="I983" s="60">
        <v>0</v>
      </c>
      <c r="J983" s="60">
        <v>0</v>
      </c>
      <c r="K983" s="260">
        <v>0</v>
      </c>
      <c r="L983" s="260">
        <v>0</v>
      </c>
      <c r="M983" s="260">
        <v>0</v>
      </c>
      <c r="N983" s="260">
        <v>0</v>
      </c>
      <c r="O983" s="264">
        <v>0</v>
      </c>
      <c r="P983" s="264">
        <v>434749.54824000003</v>
      </c>
      <c r="Q983" s="264">
        <v>0</v>
      </c>
      <c r="R983" s="264">
        <v>0</v>
      </c>
      <c r="S983" s="60">
        <v>434749.54824000003</v>
      </c>
      <c r="T983" s="60">
        <v>-2.4000008124858141E-4</v>
      </c>
    </row>
    <row r="984" spans="1:20">
      <c r="A984" t="s">
        <v>18734</v>
      </c>
      <c r="B984" s="262">
        <v>44671</v>
      </c>
      <c r="C984" t="s">
        <v>16957</v>
      </c>
      <c r="D984" t="s">
        <v>17451</v>
      </c>
      <c r="E984" s="60">
        <v>0</v>
      </c>
      <c r="F984" s="60">
        <v>139408.32999999999</v>
      </c>
      <c r="G984" s="60">
        <v>139408.32999999999</v>
      </c>
      <c r="H984" s="60">
        <v>0</v>
      </c>
      <c r="I984" s="60">
        <v>0</v>
      </c>
      <c r="J984" s="60">
        <v>0</v>
      </c>
      <c r="K984" s="260">
        <v>0</v>
      </c>
      <c r="L984" s="260">
        <v>0</v>
      </c>
      <c r="M984" s="260">
        <v>0</v>
      </c>
      <c r="N984" s="260">
        <v>0</v>
      </c>
      <c r="O984" s="264">
        <v>139408.32999999999</v>
      </c>
      <c r="P984" s="264">
        <v>0</v>
      </c>
      <c r="Q984" s="264">
        <v>0</v>
      </c>
      <c r="R984" s="264">
        <v>0</v>
      </c>
      <c r="S984" s="60">
        <v>139408.32999999999</v>
      </c>
      <c r="T984" s="60">
        <v>0</v>
      </c>
    </row>
    <row r="985" spans="1:20">
      <c r="A985" t="s">
        <v>18735</v>
      </c>
      <c r="B985" s="262">
        <v>44674</v>
      </c>
      <c r="C985" t="s">
        <v>17233</v>
      </c>
      <c r="D985" t="s">
        <v>17234</v>
      </c>
      <c r="E985" s="60">
        <v>0</v>
      </c>
      <c r="F985" s="60">
        <v>1533716.875</v>
      </c>
      <c r="G985" s="60">
        <v>0</v>
      </c>
      <c r="H985" s="60">
        <v>920230.12493999978</v>
      </c>
      <c r="I985" s="60">
        <v>613486.74995999981</v>
      </c>
      <c r="J985" s="60">
        <v>0</v>
      </c>
      <c r="K985" s="260">
        <v>0</v>
      </c>
      <c r="L985" s="260">
        <v>0</v>
      </c>
      <c r="M985" s="260">
        <v>0</v>
      </c>
      <c r="N985" s="260">
        <v>0</v>
      </c>
      <c r="O985" s="264">
        <v>0</v>
      </c>
      <c r="P985" s="264">
        <v>920230.12493999978</v>
      </c>
      <c r="Q985" s="264">
        <v>613486.74995999981</v>
      </c>
      <c r="R985" s="264">
        <v>0</v>
      </c>
      <c r="S985" s="60">
        <v>1533716.8748999997</v>
      </c>
      <c r="T985" s="60">
        <v>1.000002957880497E-4</v>
      </c>
    </row>
    <row r="986" spans="1:20">
      <c r="A986" t="s">
        <v>18736</v>
      </c>
      <c r="B986" s="262">
        <v>44683</v>
      </c>
      <c r="C986" t="s">
        <v>17233</v>
      </c>
      <c r="D986" t="s">
        <v>17234</v>
      </c>
      <c r="E986" s="60">
        <v>0</v>
      </c>
      <c r="F986" s="60">
        <v>1135695.692</v>
      </c>
      <c r="G986" s="60">
        <v>0</v>
      </c>
      <c r="H986" s="60">
        <v>681417.41507999972</v>
      </c>
      <c r="I986" s="60">
        <v>454278.27671999997</v>
      </c>
      <c r="J986" s="60">
        <v>0</v>
      </c>
      <c r="K986" s="260">
        <v>0</v>
      </c>
      <c r="L986" s="260">
        <v>0</v>
      </c>
      <c r="M986" s="260">
        <v>0</v>
      </c>
      <c r="N986" s="260">
        <v>0</v>
      </c>
      <c r="O986" s="264">
        <v>0</v>
      </c>
      <c r="P986" s="264">
        <v>681417.41507999972</v>
      </c>
      <c r="Q986" s="264">
        <v>454278.27671999997</v>
      </c>
      <c r="R986" s="264">
        <v>0</v>
      </c>
      <c r="S986" s="60">
        <v>1135695.6917999997</v>
      </c>
      <c r="T986" s="60">
        <v>2.0000035874545574E-4</v>
      </c>
    </row>
    <row r="987" spans="1:20">
      <c r="A987" t="s">
        <v>18737</v>
      </c>
      <c r="B987" s="262">
        <v>44674</v>
      </c>
      <c r="C987" t="s">
        <v>17017</v>
      </c>
      <c r="D987" t="s">
        <v>17430</v>
      </c>
      <c r="E987" s="60">
        <v>0</v>
      </c>
      <c r="F987" s="60">
        <v>57137.5</v>
      </c>
      <c r="G987" s="60">
        <v>57137.5</v>
      </c>
      <c r="H987" s="60">
        <v>0</v>
      </c>
      <c r="I987" s="60">
        <v>0</v>
      </c>
      <c r="J987" s="60">
        <v>0</v>
      </c>
      <c r="K987" s="260">
        <v>0</v>
      </c>
      <c r="L987" s="260">
        <v>0</v>
      </c>
      <c r="M987" s="260">
        <v>0</v>
      </c>
      <c r="N987" s="260">
        <v>0</v>
      </c>
      <c r="O987" s="264">
        <v>57137.5</v>
      </c>
      <c r="P987" s="264">
        <v>0</v>
      </c>
      <c r="Q987" s="264">
        <v>0</v>
      </c>
      <c r="R987" s="264">
        <v>0</v>
      </c>
      <c r="S987" s="60">
        <v>57137.5</v>
      </c>
      <c r="T987" s="60">
        <v>0</v>
      </c>
    </row>
    <row r="988" spans="1:20">
      <c r="A988" t="s">
        <v>18738</v>
      </c>
      <c r="B988" s="262">
        <v>44685</v>
      </c>
      <c r="C988" t="s">
        <v>16880</v>
      </c>
      <c r="D988" t="s">
        <v>16881</v>
      </c>
      <c r="E988" s="60">
        <v>0</v>
      </c>
      <c r="F988" s="60">
        <v>96114.040999999997</v>
      </c>
      <c r="G988" s="60">
        <v>0</v>
      </c>
      <c r="H988" s="60">
        <v>96114.040544000003</v>
      </c>
      <c r="I988" s="60">
        <v>0</v>
      </c>
      <c r="J988" s="60">
        <v>0</v>
      </c>
      <c r="K988" s="260">
        <v>0</v>
      </c>
      <c r="L988" s="260">
        <v>0</v>
      </c>
      <c r="M988" s="260">
        <v>0</v>
      </c>
      <c r="N988" s="260">
        <v>0</v>
      </c>
      <c r="O988" s="264">
        <v>0</v>
      </c>
      <c r="P988" s="264">
        <v>96114.040544000003</v>
      </c>
      <c r="Q988" s="264">
        <v>0</v>
      </c>
      <c r="R988" s="264">
        <v>0</v>
      </c>
      <c r="S988" s="60">
        <v>96114.040544000003</v>
      </c>
      <c r="T988" s="60">
        <v>4.5599999430123717E-4</v>
      </c>
    </row>
    <row r="989" spans="1:20">
      <c r="A989" t="s">
        <v>18739</v>
      </c>
      <c r="B989" s="262">
        <v>44686</v>
      </c>
      <c r="C989" t="s">
        <v>16783</v>
      </c>
      <c r="D989" t="s">
        <v>17509</v>
      </c>
      <c r="E989" s="60">
        <v>0</v>
      </c>
      <c r="F989" s="60">
        <v>366321.17700000003</v>
      </c>
      <c r="G989" s="60">
        <v>366321.17735999991</v>
      </c>
      <c r="H989" s="60">
        <v>0</v>
      </c>
      <c r="I989" s="60">
        <v>0</v>
      </c>
      <c r="J989" s="60">
        <v>0</v>
      </c>
      <c r="K989" s="260">
        <v>0</v>
      </c>
      <c r="L989" s="260">
        <v>0</v>
      </c>
      <c r="M989" s="260">
        <v>0</v>
      </c>
      <c r="N989" s="260">
        <v>0</v>
      </c>
      <c r="O989" s="264">
        <v>366321.17735999991</v>
      </c>
      <c r="P989" s="264">
        <v>0</v>
      </c>
      <c r="Q989" s="264">
        <v>0</v>
      </c>
      <c r="R989" s="264">
        <v>0</v>
      </c>
      <c r="S989" s="60">
        <v>366321.17735999991</v>
      </c>
      <c r="T989" s="60">
        <v>-3.5999988904222846E-4</v>
      </c>
    </row>
    <row r="990" spans="1:20">
      <c r="A990" t="s">
        <v>18740</v>
      </c>
      <c r="B990" s="262">
        <v>44691</v>
      </c>
      <c r="C990" t="s">
        <v>17278</v>
      </c>
      <c r="D990" t="s">
        <v>17279</v>
      </c>
      <c r="E990" s="60">
        <v>0</v>
      </c>
      <c r="F990" s="60">
        <v>782820.78</v>
      </c>
      <c r="G990" s="60">
        <v>0</v>
      </c>
      <c r="H990" s="60">
        <v>0</v>
      </c>
      <c r="I990" s="60">
        <v>782820.78</v>
      </c>
      <c r="J990" s="60">
        <v>0</v>
      </c>
      <c r="K990" s="260">
        <v>0</v>
      </c>
      <c r="L990" s="260">
        <v>0</v>
      </c>
      <c r="M990" s="260">
        <v>0</v>
      </c>
      <c r="N990" s="260">
        <v>0</v>
      </c>
      <c r="O990" s="264">
        <v>0</v>
      </c>
      <c r="P990" s="264">
        <v>0</v>
      </c>
      <c r="Q990" s="264">
        <v>782820.78</v>
      </c>
      <c r="R990" s="264">
        <v>0</v>
      </c>
      <c r="S990" s="60">
        <v>782820.78</v>
      </c>
      <c r="T990" s="60">
        <v>0</v>
      </c>
    </row>
    <row r="991" spans="1:20">
      <c r="A991" t="s">
        <v>18741</v>
      </c>
      <c r="B991" s="262">
        <v>44691</v>
      </c>
      <c r="C991" t="s">
        <v>16904</v>
      </c>
      <c r="D991" t="s">
        <v>16905</v>
      </c>
      <c r="E991" s="60">
        <v>0</v>
      </c>
      <c r="F991" s="60">
        <v>94378.708000000013</v>
      </c>
      <c r="G991" s="60">
        <v>0</v>
      </c>
      <c r="H991" s="60">
        <v>53754.220728</v>
      </c>
      <c r="I991" s="60">
        <v>28726.951968000001</v>
      </c>
      <c r="J991" s="60">
        <v>0</v>
      </c>
      <c r="K991" s="260">
        <v>0</v>
      </c>
      <c r="L991" s="260">
        <v>7740.1873880597013</v>
      </c>
      <c r="M991" s="260">
        <v>4157.3476119402985</v>
      </c>
      <c r="N991" s="260">
        <v>0</v>
      </c>
      <c r="O991" s="264">
        <v>0</v>
      </c>
      <c r="P991" s="264">
        <v>61494.408116059698</v>
      </c>
      <c r="Q991" s="264">
        <v>32884.2995799403</v>
      </c>
      <c r="R991" s="264">
        <v>0</v>
      </c>
      <c r="S991" s="60">
        <v>94378.707695999998</v>
      </c>
      <c r="T991" s="60">
        <v>3.0400001560337842E-4</v>
      </c>
    </row>
    <row r="992" spans="1:20">
      <c r="A992" t="s">
        <v>18742</v>
      </c>
      <c r="B992" s="262">
        <v>44691</v>
      </c>
      <c r="C992" t="s">
        <v>16904</v>
      </c>
      <c r="D992" t="s">
        <v>16905</v>
      </c>
      <c r="E992" s="60">
        <v>0</v>
      </c>
      <c r="F992" s="60">
        <v>94379.093999999997</v>
      </c>
      <c r="G992" s="60">
        <v>0</v>
      </c>
      <c r="H992" s="60">
        <v>58687.131672000003</v>
      </c>
      <c r="I992" s="60">
        <v>23794.426890000002</v>
      </c>
      <c r="J992" s="60">
        <v>0</v>
      </c>
      <c r="K992" s="260">
        <v>0</v>
      </c>
      <c r="L992" s="260">
        <v>8450.4879850746274</v>
      </c>
      <c r="M992" s="260">
        <v>3447.0470149253733</v>
      </c>
      <c r="N992" s="260">
        <v>0</v>
      </c>
      <c r="O992" s="264">
        <v>0</v>
      </c>
      <c r="P992" s="264">
        <v>67137.619657074625</v>
      </c>
      <c r="Q992" s="264">
        <v>27241.473904925377</v>
      </c>
      <c r="R992" s="264">
        <v>0</v>
      </c>
      <c r="S992" s="60">
        <v>94379.093561999995</v>
      </c>
      <c r="T992" s="60">
        <v>4.3800000275950879E-4</v>
      </c>
    </row>
    <row r="993" spans="1:20">
      <c r="A993" t="s">
        <v>18743</v>
      </c>
      <c r="B993" s="262">
        <v>44691</v>
      </c>
      <c r="C993" t="s">
        <v>16444</v>
      </c>
      <c r="D993" t="s">
        <v>16445</v>
      </c>
      <c r="E993" s="60">
        <v>0</v>
      </c>
      <c r="F993" s="60">
        <v>124125.12</v>
      </c>
      <c r="G993" s="60">
        <v>124125.12</v>
      </c>
      <c r="H993" s="60">
        <v>0</v>
      </c>
      <c r="I993" s="60">
        <v>0</v>
      </c>
      <c r="J993" s="60">
        <v>0</v>
      </c>
      <c r="K993" s="260">
        <v>0</v>
      </c>
      <c r="L993" s="260">
        <v>0</v>
      </c>
      <c r="M993" s="260">
        <v>0</v>
      </c>
      <c r="N993" s="260">
        <v>0</v>
      </c>
      <c r="O993" s="264">
        <v>124125.12</v>
      </c>
      <c r="P993" s="264">
        <v>0</v>
      </c>
      <c r="Q993" s="264">
        <v>0</v>
      </c>
      <c r="R993" s="264">
        <v>0</v>
      </c>
      <c r="S993" s="60">
        <v>124125.12</v>
      </c>
      <c r="T993" s="60">
        <v>0</v>
      </c>
    </row>
    <row r="994" spans="1:20">
      <c r="A994" t="s">
        <v>18744</v>
      </c>
      <c r="B994" s="262">
        <v>44691</v>
      </c>
      <c r="C994" t="s">
        <v>16838</v>
      </c>
      <c r="D994" t="s">
        <v>16839</v>
      </c>
      <c r="E994" s="60">
        <v>0</v>
      </c>
      <c r="F994" s="60">
        <v>130947.6</v>
      </c>
      <c r="G994" s="60">
        <v>0</v>
      </c>
      <c r="H994" s="60">
        <v>130947.6</v>
      </c>
      <c r="I994" s="60">
        <v>0</v>
      </c>
      <c r="J994" s="60">
        <v>0</v>
      </c>
      <c r="K994" s="260">
        <v>0</v>
      </c>
      <c r="L994" s="260">
        <v>0</v>
      </c>
      <c r="M994" s="260">
        <v>0</v>
      </c>
      <c r="N994" s="260">
        <v>0</v>
      </c>
      <c r="O994" s="264">
        <v>0</v>
      </c>
      <c r="P994" s="264">
        <v>130947.6</v>
      </c>
      <c r="Q994" s="264">
        <v>0</v>
      </c>
      <c r="R994" s="264">
        <v>0</v>
      </c>
      <c r="S994" s="60">
        <v>130947.6</v>
      </c>
      <c r="T994" s="60">
        <v>0</v>
      </c>
    </row>
    <row r="995" spans="1:20">
      <c r="A995" t="s">
        <v>18745</v>
      </c>
      <c r="B995" s="262">
        <v>44693</v>
      </c>
      <c r="C995" t="s">
        <v>17259</v>
      </c>
      <c r="D995" t="s">
        <v>17260</v>
      </c>
      <c r="E995" s="60">
        <v>0</v>
      </c>
      <c r="F995" s="60">
        <v>146786.97</v>
      </c>
      <c r="G995" s="60">
        <v>0</v>
      </c>
      <c r="H995" s="60">
        <v>123144.96239999999</v>
      </c>
      <c r="I995" s="60">
        <v>0</v>
      </c>
      <c r="J995" s="60">
        <v>0</v>
      </c>
      <c r="K995" s="260">
        <v>0</v>
      </c>
      <c r="L995" s="260">
        <v>23642.007999999998</v>
      </c>
      <c r="M995" s="260">
        <v>0</v>
      </c>
      <c r="N995" s="260">
        <v>0</v>
      </c>
      <c r="O995" s="264">
        <v>0</v>
      </c>
      <c r="P995" s="264">
        <v>146786.97039999999</v>
      </c>
      <c r="Q995" s="264">
        <v>0</v>
      </c>
      <c r="R995" s="264">
        <v>0</v>
      </c>
      <c r="S995" s="60">
        <v>146786.97039999999</v>
      </c>
      <c r="T995" s="60">
        <v>-3.9999998989515007E-4</v>
      </c>
    </row>
    <row r="996" spans="1:20">
      <c r="A996" t="s">
        <v>18746</v>
      </c>
      <c r="B996" s="262">
        <v>44693</v>
      </c>
      <c r="C996" t="s">
        <v>17326</v>
      </c>
      <c r="D996" t="s">
        <v>18747</v>
      </c>
      <c r="E996" s="60">
        <v>0</v>
      </c>
      <c r="F996" s="60">
        <v>59806.369000000006</v>
      </c>
      <c r="G996" s="60">
        <v>7123.3392000000003</v>
      </c>
      <c r="H996" s="60">
        <v>11517.3555</v>
      </c>
      <c r="I996" s="60">
        <v>32132.453999999998</v>
      </c>
      <c r="J996" s="60">
        <v>0</v>
      </c>
      <c r="K996" s="260">
        <v>1165.5767741935483</v>
      </c>
      <c r="L996" s="260">
        <v>2039.7593548387094</v>
      </c>
      <c r="M996" s="260">
        <v>5827.8838709677411</v>
      </c>
      <c r="N996" s="260">
        <v>0</v>
      </c>
      <c r="O996" s="264">
        <v>8288.9159741935491</v>
      </c>
      <c r="P996" s="264">
        <v>13557.11485483871</v>
      </c>
      <c r="Q996" s="264">
        <v>37960.337870967742</v>
      </c>
      <c r="R996" s="264">
        <v>0</v>
      </c>
      <c r="S996" s="60">
        <v>59806.368699999999</v>
      </c>
      <c r="T996" s="60">
        <v>3.0000000697327778E-4</v>
      </c>
    </row>
    <row r="997" spans="1:20">
      <c r="A997" t="s">
        <v>18748</v>
      </c>
      <c r="B997" s="262">
        <v>44693</v>
      </c>
      <c r="C997" t="s">
        <v>16838</v>
      </c>
      <c r="D997" t="s">
        <v>16839</v>
      </c>
      <c r="E997" s="60">
        <v>0</v>
      </c>
      <c r="F997" s="60">
        <v>171662.4</v>
      </c>
      <c r="G997" s="60">
        <v>0</v>
      </c>
      <c r="H997" s="60">
        <v>171662.4</v>
      </c>
      <c r="I997" s="60">
        <v>0</v>
      </c>
      <c r="J997" s="60">
        <v>0</v>
      </c>
      <c r="K997" s="260">
        <v>0</v>
      </c>
      <c r="L997" s="260">
        <v>0</v>
      </c>
      <c r="M997" s="260">
        <v>0</v>
      </c>
      <c r="N997" s="260">
        <v>0</v>
      </c>
      <c r="O997" s="264">
        <v>0</v>
      </c>
      <c r="P997" s="264">
        <v>171662.4</v>
      </c>
      <c r="Q997" s="264">
        <v>0</v>
      </c>
      <c r="R997" s="264">
        <v>0</v>
      </c>
      <c r="S997" s="60">
        <v>171662.4</v>
      </c>
      <c r="T997" s="60">
        <v>0</v>
      </c>
    </row>
    <row r="998" spans="1:20">
      <c r="A998" t="s">
        <v>18749</v>
      </c>
      <c r="B998" s="262">
        <v>44694</v>
      </c>
      <c r="C998" t="s">
        <v>17226</v>
      </c>
      <c r="D998" t="s">
        <v>17891</v>
      </c>
      <c r="E998" s="60">
        <v>0</v>
      </c>
      <c r="F998" s="60">
        <v>636040</v>
      </c>
      <c r="G998" s="60">
        <v>132480</v>
      </c>
      <c r="H998" s="60">
        <v>467640</v>
      </c>
      <c r="I998" s="60">
        <v>0</v>
      </c>
      <c r="J998" s="60">
        <v>35920</v>
      </c>
      <c r="K998" s="260">
        <v>0</v>
      </c>
      <c r="L998" s="260">
        <v>0</v>
      </c>
      <c r="M998" s="260">
        <v>0</v>
      </c>
      <c r="N998" s="260">
        <v>0</v>
      </c>
      <c r="O998" s="264">
        <v>132480</v>
      </c>
      <c r="P998" s="264">
        <v>467640</v>
      </c>
      <c r="Q998" s="264">
        <v>0</v>
      </c>
      <c r="R998" s="264">
        <v>35920</v>
      </c>
      <c r="S998" s="60">
        <v>636040</v>
      </c>
      <c r="T998" s="60">
        <v>0</v>
      </c>
    </row>
    <row r="999" spans="1:20">
      <c r="A999" t="s">
        <v>18750</v>
      </c>
      <c r="B999" s="262">
        <v>44695</v>
      </c>
      <c r="C999" t="s">
        <v>16444</v>
      </c>
      <c r="D999" t="s">
        <v>16445</v>
      </c>
      <c r="E999" s="60">
        <v>0</v>
      </c>
      <c r="F999" s="60">
        <v>145632</v>
      </c>
      <c r="G999" s="60">
        <v>33912</v>
      </c>
      <c r="H999" s="60">
        <v>108540</v>
      </c>
      <c r="I999" s="60">
        <v>3180</v>
      </c>
      <c r="J999" s="60">
        <v>0</v>
      </c>
      <c r="K999" s="260">
        <v>0</v>
      </c>
      <c r="L999" s="260">
        <v>0</v>
      </c>
      <c r="M999" s="260">
        <v>0</v>
      </c>
      <c r="N999" s="260">
        <v>0</v>
      </c>
      <c r="O999" s="264">
        <v>33912</v>
      </c>
      <c r="P999" s="264">
        <v>108540</v>
      </c>
      <c r="Q999" s="264">
        <v>3180</v>
      </c>
      <c r="R999" s="264">
        <v>0</v>
      </c>
      <c r="S999" s="60">
        <v>145632</v>
      </c>
      <c r="T999" s="60">
        <v>0</v>
      </c>
    </row>
    <row r="1000" spans="1:20">
      <c r="A1000" t="s">
        <v>18751</v>
      </c>
      <c r="B1000" s="262">
        <v>44695</v>
      </c>
      <c r="C1000" t="s">
        <v>16783</v>
      </c>
      <c r="D1000" t="s">
        <v>17509</v>
      </c>
      <c r="E1000" s="60">
        <v>0</v>
      </c>
      <c r="F1000" s="60">
        <v>1271231.078</v>
      </c>
      <c r="G1000" s="60">
        <v>0</v>
      </c>
      <c r="H1000" s="60">
        <v>1112327.1936000008</v>
      </c>
      <c r="I1000" s="60">
        <v>158903.8848</v>
      </c>
      <c r="J1000" s="60">
        <v>0</v>
      </c>
      <c r="K1000" s="260">
        <v>0</v>
      </c>
      <c r="L1000" s="260">
        <v>0</v>
      </c>
      <c r="M1000" s="260">
        <v>0</v>
      </c>
      <c r="N1000" s="260">
        <v>0</v>
      </c>
      <c r="O1000" s="264">
        <v>0</v>
      </c>
      <c r="P1000" s="264">
        <v>1112327.1936000008</v>
      </c>
      <c r="Q1000" s="264">
        <v>158903.8848</v>
      </c>
      <c r="R1000" s="264">
        <v>0</v>
      </c>
      <c r="S1000" s="60">
        <v>1271231.0784000009</v>
      </c>
      <c r="T1000" s="60">
        <v>-4.0000095032155514E-4</v>
      </c>
    </row>
    <row r="1001" spans="1:20">
      <c r="A1001" t="s">
        <v>18752</v>
      </c>
      <c r="B1001" s="262">
        <v>44774</v>
      </c>
      <c r="C1001" t="s">
        <v>16823</v>
      </c>
      <c r="D1001" t="s">
        <v>17805</v>
      </c>
      <c r="E1001" s="60">
        <v>0</v>
      </c>
      <c r="F1001" s="60">
        <v>187151.44500000001</v>
      </c>
      <c r="G1001" s="60">
        <v>0</v>
      </c>
      <c r="H1001" s="60">
        <v>165096.94500000001</v>
      </c>
      <c r="I1001" s="60">
        <v>0</v>
      </c>
      <c r="J1001" s="60">
        <v>0</v>
      </c>
      <c r="K1001" s="260">
        <v>0</v>
      </c>
      <c r="L1001" s="260">
        <v>22054.5</v>
      </c>
      <c r="M1001" s="260">
        <v>0</v>
      </c>
      <c r="N1001" s="260">
        <v>0</v>
      </c>
      <c r="O1001" s="264">
        <v>0</v>
      </c>
      <c r="P1001" s="264">
        <v>187151.44500000001</v>
      </c>
      <c r="Q1001" s="264">
        <v>0</v>
      </c>
      <c r="R1001" s="264">
        <v>0</v>
      </c>
      <c r="S1001" s="60">
        <v>187151.44500000001</v>
      </c>
      <c r="T1001" s="60">
        <v>0</v>
      </c>
    </row>
    <row r="1002" spans="1:20">
      <c r="A1002" t="s">
        <v>18753</v>
      </c>
      <c r="B1002" s="262">
        <v>44698</v>
      </c>
      <c r="C1002" t="s">
        <v>17017</v>
      </c>
      <c r="D1002" t="s">
        <v>17430</v>
      </c>
      <c r="E1002" s="60">
        <v>0</v>
      </c>
      <c r="F1002" s="60">
        <v>65300</v>
      </c>
      <c r="G1002" s="60">
        <v>0</v>
      </c>
      <c r="H1002" s="60">
        <v>65300</v>
      </c>
      <c r="I1002" s="60">
        <v>0</v>
      </c>
      <c r="J1002" s="60">
        <v>0</v>
      </c>
      <c r="K1002" s="260">
        <v>0</v>
      </c>
      <c r="L1002" s="260">
        <v>0</v>
      </c>
      <c r="M1002" s="260">
        <v>0</v>
      </c>
      <c r="N1002" s="260">
        <v>0</v>
      </c>
      <c r="O1002" s="264">
        <v>0</v>
      </c>
      <c r="P1002" s="264">
        <v>65300</v>
      </c>
      <c r="Q1002" s="264">
        <v>0</v>
      </c>
      <c r="R1002" s="264">
        <v>0</v>
      </c>
      <c r="S1002" s="60">
        <v>65300</v>
      </c>
      <c r="T1002" s="60">
        <v>0</v>
      </c>
    </row>
    <row r="1003" spans="1:20">
      <c r="A1003" t="s">
        <v>18754</v>
      </c>
      <c r="B1003" s="262">
        <v>44713</v>
      </c>
      <c r="C1003" t="s">
        <v>16972</v>
      </c>
      <c r="D1003" t="s">
        <v>17424</v>
      </c>
      <c r="E1003" s="60">
        <v>0</v>
      </c>
      <c r="F1003" s="60">
        <v>751800</v>
      </c>
      <c r="G1003" s="60">
        <v>0</v>
      </c>
      <c r="H1003" s="60">
        <v>0</v>
      </c>
      <c r="I1003" s="60">
        <v>751800</v>
      </c>
      <c r="J1003" s="60">
        <v>0</v>
      </c>
      <c r="K1003" s="260">
        <v>0</v>
      </c>
      <c r="L1003" s="260">
        <v>0</v>
      </c>
      <c r="M1003" s="260">
        <v>0</v>
      </c>
      <c r="N1003" s="260">
        <v>0</v>
      </c>
      <c r="O1003" s="264">
        <v>0</v>
      </c>
      <c r="P1003" s="264">
        <v>0</v>
      </c>
      <c r="Q1003" s="264">
        <v>751800</v>
      </c>
      <c r="R1003" s="264">
        <v>0</v>
      </c>
      <c r="S1003" s="60">
        <v>751800</v>
      </c>
      <c r="T1003" s="60">
        <v>0</v>
      </c>
    </row>
    <row r="1004" spans="1:20">
      <c r="A1004" t="s">
        <v>18755</v>
      </c>
      <c r="B1004" s="262">
        <v>44699</v>
      </c>
      <c r="C1004" t="s">
        <v>16470</v>
      </c>
      <c r="D1004" t="s">
        <v>16471</v>
      </c>
      <c r="E1004" s="60">
        <v>0</v>
      </c>
      <c r="F1004" s="60">
        <v>1533695.8080000002</v>
      </c>
      <c r="G1004" s="60">
        <v>119908.8</v>
      </c>
      <c r="H1004" s="60">
        <v>1206350.8396799997</v>
      </c>
      <c r="I1004" s="60">
        <v>0</v>
      </c>
      <c r="J1004" s="60">
        <v>0</v>
      </c>
      <c r="K1004" s="260">
        <v>17754.171157577064</v>
      </c>
      <c r="L1004" s="260">
        <v>188149.82884242295</v>
      </c>
      <c r="M1004" s="260">
        <v>0</v>
      </c>
      <c r="N1004" s="260">
        <v>0</v>
      </c>
      <c r="O1004" s="264">
        <v>137662.97115757706</v>
      </c>
      <c r="P1004" s="264">
        <v>1394500.6685224227</v>
      </c>
      <c r="Q1004" s="264">
        <v>0</v>
      </c>
      <c r="R1004" s="264">
        <v>0</v>
      </c>
      <c r="S1004" s="60">
        <v>1532163.6396799998</v>
      </c>
      <c r="T1004" s="60">
        <v>1532.1683200004045</v>
      </c>
    </row>
    <row r="1005" spans="1:20">
      <c r="A1005" t="s">
        <v>18756</v>
      </c>
      <c r="B1005" s="262">
        <v>44743</v>
      </c>
      <c r="C1005" t="s">
        <v>17119</v>
      </c>
      <c r="D1005" t="s">
        <v>17120</v>
      </c>
      <c r="E1005" s="60">
        <v>0</v>
      </c>
      <c r="F1005" s="60">
        <v>295000.99199999997</v>
      </c>
      <c r="G1005" s="60">
        <v>120901.24800000001</v>
      </c>
      <c r="H1005" s="60">
        <v>134553.74400000001</v>
      </c>
      <c r="I1005" s="60">
        <v>0</v>
      </c>
      <c r="J1005" s="60">
        <v>0</v>
      </c>
      <c r="K1005" s="260">
        <v>18078.17142857143</v>
      </c>
      <c r="L1005" s="260">
        <v>21467.828571428574</v>
      </c>
      <c r="M1005" s="260">
        <v>0</v>
      </c>
      <c r="N1005" s="260">
        <v>0</v>
      </c>
      <c r="O1005" s="264">
        <v>138979.41942857145</v>
      </c>
      <c r="P1005" s="264">
        <v>156021.57257142858</v>
      </c>
      <c r="Q1005" s="264">
        <v>0</v>
      </c>
      <c r="R1005" s="264">
        <v>0</v>
      </c>
      <c r="S1005" s="60">
        <v>295000.99200000003</v>
      </c>
      <c r="T1005" s="60">
        <v>0</v>
      </c>
    </row>
    <row r="1006" spans="1:20">
      <c r="A1006" t="s">
        <v>18757</v>
      </c>
      <c r="B1006" s="262">
        <v>44700</v>
      </c>
      <c r="C1006" t="s">
        <v>16444</v>
      </c>
      <c r="D1006" t="s">
        <v>16445</v>
      </c>
      <c r="E1006" s="60">
        <v>0</v>
      </c>
      <c r="F1006" s="60">
        <v>55392</v>
      </c>
      <c r="G1006" s="60">
        <v>55392</v>
      </c>
      <c r="H1006" s="60">
        <v>0</v>
      </c>
      <c r="I1006" s="60">
        <v>0</v>
      </c>
      <c r="J1006" s="60">
        <v>0</v>
      </c>
      <c r="K1006" s="260">
        <v>0</v>
      </c>
      <c r="L1006" s="260">
        <v>0</v>
      </c>
      <c r="M1006" s="260">
        <v>0</v>
      </c>
      <c r="N1006" s="260">
        <v>0</v>
      </c>
      <c r="O1006" s="264">
        <v>55392</v>
      </c>
      <c r="P1006" s="264">
        <v>0</v>
      </c>
      <c r="Q1006" s="264">
        <v>0</v>
      </c>
      <c r="R1006" s="264">
        <v>0</v>
      </c>
      <c r="S1006" s="60">
        <v>55392</v>
      </c>
      <c r="T1006" s="60">
        <v>0</v>
      </c>
    </row>
    <row r="1007" spans="1:20">
      <c r="A1007" t="s">
        <v>18758</v>
      </c>
      <c r="B1007" s="262">
        <v>44707</v>
      </c>
      <c r="C1007" t="s">
        <v>17017</v>
      </c>
      <c r="D1007" t="s">
        <v>17430</v>
      </c>
      <c r="E1007" s="60">
        <v>0</v>
      </c>
      <c r="F1007" s="60">
        <v>65300</v>
      </c>
      <c r="G1007" s="60">
        <v>0</v>
      </c>
      <c r="H1007" s="60">
        <v>65300</v>
      </c>
      <c r="I1007" s="60">
        <v>0</v>
      </c>
      <c r="J1007" s="60">
        <v>0</v>
      </c>
      <c r="K1007" s="260">
        <v>0</v>
      </c>
      <c r="L1007" s="260">
        <v>0</v>
      </c>
      <c r="M1007" s="260">
        <v>0</v>
      </c>
      <c r="N1007" s="260">
        <v>0</v>
      </c>
      <c r="O1007" s="264">
        <v>0</v>
      </c>
      <c r="P1007" s="264">
        <v>65300</v>
      </c>
      <c r="Q1007" s="264">
        <v>0</v>
      </c>
      <c r="R1007" s="264">
        <v>0</v>
      </c>
      <c r="S1007" s="60">
        <v>65300</v>
      </c>
      <c r="T1007" s="60">
        <v>0</v>
      </c>
    </row>
    <row r="1008" spans="1:20">
      <c r="A1008" t="s">
        <v>18759</v>
      </c>
      <c r="B1008" s="262">
        <v>44718</v>
      </c>
      <c r="C1008" t="s">
        <v>17278</v>
      </c>
      <c r="D1008" t="s">
        <v>17279</v>
      </c>
      <c r="E1008" s="60">
        <v>0</v>
      </c>
      <c r="F1008" s="60">
        <v>618259.19499999995</v>
      </c>
      <c r="G1008" s="60">
        <v>0</v>
      </c>
      <c r="H1008" s="60">
        <v>618259.19500800001</v>
      </c>
      <c r="I1008" s="60">
        <v>0</v>
      </c>
      <c r="J1008" s="60">
        <v>0</v>
      </c>
      <c r="K1008" s="260">
        <v>0</v>
      </c>
      <c r="L1008" s="260">
        <v>0</v>
      </c>
      <c r="M1008" s="260">
        <v>0</v>
      </c>
      <c r="N1008" s="260">
        <v>0</v>
      </c>
      <c r="O1008" s="264">
        <v>0</v>
      </c>
      <c r="P1008" s="264">
        <v>618259.19500800001</v>
      </c>
      <c r="Q1008" s="264">
        <v>0</v>
      </c>
      <c r="R1008" s="264">
        <v>0</v>
      </c>
      <c r="S1008" s="60">
        <v>618259.19500800001</v>
      </c>
      <c r="T1008" s="60">
        <v>-8.0000609159469604E-6</v>
      </c>
    </row>
    <row r="1009" spans="1:20">
      <c r="A1009" t="s">
        <v>18760</v>
      </c>
      <c r="B1009" s="262">
        <v>44866</v>
      </c>
      <c r="C1009" t="s">
        <v>16470</v>
      </c>
      <c r="D1009" t="s">
        <v>16471</v>
      </c>
      <c r="E1009" s="60">
        <v>0</v>
      </c>
      <c r="F1009" s="60">
        <v>1546510.3729999999</v>
      </c>
      <c r="G1009" s="60">
        <v>120910.68</v>
      </c>
      <c r="H1009" s="60">
        <v>1216430.3232480008</v>
      </c>
      <c r="I1009" s="60">
        <v>0</v>
      </c>
      <c r="J1009" s="60">
        <v>0</v>
      </c>
      <c r="K1009" s="260">
        <v>17902.513472731192</v>
      </c>
      <c r="L1009" s="260">
        <v>189721.8865272688</v>
      </c>
      <c r="M1009" s="260">
        <v>0</v>
      </c>
      <c r="N1009" s="260">
        <v>0</v>
      </c>
      <c r="O1009" s="264">
        <v>138813.19347273119</v>
      </c>
      <c r="P1009" s="264">
        <v>1406152.2097752695</v>
      </c>
      <c r="Q1009" s="264">
        <v>0</v>
      </c>
      <c r="R1009" s="264">
        <v>0</v>
      </c>
      <c r="S1009" s="60">
        <v>1544965.4032480007</v>
      </c>
      <c r="T1009" s="60">
        <v>1544.9697519992478</v>
      </c>
    </row>
    <row r="1010" spans="1:20">
      <c r="A1010" t="s">
        <v>18761</v>
      </c>
      <c r="B1010" s="262">
        <v>44896</v>
      </c>
      <c r="C1010" t="s">
        <v>17259</v>
      </c>
      <c r="D1010" t="s">
        <v>17260</v>
      </c>
      <c r="E1010" s="60">
        <v>0</v>
      </c>
      <c r="F1010" s="60">
        <v>166434.973</v>
      </c>
      <c r="G1010" s="60">
        <v>0</v>
      </c>
      <c r="H1010" s="60">
        <v>142790.66399999999</v>
      </c>
      <c r="I1010" s="60">
        <v>0</v>
      </c>
      <c r="J1010" s="60">
        <v>0</v>
      </c>
      <c r="K1010" s="260">
        <v>0</v>
      </c>
      <c r="L1010" s="260">
        <v>23644.309000000001</v>
      </c>
      <c r="M1010" s="260">
        <v>0</v>
      </c>
      <c r="N1010" s="260">
        <v>0</v>
      </c>
      <c r="O1010" s="264">
        <v>0</v>
      </c>
      <c r="P1010" s="264">
        <v>166434.973</v>
      </c>
      <c r="Q1010" s="264">
        <v>0</v>
      </c>
      <c r="R1010" s="264">
        <v>0</v>
      </c>
      <c r="S1010" s="60">
        <v>166434.973</v>
      </c>
      <c r="T1010" s="60">
        <v>0</v>
      </c>
    </row>
    <row r="1011" spans="1:20">
      <c r="A1011" t="s">
        <v>18762</v>
      </c>
      <c r="B1011" s="262">
        <v>44718</v>
      </c>
      <c r="C1011" t="s">
        <v>16972</v>
      </c>
      <c r="D1011" t="s">
        <v>17424</v>
      </c>
      <c r="E1011" s="60">
        <v>0</v>
      </c>
      <c r="F1011" s="60">
        <v>624400</v>
      </c>
      <c r="G1011" s="60">
        <v>0</v>
      </c>
      <c r="H1011" s="60">
        <v>0</v>
      </c>
      <c r="I1011" s="60">
        <v>624400</v>
      </c>
      <c r="J1011" s="60">
        <v>0</v>
      </c>
      <c r="K1011" s="260">
        <v>0</v>
      </c>
      <c r="L1011" s="260">
        <v>0</v>
      </c>
      <c r="M1011" s="260">
        <v>0</v>
      </c>
      <c r="N1011" s="260">
        <v>0</v>
      </c>
      <c r="O1011" s="264">
        <v>0</v>
      </c>
      <c r="P1011" s="264">
        <v>0</v>
      </c>
      <c r="Q1011" s="264">
        <v>624400</v>
      </c>
      <c r="R1011" s="264">
        <v>0</v>
      </c>
      <c r="S1011" s="60">
        <v>624400</v>
      </c>
      <c r="T1011" s="60">
        <v>0</v>
      </c>
    </row>
    <row r="1012" spans="1:20">
      <c r="A1012" t="s">
        <v>18763</v>
      </c>
      <c r="B1012" s="262">
        <v>44718</v>
      </c>
      <c r="C1012" t="s">
        <v>17017</v>
      </c>
      <c r="D1012" t="s">
        <v>17430</v>
      </c>
      <c r="E1012" s="60">
        <v>0</v>
      </c>
      <c r="F1012" s="60">
        <v>23892</v>
      </c>
      <c r="G1012" s="60">
        <v>0</v>
      </c>
      <c r="H1012" s="60">
        <v>0</v>
      </c>
      <c r="I1012" s="60">
        <v>0</v>
      </c>
      <c r="J1012" s="60">
        <v>23892</v>
      </c>
      <c r="K1012" s="260">
        <v>0</v>
      </c>
      <c r="L1012" s="260">
        <v>0</v>
      </c>
      <c r="M1012" s="260">
        <v>0</v>
      </c>
      <c r="N1012" s="260">
        <v>0</v>
      </c>
      <c r="O1012" s="264">
        <v>0</v>
      </c>
      <c r="P1012" s="264">
        <v>0</v>
      </c>
      <c r="Q1012" s="264">
        <v>0</v>
      </c>
      <c r="R1012" s="264">
        <v>23892</v>
      </c>
      <c r="S1012" s="60">
        <v>23892</v>
      </c>
      <c r="T1012" s="60">
        <v>0</v>
      </c>
    </row>
    <row r="1013" spans="1:20">
      <c r="A1013" t="s">
        <v>18764</v>
      </c>
      <c r="B1013" s="262">
        <v>44718</v>
      </c>
      <c r="C1013" t="s">
        <v>17017</v>
      </c>
      <c r="D1013" t="s">
        <v>17430</v>
      </c>
      <c r="E1013" s="60">
        <v>0</v>
      </c>
      <c r="F1013" s="60">
        <v>17952</v>
      </c>
      <c r="G1013" s="60">
        <v>0</v>
      </c>
      <c r="H1013" s="60">
        <v>0</v>
      </c>
      <c r="I1013" s="60">
        <v>0</v>
      </c>
      <c r="J1013" s="60">
        <v>17952</v>
      </c>
      <c r="K1013" s="260">
        <v>0</v>
      </c>
      <c r="L1013" s="260">
        <v>0</v>
      </c>
      <c r="M1013" s="260">
        <v>0</v>
      </c>
      <c r="N1013" s="260">
        <v>0</v>
      </c>
      <c r="O1013" s="264">
        <v>0</v>
      </c>
      <c r="P1013" s="264">
        <v>0</v>
      </c>
      <c r="Q1013" s="264">
        <v>0</v>
      </c>
      <c r="R1013" s="264">
        <v>17952</v>
      </c>
      <c r="S1013" s="60">
        <v>17952</v>
      </c>
      <c r="T1013" s="60">
        <v>0</v>
      </c>
    </row>
    <row r="1014" spans="1:20">
      <c r="A1014" t="s">
        <v>18765</v>
      </c>
      <c r="B1014" s="262">
        <v>44718</v>
      </c>
      <c r="C1014" t="s">
        <v>16444</v>
      </c>
      <c r="D1014" t="s">
        <v>16445</v>
      </c>
      <c r="E1014" s="60">
        <v>0</v>
      </c>
      <c r="F1014" s="60">
        <v>124125.12</v>
      </c>
      <c r="G1014" s="60">
        <v>124125.12</v>
      </c>
      <c r="H1014" s="60">
        <v>0</v>
      </c>
      <c r="I1014" s="60">
        <v>0</v>
      </c>
      <c r="J1014" s="60">
        <v>0</v>
      </c>
      <c r="K1014" s="260">
        <v>0</v>
      </c>
      <c r="L1014" s="260">
        <v>0</v>
      </c>
      <c r="M1014" s="260">
        <v>0</v>
      </c>
      <c r="N1014" s="260">
        <v>0</v>
      </c>
      <c r="O1014" s="264">
        <v>124125.12</v>
      </c>
      <c r="P1014" s="264">
        <v>0</v>
      </c>
      <c r="Q1014" s="264">
        <v>0</v>
      </c>
      <c r="R1014" s="264">
        <v>0</v>
      </c>
      <c r="S1014" s="60">
        <v>124125.12</v>
      </c>
      <c r="T1014" s="60">
        <v>0</v>
      </c>
    </row>
    <row r="1015" spans="1:20">
      <c r="A1015" t="s">
        <v>18766</v>
      </c>
      <c r="B1015" s="262">
        <v>44718</v>
      </c>
      <c r="C1015" t="s">
        <v>16444</v>
      </c>
      <c r="D1015" t="s">
        <v>16445</v>
      </c>
      <c r="E1015" s="60">
        <v>0</v>
      </c>
      <c r="F1015" s="60">
        <v>124125.12</v>
      </c>
      <c r="G1015" s="60">
        <v>124125.12</v>
      </c>
      <c r="H1015" s="60">
        <v>0</v>
      </c>
      <c r="I1015" s="60">
        <v>0</v>
      </c>
      <c r="J1015" s="60">
        <v>0</v>
      </c>
      <c r="K1015" s="260">
        <v>0</v>
      </c>
      <c r="L1015" s="260">
        <v>0</v>
      </c>
      <c r="M1015" s="260">
        <v>0</v>
      </c>
      <c r="N1015" s="260">
        <v>0</v>
      </c>
      <c r="O1015" s="264">
        <v>124125.12</v>
      </c>
      <c r="P1015" s="264">
        <v>0</v>
      </c>
      <c r="Q1015" s="264">
        <v>0</v>
      </c>
      <c r="R1015" s="264">
        <v>0</v>
      </c>
      <c r="S1015" s="60">
        <v>124125.12</v>
      </c>
      <c r="T1015" s="60">
        <v>0</v>
      </c>
    </row>
    <row r="1016" spans="1:20">
      <c r="A1016" t="s">
        <v>18767</v>
      </c>
      <c r="B1016" s="262">
        <v>44719</v>
      </c>
      <c r="C1016" t="s">
        <v>16838</v>
      </c>
      <c r="D1016" t="s">
        <v>16839</v>
      </c>
      <c r="E1016" s="60">
        <v>0</v>
      </c>
      <c r="F1016" s="60">
        <v>290438</v>
      </c>
      <c r="G1016" s="60">
        <v>10080</v>
      </c>
      <c r="H1016" s="60">
        <v>59718</v>
      </c>
      <c r="I1016" s="60">
        <v>220640</v>
      </c>
      <c r="J1016" s="60">
        <v>0</v>
      </c>
      <c r="K1016" s="260">
        <v>0</v>
      </c>
      <c r="L1016" s="260">
        <v>0</v>
      </c>
      <c r="M1016" s="260">
        <v>0</v>
      </c>
      <c r="N1016" s="260">
        <v>0</v>
      </c>
      <c r="O1016" s="264">
        <v>10080</v>
      </c>
      <c r="P1016" s="264">
        <v>59718</v>
      </c>
      <c r="Q1016" s="264">
        <v>220640</v>
      </c>
      <c r="R1016" s="264">
        <v>0</v>
      </c>
      <c r="S1016" s="60">
        <v>290438</v>
      </c>
      <c r="T1016" s="60">
        <v>0</v>
      </c>
    </row>
    <row r="1017" spans="1:20">
      <c r="A1017" t="s">
        <v>18768</v>
      </c>
      <c r="B1017" s="262">
        <v>44719</v>
      </c>
      <c r="C1017" t="s">
        <v>16643</v>
      </c>
      <c r="D1017" t="s">
        <v>16644</v>
      </c>
      <c r="E1017" s="60">
        <v>0</v>
      </c>
      <c r="F1017" s="60">
        <v>218902.45800000001</v>
      </c>
      <c r="G1017" s="60">
        <v>0</v>
      </c>
      <c r="H1017" s="60">
        <v>185494.21038000003</v>
      </c>
      <c r="I1017" s="60">
        <v>0</v>
      </c>
      <c r="J1017" s="60">
        <v>0</v>
      </c>
      <c r="K1017" s="260">
        <v>0</v>
      </c>
      <c r="L1017" s="260">
        <v>33408.247499999998</v>
      </c>
      <c r="M1017" s="260">
        <v>0</v>
      </c>
      <c r="N1017" s="260">
        <v>0</v>
      </c>
      <c r="O1017" s="264">
        <v>0</v>
      </c>
      <c r="P1017" s="264">
        <v>218902.45788000003</v>
      </c>
      <c r="Q1017" s="264">
        <v>0</v>
      </c>
      <c r="R1017" s="264">
        <v>0</v>
      </c>
      <c r="S1017" s="60">
        <v>218902.45788000003</v>
      </c>
      <c r="T1017" s="60">
        <v>1.1999998241662979E-4</v>
      </c>
    </row>
    <row r="1018" spans="1:20">
      <c r="A1018" t="s">
        <v>18769</v>
      </c>
      <c r="B1018" s="262">
        <v>44721</v>
      </c>
      <c r="C1018" t="s">
        <v>16880</v>
      </c>
      <c r="D1018" t="s">
        <v>16881</v>
      </c>
      <c r="E1018" s="60">
        <v>0</v>
      </c>
      <c r="F1018" s="60">
        <v>93338.476999999999</v>
      </c>
      <c r="G1018" s="60">
        <v>0</v>
      </c>
      <c r="H1018" s="60">
        <v>93338.476599999995</v>
      </c>
      <c r="I1018" s="60">
        <v>0</v>
      </c>
      <c r="J1018" s="60">
        <v>0</v>
      </c>
      <c r="K1018" s="260">
        <v>0</v>
      </c>
      <c r="L1018" s="260">
        <v>0</v>
      </c>
      <c r="M1018" s="260">
        <v>0</v>
      </c>
      <c r="N1018" s="260">
        <v>0</v>
      </c>
      <c r="O1018" s="264">
        <v>0</v>
      </c>
      <c r="P1018" s="264">
        <v>93338.476599999995</v>
      </c>
      <c r="Q1018" s="264">
        <v>0</v>
      </c>
      <c r="R1018" s="264">
        <v>0</v>
      </c>
      <c r="S1018" s="60">
        <v>93338.476599999995</v>
      </c>
      <c r="T1018" s="60">
        <v>4.0000000444706529E-4</v>
      </c>
    </row>
    <row r="1019" spans="1:20">
      <c r="A1019" t="s">
        <v>18770</v>
      </c>
      <c r="B1019" s="262">
        <v>44721</v>
      </c>
      <c r="C1019" t="s">
        <v>17287</v>
      </c>
      <c r="D1019" t="s">
        <v>18398</v>
      </c>
      <c r="E1019" s="60">
        <v>0</v>
      </c>
      <c r="F1019" s="60">
        <v>56000</v>
      </c>
      <c r="G1019" s="60">
        <v>56000</v>
      </c>
      <c r="H1019" s="60">
        <v>0</v>
      </c>
      <c r="I1019" s="60">
        <v>0</v>
      </c>
      <c r="J1019" s="60">
        <v>0</v>
      </c>
      <c r="K1019" s="260">
        <v>0</v>
      </c>
      <c r="L1019" s="260">
        <v>0</v>
      </c>
      <c r="M1019" s="260">
        <v>0</v>
      </c>
      <c r="N1019" s="260">
        <v>0</v>
      </c>
      <c r="O1019" s="264">
        <v>56000</v>
      </c>
      <c r="P1019" s="264">
        <v>0</v>
      </c>
      <c r="Q1019" s="264">
        <v>0</v>
      </c>
      <c r="R1019" s="264">
        <v>0</v>
      </c>
      <c r="S1019" s="60">
        <v>56000</v>
      </c>
      <c r="T1019" s="60">
        <v>0</v>
      </c>
    </row>
    <row r="1020" spans="1:20">
      <c r="A1020" t="s">
        <v>18771</v>
      </c>
      <c r="B1020" s="262">
        <v>44721</v>
      </c>
      <c r="C1020" t="s">
        <v>17156</v>
      </c>
      <c r="D1020" t="s">
        <v>17575</v>
      </c>
      <c r="E1020" s="60">
        <v>0</v>
      </c>
      <c r="F1020" s="60">
        <v>198337.5</v>
      </c>
      <c r="G1020" s="60">
        <v>0</v>
      </c>
      <c r="H1020" s="60">
        <v>198337.5</v>
      </c>
      <c r="I1020" s="60">
        <v>0</v>
      </c>
      <c r="J1020" s="60">
        <v>0</v>
      </c>
      <c r="K1020" s="260">
        <v>0</v>
      </c>
      <c r="L1020" s="260">
        <v>0</v>
      </c>
      <c r="M1020" s="260">
        <v>0</v>
      </c>
      <c r="N1020" s="260">
        <v>0</v>
      </c>
      <c r="O1020" s="264">
        <v>0</v>
      </c>
      <c r="P1020" s="264">
        <v>198337.5</v>
      </c>
      <c r="Q1020" s="264">
        <v>0</v>
      </c>
      <c r="R1020" s="264">
        <v>0</v>
      </c>
      <c r="S1020" s="60">
        <v>198337.5</v>
      </c>
      <c r="T1020" s="60">
        <v>0</v>
      </c>
    </row>
    <row r="1021" spans="1:20">
      <c r="A1021" t="s">
        <v>18772</v>
      </c>
      <c r="B1021" s="262">
        <v>44722</v>
      </c>
      <c r="C1021" t="s">
        <v>16838</v>
      </c>
      <c r="D1021" t="s">
        <v>16839</v>
      </c>
      <c r="E1021" s="60">
        <v>0</v>
      </c>
      <c r="F1021" s="60">
        <v>593335.68000000005</v>
      </c>
      <c r="G1021" s="60">
        <v>0</v>
      </c>
      <c r="H1021" s="60">
        <v>593335.68000000005</v>
      </c>
      <c r="I1021" s="60">
        <v>0</v>
      </c>
      <c r="J1021" s="60">
        <v>0</v>
      </c>
      <c r="K1021" s="260">
        <v>0</v>
      </c>
      <c r="L1021" s="260">
        <v>0</v>
      </c>
      <c r="M1021" s="260">
        <v>0</v>
      </c>
      <c r="N1021" s="260">
        <v>0</v>
      </c>
      <c r="O1021" s="264">
        <v>0</v>
      </c>
      <c r="P1021" s="264">
        <v>593335.68000000005</v>
      </c>
      <c r="Q1021" s="264">
        <v>0</v>
      </c>
      <c r="R1021" s="264">
        <v>0</v>
      </c>
      <c r="S1021" s="60">
        <v>593335.68000000005</v>
      </c>
      <c r="T1021" s="60">
        <v>0</v>
      </c>
    </row>
    <row r="1022" spans="1:20">
      <c r="A1022" t="s">
        <v>18773</v>
      </c>
      <c r="B1022" s="262">
        <v>44725</v>
      </c>
      <c r="C1022" t="s">
        <v>16783</v>
      </c>
      <c r="D1022" t="s">
        <v>17509</v>
      </c>
      <c r="E1022" s="60">
        <v>0</v>
      </c>
      <c r="F1022" s="60">
        <v>1549810.5790000001</v>
      </c>
      <c r="G1022" s="60">
        <v>0</v>
      </c>
      <c r="H1022" s="60">
        <v>1251770.0831999998</v>
      </c>
      <c r="I1022" s="60">
        <v>298040.49600000004</v>
      </c>
      <c r="J1022" s="60">
        <v>0</v>
      </c>
      <c r="K1022" s="260">
        <v>0</v>
      </c>
      <c r="L1022" s="260">
        <v>0</v>
      </c>
      <c r="M1022" s="260">
        <v>0</v>
      </c>
      <c r="N1022" s="260">
        <v>0</v>
      </c>
      <c r="O1022" s="264">
        <v>0</v>
      </c>
      <c r="P1022" s="264">
        <v>1251770.0831999998</v>
      </c>
      <c r="Q1022" s="264">
        <v>298040.49600000004</v>
      </c>
      <c r="R1022" s="264">
        <v>0</v>
      </c>
      <c r="S1022" s="60">
        <v>1549810.5791999998</v>
      </c>
      <c r="T1022" s="60">
        <v>-1.9999966025352478E-4</v>
      </c>
    </row>
    <row r="1023" spans="1:20">
      <c r="A1023" t="s">
        <v>18774</v>
      </c>
      <c r="B1023" s="262">
        <v>44726</v>
      </c>
      <c r="C1023" t="s">
        <v>16957</v>
      </c>
      <c r="D1023" t="s">
        <v>17451</v>
      </c>
      <c r="E1023" s="60">
        <v>0</v>
      </c>
      <c r="F1023" s="60">
        <v>156151.57999999999</v>
      </c>
      <c r="G1023" s="60">
        <v>156151.57999999999</v>
      </c>
      <c r="H1023" s="60">
        <v>0</v>
      </c>
      <c r="I1023" s="60">
        <v>0</v>
      </c>
      <c r="J1023" s="60">
        <v>0</v>
      </c>
      <c r="K1023" s="260">
        <v>0</v>
      </c>
      <c r="L1023" s="260">
        <v>0</v>
      </c>
      <c r="M1023" s="260">
        <v>0</v>
      </c>
      <c r="N1023" s="260">
        <v>0</v>
      </c>
      <c r="O1023" s="264">
        <v>156151.57999999999</v>
      </c>
      <c r="P1023" s="264">
        <v>0</v>
      </c>
      <c r="Q1023" s="264">
        <v>0</v>
      </c>
      <c r="R1023" s="264">
        <v>0</v>
      </c>
      <c r="S1023" s="60">
        <v>156151.57999999999</v>
      </c>
      <c r="T1023" s="60">
        <v>0</v>
      </c>
    </row>
    <row r="1024" spans="1:20">
      <c r="A1024" t="s">
        <v>18775</v>
      </c>
      <c r="B1024" s="262">
        <v>44726</v>
      </c>
      <c r="C1024" t="s">
        <v>16444</v>
      </c>
      <c r="D1024" t="s">
        <v>16445</v>
      </c>
      <c r="E1024" s="60">
        <v>0</v>
      </c>
      <c r="F1024" s="60">
        <v>146094</v>
      </c>
      <c r="G1024" s="60">
        <v>31194</v>
      </c>
      <c r="H1024" s="60">
        <v>108540</v>
      </c>
      <c r="I1024" s="60">
        <v>6360</v>
      </c>
      <c r="J1024" s="60">
        <v>0</v>
      </c>
      <c r="K1024" s="260">
        <v>0</v>
      </c>
      <c r="L1024" s="260">
        <v>0</v>
      </c>
      <c r="M1024" s="260">
        <v>0</v>
      </c>
      <c r="N1024" s="260">
        <v>0</v>
      </c>
      <c r="O1024" s="264">
        <v>31194</v>
      </c>
      <c r="P1024" s="264">
        <v>108540</v>
      </c>
      <c r="Q1024" s="264">
        <v>6360</v>
      </c>
      <c r="R1024" s="264">
        <v>0</v>
      </c>
      <c r="S1024" s="60">
        <v>146094</v>
      </c>
      <c r="T1024" s="60">
        <v>0</v>
      </c>
    </row>
    <row r="1025" spans="1:20">
      <c r="A1025" t="s">
        <v>18776</v>
      </c>
      <c r="B1025" s="262">
        <v>44726</v>
      </c>
      <c r="C1025" t="s">
        <v>16444</v>
      </c>
      <c r="D1025" t="s">
        <v>16445</v>
      </c>
      <c r="E1025" s="60">
        <v>0</v>
      </c>
      <c r="F1025" s="60">
        <v>77148</v>
      </c>
      <c r="G1025" s="60">
        <v>23688</v>
      </c>
      <c r="H1025" s="60">
        <v>53460</v>
      </c>
      <c r="I1025" s="60">
        <v>0</v>
      </c>
      <c r="J1025" s="60">
        <v>0</v>
      </c>
      <c r="K1025" s="260">
        <v>0</v>
      </c>
      <c r="L1025" s="260">
        <v>0</v>
      </c>
      <c r="M1025" s="260">
        <v>0</v>
      </c>
      <c r="N1025" s="260">
        <v>0</v>
      </c>
      <c r="O1025" s="264">
        <v>23688</v>
      </c>
      <c r="P1025" s="264">
        <v>53460</v>
      </c>
      <c r="Q1025" s="264">
        <v>0</v>
      </c>
      <c r="R1025" s="264">
        <v>0</v>
      </c>
      <c r="S1025" s="60">
        <v>77148</v>
      </c>
      <c r="T1025" s="60">
        <v>0</v>
      </c>
    </row>
    <row r="1026" spans="1:20">
      <c r="A1026" t="s">
        <v>18777</v>
      </c>
      <c r="B1026" s="262">
        <v>44727</v>
      </c>
      <c r="C1026" t="s">
        <v>17278</v>
      </c>
      <c r="D1026" t="s">
        <v>17279</v>
      </c>
      <c r="E1026" s="60">
        <v>0</v>
      </c>
      <c r="F1026" s="60">
        <v>855817.80900000001</v>
      </c>
      <c r="G1026" s="60">
        <v>68100.669000000009</v>
      </c>
      <c r="H1026" s="60">
        <v>0</v>
      </c>
      <c r="I1026" s="60">
        <v>787717.14</v>
      </c>
      <c r="J1026" s="60">
        <v>0</v>
      </c>
      <c r="K1026" s="260">
        <v>0</v>
      </c>
      <c r="L1026" s="260">
        <v>0</v>
      </c>
      <c r="M1026" s="260">
        <v>0</v>
      </c>
      <c r="N1026" s="260">
        <v>0</v>
      </c>
      <c r="O1026" s="264">
        <v>68100.669000000009</v>
      </c>
      <c r="P1026" s="264">
        <v>0</v>
      </c>
      <c r="Q1026" s="264">
        <v>787717.14</v>
      </c>
      <c r="R1026" s="264">
        <v>0</v>
      </c>
      <c r="S1026" s="60">
        <v>855817.80900000001</v>
      </c>
      <c r="T1026" s="60">
        <v>0</v>
      </c>
    </row>
    <row r="1027" spans="1:20">
      <c r="A1027" t="s">
        <v>18778</v>
      </c>
      <c r="B1027" s="262">
        <v>44729</v>
      </c>
      <c r="C1027" t="s">
        <v>17203</v>
      </c>
      <c r="D1027" t="s">
        <v>17205</v>
      </c>
      <c r="E1027" s="60">
        <v>0</v>
      </c>
      <c r="F1027" s="60">
        <v>97532.490999999995</v>
      </c>
      <c r="G1027" s="60">
        <v>0</v>
      </c>
      <c r="H1027" s="60">
        <v>91232.255923199991</v>
      </c>
      <c r="I1027" s="60">
        <v>6300.2354688000005</v>
      </c>
      <c r="J1027" s="60">
        <v>0</v>
      </c>
      <c r="K1027" s="260">
        <v>0</v>
      </c>
      <c r="L1027" s="260">
        <v>0</v>
      </c>
      <c r="M1027" s="260">
        <v>0</v>
      </c>
      <c r="N1027" s="260">
        <v>0</v>
      </c>
      <c r="O1027" s="264">
        <v>0</v>
      </c>
      <c r="P1027" s="264">
        <v>91232.255923199991</v>
      </c>
      <c r="Q1027" s="264">
        <v>6300.2354688000005</v>
      </c>
      <c r="R1027" s="264">
        <v>0</v>
      </c>
      <c r="S1027" s="60">
        <v>97532.491391999996</v>
      </c>
      <c r="T1027" s="60">
        <v>-3.9200000173877925E-4</v>
      </c>
    </row>
    <row r="1028" spans="1:20">
      <c r="A1028" t="s">
        <v>18779</v>
      </c>
      <c r="B1028" s="262">
        <v>44732</v>
      </c>
      <c r="C1028" t="s">
        <v>17209</v>
      </c>
      <c r="D1028" t="s">
        <v>17210</v>
      </c>
      <c r="E1028" s="60">
        <v>0</v>
      </c>
      <c r="F1028" s="60">
        <v>39480.550000000003</v>
      </c>
      <c r="G1028" s="60">
        <v>0</v>
      </c>
      <c r="H1028" s="60">
        <v>20821.996800000001</v>
      </c>
      <c r="I1028" s="60">
        <v>6940.6656000000003</v>
      </c>
      <c r="J1028" s="60">
        <v>6816.2875000000013</v>
      </c>
      <c r="K1028" s="260">
        <v>0</v>
      </c>
      <c r="L1028" s="260">
        <v>3161.6143337066069</v>
      </c>
      <c r="M1028" s="260">
        <v>1053.871444568869</v>
      </c>
      <c r="N1028" s="260">
        <v>686.1142217245241</v>
      </c>
      <c r="O1028" s="264">
        <v>0</v>
      </c>
      <c r="P1028" s="264">
        <v>23983.611133706607</v>
      </c>
      <c r="Q1028" s="264">
        <v>7994.5370445688695</v>
      </c>
      <c r="R1028" s="264">
        <v>7502.4017217245255</v>
      </c>
      <c r="S1028" s="60">
        <v>39480.549900000005</v>
      </c>
      <c r="T1028" s="60">
        <v>9.9999997473787516E-5</v>
      </c>
    </row>
    <row r="1029" spans="1:20">
      <c r="A1029" t="s">
        <v>18780</v>
      </c>
      <c r="B1029" s="262">
        <v>44743</v>
      </c>
      <c r="C1029" t="s">
        <v>16838</v>
      </c>
      <c r="D1029" t="s">
        <v>16839</v>
      </c>
      <c r="E1029" s="60">
        <v>0</v>
      </c>
      <c r="F1029" s="60">
        <v>430584</v>
      </c>
      <c r="G1029" s="60">
        <v>369024</v>
      </c>
      <c r="H1029" s="60">
        <v>61560</v>
      </c>
      <c r="I1029" s="60">
        <v>0</v>
      </c>
      <c r="J1029" s="60">
        <v>0</v>
      </c>
      <c r="K1029" s="260">
        <v>0</v>
      </c>
      <c r="L1029" s="260">
        <v>0</v>
      </c>
      <c r="M1029" s="260">
        <v>0</v>
      </c>
      <c r="N1029" s="260">
        <v>0</v>
      </c>
      <c r="O1029" s="264">
        <v>369024</v>
      </c>
      <c r="P1029" s="264">
        <v>61560</v>
      </c>
      <c r="Q1029" s="264">
        <v>0</v>
      </c>
      <c r="R1029" s="264">
        <v>0</v>
      </c>
      <c r="S1029" s="60">
        <v>430584</v>
      </c>
      <c r="T1029" s="60">
        <v>0</v>
      </c>
    </row>
    <row r="1030" spans="1:20">
      <c r="A1030" t="s">
        <v>18781</v>
      </c>
      <c r="B1030" s="262">
        <v>44896</v>
      </c>
      <c r="C1030" t="s">
        <v>17329</v>
      </c>
      <c r="D1030" t="s">
        <v>18782</v>
      </c>
      <c r="E1030" s="60">
        <v>0</v>
      </c>
      <c r="F1030" s="60">
        <v>106853.23800000001</v>
      </c>
      <c r="G1030" s="60">
        <v>13005.252</v>
      </c>
      <c r="H1030" s="60">
        <v>20389.589999999997</v>
      </c>
      <c r="I1030" s="60">
        <v>3321.7274999999995</v>
      </c>
      <c r="J1030" s="60">
        <v>53298.418874999996</v>
      </c>
      <c r="K1030" s="260">
        <v>0</v>
      </c>
      <c r="L1030" s="260">
        <v>0</v>
      </c>
      <c r="M1030" s="260">
        <v>0</v>
      </c>
      <c r="N1030" s="260">
        <v>0</v>
      </c>
      <c r="O1030" s="264">
        <v>13005.252</v>
      </c>
      <c r="P1030" s="264">
        <v>20389.589999999997</v>
      </c>
      <c r="Q1030" s="264">
        <v>3321.7274999999995</v>
      </c>
      <c r="R1030" s="264">
        <v>53298.418874999996</v>
      </c>
      <c r="S1030" s="60">
        <v>90014.988374999986</v>
      </c>
      <c r="T1030" s="60">
        <v>16838.249625000026</v>
      </c>
    </row>
    <row r="1031" spans="1:20">
      <c r="A1031" t="s">
        <v>18783</v>
      </c>
      <c r="B1031" s="262">
        <v>44743</v>
      </c>
      <c r="C1031" t="s">
        <v>16444</v>
      </c>
      <c r="D1031" t="s">
        <v>16445</v>
      </c>
      <c r="E1031" s="60">
        <v>0</v>
      </c>
      <c r="F1031" s="60">
        <v>350880</v>
      </c>
      <c r="G1031" s="60">
        <v>0</v>
      </c>
      <c r="H1031" s="60">
        <v>350880</v>
      </c>
      <c r="I1031" s="60">
        <v>0</v>
      </c>
      <c r="J1031" s="60">
        <v>0</v>
      </c>
      <c r="K1031" s="260">
        <v>0</v>
      </c>
      <c r="L1031" s="260">
        <v>0</v>
      </c>
      <c r="M1031" s="260">
        <v>0</v>
      </c>
      <c r="N1031" s="260">
        <v>0</v>
      </c>
      <c r="O1031" s="264">
        <v>0</v>
      </c>
      <c r="P1031" s="264">
        <v>350880</v>
      </c>
      <c r="Q1031" s="264">
        <v>0</v>
      </c>
      <c r="R1031" s="264">
        <v>0</v>
      </c>
      <c r="S1031" s="60">
        <v>350880</v>
      </c>
      <c r="T1031" s="60">
        <v>0</v>
      </c>
    </row>
    <row r="1032" spans="1:20">
      <c r="A1032" t="s">
        <v>18784</v>
      </c>
      <c r="B1032" s="262">
        <v>44746</v>
      </c>
      <c r="C1032" t="s">
        <v>16972</v>
      </c>
      <c r="D1032" t="s">
        <v>17424</v>
      </c>
      <c r="E1032" s="60">
        <v>0</v>
      </c>
      <c r="F1032" s="60">
        <v>624400</v>
      </c>
      <c r="G1032" s="60">
        <v>0</v>
      </c>
      <c r="H1032" s="60">
        <v>0</v>
      </c>
      <c r="I1032" s="60">
        <v>624400</v>
      </c>
      <c r="J1032" s="60">
        <v>0</v>
      </c>
      <c r="K1032" s="260">
        <v>0</v>
      </c>
      <c r="L1032" s="260">
        <v>0</v>
      </c>
      <c r="M1032" s="260">
        <v>0</v>
      </c>
      <c r="N1032" s="260">
        <v>0</v>
      </c>
      <c r="O1032" s="264">
        <v>0</v>
      </c>
      <c r="P1032" s="264">
        <v>0</v>
      </c>
      <c r="Q1032" s="264">
        <v>624400</v>
      </c>
      <c r="R1032" s="264">
        <v>0</v>
      </c>
      <c r="S1032" s="60">
        <v>624400</v>
      </c>
      <c r="T1032" s="60">
        <v>0</v>
      </c>
    </row>
    <row r="1033" spans="1:20">
      <c r="A1033" t="s">
        <v>18785</v>
      </c>
      <c r="B1033" s="262">
        <v>44746</v>
      </c>
      <c r="C1033" t="s">
        <v>16957</v>
      </c>
      <c r="D1033" t="s">
        <v>17451</v>
      </c>
      <c r="E1033" s="60">
        <v>0</v>
      </c>
      <c r="F1033" s="60">
        <v>157251.4</v>
      </c>
      <c r="G1033" s="60">
        <v>157251.4</v>
      </c>
      <c r="H1033" s="60">
        <v>0</v>
      </c>
      <c r="I1033" s="60">
        <v>0</v>
      </c>
      <c r="J1033" s="60">
        <v>0</v>
      </c>
      <c r="K1033" s="260">
        <v>0</v>
      </c>
      <c r="L1033" s="260">
        <v>0</v>
      </c>
      <c r="M1033" s="260">
        <v>0</v>
      </c>
      <c r="N1033" s="260">
        <v>0</v>
      </c>
      <c r="O1033" s="264">
        <v>157251.4</v>
      </c>
      <c r="P1033" s="264">
        <v>0</v>
      </c>
      <c r="Q1033" s="264">
        <v>0</v>
      </c>
      <c r="R1033" s="264">
        <v>0</v>
      </c>
      <c r="S1033" s="60">
        <v>157251.4</v>
      </c>
      <c r="T1033" s="60">
        <v>0</v>
      </c>
    </row>
    <row r="1034" spans="1:20">
      <c r="A1034" t="s">
        <v>18786</v>
      </c>
      <c r="B1034" s="262">
        <v>44746</v>
      </c>
      <c r="C1034" t="s">
        <v>16754</v>
      </c>
      <c r="D1034" t="s">
        <v>16755</v>
      </c>
      <c r="E1034" s="60">
        <v>0</v>
      </c>
      <c r="F1034" s="60">
        <v>425292.36799999996</v>
      </c>
      <c r="G1034" s="60">
        <v>0</v>
      </c>
      <c r="H1034" s="60">
        <v>0</v>
      </c>
      <c r="I1034" s="60">
        <v>363655.79249999998</v>
      </c>
      <c r="J1034" s="60">
        <v>0</v>
      </c>
      <c r="K1034" s="260">
        <v>0</v>
      </c>
      <c r="L1034" s="260">
        <v>0</v>
      </c>
      <c r="M1034" s="260">
        <v>61636.574999999997</v>
      </c>
      <c r="N1034" s="260">
        <v>0</v>
      </c>
      <c r="O1034" s="264">
        <v>0</v>
      </c>
      <c r="P1034" s="264">
        <v>0</v>
      </c>
      <c r="Q1034" s="264">
        <v>425292.36749999999</v>
      </c>
      <c r="R1034" s="264">
        <v>0</v>
      </c>
      <c r="S1034" s="60">
        <v>425292.36749999999</v>
      </c>
      <c r="T1034" s="60">
        <v>4.9999996554106474E-4</v>
      </c>
    </row>
    <row r="1035" spans="1:20">
      <c r="A1035" t="s">
        <v>18787</v>
      </c>
      <c r="B1035" s="262">
        <v>44754</v>
      </c>
      <c r="C1035" t="s">
        <v>17156</v>
      </c>
      <c r="D1035" t="s">
        <v>17575</v>
      </c>
      <c r="E1035" s="60">
        <v>0</v>
      </c>
      <c r="F1035" s="60">
        <v>132225</v>
      </c>
      <c r="G1035" s="60">
        <v>0</v>
      </c>
      <c r="H1035" s="60">
        <v>132225</v>
      </c>
      <c r="I1035" s="60">
        <v>0</v>
      </c>
      <c r="J1035" s="60">
        <v>0</v>
      </c>
      <c r="K1035" s="260">
        <v>0</v>
      </c>
      <c r="L1035" s="260">
        <v>0</v>
      </c>
      <c r="M1035" s="260">
        <v>0</v>
      </c>
      <c r="N1035" s="260">
        <v>0</v>
      </c>
      <c r="O1035" s="264">
        <v>0</v>
      </c>
      <c r="P1035" s="264">
        <v>132225</v>
      </c>
      <c r="Q1035" s="264">
        <v>0</v>
      </c>
      <c r="R1035" s="264">
        <v>0</v>
      </c>
      <c r="S1035" s="60">
        <v>132225</v>
      </c>
      <c r="T1035" s="60">
        <v>0</v>
      </c>
    </row>
    <row r="1036" spans="1:20">
      <c r="A1036" t="s">
        <v>18788</v>
      </c>
      <c r="B1036" s="262">
        <v>44754</v>
      </c>
      <c r="C1036" t="s">
        <v>17017</v>
      </c>
      <c r="D1036" t="s">
        <v>17430</v>
      </c>
      <c r="E1036" s="60">
        <v>0</v>
      </c>
      <c r="F1036" s="60">
        <v>64600</v>
      </c>
      <c r="G1036" s="60">
        <v>0</v>
      </c>
      <c r="H1036" s="60">
        <v>64600</v>
      </c>
      <c r="I1036" s="60">
        <v>0</v>
      </c>
      <c r="J1036" s="60">
        <v>0</v>
      </c>
      <c r="K1036" s="260">
        <v>0</v>
      </c>
      <c r="L1036" s="260">
        <v>0</v>
      </c>
      <c r="M1036" s="260">
        <v>0</v>
      </c>
      <c r="N1036" s="260">
        <v>0</v>
      </c>
      <c r="O1036" s="264">
        <v>0</v>
      </c>
      <c r="P1036" s="264">
        <v>64600</v>
      </c>
      <c r="Q1036" s="264">
        <v>0</v>
      </c>
      <c r="R1036" s="264">
        <v>0</v>
      </c>
      <c r="S1036" s="60">
        <v>64600</v>
      </c>
      <c r="T1036" s="60">
        <v>0</v>
      </c>
    </row>
    <row r="1037" spans="1:20">
      <c r="A1037" t="s">
        <v>18789</v>
      </c>
      <c r="B1037" s="262">
        <v>44754</v>
      </c>
      <c r="C1037" t="s">
        <v>17017</v>
      </c>
      <c r="D1037" t="s">
        <v>17430</v>
      </c>
      <c r="E1037" s="60">
        <v>0</v>
      </c>
      <c r="F1037" s="60">
        <v>64600</v>
      </c>
      <c r="G1037" s="60">
        <v>0</v>
      </c>
      <c r="H1037" s="60">
        <v>64600</v>
      </c>
      <c r="I1037" s="60">
        <v>0</v>
      </c>
      <c r="J1037" s="60">
        <v>0</v>
      </c>
      <c r="K1037" s="260">
        <v>0</v>
      </c>
      <c r="L1037" s="260">
        <v>0</v>
      </c>
      <c r="M1037" s="260">
        <v>0</v>
      </c>
      <c r="N1037" s="260">
        <v>0</v>
      </c>
      <c r="O1037" s="264">
        <v>0</v>
      </c>
      <c r="P1037" s="264">
        <v>64600</v>
      </c>
      <c r="Q1037" s="264">
        <v>0</v>
      </c>
      <c r="R1037" s="264">
        <v>0</v>
      </c>
      <c r="S1037" s="60">
        <v>64600</v>
      </c>
      <c r="T1037" s="60">
        <v>0</v>
      </c>
    </row>
    <row r="1038" spans="1:20">
      <c r="A1038" t="s">
        <v>18790</v>
      </c>
      <c r="B1038">
        <v>44896</v>
      </c>
      <c r="C1038" t="s">
        <v>17278</v>
      </c>
      <c r="D1038" t="s">
        <v>17279</v>
      </c>
      <c r="E1038">
        <v>0</v>
      </c>
      <c r="F1038">
        <v>606527.94200000004</v>
      </c>
      <c r="G1038" s="259">
        <v>0</v>
      </c>
      <c r="H1038" s="259">
        <v>606527.94209280005</v>
      </c>
      <c r="I1038" s="259">
        <v>0</v>
      </c>
      <c r="J1038" s="259">
        <v>0</v>
      </c>
      <c r="K1038" s="260">
        <v>0</v>
      </c>
      <c r="L1038" s="260">
        <v>0</v>
      </c>
      <c r="M1038" s="260">
        <v>0</v>
      </c>
      <c r="N1038" s="260">
        <v>0</v>
      </c>
      <c r="O1038" s="261">
        <v>0</v>
      </c>
      <c r="P1038" s="261">
        <v>606527.94209280005</v>
      </c>
      <c r="Q1038" s="261">
        <v>0</v>
      </c>
      <c r="R1038" s="261">
        <v>0</v>
      </c>
      <c r="S1038">
        <v>606527.94209280005</v>
      </c>
      <c r="T1038">
        <v>-9.280000813305378E-5</v>
      </c>
    </row>
    <row r="1039" spans="1:20">
      <c r="A1039" t="s">
        <v>18791</v>
      </c>
      <c r="B1039">
        <v>44755</v>
      </c>
      <c r="C1039" t="s">
        <v>16957</v>
      </c>
      <c r="D1039" t="s">
        <v>17451</v>
      </c>
      <c r="E1039">
        <v>0</v>
      </c>
      <c r="F1039">
        <v>159931.1</v>
      </c>
      <c r="G1039" s="259">
        <v>159931.1</v>
      </c>
      <c r="H1039" s="259">
        <v>0</v>
      </c>
      <c r="I1039" s="259">
        <v>0</v>
      </c>
      <c r="J1039" s="259">
        <v>0</v>
      </c>
      <c r="K1039" s="260">
        <v>0</v>
      </c>
      <c r="L1039" s="260">
        <v>0</v>
      </c>
      <c r="M1039" s="260">
        <v>0</v>
      </c>
      <c r="N1039" s="260">
        <v>0</v>
      </c>
      <c r="O1039" s="261">
        <v>159931.1</v>
      </c>
      <c r="P1039" s="261">
        <v>0</v>
      </c>
      <c r="Q1039" s="261">
        <v>0</v>
      </c>
      <c r="R1039" s="261">
        <v>0</v>
      </c>
      <c r="S1039">
        <v>159931.1</v>
      </c>
      <c r="T1039">
        <v>0</v>
      </c>
    </row>
    <row r="1040" spans="1:20">
      <c r="A1040" t="s">
        <v>18792</v>
      </c>
      <c r="B1040">
        <v>44755</v>
      </c>
      <c r="C1040" t="s">
        <v>16444</v>
      </c>
      <c r="D1040" t="s">
        <v>16445</v>
      </c>
      <c r="E1040">
        <v>0</v>
      </c>
      <c r="F1040">
        <v>153552</v>
      </c>
      <c r="G1040" s="259">
        <v>95760</v>
      </c>
      <c r="H1040" s="259">
        <v>57792</v>
      </c>
      <c r="I1040" s="259">
        <v>0</v>
      </c>
      <c r="J1040" s="259">
        <v>0</v>
      </c>
      <c r="K1040" s="260">
        <v>0</v>
      </c>
      <c r="L1040" s="260">
        <v>0</v>
      </c>
      <c r="M1040" s="260">
        <v>0</v>
      </c>
      <c r="N1040" s="260">
        <v>0</v>
      </c>
      <c r="O1040" s="261">
        <v>95760</v>
      </c>
      <c r="P1040" s="261">
        <v>57792</v>
      </c>
      <c r="Q1040" s="261">
        <v>0</v>
      </c>
      <c r="R1040" s="261">
        <v>0</v>
      </c>
      <c r="S1040">
        <v>153552</v>
      </c>
      <c r="T1040">
        <v>0</v>
      </c>
    </row>
    <row r="1041" spans="1:20">
      <c r="A1041" t="s">
        <v>18793</v>
      </c>
      <c r="B1041">
        <v>44761</v>
      </c>
      <c r="C1041" t="s">
        <v>17332</v>
      </c>
      <c r="D1041" t="s">
        <v>18794</v>
      </c>
      <c r="E1041">
        <v>0</v>
      </c>
      <c r="F1041">
        <v>258008.25600000002</v>
      </c>
      <c r="G1041" s="259">
        <v>0</v>
      </c>
      <c r="H1041" s="259">
        <v>258008.25600000005</v>
      </c>
      <c r="I1041" s="259">
        <v>0</v>
      </c>
      <c r="J1041" s="259">
        <v>0</v>
      </c>
      <c r="K1041" s="260">
        <v>0</v>
      </c>
      <c r="L1041" s="260">
        <v>0</v>
      </c>
      <c r="M1041" s="260">
        <v>0</v>
      </c>
      <c r="N1041" s="260">
        <v>0</v>
      </c>
      <c r="O1041" s="261">
        <v>0</v>
      </c>
      <c r="P1041" s="261">
        <v>258008.25600000005</v>
      </c>
      <c r="Q1041" s="261">
        <v>0</v>
      </c>
      <c r="R1041" s="261">
        <v>0</v>
      </c>
      <c r="S1041">
        <v>258008.25600000005</v>
      </c>
      <c r="T1041">
        <v>0</v>
      </c>
    </row>
    <row r="1042" spans="1:20">
      <c r="A1042" t="s">
        <v>18795</v>
      </c>
      <c r="B1042">
        <v>44896</v>
      </c>
      <c r="C1042" t="s">
        <v>17278</v>
      </c>
      <c r="D1042" t="s">
        <v>17279</v>
      </c>
      <c r="E1042">
        <v>0</v>
      </c>
      <c r="F1042">
        <v>841263.49099999992</v>
      </c>
      <c r="G1042" s="259">
        <v>0</v>
      </c>
      <c r="H1042" s="259">
        <v>607980.03302400012</v>
      </c>
      <c r="I1042" s="259">
        <v>233283.4584</v>
      </c>
      <c r="J1042" s="259">
        <v>0</v>
      </c>
      <c r="K1042" s="260">
        <v>0</v>
      </c>
      <c r="L1042" s="260">
        <v>0</v>
      </c>
      <c r="M1042" s="260">
        <v>0</v>
      </c>
      <c r="N1042" s="260">
        <v>0</v>
      </c>
      <c r="O1042" s="261">
        <v>0</v>
      </c>
      <c r="P1042" s="261">
        <v>607980.03302400012</v>
      </c>
      <c r="Q1042" s="261">
        <v>233283.4584</v>
      </c>
      <c r="R1042" s="261">
        <v>0</v>
      </c>
      <c r="S1042">
        <v>841263.49142400012</v>
      </c>
      <c r="T1042">
        <v>-4.240002017468214E-4</v>
      </c>
    </row>
    <row r="1043" spans="1:20">
      <c r="A1043" t="s">
        <v>18796</v>
      </c>
      <c r="B1043">
        <v>44761</v>
      </c>
      <c r="C1043" t="s">
        <v>17119</v>
      </c>
      <c r="D1043" t="s">
        <v>17120</v>
      </c>
      <c r="E1043">
        <v>0</v>
      </c>
      <c r="F1043">
        <v>259408.451</v>
      </c>
      <c r="G1043" s="259">
        <v>54516.596399999995</v>
      </c>
      <c r="H1043" s="259">
        <v>176674.155</v>
      </c>
      <c r="I1043" s="259">
        <v>0</v>
      </c>
      <c r="J1043" s="259">
        <v>0</v>
      </c>
      <c r="K1043" s="260">
        <v>6073.7650224215249</v>
      </c>
      <c r="L1043" s="260">
        <v>22143.934977578476</v>
      </c>
      <c r="M1043" s="260">
        <v>0</v>
      </c>
      <c r="N1043" s="260">
        <v>0</v>
      </c>
      <c r="O1043" s="261">
        <v>60590.36142242152</v>
      </c>
      <c r="P1043" s="261">
        <v>198818.08997757846</v>
      </c>
      <c r="Q1043" s="261">
        <v>0</v>
      </c>
      <c r="R1043" s="261">
        <v>0</v>
      </c>
      <c r="S1043">
        <v>259408.45139999999</v>
      </c>
      <c r="T1043">
        <v>-3.9999998989515007E-4</v>
      </c>
    </row>
    <row r="1044" spans="1:20">
      <c r="A1044" t="s">
        <v>18797</v>
      </c>
      <c r="B1044">
        <v>44774</v>
      </c>
      <c r="C1044" t="s">
        <v>17119</v>
      </c>
      <c r="D1044" t="s">
        <v>17120</v>
      </c>
      <c r="E1044">
        <v>0</v>
      </c>
      <c r="F1044">
        <v>533216.81599999999</v>
      </c>
      <c r="G1044" s="259">
        <v>179380.07999999996</v>
      </c>
      <c r="H1044" s="259">
        <v>252244.25599999996</v>
      </c>
      <c r="I1044" s="259">
        <v>0</v>
      </c>
      <c r="J1044" s="259">
        <v>0</v>
      </c>
      <c r="K1044" s="260">
        <v>40561.225459688823</v>
      </c>
      <c r="L1044" s="260">
        <v>63340.174540311171</v>
      </c>
      <c r="M1044" s="260">
        <v>0</v>
      </c>
      <c r="N1044" s="260">
        <v>0</v>
      </c>
      <c r="O1044" s="261">
        <v>219941.30545968877</v>
      </c>
      <c r="P1044" s="261">
        <v>315584.43054031115</v>
      </c>
      <c r="Q1044" s="261">
        <v>0</v>
      </c>
      <c r="R1044" s="261">
        <v>0</v>
      </c>
      <c r="S1044">
        <v>535525.73599999992</v>
      </c>
      <c r="T1044">
        <v>-2308.9199999999255</v>
      </c>
    </row>
    <row r="1045" spans="1:20">
      <c r="A1045" t="s">
        <v>18798</v>
      </c>
      <c r="B1045">
        <v>44774</v>
      </c>
      <c r="C1045" t="s">
        <v>16972</v>
      </c>
      <c r="D1045" t="s">
        <v>17424</v>
      </c>
      <c r="E1045">
        <v>0</v>
      </c>
      <c r="F1045">
        <v>624400</v>
      </c>
      <c r="G1045" s="259">
        <v>0</v>
      </c>
      <c r="H1045" s="259">
        <v>0</v>
      </c>
      <c r="I1045" s="259">
        <v>624400</v>
      </c>
      <c r="J1045" s="259">
        <v>0</v>
      </c>
      <c r="K1045" s="260">
        <v>0</v>
      </c>
      <c r="L1045" s="260">
        <v>0</v>
      </c>
      <c r="M1045" s="260">
        <v>0</v>
      </c>
      <c r="N1045" s="260">
        <v>0</v>
      </c>
      <c r="O1045" s="261">
        <v>0</v>
      </c>
      <c r="P1045" s="261">
        <v>0</v>
      </c>
      <c r="Q1045" s="261">
        <v>624400</v>
      </c>
      <c r="R1045" s="261">
        <v>0</v>
      </c>
      <c r="S1045">
        <v>624400</v>
      </c>
      <c r="T1045">
        <v>0</v>
      </c>
    </row>
    <row r="1046" spans="1:20">
      <c r="A1046" t="s">
        <v>18799</v>
      </c>
      <c r="B1046">
        <v>44774</v>
      </c>
      <c r="C1046" t="s">
        <v>17278</v>
      </c>
      <c r="D1046" t="s">
        <v>17279</v>
      </c>
      <c r="E1046">
        <v>0</v>
      </c>
      <c r="F1046">
        <v>233523.486</v>
      </c>
      <c r="G1046" s="259">
        <v>0</v>
      </c>
      <c r="H1046" s="259">
        <v>0</v>
      </c>
      <c r="I1046" s="259">
        <v>233523.486</v>
      </c>
      <c r="J1046" s="259">
        <v>0</v>
      </c>
      <c r="K1046" s="260">
        <v>0</v>
      </c>
      <c r="L1046" s="260">
        <v>0</v>
      </c>
      <c r="M1046" s="260">
        <v>0</v>
      </c>
      <c r="N1046" s="260">
        <v>0</v>
      </c>
      <c r="O1046" s="261">
        <v>0</v>
      </c>
      <c r="P1046" s="261">
        <v>0</v>
      </c>
      <c r="Q1046" s="261">
        <v>233523.486</v>
      </c>
      <c r="R1046" s="261">
        <v>0</v>
      </c>
      <c r="S1046">
        <v>233523.486</v>
      </c>
      <c r="T1046">
        <v>0</v>
      </c>
    </row>
    <row r="1047" spans="1:20">
      <c r="A1047" t="s">
        <v>18800</v>
      </c>
      <c r="B1047">
        <v>44774</v>
      </c>
      <c r="C1047" t="s">
        <v>17304</v>
      </c>
      <c r="D1047" t="s">
        <v>17305</v>
      </c>
      <c r="E1047">
        <v>0</v>
      </c>
      <c r="F1047">
        <v>203516.75699999998</v>
      </c>
      <c r="G1047" s="259">
        <v>0</v>
      </c>
      <c r="H1047" s="259">
        <v>50515.96102000001</v>
      </c>
      <c r="I1047" s="259">
        <v>108258.47961599998</v>
      </c>
      <c r="J1047" s="259">
        <v>0</v>
      </c>
      <c r="K1047" s="260">
        <v>0</v>
      </c>
      <c r="L1047" s="260">
        <v>14175.980938430481</v>
      </c>
      <c r="M1047" s="260">
        <v>30566.335561569518</v>
      </c>
      <c r="N1047" s="260">
        <v>0</v>
      </c>
      <c r="O1047" s="261">
        <v>0</v>
      </c>
      <c r="P1047" s="261">
        <v>64691.941958430492</v>
      </c>
      <c r="Q1047" s="261">
        <v>138824.81517756952</v>
      </c>
      <c r="R1047" s="261">
        <v>0</v>
      </c>
      <c r="S1047">
        <v>203516.757136</v>
      </c>
      <c r="T1047">
        <v>-1.3600001693703234E-4</v>
      </c>
    </row>
    <row r="1048" spans="1:20">
      <c r="A1048" t="s">
        <v>18801</v>
      </c>
      <c r="B1048">
        <v>44774</v>
      </c>
      <c r="C1048" t="s">
        <v>16384</v>
      </c>
      <c r="D1048" t="s">
        <v>16385</v>
      </c>
      <c r="E1048">
        <v>0</v>
      </c>
      <c r="F1048">
        <v>344400</v>
      </c>
      <c r="G1048" s="259">
        <v>0</v>
      </c>
      <c r="H1048" s="259">
        <v>0</v>
      </c>
      <c r="I1048" s="259">
        <v>344400</v>
      </c>
      <c r="J1048" s="259">
        <v>0</v>
      </c>
      <c r="K1048" s="260">
        <v>0</v>
      </c>
      <c r="L1048" s="260">
        <v>0</v>
      </c>
      <c r="M1048" s="260">
        <v>0</v>
      </c>
      <c r="N1048" s="260">
        <v>0</v>
      </c>
      <c r="O1048" s="261">
        <v>0</v>
      </c>
      <c r="P1048" s="261">
        <v>0</v>
      </c>
      <c r="Q1048" s="261">
        <v>344400</v>
      </c>
      <c r="R1048" s="261">
        <v>0</v>
      </c>
      <c r="S1048">
        <v>344400</v>
      </c>
      <c r="T1048">
        <v>0</v>
      </c>
    </row>
    <row r="1049" spans="1:20">
      <c r="A1049" t="s">
        <v>18802</v>
      </c>
      <c r="B1049">
        <v>44778</v>
      </c>
      <c r="C1049" t="s">
        <v>16444</v>
      </c>
      <c r="D1049" t="s">
        <v>16445</v>
      </c>
      <c r="E1049">
        <v>0</v>
      </c>
      <c r="F1049">
        <v>55392</v>
      </c>
      <c r="G1049" s="259">
        <v>55392</v>
      </c>
      <c r="H1049" s="259">
        <v>0</v>
      </c>
      <c r="I1049" s="259">
        <v>0</v>
      </c>
      <c r="J1049" s="259">
        <v>0</v>
      </c>
      <c r="K1049" s="260">
        <v>0</v>
      </c>
      <c r="L1049" s="260">
        <v>0</v>
      </c>
      <c r="M1049" s="260">
        <v>0</v>
      </c>
      <c r="N1049" s="260">
        <v>0</v>
      </c>
      <c r="O1049" s="261">
        <v>55392</v>
      </c>
      <c r="P1049" s="261">
        <v>0</v>
      </c>
      <c r="Q1049" s="261">
        <v>0</v>
      </c>
      <c r="R1049" s="261">
        <v>0</v>
      </c>
      <c r="S1049">
        <v>55392</v>
      </c>
      <c r="T1049">
        <v>0</v>
      </c>
    </row>
    <row r="1050" spans="1:20">
      <c r="A1050" t="s">
        <v>18803</v>
      </c>
      <c r="B1050">
        <v>44782</v>
      </c>
      <c r="C1050" t="s">
        <v>17017</v>
      </c>
      <c r="D1050" t="s">
        <v>17430</v>
      </c>
      <c r="E1050">
        <v>0</v>
      </c>
      <c r="F1050">
        <v>64600</v>
      </c>
      <c r="G1050" s="259">
        <v>0</v>
      </c>
      <c r="H1050" s="259">
        <v>64600</v>
      </c>
      <c r="I1050" s="259">
        <v>0</v>
      </c>
      <c r="J1050" s="259">
        <v>0</v>
      </c>
      <c r="K1050" s="260">
        <v>0</v>
      </c>
      <c r="L1050" s="260">
        <v>0</v>
      </c>
      <c r="M1050" s="260">
        <v>0</v>
      </c>
      <c r="N1050" s="260">
        <v>0</v>
      </c>
      <c r="O1050" s="261">
        <v>0</v>
      </c>
      <c r="P1050" s="261">
        <v>64600</v>
      </c>
      <c r="Q1050" s="261">
        <v>0</v>
      </c>
      <c r="R1050" s="261">
        <v>0</v>
      </c>
      <c r="S1050">
        <v>64600</v>
      </c>
      <c r="T1050">
        <v>0</v>
      </c>
    </row>
    <row r="1051" spans="1:20">
      <c r="A1051" t="s">
        <v>18804</v>
      </c>
      <c r="B1051">
        <v>44782</v>
      </c>
      <c r="C1051" t="s">
        <v>16880</v>
      </c>
      <c r="D1051" t="s">
        <v>16881</v>
      </c>
      <c r="E1051">
        <v>0</v>
      </c>
      <c r="F1051">
        <v>105630.37599999999</v>
      </c>
      <c r="G1051" s="259">
        <v>0</v>
      </c>
      <c r="H1051" s="259">
        <v>105630.37567999998</v>
      </c>
      <c r="I1051" s="259">
        <v>0</v>
      </c>
      <c r="J1051" s="259">
        <v>0</v>
      </c>
      <c r="K1051" s="260">
        <v>0</v>
      </c>
      <c r="L1051" s="260">
        <v>0</v>
      </c>
      <c r="M1051" s="260">
        <v>0</v>
      </c>
      <c r="N1051" s="260">
        <v>0</v>
      </c>
      <c r="O1051" s="261">
        <v>0</v>
      </c>
      <c r="P1051" s="261">
        <v>105630.37567999998</v>
      </c>
      <c r="Q1051" s="261">
        <v>0</v>
      </c>
      <c r="R1051" s="261">
        <v>0</v>
      </c>
      <c r="S1051">
        <v>105630.37567999998</v>
      </c>
      <c r="T1051">
        <v>3.2000000646803528E-4</v>
      </c>
    </row>
    <row r="1052" spans="1:20">
      <c r="A1052" t="s">
        <v>18805</v>
      </c>
      <c r="B1052">
        <v>44784</v>
      </c>
      <c r="C1052" t="s">
        <v>16444</v>
      </c>
      <c r="D1052" t="s">
        <v>16445</v>
      </c>
      <c r="E1052">
        <v>0</v>
      </c>
      <c r="F1052">
        <v>186187.68</v>
      </c>
      <c r="G1052" s="259">
        <v>186187.68</v>
      </c>
      <c r="H1052" s="259">
        <v>0</v>
      </c>
      <c r="I1052" s="259">
        <v>0</v>
      </c>
      <c r="J1052" s="259">
        <v>0</v>
      </c>
      <c r="K1052" s="260">
        <v>0</v>
      </c>
      <c r="L1052" s="260">
        <v>0</v>
      </c>
      <c r="M1052" s="260">
        <v>0</v>
      </c>
      <c r="N1052" s="260">
        <v>0</v>
      </c>
      <c r="O1052" s="261">
        <v>186187.68</v>
      </c>
      <c r="P1052" s="261">
        <v>0</v>
      </c>
      <c r="Q1052" s="261">
        <v>0</v>
      </c>
      <c r="R1052" s="261">
        <v>0</v>
      </c>
      <c r="S1052">
        <v>186187.68</v>
      </c>
      <c r="T1052">
        <v>0</v>
      </c>
    </row>
    <row r="1053" spans="1:20">
      <c r="A1053" t="s">
        <v>18806</v>
      </c>
      <c r="B1053">
        <v>44896</v>
      </c>
      <c r="C1053" t="s">
        <v>17304</v>
      </c>
      <c r="D1053" t="s">
        <v>17305</v>
      </c>
      <c r="E1053">
        <v>0</v>
      </c>
      <c r="F1053">
        <v>113489.75300000001</v>
      </c>
      <c r="G1053" s="259">
        <v>0</v>
      </c>
      <c r="H1053" s="259">
        <v>69080.976360000001</v>
      </c>
      <c r="I1053" s="259">
        <v>8282.735999999999</v>
      </c>
      <c r="J1053" s="259">
        <v>13607.351999999999</v>
      </c>
      <c r="K1053" s="260">
        <v>0</v>
      </c>
      <c r="L1053" s="260">
        <v>18398.863553970656</v>
      </c>
      <c r="M1053" s="260">
        <v>2059.9124730146727</v>
      </c>
      <c r="N1053" s="260">
        <v>2059.9124730146727</v>
      </c>
      <c r="O1053" s="261">
        <v>0</v>
      </c>
      <c r="P1053" s="261">
        <v>87479.83991397066</v>
      </c>
      <c r="Q1053" s="261">
        <v>10342.648473014671</v>
      </c>
      <c r="R1053" s="261">
        <v>15667.264473014671</v>
      </c>
      <c r="S1053">
        <v>113489.75286000001</v>
      </c>
      <c r="T1053">
        <v>1.4000000373926014E-4</v>
      </c>
    </row>
    <row r="1054" spans="1:20">
      <c r="A1054" t="s">
        <v>18807</v>
      </c>
      <c r="B1054">
        <v>44792</v>
      </c>
      <c r="C1054" t="s">
        <v>17017</v>
      </c>
      <c r="D1054" t="s">
        <v>17430</v>
      </c>
      <c r="E1054">
        <v>0</v>
      </c>
      <c r="F1054">
        <v>64600</v>
      </c>
      <c r="G1054" s="259">
        <v>0</v>
      </c>
      <c r="H1054" s="259">
        <v>64600</v>
      </c>
      <c r="I1054" s="259">
        <v>0</v>
      </c>
      <c r="J1054" s="259">
        <v>0</v>
      </c>
      <c r="K1054" s="260">
        <v>0</v>
      </c>
      <c r="L1054" s="260">
        <v>0</v>
      </c>
      <c r="M1054" s="260">
        <v>0</v>
      </c>
      <c r="N1054" s="260">
        <v>0</v>
      </c>
      <c r="O1054" s="261">
        <v>0</v>
      </c>
      <c r="P1054" s="261">
        <v>64600</v>
      </c>
      <c r="Q1054" s="261">
        <v>0</v>
      </c>
      <c r="R1054" s="261">
        <v>0</v>
      </c>
      <c r="S1054">
        <v>64600</v>
      </c>
      <c r="T1054">
        <v>0</v>
      </c>
    </row>
    <row r="1055" spans="1:20">
      <c r="A1055" t="s">
        <v>18808</v>
      </c>
      <c r="B1055">
        <v>44792</v>
      </c>
      <c r="C1055" t="s">
        <v>17017</v>
      </c>
      <c r="D1055" t="s">
        <v>17430</v>
      </c>
      <c r="E1055">
        <v>0</v>
      </c>
      <c r="F1055">
        <v>132430</v>
      </c>
      <c r="G1055" s="259">
        <v>0</v>
      </c>
      <c r="H1055" s="259">
        <v>132430</v>
      </c>
      <c r="I1055" s="259">
        <v>0</v>
      </c>
      <c r="J1055" s="259">
        <v>0</v>
      </c>
      <c r="K1055" s="260">
        <v>0</v>
      </c>
      <c r="L1055" s="260">
        <v>0</v>
      </c>
      <c r="M1055" s="260">
        <v>0</v>
      </c>
      <c r="N1055" s="260">
        <v>0</v>
      </c>
      <c r="O1055" s="261">
        <v>0</v>
      </c>
      <c r="P1055" s="261">
        <v>132430</v>
      </c>
      <c r="Q1055" s="261">
        <v>0</v>
      </c>
      <c r="R1055" s="261">
        <v>0</v>
      </c>
      <c r="S1055">
        <v>132430</v>
      </c>
      <c r="T1055">
        <v>0</v>
      </c>
    </row>
    <row r="1056" spans="1:20">
      <c r="A1056" t="s">
        <v>18809</v>
      </c>
      <c r="B1056">
        <v>44805</v>
      </c>
      <c r="C1056" t="s">
        <v>16838</v>
      </c>
      <c r="D1056" t="s">
        <v>16839</v>
      </c>
      <c r="E1056">
        <v>0</v>
      </c>
      <c r="F1056">
        <v>213353.8</v>
      </c>
      <c r="G1056" s="259">
        <v>10080</v>
      </c>
      <c r="H1056" s="259">
        <v>59353.8</v>
      </c>
      <c r="I1056" s="259">
        <v>143920</v>
      </c>
      <c r="J1056" s="259">
        <v>0</v>
      </c>
      <c r="K1056" s="260">
        <v>0</v>
      </c>
      <c r="L1056" s="260">
        <v>0</v>
      </c>
      <c r="M1056" s="260">
        <v>0</v>
      </c>
      <c r="N1056" s="260">
        <v>0</v>
      </c>
      <c r="O1056" s="261">
        <v>10080</v>
      </c>
      <c r="P1056" s="261">
        <v>59353.8</v>
      </c>
      <c r="Q1056" s="261">
        <v>143920</v>
      </c>
      <c r="R1056" s="261">
        <v>0</v>
      </c>
      <c r="S1056">
        <v>213353.8</v>
      </c>
      <c r="T1056">
        <v>0</v>
      </c>
    </row>
    <row r="1057" spans="1:20">
      <c r="A1057" t="s">
        <v>18810</v>
      </c>
      <c r="B1057">
        <v>44795</v>
      </c>
      <c r="C1057" t="s">
        <v>16444</v>
      </c>
      <c r="D1057" t="s">
        <v>16445</v>
      </c>
      <c r="E1057">
        <v>0</v>
      </c>
      <c r="F1057">
        <v>146094</v>
      </c>
      <c r="G1057" s="259">
        <v>31194</v>
      </c>
      <c r="H1057" s="259">
        <v>108540</v>
      </c>
      <c r="I1057" s="259">
        <v>6360</v>
      </c>
      <c r="J1057" s="259">
        <v>0</v>
      </c>
      <c r="K1057" s="260">
        <v>0</v>
      </c>
      <c r="L1057" s="260">
        <v>0</v>
      </c>
      <c r="M1057" s="260">
        <v>0</v>
      </c>
      <c r="N1057" s="260">
        <v>0</v>
      </c>
      <c r="O1057" s="261">
        <v>31194</v>
      </c>
      <c r="P1057" s="261">
        <v>108540</v>
      </c>
      <c r="Q1057" s="261">
        <v>6360</v>
      </c>
      <c r="R1057" s="261">
        <v>0</v>
      </c>
      <c r="S1057">
        <v>146094</v>
      </c>
      <c r="T1057">
        <v>0</v>
      </c>
    </row>
    <row r="1058" spans="1:20">
      <c r="A1058" t="s">
        <v>18811</v>
      </c>
      <c r="B1058">
        <v>44805</v>
      </c>
      <c r="C1058" t="s">
        <v>17191</v>
      </c>
      <c r="D1058" t="s">
        <v>17585</v>
      </c>
      <c r="E1058">
        <v>0</v>
      </c>
      <c r="F1058">
        <v>39000</v>
      </c>
      <c r="G1058" s="259">
        <v>0</v>
      </c>
      <c r="H1058" s="259">
        <v>39000</v>
      </c>
      <c r="I1058" s="259">
        <v>0</v>
      </c>
      <c r="J1058" s="259">
        <v>0</v>
      </c>
      <c r="K1058" s="260">
        <v>0</v>
      </c>
      <c r="L1058" s="260">
        <v>0</v>
      </c>
      <c r="M1058" s="260">
        <v>0</v>
      </c>
      <c r="N1058" s="260">
        <v>0</v>
      </c>
      <c r="O1058" s="261">
        <v>0</v>
      </c>
      <c r="P1058" s="261">
        <v>39000</v>
      </c>
      <c r="Q1058" s="261">
        <v>0</v>
      </c>
      <c r="R1058" s="261">
        <v>0</v>
      </c>
      <c r="S1058">
        <v>39000</v>
      </c>
      <c r="T1058">
        <v>0</v>
      </c>
    </row>
    <row r="1059" spans="1:20">
      <c r="A1059" t="s">
        <v>18812</v>
      </c>
      <c r="B1059">
        <v>44796</v>
      </c>
      <c r="C1059" t="s">
        <v>16823</v>
      </c>
      <c r="D1059" t="s">
        <v>17805</v>
      </c>
      <c r="E1059">
        <v>0</v>
      </c>
      <c r="F1059">
        <v>166060.65099999998</v>
      </c>
      <c r="G1059" s="259">
        <v>105464.43</v>
      </c>
      <c r="H1059" s="259">
        <v>30598.4709</v>
      </c>
      <c r="I1059" s="259">
        <v>0</v>
      </c>
      <c r="J1059" s="259">
        <v>0</v>
      </c>
      <c r="K1059" s="260">
        <v>22644.837921847247</v>
      </c>
      <c r="L1059" s="260">
        <v>7352.9120781527536</v>
      </c>
      <c r="M1059" s="260">
        <v>0</v>
      </c>
      <c r="N1059" s="260">
        <v>0</v>
      </c>
      <c r="O1059" s="261">
        <v>128109.26792184723</v>
      </c>
      <c r="P1059" s="261">
        <v>37951.382978152753</v>
      </c>
      <c r="Q1059" s="261">
        <v>0</v>
      </c>
      <c r="R1059" s="261">
        <v>0</v>
      </c>
      <c r="S1059">
        <v>166060.65089999998</v>
      </c>
      <c r="T1059">
        <v>1.0000000474974513E-4</v>
      </c>
    </row>
    <row r="1060" spans="1:20">
      <c r="A1060" t="s">
        <v>18813</v>
      </c>
      <c r="B1060">
        <v>44796</v>
      </c>
      <c r="C1060" t="s">
        <v>16384</v>
      </c>
      <c r="D1060" t="s">
        <v>16385</v>
      </c>
      <c r="E1060">
        <v>0</v>
      </c>
      <c r="F1060">
        <v>344400</v>
      </c>
      <c r="G1060" s="259">
        <v>0</v>
      </c>
      <c r="H1060" s="259">
        <v>0</v>
      </c>
      <c r="I1060" s="259">
        <v>344400</v>
      </c>
      <c r="J1060" s="259">
        <v>0</v>
      </c>
      <c r="K1060" s="260">
        <v>0</v>
      </c>
      <c r="L1060" s="260">
        <v>0</v>
      </c>
      <c r="M1060" s="260">
        <v>0</v>
      </c>
      <c r="N1060" s="260">
        <v>0</v>
      </c>
      <c r="O1060" s="261">
        <v>0</v>
      </c>
      <c r="P1060" s="261">
        <v>0</v>
      </c>
      <c r="Q1060" s="261">
        <v>344400</v>
      </c>
      <c r="R1060" s="261">
        <v>0</v>
      </c>
      <c r="S1060">
        <v>344400</v>
      </c>
      <c r="T1060">
        <v>0</v>
      </c>
    </row>
    <row r="1061" spans="1:20">
      <c r="A1061" t="s">
        <v>18814</v>
      </c>
      <c r="B1061">
        <v>44805</v>
      </c>
      <c r="C1061" t="s">
        <v>16384</v>
      </c>
      <c r="D1061" t="s">
        <v>16385</v>
      </c>
      <c r="E1061">
        <v>0</v>
      </c>
      <c r="F1061">
        <v>57788.75</v>
      </c>
      <c r="G1061" s="259">
        <v>57788.75</v>
      </c>
      <c r="H1061" s="259">
        <v>0</v>
      </c>
      <c r="I1061" s="259">
        <v>0</v>
      </c>
      <c r="J1061" s="259">
        <v>0</v>
      </c>
      <c r="K1061" s="260">
        <v>0</v>
      </c>
      <c r="L1061" s="260">
        <v>0</v>
      </c>
      <c r="M1061" s="260">
        <v>0</v>
      </c>
      <c r="N1061" s="260">
        <v>0</v>
      </c>
      <c r="O1061" s="261">
        <v>57788.75</v>
      </c>
      <c r="P1061" s="261">
        <v>0</v>
      </c>
      <c r="Q1061" s="261">
        <v>0</v>
      </c>
      <c r="R1061" s="261">
        <v>0</v>
      </c>
      <c r="S1061">
        <v>57788.75</v>
      </c>
      <c r="T1061">
        <v>0</v>
      </c>
    </row>
    <row r="1062" spans="1:20">
      <c r="A1062" t="s">
        <v>18815</v>
      </c>
      <c r="B1062">
        <v>44835</v>
      </c>
      <c r="C1062" t="s">
        <v>17332</v>
      </c>
      <c r="D1062" t="s">
        <v>18794</v>
      </c>
      <c r="E1062">
        <v>0</v>
      </c>
      <c r="F1062">
        <v>288161.28000000003</v>
      </c>
      <c r="G1062" s="259">
        <v>0</v>
      </c>
      <c r="H1062" s="259">
        <v>288161.28000000003</v>
      </c>
      <c r="I1062" s="259">
        <v>0</v>
      </c>
      <c r="J1062" s="259">
        <v>0</v>
      </c>
      <c r="K1062" s="260">
        <v>0</v>
      </c>
      <c r="L1062" s="260">
        <v>0</v>
      </c>
      <c r="M1062" s="260">
        <v>0</v>
      </c>
      <c r="N1062" s="260">
        <v>0</v>
      </c>
      <c r="O1062" s="261">
        <v>0</v>
      </c>
      <c r="P1062" s="261">
        <v>288161.28000000003</v>
      </c>
      <c r="Q1062" s="261">
        <v>0</v>
      </c>
      <c r="R1062" s="261">
        <v>0</v>
      </c>
      <c r="S1062">
        <v>288161.28000000003</v>
      </c>
      <c r="T1062">
        <v>0</v>
      </c>
    </row>
    <row r="1063" spans="1:20">
      <c r="A1063" t="s">
        <v>18816</v>
      </c>
      <c r="B1063">
        <v>44796</v>
      </c>
      <c r="C1063" t="s">
        <v>16783</v>
      </c>
      <c r="D1063" t="s">
        <v>17509</v>
      </c>
      <c r="E1063">
        <v>0</v>
      </c>
      <c r="F1063">
        <v>128517.65800000001</v>
      </c>
      <c r="G1063" s="259">
        <v>0</v>
      </c>
      <c r="H1063" s="259">
        <v>0</v>
      </c>
      <c r="I1063" s="259">
        <v>0</v>
      </c>
      <c r="J1063" s="259">
        <v>128517.65775</v>
      </c>
      <c r="K1063" s="260">
        <v>0</v>
      </c>
      <c r="L1063" s="260">
        <v>0</v>
      </c>
      <c r="M1063" s="260">
        <v>0</v>
      </c>
      <c r="N1063" s="260">
        <v>0</v>
      </c>
      <c r="O1063" s="261">
        <v>0</v>
      </c>
      <c r="P1063" s="261">
        <v>0</v>
      </c>
      <c r="Q1063" s="261">
        <v>0</v>
      </c>
      <c r="R1063" s="261">
        <v>128517.65775</v>
      </c>
      <c r="S1063">
        <v>128517.65775</v>
      </c>
      <c r="T1063">
        <v>2.5000001187436283E-4</v>
      </c>
    </row>
    <row r="1064" spans="1:20">
      <c r="A1064" t="s">
        <v>18817</v>
      </c>
      <c r="B1064">
        <v>44805</v>
      </c>
      <c r="C1064" t="s">
        <v>17017</v>
      </c>
      <c r="D1064" t="s">
        <v>17430</v>
      </c>
      <c r="E1064">
        <v>0</v>
      </c>
      <c r="F1064">
        <v>195365</v>
      </c>
      <c r="G1064" s="259">
        <v>133865</v>
      </c>
      <c r="H1064" s="259">
        <v>61500</v>
      </c>
      <c r="I1064" s="259">
        <v>0</v>
      </c>
      <c r="J1064" s="259">
        <v>0</v>
      </c>
      <c r="K1064" s="260">
        <v>0</v>
      </c>
      <c r="L1064" s="260">
        <v>0</v>
      </c>
      <c r="M1064" s="260">
        <v>0</v>
      </c>
      <c r="N1064" s="260">
        <v>0</v>
      </c>
      <c r="O1064" s="261">
        <v>133865</v>
      </c>
      <c r="P1064" s="261">
        <v>61500</v>
      </c>
      <c r="Q1064" s="261">
        <v>0</v>
      </c>
      <c r="R1064" s="261">
        <v>0</v>
      </c>
      <c r="S1064">
        <v>195365</v>
      </c>
      <c r="T1064">
        <v>0</v>
      </c>
    </row>
    <row r="1065" spans="1:20">
      <c r="A1065" t="s">
        <v>18818</v>
      </c>
      <c r="B1065">
        <v>44809</v>
      </c>
      <c r="C1065" t="s">
        <v>16444</v>
      </c>
      <c r="D1065" t="s">
        <v>16445</v>
      </c>
      <c r="E1065">
        <v>0</v>
      </c>
      <c r="F1065">
        <v>149742</v>
      </c>
      <c r="G1065" s="259">
        <v>37962</v>
      </c>
      <c r="H1065" s="259">
        <v>111780</v>
      </c>
      <c r="I1065" s="259">
        <v>0</v>
      </c>
      <c r="J1065" s="259">
        <v>0</v>
      </c>
      <c r="K1065" s="260">
        <v>0</v>
      </c>
      <c r="L1065" s="260">
        <v>0</v>
      </c>
      <c r="M1065" s="260">
        <v>0</v>
      </c>
      <c r="N1065" s="260">
        <v>0</v>
      </c>
      <c r="O1065" s="261">
        <v>37962</v>
      </c>
      <c r="P1065" s="261">
        <v>111780</v>
      </c>
      <c r="Q1065" s="261">
        <v>0</v>
      </c>
      <c r="R1065" s="261">
        <v>0</v>
      </c>
      <c r="S1065">
        <v>149742</v>
      </c>
      <c r="T1065">
        <v>0</v>
      </c>
    </row>
    <row r="1066" spans="1:20">
      <c r="A1066" t="s">
        <v>18819</v>
      </c>
      <c r="B1066">
        <v>44812</v>
      </c>
      <c r="C1066" t="s">
        <v>17017</v>
      </c>
      <c r="D1066" t="s">
        <v>17430</v>
      </c>
      <c r="E1066">
        <v>0</v>
      </c>
      <c r="F1066">
        <v>64600</v>
      </c>
      <c r="G1066" s="259">
        <v>0</v>
      </c>
      <c r="H1066" s="259">
        <v>64600</v>
      </c>
      <c r="I1066" s="259">
        <v>0</v>
      </c>
      <c r="J1066" s="259">
        <v>0</v>
      </c>
      <c r="K1066" s="260">
        <v>0</v>
      </c>
      <c r="L1066" s="260">
        <v>0</v>
      </c>
      <c r="M1066" s="260">
        <v>0</v>
      </c>
      <c r="N1066" s="260">
        <v>0</v>
      </c>
      <c r="O1066" s="261">
        <v>0</v>
      </c>
      <c r="P1066" s="261">
        <v>64600</v>
      </c>
      <c r="Q1066" s="261">
        <v>0</v>
      </c>
      <c r="R1066" s="261">
        <v>0</v>
      </c>
      <c r="S1066">
        <v>64600</v>
      </c>
      <c r="T1066">
        <v>0</v>
      </c>
    </row>
    <row r="1067" spans="1:20">
      <c r="A1067" t="s">
        <v>18820</v>
      </c>
      <c r="B1067">
        <v>44896</v>
      </c>
      <c r="C1067" t="s">
        <v>16957</v>
      </c>
      <c r="D1067" t="s">
        <v>17451</v>
      </c>
      <c r="E1067">
        <v>0</v>
      </c>
      <c r="F1067">
        <v>71773.256999999998</v>
      </c>
      <c r="G1067" s="259">
        <v>71773.257249999995</v>
      </c>
      <c r="H1067" s="259">
        <v>0</v>
      </c>
      <c r="I1067" s="259">
        <v>0</v>
      </c>
      <c r="J1067" s="259">
        <v>0</v>
      </c>
      <c r="K1067" s="260">
        <v>0</v>
      </c>
      <c r="L1067" s="260">
        <v>0</v>
      </c>
      <c r="M1067" s="260">
        <v>0</v>
      </c>
      <c r="N1067" s="260">
        <v>0</v>
      </c>
      <c r="O1067" s="261">
        <v>71773.257249999995</v>
      </c>
      <c r="P1067" s="261">
        <v>0</v>
      </c>
      <c r="Q1067" s="261">
        <v>0</v>
      </c>
      <c r="R1067" s="261">
        <v>0</v>
      </c>
      <c r="S1067">
        <v>71773.257249999995</v>
      </c>
      <c r="T1067">
        <v>-2.499999973224476E-4</v>
      </c>
    </row>
    <row r="1068" spans="1:20">
      <c r="A1068" t="s">
        <v>18821</v>
      </c>
      <c r="B1068">
        <v>44816</v>
      </c>
      <c r="C1068" t="s">
        <v>16838</v>
      </c>
      <c r="D1068" t="s">
        <v>16839</v>
      </c>
      <c r="E1068">
        <v>0</v>
      </c>
      <c r="F1068">
        <v>879219.6</v>
      </c>
      <c r="G1068" s="259">
        <v>0</v>
      </c>
      <c r="H1068" s="259">
        <v>879219.6</v>
      </c>
      <c r="I1068" s="259">
        <v>0</v>
      </c>
      <c r="J1068" s="259">
        <v>0</v>
      </c>
      <c r="K1068" s="260">
        <v>0</v>
      </c>
      <c r="L1068" s="260">
        <v>0</v>
      </c>
      <c r="M1068" s="260">
        <v>0</v>
      </c>
      <c r="N1068" s="260">
        <v>0</v>
      </c>
      <c r="O1068" s="261">
        <v>0</v>
      </c>
      <c r="P1068" s="261">
        <v>879219.6</v>
      </c>
      <c r="Q1068" s="261">
        <v>0</v>
      </c>
      <c r="R1068" s="261">
        <v>0</v>
      </c>
      <c r="S1068">
        <v>879219.6</v>
      </c>
      <c r="T1068">
        <v>0</v>
      </c>
    </row>
    <row r="1069" spans="1:20">
      <c r="A1069" t="s">
        <v>18822</v>
      </c>
      <c r="B1069">
        <v>44816</v>
      </c>
      <c r="C1069" t="s">
        <v>16838</v>
      </c>
      <c r="D1069" t="s">
        <v>16839</v>
      </c>
      <c r="E1069">
        <v>0</v>
      </c>
      <c r="F1069">
        <v>161280</v>
      </c>
      <c r="G1069" s="259">
        <v>161280</v>
      </c>
      <c r="H1069" s="259">
        <v>0</v>
      </c>
      <c r="I1069" s="259">
        <v>0</v>
      </c>
      <c r="J1069" s="259">
        <v>0</v>
      </c>
      <c r="K1069" s="260">
        <v>0</v>
      </c>
      <c r="L1069" s="260">
        <v>0</v>
      </c>
      <c r="M1069" s="260">
        <v>0</v>
      </c>
      <c r="N1069" s="260">
        <v>0</v>
      </c>
      <c r="O1069" s="261">
        <v>161280</v>
      </c>
      <c r="P1069" s="261">
        <v>0</v>
      </c>
      <c r="Q1069" s="261">
        <v>0</v>
      </c>
      <c r="R1069" s="261">
        <v>0</v>
      </c>
      <c r="S1069">
        <v>161280</v>
      </c>
      <c r="T1069">
        <v>0</v>
      </c>
    </row>
    <row r="1070" spans="1:20">
      <c r="A1070" t="s">
        <v>18823</v>
      </c>
      <c r="B1070">
        <v>44816</v>
      </c>
      <c r="C1070" t="s">
        <v>17332</v>
      </c>
      <c r="D1070" t="s">
        <v>18794</v>
      </c>
      <c r="E1070">
        <v>0</v>
      </c>
      <c r="F1070">
        <v>393000</v>
      </c>
      <c r="G1070" s="259">
        <v>392999.99999999994</v>
      </c>
      <c r="H1070" s="259">
        <v>0</v>
      </c>
      <c r="I1070" s="259">
        <v>0</v>
      </c>
      <c r="J1070" s="259">
        <v>0</v>
      </c>
      <c r="K1070" s="260">
        <v>0</v>
      </c>
      <c r="L1070" s="260">
        <v>0</v>
      </c>
      <c r="M1070" s="260">
        <v>0</v>
      </c>
      <c r="N1070" s="260">
        <v>0</v>
      </c>
      <c r="O1070" s="261">
        <v>392999.99999999994</v>
      </c>
      <c r="P1070" s="261">
        <v>0</v>
      </c>
      <c r="Q1070" s="261">
        <v>0</v>
      </c>
      <c r="R1070" s="261">
        <v>0</v>
      </c>
      <c r="S1070">
        <v>392999.99999999994</v>
      </c>
      <c r="T1070">
        <v>0</v>
      </c>
    </row>
    <row r="1071" spans="1:20">
      <c r="A1071" t="s">
        <v>18824</v>
      </c>
      <c r="B1071">
        <v>44896</v>
      </c>
      <c r="C1071" t="s">
        <v>16957</v>
      </c>
      <c r="D1071" t="s">
        <v>17451</v>
      </c>
      <c r="E1071">
        <v>0</v>
      </c>
      <c r="F1071">
        <v>65069.322</v>
      </c>
      <c r="G1071" s="259">
        <v>65069.321625000004</v>
      </c>
      <c r="H1071" s="259">
        <v>0</v>
      </c>
      <c r="I1071" s="259">
        <v>0</v>
      </c>
      <c r="J1071" s="259">
        <v>0</v>
      </c>
      <c r="K1071" s="260">
        <v>0</v>
      </c>
      <c r="L1071" s="260">
        <v>0</v>
      </c>
      <c r="M1071" s="260">
        <v>0</v>
      </c>
      <c r="N1071" s="260">
        <v>0</v>
      </c>
      <c r="O1071" s="261">
        <v>65069.321625000004</v>
      </c>
      <c r="P1071" s="261">
        <v>0</v>
      </c>
      <c r="Q1071" s="261">
        <v>0</v>
      </c>
      <c r="R1071" s="261">
        <v>0</v>
      </c>
      <c r="S1071">
        <v>65069.321625000004</v>
      </c>
      <c r="T1071">
        <v>3.749999959836714E-4</v>
      </c>
    </row>
    <row r="1072" spans="1:20">
      <c r="A1072" t="s">
        <v>18825</v>
      </c>
      <c r="B1072">
        <v>44826</v>
      </c>
      <c r="C1072" t="s">
        <v>17017</v>
      </c>
      <c r="D1072" t="s">
        <v>17430</v>
      </c>
      <c r="E1072">
        <v>0</v>
      </c>
      <c r="F1072">
        <v>64600</v>
      </c>
      <c r="G1072" s="259">
        <v>0</v>
      </c>
      <c r="H1072" s="259">
        <v>64600</v>
      </c>
      <c r="I1072" s="259">
        <v>0</v>
      </c>
      <c r="J1072" s="259">
        <v>0</v>
      </c>
      <c r="K1072" s="260">
        <v>0</v>
      </c>
      <c r="L1072" s="260">
        <v>0</v>
      </c>
      <c r="M1072" s="260">
        <v>0</v>
      </c>
      <c r="N1072" s="260">
        <v>0</v>
      </c>
      <c r="O1072" s="261">
        <v>0</v>
      </c>
      <c r="P1072" s="261">
        <v>64600</v>
      </c>
      <c r="Q1072" s="261">
        <v>0</v>
      </c>
      <c r="R1072" s="261">
        <v>0</v>
      </c>
      <c r="S1072">
        <v>64600</v>
      </c>
      <c r="T1072">
        <v>0</v>
      </c>
    </row>
    <row r="1073" spans="1:20">
      <c r="A1073" t="s">
        <v>18826</v>
      </c>
      <c r="B1073">
        <v>44826</v>
      </c>
      <c r="C1073" t="s">
        <v>17332</v>
      </c>
      <c r="D1073" t="s">
        <v>18794</v>
      </c>
      <c r="E1073">
        <v>0</v>
      </c>
      <c r="F1073">
        <v>76890</v>
      </c>
      <c r="G1073" s="259">
        <v>76890</v>
      </c>
      <c r="H1073" s="259">
        <v>0</v>
      </c>
      <c r="I1073" s="259">
        <v>0</v>
      </c>
      <c r="J1073" s="259">
        <v>0</v>
      </c>
      <c r="K1073" s="260">
        <v>0</v>
      </c>
      <c r="L1073" s="260">
        <v>0</v>
      </c>
      <c r="M1073" s="260">
        <v>0</v>
      </c>
      <c r="N1073" s="260">
        <v>0</v>
      </c>
      <c r="O1073" s="261">
        <v>76890</v>
      </c>
      <c r="P1073" s="261">
        <v>0</v>
      </c>
      <c r="Q1073" s="261">
        <v>0</v>
      </c>
      <c r="R1073" s="261">
        <v>0</v>
      </c>
      <c r="S1073">
        <v>76890</v>
      </c>
      <c r="T1073">
        <v>0</v>
      </c>
    </row>
    <row r="1074" spans="1:20">
      <c r="A1074" t="s">
        <v>18827</v>
      </c>
      <c r="B1074">
        <v>44826</v>
      </c>
      <c r="C1074" t="s">
        <v>16783</v>
      </c>
      <c r="D1074" t="s">
        <v>17509</v>
      </c>
      <c r="E1074">
        <v>0</v>
      </c>
      <c r="F1074">
        <v>895093.41599999997</v>
      </c>
      <c r="G1074" s="259">
        <v>31115.152079999996</v>
      </c>
      <c r="H1074" s="259">
        <v>577860.94310400006</v>
      </c>
      <c r="I1074" s="259">
        <v>286117.32081599993</v>
      </c>
      <c r="J1074" s="259">
        <v>0</v>
      </c>
      <c r="K1074" s="260">
        <v>0</v>
      </c>
      <c r="L1074" s="260">
        <v>0</v>
      </c>
      <c r="M1074" s="260">
        <v>0</v>
      </c>
      <c r="N1074" s="260">
        <v>0</v>
      </c>
      <c r="O1074" s="261">
        <v>31115.152079999996</v>
      </c>
      <c r="P1074" s="261">
        <v>577860.94310400006</v>
      </c>
      <c r="Q1074" s="261">
        <v>286117.32081599993</v>
      </c>
      <c r="R1074" s="261">
        <v>0</v>
      </c>
      <c r="S1074">
        <v>895093.41599999997</v>
      </c>
      <c r="T1074">
        <v>0</v>
      </c>
    </row>
    <row r="1075" spans="1:20">
      <c r="A1075" t="s">
        <v>18828</v>
      </c>
      <c r="B1075">
        <v>44830</v>
      </c>
      <c r="C1075" t="s">
        <v>16560</v>
      </c>
      <c r="D1075" t="s">
        <v>16561</v>
      </c>
      <c r="E1075">
        <v>0</v>
      </c>
      <c r="F1075">
        <v>251789.391</v>
      </c>
      <c r="G1075" s="259">
        <v>0</v>
      </c>
      <c r="H1075" s="259">
        <v>0</v>
      </c>
      <c r="I1075" s="259">
        <v>251789.391</v>
      </c>
      <c r="J1075" s="259">
        <v>0</v>
      </c>
      <c r="K1075" s="260">
        <v>0</v>
      </c>
      <c r="L1075" s="260">
        <v>0</v>
      </c>
      <c r="M1075" s="260">
        <v>0</v>
      </c>
      <c r="N1075" s="260">
        <v>0</v>
      </c>
      <c r="O1075" s="261">
        <v>0</v>
      </c>
      <c r="P1075" s="261">
        <v>0</v>
      </c>
      <c r="Q1075" s="261">
        <v>251789.391</v>
      </c>
      <c r="R1075" s="261">
        <v>0</v>
      </c>
      <c r="S1075">
        <v>251789.391</v>
      </c>
      <c r="T1075">
        <v>0</v>
      </c>
    </row>
    <row r="1076" spans="1:20">
      <c r="A1076" t="s">
        <v>18829</v>
      </c>
      <c r="B1076">
        <v>44830</v>
      </c>
      <c r="C1076" t="s">
        <v>16560</v>
      </c>
      <c r="D1076" t="s">
        <v>16561</v>
      </c>
      <c r="E1076">
        <v>0</v>
      </c>
      <c r="F1076">
        <v>250963.83899999998</v>
      </c>
      <c r="G1076" s="259">
        <v>0</v>
      </c>
      <c r="H1076" s="259">
        <v>0</v>
      </c>
      <c r="I1076" s="259">
        <v>250963.83899999998</v>
      </c>
      <c r="J1076" s="259">
        <v>0</v>
      </c>
      <c r="K1076" s="260">
        <v>0</v>
      </c>
      <c r="L1076" s="260">
        <v>0</v>
      </c>
      <c r="M1076" s="260">
        <v>0</v>
      </c>
      <c r="N1076" s="260">
        <v>0</v>
      </c>
      <c r="O1076" s="261">
        <v>0</v>
      </c>
      <c r="P1076" s="261">
        <v>0</v>
      </c>
      <c r="Q1076" s="261">
        <v>250963.83899999998</v>
      </c>
      <c r="R1076" s="261">
        <v>0</v>
      </c>
      <c r="S1076">
        <v>250963.83899999998</v>
      </c>
      <c r="T1076">
        <v>0</v>
      </c>
    </row>
    <row r="1077" spans="1:20">
      <c r="A1077" t="s">
        <v>18830</v>
      </c>
      <c r="B1077">
        <v>44830</v>
      </c>
      <c r="C1077" t="s">
        <v>16560</v>
      </c>
      <c r="D1077" t="s">
        <v>16561</v>
      </c>
      <c r="E1077">
        <v>0</v>
      </c>
      <c r="F1077">
        <v>251682.228</v>
      </c>
      <c r="G1077" s="259">
        <v>0</v>
      </c>
      <c r="H1077" s="259">
        <v>0</v>
      </c>
      <c r="I1077" s="259">
        <v>251682.228</v>
      </c>
      <c r="J1077" s="259">
        <v>0</v>
      </c>
      <c r="K1077" s="260">
        <v>0</v>
      </c>
      <c r="L1077" s="260">
        <v>0</v>
      </c>
      <c r="M1077" s="260">
        <v>0</v>
      </c>
      <c r="N1077" s="260">
        <v>0</v>
      </c>
      <c r="O1077" s="261">
        <v>0</v>
      </c>
      <c r="P1077" s="261">
        <v>0</v>
      </c>
      <c r="Q1077" s="261">
        <v>251682.228</v>
      </c>
      <c r="R1077" s="261">
        <v>0</v>
      </c>
      <c r="S1077">
        <v>251682.228</v>
      </c>
      <c r="T1077">
        <v>0</v>
      </c>
    </row>
    <row r="1078" spans="1:20">
      <c r="A1078" t="s">
        <v>18831</v>
      </c>
      <c r="B1078">
        <v>44835</v>
      </c>
      <c r="C1078" t="s">
        <v>17226</v>
      </c>
      <c r="D1078" t="s">
        <v>17891</v>
      </c>
      <c r="E1078">
        <v>0</v>
      </c>
      <c r="F1078">
        <v>170760.95999999999</v>
      </c>
      <c r="G1078" s="259">
        <v>0</v>
      </c>
      <c r="H1078" s="259">
        <v>0</v>
      </c>
      <c r="I1078" s="259">
        <v>170760.95999999999</v>
      </c>
      <c r="J1078" s="259">
        <v>0</v>
      </c>
      <c r="K1078" s="260">
        <v>0</v>
      </c>
      <c r="L1078" s="260">
        <v>0</v>
      </c>
      <c r="M1078" s="260">
        <v>0</v>
      </c>
      <c r="N1078" s="260">
        <v>0</v>
      </c>
      <c r="O1078" s="261">
        <v>0</v>
      </c>
      <c r="P1078" s="261">
        <v>0</v>
      </c>
      <c r="Q1078" s="261">
        <v>170760.95999999999</v>
      </c>
      <c r="R1078" s="261">
        <v>0</v>
      </c>
      <c r="S1078">
        <v>170760.95999999999</v>
      </c>
      <c r="T1078">
        <v>0</v>
      </c>
    </row>
    <row r="1079" spans="1:20">
      <c r="A1079" t="s">
        <v>18832</v>
      </c>
      <c r="B1079">
        <v>44866</v>
      </c>
      <c r="C1079" t="s">
        <v>17334</v>
      </c>
      <c r="D1079" t="s">
        <v>18833</v>
      </c>
      <c r="E1079">
        <v>0</v>
      </c>
      <c r="F1079">
        <v>69248.600000000006</v>
      </c>
      <c r="G1079" s="259">
        <v>12480</v>
      </c>
      <c r="H1079" s="259">
        <v>24267.599999999999</v>
      </c>
      <c r="I1079" s="259">
        <v>23625</v>
      </c>
      <c r="J1079" s="259">
        <v>8876</v>
      </c>
      <c r="K1079" s="260">
        <v>0</v>
      </c>
      <c r="L1079" s="260">
        <v>0</v>
      </c>
      <c r="M1079" s="260">
        <v>0</v>
      </c>
      <c r="N1079" s="260">
        <v>0</v>
      </c>
      <c r="O1079" s="261">
        <v>12480</v>
      </c>
      <c r="P1079" s="261">
        <v>24267.599999999999</v>
      </c>
      <c r="Q1079" s="261">
        <v>23625</v>
      </c>
      <c r="R1079" s="261">
        <v>8876</v>
      </c>
      <c r="S1079">
        <v>69248.600000000006</v>
      </c>
      <c r="T1079">
        <v>0</v>
      </c>
    </row>
    <row r="1080" spans="1:20">
      <c r="A1080" t="s">
        <v>18834</v>
      </c>
      <c r="B1080">
        <v>44838</v>
      </c>
      <c r="C1080" t="s">
        <v>17336</v>
      </c>
      <c r="D1080" t="s">
        <v>18835</v>
      </c>
      <c r="E1080">
        <v>0</v>
      </c>
      <c r="F1080">
        <v>110738.19900000001</v>
      </c>
      <c r="G1080" s="259">
        <v>110738.19934800001</v>
      </c>
      <c r="H1080" s="259">
        <v>0</v>
      </c>
      <c r="I1080" s="259">
        <v>0</v>
      </c>
      <c r="J1080" s="259">
        <v>0</v>
      </c>
      <c r="K1080" s="260">
        <v>0</v>
      </c>
      <c r="L1080" s="260">
        <v>0</v>
      </c>
      <c r="M1080" s="260">
        <v>0</v>
      </c>
      <c r="N1080" s="260">
        <v>0</v>
      </c>
      <c r="O1080" s="261">
        <v>110738.19934800001</v>
      </c>
      <c r="P1080" s="261">
        <v>0</v>
      </c>
      <c r="Q1080" s="261">
        <v>0</v>
      </c>
      <c r="R1080" s="261">
        <v>0</v>
      </c>
      <c r="S1080">
        <v>110738.19934800001</v>
      </c>
      <c r="T1080">
        <v>-3.4800000139512122E-4</v>
      </c>
    </row>
    <row r="1081" spans="1:20">
      <c r="A1081" t="s">
        <v>18836</v>
      </c>
      <c r="B1081">
        <v>44896</v>
      </c>
      <c r="C1081" t="s">
        <v>17329</v>
      </c>
      <c r="D1081" t="s">
        <v>18782</v>
      </c>
      <c r="E1081">
        <v>0</v>
      </c>
      <c r="F1081">
        <v>218609.67300000001</v>
      </c>
      <c r="G1081" s="259">
        <v>0</v>
      </c>
      <c r="H1081" s="259">
        <v>166587.15456000002</v>
      </c>
      <c r="I1081" s="259">
        <v>0</v>
      </c>
      <c r="J1081" s="259">
        <v>19461.849600000005</v>
      </c>
      <c r="K1081" s="260">
        <v>0</v>
      </c>
      <c r="L1081" s="260">
        <v>32560.668399999999</v>
      </c>
      <c r="M1081" s="260">
        <v>0</v>
      </c>
      <c r="N1081" s="260">
        <v>0</v>
      </c>
      <c r="O1081" s="261">
        <v>0</v>
      </c>
      <c r="P1081" s="261">
        <v>199147.82296000002</v>
      </c>
      <c r="Q1081" s="261">
        <v>0</v>
      </c>
      <c r="R1081" s="261">
        <v>19461.849600000005</v>
      </c>
      <c r="S1081">
        <v>218609.67256000004</v>
      </c>
      <c r="T1081">
        <v>4.3999997433274984E-4</v>
      </c>
    </row>
    <row r="1082" spans="1:20">
      <c r="A1082" t="s">
        <v>18837</v>
      </c>
      <c r="B1082">
        <v>44841</v>
      </c>
      <c r="C1082" t="s">
        <v>16838</v>
      </c>
      <c r="D1082" t="s">
        <v>16839</v>
      </c>
      <c r="E1082">
        <v>0</v>
      </c>
      <c r="F1082">
        <v>708657.6</v>
      </c>
      <c r="G1082" s="259">
        <v>0</v>
      </c>
      <c r="H1082" s="259">
        <v>708657.6</v>
      </c>
      <c r="I1082" s="259">
        <v>0</v>
      </c>
      <c r="J1082" s="259">
        <v>0</v>
      </c>
      <c r="K1082" s="260">
        <v>0</v>
      </c>
      <c r="L1082" s="260">
        <v>0</v>
      </c>
      <c r="M1082" s="260">
        <v>0</v>
      </c>
      <c r="N1082" s="260">
        <v>0</v>
      </c>
      <c r="O1082" s="261">
        <v>0</v>
      </c>
      <c r="P1082" s="261">
        <v>708657.6</v>
      </c>
      <c r="Q1082" s="261">
        <v>0</v>
      </c>
      <c r="R1082" s="261">
        <v>0</v>
      </c>
      <c r="S1082">
        <v>708657.6</v>
      </c>
      <c r="T1082">
        <v>0</v>
      </c>
    </row>
    <row r="1083" spans="1:20">
      <c r="A1083" t="s">
        <v>18838</v>
      </c>
      <c r="B1083">
        <v>44844</v>
      </c>
      <c r="C1083" t="s">
        <v>16838</v>
      </c>
      <c r="D1083" t="s">
        <v>16839</v>
      </c>
      <c r="E1083">
        <v>0</v>
      </c>
      <c r="F1083">
        <v>464622</v>
      </c>
      <c r="G1083" s="259">
        <v>464622</v>
      </c>
      <c r="H1083" s="259">
        <v>0</v>
      </c>
      <c r="I1083" s="259">
        <v>0</v>
      </c>
      <c r="J1083" s="259">
        <v>0</v>
      </c>
      <c r="K1083" s="260">
        <v>0</v>
      </c>
      <c r="L1083" s="260">
        <v>0</v>
      </c>
      <c r="M1083" s="260">
        <v>0</v>
      </c>
      <c r="N1083" s="260">
        <v>0</v>
      </c>
      <c r="O1083" s="261">
        <v>464622</v>
      </c>
      <c r="P1083" s="261">
        <v>0</v>
      </c>
      <c r="Q1083" s="261">
        <v>0</v>
      </c>
      <c r="R1083" s="261">
        <v>0</v>
      </c>
      <c r="S1083">
        <v>464622</v>
      </c>
      <c r="T1083">
        <v>0</v>
      </c>
    </row>
    <row r="1084" spans="1:20">
      <c r="A1084" t="s">
        <v>18839</v>
      </c>
      <c r="B1084">
        <v>44844</v>
      </c>
      <c r="C1084" t="s">
        <v>16384</v>
      </c>
      <c r="D1084" t="s">
        <v>16385</v>
      </c>
      <c r="E1084">
        <v>0</v>
      </c>
      <c r="F1084">
        <v>51840</v>
      </c>
      <c r="G1084" s="259">
        <v>51840</v>
      </c>
      <c r="H1084" s="259">
        <v>0</v>
      </c>
      <c r="I1084" s="259">
        <v>0</v>
      </c>
      <c r="J1084" s="259">
        <v>0</v>
      </c>
      <c r="K1084" s="260">
        <v>0</v>
      </c>
      <c r="L1084" s="260">
        <v>0</v>
      </c>
      <c r="M1084" s="260">
        <v>0</v>
      </c>
      <c r="N1084" s="260">
        <v>0</v>
      </c>
      <c r="O1084" s="261">
        <v>51840</v>
      </c>
      <c r="P1084" s="261">
        <v>0</v>
      </c>
      <c r="Q1084" s="261">
        <v>0</v>
      </c>
      <c r="R1084" s="261">
        <v>0</v>
      </c>
      <c r="S1084">
        <v>51840</v>
      </c>
      <c r="T1084">
        <v>0</v>
      </c>
    </row>
    <row r="1085" spans="1:20">
      <c r="A1085" t="s">
        <v>18840</v>
      </c>
      <c r="B1085">
        <v>44845</v>
      </c>
      <c r="C1085" t="s">
        <v>16444</v>
      </c>
      <c r="D1085" t="s">
        <v>16445</v>
      </c>
      <c r="E1085">
        <v>0</v>
      </c>
      <c r="F1085">
        <v>57672</v>
      </c>
      <c r="G1085" s="259">
        <v>57672</v>
      </c>
      <c r="H1085" s="259">
        <v>0</v>
      </c>
      <c r="I1085" s="259">
        <v>0</v>
      </c>
      <c r="J1085" s="259">
        <v>0</v>
      </c>
      <c r="K1085" s="260">
        <v>0</v>
      </c>
      <c r="L1085" s="260">
        <v>0</v>
      </c>
      <c r="M1085" s="260">
        <v>0</v>
      </c>
      <c r="N1085" s="260">
        <v>0</v>
      </c>
      <c r="O1085" s="261">
        <v>57672</v>
      </c>
      <c r="P1085" s="261">
        <v>0</v>
      </c>
      <c r="Q1085" s="261">
        <v>0</v>
      </c>
      <c r="R1085" s="261">
        <v>0</v>
      </c>
      <c r="S1085">
        <v>57672</v>
      </c>
      <c r="T1085">
        <v>0</v>
      </c>
    </row>
    <row r="1086" spans="1:20">
      <c r="A1086" t="s">
        <v>18841</v>
      </c>
      <c r="B1086">
        <v>44845</v>
      </c>
      <c r="C1086" t="s">
        <v>16957</v>
      </c>
      <c r="D1086" t="s">
        <v>17451</v>
      </c>
      <c r="E1086">
        <v>0</v>
      </c>
      <c r="F1086">
        <v>62357.983</v>
      </c>
      <c r="G1086" s="259">
        <v>62357.983350000002</v>
      </c>
      <c r="H1086" s="259">
        <v>0</v>
      </c>
      <c r="I1086" s="259">
        <v>0</v>
      </c>
      <c r="J1086" s="259">
        <v>0</v>
      </c>
      <c r="K1086" s="260">
        <v>0</v>
      </c>
      <c r="L1086" s="260">
        <v>0</v>
      </c>
      <c r="M1086" s="260">
        <v>0</v>
      </c>
      <c r="N1086" s="260">
        <v>0</v>
      </c>
      <c r="O1086" s="261">
        <v>62357.983350000002</v>
      </c>
      <c r="P1086" s="261">
        <v>0</v>
      </c>
      <c r="Q1086" s="261">
        <v>0</v>
      </c>
      <c r="R1086" s="261">
        <v>0</v>
      </c>
      <c r="S1086">
        <v>62357.983350000002</v>
      </c>
      <c r="T1086">
        <v>-3.5000000207219273E-4</v>
      </c>
    </row>
    <row r="1087" spans="1:20">
      <c r="A1087" t="s">
        <v>18842</v>
      </c>
      <c r="B1087">
        <v>44845</v>
      </c>
      <c r="C1087" t="s">
        <v>17209</v>
      </c>
      <c r="D1087" t="s">
        <v>17210</v>
      </c>
      <c r="E1087">
        <v>0</v>
      </c>
      <c r="F1087">
        <v>42005.332000000002</v>
      </c>
      <c r="G1087" s="259">
        <v>0</v>
      </c>
      <c r="H1087" s="259">
        <v>24008.449919999999</v>
      </c>
      <c r="I1087" s="259">
        <v>9234.0191999999988</v>
      </c>
      <c r="J1087" s="259">
        <v>4198.0225</v>
      </c>
      <c r="K1087" s="260">
        <v>0</v>
      </c>
      <c r="L1087" s="260">
        <v>3162.5056779661018</v>
      </c>
      <c r="M1087" s="260">
        <v>1160.5525423728814</v>
      </c>
      <c r="N1087" s="260">
        <v>241.78177966101697</v>
      </c>
      <c r="O1087" s="261">
        <v>0</v>
      </c>
      <c r="P1087" s="261">
        <v>27170.955597966102</v>
      </c>
      <c r="Q1087" s="261">
        <v>10394.57174237288</v>
      </c>
      <c r="R1087" s="261">
        <v>4439.8042796610171</v>
      </c>
      <c r="S1087">
        <v>42005.331619999997</v>
      </c>
      <c r="T1087">
        <v>3.8000000495230779E-4</v>
      </c>
    </row>
    <row r="1088" spans="1:20">
      <c r="A1088" t="s">
        <v>18843</v>
      </c>
      <c r="B1088">
        <v>44846</v>
      </c>
      <c r="C1088" t="s">
        <v>17226</v>
      </c>
      <c r="D1088" t="s">
        <v>17891</v>
      </c>
      <c r="E1088">
        <v>0</v>
      </c>
      <c r="F1088">
        <v>129600</v>
      </c>
      <c r="G1088" s="259">
        <v>129600</v>
      </c>
      <c r="H1088" s="259">
        <v>0</v>
      </c>
      <c r="I1088" s="259">
        <v>0</v>
      </c>
      <c r="J1088" s="259">
        <v>0</v>
      </c>
      <c r="K1088" s="260">
        <v>0</v>
      </c>
      <c r="L1088" s="260">
        <v>0</v>
      </c>
      <c r="M1088" s="260">
        <v>0</v>
      </c>
      <c r="N1088" s="260">
        <v>0</v>
      </c>
      <c r="O1088" s="261">
        <v>129600</v>
      </c>
      <c r="P1088" s="261">
        <v>0</v>
      </c>
      <c r="Q1088" s="261">
        <v>0</v>
      </c>
      <c r="R1088" s="261">
        <v>0</v>
      </c>
      <c r="S1088">
        <v>129600</v>
      </c>
      <c r="T1088">
        <v>0</v>
      </c>
    </row>
    <row r="1089" spans="1:20">
      <c r="A1089" t="s">
        <v>18844</v>
      </c>
      <c r="B1089">
        <v>44847</v>
      </c>
      <c r="C1089" t="s">
        <v>16444</v>
      </c>
      <c r="D1089" t="s">
        <v>16445</v>
      </c>
      <c r="E1089">
        <v>0</v>
      </c>
      <c r="F1089">
        <v>224808</v>
      </c>
      <c r="G1089" s="259">
        <v>141216</v>
      </c>
      <c r="H1089" s="259">
        <v>83592</v>
      </c>
      <c r="I1089" s="259">
        <v>0</v>
      </c>
      <c r="J1089" s="259">
        <v>0</v>
      </c>
      <c r="K1089" s="260">
        <v>0</v>
      </c>
      <c r="L1089" s="260">
        <v>0</v>
      </c>
      <c r="M1089" s="260">
        <v>0</v>
      </c>
      <c r="N1089" s="260">
        <v>0</v>
      </c>
      <c r="O1089" s="261">
        <v>141216</v>
      </c>
      <c r="P1089" s="261">
        <v>83592</v>
      </c>
      <c r="Q1089" s="261">
        <v>0</v>
      </c>
      <c r="R1089" s="261">
        <v>0</v>
      </c>
      <c r="S1089">
        <v>224808</v>
      </c>
      <c r="T1089">
        <v>0</v>
      </c>
    </row>
    <row r="1090" spans="1:20">
      <c r="A1090" t="s">
        <v>18845</v>
      </c>
      <c r="B1090">
        <v>44847</v>
      </c>
      <c r="C1090" t="s">
        <v>16838</v>
      </c>
      <c r="D1090" t="s">
        <v>16839</v>
      </c>
      <c r="E1090">
        <v>0</v>
      </c>
      <c r="F1090">
        <v>236727.6</v>
      </c>
      <c r="G1090" s="259">
        <v>174963.6</v>
      </c>
      <c r="H1090" s="259">
        <v>58824</v>
      </c>
      <c r="I1090" s="259">
        <v>2940</v>
      </c>
      <c r="J1090" s="259">
        <v>0</v>
      </c>
      <c r="K1090" s="260">
        <v>0</v>
      </c>
      <c r="L1090" s="260">
        <v>0</v>
      </c>
      <c r="M1090" s="260">
        <v>0</v>
      </c>
      <c r="N1090" s="260">
        <v>0</v>
      </c>
      <c r="O1090" s="261">
        <v>174963.6</v>
      </c>
      <c r="P1090" s="261">
        <v>58824</v>
      </c>
      <c r="Q1090" s="261">
        <v>2940</v>
      </c>
      <c r="R1090" s="261">
        <v>0</v>
      </c>
      <c r="S1090">
        <v>236727.6</v>
      </c>
      <c r="T1090">
        <v>0</v>
      </c>
    </row>
    <row r="1091" spans="1:20">
      <c r="A1091" t="s">
        <v>18846</v>
      </c>
      <c r="B1091">
        <v>44848</v>
      </c>
      <c r="C1091" t="s">
        <v>16444</v>
      </c>
      <c r="D1091" t="s">
        <v>16445</v>
      </c>
      <c r="E1091">
        <v>0</v>
      </c>
      <c r="F1091">
        <v>150120</v>
      </c>
      <c r="G1091" s="259">
        <v>150120</v>
      </c>
      <c r="H1091" s="259">
        <v>0</v>
      </c>
      <c r="I1091" s="259">
        <v>0</v>
      </c>
      <c r="J1091" s="259">
        <v>0</v>
      </c>
      <c r="K1091" s="260">
        <v>0</v>
      </c>
      <c r="L1091" s="260">
        <v>0</v>
      </c>
      <c r="M1091" s="260">
        <v>0</v>
      </c>
      <c r="N1091" s="260">
        <v>0</v>
      </c>
      <c r="O1091" s="261">
        <v>150120</v>
      </c>
      <c r="P1091" s="261">
        <v>0</v>
      </c>
      <c r="Q1091" s="261">
        <v>0</v>
      </c>
      <c r="R1091" s="261">
        <v>0</v>
      </c>
      <c r="S1091">
        <v>150120</v>
      </c>
      <c r="T1091">
        <v>0</v>
      </c>
    </row>
    <row r="1092" spans="1:20">
      <c r="A1092" t="s">
        <v>18847</v>
      </c>
      <c r="B1092">
        <v>44848</v>
      </c>
      <c r="C1092" t="s">
        <v>16384</v>
      </c>
      <c r="D1092" t="s">
        <v>16385</v>
      </c>
      <c r="E1092">
        <v>0</v>
      </c>
      <c r="F1092">
        <v>61620</v>
      </c>
      <c r="G1092" s="259">
        <v>0</v>
      </c>
      <c r="H1092" s="259">
        <v>0</v>
      </c>
      <c r="I1092" s="259">
        <v>61620</v>
      </c>
      <c r="J1092" s="259">
        <v>0</v>
      </c>
      <c r="K1092" s="260">
        <v>0</v>
      </c>
      <c r="L1092" s="260">
        <v>0</v>
      </c>
      <c r="M1092" s="260">
        <v>0</v>
      </c>
      <c r="N1092" s="260">
        <v>0</v>
      </c>
      <c r="O1092" s="261">
        <v>0</v>
      </c>
      <c r="P1092" s="261">
        <v>0</v>
      </c>
      <c r="Q1092" s="261">
        <v>61620</v>
      </c>
      <c r="R1092" s="261">
        <v>0</v>
      </c>
      <c r="S1092">
        <v>61620</v>
      </c>
      <c r="T1092">
        <v>0</v>
      </c>
    </row>
    <row r="1093" spans="1:20">
      <c r="A1093" t="s">
        <v>18848</v>
      </c>
      <c r="B1093">
        <v>44866</v>
      </c>
      <c r="C1093" t="s">
        <v>17156</v>
      </c>
      <c r="D1093" t="s">
        <v>17575</v>
      </c>
      <c r="E1093">
        <v>0</v>
      </c>
      <c r="F1093">
        <v>186345</v>
      </c>
      <c r="G1093" s="259">
        <v>0</v>
      </c>
      <c r="H1093" s="259">
        <v>186345</v>
      </c>
      <c r="I1093" s="259">
        <v>0</v>
      </c>
      <c r="J1093" s="259">
        <v>0</v>
      </c>
      <c r="K1093" s="260">
        <v>0</v>
      </c>
      <c r="L1093" s="260">
        <v>0</v>
      </c>
      <c r="M1093" s="260">
        <v>0</v>
      </c>
      <c r="N1093" s="260">
        <v>0</v>
      </c>
      <c r="O1093" s="261">
        <v>0</v>
      </c>
      <c r="P1093" s="261">
        <v>186345</v>
      </c>
      <c r="Q1093" s="261">
        <v>0</v>
      </c>
      <c r="R1093" s="261">
        <v>0</v>
      </c>
      <c r="S1093">
        <v>186345</v>
      </c>
      <c r="T1093">
        <v>0</v>
      </c>
    </row>
    <row r="1094" spans="1:20">
      <c r="A1094" t="s">
        <v>18849</v>
      </c>
      <c r="B1094">
        <v>44853</v>
      </c>
      <c r="C1094" t="s">
        <v>16957</v>
      </c>
      <c r="D1094" t="s">
        <v>17451</v>
      </c>
      <c r="E1094">
        <v>0</v>
      </c>
      <c r="F1094">
        <v>57229.274000000005</v>
      </c>
      <c r="G1094" s="259">
        <v>57229.274375000001</v>
      </c>
      <c r="H1094" s="259">
        <v>0</v>
      </c>
      <c r="I1094" s="259">
        <v>0</v>
      </c>
      <c r="J1094" s="259">
        <v>0</v>
      </c>
      <c r="K1094" s="260">
        <v>0</v>
      </c>
      <c r="L1094" s="260">
        <v>0</v>
      </c>
      <c r="M1094" s="260">
        <v>0</v>
      </c>
      <c r="N1094" s="260">
        <v>0</v>
      </c>
      <c r="O1094" s="261">
        <v>57229.274375000001</v>
      </c>
      <c r="P1094" s="261">
        <v>0</v>
      </c>
      <c r="Q1094" s="261">
        <v>0</v>
      </c>
      <c r="R1094" s="261">
        <v>0</v>
      </c>
      <c r="S1094">
        <v>57229.274375000001</v>
      </c>
      <c r="T1094">
        <v>-3.749999959836714E-4</v>
      </c>
    </row>
    <row r="1095" spans="1:20">
      <c r="A1095" t="s">
        <v>18850</v>
      </c>
      <c r="B1095">
        <v>44853</v>
      </c>
      <c r="C1095" t="s">
        <v>16838</v>
      </c>
      <c r="D1095" t="s">
        <v>16839</v>
      </c>
      <c r="E1095">
        <v>0</v>
      </c>
      <c r="F1095">
        <v>754874.4</v>
      </c>
      <c r="G1095" s="259">
        <v>0</v>
      </c>
      <c r="H1095" s="259">
        <v>754874.4</v>
      </c>
      <c r="I1095" s="259">
        <v>0</v>
      </c>
      <c r="J1095" s="259">
        <v>0</v>
      </c>
      <c r="K1095" s="260">
        <v>0</v>
      </c>
      <c r="L1095" s="260">
        <v>0</v>
      </c>
      <c r="M1095" s="260">
        <v>0</v>
      </c>
      <c r="N1095" s="260">
        <v>0</v>
      </c>
      <c r="O1095" s="261">
        <v>0</v>
      </c>
      <c r="P1095" s="261">
        <v>754874.4</v>
      </c>
      <c r="Q1095" s="261">
        <v>0</v>
      </c>
      <c r="R1095" s="261">
        <v>0</v>
      </c>
      <c r="S1095">
        <v>754874.4</v>
      </c>
      <c r="T1095">
        <v>0</v>
      </c>
    </row>
    <row r="1096" spans="1:20">
      <c r="A1096" t="s">
        <v>18851</v>
      </c>
      <c r="B1096">
        <v>44859</v>
      </c>
      <c r="C1096" t="s">
        <v>17017</v>
      </c>
      <c r="D1096" t="s">
        <v>17430</v>
      </c>
      <c r="E1096">
        <v>0</v>
      </c>
      <c r="F1096">
        <v>125050</v>
      </c>
      <c r="G1096" s="259">
        <v>0</v>
      </c>
      <c r="H1096" s="259">
        <v>125050</v>
      </c>
      <c r="I1096" s="259">
        <v>0</v>
      </c>
      <c r="J1096" s="259">
        <v>0</v>
      </c>
      <c r="K1096" s="260">
        <v>0</v>
      </c>
      <c r="L1096" s="260">
        <v>0</v>
      </c>
      <c r="M1096" s="260">
        <v>0</v>
      </c>
      <c r="N1096" s="260">
        <v>0</v>
      </c>
      <c r="O1096" s="261">
        <v>0</v>
      </c>
      <c r="P1096" s="261">
        <v>125050</v>
      </c>
      <c r="Q1096" s="261">
        <v>0</v>
      </c>
      <c r="R1096" s="261">
        <v>0</v>
      </c>
      <c r="S1096">
        <v>125050</v>
      </c>
      <c r="T1096">
        <v>0</v>
      </c>
    </row>
    <row r="1097" spans="1:20">
      <c r="A1097" t="s">
        <v>18852</v>
      </c>
      <c r="B1097">
        <v>44859</v>
      </c>
      <c r="C1097" t="s">
        <v>16444</v>
      </c>
      <c r="D1097" t="s">
        <v>16445</v>
      </c>
      <c r="E1097">
        <v>0</v>
      </c>
      <c r="F1097">
        <v>51840</v>
      </c>
      <c r="G1097" s="259">
        <v>51840</v>
      </c>
      <c r="H1097" s="259">
        <v>0</v>
      </c>
      <c r="I1097" s="259">
        <v>0</v>
      </c>
      <c r="J1097" s="259">
        <v>0</v>
      </c>
      <c r="K1097" s="260">
        <v>0</v>
      </c>
      <c r="L1097" s="260">
        <v>0</v>
      </c>
      <c r="M1097" s="260">
        <v>0</v>
      </c>
      <c r="N1097" s="260">
        <v>0</v>
      </c>
      <c r="O1097" s="261">
        <v>51840</v>
      </c>
      <c r="P1097" s="261">
        <v>0</v>
      </c>
      <c r="Q1097" s="261">
        <v>0</v>
      </c>
      <c r="R1097" s="261">
        <v>0</v>
      </c>
      <c r="S1097">
        <v>51840</v>
      </c>
      <c r="T1097">
        <v>0</v>
      </c>
    </row>
    <row r="1098" spans="1:20">
      <c r="A1098" t="s">
        <v>18853</v>
      </c>
      <c r="B1098">
        <v>44860</v>
      </c>
      <c r="C1098" t="s">
        <v>16384</v>
      </c>
      <c r="D1098" t="s">
        <v>16385</v>
      </c>
      <c r="E1098">
        <v>0</v>
      </c>
      <c r="F1098">
        <v>206592</v>
      </c>
      <c r="G1098" s="259">
        <v>206592</v>
      </c>
      <c r="H1098" s="259">
        <v>0</v>
      </c>
      <c r="I1098" s="259">
        <v>0</v>
      </c>
      <c r="J1098" s="259">
        <v>0</v>
      </c>
      <c r="K1098" s="260">
        <v>0</v>
      </c>
      <c r="L1098" s="260">
        <v>0</v>
      </c>
      <c r="M1098" s="260">
        <v>0</v>
      </c>
      <c r="N1098" s="260">
        <v>0</v>
      </c>
      <c r="O1098" s="261">
        <v>206592</v>
      </c>
      <c r="P1098" s="261">
        <v>0</v>
      </c>
      <c r="Q1098" s="261">
        <v>0</v>
      </c>
      <c r="R1098" s="261">
        <v>0</v>
      </c>
      <c r="S1098">
        <v>206592</v>
      </c>
      <c r="T1098">
        <v>0</v>
      </c>
    </row>
    <row r="1099" spans="1:20">
      <c r="A1099" t="s">
        <v>18854</v>
      </c>
      <c r="B1099">
        <v>44866</v>
      </c>
      <c r="C1099" t="s">
        <v>17297</v>
      </c>
      <c r="D1099" t="s">
        <v>18568</v>
      </c>
      <c r="E1099">
        <v>0</v>
      </c>
      <c r="F1099">
        <v>62539.199999999997</v>
      </c>
      <c r="G1099" s="259">
        <v>0</v>
      </c>
      <c r="H1099" s="259">
        <v>62539.199999999997</v>
      </c>
      <c r="I1099" s="259">
        <v>0</v>
      </c>
      <c r="J1099" s="259">
        <v>0</v>
      </c>
      <c r="K1099" s="260">
        <v>0</v>
      </c>
      <c r="L1099" s="260">
        <v>0</v>
      </c>
      <c r="M1099" s="260">
        <v>0</v>
      </c>
      <c r="N1099" s="260">
        <v>0</v>
      </c>
      <c r="O1099" s="261">
        <v>0</v>
      </c>
      <c r="P1099" s="261">
        <v>62539.199999999997</v>
      </c>
      <c r="Q1099" s="261">
        <v>0</v>
      </c>
      <c r="R1099" s="261">
        <v>0</v>
      </c>
      <c r="S1099">
        <v>62539.199999999997</v>
      </c>
      <c r="T1099">
        <v>0</v>
      </c>
    </row>
    <row r="1100" spans="1:20">
      <c r="A1100" t="s">
        <v>18855</v>
      </c>
      <c r="B1100">
        <v>44866</v>
      </c>
      <c r="C1100" t="s">
        <v>17332</v>
      </c>
      <c r="D1100" t="s">
        <v>18794</v>
      </c>
      <c r="E1100">
        <v>0</v>
      </c>
      <c r="F1100">
        <v>133650</v>
      </c>
      <c r="G1100" s="259">
        <v>133650</v>
      </c>
      <c r="H1100" s="259">
        <v>0</v>
      </c>
      <c r="I1100" s="259">
        <v>0</v>
      </c>
      <c r="J1100" s="259">
        <v>0</v>
      </c>
      <c r="K1100" s="260">
        <v>0</v>
      </c>
      <c r="L1100" s="260">
        <v>0</v>
      </c>
      <c r="M1100" s="260">
        <v>0</v>
      </c>
      <c r="N1100" s="260">
        <v>0</v>
      </c>
      <c r="O1100" s="261">
        <v>133650</v>
      </c>
      <c r="P1100" s="261">
        <v>0</v>
      </c>
      <c r="Q1100" s="261">
        <v>0</v>
      </c>
      <c r="R1100" s="261">
        <v>0</v>
      </c>
      <c r="S1100">
        <v>133650</v>
      </c>
      <c r="T1100">
        <v>0</v>
      </c>
    </row>
    <row r="1101" spans="1:20">
      <c r="A1101" t="s">
        <v>18856</v>
      </c>
      <c r="B1101">
        <v>44896</v>
      </c>
      <c r="C1101" t="s">
        <v>16470</v>
      </c>
      <c r="D1101" t="s">
        <v>16471</v>
      </c>
      <c r="E1101">
        <v>0</v>
      </c>
      <c r="F1101">
        <v>702699.65599999996</v>
      </c>
      <c r="G1101" s="259">
        <v>30282.7392</v>
      </c>
      <c r="H1101" s="259">
        <v>558007.03526399995</v>
      </c>
      <c r="I1101" s="259">
        <v>0</v>
      </c>
      <c r="J1101" s="259">
        <v>0</v>
      </c>
      <c r="K1101" s="260">
        <v>5411.8229414564485</v>
      </c>
      <c r="L1101" s="260">
        <v>108290.57705854354</v>
      </c>
      <c r="M1101" s="260">
        <v>0</v>
      </c>
      <c r="N1101" s="260">
        <v>0</v>
      </c>
      <c r="O1101" s="261">
        <v>35694.562141456452</v>
      </c>
      <c r="P1101" s="261">
        <v>666297.61232254351</v>
      </c>
      <c r="Q1101" s="261">
        <v>0</v>
      </c>
      <c r="R1101" s="261">
        <v>0</v>
      </c>
      <c r="S1101">
        <v>701992.17446399992</v>
      </c>
      <c r="T1101">
        <v>707.4815360000357</v>
      </c>
    </row>
    <row r="1102" spans="1:20">
      <c r="A1102" t="s">
        <v>18857</v>
      </c>
      <c r="B1102">
        <v>44872</v>
      </c>
      <c r="C1102" t="s">
        <v>16444</v>
      </c>
      <c r="D1102" t="s">
        <v>16445</v>
      </c>
      <c r="E1102">
        <v>0</v>
      </c>
      <c r="F1102">
        <v>115344</v>
      </c>
      <c r="G1102" s="259">
        <v>115344</v>
      </c>
      <c r="H1102" s="259">
        <v>0</v>
      </c>
      <c r="I1102" s="259">
        <v>0</v>
      </c>
      <c r="J1102" s="259">
        <v>0</v>
      </c>
      <c r="K1102" s="260">
        <v>0</v>
      </c>
      <c r="L1102" s="260">
        <v>0</v>
      </c>
      <c r="M1102" s="260">
        <v>0</v>
      </c>
      <c r="N1102" s="260">
        <v>0</v>
      </c>
      <c r="O1102" s="261">
        <v>115344</v>
      </c>
      <c r="P1102" s="261">
        <v>0</v>
      </c>
      <c r="Q1102" s="261">
        <v>0</v>
      </c>
      <c r="R1102" s="261">
        <v>0</v>
      </c>
      <c r="S1102">
        <v>115344</v>
      </c>
      <c r="T1102">
        <v>0</v>
      </c>
    </row>
    <row r="1103" spans="1:20">
      <c r="A1103" t="s">
        <v>18858</v>
      </c>
      <c r="B1103">
        <v>44872</v>
      </c>
      <c r="C1103" t="s">
        <v>17332</v>
      </c>
      <c r="D1103" t="s">
        <v>18794</v>
      </c>
      <c r="E1103">
        <v>0</v>
      </c>
      <c r="F1103">
        <v>519750</v>
      </c>
      <c r="G1103" s="259">
        <v>519750</v>
      </c>
      <c r="H1103" s="259">
        <v>0</v>
      </c>
      <c r="I1103" s="259">
        <v>0</v>
      </c>
      <c r="J1103" s="259">
        <v>0</v>
      </c>
      <c r="K1103" s="260">
        <v>0</v>
      </c>
      <c r="L1103" s="260">
        <v>0</v>
      </c>
      <c r="M1103" s="260">
        <v>0</v>
      </c>
      <c r="N1103" s="260">
        <v>0</v>
      </c>
      <c r="O1103" s="261">
        <v>519750</v>
      </c>
      <c r="P1103" s="261">
        <v>0</v>
      </c>
      <c r="Q1103" s="261">
        <v>0</v>
      </c>
      <c r="R1103" s="261">
        <v>0</v>
      </c>
      <c r="S1103">
        <v>519750</v>
      </c>
      <c r="T1103">
        <v>0</v>
      </c>
    </row>
    <row r="1104" spans="1:20">
      <c r="A1104" t="s">
        <v>18859</v>
      </c>
      <c r="B1104">
        <v>44872</v>
      </c>
      <c r="C1104" t="s">
        <v>16643</v>
      </c>
      <c r="D1104" t="s">
        <v>16644</v>
      </c>
      <c r="E1104">
        <v>0</v>
      </c>
      <c r="F1104">
        <v>137681.28</v>
      </c>
      <c r="G1104" s="259">
        <v>0</v>
      </c>
      <c r="H1104" s="259">
        <v>109105.92</v>
      </c>
      <c r="I1104" s="259">
        <v>0</v>
      </c>
      <c r="J1104" s="259">
        <v>0</v>
      </c>
      <c r="K1104" s="260">
        <v>0</v>
      </c>
      <c r="L1104" s="260">
        <v>28575.360000000004</v>
      </c>
      <c r="M1104" s="260">
        <v>0</v>
      </c>
      <c r="N1104" s="260">
        <v>0</v>
      </c>
      <c r="O1104" s="261">
        <v>0</v>
      </c>
      <c r="P1104" s="261">
        <v>137681.28</v>
      </c>
      <c r="Q1104" s="261">
        <v>0</v>
      </c>
      <c r="R1104" s="261">
        <v>0</v>
      </c>
      <c r="S1104">
        <v>137681.28</v>
      </c>
      <c r="T1104">
        <v>0</v>
      </c>
    </row>
    <row r="1105" spans="1:20">
      <c r="A1105" t="s">
        <v>18860</v>
      </c>
      <c r="B1105">
        <v>44872</v>
      </c>
      <c r="C1105" t="s">
        <v>16957</v>
      </c>
      <c r="D1105" t="s">
        <v>17451</v>
      </c>
      <c r="E1105">
        <v>0</v>
      </c>
      <c r="F1105">
        <v>80309.119000000006</v>
      </c>
      <c r="G1105" s="259">
        <v>80309.118499999997</v>
      </c>
      <c r="H1105" s="259">
        <v>0</v>
      </c>
      <c r="I1105" s="259">
        <v>0</v>
      </c>
      <c r="J1105" s="259">
        <v>0</v>
      </c>
      <c r="K1105" s="260">
        <v>0</v>
      </c>
      <c r="L1105" s="260">
        <v>0</v>
      </c>
      <c r="M1105" s="260">
        <v>0</v>
      </c>
      <c r="N1105" s="260">
        <v>0</v>
      </c>
      <c r="O1105" s="261">
        <v>80309.118499999997</v>
      </c>
      <c r="P1105" s="261">
        <v>0</v>
      </c>
      <c r="Q1105" s="261">
        <v>0</v>
      </c>
      <c r="R1105" s="261">
        <v>0</v>
      </c>
      <c r="S1105">
        <v>80309.118499999997</v>
      </c>
      <c r="T1105">
        <v>5.0000000919681042E-4</v>
      </c>
    </row>
    <row r="1106" spans="1:20">
      <c r="A1106" t="s">
        <v>18861</v>
      </c>
      <c r="B1106">
        <v>44872</v>
      </c>
      <c r="C1106" t="s">
        <v>16957</v>
      </c>
      <c r="D1106" t="s">
        <v>17451</v>
      </c>
      <c r="E1106">
        <v>0</v>
      </c>
      <c r="F1106">
        <v>56325.672999999995</v>
      </c>
      <c r="G1106" s="259">
        <v>56325.672812500001</v>
      </c>
      <c r="H1106" s="259">
        <v>0</v>
      </c>
      <c r="I1106" s="259">
        <v>0</v>
      </c>
      <c r="J1106" s="259">
        <v>0</v>
      </c>
      <c r="K1106" s="260">
        <v>0</v>
      </c>
      <c r="L1106" s="260">
        <v>0</v>
      </c>
      <c r="M1106" s="260">
        <v>0</v>
      </c>
      <c r="N1106" s="260">
        <v>0</v>
      </c>
      <c r="O1106" s="261">
        <v>56325.672812500001</v>
      </c>
      <c r="P1106" s="261">
        <v>0</v>
      </c>
      <c r="Q1106" s="261">
        <v>0</v>
      </c>
      <c r="R1106" s="261">
        <v>0</v>
      </c>
      <c r="S1106">
        <v>56325.672812500001</v>
      </c>
      <c r="T1106">
        <v>1.8749999435385689E-4</v>
      </c>
    </row>
    <row r="1107" spans="1:20">
      <c r="A1107" t="s">
        <v>18862</v>
      </c>
      <c r="B1107">
        <v>44873</v>
      </c>
      <c r="C1107" t="s">
        <v>16904</v>
      </c>
      <c r="D1107" t="s">
        <v>16905</v>
      </c>
      <c r="E1107">
        <v>0</v>
      </c>
      <c r="F1107">
        <v>99876.338000000003</v>
      </c>
      <c r="G1107" s="259">
        <v>0</v>
      </c>
      <c r="H1107" s="259">
        <v>68660.355456000005</v>
      </c>
      <c r="I1107" s="259">
        <v>17967.407040000006</v>
      </c>
      <c r="J1107" s="259">
        <v>0</v>
      </c>
      <c r="K1107" s="260">
        <v>0</v>
      </c>
      <c r="L1107" s="260">
        <v>10456.953313432836</v>
      </c>
      <c r="M1107" s="260">
        <v>2791.6226865671638</v>
      </c>
      <c r="N1107" s="260">
        <v>0</v>
      </c>
      <c r="O1107" s="261">
        <v>0</v>
      </c>
      <c r="P1107" s="261">
        <v>79117.308769432842</v>
      </c>
      <c r="Q1107" s="261">
        <v>20759.029726567169</v>
      </c>
      <c r="R1107" s="261">
        <v>0</v>
      </c>
      <c r="S1107">
        <v>99876.338496000011</v>
      </c>
      <c r="T1107">
        <v>-4.960000078426674E-4</v>
      </c>
    </row>
    <row r="1108" spans="1:20">
      <c r="A1108" t="s">
        <v>18863</v>
      </c>
      <c r="B1108">
        <v>44873</v>
      </c>
      <c r="C1108" t="s">
        <v>16904</v>
      </c>
      <c r="D1108" t="s">
        <v>16905</v>
      </c>
      <c r="E1108">
        <v>0</v>
      </c>
      <c r="F1108">
        <v>99380.504000000001</v>
      </c>
      <c r="G1108" s="259">
        <v>0</v>
      </c>
      <c r="H1108" s="259">
        <v>60002.181288</v>
      </c>
      <c r="I1108" s="259">
        <v>26186.254979999998</v>
      </c>
      <c r="J1108" s="259">
        <v>0</v>
      </c>
      <c r="K1108" s="260">
        <v>0</v>
      </c>
      <c r="L1108" s="260">
        <v>9138.3157611940314</v>
      </c>
      <c r="M1108" s="260">
        <v>4053.7522388059706</v>
      </c>
      <c r="N1108" s="260">
        <v>0</v>
      </c>
      <c r="O1108" s="261">
        <v>0</v>
      </c>
      <c r="P1108" s="261">
        <v>69140.497049194033</v>
      </c>
      <c r="Q1108" s="261">
        <v>30240.007218805968</v>
      </c>
      <c r="R1108" s="261">
        <v>0</v>
      </c>
      <c r="S1108">
        <v>99380.504268000004</v>
      </c>
      <c r="T1108">
        <v>-2.680000034160912E-4</v>
      </c>
    </row>
    <row r="1109" spans="1:20">
      <c r="A1109" t="s">
        <v>18864</v>
      </c>
      <c r="B1109">
        <v>44876</v>
      </c>
      <c r="C1109" t="s">
        <v>17017</v>
      </c>
      <c r="D1109" t="s">
        <v>17430</v>
      </c>
      <c r="E1109">
        <v>0</v>
      </c>
      <c r="F1109">
        <v>60000</v>
      </c>
      <c r="G1109" s="259">
        <v>0</v>
      </c>
      <c r="H1109" s="259">
        <v>60000</v>
      </c>
      <c r="I1109" s="259">
        <v>0</v>
      </c>
      <c r="J1109" s="259">
        <v>0</v>
      </c>
      <c r="K1109" s="260">
        <v>0</v>
      </c>
      <c r="L1109" s="260">
        <v>0</v>
      </c>
      <c r="M1109" s="260">
        <v>0</v>
      </c>
      <c r="N1109" s="260">
        <v>0</v>
      </c>
      <c r="O1109" s="261">
        <v>0</v>
      </c>
      <c r="P1109" s="261">
        <v>60000</v>
      </c>
      <c r="Q1109" s="261">
        <v>0</v>
      </c>
      <c r="R1109" s="261">
        <v>0</v>
      </c>
      <c r="S1109">
        <v>60000</v>
      </c>
      <c r="T1109">
        <v>0</v>
      </c>
    </row>
    <row r="1110" spans="1:20">
      <c r="A1110" t="s">
        <v>18865</v>
      </c>
      <c r="B1110">
        <v>44876</v>
      </c>
      <c r="C1110" t="s">
        <v>16384</v>
      </c>
      <c r="D1110" t="s">
        <v>16385</v>
      </c>
      <c r="E1110">
        <v>0</v>
      </c>
      <c r="F1110">
        <v>71394</v>
      </c>
      <c r="G1110" s="259">
        <v>31920</v>
      </c>
      <c r="H1110" s="259">
        <v>39474</v>
      </c>
      <c r="I1110" s="259">
        <v>0</v>
      </c>
      <c r="J1110" s="259">
        <v>0</v>
      </c>
      <c r="K1110" s="260">
        <v>0</v>
      </c>
      <c r="L1110" s="260">
        <v>0</v>
      </c>
      <c r="M1110" s="260">
        <v>0</v>
      </c>
      <c r="N1110" s="260">
        <v>0</v>
      </c>
      <c r="O1110" s="261">
        <v>31920</v>
      </c>
      <c r="P1110" s="261">
        <v>39474</v>
      </c>
      <c r="Q1110" s="261">
        <v>0</v>
      </c>
      <c r="R1110" s="261">
        <v>0</v>
      </c>
      <c r="S1110">
        <v>71394</v>
      </c>
      <c r="T1110">
        <v>0</v>
      </c>
    </row>
    <row r="1111" spans="1:20">
      <c r="A1111" t="s">
        <v>18866</v>
      </c>
      <c r="B1111">
        <v>44877</v>
      </c>
      <c r="C1111" t="s">
        <v>16823</v>
      </c>
      <c r="D1111" t="s">
        <v>17805</v>
      </c>
      <c r="E1111">
        <v>0</v>
      </c>
      <c r="F1111">
        <v>76270.231</v>
      </c>
      <c r="G1111" s="259">
        <v>9847.5506999999998</v>
      </c>
      <c r="H1111" s="259">
        <v>54857.497248</v>
      </c>
      <c r="I1111" s="259">
        <v>0</v>
      </c>
      <c r="J1111" s="259">
        <v>0</v>
      </c>
      <c r="K1111" s="260">
        <v>1621.2873364485984</v>
      </c>
      <c r="L1111" s="260">
        <v>9943.8956635514023</v>
      </c>
      <c r="M1111" s="260">
        <v>0</v>
      </c>
      <c r="N1111" s="260">
        <v>0</v>
      </c>
      <c r="O1111" s="261">
        <v>11468.838036448598</v>
      </c>
      <c r="P1111" s="261">
        <v>64801.392911551404</v>
      </c>
      <c r="Q1111" s="261">
        <v>0</v>
      </c>
      <c r="R1111" s="261">
        <v>0</v>
      </c>
      <c r="S1111">
        <v>76270.230947999997</v>
      </c>
      <c r="T1111">
        <v>5.2000003051944077E-5</v>
      </c>
    </row>
    <row r="1112" spans="1:20">
      <c r="A1112" t="s">
        <v>18867</v>
      </c>
      <c r="B1112">
        <v>44881</v>
      </c>
      <c r="C1112" t="s">
        <v>17304</v>
      </c>
      <c r="D1112" t="s">
        <v>17305</v>
      </c>
      <c r="E1112">
        <v>0</v>
      </c>
      <c r="F1112">
        <v>303555.67699999997</v>
      </c>
      <c r="G1112" s="259">
        <v>0</v>
      </c>
      <c r="H1112" s="259">
        <v>82351.793663999997</v>
      </c>
      <c r="I1112" s="259">
        <v>149614.28352</v>
      </c>
      <c r="J1112" s="259">
        <v>0</v>
      </c>
      <c r="K1112" s="260">
        <v>0</v>
      </c>
      <c r="L1112" s="260">
        <v>25056.36</v>
      </c>
      <c r="M1112" s="260">
        <v>46533.240000000005</v>
      </c>
      <c r="N1112" s="260">
        <v>0</v>
      </c>
      <c r="O1112" s="261">
        <v>0</v>
      </c>
      <c r="P1112" s="261">
        <v>107408.153664</v>
      </c>
      <c r="Q1112" s="261">
        <v>196147.52351999999</v>
      </c>
      <c r="R1112" s="261">
        <v>0</v>
      </c>
      <c r="S1112">
        <v>303555.67718399997</v>
      </c>
      <c r="T1112">
        <v>-1.8400000408291817E-4</v>
      </c>
    </row>
    <row r="1113" spans="1:20">
      <c r="A1113" t="s">
        <v>18868</v>
      </c>
      <c r="B1113">
        <v>44896</v>
      </c>
      <c r="C1113" t="s">
        <v>17332</v>
      </c>
      <c r="D1113" t="s">
        <v>18794</v>
      </c>
      <c r="E1113">
        <v>0</v>
      </c>
      <c r="F1113">
        <v>459529.55200000003</v>
      </c>
      <c r="G1113" s="259">
        <v>0</v>
      </c>
      <c r="H1113" s="259">
        <v>390818.55999999994</v>
      </c>
      <c r="I1113" s="259">
        <v>68710.992000000013</v>
      </c>
      <c r="J1113" s="259">
        <v>0</v>
      </c>
      <c r="K1113" s="260">
        <v>0</v>
      </c>
      <c r="L1113" s="260">
        <v>0</v>
      </c>
      <c r="M1113" s="260">
        <v>0</v>
      </c>
      <c r="N1113" s="260">
        <v>0</v>
      </c>
      <c r="O1113" s="261">
        <v>0</v>
      </c>
      <c r="P1113" s="261">
        <v>390818.55999999994</v>
      </c>
      <c r="Q1113" s="261">
        <v>68710.992000000013</v>
      </c>
      <c r="R1113" s="261">
        <v>0</v>
      </c>
      <c r="S1113">
        <v>459529.55199999997</v>
      </c>
      <c r="T1113">
        <v>0</v>
      </c>
    </row>
    <row r="1114" spans="1:20">
      <c r="A1114" t="s">
        <v>18869</v>
      </c>
      <c r="B1114">
        <v>44881</v>
      </c>
      <c r="C1114" t="s">
        <v>17284</v>
      </c>
      <c r="D1114" t="s">
        <v>18383</v>
      </c>
      <c r="E1114">
        <v>0</v>
      </c>
      <c r="F1114">
        <v>53740.800000000003</v>
      </c>
      <c r="G1114" s="259">
        <v>0</v>
      </c>
      <c r="H1114" s="259">
        <v>23212.799999999999</v>
      </c>
      <c r="I1114" s="259">
        <v>18600</v>
      </c>
      <c r="J1114" s="259">
        <v>11928</v>
      </c>
      <c r="K1114" s="260">
        <v>0</v>
      </c>
      <c r="L1114" s="260">
        <v>0</v>
      </c>
      <c r="M1114" s="260">
        <v>0</v>
      </c>
      <c r="N1114" s="260">
        <v>0</v>
      </c>
      <c r="O1114" s="261">
        <v>0</v>
      </c>
      <c r="P1114" s="261">
        <v>23212.799999999999</v>
      </c>
      <c r="Q1114" s="261">
        <v>18600</v>
      </c>
      <c r="R1114" s="261">
        <v>11928</v>
      </c>
      <c r="S1114">
        <v>53740.800000000003</v>
      </c>
      <c r="T1114">
        <v>0</v>
      </c>
    </row>
    <row r="1115" spans="1:20">
      <c r="A1115" t="s">
        <v>18870</v>
      </c>
      <c r="B1115">
        <v>44896</v>
      </c>
      <c r="C1115" t="s">
        <v>17329</v>
      </c>
      <c r="D1115" t="s">
        <v>18782</v>
      </c>
      <c r="E1115">
        <v>0</v>
      </c>
      <c r="F1115">
        <v>179442.85600000003</v>
      </c>
      <c r="G1115" s="259">
        <v>0</v>
      </c>
      <c r="H1115" s="259">
        <v>136616.97317759998</v>
      </c>
      <c r="I1115" s="259">
        <v>0</v>
      </c>
      <c r="J1115" s="259">
        <v>10960.996857600001</v>
      </c>
      <c r="K1115" s="260">
        <v>0</v>
      </c>
      <c r="L1115" s="260">
        <v>30821.072048444908</v>
      </c>
      <c r="M1115" s="260">
        <v>0</v>
      </c>
      <c r="N1115" s="260">
        <v>1050.0501515550868</v>
      </c>
      <c r="O1115" s="261">
        <v>0</v>
      </c>
      <c r="P1115" s="261">
        <v>167438.04522604489</v>
      </c>
      <c r="Q1115" s="261">
        <v>0</v>
      </c>
      <c r="R1115" s="261">
        <v>12011.047009155089</v>
      </c>
      <c r="S1115">
        <v>179449.09223519999</v>
      </c>
      <c r="T1115">
        <v>-6.2362351999618113</v>
      </c>
    </row>
    <row r="1116" spans="1:20">
      <c r="A1116" t="s">
        <v>18871</v>
      </c>
      <c r="B1116">
        <v>44884</v>
      </c>
      <c r="C1116" t="s">
        <v>16783</v>
      </c>
      <c r="D1116" t="s">
        <v>17509</v>
      </c>
      <c r="E1116">
        <v>0</v>
      </c>
      <c r="F1116">
        <v>1018241.1070000001</v>
      </c>
      <c r="G1116" s="259">
        <v>40400.207999999999</v>
      </c>
      <c r="H1116" s="259">
        <v>776322.91540800035</v>
      </c>
      <c r="I1116" s="259">
        <v>77917.038191999993</v>
      </c>
      <c r="J1116" s="259">
        <v>123600.94500000001</v>
      </c>
      <c r="K1116" s="260">
        <v>0</v>
      </c>
      <c r="L1116" s="260">
        <v>0</v>
      </c>
      <c r="M1116" s="260">
        <v>0</v>
      </c>
      <c r="N1116" s="260">
        <v>0</v>
      </c>
      <c r="O1116" s="261">
        <v>40400.207999999999</v>
      </c>
      <c r="P1116" s="261">
        <v>776322.91540800035</v>
      </c>
      <c r="Q1116" s="261">
        <v>77917.038191999993</v>
      </c>
      <c r="R1116" s="261">
        <v>123600.94500000001</v>
      </c>
      <c r="S1116">
        <v>1018241.1066000003</v>
      </c>
      <c r="T1116">
        <v>3.9999978616833687E-4</v>
      </c>
    </row>
    <row r="1117" spans="1:20">
      <c r="A1117" t="s">
        <v>18872</v>
      </c>
      <c r="B1117">
        <v>44886</v>
      </c>
      <c r="C1117" t="s">
        <v>16783</v>
      </c>
      <c r="D1117" t="s">
        <v>17509</v>
      </c>
      <c r="E1117">
        <v>0</v>
      </c>
      <c r="F1117">
        <v>241543.99100000001</v>
      </c>
      <c r="G1117" s="259">
        <v>0</v>
      </c>
      <c r="H1117" s="259">
        <v>0</v>
      </c>
      <c r="I1117" s="259">
        <v>0</v>
      </c>
      <c r="J1117" s="259">
        <v>241543.99050000001</v>
      </c>
      <c r="K1117" s="260">
        <v>0</v>
      </c>
      <c r="L1117" s="260">
        <v>0</v>
      </c>
      <c r="M1117" s="260">
        <v>0</v>
      </c>
      <c r="N1117" s="260">
        <v>0</v>
      </c>
      <c r="O1117" s="261">
        <v>0</v>
      </c>
      <c r="P1117" s="261">
        <v>0</v>
      </c>
      <c r="Q1117" s="261">
        <v>0</v>
      </c>
      <c r="R1117" s="261">
        <v>241543.99050000001</v>
      </c>
      <c r="S1117">
        <v>241543.99050000001</v>
      </c>
      <c r="T1117">
        <v>4.999999946448952E-4</v>
      </c>
    </row>
    <row r="1118" spans="1:20">
      <c r="A1118" t="s">
        <v>18873</v>
      </c>
      <c r="B1118">
        <v>44886</v>
      </c>
      <c r="C1118" t="s">
        <v>17264</v>
      </c>
      <c r="D1118" t="s">
        <v>17265</v>
      </c>
      <c r="E1118">
        <v>0</v>
      </c>
      <c r="F1118">
        <v>146229.98800000001</v>
      </c>
      <c r="G1118" s="259">
        <v>0</v>
      </c>
      <c r="H1118" s="259">
        <v>0</v>
      </c>
      <c r="I1118" s="259">
        <v>0</v>
      </c>
      <c r="J1118" s="259">
        <v>146229.98749999999</v>
      </c>
      <c r="K1118" s="260">
        <v>0</v>
      </c>
      <c r="L1118" s="260">
        <v>0</v>
      </c>
      <c r="M1118" s="260">
        <v>0</v>
      </c>
      <c r="N1118" s="260">
        <v>0</v>
      </c>
      <c r="O1118" s="261">
        <v>0</v>
      </c>
      <c r="P1118" s="261">
        <v>0</v>
      </c>
      <c r="Q1118" s="261">
        <v>0</v>
      </c>
      <c r="R1118" s="261">
        <v>146229.98749999999</v>
      </c>
      <c r="S1118">
        <v>146229.98749999999</v>
      </c>
      <c r="T1118">
        <v>5.0000002374872565E-4</v>
      </c>
    </row>
    <row r="1119" spans="1:20">
      <c r="A1119" t="s">
        <v>18874</v>
      </c>
      <c r="B1119">
        <v>44896</v>
      </c>
      <c r="C1119" t="s">
        <v>17270</v>
      </c>
      <c r="D1119" t="s">
        <v>17271</v>
      </c>
      <c r="E1119">
        <v>0</v>
      </c>
      <c r="F1119">
        <v>81655.56</v>
      </c>
      <c r="G1119" s="259">
        <v>0</v>
      </c>
      <c r="H1119" s="259">
        <v>54437.039999999994</v>
      </c>
      <c r="I1119" s="259">
        <v>27218.52</v>
      </c>
      <c r="J1119" s="259">
        <v>0</v>
      </c>
      <c r="K1119" s="260">
        <v>0</v>
      </c>
      <c r="L1119" s="260">
        <v>0</v>
      </c>
      <c r="M1119" s="260">
        <v>0</v>
      </c>
      <c r="N1119" s="260">
        <v>0</v>
      </c>
      <c r="O1119" s="261">
        <v>0</v>
      </c>
      <c r="P1119" s="261">
        <v>54437.039999999994</v>
      </c>
      <c r="Q1119" s="261">
        <v>27218.52</v>
      </c>
      <c r="R1119" s="261">
        <v>0</v>
      </c>
      <c r="S1119">
        <v>81655.56</v>
      </c>
      <c r="T1119">
        <v>0</v>
      </c>
    </row>
    <row r="1120" spans="1:20">
      <c r="A1120" t="s">
        <v>18875</v>
      </c>
      <c r="B1120">
        <v>44896</v>
      </c>
      <c r="C1120" t="s">
        <v>16560</v>
      </c>
      <c r="D1120" t="s">
        <v>16561</v>
      </c>
      <c r="E1120">
        <v>0</v>
      </c>
      <c r="F1120">
        <v>256709.04</v>
      </c>
      <c r="G1120" s="259">
        <v>0</v>
      </c>
      <c r="H1120" s="259">
        <v>0</v>
      </c>
      <c r="I1120" s="259">
        <v>256709.04</v>
      </c>
      <c r="J1120" s="259">
        <v>0</v>
      </c>
      <c r="K1120" s="260">
        <v>0</v>
      </c>
      <c r="L1120" s="260">
        <v>0</v>
      </c>
      <c r="M1120" s="260">
        <v>0</v>
      </c>
      <c r="N1120" s="260">
        <v>0</v>
      </c>
      <c r="O1120" s="261">
        <v>0</v>
      </c>
      <c r="P1120" s="261">
        <v>0</v>
      </c>
      <c r="Q1120" s="261">
        <v>256709.04</v>
      </c>
      <c r="R1120" s="261">
        <v>0</v>
      </c>
      <c r="S1120">
        <v>256709.04</v>
      </c>
      <c r="T1120">
        <v>0</v>
      </c>
    </row>
    <row r="1121" spans="1:20">
      <c r="A1121" t="s">
        <v>18876</v>
      </c>
      <c r="B1121">
        <v>44888</v>
      </c>
      <c r="C1121" t="s">
        <v>16957</v>
      </c>
      <c r="D1121" t="s">
        <v>17451</v>
      </c>
      <c r="E1121">
        <v>0</v>
      </c>
      <c r="F1121">
        <v>61810.855000000003</v>
      </c>
      <c r="G1121" s="259">
        <v>61810.855437500002</v>
      </c>
      <c r="H1121" s="259">
        <v>0</v>
      </c>
      <c r="I1121" s="259">
        <v>0</v>
      </c>
      <c r="J1121" s="259">
        <v>0</v>
      </c>
      <c r="K1121" s="260">
        <v>0</v>
      </c>
      <c r="L1121" s="260">
        <v>0</v>
      </c>
      <c r="M1121" s="260">
        <v>0</v>
      </c>
      <c r="N1121" s="260">
        <v>0</v>
      </c>
      <c r="O1121" s="261">
        <v>61810.855437500002</v>
      </c>
      <c r="P1121" s="261">
        <v>0</v>
      </c>
      <c r="Q1121" s="261">
        <v>0</v>
      </c>
      <c r="R1121" s="261">
        <v>0</v>
      </c>
      <c r="S1121">
        <v>61810.855437500002</v>
      </c>
      <c r="T1121">
        <v>-4.374999989522621E-4</v>
      </c>
    </row>
    <row r="1122" spans="1:20">
      <c r="A1122" t="s">
        <v>18877</v>
      </c>
      <c r="B1122">
        <v>44896</v>
      </c>
      <c r="C1122" t="s">
        <v>17338</v>
      </c>
      <c r="E1122">
        <v>0</v>
      </c>
      <c r="F1122">
        <v>97920</v>
      </c>
      <c r="G1122" s="259">
        <v>97920</v>
      </c>
      <c r="H1122" s="259">
        <v>0</v>
      </c>
      <c r="I1122" s="259">
        <v>0</v>
      </c>
      <c r="J1122" s="259">
        <v>0</v>
      </c>
      <c r="K1122" s="260">
        <v>0</v>
      </c>
      <c r="L1122" s="260">
        <v>0</v>
      </c>
      <c r="M1122" s="260">
        <v>0</v>
      </c>
      <c r="N1122" s="260">
        <v>0</v>
      </c>
      <c r="O1122" s="261">
        <v>97920</v>
      </c>
      <c r="P1122" s="261">
        <v>0</v>
      </c>
      <c r="Q1122" s="261">
        <v>0</v>
      </c>
      <c r="R1122" s="261">
        <v>0</v>
      </c>
      <c r="S1122">
        <v>97920</v>
      </c>
      <c r="T1122">
        <v>0</v>
      </c>
    </row>
    <row r="1123" spans="1:20">
      <c r="A1123" t="s">
        <v>18878</v>
      </c>
      <c r="B1123">
        <v>44896</v>
      </c>
      <c r="C1123" t="s">
        <v>16444</v>
      </c>
      <c r="D1123" t="s">
        <v>16445</v>
      </c>
      <c r="E1123">
        <v>0</v>
      </c>
      <c r="F1123">
        <v>54987.5</v>
      </c>
      <c r="G1123" s="259">
        <v>54987.5</v>
      </c>
      <c r="H1123" s="259">
        <v>0</v>
      </c>
      <c r="I1123" s="259">
        <v>0</v>
      </c>
      <c r="J1123" s="259">
        <v>0</v>
      </c>
      <c r="K1123" s="260">
        <v>0</v>
      </c>
      <c r="L1123" s="260">
        <v>0</v>
      </c>
      <c r="M1123" s="260">
        <v>0</v>
      </c>
      <c r="N1123" s="260">
        <v>0</v>
      </c>
      <c r="O1123" s="261">
        <v>54987.5</v>
      </c>
      <c r="P1123" s="261">
        <v>0</v>
      </c>
      <c r="Q1123" s="261">
        <v>0</v>
      </c>
      <c r="R1123" s="261">
        <v>0</v>
      </c>
      <c r="S1123">
        <v>54987.5</v>
      </c>
      <c r="T1123">
        <v>0</v>
      </c>
    </row>
    <row r="1124" spans="1:20">
      <c r="A1124" t="s">
        <v>18879</v>
      </c>
      <c r="B1124">
        <v>44901</v>
      </c>
      <c r="C1124" t="s">
        <v>17332</v>
      </c>
      <c r="D1124" t="s">
        <v>18794</v>
      </c>
      <c r="E1124">
        <v>0</v>
      </c>
      <c r="F1124">
        <v>295736.83199999999</v>
      </c>
      <c r="G1124" s="259">
        <v>0</v>
      </c>
      <c r="H1124" s="259">
        <v>278484.47999999998</v>
      </c>
      <c r="I1124" s="259">
        <v>17252.351999999999</v>
      </c>
      <c r="J1124" s="259">
        <v>0</v>
      </c>
      <c r="K1124" s="260">
        <v>0</v>
      </c>
      <c r="L1124" s="260">
        <v>0</v>
      </c>
      <c r="M1124" s="260">
        <v>0</v>
      </c>
      <c r="N1124" s="260">
        <v>0</v>
      </c>
      <c r="O1124" s="261">
        <v>0</v>
      </c>
      <c r="P1124" s="261">
        <v>278484.47999999998</v>
      </c>
      <c r="Q1124" s="261">
        <v>17252.351999999999</v>
      </c>
      <c r="R1124" s="261">
        <v>0</v>
      </c>
      <c r="S1124">
        <v>295736.83199999999</v>
      </c>
      <c r="T1124">
        <v>0</v>
      </c>
    </row>
    <row r="1125" spans="1:20">
      <c r="A1125" t="s">
        <v>18880</v>
      </c>
      <c r="B1125">
        <v>44904</v>
      </c>
      <c r="C1125" t="s">
        <v>16384</v>
      </c>
      <c r="D1125" t="s">
        <v>16385</v>
      </c>
      <c r="E1125">
        <v>0</v>
      </c>
      <c r="F1125">
        <v>254400</v>
      </c>
      <c r="G1125" s="259">
        <v>254400</v>
      </c>
      <c r="H1125" s="259">
        <v>0</v>
      </c>
      <c r="I1125" s="259">
        <v>0</v>
      </c>
      <c r="J1125" s="259">
        <v>0</v>
      </c>
      <c r="K1125" s="260">
        <v>0</v>
      </c>
      <c r="L1125" s="260">
        <v>0</v>
      </c>
      <c r="M1125" s="260">
        <v>0</v>
      </c>
      <c r="N1125" s="260">
        <v>0</v>
      </c>
      <c r="O1125" s="261">
        <v>254400</v>
      </c>
      <c r="P1125" s="261">
        <v>0</v>
      </c>
      <c r="Q1125" s="261">
        <v>0</v>
      </c>
      <c r="R1125" s="261">
        <v>0</v>
      </c>
      <c r="S1125">
        <v>254400</v>
      </c>
      <c r="T1125">
        <v>0</v>
      </c>
    </row>
    <row r="1126" spans="1:20">
      <c r="A1126" t="s">
        <v>18881</v>
      </c>
      <c r="B1126">
        <v>44904</v>
      </c>
      <c r="C1126" t="s">
        <v>16957</v>
      </c>
      <c r="D1126" t="s">
        <v>17451</v>
      </c>
      <c r="E1126">
        <v>0</v>
      </c>
      <c r="F1126">
        <v>54517.587999999996</v>
      </c>
      <c r="G1126" s="259">
        <v>54517.588125000002</v>
      </c>
      <c r="H1126" s="259">
        <v>0</v>
      </c>
      <c r="I1126" s="259">
        <v>0</v>
      </c>
      <c r="J1126" s="259">
        <v>0</v>
      </c>
      <c r="K1126" s="260">
        <v>0</v>
      </c>
      <c r="L1126" s="260">
        <v>0</v>
      </c>
      <c r="M1126" s="260">
        <v>0</v>
      </c>
      <c r="N1126" s="260">
        <v>0</v>
      </c>
      <c r="O1126" s="261">
        <v>54517.588125000002</v>
      </c>
      <c r="P1126" s="261">
        <v>0</v>
      </c>
      <c r="Q1126" s="261">
        <v>0</v>
      </c>
      <c r="R1126" s="261">
        <v>0</v>
      </c>
      <c r="S1126">
        <v>54517.588125000002</v>
      </c>
      <c r="T1126">
        <v>-1.2500000593718141E-4</v>
      </c>
    </row>
    <row r="1127" spans="1:20">
      <c r="A1127" t="s">
        <v>18882</v>
      </c>
      <c r="B1127">
        <v>44905</v>
      </c>
      <c r="C1127" t="s">
        <v>17332</v>
      </c>
      <c r="D1127" t="s">
        <v>18794</v>
      </c>
      <c r="E1127">
        <v>0</v>
      </c>
      <c r="F1127">
        <v>753000</v>
      </c>
      <c r="G1127" s="259">
        <v>753000</v>
      </c>
      <c r="H1127" s="259">
        <v>0</v>
      </c>
      <c r="I1127" s="259">
        <v>0</v>
      </c>
      <c r="J1127" s="259">
        <v>0</v>
      </c>
      <c r="K1127" s="260">
        <v>0</v>
      </c>
      <c r="L1127" s="260">
        <v>0</v>
      </c>
      <c r="M1127" s="260">
        <v>0</v>
      </c>
      <c r="N1127" s="260">
        <v>0</v>
      </c>
      <c r="O1127" s="261">
        <v>753000</v>
      </c>
      <c r="P1127" s="261">
        <v>0</v>
      </c>
      <c r="Q1127" s="261">
        <v>0</v>
      </c>
      <c r="R1127" s="261">
        <v>0</v>
      </c>
      <c r="S1127">
        <v>753000</v>
      </c>
      <c r="T1127">
        <v>0</v>
      </c>
    </row>
    <row r="1128" spans="1:20">
      <c r="A1128" t="s">
        <v>18883</v>
      </c>
      <c r="B1128">
        <v>44908</v>
      </c>
      <c r="C1128" t="s">
        <v>16957</v>
      </c>
      <c r="D1128" t="s">
        <v>17451</v>
      </c>
      <c r="E1128">
        <v>0</v>
      </c>
      <c r="F1128">
        <v>61001.067000000003</v>
      </c>
      <c r="G1128" s="259">
        <v>61001.067237499999</v>
      </c>
      <c r="H1128" s="259">
        <v>0</v>
      </c>
      <c r="I1128" s="259">
        <v>0</v>
      </c>
      <c r="J1128" s="259">
        <v>0</v>
      </c>
      <c r="K1128" s="260">
        <v>0</v>
      </c>
      <c r="L1128" s="260">
        <v>0</v>
      </c>
      <c r="M1128" s="260">
        <v>0</v>
      </c>
      <c r="N1128" s="260">
        <v>0</v>
      </c>
      <c r="O1128" s="261">
        <v>61001.067237499999</v>
      </c>
      <c r="P1128" s="261">
        <v>0</v>
      </c>
      <c r="Q1128" s="261">
        <v>0</v>
      </c>
      <c r="R1128" s="261">
        <v>0</v>
      </c>
      <c r="S1128">
        <v>61001.067237499999</v>
      </c>
      <c r="T1128">
        <v>-2.3749999672872946E-4</v>
      </c>
    </row>
    <row r="1129" spans="1:20">
      <c r="A1129" t="s">
        <v>18884</v>
      </c>
      <c r="B1129">
        <v>44908</v>
      </c>
      <c r="C1129" t="s">
        <v>17332</v>
      </c>
      <c r="D1129" t="s">
        <v>18794</v>
      </c>
      <c r="E1129">
        <v>0</v>
      </c>
      <c r="F1129">
        <v>560820</v>
      </c>
      <c r="G1129" s="259">
        <v>249600</v>
      </c>
      <c r="H1129" s="259">
        <v>287280</v>
      </c>
      <c r="I1129" s="259">
        <v>23940</v>
      </c>
      <c r="J1129" s="259">
        <v>0</v>
      </c>
      <c r="K1129" s="260">
        <v>0</v>
      </c>
      <c r="L1129" s="260">
        <v>0</v>
      </c>
      <c r="M1129" s="260">
        <v>0</v>
      </c>
      <c r="N1129" s="260">
        <v>0</v>
      </c>
      <c r="O1129" s="261">
        <v>249600</v>
      </c>
      <c r="P1129" s="261">
        <v>287280</v>
      </c>
      <c r="Q1129" s="261">
        <v>23940</v>
      </c>
      <c r="R1129" s="261">
        <v>0</v>
      </c>
      <c r="S1129">
        <v>560820</v>
      </c>
      <c r="T1129">
        <v>0</v>
      </c>
    </row>
    <row r="1130" spans="1:20">
      <c r="A1130" t="s">
        <v>18885</v>
      </c>
      <c r="B1130">
        <v>44908</v>
      </c>
      <c r="C1130" t="s">
        <v>17017</v>
      </c>
      <c r="D1130" t="s">
        <v>17430</v>
      </c>
      <c r="E1130">
        <v>0</v>
      </c>
      <c r="F1130">
        <v>60000</v>
      </c>
      <c r="G1130" s="259">
        <v>0</v>
      </c>
      <c r="H1130" s="259">
        <v>60000</v>
      </c>
      <c r="I1130" s="259">
        <v>0</v>
      </c>
      <c r="J1130" s="259">
        <v>0</v>
      </c>
      <c r="K1130" s="260">
        <v>0</v>
      </c>
      <c r="L1130" s="260">
        <v>0</v>
      </c>
      <c r="M1130" s="260">
        <v>0</v>
      </c>
      <c r="N1130" s="260">
        <v>0</v>
      </c>
      <c r="O1130" s="261">
        <v>0</v>
      </c>
      <c r="P1130" s="261">
        <v>60000</v>
      </c>
      <c r="Q1130" s="261">
        <v>0</v>
      </c>
      <c r="R1130" s="261">
        <v>0</v>
      </c>
      <c r="S1130">
        <v>60000</v>
      </c>
      <c r="T1130">
        <v>0</v>
      </c>
    </row>
    <row r="1131" spans="1:20">
      <c r="A1131" t="s">
        <v>18886</v>
      </c>
      <c r="B1131">
        <v>44908</v>
      </c>
      <c r="C1131" t="s">
        <v>16560</v>
      </c>
      <c r="D1131" t="s">
        <v>16561</v>
      </c>
      <c r="E1131">
        <v>0</v>
      </c>
      <c r="F1131">
        <v>256665.92</v>
      </c>
      <c r="G1131" s="259">
        <v>0</v>
      </c>
      <c r="H1131" s="259">
        <v>0</v>
      </c>
      <c r="I1131" s="259">
        <v>256665.92</v>
      </c>
      <c r="J1131" s="259">
        <v>0</v>
      </c>
      <c r="K1131" s="260">
        <v>0</v>
      </c>
      <c r="L1131" s="260">
        <v>0</v>
      </c>
      <c r="M1131" s="260">
        <v>0</v>
      </c>
      <c r="N1131" s="260">
        <v>0</v>
      </c>
      <c r="O1131" s="261">
        <v>0</v>
      </c>
      <c r="P1131" s="261">
        <v>0</v>
      </c>
      <c r="Q1131" s="261">
        <v>256665.92</v>
      </c>
      <c r="R1131" s="261">
        <v>0</v>
      </c>
      <c r="S1131">
        <v>256665.92</v>
      </c>
      <c r="T1131">
        <v>0</v>
      </c>
    </row>
    <row r="1132" spans="1:20">
      <c r="A1132" t="s">
        <v>18887</v>
      </c>
      <c r="B1132">
        <v>44908</v>
      </c>
      <c r="C1132" t="s">
        <v>16904</v>
      </c>
      <c r="D1132" t="s">
        <v>16905</v>
      </c>
      <c r="E1132">
        <v>0</v>
      </c>
      <c r="F1132">
        <v>102229.59800000001</v>
      </c>
      <c r="G1132" s="259">
        <v>0</v>
      </c>
      <c r="H1132" s="259">
        <v>65146.097016</v>
      </c>
      <c r="I1132" s="259">
        <v>23741.289000000001</v>
      </c>
      <c r="J1132" s="259">
        <v>0</v>
      </c>
      <c r="K1132" s="260">
        <v>0</v>
      </c>
      <c r="L1132" s="260">
        <v>9746.3161397153963</v>
      </c>
      <c r="M1132" s="260">
        <v>3595.895860284606</v>
      </c>
      <c r="N1132" s="260">
        <v>0</v>
      </c>
      <c r="O1132" s="261">
        <v>0</v>
      </c>
      <c r="P1132" s="261">
        <v>74892.413155715389</v>
      </c>
      <c r="Q1132" s="261">
        <v>27337.184860284608</v>
      </c>
      <c r="R1132" s="261">
        <v>0</v>
      </c>
      <c r="S1132">
        <v>102229.598016</v>
      </c>
      <c r="T1132">
        <v>-1.5999990864656866E-5</v>
      </c>
    </row>
    <row r="1133" spans="1:20">
      <c r="A1133" t="s">
        <v>18888</v>
      </c>
      <c r="B1133">
        <v>44908</v>
      </c>
      <c r="C1133" t="s">
        <v>16904</v>
      </c>
      <c r="D1133" t="s">
        <v>16905</v>
      </c>
      <c r="E1133">
        <v>0</v>
      </c>
      <c r="F1133">
        <v>82564.747000000003</v>
      </c>
      <c r="G1133" s="259">
        <v>0</v>
      </c>
      <c r="H1133" s="259">
        <v>69222.535199999998</v>
      </c>
      <c r="I1133" s="259">
        <v>0</v>
      </c>
      <c r="J1133" s="259">
        <v>0</v>
      </c>
      <c r="K1133" s="260">
        <v>0</v>
      </c>
      <c r="L1133" s="260">
        <v>13342.212000000003</v>
      </c>
      <c r="M1133" s="260">
        <v>0</v>
      </c>
      <c r="N1133" s="260">
        <v>0</v>
      </c>
      <c r="O1133" s="261">
        <v>0</v>
      </c>
      <c r="P1133" s="261">
        <v>82564.747199999998</v>
      </c>
      <c r="Q1133" s="261">
        <v>0</v>
      </c>
      <c r="R1133" s="261">
        <v>0</v>
      </c>
      <c r="S1133">
        <v>82564.747199999998</v>
      </c>
      <c r="T1133">
        <v>-1.9999999494757503E-4</v>
      </c>
    </row>
    <row r="1134" spans="1:20">
      <c r="A1134" t="s">
        <v>18889</v>
      </c>
      <c r="B1134">
        <v>44908</v>
      </c>
      <c r="C1134" t="s">
        <v>17209</v>
      </c>
      <c r="D1134" t="s">
        <v>17210</v>
      </c>
      <c r="E1134">
        <v>0</v>
      </c>
      <c r="F1134">
        <v>79430.365999999995</v>
      </c>
      <c r="G1134" s="259">
        <v>28444.387200000001</v>
      </c>
      <c r="H1134" s="259">
        <v>26410.003199999999</v>
      </c>
      <c r="I1134" s="259">
        <v>9321.1776000000009</v>
      </c>
      <c r="J1134" s="259">
        <v>9093.08</v>
      </c>
      <c r="K1134" s="260">
        <v>2574.5338161559889</v>
      </c>
      <c r="L1134" s="260">
        <v>2334.2439933147634</v>
      </c>
      <c r="M1134" s="260">
        <v>823.85082116991646</v>
      </c>
      <c r="N1134" s="260">
        <v>429.08896935933149</v>
      </c>
      <c r="O1134" s="261">
        <v>31018.921016155989</v>
      </c>
      <c r="P1134" s="261">
        <v>28744.247193314761</v>
      </c>
      <c r="Q1134" s="261">
        <v>10145.028421169918</v>
      </c>
      <c r="R1134" s="261">
        <v>9522.1689693593307</v>
      </c>
      <c r="S1134">
        <v>79430.365600000005</v>
      </c>
      <c r="T1134">
        <v>3.9999998989515007E-4</v>
      </c>
    </row>
    <row r="1135" spans="1:20">
      <c r="A1135" t="s">
        <v>18890</v>
      </c>
      <c r="B1135">
        <v>44909</v>
      </c>
      <c r="C1135" t="s">
        <v>16560</v>
      </c>
      <c r="D1135" t="s">
        <v>16561</v>
      </c>
      <c r="E1135">
        <v>0</v>
      </c>
      <c r="F1135">
        <v>256665.92</v>
      </c>
      <c r="G1135" s="259">
        <v>0</v>
      </c>
      <c r="H1135" s="259">
        <v>0</v>
      </c>
      <c r="I1135" s="259">
        <v>256665.92</v>
      </c>
      <c r="J1135" s="259">
        <v>0</v>
      </c>
      <c r="K1135" s="260">
        <v>0</v>
      </c>
      <c r="L1135" s="260">
        <v>0</v>
      </c>
      <c r="M1135" s="260">
        <v>0</v>
      </c>
      <c r="N1135" s="260">
        <v>0</v>
      </c>
      <c r="O1135" s="261">
        <v>0</v>
      </c>
      <c r="P1135" s="261">
        <v>0</v>
      </c>
      <c r="Q1135" s="261">
        <v>256665.92</v>
      </c>
      <c r="R1135" s="261">
        <v>0</v>
      </c>
      <c r="S1135">
        <v>256665.92</v>
      </c>
      <c r="T1135">
        <v>0</v>
      </c>
    </row>
    <row r="1136" spans="1:20">
      <c r="A1136" t="s">
        <v>18891</v>
      </c>
      <c r="B1136">
        <v>44909</v>
      </c>
      <c r="C1136" t="s">
        <v>16444</v>
      </c>
      <c r="D1136" t="s">
        <v>16445</v>
      </c>
      <c r="E1136">
        <v>0</v>
      </c>
      <c r="F1136">
        <v>56780.639999999999</v>
      </c>
      <c r="G1136" s="259">
        <v>56780.639999999999</v>
      </c>
      <c r="H1136" s="259">
        <v>0</v>
      </c>
      <c r="I1136" s="259">
        <v>0</v>
      </c>
      <c r="J1136" s="259">
        <v>0</v>
      </c>
      <c r="K1136" s="260">
        <v>0</v>
      </c>
      <c r="L1136" s="260">
        <v>0</v>
      </c>
      <c r="M1136" s="260">
        <v>0</v>
      </c>
      <c r="N1136" s="260">
        <v>0</v>
      </c>
      <c r="O1136" s="261">
        <v>56780.639999999999</v>
      </c>
      <c r="P1136" s="261">
        <v>0</v>
      </c>
      <c r="Q1136" s="261">
        <v>0</v>
      </c>
      <c r="R1136" s="261">
        <v>0</v>
      </c>
      <c r="S1136">
        <v>56780.639999999999</v>
      </c>
      <c r="T1136">
        <v>0</v>
      </c>
    </row>
    <row r="1137" spans="1:20">
      <c r="A1137" t="s">
        <v>18892</v>
      </c>
      <c r="B1137">
        <v>44910</v>
      </c>
      <c r="C1137" t="s">
        <v>16904</v>
      </c>
      <c r="D1137" t="s">
        <v>16905</v>
      </c>
      <c r="E1137">
        <v>0</v>
      </c>
      <c r="F1137">
        <v>43561.300999999999</v>
      </c>
      <c r="G1137" s="259">
        <v>0</v>
      </c>
      <c r="H1137" s="259">
        <v>35370.426167999998</v>
      </c>
      <c r="I1137" s="259">
        <v>0</v>
      </c>
      <c r="J1137" s="259">
        <v>0</v>
      </c>
      <c r="K1137" s="260">
        <v>0</v>
      </c>
      <c r="L1137" s="260">
        <v>8190.8750000000009</v>
      </c>
      <c r="M1137" s="260">
        <v>0</v>
      </c>
      <c r="N1137" s="260">
        <v>0</v>
      </c>
      <c r="O1137" s="261">
        <v>0</v>
      </c>
      <c r="P1137" s="261">
        <v>43561.301167999998</v>
      </c>
      <c r="Q1137" s="261">
        <v>0</v>
      </c>
      <c r="R1137" s="261">
        <v>0</v>
      </c>
      <c r="S1137">
        <v>43561.301167999998</v>
      </c>
      <c r="T1137">
        <v>-1.6799999866634607E-4</v>
      </c>
    </row>
    <row r="1138" spans="1:20">
      <c r="A1138" t="s">
        <v>18893</v>
      </c>
      <c r="B1138">
        <v>44910</v>
      </c>
      <c r="C1138" t="s">
        <v>17321</v>
      </c>
      <c r="D1138" t="s">
        <v>18719</v>
      </c>
      <c r="E1138">
        <v>0</v>
      </c>
      <c r="F1138">
        <v>144815.56200000001</v>
      </c>
      <c r="G1138" s="259">
        <v>0</v>
      </c>
      <c r="H1138" s="259">
        <v>0</v>
      </c>
      <c r="I1138" s="259">
        <v>0</v>
      </c>
      <c r="J1138" s="259">
        <v>144815.56200000001</v>
      </c>
      <c r="K1138" s="260">
        <v>0</v>
      </c>
      <c r="L1138" s="260">
        <v>0</v>
      </c>
      <c r="M1138" s="260">
        <v>0</v>
      </c>
      <c r="N1138" s="260">
        <v>0</v>
      </c>
      <c r="O1138" s="261">
        <v>0</v>
      </c>
      <c r="P1138" s="261">
        <v>0</v>
      </c>
      <c r="Q1138" s="261">
        <v>0</v>
      </c>
      <c r="R1138" s="261">
        <v>144815.56200000001</v>
      </c>
      <c r="S1138">
        <v>144815.56200000001</v>
      </c>
      <c r="T1138">
        <v>0</v>
      </c>
    </row>
    <row r="1139" spans="1:20">
      <c r="A1139" t="s">
        <v>18894</v>
      </c>
      <c r="B1139">
        <v>44910</v>
      </c>
      <c r="C1139" t="s">
        <v>17321</v>
      </c>
      <c r="D1139" t="s">
        <v>18719</v>
      </c>
      <c r="E1139">
        <v>0</v>
      </c>
      <c r="F1139">
        <v>248287.32</v>
      </c>
      <c r="G1139" s="259">
        <v>0</v>
      </c>
      <c r="H1139" s="259">
        <v>248287.32</v>
      </c>
      <c r="I1139" s="259">
        <v>0</v>
      </c>
      <c r="J1139" s="259">
        <v>0</v>
      </c>
      <c r="K1139" s="260">
        <v>0</v>
      </c>
      <c r="L1139" s="260">
        <v>0</v>
      </c>
      <c r="M1139" s="260">
        <v>0</v>
      </c>
      <c r="N1139" s="260">
        <v>0</v>
      </c>
      <c r="O1139" s="261">
        <v>0</v>
      </c>
      <c r="P1139" s="261">
        <v>248287.32</v>
      </c>
      <c r="Q1139" s="261">
        <v>0</v>
      </c>
      <c r="R1139" s="261">
        <v>0</v>
      </c>
      <c r="S1139">
        <v>248287.32</v>
      </c>
      <c r="T1139">
        <v>0</v>
      </c>
    </row>
    <row r="1140" spans="1:20">
      <c r="A1140" t="s">
        <v>18895</v>
      </c>
      <c r="B1140">
        <v>44910</v>
      </c>
      <c r="C1140" t="s">
        <v>17336</v>
      </c>
      <c r="D1140" t="s">
        <v>18835</v>
      </c>
      <c r="E1140">
        <v>0</v>
      </c>
      <c r="F1140">
        <v>331510.60800000001</v>
      </c>
      <c r="G1140" s="259">
        <v>0</v>
      </c>
      <c r="H1140" s="259">
        <v>318510.19199999998</v>
      </c>
      <c r="I1140" s="259">
        <v>13000.415999999999</v>
      </c>
      <c r="J1140" s="259">
        <v>0</v>
      </c>
      <c r="K1140" s="260">
        <v>0</v>
      </c>
      <c r="L1140" s="260">
        <v>0</v>
      </c>
      <c r="M1140" s="260">
        <v>0</v>
      </c>
      <c r="N1140" s="260">
        <v>0</v>
      </c>
      <c r="O1140" s="261">
        <v>0</v>
      </c>
      <c r="P1140" s="261">
        <v>318510.19199999998</v>
      </c>
      <c r="Q1140" s="261">
        <v>13000.415999999999</v>
      </c>
      <c r="R1140" s="261">
        <v>0</v>
      </c>
      <c r="S1140">
        <v>331510.60800000001</v>
      </c>
      <c r="T1140">
        <v>0</v>
      </c>
    </row>
    <row r="1141" spans="1:20">
      <c r="A1141" t="s">
        <v>18896</v>
      </c>
      <c r="B1141">
        <v>44911</v>
      </c>
      <c r="C1141" t="s">
        <v>17309</v>
      </c>
      <c r="D1141" t="s">
        <v>18704</v>
      </c>
      <c r="E1141">
        <v>0</v>
      </c>
      <c r="F1141">
        <v>380880</v>
      </c>
      <c r="G1141" s="259">
        <v>0</v>
      </c>
      <c r="H1141" s="259">
        <v>380880</v>
      </c>
      <c r="I1141" s="259">
        <v>0</v>
      </c>
      <c r="J1141" s="259">
        <v>0</v>
      </c>
      <c r="K1141" s="260">
        <v>0</v>
      </c>
      <c r="L1141" s="260">
        <v>0</v>
      </c>
      <c r="M1141" s="260">
        <v>0</v>
      </c>
      <c r="N1141" s="260">
        <v>0</v>
      </c>
      <c r="O1141" s="261">
        <v>0</v>
      </c>
      <c r="P1141" s="261">
        <v>380880</v>
      </c>
      <c r="Q1141" s="261">
        <v>0</v>
      </c>
      <c r="R1141" s="261">
        <v>0</v>
      </c>
      <c r="S1141">
        <v>380880</v>
      </c>
      <c r="T1141">
        <v>0</v>
      </c>
    </row>
    <row r="1142" spans="1:20">
      <c r="A1142" t="s">
        <v>18897</v>
      </c>
      <c r="B1142">
        <v>44915</v>
      </c>
      <c r="C1142" t="s">
        <v>16444</v>
      </c>
      <c r="D1142" t="s">
        <v>16445</v>
      </c>
      <c r="E1142">
        <v>0</v>
      </c>
      <c r="F1142">
        <v>51840</v>
      </c>
      <c r="G1142" s="259">
        <v>51840</v>
      </c>
      <c r="H1142" s="259">
        <v>0</v>
      </c>
      <c r="I1142" s="259">
        <v>0</v>
      </c>
      <c r="J1142" s="259">
        <v>0</v>
      </c>
      <c r="K1142" s="260">
        <v>0</v>
      </c>
      <c r="L1142" s="260">
        <v>0</v>
      </c>
      <c r="M1142" s="260">
        <v>0</v>
      </c>
      <c r="N1142" s="260">
        <v>0</v>
      </c>
      <c r="O1142" s="261">
        <v>51840</v>
      </c>
      <c r="P1142" s="261">
        <v>0</v>
      </c>
      <c r="Q1142" s="261">
        <v>0</v>
      </c>
      <c r="R1142" s="261">
        <v>0</v>
      </c>
      <c r="S1142">
        <v>51840</v>
      </c>
      <c r="T1142">
        <v>0</v>
      </c>
    </row>
    <row r="1143" spans="1:20">
      <c r="A1143" t="s">
        <v>18898</v>
      </c>
      <c r="B1143">
        <v>44915</v>
      </c>
      <c r="C1143" t="s">
        <v>17334</v>
      </c>
      <c r="D1143" t="s">
        <v>18833</v>
      </c>
      <c r="E1143">
        <v>0</v>
      </c>
      <c r="F1143">
        <v>313919.2</v>
      </c>
      <c r="G1143" s="259">
        <v>24192</v>
      </c>
      <c r="H1143" s="259">
        <v>155131.20000000001</v>
      </c>
      <c r="I1143" s="259">
        <v>113400</v>
      </c>
      <c r="J1143" s="259">
        <v>21196</v>
      </c>
      <c r="K1143" s="260">
        <v>0</v>
      </c>
      <c r="L1143" s="260">
        <v>0</v>
      </c>
      <c r="M1143" s="260">
        <v>0</v>
      </c>
      <c r="N1143" s="260">
        <v>0</v>
      </c>
      <c r="O1143" s="261">
        <v>24192</v>
      </c>
      <c r="P1143" s="261">
        <v>155131.20000000001</v>
      </c>
      <c r="Q1143" s="261">
        <v>113400</v>
      </c>
      <c r="R1143" s="261">
        <v>21196</v>
      </c>
      <c r="S1143">
        <v>313919.2</v>
      </c>
      <c r="T1143">
        <v>0</v>
      </c>
    </row>
    <row r="1144" spans="1:20">
      <c r="A1144" t="s">
        <v>18899</v>
      </c>
      <c r="B1144">
        <v>44916</v>
      </c>
      <c r="C1144" t="s">
        <v>17248</v>
      </c>
      <c r="D1144" t="s">
        <v>18158</v>
      </c>
      <c r="E1144">
        <v>0</v>
      </c>
      <c r="F1144">
        <v>220108.44199999998</v>
      </c>
      <c r="G1144" s="259">
        <v>23472.647999999997</v>
      </c>
      <c r="H1144" s="259">
        <v>126478.75968000002</v>
      </c>
      <c r="I1144" s="259">
        <v>7319.0304000000006</v>
      </c>
      <c r="J1144" s="259">
        <v>0</v>
      </c>
      <c r="K1144" s="260">
        <v>9390.3407053197843</v>
      </c>
      <c r="L1144" s="260">
        <v>50632.717083084281</v>
      </c>
      <c r="M1144" s="260">
        <v>2817.1022115959354</v>
      </c>
      <c r="N1144" s="260">
        <v>0</v>
      </c>
      <c r="O1144" s="261">
        <v>32862.988705319782</v>
      </c>
      <c r="P1144" s="261">
        <v>177111.4767630843</v>
      </c>
      <c r="Q1144" s="261">
        <v>10136.132611595936</v>
      </c>
      <c r="R1144" s="261">
        <v>0</v>
      </c>
      <c r="S1144">
        <v>220110.59808000003</v>
      </c>
      <c r="T1144">
        <v>-2.1560800000443123</v>
      </c>
    </row>
    <row r="1145" spans="1:20">
      <c r="A1145" t="s">
        <v>18900</v>
      </c>
      <c r="B1145">
        <v>44918</v>
      </c>
      <c r="C1145" t="s">
        <v>16470</v>
      </c>
      <c r="D1145" t="s">
        <v>16471</v>
      </c>
      <c r="E1145">
        <v>0</v>
      </c>
      <c r="F1145">
        <v>702315.946</v>
      </c>
      <c r="G1145" s="259">
        <v>0</v>
      </c>
      <c r="H1145" s="259">
        <v>615400.28592900012</v>
      </c>
      <c r="I1145" s="259">
        <v>0</v>
      </c>
      <c r="J1145" s="259">
        <v>0</v>
      </c>
      <c r="K1145" s="260">
        <v>0</v>
      </c>
      <c r="L1145" s="260">
        <v>86177</v>
      </c>
      <c r="M1145" s="260">
        <v>0</v>
      </c>
      <c r="N1145" s="260">
        <v>0</v>
      </c>
      <c r="O1145" s="261">
        <v>0</v>
      </c>
      <c r="P1145" s="261">
        <v>701577.28592900012</v>
      </c>
      <c r="Q1145" s="261">
        <v>0</v>
      </c>
      <c r="R1145" s="261">
        <v>0</v>
      </c>
      <c r="S1145">
        <v>701577.28592900012</v>
      </c>
      <c r="T1145">
        <v>738.66007099987473</v>
      </c>
    </row>
    <row r="1146" spans="1:20">
      <c r="A1146" t="s">
        <v>18901</v>
      </c>
      <c r="B1146">
        <v>44928</v>
      </c>
      <c r="C1146" t="s">
        <v>16838</v>
      </c>
      <c r="D1146" t="s">
        <v>16839</v>
      </c>
      <c r="E1146">
        <v>0</v>
      </c>
      <c r="F1146">
        <v>215778</v>
      </c>
      <c r="G1146" s="259">
        <v>153600</v>
      </c>
      <c r="H1146" s="259">
        <v>62178</v>
      </c>
      <c r="I1146" s="259">
        <v>0</v>
      </c>
      <c r="J1146" s="259">
        <v>0</v>
      </c>
      <c r="K1146" s="260">
        <v>0</v>
      </c>
      <c r="L1146" s="260">
        <v>0</v>
      </c>
      <c r="M1146" s="260">
        <v>0</v>
      </c>
      <c r="N1146" s="260">
        <v>0</v>
      </c>
      <c r="O1146" s="261">
        <v>153600</v>
      </c>
      <c r="P1146" s="261">
        <v>62178</v>
      </c>
      <c r="Q1146" s="261">
        <v>0</v>
      </c>
      <c r="R1146" s="261">
        <v>0</v>
      </c>
      <c r="S1146">
        <v>215778</v>
      </c>
      <c r="T1146">
        <v>0</v>
      </c>
    </row>
    <row r="1147" spans="1:20">
      <c r="A1147" t="s">
        <v>18902</v>
      </c>
      <c r="B1147">
        <v>44929</v>
      </c>
      <c r="C1147" t="s">
        <v>17304</v>
      </c>
      <c r="D1147" t="s">
        <v>17305</v>
      </c>
      <c r="E1147">
        <v>0</v>
      </c>
      <c r="F1147">
        <v>82293.146999999997</v>
      </c>
      <c r="G1147" s="259">
        <v>0</v>
      </c>
      <c r="H1147" s="259">
        <v>34234.345995360003</v>
      </c>
      <c r="I1147" s="259">
        <v>0</v>
      </c>
      <c r="J1147" s="259">
        <v>22087.927645679996</v>
      </c>
      <c r="K1147" s="260">
        <v>0</v>
      </c>
      <c r="L1147" s="260">
        <v>22563.73958233208</v>
      </c>
      <c r="M1147" s="260">
        <v>0</v>
      </c>
      <c r="N1147" s="260">
        <v>3421.9591486679205</v>
      </c>
      <c r="O1147" s="261">
        <v>0</v>
      </c>
      <c r="P1147" s="261">
        <v>56798.08557769208</v>
      </c>
      <c r="Q1147" s="261">
        <v>0</v>
      </c>
      <c r="R1147" s="261">
        <v>25509.886794347916</v>
      </c>
      <c r="S1147">
        <v>82307.972372039992</v>
      </c>
      <c r="T1147">
        <v>-14.825372039995273</v>
      </c>
    </row>
    <row r="1148" spans="1:20">
      <c r="A1148" t="s">
        <v>18903</v>
      </c>
      <c r="B1148">
        <v>44929</v>
      </c>
      <c r="C1148" t="s">
        <v>16560</v>
      </c>
      <c r="D1148" t="s">
        <v>16561</v>
      </c>
      <c r="E1148">
        <v>0</v>
      </c>
      <c r="F1148">
        <v>679289.47</v>
      </c>
      <c r="G1148" s="259">
        <v>0</v>
      </c>
      <c r="H1148" s="259">
        <v>564958.46999999986</v>
      </c>
      <c r="I1148" s="259">
        <v>114331.00000000001</v>
      </c>
      <c r="J1148" s="259">
        <v>0</v>
      </c>
      <c r="K1148" s="260">
        <v>0</v>
      </c>
      <c r="L1148" s="260">
        <v>0</v>
      </c>
      <c r="M1148" s="260">
        <v>0</v>
      </c>
      <c r="N1148" s="260">
        <v>0</v>
      </c>
      <c r="O1148" s="261">
        <v>0</v>
      </c>
      <c r="P1148" s="261">
        <v>564958.46999999986</v>
      </c>
      <c r="Q1148" s="261">
        <v>114331.00000000001</v>
      </c>
      <c r="R1148" s="261">
        <v>0</v>
      </c>
      <c r="S1148">
        <v>679289.46999999986</v>
      </c>
      <c r="T1148">
        <v>0</v>
      </c>
    </row>
    <row r="1149" spans="1:20">
      <c r="A1149" t="s">
        <v>18904</v>
      </c>
      <c r="B1149">
        <v>44930</v>
      </c>
      <c r="C1149" t="s">
        <v>17297</v>
      </c>
      <c r="D1149" t="s">
        <v>18568</v>
      </c>
      <c r="E1149">
        <v>0</v>
      </c>
      <c r="F1149">
        <v>65352</v>
      </c>
      <c r="G1149" s="259">
        <v>19080</v>
      </c>
      <c r="H1149" s="259">
        <v>46272</v>
      </c>
      <c r="I1149" s="259">
        <v>0</v>
      </c>
      <c r="J1149" s="259">
        <v>0</v>
      </c>
      <c r="K1149" s="260">
        <v>0</v>
      </c>
      <c r="L1149" s="260">
        <v>0</v>
      </c>
      <c r="M1149" s="260">
        <v>0</v>
      </c>
      <c r="N1149" s="260">
        <v>0</v>
      </c>
      <c r="O1149" s="261">
        <v>19080</v>
      </c>
      <c r="P1149" s="261">
        <v>46272</v>
      </c>
      <c r="Q1149" s="261">
        <v>0</v>
      </c>
      <c r="R1149" s="261">
        <v>0</v>
      </c>
      <c r="S1149">
        <v>65352</v>
      </c>
      <c r="T1149">
        <v>0</v>
      </c>
    </row>
    <row r="1150" spans="1:20">
      <c r="A1150" t="s">
        <v>18905</v>
      </c>
      <c r="B1150">
        <v>44935</v>
      </c>
      <c r="C1150" t="s">
        <v>17309</v>
      </c>
      <c r="D1150" t="s">
        <v>18704</v>
      </c>
      <c r="E1150">
        <v>0</v>
      </c>
      <c r="F1150">
        <v>253920</v>
      </c>
      <c r="G1150" s="259">
        <v>0</v>
      </c>
      <c r="H1150" s="259">
        <v>253920</v>
      </c>
      <c r="I1150" s="259">
        <v>0</v>
      </c>
      <c r="J1150" s="259">
        <v>0</v>
      </c>
      <c r="K1150" s="260">
        <v>0</v>
      </c>
      <c r="L1150" s="260">
        <v>0</v>
      </c>
      <c r="M1150" s="260">
        <v>0</v>
      </c>
      <c r="N1150" s="260">
        <v>0</v>
      </c>
      <c r="O1150" s="261">
        <v>0</v>
      </c>
      <c r="P1150" s="261">
        <v>253920</v>
      </c>
      <c r="Q1150" s="261">
        <v>0</v>
      </c>
      <c r="R1150" s="261">
        <v>0</v>
      </c>
      <c r="S1150">
        <v>253920</v>
      </c>
      <c r="T1150">
        <v>0</v>
      </c>
    </row>
    <row r="1151" spans="1:20">
      <c r="A1151" t="s">
        <v>18906</v>
      </c>
      <c r="B1151">
        <v>44936</v>
      </c>
      <c r="C1151" t="s">
        <v>16904</v>
      </c>
      <c r="D1151" t="s">
        <v>16905</v>
      </c>
      <c r="E1151">
        <v>0</v>
      </c>
      <c r="F1151">
        <v>83290.627000000008</v>
      </c>
      <c r="G1151" s="259">
        <v>0</v>
      </c>
      <c r="H1151" s="259">
        <v>69831.1152</v>
      </c>
      <c r="I1151" s="259">
        <v>0</v>
      </c>
      <c r="J1151" s="259">
        <v>0</v>
      </c>
      <c r="K1151" s="260">
        <v>0</v>
      </c>
      <c r="L1151" s="260">
        <v>13459.512000000001</v>
      </c>
      <c r="M1151" s="260">
        <v>0</v>
      </c>
      <c r="N1151" s="260">
        <v>0</v>
      </c>
      <c r="O1151" s="261">
        <v>0</v>
      </c>
      <c r="P1151" s="261">
        <v>83290.627200000003</v>
      </c>
      <c r="Q1151" s="261">
        <v>0</v>
      </c>
      <c r="R1151" s="261">
        <v>0</v>
      </c>
      <c r="S1151">
        <v>83290.627200000003</v>
      </c>
      <c r="T1151">
        <v>-1.9999999494757503E-4</v>
      </c>
    </row>
    <row r="1152" spans="1:20">
      <c r="A1152" t="s">
        <v>18907</v>
      </c>
      <c r="B1152">
        <v>44942</v>
      </c>
      <c r="C1152" t="s">
        <v>17340</v>
      </c>
      <c r="D1152" t="s">
        <v>18908</v>
      </c>
      <c r="E1152">
        <v>0</v>
      </c>
      <c r="F1152">
        <v>183742.079</v>
      </c>
      <c r="G1152" s="259">
        <v>0</v>
      </c>
      <c r="H1152" s="259">
        <v>64224.768089999998</v>
      </c>
      <c r="I1152" s="259">
        <v>119517.3112</v>
      </c>
      <c r="J1152" s="259">
        <v>0</v>
      </c>
      <c r="K1152" s="260">
        <v>0</v>
      </c>
      <c r="L1152" s="260">
        <v>0</v>
      </c>
      <c r="M1152" s="260">
        <v>0</v>
      </c>
      <c r="N1152" s="260">
        <v>0</v>
      </c>
      <c r="O1152" s="261">
        <v>0</v>
      </c>
      <c r="P1152" s="261">
        <v>64224.768089999998</v>
      </c>
      <c r="Q1152" s="261">
        <v>119517.3112</v>
      </c>
      <c r="R1152" s="261">
        <v>0</v>
      </c>
      <c r="S1152">
        <v>183742.07928999999</v>
      </c>
      <c r="T1152">
        <v>-2.899999963119626E-4</v>
      </c>
    </row>
    <row r="1153" spans="1:20">
      <c r="A1153" t="s">
        <v>18909</v>
      </c>
      <c r="B1153">
        <v>44958</v>
      </c>
      <c r="C1153" t="s">
        <v>17323</v>
      </c>
      <c r="D1153" t="s">
        <v>18722</v>
      </c>
      <c r="E1153">
        <v>0</v>
      </c>
      <c r="F1153">
        <v>57007.885999999999</v>
      </c>
      <c r="G1153" s="259">
        <v>57007.886399999996</v>
      </c>
      <c r="H1153" s="259">
        <v>0</v>
      </c>
      <c r="I1153" s="259">
        <v>0</v>
      </c>
      <c r="J1153" s="259">
        <v>0</v>
      </c>
      <c r="K1153" s="260">
        <v>0</v>
      </c>
      <c r="L1153" s="260">
        <v>0</v>
      </c>
      <c r="M1153" s="260">
        <v>0</v>
      </c>
      <c r="N1153" s="260">
        <v>0</v>
      </c>
      <c r="O1153" s="261">
        <v>57007.886399999996</v>
      </c>
      <c r="P1153" s="261">
        <v>0</v>
      </c>
      <c r="Q1153" s="261">
        <v>0</v>
      </c>
      <c r="R1153" s="261">
        <v>0</v>
      </c>
      <c r="S1153">
        <v>57007.886399999996</v>
      </c>
      <c r="T1153">
        <v>-3.9999999717110768E-4</v>
      </c>
    </row>
    <row r="1154" spans="1:20">
      <c r="A1154" t="s">
        <v>18910</v>
      </c>
      <c r="B1154">
        <v>44943</v>
      </c>
      <c r="C1154" t="s">
        <v>16444</v>
      </c>
      <c r="D1154" t="s">
        <v>16445</v>
      </c>
      <c r="E1154">
        <v>0</v>
      </c>
      <c r="F1154">
        <v>116500</v>
      </c>
      <c r="G1154" s="259">
        <v>0</v>
      </c>
      <c r="H1154" s="259">
        <v>116500</v>
      </c>
      <c r="I1154" s="259">
        <v>0</v>
      </c>
      <c r="J1154" s="259">
        <v>0</v>
      </c>
      <c r="K1154" s="260">
        <v>0</v>
      </c>
      <c r="L1154" s="260">
        <v>0</v>
      </c>
      <c r="M1154" s="260">
        <v>0</v>
      </c>
      <c r="N1154" s="260">
        <v>0</v>
      </c>
      <c r="O1154" s="261">
        <v>0</v>
      </c>
      <c r="P1154" s="261">
        <v>116500</v>
      </c>
      <c r="Q1154" s="261">
        <v>0</v>
      </c>
      <c r="R1154" s="261">
        <v>0</v>
      </c>
      <c r="S1154">
        <v>116500</v>
      </c>
      <c r="T1154">
        <v>0</v>
      </c>
    </row>
    <row r="1155" spans="1:20">
      <c r="A1155" t="s">
        <v>18911</v>
      </c>
      <c r="B1155">
        <v>44943</v>
      </c>
      <c r="C1155" t="s">
        <v>16444</v>
      </c>
      <c r="D1155" t="s">
        <v>16445</v>
      </c>
      <c r="E1155">
        <v>0</v>
      </c>
      <c r="F1155">
        <v>56592</v>
      </c>
      <c r="G1155" s="259">
        <v>56592</v>
      </c>
      <c r="H1155" s="259">
        <v>0</v>
      </c>
      <c r="I1155" s="259">
        <v>0</v>
      </c>
      <c r="J1155" s="259">
        <v>0</v>
      </c>
      <c r="K1155" s="260">
        <v>0</v>
      </c>
      <c r="L1155" s="260">
        <v>0</v>
      </c>
      <c r="M1155" s="260">
        <v>0</v>
      </c>
      <c r="N1155" s="260">
        <v>0</v>
      </c>
      <c r="O1155" s="261">
        <v>56592</v>
      </c>
      <c r="P1155" s="261">
        <v>0</v>
      </c>
      <c r="Q1155" s="261">
        <v>0</v>
      </c>
      <c r="R1155" s="261">
        <v>0</v>
      </c>
      <c r="S1155">
        <v>56592</v>
      </c>
      <c r="T1155">
        <v>0</v>
      </c>
    </row>
    <row r="1156" spans="1:20">
      <c r="A1156" t="s">
        <v>18912</v>
      </c>
      <c r="B1156">
        <v>44943</v>
      </c>
      <c r="C1156" t="s">
        <v>16444</v>
      </c>
      <c r="D1156" t="s">
        <v>16445</v>
      </c>
      <c r="E1156">
        <v>0</v>
      </c>
      <c r="F1156">
        <v>57220.800000000003</v>
      </c>
      <c r="G1156" s="259">
        <v>57220.800000000003</v>
      </c>
      <c r="H1156" s="259">
        <v>0</v>
      </c>
      <c r="I1156" s="259">
        <v>0</v>
      </c>
      <c r="J1156" s="259">
        <v>0</v>
      </c>
      <c r="K1156" s="260">
        <v>0</v>
      </c>
      <c r="L1156" s="260">
        <v>0</v>
      </c>
      <c r="M1156" s="260">
        <v>0</v>
      </c>
      <c r="N1156" s="260">
        <v>0</v>
      </c>
      <c r="O1156" s="261">
        <v>57220.800000000003</v>
      </c>
      <c r="P1156" s="261">
        <v>0</v>
      </c>
      <c r="Q1156" s="261">
        <v>0</v>
      </c>
      <c r="R1156" s="261">
        <v>0</v>
      </c>
      <c r="S1156">
        <v>57220.800000000003</v>
      </c>
      <c r="T1156">
        <v>0</v>
      </c>
    </row>
    <row r="1157" spans="1:20">
      <c r="A1157" t="s">
        <v>18913</v>
      </c>
      <c r="B1157">
        <v>44943</v>
      </c>
      <c r="C1157" t="s">
        <v>16904</v>
      </c>
      <c r="D1157" t="s">
        <v>16905</v>
      </c>
      <c r="E1157">
        <v>0</v>
      </c>
      <c r="F1157">
        <v>102809.435</v>
      </c>
      <c r="G1157" s="259">
        <v>0</v>
      </c>
      <c r="H1157" s="259">
        <v>65525.769791999999</v>
      </c>
      <c r="I1157" s="259">
        <v>23815.9935</v>
      </c>
      <c r="J1157" s="259">
        <v>0</v>
      </c>
      <c r="K1157" s="260">
        <v>0</v>
      </c>
      <c r="L1157" s="260">
        <v>9828.5474863813233</v>
      </c>
      <c r="M1157" s="260">
        <v>3639.1245136186772</v>
      </c>
      <c r="N1157" s="260">
        <v>0</v>
      </c>
      <c r="O1157" s="261">
        <v>0</v>
      </c>
      <c r="P1157" s="261">
        <v>75354.317278381321</v>
      </c>
      <c r="Q1157" s="261">
        <v>27455.118013618678</v>
      </c>
      <c r="R1157" s="261">
        <v>0</v>
      </c>
      <c r="S1157">
        <v>102809.43529199999</v>
      </c>
      <c r="T1157">
        <v>-2.9199999698903412E-4</v>
      </c>
    </row>
    <row r="1158" spans="1:20">
      <c r="A1158" t="s">
        <v>18914</v>
      </c>
      <c r="B1158">
        <v>44944</v>
      </c>
      <c r="C1158" t="s">
        <v>16444</v>
      </c>
      <c r="D1158" t="s">
        <v>16445</v>
      </c>
      <c r="E1158">
        <v>0</v>
      </c>
      <c r="F1158">
        <v>115344</v>
      </c>
      <c r="G1158" s="259">
        <v>115344</v>
      </c>
      <c r="H1158" s="259">
        <v>0</v>
      </c>
      <c r="I1158" s="259">
        <v>0</v>
      </c>
      <c r="J1158" s="259">
        <v>0</v>
      </c>
      <c r="K1158" s="260">
        <v>0</v>
      </c>
      <c r="L1158" s="260">
        <v>0</v>
      </c>
      <c r="M1158" s="260">
        <v>0</v>
      </c>
      <c r="N1158" s="260">
        <v>0</v>
      </c>
      <c r="O1158" s="261">
        <v>115344</v>
      </c>
      <c r="P1158" s="261">
        <v>0</v>
      </c>
      <c r="Q1158" s="261">
        <v>0</v>
      </c>
      <c r="R1158" s="261">
        <v>0</v>
      </c>
      <c r="S1158">
        <v>115344</v>
      </c>
      <c r="T1158">
        <v>0</v>
      </c>
    </row>
    <row r="1159" spans="1:20">
      <c r="A1159" t="s">
        <v>18915</v>
      </c>
      <c r="B1159">
        <v>44944</v>
      </c>
      <c r="C1159" t="s">
        <v>16560</v>
      </c>
      <c r="D1159" t="s">
        <v>16561</v>
      </c>
      <c r="E1159">
        <v>0</v>
      </c>
      <c r="F1159">
        <v>244191.02399999998</v>
      </c>
      <c r="G1159" s="259">
        <v>0</v>
      </c>
      <c r="H1159" s="259">
        <v>0</v>
      </c>
      <c r="I1159" s="259">
        <v>244191.02399999998</v>
      </c>
      <c r="J1159" s="259">
        <v>0</v>
      </c>
      <c r="K1159" s="260">
        <v>0</v>
      </c>
      <c r="L1159" s="260">
        <v>0</v>
      </c>
      <c r="M1159" s="260">
        <v>0</v>
      </c>
      <c r="N1159" s="260">
        <v>0</v>
      </c>
      <c r="O1159" s="261">
        <v>0</v>
      </c>
      <c r="P1159" s="261">
        <v>0</v>
      </c>
      <c r="Q1159" s="261">
        <v>244191.02399999998</v>
      </c>
      <c r="R1159" s="261">
        <v>0</v>
      </c>
      <c r="S1159">
        <v>244191.02399999998</v>
      </c>
      <c r="T1159">
        <v>0</v>
      </c>
    </row>
    <row r="1160" spans="1:20">
      <c r="A1160" t="s">
        <v>18916</v>
      </c>
      <c r="B1160">
        <v>44958</v>
      </c>
      <c r="C1160" t="s">
        <v>17332</v>
      </c>
      <c r="D1160" t="s">
        <v>18794</v>
      </c>
      <c r="E1160">
        <v>0</v>
      </c>
      <c r="F1160">
        <v>638991.35999999999</v>
      </c>
      <c r="G1160" s="259">
        <v>0</v>
      </c>
      <c r="H1160" s="259">
        <v>473510.88</v>
      </c>
      <c r="I1160" s="259">
        <v>165480.48000000001</v>
      </c>
      <c r="J1160" s="259">
        <v>0</v>
      </c>
      <c r="K1160" s="260">
        <v>0</v>
      </c>
      <c r="L1160" s="260">
        <v>0</v>
      </c>
      <c r="M1160" s="260">
        <v>0</v>
      </c>
      <c r="N1160" s="260">
        <v>0</v>
      </c>
      <c r="O1160" s="261">
        <v>0</v>
      </c>
      <c r="P1160" s="261">
        <v>473510.88</v>
      </c>
      <c r="Q1160" s="261">
        <v>165480.48000000001</v>
      </c>
      <c r="R1160" s="261">
        <v>0</v>
      </c>
      <c r="S1160">
        <v>638991.35999999999</v>
      </c>
      <c r="T1160">
        <v>0</v>
      </c>
    </row>
    <row r="1161" spans="1:20">
      <c r="A1161" t="s">
        <v>18917</v>
      </c>
      <c r="B1161">
        <v>44951</v>
      </c>
      <c r="C1161" t="s">
        <v>17017</v>
      </c>
      <c r="D1161" t="s">
        <v>17430</v>
      </c>
      <c r="E1161">
        <v>0</v>
      </c>
      <c r="F1161">
        <v>71796</v>
      </c>
      <c r="G1161" s="259">
        <v>0</v>
      </c>
      <c r="H1161" s="259">
        <v>61380</v>
      </c>
      <c r="I1161" s="259">
        <v>10416</v>
      </c>
      <c r="J1161" s="259">
        <v>0</v>
      </c>
      <c r="K1161" s="260">
        <v>0</v>
      </c>
      <c r="L1161" s="260">
        <v>0</v>
      </c>
      <c r="M1161" s="260">
        <v>0</v>
      </c>
      <c r="N1161" s="260">
        <v>0</v>
      </c>
      <c r="O1161" s="261">
        <v>0</v>
      </c>
      <c r="P1161" s="261">
        <v>61380</v>
      </c>
      <c r="Q1161" s="261">
        <v>10416</v>
      </c>
      <c r="R1161" s="261">
        <v>0</v>
      </c>
      <c r="S1161">
        <v>71796</v>
      </c>
      <c r="T1161">
        <v>0</v>
      </c>
    </row>
    <row r="1162" spans="1:20">
      <c r="A1162" t="s">
        <v>18918</v>
      </c>
      <c r="B1162">
        <v>44951</v>
      </c>
      <c r="C1162" t="s">
        <v>16838</v>
      </c>
      <c r="D1162" t="s">
        <v>16839</v>
      </c>
      <c r="E1162">
        <v>0</v>
      </c>
      <c r="F1162">
        <v>126280</v>
      </c>
      <c r="G1162" s="259">
        <v>0</v>
      </c>
      <c r="H1162" s="259">
        <v>0</v>
      </c>
      <c r="I1162" s="259">
        <v>126280</v>
      </c>
      <c r="J1162" s="259">
        <v>0</v>
      </c>
      <c r="K1162" s="260">
        <v>0</v>
      </c>
      <c r="L1162" s="260">
        <v>0</v>
      </c>
      <c r="M1162" s="260">
        <v>0</v>
      </c>
      <c r="N1162" s="260">
        <v>0</v>
      </c>
      <c r="O1162" s="261">
        <v>0</v>
      </c>
      <c r="P1162" s="261">
        <v>0</v>
      </c>
      <c r="Q1162" s="261">
        <v>126280</v>
      </c>
      <c r="R1162" s="261">
        <v>0</v>
      </c>
      <c r="S1162">
        <v>126280</v>
      </c>
      <c r="T1162">
        <v>0</v>
      </c>
    </row>
    <row r="1163" spans="1:20">
      <c r="A1163" t="s">
        <v>18919</v>
      </c>
      <c r="B1163">
        <v>44951</v>
      </c>
      <c r="C1163" t="s">
        <v>16384</v>
      </c>
      <c r="D1163" t="s">
        <v>16385</v>
      </c>
      <c r="E1163">
        <v>0</v>
      </c>
      <c r="F1163">
        <v>190546.8</v>
      </c>
      <c r="G1163" s="259">
        <v>43680</v>
      </c>
      <c r="H1163" s="259">
        <v>130386.8</v>
      </c>
      <c r="I1163" s="259">
        <v>12480</v>
      </c>
      <c r="J1163" s="259">
        <v>4000</v>
      </c>
      <c r="K1163" s="260">
        <v>0</v>
      </c>
      <c r="L1163" s="260">
        <v>0</v>
      </c>
      <c r="M1163" s="260">
        <v>0</v>
      </c>
      <c r="N1163" s="260">
        <v>0</v>
      </c>
      <c r="O1163" s="261">
        <v>43680</v>
      </c>
      <c r="P1163" s="261">
        <v>130386.8</v>
      </c>
      <c r="Q1163" s="261">
        <v>12480</v>
      </c>
      <c r="R1163" s="261">
        <v>4000</v>
      </c>
      <c r="S1163">
        <v>190546.8</v>
      </c>
      <c r="T1163">
        <v>0</v>
      </c>
    </row>
    <row r="1164" spans="1:20">
      <c r="A1164" t="s">
        <v>18920</v>
      </c>
      <c r="B1164">
        <v>44958</v>
      </c>
      <c r="C1164" t="s">
        <v>17332</v>
      </c>
      <c r="D1164" t="s">
        <v>18794</v>
      </c>
      <c r="E1164">
        <v>0</v>
      </c>
      <c r="F1164">
        <v>88320</v>
      </c>
      <c r="G1164" s="259">
        <v>88320</v>
      </c>
      <c r="H1164" s="259">
        <v>0</v>
      </c>
      <c r="I1164" s="259">
        <v>0</v>
      </c>
      <c r="J1164" s="259">
        <v>0</v>
      </c>
      <c r="K1164" s="260">
        <v>0</v>
      </c>
      <c r="L1164" s="260">
        <v>0</v>
      </c>
      <c r="M1164" s="260">
        <v>0</v>
      </c>
      <c r="N1164" s="260">
        <v>0</v>
      </c>
      <c r="O1164" s="261">
        <v>88320</v>
      </c>
      <c r="P1164" s="261">
        <v>0</v>
      </c>
      <c r="Q1164" s="261">
        <v>0</v>
      </c>
      <c r="R1164" s="261">
        <v>0</v>
      </c>
      <c r="S1164">
        <v>88320</v>
      </c>
      <c r="T1164">
        <v>0</v>
      </c>
    </row>
    <row r="1165" spans="1:20">
      <c r="A1165" t="s">
        <v>18921</v>
      </c>
      <c r="B1165">
        <v>44986</v>
      </c>
      <c r="C1165" t="s">
        <v>17332</v>
      </c>
      <c r="D1165" t="s">
        <v>18794</v>
      </c>
      <c r="E1165">
        <v>0</v>
      </c>
      <c r="F1165">
        <v>226007.23199999999</v>
      </c>
      <c r="G1165" s="259">
        <v>226007.23199999999</v>
      </c>
      <c r="H1165" s="259">
        <v>0</v>
      </c>
      <c r="I1165" s="259">
        <v>0</v>
      </c>
      <c r="J1165" s="259">
        <v>0</v>
      </c>
      <c r="K1165" s="260">
        <v>0</v>
      </c>
      <c r="L1165" s="260">
        <v>0</v>
      </c>
      <c r="M1165" s="260">
        <v>0</v>
      </c>
      <c r="N1165" s="260">
        <v>0</v>
      </c>
      <c r="O1165" s="261">
        <v>226007.23199999999</v>
      </c>
      <c r="P1165" s="261">
        <v>0</v>
      </c>
      <c r="Q1165" s="261">
        <v>0</v>
      </c>
      <c r="R1165" s="261">
        <v>0</v>
      </c>
      <c r="S1165">
        <v>226007.23199999999</v>
      </c>
      <c r="T1165">
        <v>0</v>
      </c>
    </row>
    <row r="1166" spans="1:20">
      <c r="A1166" t="s">
        <v>18922</v>
      </c>
      <c r="B1166">
        <v>44958</v>
      </c>
      <c r="C1166" t="s">
        <v>17017</v>
      </c>
      <c r="D1166" t="s">
        <v>17430</v>
      </c>
      <c r="E1166">
        <v>0</v>
      </c>
      <c r="F1166">
        <v>10169.6</v>
      </c>
      <c r="G1166" s="259">
        <v>0</v>
      </c>
      <c r="H1166" s="259">
        <v>10169.6</v>
      </c>
      <c r="I1166" s="259">
        <v>0</v>
      </c>
      <c r="J1166" s="259">
        <v>0</v>
      </c>
      <c r="K1166" s="260">
        <v>0</v>
      </c>
      <c r="L1166" s="260">
        <v>0</v>
      </c>
      <c r="M1166" s="260">
        <v>0</v>
      </c>
      <c r="N1166" s="260">
        <v>0</v>
      </c>
      <c r="O1166" s="261">
        <v>0</v>
      </c>
      <c r="P1166" s="261">
        <v>10169.6</v>
      </c>
      <c r="Q1166" s="261">
        <v>0</v>
      </c>
      <c r="R1166" s="261">
        <v>0</v>
      </c>
      <c r="S1166">
        <v>10169.6</v>
      </c>
      <c r="T1166">
        <v>0</v>
      </c>
    </row>
    <row r="1167" spans="1:20">
      <c r="A1167" t="s">
        <v>18923</v>
      </c>
      <c r="B1167">
        <v>44958</v>
      </c>
      <c r="C1167" t="s">
        <v>17226</v>
      </c>
      <c r="D1167" t="s">
        <v>17891</v>
      </c>
      <c r="E1167">
        <v>0</v>
      </c>
      <c r="F1167">
        <v>126600</v>
      </c>
      <c r="G1167" s="259">
        <v>126600</v>
      </c>
      <c r="H1167" s="259">
        <v>0</v>
      </c>
      <c r="I1167" s="259">
        <v>0</v>
      </c>
      <c r="J1167" s="259">
        <v>0</v>
      </c>
      <c r="K1167" s="260">
        <v>0</v>
      </c>
      <c r="L1167" s="260">
        <v>0</v>
      </c>
      <c r="M1167" s="260">
        <v>0</v>
      </c>
      <c r="N1167" s="260">
        <v>0</v>
      </c>
      <c r="O1167" s="261">
        <v>126600</v>
      </c>
      <c r="P1167" s="261">
        <v>0</v>
      </c>
      <c r="Q1167" s="261">
        <v>0</v>
      </c>
      <c r="R1167" s="261">
        <v>0</v>
      </c>
      <c r="S1167">
        <v>126600</v>
      </c>
      <c r="T1167">
        <v>0</v>
      </c>
    </row>
    <row r="1168" spans="1:20">
      <c r="A1168" t="s">
        <v>18924</v>
      </c>
      <c r="B1168">
        <v>44959</v>
      </c>
      <c r="C1168" t="s">
        <v>16444</v>
      </c>
      <c r="D1168" t="s">
        <v>16445</v>
      </c>
      <c r="E1168">
        <v>0</v>
      </c>
      <c r="F1168">
        <v>143690.4</v>
      </c>
      <c r="G1168" s="259">
        <v>95718</v>
      </c>
      <c r="H1168" s="259">
        <v>47972.4</v>
      </c>
      <c r="I1168" s="259">
        <v>0</v>
      </c>
      <c r="J1168" s="259">
        <v>0</v>
      </c>
      <c r="K1168" s="260">
        <v>0</v>
      </c>
      <c r="L1168" s="260">
        <v>0</v>
      </c>
      <c r="M1168" s="260">
        <v>0</v>
      </c>
      <c r="N1168" s="260">
        <v>0</v>
      </c>
      <c r="O1168" s="261">
        <v>95718</v>
      </c>
      <c r="P1168" s="261">
        <v>47972.4</v>
      </c>
      <c r="Q1168" s="261">
        <v>0</v>
      </c>
      <c r="R1168" s="261">
        <v>0</v>
      </c>
      <c r="S1168">
        <v>143690.4</v>
      </c>
      <c r="T1168">
        <v>0</v>
      </c>
    </row>
    <row r="1169" spans="1:20">
      <c r="A1169" t="s">
        <v>18925</v>
      </c>
      <c r="B1169">
        <v>44963</v>
      </c>
      <c r="C1169" t="s">
        <v>16384</v>
      </c>
      <c r="D1169" t="s">
        <v>16385</v>
      </c>
      <c r="E1169">
        <v>0</v>
      </c>
      <c r="F1169">
        <v>152640</v>
      </c>
      <c r="G1169" s="259">
        <v>152640</v>
      </c>
      <c r="H1169" s="259">
        <v>0</v>
      </c>
      <c r="I1169" s="259">
        <v>0</v>
      </c>
      <c r="J1169" s="259">
        <v>0</v>
      </c>
      <c r="K1169" s="260">
        <v>0</v>
      </c>
      <c r="L1169" s="260">
        <v>0</v>
      </c>
      <c r="M1169" s="260">
        <v>0</v>
      </c>
      <c r="N1169" s="260">
        <v>0</v>
      </c>
      <c r="O1169" s="261">
        <v>152640</v>
      </c>
      <c r="P1169" s="261">
        <v>0</v>
      </c>
      <c r="Q1169" s="261">
        <v>0</v>
      </c>
      <c r="R1169" s="261">
        <v>0</v>
      </c>
      <c r="S1169">
        <v>152640</v>
      </c>
      <c r="T1169">
        <v>0</v>
      </c>
    </row>
    <row r="1170" spans="1:20">
      <c r="A1170" t="s">
        <v>18926</v>
      </c>
      <c r="B1170">
        <v>44964</v>
      </c>
      <c r="C1170" t="s">
        <v>16384</v>
      </c>
      <c r="D1170" t="s">
        <v>16385</v>
      </c>
      <c r="E1170">
        <v>0</v>
      </c>
      <c r="F1170">
        <v>251937.6</v>
      </c>
      <c r="G1170" s="259">
        <v>203520</v>
      </c>
      <c r="H1170" s="259">
        <v>48417.599999999999</v>
      </c>
      <c r="I1170" s="259">
        <v>0</v>
      </c>
      <c r="J1170" s="259">
        <v>0</v>
      </c>
      <c r="K1170" s="260">
        <v>0</v>
      </c>
      <c r="L1170" s="260">
        <v>0</v>
      </c>
      <c r="M1170" s="260">
        <v>0</v>
      </c>
      <c r="N1170" s="260">
        <v>0</v>
      </c>
      <c r="O1170" s="261">
        <v>203520</v>
      </c>
      <c r="P1170" s="261">
        <v>48417.599999999999</v>
      </c>
      <c r="Q1170" s="261">
        <v>0</v>
      </c>
      <c r="R1170" s="261">
        <v>0</v>
      </c>
      <c r="S1170">
        <v>251937.6</v>
      </c>
      <c r="T1170">
        <v>0</v>
      </c>
    </row>
    <row r="1171" spans="1:20">
      <c r="A1171" t="s">
        <v>18927</v>
      </c>
      <c r="B1171">
        <v>44965</v>
      </c>
      <c r="C1171" t="s">
        <v>17017</v>
      </c>
      <c r="D1171" t="s">
        <v>17430</v>
      </c>
      <c r="E1171">
        <v>0</v>
      </c>
      <c r="F1171">
        <v>61000</v>
      </c>
      <c r="G1171" s="259">
        <v>0</v>
      </c>
      <c r="H1171" s="259">
        <v>61000</v>
      </c>
      <c r="I1171" s="259">
        <v>0</v>
      </c>
      <c r="J1171" s="259">
        <v>0</v>
      </c>
      <c r="K1171" s="260">
        <v>0</v>
      </c>
      <c r="L1171" s="260">
        <v>0</v>
      </c>
      <c r="M1171" s="260">
        <v>0</v>
      </c>
      <c r="N1171" s="260">
        <v>0</v>
      </c>
      <c r="O1171" s="261">
        <v>0</v>
      </c>
      <c r="P1171" s="261">
        <v>61000</v>
      </c>
      <c r="Q1171" s="261">
        <v>0</v>
      </c>
      <c r="R1171" s="261">
        <v>0</v>
      </c>
      <c r="S1171">
        <v>61000</v>
      </c>
      <c r="T1171">
        <v>0</v>
      </c>
    </row>
    <row r="1172" spans="1:20">
      <c r="A1172" t="s">
        <v>18928</v>
      </c>
      <c r="B1172">
        <v>44986</v>
      </c>
      <c r="C1172" t="s">
        <v>16783</v>
      </c>
      <c r="D1172" t="s">
        <v>17509</v>
      </c>
      <c r="E1172">
        <v>0</v>
      </c>
      <c r="F1172">
        <v>502217.03600000002</v>
      </c>
      <c r="G1172" s="259">
        <v>63987.148799999995</v>
      </c>
      <c r="H1172" s="259">
        <v>48369.915000000001</v>
      </c>
      <c r="I1172" s="259">
        <v>0</v>
      </c>
      <c r="J1172" s="259">
        <v>389859.97200000001</v>
      </c>
      <c r="K1172" s="260">
        <v>0</v>
      </c>
      <c r="L1172" s="260">
        <v>0</v>
      </c>
      <c r="M1172" s="260">
        <v>0</v>
      </c>
      <c r="N1172" s="260">
        <v>0</v>
      </c>
      <c r="O1172" s="261">
        <v>63987.148799999995</v>
      </c>
      <c r="P1172" s="261">
        <v>48369.915000000001</v>
      </c>
      <c r="Q1172" s="261">
        <v>0</v>
      </c>
      <c r="R1172" s="261">
        <v>389859.97200000001</v>
      </c>
      <c r="S1172">
        <v>502217.03580000001</v>
      </c>
      <c r="T1172">
        <v>2.0000000949949026E-4</v>
      </c>
    </row>
    <row r="1173" spans="1:20">
      <c r="A1173" t="s">
        <v>18929</v>
      </c>
      <c r="B1173">
        <v>44966</v>
      </c>
      <c r="C1173" t="s">
        <v>16880</v>
      </c>
      <c r="D1173" t="s">
        <v>16881</v>
      </c>
      <c r="E1173">
        <v>0</v>
      </c>
      <c r="F1173">
        <v>95432.253000000012</v>
      </c>
      <c r="G1173" s="259">
        <v>19359.882465800001</v>
      </c>
      <c r="H1173" s="259">
        <v>76072.271855100014</v>
      </c>
      <c r="I1173" s="259">
        <v>0</v>
      </c>
      <c r="J1173" s="259">
        <v>0</v>
      </c>
      <c r="K1173" s="260">
        <v>0</v>
      </c>
      <c r="L1173" s="260">
        <v>0</v>
      </c>
      <c r="M1173" s="260">
        <v>0</v>
      </c>
      <c r="N1173" s="260">
        <v>0</v>
      </c>
      <c r="O1173" s="261">
        <v>19359.882465800001</v>
      </c>
      <c r="P1173" s="261">
        <v>76072.271855100014</v>
      </c>
      <c r="Q1173" s="261">
        <v>0</v>
      </c>
      <c r="R1173" s="261">
        <v>0</v>
      </c>
      <c r="S1173">
        <v>95432.154320900008</v>
      </c>
      <c r="T1173">
        <v>9.8679100003209896E-2</v>
      </c>
    </row>
    <row r="1174" spans="1:20">
      <c r="A1174" t="s">
        <v>18930</v>
      </c>
      <c r="B1174">
        <v>44966</v>
      </c>
      <c r="C1174" t="s">
        <v>16838</v>
      </c>
      <c r="D1174" t="s">
        <v>16839</v>
      </c>
      <c r="E1174">
        <v>0</v>
      </c>
      <c r="F1174">
        <v>387340.79999999999</v>
      </c>
      <c r="G1174" s="259">
        <v>0</v>
      </c>
      <c r="H1174" s="259">
        <v>387340.79999999999</v>
      </c>
      <c r="I1174" s="259">
        <v>0</v>
      </c>
      <c r="J1174" s="259">
        <v>0</v>
      </c>
      <c r="K1174" s="260">
        <v>0</v>
      </c>
      <c r="L1174" s="260">
        <v>0</v>
      </c>
      <c r="M1174" s="260">
        <v>0</v>
      </c>
      <c r="N1174" s="260">
        <v>0</v>
      </c>
      <c r="O1174" s="261">
        <v>0</v>
      </c>
      <c r="P1174" s="261">
        <v>387340.79999999999</v>
      </c>
      <c r="Q1174" s="261">
        <v>0</v>
      </c>
      <c r="R1174" s="261">
        <v>0</v>
      </c>
      <c r="S1174">
        <v>387340.79999999999</v>
      </c>
      <c r="T1174">
        <v>0</v>
      </c>
    </row>
    <row r="1175" spans="1:20">
      <c r="A1175" t="s">
        <v>18931</v>
      </c>
      <c r="B1175">
        <v>44967</v>
      </c>
      <c r="C1175" t="s">
        <v>16444</v>
      </c>
      <c r="D1175" t="s">
        <v>16445</v>
      </c>
      <c r="E1175">
        <v>0</v>
      </c>
      <c r="F1175">
        <v>56460</v>
      </c>
      <c r="G1175" s="259">
        <v>56460</v>
      </c>
      <c r="H1175" s="259">
        <v>0</v>
      </c>
      <c r="I1175" s="259">
        <v>0</v>
      </c>
      <c r="J1175" s="259">
        <v>0</v>
      </c>
      <c r="K1175" s="260">
        <v>0</v>
      </c>
      <c r="L1175" s="260">
        <v>0</v>
      </c>
      <c r="M1175" s="260">
        <v>0</v>
      </c>
      <c r="N1175" s="260">
        <v>0</v>
      </c>
      <c r="O1175" s="261">
        <v>56460</v>
      </c>
      <c r="P1175" s="261">
        <v>0</v>
      </c>
      <c r="Q1175" s="261">
        <v>0</v>
      </c>
      <c r="R1175" s="261">
        <v>0</v>
      </c>
      <c r="S1175">
        <v>56460</v>
      </c>
      <c r="T1175">
        <v>0</v>
      </c>
    </row>
    <row r="1176" spans="1:20">
      <c r="A1176" t="s">
        <v>18932</v>
      </c>
      <c r="B1176">
        <v>44986</v>
      </c>
      <c r="C1176" t="s">
        <v>16957</v>
      </c>
      <c r="D1176" t="s">
        <v>17451</v>
      </c>
      <c r="E1176">
        <v>0</v>
      </c>
      <c r="F1176">
        <v>54584.587</v>
      </c>
      <c r="G1176" s="259">
        <v>54584.586875000001</v>
      </c>
      <c r="H1176" s="259">
        <v>0</v>
      </c>
      <c r="I1176" s="259">
        <v>0</v>
      </c>
      <c r="J1176" s="259">
        <v>0</v>
      </c>
      <c r="K1176" s="260">
        <v>0</v>
      </c>
      <c r="L1176" s="260">
        <v>0</v>
      </c>
      <c r="M1176" s="260">
        <v>0</v>
      </c>
      <c r="N1176" s="260">
        <v>0</v>
      </c>
      <c r="O1176" s="261">
        <v>54584.586875000001</v>
      </c>
      <c r="P1176" s="261">
        <v>0</v>
      </c>
      <c r="Q1176" s="261">
        <v>0</v>
      </c>
      <c r="R1176" s="261">
        <v>0</v>
      </c>
      <c r="S1176">
        <v>54584.586875000001</v>
      </c>
      <c r="T1176">
        <v>1.249999986612238E-4</v>
      </c>
    </row>
    <row r="1177" spans="1:20">
      <c r="A1177" t="s">
        <v>18933</v>
      </c>
      <c r="B1177">
        <v>44971</v>
      </c>
      <c r="C1177" t="s">
        <v>17209</v>
      </c>
      <c r="D1177" t="s">
        <v>17210</v>
      </c>
      <c r="E1177">
        <v>0</v>
      </c>
      <c r="F1177">
        <v>96825.739000000001</v>
      </c>
      <c r="G1177" s="259">
        <v>2047.0229999999999</v>
      </c>
      <c r="H1177" s="259">
        <v>41424.301799999994</v>
      </c>
      <c r="I1177" s="259">
        <v>15631.812</v>
      </c>
      <c r="J1177" s="259">
        <v>29038.261875</v>
      </c>
      <c r="K1177" s="260">
        <v>227.33874345549739</v>
      </c>
      <c r="L1177" s="260">
        <v>4933.2507329842938</v>
      </c>
      <c r="M1177" s="260">
        <v>1818.7099476439791</v>
      </c>
      <c r="N1177" s="260">
        <v>1705.0405759162304</v>
      </c>
      <c r="O1177" s="261">
        <v>2274.3617434554972</v>
      </c>
      <c r="P1177" s="261">
        <v>46357.552532984286</v>
      </c>
      <c r="Q1177" s="261">
        <v>17450.521947643978</v>
      </c>
      <c r="R1177" s="261">
        <v>30743.302450916231</v>
      </c>
      <c r="S1177">
        <v>96825.738675000001</v>
      </c>
      <c r="T1177">
        <v>3.2500000088475645E-4</v>
      </c>
    </row>
    <row r="1178" spans="1:20">
      <c r="A1178" t="s">
        <v>18934</v>
      </c>
      <c r="B1178">
        <v>44971</v>
      </c>
      <c r="C1178" t="s">
        <v>17321</v>
      </c>
      <c r="D1178" t="s">
        <v>18719</v>
      </c>
      <c r="E1178">
        <v>0</v>
      </c>
      <c r="F1178">
        <v>249145.17800000001</v>
      </c>
      <c r="G1178" s="259">
        <v>0</v>
      </c>
      <c r="H1178" s="259">
        <v>249145.17749999999</v>
      </c>
      <c r="I1178" s="259">
        <v>0</v>
      </c>
      <c r="J1178" s="259">
        <v>0</v>
      </c>
      <c r="K1178" s="260">
        <v>0</v>
      </c>
      <c r="L1178" s="260">
        <v>0</v>
      </c>
      <c r="M1178" s="260">
        <v>0</v>
      </c>
      <c r="N1178" s="260">
        <v>0</v>
      </c>
      <c r="O1178" s="261">
        <v>0</v>
      </c>
      <c r="P1178" s="261">
        <v>249145.17749999999</v>
      </c>
      <c r="Q1178" s="261">
        <v>0</v>
      </c>
      <c r="R1178" s="261">
        <v>0</v>
      </c>
      <c r="S1178">
        <v>249145.17749999999</v>
      </c>
      <c r="T1178">
        <v>5.0000002374872565E-4</v>
      </c>
    </row>
    <row r="1179" spans="1:20">
      <c r="A1179" t="s">
        <v>18935</v>
      </c>
      <c r="B1179">
        <v>44972</v>
      </c>
      <c r="C1179" t="s">
        <v>16904</v>
      </c>
      <c r="D1179" t="s">
        <v>16905</v>
      </c>
      <c r="E1179">
        <v>0</v>
      </c>
      <c r="F1179">
        <v>47466.663</v>
      </c>
      <c r="G1179" s="259">
        <v>0</v>
      </c>
      <c r="H1179" s="259">
        <v>29716.033535999995</v>
      </c>
      <c r="I1179" s="259">
        <v>9525.1290000000008</v>
      </c>
      <c r="J1179" s="259">
        <v>0</v>
      </c>
      <c r="K1179" s="260">
        <v>0</v>
      </c>
      <c r="L1179" s="260">
        <v>6205.4852652259333</v>
      </c>
      <c r="M1179" s="260">
        <v>2020.0147347740669</v>
      </c>
      <c r="N1179" s="260">
        <v>0</v>
      </c>
      <c r="O1179" s="261">
        <v>0</v>
      </c>
      <c r="P1179" s="261">
        <v>35921.518801225931</v>
      </c>
      <c r="Q1179" s="261">
        <v>11545.143734774068</v>
      </c>
      <c r="R1179" s="261">
        <v>0</v>
      </c>
      <c r="S1179">
        <v>47466.662536000003</v>
      </c>
      <c r="T1179">
        <v>4.6399999700952321E-4</v>
      </c>
    </row>
    <row r="1180" spans="1:20">
      <c r="A1180" t="s">
        <v>18936</v>
      </c>
      <c r="B1180">
        <v>44972</v>
      </c>
      <c r="C1180" t="s">
        <v>16904</v>
      </c>
      <c r="D1180" t="s">
        <v>16905</v>
      </c>
      <c r="E1180">
        <v>0</v>
      </c>
      <c r="F1180">
        <v>103797.63499999999</v>
      </c>
      <c r="G1180" s="259">
        <v>0</v>
      </c>
      <c r="H1180" s="259">
        <v>62031.003551999995</v>
      </c>
      <c r="I1180" s="259">
        <v>28596.231</v>
      </c>
      <c r="J1180" s="259">
        <v>0</v>
      </c>
      <c r="K1180" s="260">
        <v>0</v>
      </c>
      <c r="L1180" s="260">
        <v>8970.6551020408169</v>
      </c>
      <c r="M1180" s="260">
        <v>4199.7448979591845</v>
      </c>
      <c r="N1180" s="260">
        <v>0</v>
      </c>
      <c r="O1180" s="261">
        <v>0</v>
      </c>
      <c r="P1180" s="261">
        <v>71001.658654040817</v>
      </c>
      <c r="Q1180" s="261">
        <v>32795.975897959186</v>
      </c>
      <c r="R1180" s="261">
        <v>0</v>
      </c>
      <c r="S1180">
        <v>103797.634552</v>
      </c>
      <c r="T1180">
        <v>4.4799999159295112E-4</v>
      </c>
    </row>
    <row r="1181" spans="1:20">
      <c r="A1181" t="s">
        <v>18937</v>
      </c>
      <c r="B1181">
        <v>44974</v>
      </c>
      <c r="C1181" t="s">
        <v>16444</v>
      </c>
      <c r="D1181" t="s">
        <v>16445</v>
      </c>
      <c r="E1181">
        <v>0</v>
      </c>
      <c r="F1181">
        <v>143616</v>
      </c>
      <c r="G1181" s="259">
        <v>84522</v>
      </c>
      <c r="H1181" s="259">
        <v>53502</v>
      </c>
      <c r="I1181" s="259">
        <v>5592</v>
      </c>
      <c r="J1181" s="259">
        <v>0</v>
      </c>
      <c r="K1181" s="260">
        <v>0</v>
      </c>
      <c r="L1181" s="260">
        <v>0</v>
      </c>
      <c r="M1181" s="260">
        <v>0</v>
      </c>
      <c r="N1181" s="260">
        <v>0</v>
      </c>
      <c r="O1181" s="261">
        <v>84522</v>
      </c>
      <c r="P1181" s="261">
        <v>53502</v>
      </c>
      <c r="Q1181" s="261">
        <v>5592</v>
      </c>
      <c r="R1181" s="261">
        <v>0</v>
      </c>
      <c r="S1181">
        <v>143616</v>
      </c>
      <c r="T1181">
        <v>0</v>
      </c>
    </row>
    <row r="1182" spans="1:20">
      <c r="A1182" t="s">
        <v>18938</v>
      </c>
      <c r="B1182">
        <v>44986</v>
      </c>
      <c r="C1182" t="s">
        <v>17156</v>
      </c>
      <c r="D1182" t="s">
        <v>17575</v>
      </c>
      <c r="E1182">
        <v>0</v>
      </c>
      <c r="F1182">
        <v>184500</v>
      </c>
      <c r="G1182" s="259">
        <v>0</v>
      </c>
      <c r="H1182" s="259">
        <v>184500</v>
      </c>
      <c r="I1182" s="259">
        <v>0</v>
      </c>
      <c r="J1182" s="259">
        <v>0</v>
      </c>
      <c r="K1182" s="260">
        <v>0</v>
      </c>
      <c r="L1182" s="260">
        <v>0</v>
      </c>
      <c r="M1182" s="260">
        <v>0</v>
      </c>
      <c r="N1182" s="260">
        <v>0</v>
      </c>
      <c r="O1182" s="261">
        <v>0</v>
      </c>
      <c r="P1182" s="261">
        <v>184500</v>
      </c>
      <c r="Q1182" s="261">
        <v>0</v>
      </c>
      <c r="R1182" s="261">
        <v>0</v>
      </c>
      <c r="S1182">
        <v>184500</v>
      </c>
      <c r="T1182">
        <v>0</v>
      </c>
    </row>
    <row r="1183" spans="1:20">
      <c r="A1183" t="s">
        <v>18939</v>
      </c>
      <c r="B1183">
        <v>44974</v>
      </c>
      <c r="C1183" t="s">
        <v>16444</v>
      </c>
      <c r="D1183" t="s">
        <v>16445</v>
      </c>
      <c r="E1183">
        <v>0</v>
      </c>
      <c r="F1183">
        <v>50880</v>
      </c>
      <c r="G1183" s="259">
        <v>50880</v>
      </c>
      <c r="H1183" s="259">
        <v>0</v>
      </c>
      <c r="I1183" s="259">
        <v>0</v>
      </c>
      <c r="J1183" s="259">
        <v>0</v>
      </c>
      <c r="K1183" s="260">
        <v>0</v>
      </c>
      <c r="L1183" s="260">
        <v>0</v>
      </c>
      <c r="M1183" s="260">
        <v>0</v>
      </c>
      <c r="N1183" s="260">
        <v>0</v>
      </c>
      <c r="O1183" s="261">
        <v>50880</v>
      </c>
      <c r="P1183" s="261">
        <v>0</v>
      </c>
      <c r="Q1183" s="261">
        <v>0</v>
      </c>
      <c r="R1183" s="261">
        <v>0</v>
      </c>
      <c r="S1183">
        <v>50880</v>
      </c>
      <c r="T1183">
        <v>0</v>
      </c>
    </row>
    <row r="1184" spans="1:20">
      <c r="A1184" t="s">
        <v>18940</v>
      </c>
      <c r="B1184">
        <v>44975</v>
      </c>
      <c r="C1184" t="s">
        <v>16783</v>
      </c>
      <c r="D1184" t="s">
        <v>17509</v>
      </c>
      <c r="E1184">
        <v>0</v>
      </c>
      <c r="F1184">
        <v>840991.48599999992</v>
      </c>
      <c r="G1184" s="259">
        <v>78159.06</v>
      </c>
      <c r="H1184" s="259">
        <v>700305.17760000005</v>
      </c>
      <c r="I1184" s="259">
        <v>62527.248</v>
      </c>
      <c r="J1184" s="259">
        <v>0</v>
      </c>
      <c r="K1184" s="260">
        <v>0</v>
      </c>
      <c r="L1184" s="260">
        <v>0</v>
      </c>
      <c r="M1184" s="260">
        <v>0</v>
      </c>
      <c r="N1184" s="260">
        <v>0</v>
      </c>
      <c r="O1184" s="261">
        <v>78159.06</v>
      </c>
      <c r="P1184" s="261">
        <v>700305.17760000005</v>
      </c>
      <c r="Q1184" s="261">
        <v>62527.248</v>
      </c>
      <c r="R1184" s="261">
        <v>0</v>
      </c>
      <c r="S1184">
        <v>840991.48560000013</v>
      </c>
      <c r="T1184">
        <v>3.9999978616833687E-4</v>
      </c>
    </row>
    <row r="1185" spans="1:20">
      <c r="A1185" t="s">
        <v>18941</v>
      </c>
      <c r="B1185">
        <v>44977</v>
      </c>
      <c r="C1185" t="s">
        <v>16838</v>
      </c>
      <c r="D1185" t="s">
        <v>16839</v>
      </c>
      <c r="E1185">
        <v>0</v>
      </c>
      <c r="F1185">
        <v>122616</v>
      </c>
      <c r="G1185" s="259">
        <v>59280</v>
      </c>
      <c r="H1185" s="259">
        <v>54948</v>
      </c>
      <c r="I1185" s="259">
        <v>8388</v>
      </c>
      <c r="J1185" s="259">
        <v>0</v>
      </c>
      <c r="K1185" s="260">
        <v>0</v>
      </c>
      <c r="L1185" s="260">
        <v>0</v>
      </c>
      <c r="M1185" s="260">
        <v>0</v>
      </c>
      <c r="N1185" s="260">
        <v>0</v>
      </c>
      <c r="O1185" s="261">
        <v>59280</v>
      </c>
      <c r="P1185" s="261">
        <v>54948</v>
      </c>
      <c r="Q1185" s="261">
        <v>8388</v>
      </c>
      <c r="R1185" s="261">
        <v>0</v>
      </c>
      <c r="S1185">
        <v>122616</v>
      </c>
      <c r="T1185">
        <v>0</v>
      </c>
    </row>
    <row r="1186" spans="1:20">
      <c r="A1186" t="s">
        <v>18942</v>
      </c>
      <c r="B1186">
        <v>44977</v>
      </c>
      <c r="C1186" t="s">
        <v>16838</v>
      </c>
      <c r="D1186" t="s">
        <v>16839</v>
      </c>
      <c r="E1186">
        <v>0</v>
      </c>
      <c r="F1186">
        <v>338923.2</v>
      </c>
      <c r="G1186" s="259">
        <v>0</v>
      </c>
      <c r="H1186" s="259">
        <v>338923.2</v>
      </c>
      <c r="I1186" s="259">
        <v>0</v>
      </c>
      <c r="J1186" s="259">
        <v>0</v>
      </c>
      <c r="K1186" s="260">
        <v>0</v>
      </c>
      <c r="L1186" s="260">
        <v>0</v>
      </c>
      <c r="M1186" s="260">
        <v>0</v>
      </c>
      <c r="N1186" s="260">
        <v>0</v>
      </c>
      <c r="O1186" s="261">
        <v>0</v>
      </c>
      <c r="P1186" s="261">
        <v>338923.2</v>
      </c>
      <c r="Q1186" s="261">
        <v>0</v>
      </c>
      <c r="R1186" s="261">
        <v>0</v>
      </c>
      <c r="S1186">
        <v>338923.2</v>
      </c>
      <c r="T1186">
        <v>0</v>
      </c>
    </row>
    <row r="1187" spans="1:20">
      <c r="A1187" t="s">
        <v>18943</v>
      </c>
      <c r="B1187">
        <v>44986</v>
      </c>
      <c r="C1187" t="s">
        <v>17226</v>
      </c>
      <c r="D1187" t="s">
        <v>17891</v>
      </c>
      <c r="E1187">
        <v>0</v>
      </c>
      <c r="F1187">
        <v>65466</v>
      </c>
      <c r="G1187" s="259">
        <v>9540</v>
      </c>
      <c r="H1187" s="259">
        <v>31548</v>
      </c>
      <c r="I1187" s="259">
        <v>24378</v>
      </c>
      <c r="J1187" s="259">
        <v>0</v>
      </c>
      <c r="K1187" s="260">
        <v>0</v>
      </c>
      <c r="L1187" s="260">
        <v>0</v>
      </c>
      <c r="M1187" s="260">
        <v>0</v>
      </c>
      <c r="N1187" s="260">
        <v>0</v>
      </c>
      <c r="O1187" s="261">
        <v>9540</v>
      </c>
      <c r="P1187" s="261">
        <v>31548</v>
      </c>
      <c r="Q1187" s="261">
        <v>24378</v>
      </c>
      <c r="R1187" s="261">
        <v>0</v>
      </c>
      <c r="S1187">
        <v>65466</v>
      </c>
      <c r="T1187">
        <v>0</v>
      </c>
    </row>
    <row r="1188" spans="1:20">
      <c r="A1188" t="s">
        <v>18944</v>
      </c>
      <c r="B1188">
        <v>44986</v>
      </c>
      <c r="C1188" t="s">
        <v>17226</v>
      </c>
      <c r="D1188" t="s">
        <v>17891</v>
      </c>
      <c r="E1188">
        <v>0</v>
      </c>
      <c r="F1188">
        <v>100800</v>
      </c>
      <c r="G1188" s="259">
        <v>0</v>
      </c>
      <c r="H1188" s="259">
        <v>67200</v>
      </c>
      <c r="I1188" s="259">
        <v>0</v>
      </c>
      <c r="J1188" s="259">
        <v>33600</v>
      </c>
      <c r="K1188" s="260">
        <v>0</v>
      </c>
      <c r="L1188" s="260">
        <v>0</v>
      </c>
      <c r="M1188" s="260">
        <v>0</v>
      </c>
      <c r="N1188" s="260">
        <v>0</v>
      </c>
      <c r="O1188" s="261">
        <v>0</v>
      </c>
      <c r="P1188" s="261">
        <v>67200</v>
      </c>
      <c r="Q1188" s="261">
        <v>0</v>
      </c>
      <c r="R1188" s="261">
        <v>33600</v>
      </c>
      <c r="S1188">
        <v>100800</v>
      </c>
      <c r="T1188">
        <v>0</v>
      </c>
    </row>
    <row r="1189" spans="1:20">
      <c r="A1189" t="s">
        <v>18945</v>
      </c>
      <c r="B1189">
        <v>44986</v>
      </c>
      <c r="C1189" t="s">
        <v>16444</v>
      </c>
      <c r="D1189" t="s">
        <v>16445</v>
      </c>
      <c r="E1189">
        <v>0</v>
      </c>
      <c r="F1189">
        <v>50880</v>
      </c>
      <c r="G1189" s="259">
        <v>50880</v>
      </c>
      <c r="H1189" s="259">
        <v>0</v>
      </c>
      <c r="I1189" s="259">
        <v>0</v>
      </c>
      <c r="J1189" s="259">
        <v>0</v>
      </c>
      <c r="K1189" s="260">
        <v>0</v>
      </c>
      <c r="L1189" s="260">
        <v>0</v>
      </c>
      <c r="M1189" s="260">
        <v>0</v>
      </c>
      <c r="N1189" s="260">
        <v>0</v>
      </c>
      <c r="O1189" s="261">
        <v>50880</v>
      </c>
      <c r="P1189" s="261">
        <v>0</v>
      </c>
      <c r="Q1189" s="261">
        <v>0</v>
      </c>
      <c r="R1189" s="261">
        <v>0</v>
      </c>
      <c r="S1189">
        <v>50880</v>
      </c>
      <c r="T1189">
        <v>0</v>
      </c>
    </row>
    <row r="1190" spans="1:20">
      <c r="A1190" t="s">
        <v>18946</v>
      </c>
      <c r="B1190">
        <v>45017</v>
      </c>
      <c r="C1190" t="s">
        <v>17342</v>
      </c>
      <c r="D1190" t="s">
        <v>17343</v>
      </c>
      <c r="E1190">
        <v>0</v>
      </c>
      <c r="F1190">
        <v>86481.438000000009</v>
      </c>
      <c r="G1190" s="259">
        <v>1600.8707520000003</v>
      </c>
      <c r="H1190" s="259">
        <v>24684.511310400005</v>
      </c>
      <c r="I1190" s="259">
        <v>11339.501160000002</v>
      </c>
      <c r="J1190" s="259">
        <v>13136.928528</v>
      </c>
      <c r="K1190" s="260">
        <v>1446.7895319531951</v>
      </c>
      <c r="L1190" s="260">
        <v>21774.182455895585</v>
      </c>
      <c r="M1190" s="260">
        <v>10248.092518001798</v>
      </c>
      <c r="N1190" s="260">
        <v>2250.5614941494146</v>
      </c>
      <c r="O1190" s="261">
        <v>3047.6602839531952</v>
      </c>
      <c r="P1190" s="261">
        <v>46458.69376629559</v>
      </c>
      <c r="Q1190" s="261">
        <v>21587.593678001802</v>
      </c>
      <c r="R1190" s="261">
        <v>15387.490022149415</v>
      </c>
      <c r="S1190">
        <v>86481.4377504</v>
      </c>
      <c r="T1190">
        <v>2.4960000882856548E-4</v>
      </c>
    </row>
    <row r="1191" spans="1:20">
      <c r="A1191" t="s">
        <v>18947</v>
      </c>
      <c r="B1191">
        <v>44986</v>
      </c>
      <c r="C1191" t="s">
        <v>16444</v>
      </c>
      <c r="D1191" t="s">
        <v>16445</v>
      </c>
      <c r="E1191">
        <v>0</v>
      </c>
      <c r="F1191">
        <v>57220.800000000003</v>
      </c>
      <c r="G1191" s="259">
        <v>57220.800000000003</v>
      </c>
      <c r="H1191" s="259">
        <v>0</v>
      </c>
      <c r="I1191" s="259">
        <v>0</v>
      </c>
      <c r="J1191" s="259">
        <v>0</v>
      </c>
      <c r="K1191" s="260">
        <v>0</v>
      </c>
      <c r="L1191" s="260">
        <v>0</v>
      </c>
      <c r="M1191" s="260">
        <v>0</v>
      </c>
      <c r="N1191" s="260">
        <v>0</v>
      </c>
      <c r="O1191" s="261">
        <v>57220.800000000003</v>
      </c>
      <c r="P1191" s="261">
        <v>0</v>
      </c>
      <c r="Q1191" s="261">
        <v>0</v>
      </c>
      <c r="R1191" s="261">
        <v>0</v>
      </c>
      <c r="S1191">
        <v>57220.800000000003</v>
      </c>
      <c r="T1191">
        <v>0</v>
      </c>
    </row>
    <row r="1192" spans="1:20">
      <c r="A1192" t="s">
        <v>18948</v>
      </c>
      <c r="B1192">
        <v>44986</v>
      </c>
      <c r="C1192" t="s">
        <v>17304</v>
      </c>
      <c r="D1192" t="s">
        <v>17305</v>
      </c>
      <c r="E1192">
        <v>0</v>
      </c>
      <c r="F1192">
        <v>103417.10400000001</v>
      </c>
      <c r="G1192" s="259">
        <v>0</v>
      </c>
      <c r="H1192" s="259">
        <v>78734.517791999999</v>
      </c>
      <c r="I1192" s="259">
        <v>0</v>
      </c>
      <c r="J1192" s="259">
        <v>0</v>
      </c>
      <c r="K1192" s="260">
        <v>0</v>
      </c>
      <c r="L1192" s="260">
        <v>24685.1</v>
      </c>
      <c r="M1192" s="260">
        <v>0</v>
      </c>
      <c r="N1192" s="260">
        <v>0</v>
      </c>
      <c r="O1192" s="261">
        <v>0</v>
      </c>
      <c r="P1192" s="261">
        <v>103419.617792</v>
      </c>
      <c r="Q1192" s="261">
        <v>0</v>
      </c>
      <c r="R1192" s="261">
        <v>0</v>
      </c>
      <c r="S1192">
        <v>103419.617792</v>
      </c>
      <c r="T1192">
        <v>-2.5137919999979204</v>
      </c>
    </row>
    <row r="1193" spans="1:20">
      <c r="A1193" t="s">
        <v>18949</v>
      </c>
      <c r="B1193">
        <v>44982</v>
      </c>
      <c r="C1193" t="s">
        <v>17332</v>
      </c>
      <c r="D1193" t="s">
        <v>18794</v>
      </c>
      <c r="E1193">
        <v>0</v>
      </c>
      <c r="F1193">
        <v>285000</v>
      </c>
      <c r="G1193" s="259">
        <v>0</v>
      </c>
      <c r="H1193" s="259">
        <v>285000</v>
      </c>
      <c r="I1193" s="259">
        <v>0</v>
      </c>
      <c r="J1193" s="259">
        <v>0</v>
      </c>
      <c r="K1193" s="260">
        <v>0</v>
      </c>
      <c r="L1193" s="260">
        <v>0</v>
      </c>
      <c r="M1193" s="260">
        <v>0</v>
      </c>
      <c r="N1193" s="260">
        <v>0</v>
      </c>
      <c r="O1193" s="261">
        <v>0</v>
      </c>
      <c r="P1193" s="261">
        <v>285000</v>
      </c>
      <c r="Q1193" s="261">
        <v>0</v>
      </c>
      <c r="R1193" s="261">
        <v>0</v>
      </c>
      <c r="S1193">
        <v>285000</v>
      </c>
      <c r="T1193">
        <v>0</v>
      </c>
    </row>
    <row r="1194" spans="1:20">
      <c r="A1194" t="s">
        <v>18950</v>
      </c>
      <c r="B1194">
        <v>44986</v>
      </c>
      <c r="C1194" t="s">
        <v>17332</v>
      </c>
      <c r="D1194" t="s">
        <v>18794</v>
      </c>
      <c r="E1194">
        <v>0</v>
      </c>
      <c r="F1194">
        <v>43392</v>
      </c>
      <c r="G1194" s="259">
        <v>43392</v>
      </c>
      <c r="H1194" s="259">
        <v>0</v>
      </c>
      <c r="I1194" s="259">
        <v>0</v>
      </c>
      <c r="J1194" s="259">
        <v>0</v>
      </c>
      <c r="K1194" s="260">
        <v>0</v>
      </c>
      <c r="L1194" s="260">
        <v>0</v>
      </c>
      <c r="M1194" s="260">
        <v>0</v>
      </c>
      <c r="N1194" s="260">
        <v>0</v>
      </c>
      <c r="O1194" s="261">
        <v>43392</v>
      </c>
      <c r="P1194" s="261">
        <v>0</v>
      </c>
      <c r="Q1194" s="261">
        <v>0</v>
      </c>
      <c r="R1194" s="261">
        <v>0</v>
      </c>
      <c r="S1194">
        <v>43392</v>
      </c>
      <c r="T1194">
        <v>0</v>
      </c>
    </row>
    <row r="1195" spans="1:20">
      <c r="A1195" t="s">
        <v>18951</v>
      </c>
      <c r="B1195">
        <v>45017</v>
      </c>
      <c r="C1195" t="s">
        <v>17342</v>
      </c>
      <c r="D1195" t="s">
        <v>17343</v>
      </c>
      <c r="E1195">
        <v>0</v>
      </c>
      <c r="F1195">
        <v>121355.936</v>
      </c>
      <c r="G1195" s="259">
        <v>1917.21639</v>
      </c>
      <c r="H1195" s="259">
        <v>49779.660177600002</v>
      </c>
      <c r="I1195" s="259">
        <v>8671.3832399999992</v>
      </c>
      <c r="J1195" s="259">
        <v>15819.255360000003</v>
      </c>
      <c r="K1195" s="260">
        <v>1421.4724384716058</v>
      </c>
      <c r="L1195" s="260">
        <v>35745.09088058224</v>
      </c>
      <c r="M1195" s="260">
        <v>7905.5151658313907</v>
      </c>
      <c r="N1195" s="260">
        <v>2554.089515114757</v>
      </c>
      <c r="O1195" s="261">
        <v>3338.688828471606</v>
      </c>
      <c r="P1195" s="261">
        <v>85524.751058182243</v>
      </c>
      <c r="Q1195" s="261">
        <v>16576.898405831391</v>
      </c>
      <c r="R1195" s="261">
        <v>18373.344875114759</v>
      </c>
      <c r="S1195">
        <v>123813.68316760001</v>
      </c>
      <c r="T1195">
        <v>-2457.7471676000132</v>
      </c>
    </row>
    <row r="1196" spans="1:20">
      <c r="A1196" t="s">
        <v>18952</v>
      </c>
      <c r="B1196">
        <v>44988</v>
      </c>
      <c r="C1196" t="s">
        <v>16384</v>
      </c>
      <c r="D1196" t="s">
        <v>16385</v>
      </c>
      <c r="E1196">
        <v>0</v>
      </c>
      <c r="F1196">
        <v>100959</v>
      </c>
      <c r="G1196" s="259">
        <v>51072</v>
      </c>
      <c r="H1196" s="259">
        <v>49887</v>
      </c>
      <c r="I1196" s="259">
        <v>0</v>
      </c>
      <c r="J1196" s="259">
        <v>0</v>
      </c>
      <c r="K1196" s="260">
        <v>0</v>
      </c>
      <c r="L1196" s="260">
        <v>0</v>
      </c>
      <c r="M1196" s="260">
        <v>0</v>
      </c>
      <c r="N1196" s="260">
        <v>0</v>
      </c>
      <c r="O1196" s="261">
        <v>51072</v>
      </c>
      <c r="P1196" s="261">
        <v>49887</v>
      </c>
      <c r="Q1196" s="261">
        <v>0</v>
      </c>
      <c r="R1196" s="261">
        <v>0</v>
      </c>
      <c r="S1196">
        <v>100959</v>
      </c>
      <c r="T1196">
        <v>0</v>
      </c>
    </row>
    <row r="1197" spans="1:20">
      <c r="A1197" t="s">
        <v>18953</v>
      </c>
      <c r="B1197">
        <v>45017</v>
      </c>
      <c r="C1197" t="s">
        <v>16957</v>
      </c>
      <c r="D1197" t="s">
        <v>17451</v>
      </c>
      <c r="E1197">
        <v>0</v>
      </c>
      <c r="F1197">
        <v>61418.862000000001</v>
      </c>
      <c r="G1197" s="259">
        <v>61418.862374999997</v>
      </c>
      <c r="H1197" s="259">
        <v>0</v>
      </c>
      <c r="I1197" s="259">
        <v>0</v>
      </c>
      <c r="J1197" s="259">
        <v>0</v>
      </c>
      <c r="K1197" s="260">
        <v>0</v>
      </c>
      <c r="L1197" s="260">
        <v>0</v>
      </c>
      <c r="M1197" s="260">
        <v>0</v>
      </c>
      <c r="N1197" s="260">
        <v>0</v>
      </c>
      <c r="O1197" s="261">
        <v>61418.862374999997</v>
      </c>
      <c r="P1197" s="261">
        <v>0</v>
      </c>
      <c r="Q1197" s="261">
        <v>0</v>
      </c>
      <c r="R1197" s="261">
        <v>0</v>
      </c>
      <c r="S1197">
        <v>61418.862374999997</v>
      </c>
      <c r="T1197">
        <v>-3.749999959836714E-4</v>
      </c>
    </row>
    <row r="1198" spans="1:20">
      <c r="A1198" t="s">
        <v>18954</v>
      </c>
      <c r="B1198">
        <v>44992</v>
      </c>
      <c r="C1198" t="s">
        <v>16880</v>
      </c>
      <c r="D1198" t="s">
        <v>16881</v>
      </c>
      <c r="E1198">
        <v>0</v>
      </c>
      <c r="F1198">
        <v>85858.823000000004</v>
      </c>
      <c r="G1198" s="259">
        <v>23174.353216</v>
      </c>
      <c r="H1198" s="259">
        <v>62684.301704700003</v>
      </c>
      <c r="I1198" s="259">
        <v>0</v>
      </c>
      <c r="J1198" s="259">
        <v>0</v>
      </c>
      <c r="K1198" s="260">
        <v>0</v>
      </c>
      <c r="L1198" s="260">
        <v>0</v>
      </c>
      <c r="M1198" s="260">
        <v>0</v>
      </c>
      <c r="N1198" s="260">
        <v>0</v>
      </c>
      <c r="O1198" s="261">
        <v>23174.353216</v>
      </c>
      <c r="P1198" s="261">
        <v>62684.301704700003</v>
      </c>
      <c r="Q1198" s="261">
        <v>0</v>
      </c>
      <c r="R1198" s="261">
        <v>0</v>
      </c>
      <c r="S1198">
        <v>85858.654920700006</v>
      </c>
      <c r="T1198">
        <v>0.16807929999777116</v>
      </c>
    </row>
    <row r="1199" spans="1:20">
      <c r="A1199" t="s">
        <v>18955</v>
      </c>
      <c r="B1199">
        <v>44992</v>
      </c>
      <c r="C1199" t="s">
        <v>17278</v>
      </c>
      <c r="D1199" t="s">
        <v>17279</v>
      </c>
      <c r="E1199">
        <v>0</v>
      </c>
      <c r="F1199">
        <v>749859.56799999997</v>
      </c>
      <c r="G1199" s="259">
        <v>280537.25040000002</v>
      </c>
      <c r="H1199" s="259">
        <v>469322.31772799999</v>
      </c>
      <c r="I1199" s="259">
        <v>0</v>
      </c>
      <c r="J1199" s="259">
        <v>0</v>
      </c>
      <c r="K1199" s="260">
        <v>0</v>
      </c>
      <c r="L1199" s="260">
        <v>0</v>
      </c>
      <c r="M1199" s="260">
        <v>0</v>
      </c>
      <c r="N1199" s="260">
        <v>0</v>
      </c>
      <c r="O1199" s="261">
        <v>280537.25040000002</v>
      </c>
      <c r="P1199" s="261">
        <v>469322.31772799999</v>
      </c>
      <c r="Q1199" s="261">
        <v>0</v>
      </c>
      <c r="R1199" s="261">
        <v>0</v>
      </c>
      <c r="S1199">
        <v>749859.56812800001</v>
      </c>
      <c r="T1199">
        <v>-1.2800004333257675E-4</v>
      </c>
    </row>
    <row r="1200" spans="1:20">
      <c r="A1200" t="s">
        <v>18956</v>
      </c>
      <c r="B1200">
        <v>44992</v>
      </c>
      <c r="C1200" t="s">
        <v>17319</v>
      </c>
      <c r="D1200" t="s">
        <v>18700</v>
      </c>
      <c r="E1200">
        <v>0</v>
      </c>
      <c r="F1200">
        <v>178427.815</v>
      </c>
      <c r="G1200" s="259">
        <v>178427.81471999999</v>
      </c>
      <c r="H1200" s="259">
        <v>0</v>
      </c>
      <c r="I1200" s="259">
        <v>0</v>
      </c>
      <c r="J1200" s="259">
        <v>0</v>
      </c>
      <c r="K1200" s="260">
        <v>0</v>
      </c>
      <c r="L1200" s="260">
        <v>0</v>
      </c>
      <c r="M1200" s="260">
        <v>0</v>
      </c>
      <c r="N1200" s="260">
        <v>0</v>
      </c>
      <c r="O1200" s="261">
        <v>178427.81471999999</v>
      </c>
      <c r="P1200" s="261">
        <v>0</v>
      </c>
      <c r="Q1200" s="261">
        <v>0</v>
      </c>
      <c r="R1200" s="261">
        <v>0</v>
      </c>
      <c r="S1200">
        <v>178427.81471999999</v>
      </c>
      <c r="T1200">
        <v>2.8000000747852027E-4</v>
      </c>
    </row>
    <row r="1201" spans="1:20">
      <c r="A1201" t="s">
        <v>18957</v>
      </c>
      <c r="B1201">
        <v>44992</v>
      </c>
      <c r="C1201" t="s">
        <v>17336</v>
      </c>
      <c r="D1201" t="s">
        <v>18835</v>
      </c>
      <c r="E1201">
        <v>0</v>
      </c>
      <c r="F1201">
        <v>92160.499000000011</v>
      </c>
      <c r="G1201" s="259">
        <v>0</v>
      </c>
      <c r="H1201" s="259">
        <v>92160.499200000006</v>
      </c>
      <c r="I1201" s="259">
        <v>0</v>
      </c>
      <c r="J1201" s="259">
        <v>0</v>
      </c>
      <c r="K1201" s="260">
        <v>0</v>
      </c>
      <c r="L1201" s="260">
        <v>0</v>
      </c>
      <c r="M1201" s="260">
        <v>0</v>
      </c>
      <c r="N1201" s="260">
        <v>0</v>
      </c>
      <c r="O1201" s="261">
        <v>0</v>
      </c>
      <c r="P1201" s="261">
        <v>92160.499200000006</v>
      </c>
      <c r="Q1201" s="261">
        <v>0</v>
      </c>
      <c r="R1201" s="261">
        <v>0</v>
      </c>
      <c r="S1201">
        <v>92160.499200000006</v>
      </c>
      <c r="T1201">
        <v>-1.9999999494757503E-4</v>
      </c>
    </row>
    <row r="1202" spans="1:20">
      <c r="A1202" t="s">
        <v>18958</v>
      </c>
      <c r="B1202">
        <v>44995</v>
      </c>
      <c r="C1202" t="s">
        <v>16783</v>
      </c>
      <c r="D1202" t="s">
        <v>17509</v>
      </c>
      <c r="E1202">
        <v>0</v>
      </c>
      <c r="F1202">
        <v>216599.66399999999</v>
      </c>
      <c r="G1202" s="259">
        <v>0</v>
      </c>
      <c r="H1202" s="259">
        <v>0</v>
      </c>
      <c r="I1202" s="259">
        <v>0</v>
      </c>
      <c r="J1202" s="259">
        <v>216599.66399999999</v>
      </c>
      <c r="K1202" s="260">
        <v>0</v>
      </c>
      <c r="L1202" s="260">
        <v>0</v>
      </c>
      <c r="M1202" s="260">
        <v>0</v>
      </c>
      <c r="N1202" s="260">
        <v>0</v>
      </c>
      <c r="O1202" s="261">
        <v>0</v>
      </c>
      <c r="P1202" s="261">
        <v>0</v>
      </c>
      <c r="Q1202" s="261">
        <v>0</v>
      </c>
      <c r="R1202" s="261">
        <v>216599.66399999999</v>
      </c>
      <c r="S1202">
        <v>216599.66399999999</v>
      </c>
      <c r="T1202">
        <v>0</v>
      </c>
    </row>
    <row r="1203" spans="1:20">
      <c r="A1203" t="s">
        <v>18959</v>
      </c>
      <c r="B1203">
        <v>44995</v>
      </c>
      <c r="C1203" t="s">
        <v>16904</v>
      </c>
      <c r="D1203" t="s">
        <v>16905</v>
      </c>
      <c r="E1203">
        <v>0</v>
      </c>
      <c r="F1203">
        <v>100975.338</v>
      </c>
      <c r="G1203" s="259">
        <v>0</v>
      </c>
      <c r="H1203" s="259">
        <v>63990.511199999994</v>
      </c>
      <c r="I1203" s="259">
        <v>23793.626999999997</v>
      </c>
      <c r="J1203" s="259">
        <v>0</v>
      </c>
      <c r="K1203" s="260">
        <v>0</v>
      </c>
      <c r="L1203" s="260">
        <v>9567.2439560439561</v>
      </c>
      <c r="M1203" s="260">
        <v>3623.9560439560441</v>
      </c>
      <c r="N1203" s="260">
        <v>0</v>
      </c>
      <c r="O1203" s="261">
        <v>0</v>
      </c>
      <c r="P1203" s="261">
        <v>73557.755156043946</v>
      </c>
      <c r="Q1203" s="261">
        <v>27417.583043956041</v>
      </c>
      <c r="R1203" s="261">
        <v>0</v>
      </c>
      <c r="S1203">
        <v>100975.33819999998</v>
      </c>
      <c r="T1203">
        <v>-1.999999803956598E-4</v>
      </c>
    </row>
    <row r="1204" spans="1:20">
      <c r="A1204" t="s">
        <v>18960</v>
      </c>
      <c r="B1204">
        <v>44995</v>
      </c>
      <c r="C1204" t="s">
        <v>16904</v>
      </c>
      <c r="D1204" t="s">
        <v>16905</v>
      </c>
      <c r="E1204">
        <v>0</v>
      </c>
      <c r="F1204">
        <v>100742.645</v>
      </c>
      <c r="G1204" s="259">
        <v>0</v>
      </c>
      <c r="H1204" s="259">
        <v>63757.818431999993</v>
      </c>
      <c r="I1204" s="259">
        <v>23793.626999999997</v>
      </c>
      <c r="J1204" s="259">
        <v>0</v>
      </c>
      <c r="K1204" s="260">
        <v>0</v>
      </c>
      <c r="L1204" s="260">
        <v>9557.6609960334954</v>
      </c>
      <c r="M1204" s="260">
        <v>3633.5390039665053</v>
      </c>
      <c r="N1204" s="260">
        <v>0</v>
      </c>
      <c r="O1204" s="261">
        <v>0</v>
      </c>
      <c r="P1204" s="261">
        <v>73315.47942803349</v>
      </c>
      <c r="Q1204" s="261">
        <v>27427.1660039665</v>
      </c>
      <c r="R1204" s="261">
        <v>0</v>
      </c>
      <c r="S1204">
        <v>100742.64543199999</v>
      </c>
      <c r="T1204">
        <v>-4.3199998617637902E-4</v>
      </c>
    </row>
    <row r="1205" spans="1:20">
      <c r="A1205" t="s">
        <v>18961</v>
      </c>
      <c r="B1205">
        <v>45017</v>
      </c>
      <c r="C1205" t="s">
        <v>16470</v>
      </c>
      <c r="D1205" t="s">
        <v>16471</v>
      </c>
      <c r="E1205">
        <v>0</v>
      </c>
      <c r="F1205">
        <v>751771.69400000002</v>
      </c>
      <c r="G1205" s="259">
        <v>91944.187790400014</v>
      </c>
      <c r="H1205" s="259">
        <v>573217.5844824001</v>
      </c>
      <c r="I1205" s="259">
        <v>0</v>
      </c>
      <c r="J1205" s="259">
        <v>0</v>
      </c>
      <c r="K1205" s="260">
        <v>10484.317038128673</v>
      </c>
      <c r="L1205" s="260">
        <v>75171.565241871329</v>
      </c>
      <c r="M1205" s="260">
        <v>0</v>
      </c>
      <c r="N1205" s="260">
        <v>0</v>
      </c>
      <c r="O1205" s="261">
        <v>102428.50482852869</v>
      </c>
      <c r="P1205" s="261">
        <v>648389.14972427138</v>
      </c>
      <c r="Q1205" s="261">
        <v>0</v>
      </c>
      <c r="R1205" s="261">
        <v>0</v>
      </c>
      <c r="S1205">
        <v>750817.65455280012</v>
      </c>
      <c r="T1205">
        <v>954.0394471999025</v>
      </c>
    </row>
    <row r="1206" spans="1:20">
      <c r="A1206" t="s">
        <v>18962</v>
      </c>
      <c r="B1206">
        <v>44996</v>
      </c>
      <c r="C1206" t="s">
        <v>16384</v>
      </c>
      <c r="D1206" t="s">
        <v>16385</v>
      </c>
      <c r="E1206">
        <v>0</v>
      </c>
      <c r="F1206">
        <v>254400</v>
      </c>
      <c r="G1206" s="259">
        <v>254400</v>
      </c>
      <c r="H1206" s="259">
        <v>0</v>
      </c>
      <c r="I1206" s="259">
        <v>0</v>
      </c>
      <c r="J1206" s="259">
        <v>0</v>
      </c>
      <c r="K1206" s="260">
        <v>0</v>
      </c>
      <c r="L1206" s="260">
        <v>0</v>
      </c>
      <c r="M1206" s="260">
        <v>0</v>
      </c>
      <c r="N1206" s="260">
        <v>0</v>
      </c>
      <c r="O1206" s="261">
        <v>254400</v>
      </c>
      <c r="P1206" s="261">
        <v>0</v>
      </c>
      <c r="Q1206" s="261">
        <v>0</v>
      </c>
      <c r="R1206" s="261">
        <v>0</v>
      </c>
      <c r="S1206">
        <v>254400</v>
      </c>
      <c r="T1206">
        <v>0</v>
      </c>
    </row>
    <row r="1207" spans="1:20">
      <c r="A1207" t="s">
        <v>18963</v>
      </c>
      <c r="B1207">
        <v>45017</v>
      </c>
      <c r="C1207" t="s">
        <v>16823</v>
      </c>
      <c r="D1207" t="s">
        <v>17805</v>
      </c>
      <c r="E1207">
        <v>0</v>
      </c>
      <c r="F1207">
        <v>159306.34900000002</v>
      </c>
      <c r="G1207" s="259">
        <v>39779.281080000001</v>
      </c>
      <c r="H1207" s="259">
        <v>96490.992150000005</v>
      </c>
      <c r="I1207" s="259">
        <v>0</v>
      </c>
      <c r="J1207" s="259">
        <v>0</v>
      </c>
      <c r="K1207" s="260">
        <v>6239.9649122055671</v>
      </c>
      <c r="L1207" s="260">
        <v>16796.111087794434</v>
      </c>
      <c r="M1207" s="260">
        <v>0</v>
      </c>
      <c r="N1207" s="260">
        <v>0</v>
      </c>
      <c r="O1207" s="261">
        <v>46019.245992205571</v>
      </c>
      <c r="P1207" s="261">
        <v>113287.10323779444</v>
      </c>
      <c r="Q1207" s="261">
        <v>0</v>
      </c>
      <c r="R1207" s="261">
        <v>0</v>
      </c>
      <c r="S1207">
        <v>159306.34922999999</v>
      </c>
      <c r="T1207">
        <v>-2.2999997599981725E-4</v>
      </c>
    </row>
    <row r="1208" spans="1:20">
      <c r="A1208" t="s">
        <v>18964</v>
      </c>
      <c r="B1208">
        <v>45007</v>
      </c>
      <c r="C1208" t="s">
        <v>17299</v>
      </c>
      <c r="D1208" t="s">
        <v>18631</v>
      </c>
      <c r="E1208">
        <v>0</v>
      </c>
      <c r="F1208">
        <v>273124.78200000001</v>
      </c>
      <c r="G1208" s="259">
        <v>247807.87200000003</v>
      </c>
      <c r="H1208" s="259">
        <v>0</v>
      </c>
      <c r="I1208" s="259">
        <v>0</v>
      </c>
      <c r="J1208" s="259">
        <v>0</v>
      </c>
      <c r="K1208" s="260">
        <v>27302.55</v>
      </c>
      <c r="L1208" s="260">
        <v>0</v>
      </c>
      <c r="M1208" s="260">
        <v>0</v>
      </c>
      <c r="N1208" s="260">
        <v>0</v>
      </c>
      <c r="O1208" s="261">
        <v>275110.42200000002</v>
      </c>
      <c r="P1208" s="261">
        <v>0</v>
      </c>
      <c r="Q1208" s="261">
        <v>0</v>
      </c>
      <c r="R1208" s="261">
        <v>0</v>
      </c>
      <c r="S1208">
        <v>275110.42200000002</v>
      </c>
      <c r="T1208">
        <v>-1985.640000000014</v>
      </c>
    </row>
    <row r="1209" spans="1:20">
      <c r="A1209" t="s">
        <v>18965</v>
      </c>
      <c r="B1209">
        <v>45017</v>
      </c>
      <c r="C1209" t="s">
        <v>17233</v>
      </c>
      <c r="D1209" t="s">
        <v>17234</v>
      </c>
      <c r="E1209">
        <v>0</v>
      </c>
      <c r="F1209">
        <v>1583608.32</v>
      </c>
      <c r="G1209" s="259">
        <v>0</v>
      </c>
      <c r="H1209" s="259">
        <v>1168351.0272000004</v>
      </c>
      <c r="I1209" s="259">
        <v>415257.29279999994</v>
      </c>
      <c r="J1209" s="259">
        <v>0</v>
      </c>
      <c r="K1209" s="260">
        <v>0</v>
      </c>
      <c r="L1209" s="260">
        <v>0</v>
      </c>
      <c r="M1209" s="260">
        <v>0</v>
      </c>
      <c r="N1209" s="260">
        <v>0</v>
      </c>
      <c r="O1209" s="261">
        <v>0</v>
      </c>
      <c r="P1209" s="261">
        <v>1168351.0272000004</v>
      </c>
      <c r="Q1209" s="261">
        <v>415257.29279999994</v>
      </c>
      <c r="R1209" s="261">
        <v>0</v>
      </c>
      <c r="S1209">
        <v>1583608.3200000003</v>
      </c>
      <c r="T1209">
        <v>0</v>
      </c>
    </row>
    <row r="1210" spans="1:20">
      <c r="A1210" t="s">
        <v>18966</v>
      </c>
      <c r="B1210">
        <v>45017</v>
      </c>
      <c r="C1210" t="s">
        <v>16444</v>
      </c>
      <c r="D1210" t="s">
        <v>16445</v>
      </c>
      <c r="E1210">
        <v>0</v>
      </c>
      <c r="F1210">
        <v>52704</v>
      </c>
      <c r="G1210" s="259">
        <v>52704</v>
      </c>
      <c r="H1210" s="259">
        <v>0</v>
      </c>
      <c r="I1210" s="259">
        <v>0</v>
      </c>
      <c r="J1210" s="259">
        <v>0</v>
      </c>
      <c r="K1210" s="260">
        <v>0</v>
      </c>
      <c r="L1210" s="260">
        <v>0</v>
      </c>
      <c r="M1210" s="260">
        <v>0</v>
      </c>
      <c r="N1210" s="260">
        <v>0</v>
      </c>
      <c r="O1210" s="261">
        <v>52704</v>
      </c>
      <c r="P1210" s="261">
        <v>0</v>
      </c>
      <c r="Q1210" s="261">
        <v>0</v>
      </c>
      <c r="R1210" s="261">
        <v>0</v>
      </c>
      <c r="S1210">
        <v>52704</v>
      </c>
      <c r="T1210">
        <v>0</v>
      </c>
    </row>
    <row r="1211" spans="1:20">
      <c r="A1211" t="s">
        <v>18967</v>
      </c>
      <c r="B1211">
        <v>45017</v>
      </c>
      <c r="C1211" t="s">
        <v>17017</v>
      </c>
      <c r="D1211" t="s">
        <v>17430</v>
      </c>
      <c r="E1211">
        <v>0</v>
      </c>
      <c r="F1211">
        <v>61000</v>
      </c>
      <c r="G1211" s="259">
        <v>0</v>
      </c>
      <c r="H1211" s="259">
        <v>61000</v>
      </c>
      <c r="I1211" s="259">
        <v>0</v>
      </c>
      <c r="J1211" s="259">
        <v>0</v>
      </c>
      <c r="K1211" s="260">
        <v>0</v>
      </c>
      <c r="L1211" s="260">
        <v>0</v>
      </c>
      <c r="M1211" s="260">
        <v>0</v>
      </c>
      <c r="N1211" s="260">
        <v>0</v>
      </c>
      <c r="O1211" s="261">
        <v>0</v>
      </c>
      <c r="P1211" s="261">
        <v>61000</v>
      </c>
      <c r="Q1211" s="261">
        <v>0</v>
      </c>
      <c r="R1211" s="261">
        <v>0</v>
      </c>
      <c r="S1211">
        <v>61000</v>
      </c>
      <c r="T1211">
        <v>0</v>
      </c>
    </row>
    <row r="1212" spans="1:20">
      <c r="A1212" t="s">
        <v>18968</v>
      </c>
      <c r="B1212">
        <v>45019</v>
      </c>
      <c r="C1212" t="s">
        <v>16384</v>
      </c>
      <c r="D1212" t="s">
        <v>16385</v>
      </c>
      <c r="E1212">
        <v>0</v>
      </c>
      <c r="F1212">
        <v>419197.44</v>
      </c>
      <c r="G1212" s="259">
        <v>419197.44</v>
      </c>
      <c r="H1212" s="259">
        <v>0</v>
      </c>
      <c r="I1212" s="259">
        <v>0</v>
      </c>
      <c r="J1212" s="259">
        <v>0</v>
      </c>
      <c r="K1212" s="260">
        <v>0</v>
      </c>
      <c r="L1212" s="260">
        <v>0</v>
      </c>
      <c r="M1212" s="260">
        <v>0</v>
      </c>
      <c r="N1212" s="260">
        <v>0</v>
      </c>
      <c r="O1212" s="261">
        <v>419197.44</v>
      </c>
      <c r="P1212" s="261">
        <v>0</v>
      </c>
      <c r="Q1212" s="261">
        <v>0</v>
      </c>
      <c r="R1212" s="261">
        <v>0</v>
      </c>
      <c r="S1212">
        <v>419197.44</v>
      </c>
      <c r="T1212">
        <v>0</v>
      </c>
    </row>
    <row r="1213" spans="1:20">
      <c r="A1213" t="s">
        <v>18969</v>
      </c>
      <c r="B1213">
        <v>45019</v>
      </c>
      <c r="C1213" t="s">
        <v>17342</v>
      </c>
      <c r="D1213" t="s">
        <v>17343</v>
      </c>
      <c r="E1213">
        <v>0</v>
      </c>
      <c r="F1213">
        <v>30339.292999999998</v>
      </c>
      <c r="G1213" s="259">
        <v>1081.0213439999998</v>
      </c>
      <c r="H1213" s="259">
        <v>14215.270759200001</v>
      </c>
      <c r="I1213" s="259">
        <v>2026.9150199999995</v>
      </c>
      <c r="J1213" s="259">
        <v>4049.0326079999995</v>
      </c>
      <c r="K1213" s="260">
        <v>792.8823537848607</v>
      </c>
      <c r="L1213" s="260">
        <v>5550.1764764940244</v>
      </c>
      <c r="M1213" s="260">
        <v>1486.6544133466136</v>
      </c>
      <c r="N1213" s="260">
        <v>462.51470637450205</v>
      </c>
      <c r="O1213" s="261">
        <v>1873.9036977848605</v>
      </c>
      <c r="P1213" s="261">
        <v>19765.447235694024</v>
      </c>
      <c r="Q1213" s="261">
        <v>3513.5694333466131</v>
      </c>
      <c r="R1213" s="261">
        <v>4511.5473143745012</v>
      </c>
      <c r="S1213">
        <v>29664.467681199996</v>
      </c>
      <c r="T1213">
        <v>674.8253188000017</v>
      </c>
    </row>
    <row r="1214" spans="1:20">
      <c r="A1214" t="s">
        <v>18970</v>
      </c>
      <c r="B1214">
        <v>45019</v>
      </c>
      <c r="C1214" t="s">
        <v>17017</v>
      </c>
      <c r="D1214" t="s">
        <v>17430</v>
      </c>
      <c r="E1214">
        <v>0</v>
      </c>
      <c r="F1214">
        <v>61000</v>
      </c>
      <c r="G1214" s="259">
        <v>0</v>
      </c>
      <c r="H1214" s="259">
        <v>61000</v>
      </c>
      <c r="I1214" s="259">
        <v>0</v>
      </c>
      <c r="J1214" s="259">
        <v>0</v>
      </c>
      <c r="K1214" s="260">
        <v>0</v>
      </c>
      <c r="L1214" s="260">
        <v>0</v>
      </c>
      <c r="M1214" s="260">
        <v>0</v>
      </c>
      <c r="N1214" s="260">
        <v>0</v>
      </c>
      <c r="O1214" s="261">
        <v>0</v>
      </c>
      <c r="P1214" s="261">
        <v>61000</v>
      </c>
      <c r="Q1214" s="261">
        <v>0</v>
      </c>
      <c r="R1214" s="261">
        <v>0</v>
      </c>
      <c r="S1214">
        <v>61000</v>
      </c>
      <c r="T1214">
        <v>0</v>
      </c>
    </row>
    <row r="1215" spans="1:20">
      <c r="A1215" t="s">
        <v>18971</v>
      </c>
      <c r="B1215">
        <v>45021</v>
      </c>
      <c r="C1215" t="s">
        <v>17017</v>
      </c>
      <c r="D1215" t="s">
        <v>17430</v>
      </c>
      <c r="E1215">
        <v>0</v>
      </c>
      <c r="F1215">
        <v>52000</v>
      </c>
      <c r="G1215" s="259">
        <v>0</v>
      </c>
      <c r="H1215" s="259">
        <v>52000</v>
      </c>
      <c r="I1215" s="259">
        <v>0</v>
      </c>
      <c r="J1215" s="259">
        <v>0</v>
      </c>
      <c r="K1215" s="260">
        <v>0</v>
      </c>
      <c r="L1215" s="260">
        <v>0</v>
      </c>
      <c r="M1215" s="260">
        <v>0</v>
      </c>
      <c r="N1215" s="260">
        <v>0</v>
      </c>
      <c r="O1215" s="261">
        <v>0</v>
      </c>
      <c r="P1215" s="261">
        <v>52000</v>
      </c>
      <c r="Q1215" s="261">
        <v>0</v>
      </c>
      <c r="R1215" s="261">
        <v>0</v>
      </c>
      <c r="S1215">
        <v>52000</v>
      </c>
      <c r="T1215">
        <v>0</v>
      </c>
    </row>
    <row r="1216" spans="1:20">
      <c r="A1216" t="s">
        <v>18972</v>
      </c>
      <c r="B1216">
        <v>45021</v>
      </c>
      <c r="C1216" t="s">
        <v>17017</v>
      </c>
      <c r="D1216" t="s">
        <v>17430</v>
      </c>
      <c r="E1216">
        <v>0</v>
      </c>
      <c r="F1216">
        <v>49000</v>
      </c>
      <c r="G1216" s="259">
        <v>49000</v>
      </c>
      <c r="H1216" s="259">
        <v>0</v>
      </c>
      <c r="I1216" s="259">
        <v>0</v>
      </c>
      <c r="J1216" s="259">
        <v>0</v>
      </c>
      <c r="K1216" s="260">
        <v>0</v>
      </c>
      <c r="L1216" s="260">
        <v>0</v>
      </c>
      <c r="M1216" s="260">
        <v>0</v>
      </c>
      <c r="N1216" s="260">
        <v>0</v>
      </c>
      <c r="O1216" s="261">
        <v>49000</v>
      </c>
      <c r="P1216" s="261">
        <v>0</v>
      </c>
      <c r="Q1216" s="261">
        <v>0</v>
      </c>
      <c r="R1216" s="261">
        <v>0</v>
      </c>
      <c r="S1216">
        <v>49000</v>
      </c>
      <c r="T1216">
        <v>0</v>
      </c>
    </row>
    <row r="1217" spans="1:20">
      <c r="A1217" t="s">
        <v>18973</v>
      </c>
      <c r="B1217">
        <v>45021</v>
      </c>
      <c r="C1217" t="s">
        <v>17017</v>
      </c>
      <c r="D1217" t="s">
        <v>17430</v>
      </c>
      <c r="E1217">
        <v>0</v>
      </c>
      <c r="F1217">
        <v>49000</v>
      </c>
      <c r="G1217" s="259">
        <v>49000</v>
      </c>
      <c r="H1217" s="259">
        <v>0</v>
      </c>
      <c r="I1217" s="259">
        <v>0</v>
      </c>
      <c r="J1217" s="259">
        <v>0</v>
      </c>
      <c r="K1217" s="260">
        <v>0</v>
      </c>
      <c r="L1217" s="260">
        <v>0</v>
      </c>
      <c r="M1217" s="260">
        <v>0</v>
      </c>
      <c r="N1217" s="260">
        <v>0</v>
      </c>
      <c r="O1217" s="261">
        <v>49000</v>
      </c>
      <c r="P1217" s="261">
        <v>0</v>
      </c>
      <c r="Q1217" s="261">
        <v>0</v>
      </c>
      <c r="R1217" s="261">
        <v>0</v>
      </c>
      <c r="S1217">
        <v>49000</v>
      </c>
      <c r="T1217">
        <v>0</v>
      </c>
    </row>
    <row r="1218" spans="1:20">
      <c r="A1218" t="s">
        <v>18974</v>
      </c>
      <c r="B1218">
        <v>45026</v>
      </c>
      <c r="C1218" t="s">
        <v>16880</v>
      </c>
      <c r="D1218" t="s">
        <v>16881</v>
      </c>
      <c r="E1218">
        <v>0</v>
      </c>
      <c r="F1218">
        <v>85907.786999999997</v>
      </c>
      <c r="G1218" s="259">
        <v>22378.478234399998</v>
      </c>
      <c r="H1218" s="259">
        <v>63529.381308000004</v>
      </c>
      <c r="I1218" s="259">
        <v>0</v>
      </c>
      <c r="J1218" s="259">
        <v>0</v>
      </c>
      <c r="K1218" s="260">
        <v>0</v>
      </c>
      <c r="L1218" s="260">
        <v>0</v>
      </c>
      <c r="M1218" s="260">
        <v>0</v>
      </c>
      <c r="N1218" s="260">
        <v>0</v>
      </c>
      <c r="O1218" s="261">
        <v>22378.478234399998</v>
      </c>
      <c r="P1218" s="261">
        <v>63529.381308000004</v>
      </c>
      <c r="Q1218" s="261">
        <v>0</v>
      </c>
      <c r="R1218" s="261">
        <v>0</v>
      </c>
      <c r="S1218">
        <v>85907.859542399994</v>
      </c>
      <c r="T1218">
        <v>-7.2542399997473694E-2</v>
      </c>
    </row>
    <row r="1219" spans="1:20">
      <c r="A1219" t="s">
        <v>18975</v>
      </c>
      <c r="B1219">
        <v>45026</v>
      </c>
      <c r="C1219" t="s">
        <v>17156</v>
      </c>
      <c r="D1219" t="s">
        <v>17575</v>
      </c>
      <c r="E1219">
        <v>0</v>
      </c>
      <c r="F1219">
        <v>180810</v>
      </c>
      <c r="G1219" s="259">
        <v>0</v>
      </c>
      <c r="H1219" s="259">
        <v>180810</v>
      </c>
      <c r="I1219" s="259">
        <v>0</v>
      </c>
      <c r="J1219" s="259">
        <v>0</v>
      </c>
      <c r="K1219" s="260">
        <v>0</v>
      </c>
      <c r="L1219" s="260">
        <v>0</v>
      </c>
      <c r="M1219" s="260">
        <v>0</v>
      </c>
      <c r="N1219" s="260">
        <v>0</v>
      </c>
      <c r="O1219" s="261">
        <v>0</v>
      </c>
      <c r="P1219" s="261">
        <v>180810</v>
      </c>
      <c r="Q1219" s="261">
        <v>0</v>
      </c>
      <c r="R1219" s="261">
        <v>0</v>
      </c>
      <c r="S1219">
        <v>180810</v>
      </c>
      <c r="T1219">
        <v>0</v>
      </c>
    </row>
    <row r="1220" spans="1:20">
      <c r="A1220" t="s">
        <v>18976</v>
      </c>
      <c r="B1220">
        <v>45027</v>
      </c>
      <c r="C1220" t="s">
        <v>17259</v>
      </c>
      <c r="D1220" t="s">
        <v>17260</v>
      </c>
      <c r="E1220">
        <v>0</v>
      </c>
      <c r="F1220">
        <v>107914.681</v>
      </c>
      <c r="G1220" s="259">
        <v>5994.9216000000006</v>
      </c>
      <c r="H1220" s="259">
        <v>69965.121599999999</v>
      </c>
      <c r="I1220" s="259">
        <v>0</v>
      </c>
      <c r="J1220" s="259">
        <v>13677.438</v>
      </c>
      <c r="K1220" s="260">
        <v>1215.7782705099776</v>
      </c>
      <c r="L1220" s="260">
        <v>16048.273170731703</v>
      </c>
      <c r="M1220" s="260">
        <v>0</v>
      </c>
      <c r="N1220" s="260">
        <v>1013.1485587583147</v>
      </c>
      <c r="O1220" s="261">
        <v>7210.6998705099777</v>
      </c>
      <c r="P1220" s="261">
        <v>86013.394770731698</v>
      </c>
      <c r="Q1220" s="261">
        <v>0</v>
      </c>
      <c r="R1220" s="261">
        <v>14690.586558758314</v>
      </c>
      <c r="S1220">
        <v>107914.68119999999</v>
      </c>
      <c r="T1220">
        <v>-1.9999999494757503E-4</v>
      </c>
    </row>
    <row r="1221" spans="1:20">
      <c r="A1221" t="s">
        <v>18977</v>
      </c>
      <c r="B1221">
        <v>45027</v>
      </c>
      <c r="C1221" t="s">
        <v>17309</v>
      </c>
      <c r="D1221" t="s">
        <v>18704</v>
      </c>
      <c r="E1221">
        <v>0</v>
      </c>
      <c r="F1221">
        <v>188160</v>
      </c>
      <c r="G1221" s="259">
        <v>144000</v>
      </c>
      <c r="H1221" s="259">
        <v>44160</v>
      </c>
      <c r="I1221" s="259">
        <v>0</v>
      </c>
      <c r="J1221" s="259">
        <v>0</v>
      </c>
      <c r="K1221" s="260">
        <v>0</v>
      </c>
      <c r="L1221" s="260">
        <v>0</v>
      </c>
      <c r="M1221" s="260">
        <v>0</v>
      </c>
      <c r="N1221" s="260">
        <v>0</v>
      </c>
      <c r="O1221" s="261">
        <v>144000</v>
      </c>
      <c r="P1221" s="261">
        <v>44160</v>
      </c>
      <c r="Q1221" s="261">
        <v>0</v>
      </c>
      <c r="R1221" s="261">
        <v>0</v>
      </c>
      <c r="S1221">
        <v>188160</v>
      </c>
      <c r="T1221">
        <v>0</v>
      </c>
    </row>
    <row r="1222" spans="1:20">
      <c r="A1222" t="s">
        <v>18978</v>
      </c>
      <c r="B1222">
        <v>45027</v>
      </c>
      <c r="C1222" t="s">
        <v>17309</v>
      </c>
      <c r="D1222" t="s">
        <v>18704</v>
      </c>
      <c r="E1222">
        <v>0</v>
      </c>
      <c r="F1222">
        <v>144000</v>
      </c>
      <c r="G1222" s="259">
        <v>144000</v>
      </c>
      <c r="H1222" s="259">
        <v>0</v>
      </c>
      <c r="I1222" s="259">
        <v>0</v>
      </c>
      <c r="J1222" s="259">
        <v>0</v>
      </c>
      <c r="K1222" s="260">
        <v>0</v>
      </c>
      <c r="L1222" s="260">
        <v>0</v>
      </c>
      <c r="M1222" s="260">
        <v>0</v>
      </c>
      <c r="N1222" s="260">
        <v>0</v>
      </c>
      <c r="O1222" s="261">
        <v>144000</v>
      </c>
      <c r="P1222" s="261">
        <v>0</v>
      </c>
      <c r="Q1222" s="261">
        <v>0</v>
      </c>
      <c r="R1222" s="261">
        <v>0</v>
      </c>
      <c r="S1222">
        <v>144000</v>
      </c>
      <c r="T1222">
        <v>0</v>
      </c>
    </row>
    <row r="1223" spans="1:20">
      <c r="A1223" t="s">
        <v>18979</v>
      </c>
      <c r="B1223">
        <v>45028</v>
      </c>
      <c r="C1223" t="s">
        <v>17017</v>
      </c>
      <c r="D1223" t="s">
        <v>17430</v>
      </c>
      <c r="E1223">
        <v>0</v>
      </c>
      <c r="F1223">
        <v>61000</v>
      </c>
      <c r="G1223" s="259">
        <v>0</v>
      </c>
      <c r="H1223" s="259">
        <v>61000</v>
      </c>
      <c r="I1223" s="259">
        <v>0</v>
      </c>
      <c r="J1223" s="259">
        <v>0</v>
      </c>
      <c r="K1223" s="260">
        <v>0</v>
      </c>
      <c r="L1223" s="260">
        <v>0</v>
      </c>
      <c r="M1223" s="260">
        <v>0</v>
      </c>
      <c r="N1223" s="260">
        <v>0</v>
      </c>
      <c r="O1223" s="261">
        <v>0</v>
      </c>
      <c r="P1223" s="261">
        <v>61000</v>
      </c>
      <c r="Q1223" s="261">
        <v>0</v>
      </c>
      <c r="R1223" s="261">
        <v>0</v>
      </c>
      <c r="S1223">
        <v>61000</v>
      </c>
      <c r="T1223">
        <v>0</v>
      </c>
    </row>
    <row r="1224" spans="1:20">
      <c r="A1224" t="s">
        <v>18980</v>
      </c>
      <c r="B1224">
        <v>45029</v>
      </c>
      <c r="C1224" t="s">
        <v>16444</v>
      </c>
      <c r="D1224" t="s">
        <v>16445</v>
      </c>
      <c r="E1224">
        <v>0</v>
      </c>
      <c r="F1224">
        <v>52704</v>
      </c>
      <c r="G1224" s="259">
        <v>52704</v>
      </c>
      <c r="H1224" s="259">
        <v>0</v>
      </c>
      <c r="I1224" s="259">
        <v>0</v>
      </c>
      <c r="J1224" s="259">
        <v>0</v>
      </c>
      <c r="K1224" s="260">
        <v>0</v>
      </c>
      <c r="L1224" s="260">
        <v>0</v>
      </c>
      <c r="M1224" s="260">
        <v>0</v>
      </c>
      <c r="N1224" s="260">
        <v>0</v>
      </c>
      <c r="O1224" s="261">
        <v>52704</v>
      </c>
      <c r="P1224" s="261">
        <v>0</v>
      </c>
      <c r="Q1224" s="261">
        <v>0</v>
      </c>
      <c r="R1224" s="261">
        <v>0</v>
      </c>
      <c r="S1224">
        <v>52704</v>
      </c>
      <c r="T1224">
        <v>0</v>
      </c>
    </row>
    <row r="1225" spans="1:20">
      <c r="A1225" t="s">
        <v>18981</v>
      </c>
      <c r="B1225">
        <v>45029</v>
      </c>
      <c r="C1225" t="s">
        <v>16444</v>
      </c>
      <c r="D1225" t="s">
        <v>16445</v>
      </c>
      <c r="E1225">
        <v>0</v>
      </c>
      <c r="F1225">
        <v>106518.72</v>
      </c>
      <c r="G1225" s="259">
        <v>106518.72</v>
      </c>
      <c r="H1225" s="259">
        <v>0</v>
      </c>
      <c r="I1225" s="259">
        <v>0</v>
      </c>
      <c r="J1225" s="259">
        <v>0</v>
      </c>
      <c r="K1225" s="260">
        <v>0</v>
      </c>
      <c r="L1225" s="260">
        <v>0</v>
      </c>
      <c r="M1225" s="260">
        <v>0</v>
      </c>
      <c r="N1225" s="260">
        <v>0</v>
      </c>
      <c r="O1225" s="261">
        <v>106518.72</v>
      </c>
      <c r="P1225" s="261">
        <v>0</v>
      </c>
      <c r="Q1225" s="261">
        <v>0</v>
      </c>
      <c r="R1225" s="261">
        <v>0</v>
      </c>
      <c r="S1225">
        <v>106518.72</v>
      </c>
      <c r="T1225">
        <v>0</v>
      </c>
    </row>
    <row r="1226" spans="1:20">
      <c r="A1226" t="s">
        <v>18982</v>
      </c>
      <c r="B1226">
        <v>45031</v>
      </c>
      <c r="C1226" t="s">
        <v>16957</v>
      </c>
      <c r="D1226" t="s">
        <v>17451</v>
      </c>
      <c r="E1226">
        <v>0</v>
      </c>
      <c r="F1226">
        <v>59915.375</v>
      </c>
      <c r="G1226" s="259">
        <v>59915.3751625</v>
      </c>
      <c r="H1226" s="259">
        <v>0</v>
      </c>
      <c r="I1226" s="259">
        <v>0</v>
      </c>
      <c r="J1226" s="259">
        <v>0</v>
      </c>
      <c r="K1226" s="260">
        <v>0</v>
      </c>
      <c r="L1226" s="260">
        <v>0</v>
      </c>
      <c r="M1226" s="260">
        <v>0</v>
      </c>
      <c r="N1226" s="260">
        <v>0</v>
      </c>
      <c r="O1226" s="261">
        <v>59915.3751625</v>
      </c>
      <c r="P1226" s="261">
        <v>0</v>
      </c>
      <c r="Q1226" s="261">
        <v>0</v>
      </c>
      <c r="R1226" s="261">
        <v>0</v>
      </c>
      <c r="S1226">
        <v>59915.3751625</v>
      </c>
      <c r="T1226">
        <v>-1.6250000044237822E-4</v>
      </c>
    </row>
    <row r="1227" spans="1:20">
      <c r="A1227" t="s">
        <v>18983</v>
      </c>
      <c r="B1227">
        <v>45036</v>
      </c>
      <c r="C1227" t="s">
        <v>16783</v>
      </c>
      <c r="D1227" t="s">
        <v>17509</v>
      </c>
      <c r="E1227">
        <v>0</v>
      </c>
      <c r="F1227">
        <v>812784.13699999999</v>
      </c>
      <c r="G1227" s="259">
        <v>0</v>
      </c>
      <c r="H1227" s="259">
        <v>776482.92467999994</v>
      </c>
      <c r="I1227" s="259">
        <v>36301.212</v>
      </c>
      <c r="J1227" s="259">
        <v>0</v>
      </c>
      <c r="K1227" s="260">
        <v>0</v>
      </c>
      <c r="L1227" s="260">
        <v>0</v>
      </c>
      <c r="M1227" s="260">
        <v>0</v>
      </c>
      <c r="N1227" s="260">
        <v>0</v>
      </c>
      <c r="O1227" s="261">
        <v>0</v>
      </c>
      <c r="P1227" s="261">
        <v>776482.92467999994</v>
      </c>
      <c r="Q1227" s="261">
        <v>36301.212</v>
      </c>
      <c r="R1227" s="261">
        <v>0</v>
      </c>
      <c r="S1227">
        <v>812784.13668</v>
      </c>
      <c r="T1227">
        <v>3.1999999191612005E-4</v>
      </c>
    </row>
    <row r="1228" spans="1:20">
      <c r="A1228" t="s">
        <v>18984</v>
      </c>
      <c r="B1228">
        <v>45040</v>
      </c>
      <c r="C1228" t="s">
        <v>17299</v>
      </c>
      <c r="D1228" t="s">
        <v>18631</v>
      </c>
      <c r="E1228">
        <v>0</v>
      </c>
      <c r="F1228">
        <v>166709.96599999999</v>
      </c>
      <c r="G1228" s="259">
        <v>150533.5104</v>
      </c>
      <c r="H1228" s="259">
        <v>0</v>
      </c>
      <c r="I1228" s="259">
        <v>0</v>
      </c>
      <c r="J1228" s="259">
        <v>0</v>
      </c>
      <c r="K1228" s="260">
        <v>16176.455400000001</v>
      </c>
      <c r="L1228" s="260">
        <v>0</v>
      </c>
      <c r="M1228" s="260">
        <v>0</v>
      </c>
      <c r="N1228" s="260">
        <v>0</v>
      </c>
      <c r="O1228" s="261">
        <v>166709.96580000001</v>
      </c>
      <c r="P1228" s="261">
        <v>0</v>
      </c>
      <c r="Q1228" s="261">
        <v>0</v>
      </c>
      <c r="R1228" s="261">
        <v>0</v>
      </c>
      <c r="S1228">
        <v>166709.96580000001</v>
      </c>
      <c r="T1228">
        <v>1.999999803956598E-4</v>
      </c>
    </row>
    <row r="1229" spans="1:20">
      <c r="A1229" t="s">
        <v>18985</v>
      </c>
      <c r="B1229">
        <v>45040</v>
      </c>
      <c r="C1229" t="s">
        <v>16470</v>
      </c>
      <c r="D1229" t="s">
        <v>16471</v>
      </c>
      <c r="E1229">
        <v>0</v>
      </c>
      <c r="F1229">
        <v>667617.86899999995</v>
      </c>
      <c r="G1229" s="259">
        <v>82951.655568000002</v>
      </c>
      <c r="H1229" s="259">
        <v>517154.46920799988</v>
      </c>
      <c r="I1229" s="259">
        <v>0</v>
      </c>
      <c r="J1229" s="259">
        <v>0</v>
      </c>
      <c r="K1229" s="260">
        <v>8801.3366360163</v>
      </c>
      <c r="L1229" s="260">
        <v>58710.407363983708</v>
      </c>
      <c r="M1229" s="260">
        <v>0</v>
      </c>
      <c r="N1229" s="260">
        <v>0</v>
      </c>
      <c r="O1229" s="261">
        <v>91752.992204016307</v>
      </c>
      <c r="P1229" s="261">
        <v>575864.87657198356</v>
      </c>
      <c r="Q1229" s="261">
        <v>0</v>
      </c>
      <c r="R1229" s="261">
        <v>0</v>
      </c>
      <c r="S1229">
        <v>667617.86877599987</v>
      </c>
      <c r="T1229">
        <v>2.2400007583200932E-4</v>
      </c>
    </row>
    <row r="1230" spans="1:20">
      <c r="A1230" t="s">
        <v>18986</v>
      </c>
      <c r="B1230">
        <v>45040</v>
      </c>
      <c r="C1230" t="s">
        <v>16880</v>
      </c>
      <c r="D1230" t="s">
        <v>16881</v>
      </c>
      <c r="E1230">
        <v>0</v>
      </c>
      <c r="F1230">
        <v>88103.069000000003</v>
      </c>
      <c r="G1230" s="259">
        <v>16183.390719999999</v>
      </c>
      <c r="H1230" s="259">
        <v>71919.678048000016</v>
      </c>
      <c r="I1230" s="259">
        <v>0</v>
      </c>
      <c r="J1230" s="259">
        <v>0</v>
      </c>
      <c r="K1230" s="260">
        <v>0</v>
      </c>
      <c r="L1230" s="260">
        <v>0</v>
      </c>
      <c r="M1230" s="260">
        <v>0</v>
      </c>
      <c r="N1230" s="260">
        <v>0</v>
      </c>
      <c r="O1230" s="261">
        <v>16183.390719999999</v>
      </c>
      <c r="P1230" s="261">
        <v>71919.678048000016</v>
      </c>
      <c r="Q1230" s="261">
        <v>0</v>
      </c>
      <c r="R1230" s="261">
        <v>0</v>
      </c>
      <c r="S1230">
        <v>88103.068768000012</v>
      </c>
      <c r="T1230">
        <v>2.3199999122880399E-4</v>
      </c>
    </row>
    <row r="1231" spans="1:20">
      <c r="A1231" t="s">
        <v>18987</v>
      </c>
      <c r="B1231">
        <v>45048</v>
      </c>
      <c r="C1231" t="s">
        <v>16444</v>
      </c>
      <c r="D1231" t="s">
        <v>16445</v>
      </c>
      <c r="E1231">
        <v>0</v>
      </c>
      <c r="F1231">
        <v>47424</v>
      </c>
      <c r="G1231" s="259">
        <v>47424</v>
      </c>
      <c r="H1231" s="259">
        <v>0</v>
      </c>
      <c r="I1231" s="259">
        <v>0</v>
      </c>
      <c r="J1231" s="259">
        <v>0</v>
      </c>
      <c r="K1231" s="260">
        <v>0</v>
      </c>
      <c r="L1231" s="260">
        <v>0</v>
      </c>
      <c r="M1231" s="260">
        <v>0</v>
      </c>
      <c r="N1231" s="260">
        <v>0</v>
      </c>
      <c r="O1231" s="261">
        <v>47424</v>
      </c>
      <c r="P1231" s="261">
        <v>0</v>
      </c>
      <c r="Q1231" s="261">
        <v>0</v>
      </c>
      <c r="R1231" s="261">
        <v>0</v>
      </c>
      <c r="S1231">
        <v>47424</v>
      </c>
      <c r="T1231">
        <v>0</v>
      </c>
    </row>
    <row r="1232" spans="1:20">
      <c r="A1232" t="s">
        <v>18988</v>
      </c>
      <c r="B1232">
        <v>45048</v>
      </c>
      <c r="C1232" t="s">
        <v>16444</v>
      </c>
      <c r="D1232" t="s">
        <v>16445</v>
      </c>
      <c r="E1232">
        <v>0</v>
      </c>
      <c r="F1232">
        <v>49800</v>
      </c>
      <c r="G1232" s="259">
        <v>49800</v>
      </c>
      <c r="H1232" s="259">
        <v>0</v>
      </c>
      <c r="I1232" s="259">
        <v>0</v>
      </c>
      <c r="J1232" s="259">
        <v>0</v>
      </c>
      <c r="K1232" s="260">
        <v>0</v>
      </c>
      <c r="L1232" s="260">
        <v>0</v>
      </c>
      <c r="M1232" s="260">
        <v>0</v>
      </c>
      <c r="N1232" s="260">
        <v>0</v>
      </c>
      <c r="O1232" s="261">
        <v>49800</v>
      </c>
      <c r="P1232" s="261">
        <v>0</v>
      </c>
      <c r="Q1232" s="261">
        <v>0</v>
      </c>
      <c r="R1232" s="261">
        <v>0</v>
      </c>
      <c r="S1232">
        <v>49800</v>
      </c>
      <c r="T1232">
        <v>0</v>
      </c>
    </row>
    <row r="1233" spans="1:20">
      <c r="A1233" t="s">
        <v>18989</v>
      </c>
      <c r="B1233">
        <v>45048</v>
      </c>
      <c r="C1233" t="s">
        <v>16444</v>
      </c>
      <c r="D1233" t="s">
        <v>16445</v>
      </c>
      <c r="E1233">
        <v>0</v>
      </c>
      <c r="F1233">
        <v>113616</v>
      </c>
      <c r="G1233" s="259">
        <v>0</v>
      </c>
      <c r="H1233" s="259">
        <v>113616</v>
      </c>
      <c r="I1233" s="259">
        <v>0</v>
      </c>
      <c r="J1233" s="259">
        <v>0</v>
      </c>
      <c r="K1233" s="260">
        <v>0</v>
      </c>
      <c r="L1233" s="260">
        <v>0</v>
      </c>
      <c r="M1233" s="260">
        <v>0</v>
      </c>
      <c r="N1233" s="260">
        <v>0</v>
      </c>
      <c r="O1233" s="261">
        <v>0</v>
      </c>
      <c r="P1233" s="261">
        <v>113616</v>
      </c>
      <c r="Q1233" s="261">
        <v>0</v>
      </c>
      <c r="R1233" s="261">
        <v>0</v>
      </c>
      <c r="S1233">
        <v>113616</v>
      </c>
      <c r="T1233">
        <v>0</v>
      </c>
    </row>
    <row r="1234" spans="1:20">
      <c r="A1234" t="s">
        <v>18990</v>
      </c>
      <c r="B1234">
        <v>45040</v>
      </c>
      <c r="C1234" t="s">
        <v>16838</v>
      </c>
      <c r="D1234" t="s">
        <v>16839</v>
      </c>
      <c r="E1234">
        <v>0</v>
      </c>
      <c r="F1234">
        <v>225705</v>
      </c>
      <c r="G1234" s="259">
        <v>0</v>
      </c>
      <c r="H1234" s="259">
        <v>48510</v>
      </c>
      <c r="I1234" s="259">
        <v>171920</v>
      </c>
      <c r="J1234" s="259">
        <v>5275</v>
      </c>
      <c r="K1234" s="260">
        <v>0</v>
      </c>
      <c r="L1234" s="260">
        <v>0</v>
      </c>
      <c r="M1234" s="260">
        <v>0</v>
      </c>
      <c r="N1234" s="260">
        <v>0</v>
      </c>
      <c r="O1234" s="261">
        <v>0</v>
      </c>
      <c r="P1234" s="261">
        <v>48510</v>
      </c>
      <c r="Q1234" s="261">
        <v>171920</v>
      </c>
      <c r="R1234" s="261">
        <v>5275</v>
      </c>
      <c r="S1234">
        <v>225705</v>
      </c>
      <c r="T1234">
        <v>0</v>
      </c>
    </row>
    <row r="1235" spans="1:20">
      <c r="A1235" t="s">
        <v>18991</v>
      </c>
      <c r="B1235">
        <v>45048</v>
      </c>
      <c r="C1235" t="s">
        <v>16838</v>
      </c>
      <c r="D1235" t="s">
        <v>16839</v>
      </c>
      <c r="E1235">
        <v>0</v>
      </c>
      <c r="F1235">
        <v>168648.72</v>
      </c>
      <c r="G1235" s="259">
        <v>106518.72</v>
      </c>
      <c r="H1235" s="259">
        <v>55440</v>
      </c>
      <c r="I1235" s="259">
        <v>6690</v>
      </c>
      <c r="J1235" s="259">
        <v>0</v>
      </c>
      <c r="K1235" s="260">
        <v>0</v>
      </c>
      <c r="L1235" s="260">
        <v>0</v>
      </c>
      <c r="M1235" s="260">
        <v>0</v>
      </c>
      <c r="N1235" s="260">
        <v>0</v>
      </c>
      <c r="O1235" s="261">
        <v>106518.72</v>
      </c>
      <c r="P1235" s="261">
        <v>55440</v>
      </c>
      <c r="Q1235" s="261">
        <v>6690</v>
      </c>
      <c r="R1235" s="261">
        <v>0</v>
      </c>
      <c r="S1235">
        <v>168648.72</v>
      </c>
      <c r="T1235">
        <v>0</v>
      </c>
    </row>
    <row r="1236" spans="1:20">
      <c r="A1236" t="s">
        <v>18992</v>
      </c>
      <c r="B1236">
        <v>45040</v>
      </c>
      <c r="C1236" t="s">
        <v>16838</v>
      </c>
      <c r="D1236" t="s">
        <v>16839</v>
      </c>
      <c r="E1236">
        <v>0</v>
      </c>
      <c r="F1236">
        <v>90232.8</v>
      </c>
      <c r="G1236" s="259">
        <v>0</v>
      </c>
      <c r="H1236" s="259">
        <v>90232.8</v>
      </c>
      <c r="I1236" s="259">
        <v>0</v>
      </c>
      <c r="J1236" s="259">
        <v>0</v>
      </c>
      <c r="K1236" s="260">
        <v>0</v>
      </c>
      <c r="L1236" s="260">
        <v>0</v>
      </c>
      <c r="M1236" s="260">
        <v>0</v>
      </c>
      <c r="N1236" s="260">
        <v>0</v>
      </c>
      <c r="O1236" s="261">
        <v>0</v>
      </c>
      <c r="P1236" s="261">
        <v>90232.8</v>
      </c>
      <c r="Q1236" s="261">
        <v>0</v>
      </c>
      <c r="R1236" s="261">
        <v>0</v>
      </c>
      <c r="S1236">
        <v>90232.8</v>
      </c>
      <c r="T1236">
        <v>0</v>
      </c>
    </row>
    <row r="1237" spans="1:20">
      <c r="A1237" t="s">
        <v>18993</v>
      </c>
      <c r="B1237">
        <v>45044</v>
      </c>
      <c r="C1237" t="s">
        <v>16838</v>
      </c>
      <c r="D1237" t="s">
        <v>16839</v>
      </c>
      <c r="E1237">
        <v>0</v>
      </c>
      <c r="F1237">
        <v>4657.5</v>
      </c>
      <c r="G1237" s="259">
        <v>0</v>
      </c>
      <c r="H1237" s="259">
        <v>0</v>
      </c>
      <c r="I1237" s="259">
        <v>0</v>
      </c>
      <c r="J1237" s="259">
        <v>4657.5</v>
      </c>
      <c r="K1237" s="260">
        <v>0</v>
      </c>
      <c r="L1237" s="260">
        <v>0</v>
      </c>
      <c r="M1237" s="260">
        <v>0</v>
      </c>
      <c r="N1237" s="260">
        <v>0</v>
      </c>
      <c r="O1237" s="261">
        <v>0</v>
      </c>
      <c r="P1237" s="261">
        <v>0</v>
      </c>
      <c r="Q1237" s="261">
        <v>0</v>
      </c>
      <c r="R1237" s="261">
        <v>4657.5</v>
      </c>
      <c r="S1237">
        <v>4657.5</v>
      </c>
      <c r="T1237">
        <v>0</v>
      </c>
    </row>
    <row r="1238" spans="1:20">
      <c r="A1238" t="s">
        <v>18994</v>
      </c>
      <c r="B1238">
        <v>45048</v>
      </c>
      <c r="C1238" t="s">
        <v>17332</v>
      </c>
      <c r="D1238" t="s">
        <v>18794</v>
      </c>
      <c r="E1238">
        <v>0</v>
      </c>
      <c r="F1238">
        <v>226007.23199999999</v>
      </c>
      <c r="G1238" s="259">
        <v>226007.23199999999</v>
      </c>
      <c r="H1238" s="259">
        <v>0</v>
      </c>
      <c r="I1238" s="259">
        <v>0</v>
      </c>
      <c r="J1238" s="259">
        <v>0</v>
      </c>
      <c r="K1238" s="260">
        <v>0</v>
      </c>
      <c r="L1238" s="260">
        <v>0</v>
      </c>
      <c r="M1238" s="260">
        <v>0</v>
      </c>
      <c r="N1238" s="260">
        <v>0</v>
      </c>
      <c r="O1238" s="261">
        <v>226007.23199999999</v>
      </c>
      <c r="P1238" s="261">
        <v>0</v>
      </c>
      <c r="Q1238" s="261">
        <v>0</v>
      </c>
      <c r="R1238" s="261">
        <v>0</v>
      </c>
      <c r="S1238">
        <v>226007.23199999999</v>
      </c>
      <c r="T1238">
        <v>0</v>
      </c>
    </row>
    <row r="1239" spans="1:20">
      <c r="A1239" t="s">
        <v>18995</v>
      </c>
      <c r="B1239">
        <v>45049</v>
      </c>
      <c r="C1239" t="s">
        <v>16444</v>
      </c>
      <c r="D1239" t="s">
        <v>16445</v>
      </c>
      <c r="E1239">
        <v>0</v>
      </c>
      <c r="F1239">
        <v>47424</v>
      </c>
      <c r="G1239" s="259">
        <v>47424</v>
      </c>
      <c r="H1239" s="259">
        <v>0</v>
      </c>
      <c r="I1239" s="259">
        <v>0</v>
      </c>
      <c r="J1239" s="259">
        <v>0</v>
      </c>
      <c r="K1239" s="260">
        <v>0</v>
      </c>
      <c r="L1239" s="260">
        <v>0</v>
      </c>
      <c r="M1239" s="260">
        <v>0</v>
      </c>
      <c r="N1239" s="260">
        <v>0</v>
      </c>
      <c r="O1239" s="261">
        <v>47424</v>
      </c>
      <c r="P1239" s="261">
        <v>0</v>
      </c>
      <c r="Q1239" s="261">
        <v>0</v>
      </c>
      <c r="R1239" s="261">
        <v>0</v>
      </c>
      <c r="S1239">
        <v>47424</v>
      </c>
      <c r="T1239">
        <v>0</v>
      </c>
    </row>
    <row r="1240" spans="1:20">
      <c r="A1240" t="s">
        <v>18996</v>
      </c>
      <c r="B1240">
        <v>45049</v>
      </c>
      <c r="C1240" t="s">
        <v>16444</v>
      </c>
      <c r="D1240" t="s">
        <v>16445</v>
      </c>
      <c r="E1240">
        <v>0</v>
      </c>
      <c r="F1240">
        <v>61815.6</v>
      </c>
      <c r="G1240" s="259">
        <v>0</v>
      </c>
      <c r="H1240" s="259">
        <v>0</v>
      </c>
      <c r="I1240" s="259">
        <v>61815.6</v>
      </c>
      <c r="J1240" s="259">
        <v>0</v>
      </c>
      <c r="K1240" s="260">
        <v>0</v>
      </c>
      <c r="L1240" s="260">
        <v>0</v>
      </c>
      <c r="M1240" s="260">
        <v>0</v>
      </c>
      <c r="N1240" s="260">
        <v>0</v>
      </c>
      <c r="O1240" s="261">
        <v>0</v>
      </c>
      <c r="P1240" s="261">
        <v>0</v>
      </c>
      <c r="Q1240" s="261">
        <v>61815.6</v>
      </c>
      <c r="R1240" s="261">
        <v>0</v>
      </c>
      <c r="S1240">
        <v>61815.6</v>
      </c>
      <c r="T1240">
        <v>0</v>
      </c>
    </row>
    <row r="1241" spans="1:20">
      <c r="A1241" t="s">
        <v>18997</v>
      </c>
      <c r="B1241">
        <v>45051</v>
      </c>
      <c r="C1241" t="s">
        <v>16444</v>
      </c>
      <c r="D1241" t="s">
        <v>16445</v>
      </c>
      <c r="E1241">
        <v>0</v>
      </c>
      <c r="F1241">
        <v>131382</v>
      </c>
      <c r="G1241" s="259">
        <v>38688</v>
      </c>
      <c r="H1241" s="259">
        <v>88011</v>
      </c>
      <c r="I1241" s="259">
        <v>4683</v>
      </c>
      <c r="J1241" s="259">
        <v>0</v>
      </c>
      <c r="K1241" s="260">
        <v>0</v>
      </c>
      <c r="L1241" s="260">
        <v>0</v>
      </c>
      <c r="M1241" s="260">
        <v>0</v>
      </c>
      <c r="N1241" s="260">
        <v>0</v>
      </c>
      <c r="O1241" s="261">
        <v>38688</v>
      </c>
      <c r="P1241" s="261">
        <v>88011</v>
      </c>
      <c r="Q1241" s="261">
        <v>4683</v>
      </c>
      <c r="R1241" s="261">
        <v>0</v>
      </c>
      <c r="S1241">
        <v>131382</v>
      </c>
      <c r="T1241">
        <v>0</v>
      </c>
    </row>
    <row r="1242" spans="1:20">
      <c r="A1242" t="s">
        <v>18998</v>
      </c>
      <c r="B1242">
        <v>45055</v>
      </c>
      <c r="C1242" t="s">
        <v>17156</v>
      </c>
      <c r="D1242" t="s">
        <v>17575</v>
      </c>
      <c r="E1242">
        <v>0</v>
      </c>
      <c r="F1242">
        <v>209100</v>
      </c>
      <c r="G1242" s="259">
        <v>0</v>
      </c>
      <c r="H1242" s="259">
        <v>209100</v>
      </c>
      <c r="I1242" s="259">
        <v>0</v>
      </c>
      <c r="J1242" s="259">
        <v>0</v>
      </c>
      <c r="K1242" s="260">
        <v>0</v>
      </c>
      <c r="L1242" s="260">
        <v>0</v>
      </c>
      <c r="M1242" s="260">
        <v>0</v>
      </c>
      <c r="N1242" s="260">
        <v>0</v>
      </c>
      <c r="O1242" s="261">
        <v>0</v>
      </c>
      <c r="P1242" s="261">
        <v>209100</v>
      </c>
      <c r="Q1242" s="261">
        <v>0</v>
      </c>
      <c r="R1242" s="261">
        <v>0</v>
      </c>
      <c r="S1242">
        <v>209100</v>
      </c>
      <c r="T1242">
        <v>0</v>
      </c>
    </row>
    <row r="1243" spans="1:20">
      <c r="A1243" t="s">
        <v>18999</v>
      </c>
      <c r="B1243">
        <v>45055</v>
      </c>
      <c r="C1243" t="s">
        <v>16444</v>
      </c>
      <c r="D1243" t="s">
        <v>16445</v>
      </c>
      <c r="E1243">
        <v>0</v>
      </c>
      <c r="F1243">
        <v>131382</v>
      </c>
      <c r="G1243" s="259">
        <v>38688</v>
      </c>
      <c r="H1243" s="259">
        <v>87900.12</v>
      </c>
      <c r="I1243" s="259">
        <v>4793.88</v>
      </c>
      <c r="J1243" s="259">
        <v>0</v>
      </c>
      <c r="K1243" s="260">
        <v>0</v>
      </c>
      <c r="L1243" s="260">
        <v>0</v>
      </c>
      <c r="M1243" s="260">
        <v>0</v>
      </c>
      <c r="N1243" s="260">
        <v>0</v>
      </c>
      <c r="O1243" s="261">
        <v>38688</v>
      </c>
      <c r="P1243" s="261">
        <v>87900.12</v>
      </c>
      <c r="Q1243" s="261">
        <v>4793.88</v>
      </c>
      <c r="R1243" s="261">
        <v>0</v>
      </c>
      <c r="S1243">
        <v>131382</v>
      </c>
      <c r="T1243">
        <v>0</v>
      </c>
    </row>
    <row r="1244" spans="1:20">
      <c r="A1244" t="s">
        <v>19000</v>
      </c>
      <c r="B1244">
        <v>45055</v>
      </c>
      <c r="C1244" t="s">
        <v>16904</v>
      </c>
      <c r="D1244" t="s">
        <v>16905</v>
      </c>
      <c r="E1244">
        <v>0</v>
      </c>
      <c r="F1244">
        <v>94274.831999999995</v>
      </c>
      <c r="G1244" s="259">
        <v>0</v>
      </c>
      <c r="H1244" s="259">
        <v>50977.279205999992</v>
      </c>
      <c r="I1244" s="259">
        <v>29928.953250000002</v>
      </c>
      <c r="J1244" s="259">
        <v>0</v>
      </c>
      <c r="K1244" s="260">
        <v>0</v>
      </c>
      <c r="L1244" s="260">
        <v>8361.097859589041</v>
      </c>
      <c r="M1244" s="260">
        <v>5007.5021404109593</v>
      </c>
      <c r="N1244" s="260">
        <v>0</v>
      </c>
      <c r="O1244" s="261">
        <v>0</v>
      </c>
      <c r="P1244" s="261">
        <v>59338.377065589033</v>
      </c>
      <c r="Q1244" s="261">
        <v>34936.455390410963</v>
      </c>
      <c r="R1244" s="261">
        <v>0</v>
      </c>
      <c r="S1244">
        <v>94274.832456000004</v>
      </c>
      <c r="T1244">
        <v>-4.5600000885315239E-4</v>
      </c>
    </row>
    <row r="1245" spans="1:20">
      <c r="A1245" t="s">
        <v>19001</v>
      </c>
      <c r="B1245">
        <v>45055</v>
      </c>
      <c r="C1245" t="s">
        <v>16904</v>
      </c>
      <c r="D1245" t="s">
        <v>16905</v>
      </c>
      <c r="E1245">
        <v>0</v>
      </c>
      <c r="F1245">
        <v>94100.371999999988</v>
      </c>
      <c r="G1245" s="259">
        <v>0</v>
      </c>
      <c r="H1245" s="259">
        <v>50802.818975999988</v>
      </c>
      <c r="I1245" s="259">
        <v>29928.953250000002</v>
      </c>
      <c r="J1245" s="259">
        <v>0</v>
      </c>
      <c r="K1245" s="260">
        <v>0</v>
      </c>
      <c r="L1245" s="260">
        <v>8350.356756756757</v>
      </c>
      <c r="M1245" s="260">
        <v>5018.2432432432433</v>
      </c>
      <c r="N1245" s="260">
        <v>0</v>
      </c>
      <c r="O1245" s="261">
        <v>0</v>
      </c>
      <c r="P1245" s="261">
        <v>59153.175732756747</v>
      </c>
      <c r="Q1245" s="261">
        <v>34947.196493243246</v>
      </c>
      <c r="R1245" s="261">
        <v>0</v>
      </c>
      <c r="S1245">
        <v>94100.372225999992</v>
      </c>
      <c r="T1245">
        <v>-2.2600000374950469E-4</v>
      </c>
    </row>
    <row r="1246" spans="1:20">
      <c r="A1246" t="s">
        <v>19002</v>
      </c>
      <c r="B1246">
        <v>45055</v>
      </c>
      <c r="C1246" t="s">
        <v>16904</v>
      </c>
      <c r="D1246" t="s">
        <v>16905</v>
      </c>
      <c r="E1246">
        <v>0</v>
      </c>
      <c r="F1246">
        <v>94135.26400000001</v>
      </c>
      <c r="G1246" s="259">
        <v>0</v>
      </c>
      <c r="H1246" s="259">
        <v>50837.711021999996</v>
      </c>
      <c r="I1246" s="259">
        <v>29928.953250000002</v>
      </c>
      <c r="J1246" s="259">
        <v>0</v>
      </c>
      <c r="K1246" s="260">
        <v>0</v>
      </c>
      <c r="L1246" s="260">
        <v>8352.5086620926249</v>
      </c>
      <c r="M1246" s="260">
        <v>5016.0913379073754</v>
      </c>
      <c r="N1246" s="260">
        <v>0</v>
      </c>
      <c r="O1246" s="261">
        <v>0</v>
      </c>
      <c r="P1246" s="261">
        <v>59190.219684092619</v>
      </c>
      <c r="Q1246" s="261">
        <v>34945.044587907381</v>
      </c>
      <c r="R1246" s="261">
        <v>0</v>
      </c>
      <c r="S1246">
        <v>94135.264272</v>
      </c>
      <c r="T1246">
        <v>-2.71999990218319E-4</v>
      </c>
    </row>
    <row r="1247" spans="1:20">
      <c r="A1247" t="s">
        <v>19003</v>
      </c>
      <c r="B1247">
        <v>45065</v>
      </c>
      <c r="C1247" t="s">
        <v>17297</v>
      </c>
      <c r="D1247" t="s">
        <v>18568</v>
      </c>
      <c r="E1247">
        <v>0</v>
      </c>
      <c r="F1247">
        <v>53160</v>
      </c>
      <c r="G1247" s="259">
        <v>13800</v>
      </c>
      <c r="H1247" s="259">
        <v>39360</v>
      </c>
      <c r="I1247" s="259">
        <v>0</v>
      </c>
      <c r="J1247" s="259">
        <v>0</v>
      </c>
      <c r="K1247" s="260">
        <v>0</v>
      </c>
      <c r="L1247" s="260">
        <v>0</v>
      </c>
      <c r="M1247" s="260">
        <v>0</v>
      </c>
      <c r="N1247" s="260">
        <v>0</v>
      </c>
      <c r="O1247" s="261">
        <v>13800</v>
      </c>
      <c r="P1247" s="261">
        <v>39360</v>
      </c>
      <c r="Q1247" s="261">
        <v>0</v>
      </c>
      <c r="R1247" s="261">
        <v>0</v>
      </c>
      <c r="S1247">
        <v>53160</v>
      </c>
      <c r="T1247">
        <v>0</v>
      </c>
    </row>
    <row r="1248" spans="1:20">
      <c r="A1248" t="s">
        <v>19004</v>
      </c>
      <c r="B1248">
        <v>45065</v>
      </c>
      <c r="C1248" t="s">
        <v>17299</v>
      </c>
      <c r="D1248" t="s">
        <v>18631</v>
      </c>
      <c r="E1248">
        <v>0</v>
      </c>
      <c r="F1248">
        <v>103733.87199999999</v>
      </c>
      <c r="G1248" s="259">
        <v>93584.832000000009</v>
      </c>
      <c r="H1248" s="259">
        <v>0</v>
      </c>
      <c r="I1248" s="259">
        <v>0</v>
      </c>
      <c r="J1248" s="259">
        <v>0</v>
      </c>
      <c r="K1248" s="260">
        <v>10149.039999999999</v>
      </c>
      <c r="L1248" s="260">
        <v>0</v>
      </c>
      <c r="M1248" s="260">
        <v>0</v>
      </c>
      <c r="N1248" s="260">
        <v>0</v>
      </c>
      <c r="O1248" s="261">
        <v>103733.872</v>
      </c>
      <c r="P1248" s="261">
        <v>0</v>
      </c>
      <c r="Q1248" s="261">
        <v>0</v>
      </c>
      <c r="R1248" s="261">
        <v>0</v>
      </c>
      <c r="S1248">
        <v>103733.872</v>
      </c>
      <c r="T1248">
        <v>0</v>
      </c>
    </row>
    <row r="1249" spans="1:20">
      <c r="A1249" t="s">
        <v>19005</v>
      </c>
      <c r="B1249">
        <v>45066</v>
      </c>
      <c r="C1249" t="s">
        <v>16643</v>
      </c>
      <c r="D1249" t="s">
        <v>16644</v>
      </c>
      <c r="E1249">
        <v>0</v>
      </c>
      <c r="F1249">
        <v>117755.57199999999</v>
      </c>
      <c r="G1249" s="259">
        <v>0</v>
      </c>
      <c r="H1249" s="259">
        <v>100395.37199999999</v>
      </c>
      <c r="I1249" s="259">
        <v>0</v>
      </c>
      <c r="J1249" s="259">
        <v>0</v>
      </c>
      <c r="K1249" s="260">
        <v>0</v>
      </c>
      <c r="L1249" s="260">
        <v>17360.2</v>
      </c>
      <c r="M1249" s="260">
        <v>0</v>
      </c>
      <c r="N1249" s="260">
        <v>0</v>
      </c>
      <c r="O1249" s="261">
        <v>0</v>
      </c>
      <c r="P1249" s="261">
        <v>117755.57199999999</v>
      </c>
      <c r="Q1249" s="261">
        <v>0</v>
      </c>
      <c r="R1249" s="261">
        <v>0</v>
      </c>
      <c r="S1249">
        <v>117755.57199999999</v>
      </c>
      <c r="T1249">
        <v>0</v>
      </c>
    </row>
    <row r="1250" spans="1:20">
      <c r="A1250" t="s">
        <v>19006</v>
      </c>
      <c r="B1250">
        <v>45068</v>
      </c>
      <c r="C1250" t="s">
        <v>17329</v>
      </c>
      <c r="D1250" t="s">
        <v>18782</v>
      </c>
      <c r="E1250">
        <v>0</v>
      </c>
      <c r="F1250">
        <v>57412.930999999997</v>
      </c>
      <c r="G1250" s="259">
        <v>9223.3349999999991</v>
      </c>
      <c r="H1250" s="259">
        <v>6327.4562500000002</v>
      </c>
      <c r="I1250" s="259">
        <v>8943.84</v>
      </c>
      <c r="J1250" s="259">
        <v>27949.5</v>
      </c>
      <c r="K1250" s="260">
        <v>1184.6145695364239</v>
      </c>
      <c r="L1250" s="260">
        <v>822.64900662251659</v>
      </c>
      <c r="M1250" s="260">
        <v>1316.2384105960266</v>
      </c>
      <c r="N1250" s="260">
        <v>1645.2980132450332</v>
      </c>
      <c r="O1250" s="261">
        <v>10407.949569536424</v>
      </c>
      <c r="P1250" s="261">
        <v>7150.1052566225171</v>
      </c>
      <c r="Q1250" s="261">
        <v>10260.078410596027</v>
      </c>
      <c r="R1250" s="261">
        <v>29594.798013245032</v>
      </c>
      <c r="S1250">
        <v>57412.931250000001</v>
      </c>
      <c r="T1250">
        <v>-2.5000000459840521E-4</v>
      </c>
    </row>
    <row r="1251" spans="1:20">
      <c r="A1251" t="s">
        <v>19007</v>
      </c>
      <c r="B1251">
        <v>45068</v>
      </c>
      <c r="C1251" t="s">
        <v>17329</v>
      </c>
      <c r="D1251" t="s">
        <v>18782</v>
      </c>
      <c r="E1251">
        <v>0</v>
      </c>
      <c r="F1251">
        <v>113269.60800000001</v>
      </c>
      <c r="G1251" s="259">
        <v>0</v>
      </c>
      <c r="H1251" s="259">
        <v>100224.40800000001</v>
      </c>
      <c r="I1251" s="259">
        <v>0</v>
      </c>
      <c r="J1251" s="259">
        <v>0</v>
      </c>
      <c r="K1251" s="260">
        <v>0</v>
      </c>
      <c r="L1251" s="260">
        <v>13045.199999999999</v>
      </c>
      <c r="M1251" s="260">
        <v>0</v>
      </c>
      <c r="N1251" s="260">
        <v>0</v>
      </c>
      <c r="O1251" s="261">
        <v>0</v>
      </c>
      <c r="P1251" s="261">
        <v>113269.60800000001</v>
      </c>
      <c r="Q1251" s="261">
        <v>0</v>
      </c>
      <c r="R1251" s="261">
        <v>0</v>
      </c>
      <c r="S1251">
        <v>113269.60800000001</v>
      </c>
      <c r="T1251">
        <v>0</v>
      </c>
    </row>
    <row r="1252" spans="1:20">
      <c r="A1252" t="s">
        <v>19008</v>
      </c>
      <c r="B1252">
        <v>45068</v>
      </c>
      <c r="C1252" t="s">
        <v>17346</v>
      </c>
      <c r="D1252" t="s">
        <v>19009</v>
      </c>
      <c r="E1252">
        <v>0</v>
      </c>
      <c r="F1252">
        <v>103436.034</v>
      </c>
      <c r="G1252" s="259">
        <v>103436.03424000001</v>
      </c>
      <c r="H1252" s="259">
        <v>0</v>
      </c>
      <c r="I1252" s="259">
        <v>0</v>
      </c>
      <c r="J1252" s="259">
        <v>0</v>
      </c>
      <c r="K1252" s="260">
        <v>0</v>
      </c>
      <c r="L1252" s="260">
        <v>0</v>
      </c>
      <c r="M1252" s="260">
        <v>0</v>
      </c>
      <c r="N1252" s="260">
        <v>0</v>
      </c>
      <c r="O1252" s="261">
        <v>103436.03424000001</v>
      </c>
      <c r="P1252" s="261">
        <v>0</v>
      </c>
      <c r="Q1252" s="261">
        <v>0</v>
      </c>
      <c r="R1252" s="261">
        <v>0</v>
      </c>
      <c r="S1252">
        <v>103436.03424000001</v>
      </c>
      <c r="T1252">
        <v>-2.4000000848900527E-4</v>
      </c>
    </row>
    <row r="1253" spans="1:20">
      <c r="A1253" t="s">
        <v>19010</v>
      </c>
      <c r="B1253">
        <v>45078</v>
      </c>
      <c r="C1253" t="s">
        <v>16384</v>
      </c>
      <c r="D1253" t="s">
        <v>16385</v>
      </c>
      <c r="E1253">
        <v>0</v>
      </c>
      <c r="F1253">
        <v>178944</v>
      </c>
      <c r="G1253" s="259">
        <v>178944</v>
      </c>
      <c r="H1253" s="259">
        <v>0</v>
      </c>
      <c r="I1253" s="259">
        <v>0</v>
      </c>
      <c r="J1253" s="259">
        <v>0</v>
      </c>
      <c r="K1253" s="260">
        <v>0</v>
      </c>
      <c r="L1253" s="260">
        <v>0</v>
      </c>
      <c r="M1253" s="260">
        <v>0</v>
      </c>
      <c r="N1253" s="260">
        <v>0</v>
      </c>
      <c r="O1253" s="261">
        <v>178944</v>
      </c>
      <c r="P1253" s="261">
        <v>0</v>
      </c>
      <c r="Q1253" s="261">
        <v>0</v>
      </c>
      <c r="R1253" s="261">
        <v>0</v>
      </c>
      <c r="S1253">
        <v>178944</v>
      </c>
      <c r="T1253">
        <v>0</v>
      </c>
    </row>
    <row r="1254" spans="1:20">
      <c r="A1254" t="s">
        <v>19011</v>
      </c>
      <c r="B1254">
        <v>45069</v>
      </c>
      <c r="C1254" t="s">
        <v>16384</v>
      </c>
      <c r="D1254" t="s">
        <v>16385</v>
      </c>
      <c r="E1254">
        <v>0</v>
      </c>
      <c r="F1254">
        <v>334902.21999999997</v>
      </c>
      <c r="G1254" s="259">
        <v>303852.21999999997</v>
      </c>
      <c r="H1254" s="259">
        <v>31050</v>
      </c>
      <c r="I1254" s="259">
        <v>0</v>
      </c>
      <c r="J1254" s="259">
        <v>0</v>
      </c>
      <c r="K1254" s="260">
        <v>0</v>
      </c>
      <c r="L1254" s="260">
        <v>0</v>
      </c>
      <c r="M1254" s="260">
        <v>0</v>
      </c>
      <c r="N1254" s="260">
        <v>0</v>
      </c>
      <c r="O1254" s="261">
        <v>303852.21999999997</v>
      </c>
      <c r="P1254" s="261">
        <v>31050</v>
      </c>
      <c r="Q1254" s="261">
        <v>0</v>
      </c>
      <c r="R1254" s="261">
        <v>0</v>
      </c>
      <c r="S1254">
        <v>334902.21999999997</v>
      </c>
      <c r="T1254">
        <v>0</v>
      </c>
    </row>
    <row r="1255" spans="1:20">
      <c r="A1255" t="s">
        <v>19012</v>
      </c>
      <c r="B1255">
        <v>45069</v>
      </c>
      <c r="C1255" t="s">
        <v>16444</v>
      </c>
      <c r="D1255" t="s">
        <v>16445</v>
      </c>
      <c r="E1255">
        <v>0</v>
      </c>
      <c r="F1255">
        <v>49488</v>
      </c>
      <c r="G1255" s="259">
        <v>49488</v>
      </c>
      <c r="H1255" s="259">
        <v>0</v>
      </c>
      <c r="I1255" s="259">
        <v>0</v>
      </c>
      <c r="J1255" s="259">
        <v>0</v>
      </c>
      <c r="K1255" s="260">
        <v>0</v>
      </c>
      <c r="L1255" s="260">
        <v>0</v>
      </c>
      <c r="M1255" s="260">
        <v>0</v>
      </c>
      <c r="N1255" s="260">
        <v>0</v>
      </c>
      <c r="O1255" s="261">
        <v>49488</v>
      </c>
      <c r="P1255" s="261">
        <v>0</v>
      </c>
      <c r="Q1255" s="261">
        <v>0</v>
      </c>
      <c r="R1255" s="261">
        <v>0</v>
      </c>
      <c r="S1255">
        <v>49488</v>
      </c>
      <c r="T1255">
        <v>0</v>
      </c>
    </row>
    <row r="1256" spans="1:20">
      <c r="A1256" t="s">
        <v>19013</v>
      </c>
      <c r="B1256">
        <v>45069</v>
      </c>
      <c r="C1256" t="s">
        <v>16444</v>
      </c>
      <c r="D1256" t="s">
        <v>16445</v>
      </c>
      <c r="E1256">
        <v>0</v>
      </c>
      <c r="F1256">
        <v>89472</v>
      </c>
      <c r="G1256" s="259">
        <v>89472</v>
      </c>
      <c r="H1256" s="259">
        <v>0</v>
      </c>
      <c r="I1256" s="259">
        <v>0</v>
      </c>
      <c r="J1256" s="259">
        <v>0</v>
      </c>
      <c r="K1256" s="260">
        <v>0</v>
      </c>
      <c r="L1256" s="260">
        <v>0</v>
      </c>
      <c r="M1256" s="260">
        <v>0</v>
      </c>
      <c r="N1256" s="260">
        <v>0</v>
      </c>
      <c r="O1256" s="261">
        <v>89472</v>
      </c>
      <c r="P1256" s="261">
        <v>0</v>
      </c>
      <c r="Q1256" s="261">
        <v>0</v>
      </c>
      <c r="R1256" s="261">
        <v>0</v>
      </c>
      <c r="S1256">
        <v>89472</v>
      </c>
      <c r="T1256">
        <v>0</v>
      </c>
    </row>
    <row r="1257" spans="1:20">
      <c r="A1257" t="s">
        <v>19014</v>
      </c>
      <c r="B1257">
        <v>45070</v>
      </c>
      <c r="C1257" t="s">
        <v>16957</v>
      </c>
      <c r="D1257" t="s">
        <v>17451</v>
      </c>
      <c r="E1257">
        <v>0</v>
      </c>
      <c r="F1257">
        <v>53802.957999999999</v>
      </c>
      <c r="G1257" s="259">
        <v>53802.958299999998</v>
      </c>
      <c r="H1257" s="259">
        <v>0</v>
      </c>
      <c r="I1257" s="259">
        <v>0</v>
      </c>
      <c r="J1257" s="259">
        <v>0</v>
      </c>
      <c r="K1257" s="260">
        <v>0</v>
      </c>
      <c r="L1257" s="260">
        <v>0</v>
      </c>
      <c r="M1257" s="260">
        <v>0</v>
      </c>
      <c r="N1257" s="260">
        <v>0</v>
      </c>
      <c r="O1257" s="261">
        <v>53802.958299999998</v>
      </c>
      <c r="P1257" s="261">
        <v>0</v>
      </c>
      <c r="Q1257" s="261">
        <v>0</v>
      </c>
      <c r="R1257" s="261">
        <v>0</v>
      </c>
      <c r="S1257">
        <v>53802.958299999998</v>
      </c>
      <c r="T1257">
        <v>-2.9999999969732016E-4</v>
      </c>
    </row>
    <row r="1258" spans="1:20">
      <c r="A1258" t="s">
        <v>19015</v>
      </c>
      <c r="B1258">
        <v>45078</v>
      </c>
      <c r="C1258" t="s">
        <v>16957</v>
      </c>
      <c r="D1258" t="s">
        <v>17451</v>
      </c>
      <c r="E1258">
        <v>0</v>
      </c>
      <c r="F1258">
        <v>48566.054000000004</v>
      </c>
      <c r="G1258" s="259">
        <v>48566.053899999999</v>
      </c>
      <c r="H1258" s="259">
        <v>0</v>
      </c>
      <c r="I1258" s="259">
        <v>0</v>
      </c>
      <c r="J1258" s="259">
        <v>0</v>
      </c>
      <c r="K1258" s="260">
        <v>0</v>
      </c>
      <c r="L1258" s="260">
        <v>0</v>
      </c>
      <c r="M1258" s="260">
        <v>0</v>
      </c>
      <c r="N1258" s="260">
        <v>0</v>
      </c>
      <c r="O1258" s="261">
        <v>48566.053899999999</v>
      </c>
      <c r="P1258" s="261">
        <v>0</v>
      </c>
      <c r="Q1258" s="261">
        <v>0</v>
      </c>
      <c r="R1258" s="261">
        <v>0</v>
      </c>
      <c r="S1258">
        <v>48566.053899999999</v>
      </c>
      <c r="T1258">
        <v>1.0000000474974513E-4</v>
      </c>
    </row>
    <row r="1259" spans="1:20">
      <c r="A1259" t="s">
        <v>19016</v>
      </c>
      <c r="B1259">
        <v>45078</v>
      </c>
      <c r="C1259" t="s">
        <v>17276</v>
      </c>
      <c r="D1259" t="s">
        <v>17277</v>
      </c>
      <c r="E1259">
        <v>0</v>
      </c>
      <c r="F1259">
        <v>98185.544000000009</v>
      </c>
      <c r="G1259" s="259">
        <v>88801.343999999983</v>
      </c>
      <c r="H1259" s="259">
        <v>0</v>
      </c>
      <c r="I1259" s="259">
        <v>0</v>
      </c>
      <c r="J1259" s="259">
        <v>0</v>
      </c>
      <c r="K1259" s="260">
        <v>9384.2000000000007</v>
      </c>
      <c r="L1259" s="260">
        <v>0</v>
      </c>
      <c r="M1259" s="260">
        <v>0</v>
      </c>
      <c r="N1259" s="260">
        <v>0</v>
      </c>
      <c r="O1259" s="261">
        <v>98185.54399999998</v>
      </c>
      <c r="P1259" s="261">
        <v>0</v>
      </c>
      <c r="Q1259" s="261">
        <v>0</v>
      </c>
      <c r="R1259" s="261">
        <v>0</v>
      </c>
      <c r="S1259">
        <v>98185.54399999998</v>
      </c>
      <c r="T1259">
        <v>0</v>
      </c>
    </row>
    <row r="1260" spans="1:20">
      <c r="A1260" t="s">
        <v>19017</v>
      </c>
      <c r="B1260">
        <v>45078</v>
      </c>
      <c r="C1260" t="s">
        <v>16444</v>
      </c>
      <c r="D1260" t="s">
        <v>16445</v>
      </c>
      <c r="E1260">
        <v>0</v>
      </c>
      <c r="F1260">
        <v>46895</v>
      </c>
      <c r="G1260" s="259">
        <v>46895</v>
      </c>
      <c r="H1260" s="259">
        <v>0</v>
      </c>
      <c r="I1260" s="259">
        <v>0</v>
      </c>
      <c r="J1260" s="259">
        <v>0</v>
      </c>
      <c r="K1260" s="260">
        <v>0</v>
      </c>
      <c r="L1260" s="260">
        <v>0</v>
      </c>
      <c r="M1260" s="260">
        <v>0</v>
      </c>
      <c r="N1260" s="260">
        <v>0</v>
      </c>
      <c r="O1260" s="261">
        <v>46895</v>
      </c>
      <c r="P1260" s="261">
        <v>0</v>
      </c>
      <c r="Q1260" s="261">
        <v>0</v>
      </c>
      <c r="R1260" s="261">
        <v>0</v>
      </c>
      <c r="S1260">
        <v>46895</v>
      </c>
      <c r="T1260">
        <v>0</v>
      </c>
    </row>
    <row r="1261" spans="1:20">
      <c r="A1261" t="s">
        <v>19018</v>
      </c>
      <c r="B1261">
        <v>45078</v>
      </c>
      <c r="C1261" t="s">
        <v>16444</v>
      </c>
      <c r="D1261" t="s">
        <v>16445</v>
      </c>
      <c r="E1261">
        <v>0</v>
      </c>
      <c r="F1261">
        <v>49579.92</v>
      </c>
      <c r="G1261" s="259">
        <v>49579.92</v>
      </c>
      <c r="H1261" s="259">
        <v>0</v>
      </c>
      <c r="I1261" s="259">
        <v>0</v>
      </c>
      <c r="J1261" s="259">
        <v>0</v>
      </c>
      <c r="K1261" s="260">
        <v>0</v>
      </c>
      <c r="L1261" s="260">
        <v>0</v>
      </c>
      <c r="M1261" s="260">
        <v>0</v>
      </c>
      <c r="N1261" s="260">
        <v>0</v>
      </c>
      <c r="O1261" s="261">
        <v>49579.92</v>
      </c>
      <c r="P1261" s="261">
        <v>0</v>
      </c>
      <c r="Q1261" s="261">
        <v>0</v>
      </c>
      <c r="R1261" s="261">
        <v>0</v>
      </c>
      <c r="S1261">
        <v>49579.92</v>
      </c>
      <c r="T1261">
        <v>0</v>
      </c>
    </row>
    <row r="1262" spans="1:20">
      <c r="A1262" t="s">
        <v>19019</v>
      </c>
      <c r="B1262">
        <v>45078</v>
      </c>
      <c r="C1262" t="s">
        <v>17344</v>
      </c>
      <c r="D1262" t="s">
        <v>19020</v>
      </c>
      <c r="E1262">
        <v>0</v>
      </c>
      <c r="F1262">
        <v>198858.038</v>
      </c>
      <c r="G1262" s="259">
        <v>0</v>
      </c>
      <c r="H1262" s="259">
        <v>141410.16</v>
      </c>
      <c r="I1262" s="259">
        <v>57447.877500000002</v>
      </c>
      <c r="J1262" s="259">
        <v>0</v>
      </c>
      <c r="K1262" s="260">
        <v>0</v>
      </c>
      <c r="L1262" s="260">
        <v>0</v>
      </c>
      <c r="M1262" s="260">
        <v>0</v>
      </c>
      <c r="N1262" s="260">
        <v>0</v>
      </c>
      <c r="O1262" s="261">
        <v>0</v>
      </c>
      <c r="P1262" s="261">
        <v>141410.16</v>
      </c>
      <c r="Q1262" s="261">
        <v>57447.877500000002</v>
      </c>
      <c r="R1262" s="261">
        <v>0</v>
      </c>
      <c r="S1262">
        <v>198858.03750000001</v>
      </c>
      <c r="T1262">
        <v>4.999999946448952E-4</v>
      </c>
    </row>
    <row r="1263" spans="1:20">
      <c r="A1263" t="s">
        <v>19021</v>
      </c>
      <c r="B1263">
        <v>45083</v>
      </c>
      <c r="C1263" t="s">
        <v>16560</v>
      </c>
      <c r="D1263" t="s">
        <v>16561</v>
      </c>
      <c r="E1263">
        <v>0</v>
      </c>
      <c r="F1263">
        <v>206079.72</v>
      </c>
      <c r="G1263" s="259">
        <v>0</v>
      </c>
      <c r="H1263" s="259">
        <v>0</v>
      </c>
      <c r="I1263" s="259">
        <v>206079.72</v>
      </c>
      <c r="J1263" s="259">
        <v>0</v>
      </c>
      <c r="K1263" s="260">
        <v>0</v>
      </c>
      <c r="L1263" s="260">
        <v>0</v>
      </c>
      <c r="M1263" s="260">
        <v>0</v>
      </c>
      <c r="N1263" s="260">
        <v>0</v>
      </c>
      <c r="O1263" s="261">
        <v>0</v>
      </c>
      <c r="P1263" s="261">
        <v>0</v>
      </c>
      <c r="Q1263" s="261">
        <v>206079.72</v>
      </c>
      <c r="R1263" s="261">
        <v>0</v>
      </c>
      <c r="S1263">
        <v>206079.72</v>
      </c>
      <c r="T1263">
        <v>0</v>
      </c>
    </row>
    <row r="1264" spans="1:20">
      <c r="A1264" t="s">
        <v>19022</v>
      </c>
      <c r="B1264">
        <v>45083</v>
      </c>
      <c r="C1264" t="s">
        <v>16560</v>
      </c>
      <c r="D1264" t="s">
        <v>16561</v>
      </c>
      <c r="E1264">
        <v>0</v>
      </c>
      <c r="F1264">
        <v>206147.48</v>
      </c>
      <c r="G1264" s="259">
        <v>0</v>
      </c>
      <c r="H1264" s="259">
        <v>0</v>
      </c>
      <c r="I1264" s="259">
        <v>206147.47999999995</v>
      </c>
      <c r="J1264" s="259">
        <v>0</v>
      </c>
      <c r="K1264" s="260">
        <v>0</v>
      </c>
      <c r="L1264" s="260">
        <v>0</v>
      </c>
      <c r="M1264" s="260">
        <v>0</v>
      </c>
      <c r="N1264" s="260">
        <v>0</v>
      </c>
      <c r="O1264" s="261">
        <v>0</v>
      </c>
      <c r="P1264" s="261">
        <v>0</v>
      </c>
      <c r="Q1264" s="261">
        <v>206147.47999999995</v>
      </c>
      <c r="R1264" s="261">
        <v>0</v>
      </c>
      <c r="S1264">
        <v>206147.47999999995</v>
      </c>
      <c r="T1264">
        <v>0</v>
      </c>
    </row>
    <row r="1265" spans="1:20">
      <c r="A1265" t="s">
        <v>19023</v>
      </c>
      <c r="B1265">
        <v>45083</v>
      </c>
      <c r="C1265" t="s">
        <v>16560</v>
      </c>
      <c r="D1265" t="s">
        <v>16561</v>
      </c>
      <c r="E1265">
        <v>0</v>
      </c>
      <c r="F1265">
        <v>206147.48</v>
      </c>
      <c r="G1265" s="259">
        <v>0</v>
      </c>
      <c r="H1265" s="259">
        <v>0</v>
      </c>
      <c r="I1265" s="259">
        <v>206147.47999999995</v>
      </c>
      <c r="J1265" s="259">
        <v>0</v>
      </c>
      <c r="K1265" s="260">
        <v>0</v>
      </c>
      <c r="L1265" s="260">
        <v>0</v>
      </c>
      <c r="M1265" s="260">
        <v>0</v>
      </c>
      <c r="N1265" s="260">
        <v>0</v>
      </c>
      <c r="O1265" s="261">
        <v>0</v>
      </c>
      <c r="P1265" s="261">
        <v>0</v>
      </c>
      <c r="Q1265" s="261">
        <v>206147.47999999995</v>
      </c>
      <c r="R1265" s="261">
        <v>0</v>
      </c>
      <c r="S1265">
        <v>206147.47999999995</v>
      </c>
      <c r="T1265">
        <v>0</v>
      </c>
    </row>
    <row r="1266" spans="1:20">
      <c r="A1266" t="s">
        <v>19024</v>
      </c>
      <c r="B1266">
        <v>45083</v>
      </c>
      <c r="C1266" t="s">
        <v>17342</v>
      </c>
      <c r="D1266" t="s">
        <v>17343</v>
      </c>
      <c r="E1266">
        <v>0</v>
      </c>
      <c r="F1266">
        <v>20823.206000000002</v>
      </c>
      <c r="G1266" s="259">
        <v>0</v>
      </c>
      <c r="H1266" s="259">
        <v>10438.016399999999</v>
      </c>
      <c r="I1266" s="259">
        <v>780.39</v>
      </c>
      <c r="J1266" s="259">
        <v>0</v>
      </c>
      <c r="K1266" s="260">
        <v>0</v>
      </c>
      <c r="L1266" s="260">
        <v>8922.6409090909074</v>
      </c>
      <c r="M1266" s="260">
        <v>682.15909090909076</v>
      </c>
      <c r="N1266" s="260">
        <v>0</v>
      </c>
      <c r="O1266" s="261">
        <v>0</v>
      </c>
      <c r="P1266" s="261">
        <v>19360.657309090908</v>
      </c>
      <c r="Q1266" s="261">
        <v>1462.5490909090909</v>
      </c>
      <c r="R1266" s="261">
        <v>0</v>
      </c>
      <c r="S1266">
        <v>20823.206399999999</v>
      </c>
      <c r="T1266">
        <v>-3.9999999717110768E-4</v>
      </c>
    </row>
    <row r="1267" spans="1:20">
      <c r="A1267" t="s">
        <v>19025</v>
      </c>
      <c r="B1267">
        <v>45085</v>
      </c>
      <c r="C1267" t="s">
        <v>16560</v>
      </c>
      <c r="D1267" t="s">
        <v>16561</v>
      </c>
      <c r="E1267">
        <v>0</v>
      </c>
      <c r="F1267">
        <v>199850.30399999997</v>
      </c>
      <c r="G1267" s="259">
        <v>0</v>
      </c>
      <c r="H1267" s="259">
        <v>199850.30399999997</v>
      </c>
      <c r="I1267" s="259">
        <v>0</v>
      </c>
      <c r="J1267" s="259">
        <v>0</v>
      </c>
      <c r="K1267" s="260">
        <v>0</v>
      </c>
      <c r="L1267" s="260">
        <v>0</v>
      </c>
      <c r="M1267" s="260">
        <v>0</v>
      </c>
      <c r="N1267" s="260">
        <v>0</v>
      </c>
      <c r="O1267" s="261">
        <v>0</v>
      </c>
      <c r="P1267" s="261">
        <v>199850.30399999997</v>
      </c>
      <c r="Q1267" s="261">
        <v>0</v>
      </c>
      <c r="R1267" s="261">
        <v>0</v>
      </c>
      <c r="S1267">
        <v>199850.30399999997</v>
      </c>
      <c r="T1267">
        <v>0</v>
      </c>
    </row>
    <row r="1268" spans="1:20">
      <c r="A1268" t="s">
        <v>19026</v>
      </c>
      <c r="B1268">
        <v>45086</v>
      </c>
      <c r="C1268" t="s">
        <v>16444</v>
      </c>
      <c r="D1268" t="s">
        <v>16445</v>
      </c>
      <c r="E1268">
        <v>0</v>
      </c>
      <c r="F1268">
        <v>42240</v>
      </c>
      <c r="G1268" s="259">
        <v>42240</v>
      </c>
      <c r="H1268" s="259">
        <v>0</v>
      </c>
      <c r="I1268" s="259">
        <v>0</v>
      </c>
      <c r="J1268" s="259">
        <v>0</v>
      </c>
      <c r="K1268" s="260">
        <v>0</v>
      </c>
      <c r="L1268" s="260">
        <v>0</v>
      </c>
      <c r="M1268" s="260">
        <v>0</v>
      </c>
      <c r="N1268" s="260">
        <v>0</v>
      </c>
      <c r="O1268" s="261">
        <v>42240</v>
      </c>
      <c r="P1268" s="261">
        <v>0</v>
      </c>
      <c r="Q1268" s="261">
        <v>0</v>
      </c>
      <c r="R1268" s="261">
        <v>0</v>
      </c>
      <c r="S1268">
        <v>42240</v>
      </c>
      <c r="T1268">
        <v>0</v>
      </c>
    </row>
    <row r="1269" spans="1:20">
      <c r="A1269" t="s">
        <v>19027</v>
      </c>
      <c r="B1269">
        <v>45087</v>
      </c>
      <c r="C1269" t="s">
        <v>16444</v>
      </c>
      <c r="D1269" t="s">
        <v>16445</v>
      </c>
      <c r="E1269">
        <v>0</v>
      </c>
      <c r="F1269">
        <v>47317.2</v>
      </c>
      <c r="G1269" s="259">
        <v>47317.2</v>
      </c>
      <c r="H1269" s="259">
        <v>0</v>
      </c>
      <c r="I1269" s="259">
        <v>0</v>
      </c>
      <c r="J1269" s="259">
        <v>0</v>
      </c>
      <c r="K1269" s="260">
        <v>0</v>
      </c>
      <c r="L1269" s="260">
        <v>0</v>
      </c>
      <c r="M1269" s="260">
        <v>0</v>
      </c>
      <c r="N1269" s="260">
        <v>0</v>
      </c>
      <c r="O1269" s="261">
        <v>47317.2</v>
      </c>
      <c r="P1269" s="261">
        <v>0</v>
      </c>
      <c r="Q1269" s="261">
        <v>0</v>
      </c>
      <c r="R1269" s="261">
        <v>0</v>
      </c>
      <c r="S1269">
        <v>47317.2</v>
      </c>
      <c r="T1269">
        <v>0</v>
      </c>
    </row>
    <row r="1270" spans="1:20">
      <c r="A1270" t="s">
        <v>19028</v>
      </c>
      <c r="B1270">
        <v>45089</v>
      </c>
      <c r="C1270" t="s">
        <v>17248</v>
      </c>
      <c r="D1270" t="s">
        <v>18158</v>
      </c>
      <c r="E1270">
        <v>0</v>
      </c>
      <c r="F1270">
        <v>179928.92300000001</v>
      </c>
      <c r="G1270" s="259">
        <v>16745.939999999999</v>
      </c>
      <c r="H1270" s="259">
        <v>127210.2231</v>
      </c>
      <c r="I1270" s="259">
        <v>0</v>
      </c>
      <c r="J1270" s="259">
        <v>0</v>
      </c>
      <c r="K1270" s="260">
        <v>4082.6330224904009</v>
      </c>
      <c r="L1270" s="260">
        <v>31890.126977509604</v>
      </c>
      <c r="M1270" s="260">
        <v>0</v>
      </c>
      <c r="N1270" s="260">
        <v>0</v>
      </c>
      <c r="O1270" s="261">
        <v>20828.5730224904</v>
      </c>
      <c r="P1270" s="261">
        <v>159100.35007750962</v>
      </c>
      <c r="Q1270" s="261">
        <v>0</v>
      </c>
      <c r="R1270" s="261">
        <v>0</v>
      </c>
      <c r="S1270">
        <v>179928.92310000001</v>
      </c>
      <c r="T1270">
        <v>-1.0000000474974513E-4</v>
      </c>
    </row>
    <row r="1271" spans="1:20">
      <c r="A1271" t="s">
        <v>19029</v>
      </c>
      <c r="B1271">
        <v>45089</v>
      </c>
      <c r="C1271" t="s">
        <v>17209</v>
      </c>
      <c r="D1271" t="s">
        <v>17210</v>
      </c>
      <c r="E1271">
        <v>0</v>
      </c>
      <c r="F1271">
        <v>56062.703000000001</v>
      </c>
      <c r="G1271" s="259">
        <v>18999.602699999999</v>
      </c>
      <c r="H1271" s="259">
        <v>20646.111599999997</v>
      </c>
      <c r="I1271" s="259">
        <v>9479.4512399999985</v>
      </c>
      <c r="J1271" s="259">
        <v>0</v>
      </c>
      <c r="K1271" s="260">
        <v>2947.3198529411761</v>
      </c>
      <c r="L1271" s="260">
        <v>2720.6029411764703</v>
      </c>
      <c r="M1271" s="260">
        <v>1269.6147058823528</v>
      </c>
      <c r="N1271" s="260">
        <v>0</v>
      </c>
      <c r="O1271" s="261">
        <v>21946.922552941174</v>
      </c>
      <c r="P1271" s="261">
        <v>23366.714541176465</v>
      </c>
      <c r="Q1271" s="261">
        <v>10749.065945882352</v>
      </c>
      <c r="R1271" s="261">
        <v>0</v>
      </c>
      <c r="S1271">
        <v>56062.703039999993</v>
      </c>
      <c r="T1271">
        <v>-3.9999991713557392E-5</v>
      </c>
    </row>
    <row r="1272" spans="1:20">
      <c r="A1272" t="s">
        <v>19030</v>
      </c>
      <c r="B1272">
        <v>45089</v>
      </c>
      <c r="C1272" t="s">
        <v>16823</v>
      </c>
      <c r="D1272" t="s">
        <v>17805</v>
      </c>
      <c r="E1272">
        <v>0</v>
      </c>
      <c r="F1272">
        <v>123503.16800000001</v>
      </c>
      <c r="G1272" s="259">
        <v>20750.080320000001</v>
      </c>
      <c r="H1272" s="259">
        <v>93449.787840000005</v>
      </c>
      <c r="I1272" s="259">
        <v>0</v>
      </c>
      <c r="J1272" s="259">
        <v>0</v>
      </c>
      <c r="K1272" s="260">
        <v>1535.4961165048544</v>
      </c>
      <c r="L1272" s="260">
        <v>7767.8038834951467</v>
      </c>
      <c r="M1272" s="260">
        <v>0</v>
      </c>
      <c r="N1272" s="260">
        <v>0</v>
      </c>
      <c r="O1272" s="261">
        <v>22285.576436504856</v>
      </c>
      <c r="P1272" s="261">
        <v>101217.59172349515</v>
      </c>
      <c r="Q1272" s="261">
        <v>0</v>
      </c>
      <c r="R1272" s="261">
        <v>0</v>
      </c>
      <c r="S1272">
        <v>123503.16816</v>
      </c>
      <c r="T1272">
        <v>-1.5999999595806003E-4</v>
      </c>
    </row>
    <row r="1273" spans="1:20">
      <c r="A1273" t="s">
        <v>19031</v>
      </c>
      <c r="B1273">
        <v>45089</v>
      </c>
      <c r="C1273" t="s">
        <v>16560</v>
      </c>
      <c r="D1273" t="s">
        <v>16561</v>
      </c>
      <c r="E1273">
        <v>0</v>
      </c>
      <c r="F1273">
        <v>206834.32</v>
      </c>
      <c r="G1273" s="259">
        <v>0</v>
      </c>
      <c r="H1273" s="259">
        <v>0</v>
      </c>
      <c r="I1273" s="259">
        <v>206834.32</v>
      </c>
      <c r="J1273" s="259">
        <v>0</v>
      </c>
      <c r="K1273" s="260">
        <v>0</v>
      </c>
      <c r="L1273" s="260">
        <v>0</v>
      </c>
      <c r="M1273" s="260">
        <v>0</v>
      </c>
      <c r="N1273" s="260">
        <v>0</v>
      </c>
      <c r="O1273" s="261">
        <v>0</v>
      </c>
      <c r="P1273" s="261">
        <v>0</v>
      </c>
      <c r="Q1273" s="261">
        <v>206834.32</v>
      </c>
      <c r="R1273" s="261">
        <v>0</v>
      </c>
      <c r="S1273">
        <v>206834.32</v>
      </c>
      <c r="T1273">
        <v>0</v>
      </c>
    </row>
    <row r="1274" spans="1:20">
      <c r="A1274" t="s">
        <v>19032</v>
      </c>
      <c r="B1274">
        <v>45089</v>
      </c>
      <c r="C1274" t="s">
        <v>16560</v>
      </c>
      <c r="D1274" t="s">
        <v>16561</v>
      </c>
      <c r="E1274">
        <v>0</v>
      </c>
      <c r="F1274">
        <v>207662.84</v>
      </c>
      <c r="G1274" s="259">
        <v>0</v>
      </c>
      <c r="H1274" s="259">
        <v>0</v>
      </c>
      <c r="I1274" s="259">
        <v>207662.84</v>
      </c>
      <c r="J1274" s="259">
        <v>0</v>
      </c>
      <c r="K1274" s="260">
        <v>0</v>
      </c>
      <c r="L1274" s="260">
        <v>0</v>
      </c>
      <c r="M1274" s="260">
        <v>0</v>
      </c>
      <c r="N1274" s="260">
        <v>0</v>
      </c>
      <c r="O1274" s="261">
        <v>0</v>
      </c>
      <c r="P1274" s="261">
        <v>0</v>
      </c>
      <c r="Q1274" s="261">
        <v>207662.84</v>
      </c>
      <c r="R1274" s="261">
        <v>0</v>
      </c>
      <c r="S1274">
        <v>207662.84</v>
      </c>
      <c r="T1274">
        <v>0</v>
      </c>
    </row>
    <row r="1275" spans="1:20">
      <c r="A1275" t="s">
        <v>19033</v>
      </c>
      <c r="B1275">
        <v>45089</v>
      </c>
      <c r="C1275" t="s">
        <v>16560</v>
      </c>
      <c r="D1275" t="s">
        <v>16561</v>
      </c>
      <c r="E1275">
        <v>0</v>
      </c>
      <c r="F1275">
        <v>207610.48</v>
      </c>
      <c r="G1275" s="259">
        <v>0</v>
      </c>
      <c r="H1275" s="259">
        <v>0</v>
      </c>
      <c r="I1275" s="259">
        <v>207610.47999999995</v>
      </c>
      <c r="J1275" s="259">
        <v>0</v>
      </c>
      <c r="K1275" s="260">
        <v>0</v>
      </c>
      <c r="L1275" s="260">
        <v>0</v>
      </c>
      <c r="M1275" s="260">
        <v>0</v>
      </c>
      <c r="N1275" s="260">
        <v>0</v>
      </c>
      <c r="O1275" s="261">
        <v>0</v>
      </c>
      <c r="P1275" s="261">
        <v>0</v>
      </c>
      <c r="Q1275" s="261">
        <v>207610.47999999995</v>
      </c>
      <c r="R1275" s="261">
        <v>0</v>
      </c>
      <c r="S1275">
        <v>207610.47999999995</v>
      </c>
      <c r="T1275">
        <v>0</v>
      </c>
    </row>
    <row r="1276" spans="1:20">
      <c r="A1276" t="s">
        <v>19034</v>
      </c>
      <c r="B1276">
        <v>45089</v>
      </c>
      <c r="C1276" t="s">
        <v>16560</v>
      </c>
      <c r="D1276" t="s">
        <v>16561</v>
      </c>
      <c r="E1276">
        <v>0</v>
      </c>
      <c r="F1276">
        <v>199850.30399999997</v>
      </c>
      <c r="G1276" s="259">
        <v>0</v>
      </c>
      <c r="H1276" s="259">
        <v>199850.30399999997</v>
      </c>
      <c r="I1276" s="259">
        <v>0</v>
      </c>
      <c r="J1276" s="259">
        <v>0</v>
      </c>
      <c r="K1276" s="260">
        <v>0</v>
      </c>
      <c r="L1276" s="260">
        <v>0</v>
      </c>
      <c r="M1276" s="260">
        <v>0</v>
      </c>
      <c r="N1276" s="260">
        <v>0</v>
      </c>
      <c r="O1276" s="261">
        <v>0</v>
      </c>
      <c r="P1276" s="261">
        <v>199850.30399999997</v>
      </c>
      <c r="Q1276" s="261">
        <v>0</v>
      </c>
      <c r="R1276" s="261">
        <v>0</v>
      </c>
      <c r="S1276">
        <v>199850.30399999997</v>
      </c>
      <c r="T1276">
        <v>0</v>
      </c>
    </row>
    <row r="1277" spans="1:20">
      <c r="A1277" t="s">
        <v>19035</v>
      </c>
      <c r="B1277">
        <v>45089</v>
      </c>
      <c r="C1277" t="s">
        <v>17226</v>
      </c>
      <c r="D1277" t="s">
        <v>17891</v>
      </c>
      <c r="E1277">
        <v>0</v>
      </c>
      <c r="F1277">
        <v>149967</v>
      </c>
      <c r="G1277" s="259">
        <v>51480</v>
      </c>
      <c r="H1277" s="259">
        <v>37560</v>
      </c>
      <c r="I1277" s="259">
        <v>0</v>
      </c>
      <c r="J1277" s="259">
        <v>60927</v>
      </c>
      <c r="K1277" s="260">
        <v>0</v>
      </c>
      <c r="L1277" s="260">
        <v>0</v>
      </c>
      <c r="M1277" s="260">
        <v>0</v>
      </c>
      <c r="N1277" s="260">
        <v>0</v>
      </c>
      <c r="O1277" s="261">
        <v>51480</v>
      </c>
      <c r="P1277" s="261">
        <v>37560</v>
      </c>
      <c r="Q1277" s="261">
        <v>0</v>
      </c>
      <c r="R1277" s="261">
        <v>60927</v>
      </c>
      <c r="S1277">
        <v>149967</v>
      </c>
      <c r="T1277">
        <v>0</v>
      </c>
    </row>
    <row r="1278" spans="1:20">
      <c r="A1278" t="s">
        <v>19036</v>
      </c>
      <c r="B1278">
        <v>45089</v>
      </c>
      <c r="C1278" t="s">
        <v>16700</v>
      </c>
      <c r="D1278" t="s">
        <v>16701</v>
      </c>
      <c r="E1278">
        <v>0</v>
      </c>
      <c r="F1278">
        <v>169638.432</v>
      </c>
      <c r="G1278" s="259">
        <v>151305.088032</v>
      </c>
      <c r="H1278" s="259">
        <v>0</v>
      </c>
      <c r="I1278" s="259">
        <v>0</v>
      </c>
      <c r="J1278" s="259">
        <v>0</v>
      </c>
      <c r="K1278" s="260">
        <v>18333.344000000001</v>
      </c>
      <c r="L1278" s="260">
        <v>0</v>
      </c>
      <c r="M1278" s="260">
        <v>0</v>
      </c>
      <c r="N1278" s="260">
        <v>0</v>
      </c>
      <c r="O1278" s="261">
        <v>169638.43203200001</v>
      </c>
      <c r="P1278" s="261">
        <v>0</v>
      </c>
      <c r="Q1278" s="261">
        <v>0</v>
      </c>
      <c r="R1278" s="261">
        <v>0</v>
      </c>
      <c r="S1278">
        <v>169638.43203200001</v>
      </c>
      <c r="T1278">
        <v>-3.2000010833144188E-5</v>
      </c>
    </row>
    <row r="1279" spans="1:20">
      <c r="A1279" t="s">
        <v>19037</v>
      </c>
      <c r="B1279">
        <v>45090</v>
      </c>
      <c r="C1279" t="s">
        <v>17342</v>
      </c>
      <c r="D1279" t="s">
        <v>17343</v>
      </c>
      <c r="E1279">
        <v>0</v>
      </c>
      <c r="F1279">
        <v>55442.862999999998</v>
      </c>
      <c r="G1279" s="259">
        <v>0</v>
      </c>
      <c r="H1279" s="259">
        <v>25706.044368000003</v>
      </c>
      <c r="I1279" s="259">
        <v>1577.2067999999999</v>
      </c>
      <c r="J1279" s="259">
        <v>3894.8919719999999</v>
      </c>
      <c r="K1279" s="260">
        <v>0</v>
      </c>
      <c r="L1279" s="260">
        <v>22331.004267766733</v>
      </c>
      <c r="M1279" s="260">
        <v>1364.9758109881866</v>
      </c>
      <c r="N1279" s="260">
        <v>568.73992124507777</v>
      </c>
      <c r="O1279" s="261">
        <v>0</v>
      </c>
      <c r="P1279" s="261">
        <v>48037.04863576674</v>
      </c>
      <c r="Q1279" s="261">
        <v>2942.1826109881868</v>
      </c>
      <c r="R1279" s="261">
        <v>4463.6318932450777</v>
      </c>
      <c r="S1279">
        <v>55442.863140000001</v>
      </c>
      <c r="T1279">
        <v>-1.4000000373926014E-4</v>
      </c>
    </row>
    <row r="1280" spans="1:20">
      <c r="A1280" t="s">
        <v>19038</v>
      </c>
      <c r="B1280">
        <v>45091</v>
      </c>
      <c r="C1280" t="s">
        <v>16838</v>
      </c>
      <c r="D1280" t="s">
        <v>16839</v>
      </c>
      <c r="E1280">
        <v>0</v>
      </c>
      <c r="F1280">
        <v>407148</v>
      </c>
      <c r="G1280" s="259">
        <v>0</v>
      </c>
      <c r="H1280" s="259">
        <v>407148</v>
      </c>
      <c r="I1280" s="259">
        <v>0</v>
      </c>
      <c r="J1280" s="259">
        <v>0</v>
      </c>
      <c r="K1280" s="260">
        <v>0</v>
      </c>
      <c r="L1280" s="260">
        <v>0</v>
      </c>
      <c r="M1280" s="260">
        <v>0</v>
      </c>
      <c r="N1280" s="260">
        <v>0</v>
      </c>
      <c r="O1280" s="261">
        <v>0</v>
      </c>
      <c r="P1280" s="261">
        <v>407148</v>
      </c>
      <c r="Q1280" s="261">
        <v>0</v>
      </c>
      <c r="R1280" s="261">
        <v>0</v>
      </c>
      <c r="S1280">
        <v>407148</v>
      </c>
      <c r="T1280">
        <v>0</v>
      </c>
    </row>
    <row r="1281" spans="1:20">
      <c r="A1281" t="s">
        <v>19039</v>
      </c>
      <c r="B1281">
        <v>45091</v>
      </c>
      <c r="C1281" t="s">
        <v>16838</v>
      </c>
      <c r="D1281" t="s">
        <v>16839</v>
      </c>
      <c r="E1281">
        <v>0</v>
      </c>
      <c r="F1281">
        <v>213458</v>
      </c>
      <c r="G1281" s="259">
        <v>0</v>
      </c>
      <c r="H1281" s="259">
        <v>27675</v>
      </c>
      <c r="I1281" s="259">
        <v>163520</v>
      </c>
      <c r="J1281" s="259">
        <v>22263</v>
      </c>
      <c r="K1281" s="260">
        <v>0</v>
      </c>
      <c r="L1281" s="260">
        <v>0</v>
      </c>
      <c r="M1281" s="260">
        <v>0</v>
      </c>
      <c r="N1281" s="260">
        <v>0</v>
      </c>
      <c r="O1281" s="261">
        <v>0</v>
      </c>
      <c r="P1281" s="261">
        <v>27675</v>
      </c>
      <c r="Q1281" s="261">
        <v>163520</v>
      </c>
      <c r="R1281" s="261">
        <v>22263</v>
      </c>
      <c r="S1281">
        <v>213458</v>
      </c>
      <c r="T1281">
        <v>0</v>
      </c>
    </row>
    <row r="1282" spans="1:20">
      <c r="A1282" t="s">
        <v>19040</v>
      </c>
      <c r="B1282">
        <v>45092</v>
      </c>
      <c r="C1282" t="s">
        <v>16470</v>
      </c>
      <c r="D1282" t="s">
        <v>16471</v>
      </c>
      <c r="E1282">
        <v>0</v>
      </c>
      <c r="F1282">
        <v>643495.83600000001</v>
      </c>
      <c r="G1282" s="259">
        <v>44767.101240000011</v>
      </c>
      <c r="H1282" s="259">
        <v>502199.40294</v>
      </c>
      <c r="I1282" s="259">
        <v>31177.022399999998</v>
      </c>
      <c r="J1282" s="259">
        <v>0</v>
      </c>
      <c r="K1282" s="260">
        <v>4461.4545732906063</v>
      </c>
      <c r="L1282" s="260">
        <v>57125.913858531669</v>
      </c>
      <c r="M1282" s="260">
        <v>3764.9405681777266</v>
      </c>
      <c r="N1282" s="260">
        <v>0</v>
      </c>
      <c r="O1282" s="261">
        <v>49228.555813290615</v>
      </c>
      <c r="P1282" s="261">
        <v>559325.31679853168</v>
      </c>
      <c r="Q1282" s="261">
        <v>34941.962968177722</v>
      </c>
      <c r="R1282" s="261">
        <v>0</v>
      </c>
      <c r="S1282">
        <v>643495.83558000007</v>
      </c>
      <c r="T1282">
        <v>4.1999993845820427E-4</v>
      </c>
    </row>
    <row r="1283" spans="1:20">
      <c r="A1283" t="s">
        <v>19041</v>
      </c>
      <c r="B1283">
        <v>45096</v>
      </c>
      <c r="C1283" t="s">
        <v>17297</v>
      </c>
      <c r="D1283" t="s">
        <v>18568</v>
      </c>
      <c r="E1283">
        <v>0</v>
      </c>
      <c r="F1283">
        <v>57450</v>
      </c>
      <c r="G1283" s="259">
        <v>19320</v>
      </c>
      <c r="H1283" s="259">
        <v>38130</v>
      </c>
      <c r="I1283" s="259">
        <v>0</v>
      </c>
      <c r="J1283" s="259">
        <v>0</v>
      </c>
      <c r="K1283" s="260">
        <v>0</v>
      </c>
      <c r="L1283" s="260">
        <v>0</v>
      </c>
      <c r="M1283" s="260">
        <v>0</v>
      </c>
      <c r="N1283" s="260">
        <v>0</v>
      </c>
      <c r="O1283" s="261">
        <v>19320</v>
      </c>
      <c r="P1283" s="261">
        <v>38130</v>
      </c>
      <c r="Q1283" s="261">
        <v>0</v>
      </c>
      <c r="R1283" s="261">
        <v>0</v>
      </c>
      <c r="S1283">
        <v>57450</v>
      </c>
      <c r="T1283">
        <v>0</v>
      </c>
    </row>
    <row r="1284" spans="1:20">
      <c r="A1284" t="s">
        <v>19042</v>
      </c>
      <c r="B1284">
        <v>45108</v>
      </c>
      <c r="C1284" t="s">
        <v>17309</v>
      </c>
      <c r="D1284" t="s">
        <v>18704</v>
      </c>
      <c r="E1284">
        <v>0</v>
      </c>
      <c r="F1284">
        <v>126720</v>
      </c>
      <c r="G1284" s="259">
        <v>126720</v>
      </c>
      <c r="H1284" s="259">
        <v>0</v>
      </c>
      <c r="I1284" s="259">
        <v>0</v>
      </c>
      <c r="J1284" s="259">
        <v>0</v>
      </c>
      <c r="K1284" s="260">
        <v>0</v>
      </c>
      <c r="L1284" s="260">
        <v>0</v>
      </c>
      <c r="M1284" s="260">
        <v>0</v>
      </c>
      <c r="N1284" s="260">
        <v>0</v>
      </c>
      <c r="O1284" s="261">
        <v>126720</v>
      </c>
      <c r="P1284" s="261">
        <v>0</v>
      </c>
      <c r="Q1284" s="261">
        <v>0</v>
      </c>
      <c r="R1284" s="261">
        <v>0</v>
      </c>
      <c r="S1284">
        <v>126720</v>
      </c>
      <c r="T1284">
        <v>0</v>
      </c>
    </row>
    <row r="1285" spans="1:20">
      <c r="A1285" t="s">
        <v>19043</v>
      </c>
      <c r="B1285">
        <v>45097</v>
      </c>
      <c r="C1285" t="s">
        <v>16957</v>
      </c>
      <c r="D1285" t="s">
        <v>17451</v>
      </c>
      <c r="E1285">
        <v>0</v>
      </c>
      <c r="F1285">
        <v>49703.601999999999</v>
      </c>
      <c r="G1285" s="259">
        <v>49703.601999999992</v>
      </c>
      <c r="H1285" s="259">
        <v>0</v>
      </c>
      <c r="I1285" s="259">
        <v>0</v>
      </c>
      <c r="J1285" s="259">
        <v>0</v>
      </c>
      <c r="K1285" s="260">
        <v>0</v>
      </c>
      <c r="L1285" s="260">
        <v>0</v>
      </c>
      <c r="M1285" s="260">
        <v>0</v>
      </c>
      <c r="N1285" s="260">
        <v>0</v>
      </c>
      <c r="O1285" s="261">
        <v>49703.601999999992</v>
      </c>
      <c r="P1285" s="261">
        <v>0</v>
      </c>
      <c r="Q1285" s="261">
        <v>0</v>
      </c>
      <c r="R1285" s="261">
        <v>0</v>
      </c>
      <c r="S1285">
        <v>49703.601999999992</v>
      </c>
      <c r="T1285">
        <v>0</v>
      </c>
    </row>
    <row r="1286" spans="1:20">
      <c r="A1286" t="s">
        <v>19044</v>
      </c>
      <c r="B1286">
        <v>45098</v>
      </c>
      <c r="C1286" t="s">
        <v>16823</v>
      </c>
      <c r="D1286" t="s">
        <v>17805</v>
      </c>
      <c r="E1286">
        <v>0</v>
      </c>
      <c r="F1286">
        <v>142578.65400000001</v>
      </c>
      <c r="G1286" s="259">
        <v>48213.421920000008</v>
      </c>
      <c r="H1286" s="259">
        <v>80410.282560000007</v>
      </c>
      <c r="I1286" s="259">
        <v>0</v>
      </c>
      <c r="J1286" s="259">
        <v>0</v>
      </c>
      <c r="K1286" s="260">
        <v>4856.5685022026437</v>
      </c>
      <c r="L1286" s="260">
        <v>9098.381497797358</v>
      </c>
      <c r="M1286" s="260">
        <v>0</v>
      </c>
      <c r="N1286" s="260">
        <v>0</v>
      </c>
      <c r="O1286" s="261">
        <v>53069.990422202653</v>
      </c>
      <c r="P1286" s="261">
        <v>89508.664057797359</v>
      </c>
      <c r="Q1286" s="261">
        <v>0</v>
      </c>
      <c r="R1286" s="261">
        <v>0</v>
      </c>
      <c r="S1286">
        <v>142578.65448000003</v>
      </c>
      <c r="T1286">
        <v>-4.8000001697801054E-4</v>
      </c>
    </row>
    <row r="1287" spans="1:20">
      <c r="A1287" t="s">
        <v>19045</v>
      </c>
      <c r="B1287">
        <v>45108</v>
      </c>
      <c r="C1287" t="s">
        <v>17332</v>
      </c>
      <c r="D1287" t="s">
        <v>18794</v>
      </c>
      <c r="E1287">
        <v>0</v>
      </c>
      <c r="F1287">
        <v>209664</v>
      </c>
      <c r="G1287" s="259">
        <v>209664</v>
      </c>
      <c r="H1287" s="259">
        <v>0</v>
      </c>
      <c r="I1287" s="259">
        <v>0</v>
      </c>
      <c r="J1287" s="259">
        <v>0</v>
      </c>
      <c r="K1287" s="260">
        <v>0</v>
      </c>
      <c r="L1287" s="260">
        <v>0</v>
      </c>
      <c r="M1287" s="260">
        <v>0</v>
      </c>
      <c r="N1287" s="260">
        <v>0</v>
      </c>
      <c r="O1287" s="261">
        <v>209664</v>
      </c>
      <c r="P1287" s="261">
        <v>0</v>
      </c>
      <c r="Q1287" s="261">
        <v>0</v>
      </c>
      <c r="R1287" s="261">
        <v>0</v>
      </c>
      <c r="S1287">
        <v>209664</v>
      </c>
      <c r="T1287">
        <v>0</v>
      </c>
    </row>
    <row r="1288" spans="1:20">
      <c r="A1288" t="s">
        <v>19046</v>
      </c>
      <c r="B1288">
        <v>45139</v>
      </c>
      <c r="C1288" t="s">
        <v>17304</v>
      </c>
      <c r="D1288" t="s">
        <v>17305</v>
      </c>
      <c r="E1288">
        <v>0</v>
      </c>
      <c r="F1288">
        <v>100581.587</v>
      </c>
      <c r="G1288" s="259">
        <v>0</v>
      </c>
      <c r="H1288" s="259">
        <v>72436.988668799997</v>
      </c>
      <c r="I1288" s="259">
        <v>4935.5249999999996</v>
      </c>
      <c r="J1288" s="259">
        <v>3704.547</v>
      </c>
      <c r="K1288" s="260">
        <v>0</v>
      </c>
      <c r="L1288" s="260">
        <v>17892.604185024251</v>
      </c>
      <c r="M1288" s="260">
        <v>1309.1908978375102</v>
      </c>
      <c r="N1288" s="260">
        <v>308.04491713823768</v>
      </c>
      <c r="O1288" s="261">
        <v>0</v>
      </c>
      <c r="P1288" s="261">
        <v>90329.592853824244</v>
      </c>
      <c r="Q1288" s="261">
        <v>6244.7158978375101</v>
      </c>
      <c r="R1288" s="261">
        <v>4012.5919171382375</v>
      </c>
      <c r="S1288">
        <v>100586.90066879999</v>
      </c>
      <c r="T1288">
        <v>-5.3136687999940477</v>
      </c>
    </row>
    <row r="1289" spans="1:20">
      <c r="A1289" t="s">
        <v>19047</v>
      </c>
      <c r="B1289">
        <v>45111</v>
      </c>
      <c r="C1289" t="s">
        <v>16444</v>
      </c>
      <c r="D1289" t="s">
        <v>16445</v>
      </c>
      <c r="E1289">
        <v>0</v>
      </c>
      <c r="F1289">
        <v>46812</v>
      </c>
      <c r="G1289" s="259">
        <v>46812</v>
      </c>
      <c r="H1289" s="259">
        <v>0</v>
      </c>
      <c r="I1289" s="259">
        <v>0</v>
      </c>
      <c r="J1289" s="259">
        <v>0</v>
      </c>
      <c r="K1289" s="260">
        <v>0</v>
      </c>
      <c r="L1289" s="260">
        <v>0</v>
      </c>
      <c r="M1289" s="260">
        <v>0</v>
      </c>
      <c r="N1289" s="260">
        <v>0</v>
      </c>
      <c r="O1289" s="261">
        <v>46812</v>
      </c>
      <c r="P1289" s="261">
        <v>0</v>
      </c>
      <c r="Q1289" s="261">
        <v>0</v>
      </c>
      <c r="R1289" s="261">
        <v>0</v>
      </c>
      <c r="S1289">
        <v>46812</v>
      </c>
      <c r="T1289">
        <v>0</v>
      </c>
    </row>
    <row r="1290" spans="1:20">
      <c r="A1290" t="s">
        <v>19048</v>
      </c>
      <c r="B1290">
        <v>45111</v>
      </c>
      <c r="C1290" t="s">
        <v>16444</v>
      </c>
      <c r="D1290" t="s">
        <v>16445</v>
      </c>
      <c r="E1290">
        <v>0</v>
      </c>
      <c r="F1290">
        <v>42240</v>
      </c>
      <c r="G1290" s="259">
        <v>42240</v>
      </c>
      <c r="H1290" s="259">
        <v>0</v>
      </c>
      <c r="I1290" s="259">
        <v>0</v>
      </c>
      <c r="J1290" s="259">
        <v>0</v>
      </c>
      <c r="K1290" s="260">
        <v>0</v>
      </c>
      <c r="L1290" s="260">
        <v>0</v>
      </c>
      <c r="M1290" s="260">
        <v>0</v>
      </c>
      <c r="N1290" s="260">
        <v>0</v>
      </c>
      <c r="O1290" s="261">
        <v>42240</v>
      </c>
      <c r="P1290" s="261">
        <v>0</v>
      </c>
      <c r="Q1290" s="261">
        <v>0</v>
      </c>
      <c r="R1290" s="261">
        <v>0</v>
      </c>
      <c r="S1290">
        <v>42240</v>
      </c>
      <c r="T1290">
        <v>0</v>
      </c>
    </row>
    <row r="1291" spans="1:20">
      <c r="A1291" t="s">
        <v>19049</v>
      </c>
      <c r="B1291">
        <v>45112</v>
      </c>
      <c r="C1291" t="s">
        <v>16783</v>
      </c>
      <c r="D1291" t="s">
        <v>17509</v>
      </c>
      <c r="E1291">
        <v>0</v>
      </c>
      <c r="F1291">
        <v>733462.54799999995</v>
      </c>
      <c r="G1291" s="259">
        <v>55355.663999999997</v>
      </c>
      <c r="H1291" s="259">
        <v>655964.61839999992</v>
      </c>
      <c r="I1291" s="259">
        <v>22142.265599999999</v>
      </c>
      <c r="J1291" s="259">
        <v>0</v>
      </c>
      <c r="K1291" s="260">
        <v>0</v>
      </c>
      <c r="L1291" s="260">
        <v>0</v>
      </c>
      <c r="M1291" s="260">
        <v>0</v>
      </c>
      <c r="N1291" s="260">
        <v>0</v>
      </c>
      <c r="O1291" s="261">
        <v>55355.663999999997</v>
      </c>
      <c r="P1291" s="261">
        <v>655964.61839999992</v>
      </c>
      <c r="Q1291" s="261">
        <v>22142.265599999999</v>
      </c>
      <c r="R1291" s="261">
        <v>0</v>
      </c>
      <c r="S1291">
        <v>733462.54799999995</v>
      </c>
      <c r="T1291">
        <v>0</v>
      </c>
    </row>
    <row r="1292" spans="1:20">
      <c r="A1292" t="s">
        <v>19050</v>
      </c>
      <c r="B1292">
        <v>45114</v>
      </c>
      <c r="C1292" t="s">
        <v>16700</v>
      </c>
      <c r="D1292" t="s">
        <v>16701</v>
      </c>
      <c r="E1292">
        <v>0</v>
      </c>
      <c r="F1292">
        <v>170350.69100000002</v>
      </c>
      <c r="G1292" s="259">
        <v>151940.37096</v>
      </c>
      <c r="H1292" s="259">
        <v>0</v>
      </c>
      <c r="I1292" s="259">
        <v>0</v>
      </c>
      <c r="J1292" s="259">
        <v>0</v>
      </c>
      <c r="K1292" s="260">
        <v>18410.32</v>
      </c>
      <c r="L1292" s="260">
        <v>0</v>
      </c>
      <c r="M1292" s="260">
        <v>0</v>
      </c>
      <c r="N1292" s="260">
        <v>0</v>
      </c>
      <c r="O1292" s="261">
        <v>170350.69096000001</v>
      </c>
      <c r="P1292" s="261">
        <v>0</v>
      </c>
      <c r="Q1292" s="261">
        <v>0</v>
      </c>
      <c r="R1292" s="261">
        <v>0</v>
      </c>
      <c r="S1292">
        <v>170350.69096000001</v>
      </c>
      <c r="T1292">
        <v>4.0000013541430235E-5</v>
      </c>
    </row>
    <row r="1293" spans="1:20">
      <c r="A1293" t="s">
        <v>19051</v>
      </c>
      <c r="B1293">
        <v>45115</v>
      </c>
      <c r="C1293" t="s">
        <v>16560</v>
      </c>
      <c r="D1293" t="s">
        <v>16561</v>
      </c>
      <c r="E1293">
        <v>0</v>
      </c>
      <c r="F1293">
        <v>209375.32</v>
      </c>
      <c r="G1293" s="259">
        <v>0</v>
      </c>
      <c r="H1293" s="259">
        <v>0</v>
      </c>
      <c r="I1293" s="259">
        <v>209375.32</v>
      </c>
      <c r="J1293" s="259">
        <v>0</v>
      </c>
      <c r="K1293" s="260">
        <v>0</v>
      </c>
      <c r="L1293" s="260">
        <v>0</v>
      </c>
      <c r="M1293" s="260">
        <v>0</v>
      </c>
      <c r="N1293" s="260">
        <v>0</v>
      </c>
      <c r="O1293" s="261">
        <v>0</v>
      </c>
      <c r="P1293" s="261">
        <v>0</v>
      </c>
      <c r="Q1293" s="261">
        <v>209375.32</v>
      </c>
      <c r="R1293" s="261">
        <v>0</v>
      </c>
      <c r="S1293">
        <v>209375.32</v>
      </c>
      <c r="T1293">
        <v>0</v>
      </c>
    </row>
    <row r="1294" spans="1:20">
      <c r="A1294" t="s">
        <v>19052</v>
      </c>
      <c r="B1294">
        <v>45115</v>
      </c>
      <c r="C1294" t="s">
        <v>16560</v>
      </c>
      <c r="D1294" t="s">
        <v>16561</v>
      </c>
      <c r="E1294">
        <v>0</v>
      </c>
      <c r="F1294">
        <v>209972.84</v>
      </c>
      <c r="G1294" s="259">
        <v>0</v>
      </c>
      <c r="H1294" s="259">
        <v>0</v>
      </c>
      <c r="I1294" s="259">
        <v>209972.84</v>
      </c>
      <c r="J1294" s="259">
        <v>0</v>
      </c>
      <c r="K1294" s="260">
        <v>0</v>
      </c>
      <c r="L1294" s="260">
        <v>0</v>
      </c>
      <c r="M1294" s="260">
        <v>0</v>
      </c>
      <c r="N1294" s="260">
        <v>0</v>
      </c>
      <c r="O1294" s="261">
        <v>0</v>
      </c>
      <c r="P1294" s="261">
        <v>0</v>
      </c>
      <c r="Q1294" s="261">
        <v>209972.84</v>
      </c>
      <c r="R1294" s="261">
        <v>0</v>
      </c>
      <c r="S1294">
        <v>209972.84</v>
      </c>
      <c r="T1294">
        <v>0</v>
      </c>
    </row>
    <row r="1295" spans="1:20">
      <c r="A1295" t="s">
        <v>19053</v>
      </c>
      <c r="B1295">
        <v>45115</v>
      </c>
      <c r="C1295" t="s">
        <v>16838</v>
      </c>
      <c r="D1295" t="s">
        <v>16839</v>
      </c>
      <c r="E1295">
        <v>0</v>
      </c>
      <c r="F1295">
        <v>407148</v>
      </c>
      <c r="G1295" s="259">
        <v>0</v>
      </c>
      <c r="H1295" s="259">
        <v>407148</v>
      </c>
      <c r="I1295" s="259">
        <v>0</v>
      </c>
      <c r="J1295" s="259">
        <v>0</v>
      </c>
      <c r="K1295" s="260">
        <v>0</v>
      </c>
      <c r="L1295" s="260">
        <v>0</v>
      </c>
      <c r="M1295" s="260">
        <v>0</v>
      </c>
      <c r="N1295" s="260">
        <v>0</v>
      </c>
      <c r="O1295" s="261">
        <v>0</v>
      </c>
      <c r="P1295" s="261">
        <v>407148</v>
      </c>
      <c r="Q1295" s="261">
        <v>0</v>
      </c>
      <c r="R1295" s="261">
        <v>0</v>
      </c>
      <c r="S1295">
        <v>407148</v>
      </c>
      <c r="T1295">
        <v>0</v>
      </c>
    </row>
    <row r="1296" spans="1:20">
      <c r="A1296" t="s">
        <v>19054</v>
      </c>
      <c r="B1296">
        <v>45139</v>
      </c>
      <c r="C1296" t="s">
        <v>16957</v>
      </c>
      <c r="D1296" t="s">
        <v>17451</v>
      </c>
      <c r="E1296">
        <v>0</v>
      </c>
      <c r="F1296">
        <v>50617.625999999997</v>
      </c>
      <c r="G1296" s="259">
        <v>50617.626149999996</v>
      </c>
      <c r="H1296" s="259">
        <v>0</v>
      </c>
      <c r="I1296" s="259">
        <v>0</v>
      </c>
      <c r="J1296" s="259">
        <v>0</v>
      </c>
      <c r="K1296" s="260">
        <v>0</v>
      </c>
      <c r="L1296" s="260">
        <v>0</v>
      </c>
      <c r="M1296" s="260">
        <v>0</v>
      </c>
      <c r="N1296" s="260">
        <v>0</v>
      </c>
      <c r="O1296" s="261">
        <v>50617.626149999996</v>
      </c>
      <c r="P1296" s="261">
        <v>0</v>
      </c>
      <c r="Q1296" s="261">
        <v>0</v>
      </c>
      <c r="R1296" s="261">
        <v>0</v>
      </c>
      <c r="S1296">
        <v>50617.626149999996</v>
      </c>
      <c r="T1296">
        <v>-1.4999999984866008E-4</v>
      </c>
    </row>
    <row r="1297" spans="1:20">
      <c r="A1297" t="s">
        <v>19055</v>
      </c>
      <c r="B1297">
        <v>45139</v>
      </c>
      <c r="C1297" t="s">
        <v>16957</v>
      </c>
      <c r="D1297" t="s">
        <v>17451</v>
      </c>
      <c r="E1297">
        <v>0</v>
      </c>
      <c r="F1297">
        <v>45487.460999999996</v>
      </c>
      <c r="G1297" s="259">
        <v>45487.46133749999</v>
      </c>
      <c r="H1297" s="259">
        <v>0</v>
      </c>
      <c r="I1297" s="259">
        <v>0</v>
      </c>
      <c r="J1297" s="259">
        <v>0</v>
      </c>
      <c r="K1297" s="260">
        <v>0</v>
      </c>
      <c r="L1297" s="260">
        <v>0</v>
      </c>
      <c r="M1297" s="260">
        <v>0</v>
      </c>
      <c r="N1297" s="260">
        <v>0</v>
      </c>
      <c r="O1297" s="261">
        <v>45487.46133749999</v>
      </c>
      <c r="P1297" s="261">
        <v>0</v>
      </c>
      <c r="Q1297" s="261">
        <v>0</v>
      </c>
      <c r="R1297" s="261">
        <v>0</v>
      </c>
      <c r="S1297">
        <v>45487.46133749999</v>
      </c>
      <c r="T1297">
        <v>-3.3749999420251697E-4</v>
      </c>
    </row>
    <row r="1298" spans="1:20">
      <c r="A1298" t="s">
        <v>19056</v>
      </c>
      <c r="B1298">
        <v>45118</v>
      </c>
      <c r="C1298" t="s">
        <v>17299</v>
      </c>
      <c r="D1298" t="s">
        <v>18631</v>
      </c>
      <c r="E1298">
        <v>0</v>
      </c>
      <c r="F1298">
        <v>493794.63099999999</v>
      </c>
      <c r="G1298" s="259">
        <v>451220.25599999999</v>
      </c>
      <c r="H1298" s="259">
        <v>0</v>
      </c>
      <c r="I1298" s="259">
        <v>0</v>
      </c>
      <c r="J1298" s="259">
        <v>0</v>
      </c>
      <c r="K1298" s="260">
        <v>42574.375</v>
      </c>
      <c r="L1298" s="260">
        <v>0</v>
      </c>
      <c r="M1298" s="260">
        <v>0</v>
      </c>
      <c r="N1298" s="260">
        <v>0</v>
      </c>
      <c r="O1298" s="261">
        <v>493794.63099999999</v>
      </c>
      <c r="P1298" s="261">
        <v>0</v>
      </c>
      <c r="Q1298" s="261">
        <v>0</v>
      </c>
      <c r="R1298" s="261">
        <v>0</v>
      </c>
      <c r="S1298">
        <v>493794.63099999999</v>
      </c>
      <c r="T1298">
        <v>0</v>
      </c>
    </row>
    <row r="1299" spans="1:20">
      <c r="A1299" t="s">
        <v>19057</v>
      </c>
      <c r="B1299">
        <v>45120</v>
      </c>
      <c r="C1299" t="s">
        <v>16880</v>
      </c>
      <c r="D1299" t="s">
        <v>16881</v>
      </c>
      <c r="E1299">
        <v>0</v>
      </c>
      <c r="F1299">
        <v>94628.239000000001</v>
      </c>
      <c r="G1299" s="259">
        <v>0</v>
      </c>
      <c r="H1299" s="259">
        <v>94628.239440000005</v>
      </c>
      <c r="I1299" s="259">
        <v>0</v>
      </c>
      <c r="J1299" s="259">
        <v>0</v>
      </c>
      <c r="K1299" s="260">
        <v>0</v>
      </c>
      <c r="L1299" s="260">
        <v>0</v>
      </c>
      <c r="M1299" s="260">
        <v>0</v>
      </c>
      <c r="N1299" s="260">
        <v>0</v>
      </c>
      <c r="O1299" s="261">
        <v>0</v>
      </c>
      <c r="P1299" s="261">
        <v>94628.239440000005</v>
      </c>
      <c r="Q1299" s="261">
        <v>0</v>
      </c>
      <c r="R1299" s="261">
        <v>0</v>
      </c>
      <c r="S1299">
        <v>94628.239440000005</v>
      </c>
      <c r="T1299">
        <v>-4.400000034365803E-4</v>
      </c>
    </row>
    <row r="1300" spans="1:20">
      <c r="A1300" t="s">
        <v>19058</v>
      </c>
      <c r="B1300">
        <v>45139</v>
      </c>
      <c r="C1300" t="s">
        <v>16444</v>
      </c>
      <c r="D1300" t="s">
        <v>16445</v>
      </c>
      <c r="E1300">
        <v>0</v>
      </c>
      <c r="F1300">
        <v>116772</v>
      </c>
      <c r="G1300" s="259">
        <v>26490</v>
      </c>
      <c r="H1300" s="259">
        <v>86100</v>
      </c>
      <c r="I1300" s="259">
        <v>4182</v>
      </c>
      <c r="J1300" s="259">
        <v>0</v>
      </c>
      <c r="K1300" s="260">
        <v>0</v>
      </c>
      <c r="L1300" s="260">
        <v>0</v>
      </c>
      <c r="M1300" s="260">
        <v>0</v>
      </c>
      <c r="N1300" s="260">
        <v>0</v>
      </c>
      <c r="O1300" s="261">
        <v>26490</v>
      </c>
      <c r="P1300" s="261">
        <v>86100</v>
      </c>
      <c r="Q1300" s="261">
        <v>4182</v>
      </c>
      <c r="R1300" s="261">
        <v>0</v>
      </c>
      <c r="S1300">
        <v>116772</v>
      </c>
      <c r="T1300">
        <v>0</v>
      </c>
    </row>
    <row r="1301" spans="1:20">
      <c r="A1301" t="s">
        <v>19059</v>
      </c>
      <c r="B1301">
        <v>45122</v>
      </c>
      <c r="C1301" t="s">
        <v>16838</v>
      </c>
      <c r="D1301" t="s">
        <v>16839</v>
      </c>
      <c r="E1301">
        <v>0</v>
      </c>
      <c r="F1301">
        <v>165332</v>
      </c>
      <c r="G1301" s="259">
        <v>12900</v>
      </c>
      <c r="H1301" s="259">
        <v>44772</v>
      </c>
      <c r="I1301" s="259">
        <v>107660</v>
      </c>
      <c r="J1301" s="259">
        <v>0</v>
      </c>
      <c r="K1301" s="260">
        <v>0</v>
      </c>
      <c r="L1301" s="260">
        <v>0</v>
      </c>
      <c r="M1301" s="260">
        <v>0</v>
      </c>
      <c r="N1301" s="260">
        <v>0</v>
      </c>
      <c r="O1301" s="261">
        <v>12900</v>
      </c>
      <c r="P1301" s="261">
        <v>44772</v>
      </c>
      <c r="Q1301" s="261">
        <v>107660</v>
      </c>
      <c r="R1301" s="261">
        <v>0</v>
      </c>
      <c r="S1301">
        <v>165332</v>
      </c>
      <c r="T1301">
        <v>0</v>
      </c>
    </row>
    <row r="1302" spans="1:20">
      <c r="A1302" t="s">
        <v>19060</v>
      </c>
      <c r="B1302">
        <v>45128</v>
      </c>
      <c r="C1302" t="s">
        <v>17017</v>
      </c>
      <c r="D1302" t="s">
        <v>17430</v>
      </c>
      <c r="E1302">
        <v>0</v>
      </c>
      <c r="F1302">
        <v>43400</v>
      </c>
      <c r="G1302" s="259">
        <v>43400</v>
      </c>
      <c r="H1302" s="259">
        <v>0</v>
      </c>
      <c r="I1302" s="259">
        <v>0</v>
      </c>
      <c r="J1302" s="259">
        <v>0</v>
      </c>
      <c r="K1302" s="260">
        <v>0</v>
      </c>
      <c r="L1302" s="260">
        <v>0</v>
      </c>
      <c r="M1302" s="260">
        <v>0</v>
      </c>
      <c r="N1302" s="260">
        <v>0</v>
      </c>
      <c r="O1302" s="261">
        <v>43400</v>
      </c>
      <c r="P1302" s="261">
        <v>0</v>
      </c>
      <c r="Q1302" s="261">
        <v>0</v>
      </c>
      <c r="R1302" s="261">
        <v>0</v>
      </c>
      <c r="S1302">
        <v>43400</v>
      </c>
      <c r="T1302">
        <v>0</v>
      </c>
    </row>
    <row r="1303" spans="1:20">
      <c r="A1303" t="s">
        <v>19061</v>
      </c>
      <c r="B1303">
        <v>45128</v>
      </c>
      <c r="C1303" t="s">
        <v>17017</v>
      </c>
      <c r="D1303" t="s">
        <v>17430</v>
      </c>
      <c r="E1303">
        <v>0</v>
      </c>
      <c r="F1303">
        <v>43400</v>
      </c>
      <c r="G1303" s="259">
        <v>43400</v>
      </c>
      <c r="H1303" s="259">
        <v>0</v>
      </c>
      <c r="I1303" s="259">
        <v>0</v>
      </c>
      <c r="J1303" s="259">
        <v>0</v>
      </c>
      <c r="K1303" s="260">
        <v>0</v>
      </c>
      <c r="L1303" s="260">
        <v>0</v>
      </c>
      <c r="M1303" s="260">
        <v>0</v>
      </c>
      <c r="N1303" s="260">
        <v>0</v>
      </c>
      <c r="O1303" s="261">
        <v>43400</v>
      </c>
      <c r="P1303" s="261">
        <v>0</v>
      </c>
      <c r="Q1303" s="261">
        <v>0</v>
      </c>
      <c r="R1303" s="261">
        <v>0</v>
      </c>
      <c r="S1303">
        <v>43400</v>
      </c>
      <c r="T1303">
        <v>0</v>
      </c>
    </row>
    <row r="1304" spans="1:20">
      <c r="A1304" t="s">
        <v>19062</v>
      </c>
      <c r="B1304">
        <v>45128</v>
      </c>
      <c r="C1304" t="s">
        <v>17017</v>
      </c>
      <c r="D1304" t="s">
        <v>17430</v>
      </c>
      <c r="E1304">
        <v>0</v>
      </c>
      <c r="F1304">
        <v>43400</v>
      </c>
      <c r="G1304" s="259">
        <v>43400</v>
      </c>
      <c r="H1304" s="259">
        <v>0</v>
      </c>
      <c r="I1304" s="259">
        <v>0</v>
      </c>
      <c r="J1304" s="259">
        <v>0</v>
      </c>
      <c r="K1304" s="260">
        <v>0</v>
      </c>
      <c r="L1304" s="260">
        <v>0</v>
      </c>
      <c r="M1304" s="260">
        <v>0</v>
      </c>
      <c r="N1304" s="260">
        <v>0</v>
      </c>
      <c r="O1304" s="261">
        <v>43400</v>
      </c>
      <c r="P1304" s="261">
        <v>0</v>
      </c>
      <c r="Q1304" s="261">
        <v>0</v>
      </c>
      <c r="R1304" s="261">
        <v>0</v>
      </c>
      <c r="S1304">
        <v>43400</v>
      </c>
      <c r="T1304">
        <v>0</v>
      </c>
    </row>
    <row r="1305" spans="1:20">
      <c r="A1305" t="s">
        <v>19063</v>
      </c>
      <c r="B1305">
        <v>45170</v>
      </c>
      <c r="C1305" t="s">
        <v>16470</v>
      </c>
      <c r="D1305" t="s">
        <v>16471</v>
      </c>
      <c r="E1305">
        <v>0</v>
      </c>
      <c r="F1305">
        <v>592287.36499999999</v>
      </c>
      <c r="G1305" s="259">
        <v>43153.260743999999</v>
      </c>
      <c r="H1305" s="259">
        <v>453334.065756</v>
      </c>
      <c r="I1305" s="259">
        <v>30372.144000000004</v>
      </c>
      <c r="J1305" s="259">
        <v>0</v>
      </c>
      <c r="K1305" s="260">
        <v>4466.6146479184827</v>
      </c>
      <c r="L1305" s="260">
        <v>57191.985130546935</v>
      </c>
      <c r="M1305" s="260">
        <v>3769.295061534584</v>
      </c>
      <c r="N1305" s="260">
        <v>0</v>
      </c>
      <c r="O1305" s="261">
        <v>47619.875391918482</v>
      </c>
      <c r="P1305" s="261">
        <v>510526.05088654696</v>
      </c>
      <c r="Q1305" s="261">
        <v>34141.439061534591</v>
      </c>
      <c r="R1305" s="261">
        <v>0</v>
      </c>
      <c r="S1305">
        <v>592287.36534000002</v>
      </c>
      <c r="T1305">
        <v>-3.4000002779066563E-4</v>
      </c>
    </row>
    <row r="1306" spans="1:20">
      <c r="A1306" t="s">
        <v>19064</v>
      </c>
      <c r="B1306">
        <v>45139</v>
      </c>
      <c r="C1306" t="s">
        <v>16643</v>
      </c>
      <c r="D1306" t="s">
        <v>16644</v>
      </c>
      <c r="E1306">
        <v>0</v>
      </c>
      <c r="F1306">
        <v>58399.267999999996</v>
      </c>
      <c r="G1306" s="259">
        <v>0</v>
      </c>
      <c r="H1306" s="259">
        <v>51626.767500000002</v>
      </c>
      <c r="I1306" s="259">
        <v>0</v>
      </c>
      <c r="J1306" s="259">
        <v>0</v>
      </c>
      <c r="K1306" s="260">
        <v>0</v>
      </c>
      <c r="L1306" s="260">
        <v>6772.5</v>
      </c>
      <c r="M1306" s="260">
        <v>0</v>
      </c>
      <c r="N1306" s="260">
        <v>0</v>
      </c>
      <c r="O1306" s="261">
        <v>0</v>
      </c>
      <c r="P1306" s="261">
        <v>58399.267500000002</v>
      </c>
      <c r="Q1306" s="261">
        <v>0</v>
      </c>
      <c r="R1306" s="261">
        <v>0</v>
      </c>
      <c r="S1306">
        <v>58399.267500000002</v>
      </c>
      <c r="T1306">
        <v>4.999999946448952E-4</v>
      </c>
    </row>
    <row r="1307" spans="1:20">
      <c r="A1307" t="s">
        <v>19065</v>
      </c>
      <c r="B1307">
        <v>45140</v>
      </c>
      <c r="C1307" t="s">
        <v>16444</v>
      </c>
      <c r="D1307" t="s">
        <v>16445</v>
      </c>
      <c r="E1307">
        <v>0</v>
      </c>
      <c r="F1307">
        <v>41664</v>
      </c>
      <c r="G1307" s="259">
        <v>41664</v>
      </c>
      <c r="H1307" s="259">
        <v>0</v>
      </c>
      <c r="I1307" s="259">
        <v>0</v>
      </c>
      <c r="J1307" s="259">
        <v>0</v>
      </c>
      <c r="K1307" s="260">
        <v>0</v>
      </c>
      <c r="L1307" s="260">
        <v>0</v>
      </c>
      <c r="M1307" s="260">
        <v>0</v>
      </c>
      <c r="N1307" s="260">
        <v>0</v>
      </c>
      <c r="O1307" s="261">
        <v>41664</v>
      </c>
      <c r="P1307" s="261">
        <v>0</v>
      </c>
      <c r="Q1307" s="261">
        <v>0</v>
      </c>
      <c r="R1307" s="261">
        <v>0</v>
      </c>
      <c r="S1307">
        <v>41664</v>
      </c>
      <c r="T1307">
        <v>0</v>
      </c>
    </row>
    <row r="1308" spans="1:20">
      <c r="A1308" t="s">
        <v>19066</v>
      </c>
      <c r="B1308">
        <v>45139</v>
      </c>
      <c r="C1308" t="s">
        <v>17017</v>
      </c>
      <c r="D1308" t="s">
        <v>17430</v>
      </c>
      <c r="E1308">
        <v>0</v>
      </c>
      <c r="F1308">
        <v>86100</v>
      </c>
      <c r="G1308" s="259">
        <v>0</v>
      </c>
      <c r="H1308" s="259">
        <v>86100</v>
      </c>
      <c r="I1308" s="259">
        <v>0</v>
      </c>
      <c r="J1308" s="259">
        <v>0</v>
      </c>
      <c r="K1308" s="260">
        <v>0</v>
      </c>
      <c r="L1308" s="260">
        <v>0</v>
      </c>
      <c r="M1308" s="260">
        <v>0</v>
      </c>
      <c r="N1308" s="260">
        <v>0</v>
      </c>
      <c r="O1308" s="261">
        <v>0</v>
      </c>
      <c r="P1308" s="261">
        <v>86100</v>
      </c>
      <c r="Q1308" s="261">
        <v>0</v>
      </c>
      <c r="R1308" s="261">
        <v>0</v>
      </c>
      <c r="S1308">
        <v>86100</v>
      </c>
      <c r="T1308">
        <v>0</v>
      </c>
    </row>
    <row r="1309" spans="1:20">
      <c r="A1309" t="s">
        <v>19067</v>
      </c>
      <c r="B1309">
        <v>45139</v>
      </c>
      <c r="C1309" t="s">
        <v>16838</v>
      </c>
      <c r="D1309" t="s">
        <v>16839</v>
      </c>
      <c r="E1309">
        <v>0</v>
      </c>
      <c r="F1309">
        <v>107660</v>
      </c>
      <c r="G1309" s="259">
        <v>0</v>
      </c>
      <c r="H1309" s="259">
        <v>0</v>
      </c>
      <c r="I1309" s="259">
        <v>107660</v>
      </c>
      <c r="J1309" s="259">
        <v>0</v>
      </c>
      <c r="K1309" s="260">
        <v>0</v>
      </c>
      <c r="L1309" s="260">
        <v>0</v>
      </c>
      <c r="M1309" s="260">
        <v>0</v>
      </c>
      <c r="N1309" s="260">
        <v>0</v>
      </c>
      <c r="O1309" s="261">
        <v>0</v>
      </c>
      <c r="P1309" s="261">
        <v>0</v>
      </c>
      <c r="Q1309" s="261">
        <v>107660</v>
      </c>
      <c r="R1309" s="261">
        <v>0</v>
      </c>
      <c r="S1309">
        <v>107660</v>
      </c>
      <c r="T1309">
        <v>0</v>
      </c>
    </row>
    <row r="1310" spans="1:20">
      <c r="A1310" t="s">
        <v>19068</v>
      </c>
      <c r="B1310">
        <v>45142</v>
      </c>
      <c r="C1310" t="s">
        <v>17299</v>
      </c>
      <c r="D1310" t="s">
        <v>18631</v>
      </c>
      <c r="E1310">
        <v>0</v>
      </c>
      <c r="F1310">
        <v>294580.51300000004</v>
      </c>
      <c r="G1310" s="259">
        <v>269182.13760000002</v>
      </c>
      <c r="H1310" s="259">
        <v>0</v>
      </c>
      <c r="I1310" s="259">
        <v>0</v>
      </c>
      <c r="J1310" s="259">
        <v>0</v>
      </c>
      <c r="K1310" s="260">
        <v>25398.375</v>
      </c>
      <c r="L1310" s="260">
        <v>0</v>
      </c>
      <c r="M1310" s="260">
        <v>0</v>
      </c>
      <c r="N1310" s="260">
        <v>0</v>
      </c>
      <c r="O1310" s="261">
        <v>294580.51260000002</v>
      </c>
      <c r="P1310" s="261">
        <v>0</v>
      </c>
      <c r="Q1310" s="261">
        <v>0</v>
      </c>
      <c r="R1310" s="261">
        <v>0</v>
      </c>
      <c r="S1310">
        <v>294580.51260000002</v>
      </c>
      <c r="T1310">
        <v>4.0000001899898052E-4</v>
      </c>
    </row>
    <row r="1311" spans="1:20">
      <c r="A1311" t="s">
        <v>19069</v>
      </c>
      <c r="B1311">
        <v>45170</v>
      </c>
      <c r="C1311" t="s">
        <v>16444</v>
      </c>
      <c r="D1311" t="s">
        <v>16445</v>
      </c>
      <c r="E1311">
        <v>0</v>
      </c>
      <c r="F1311">
        <v>115978.2</v>
      </c>
      <c r="G1311" s="259">
        <v>19620</v>
      </c>
      <c r="H1311" s="259">
        <v>96358.2</v>
      </c>
      <c r="I1311" s="259">
        <v>0</v>
      </c>
      <c r="J1311" s="259">
        <v>0</v>
      </c>
      <c r="K1311" s="260">
        <v>0</v>
      </c>
      <c r="L1311" s="260">
        <v>0</v>
      </c>
      <c r="M1311" s="260">
        <v>0</v>
      </c>
      <c r="N1311" s="260">
        <v>0</v>
      </c>
      <c r="O1311" s="261">
        <v>19620</v>
      </c>
      <c r="P1311" s="261">
        <v>96358.2</v>
      </c>
      <c r="Q1311" s="261">
        <v>0</v>
      </c>
      <c r="R1311" s="261">
        <v>0</v>
      </c>
      <c r="S1311">
        <v>115978.2</v>
      </c>
      <c r="T1311">
        <v>0</v>
      </c>
    </row>
    <row r="1312" spans="1:20">
      <c r="A1312" t="s">
        <v>19070</v>
      </c>
      <c r="B1312">
        <v>45142</v>
      </c>
      <c r="C1312" t="s">
        <v>17304</v>
      </c>
      <c r="D1312" t="s">
        <v>17305</v>
      </c>
      <c r="E1312">
        <v>0</v>
      </c>
      <c r="F1312">
        <v>63461.085999999996</v>
      </c>
      <c r="G1312" s="259">
        <v>0</v>
      </c>
      <c r="H1312" s="259">
        <v>22842.210415199999</v>
      </c>
      <c r="I1312" s="259">
        <v>0</v>
      </c>
      <c r="J1312" s="259">
        <v>24541.251199999995</v>
      </c>
      <c r="K1312" s="260">
        <v>0</v>
      </c>
      <c r="L1312" s="260">
        <v>10454.751607056549</v>
      </c>
      <c r="M1312" s="260">
        <v>531.77309892057349</v>
      </c>
      <c r="N1312" s="260">
        <v>5086.5252940228775</v>
      </c>
      <c r="O1312" s="261">
        <v>0</v>
      </c>
      <c r="P1312" s="261">
        <v>33296.96202225655</v>
      </c>
      <c r="Q1312" s="261">
        <v>531.77309892057349</v>
      </c>
      <c r="R1312" s="261">
        <v>29627.776494022874</v>
      </c>
      <c r="S1312">
        <v>63456.511615199997</v>
      </c>
      <c r="T1312">
        <v>4.57438479999837</v>
      </c>
    </row>
    <row r="1313" spans="1:20">
      <c r="A1313" t="s">
        <v>19071</v>
      </c>
      <c r="B1313">
        <v>45147</v>
      </c>
      <c r="C1313" t="s">
        <v>16444</v>
      </c>
      <c r="D1313" t="s">
        <v>16445</v>
      </c>
      <c r="E1313">
        <v>0</v>
      </c>
      <c r="F1313">
        <v>47037.120000000003</v>
      </c>
      <c r="G1313" s="259">
        <v>47037.120000000003</v>
      </c>
      <c r="H1313" s="259">
        <v>0</v>
      </c>
      <c r="I1313" s="259">
        <v>0</v>
      </c>
      <c r="J1313" s="259">
        <v>0</v>
      </c>
      <c r="K1313" s="260">
        <v>0</v>
      </c>
      <c r="L1313" s="260">
        <v>0</v>
      </c>
      <c r="M1313" s="260">
        <v>0</v>
      </c>
      <c r="N1313" s="260">
        <v>0</v>
      </c>
      <c r="O1313" s="261">
        <v>47037.120000000003</v>
      </c>
      <c r="P1313" s="261">
        <v>0</v>
      </c>
      <c r="Q1313" s="261">
        <v>0</v>
      </c>
      <c r="R1313" s="261">
        <v>0</v>
      </c>
      <c r="S1313">
        <v>47037.120000000003</v>
      </c>
      <c r="T1313">
        <v>0</v>
      </c>
    </row>
    <row r="1314" spans="1:20">
      <c r="A1314" t="s">
        <v>19072</v>
      </c>
      <c r="B1314">
        <v>45147</v>
      </c>
      <c r="C1314" t="s">
        <v>16384</v>
      </c>
      <c r="D1314" t="s">
        <v>16385</v>
      </c>
      <c r="E1314">
        <v>0</v>
      </c>
      <c r="F1314">
        <v>46895</v>
      </c>
      <c r="G1314" s="259">
        <v>46895</v>
      </c>
      <c r="H1314" s="259">
        <v>0</v>
      </c>
      <c r="I1314" s="259">
        <v>0</v>
      </c>
      <c r="J1314" s="259">
        <v>0</v>
      </c>
      <c r="K1314" s="260">
        <v>0</v>
      </c>
      <c r="L1314" s="260">
        <v>0</v>
      </c>
      <c r="M1314" s="260">
        <v>0</v>
      </c>
      <c r="N1314" s="260">
        <v>0</v>
      </c>
      <c r="O1314" s="261">
        <v>46895</v>
      </c>
      <c r="P1314" s="261">
        <v>0</v>
      </c>
      <c r="Q1314" s="261">
        <v>0</v>
      </c>
      <c r="R1314" s="261">
        <v>0</v>
      </c>
      <c r="S1314">
        <v>46895</v>
      </c>
      <c r="T1314">
        <v>0</v>
      </c>
    </row>
    <row r="1315" spans="1:20">
      <c r="A1315" t="s">
        <v>19073</v>
      </c>
      <c r="B1315">
        <v>45149</v>
      </c>
      <c r="C1315" t="s">
        <v>17329</v>
      </c>
      <c r="D1315" t="s">
        <v>18782</v>
      </c>
      <c r="E1315">
        <v>0</v>
      </c>
      <c r="F1315">
        <v>95425.570999999996</v>
      </c>
      <c r="G1315" s="259">
        <v>5782.5540000000001</v>
      </c>
      <c r="H1315" s="259">
        <v>89643.017447999999</v>
      </c>
      <c r="I1315" s="259">
        <v>0</v>
      </c>
      <c r="J1315" s="259">
        <v>0</v>
      </c>
      <c r="K1315" s="260">
        <v>0</v>
      </c>
      <c r="L1315" s="260">
        <v>0</v>
      </c>
      <c r="M1315" s="260">
        <v>0</v>
      </c>
      <c r="N1315" s="260">
        <v>0</v>
      </c>
      <c r="O1315" s="261">
        <v>5782.5540000000001</v>
      </c>
      <c r="P1315" s="261">
        <v>89643.017447999999</v>
      </c>
      <c r="Q1315" s="261">
        <v>0</v>
      </c>
      <c r="R1315" s="261">
        <v>0</v>
      </c>
      <c r="S1315">
        <v>95425.571448000002</v>
      </c>
      <c r="T1315">
        <v>-4.4800000614486635E-4</v>
      </c>
    </row>
    <row r="1316" spans="1:20">
      <c r="A1316" t="s">
        <v>19074</v>
      </c>
      <c r="B1316">
        <v>45170</v>
      </c>
      <c r="C1316" t="s">
        <v>16957</v>
      </c>
      <c r="D1316" t="s">
        <v>17451</v>
      </c>
      <c r="E1316">
        <v>0</v>
      </c>
      <c r="F1316">
        <v>100623.901</v>
      </c>
      <c r="G1316" s="259">
        <v>100623.90130000001</v>
      </c>
      <c r="H1316" s="259">
        <v>0</v>
      </c>
      <c r="I1316" s="259">
        <v>0</v>
      </c>
      <c r="J1316" s="259">
        <v>0</v>
      </c>
      <c r="K1316" s="260">
        <v>0</v>
      </c>
      <c r="L1316" s="260">
        <v>0</v>
      </c>
      <c r="M1316" s="260">
        <v>0</v>
      </c>
      <c r="N1316" s="260">
        <v>0</v>
      </c>
      <c r="O1316" s="261">
        <v>100623.90130000001</v>
      </c>
      <c r="P1316" s="261">
        <v>0</v>
      </c>
      <c r="Q1316" s="261">
        <v>0</v>
      </c>
      <c r="R1316" s="261">
        <v>0</v>
      </c>
      <c r="S1316">
        <v>100623.90130000001</v>
      </c>
      <c r="T1316">
        <v>-3.0000001424923539E-4</v>
      </c>
    </row>
    <row r="1317" spans="1:20">
      <c r="A1317" t="s">
        <v>19075</v>
      </c>
      <c r="B1317">
        <v>45152</v>
      </c>
      <c r="C1317" t="s">
        <v>16904</v>
      </c>
      <c r="D1317" t="s">
        <v>16905</v>
      </c>
      <c r="E1317">
        <v>0</v>
      </c>
      <c r="F1317">
        <v>78314.938999999998</v>
      </c>
      <c r="G1317" s="259">
        <v>0</v>
      </c>
      <c r="H1317" s="259">
        <v>47144.423519999997</v>
      </c>
      <c r="I1317" s="259">
        <v>17647.514999999999</v>
      </c>
      <c r="J1317" s="259">
        <v>0</v>
      </c>
      <c r="K1317" s="260">
        <v>0</v>
      </c>
      <c r="L1317" s="260">
        <v>9748.1563197856194</v>
      </c>
      <c r="M1317" s="260">
        <v>3774.8436802143815</v>
      </c>
      <c r="N1317" s="260">
        <v>0</v>
      </c>
      <c r="O1317" s="261">
        <v>0</v>
      </c>
      <c r="P1317" s="261">
        <v>56892.579839785612</v>
      </c>
      <c r="Q1317" s="261">
        <v>21422.35868021438</v>
      </c>
      <c r="R1317" s="261">
        <v>0</v>
      </c>
      <c r="S1317">
        <v>78314.938519999996</v>
      </c>
      <c r="T1317">
        <v>4.8000000242609531E-4</v>
      </c>
    </row>
    <row r="1318" spans="1:20">
      <c r="A1318" t="s">
        <v>19076</v>
      </c>
      <c r="B1318">
        <v>45152</v>
      </c>
      <c r="C1318" t="s">
        <v>16904</v>
      </c>
      <c r="D1318" t="s">
        <v>16905</v>
      </c>
      <c r="E1318">
        <v>0</v>
      </c>
      <c r="F1318">
        <v>76303.929000000004</v>
      </c>
      <c r="G1318" s="259">
        <v>0</v>
      </c>
      <c r="H1318" s="259">
        <v>48664.820736000009</v>
      </c>
      <c r="I1318" s="259">
        <v>14131.908000000001</v>
      </c>
      <c r="J1318" s="259">
        <v>0</v>
      </c>
      <c r="K1318" s="260">
        <v>0</v>
      </c>
      <c r="L1318" s="260">
        <v>10392.070848708487</v>
      </c>
      <c r="M1318" s="260">
        <v>3115.1291512915127</v>
      </c>
      <c r="N1318" s="260">
        <v>0</v>
      </c>
      <c r="O1318" s="261">
        <v>0</v>
      </c>
      <c r="P1318" s="261">
        <v>59056.891584708494</v>
      </c>
      <c r="Q1318" s="261">
        <v>17247.037151291515</v>
      </c>
      <c r="R1318" s="261">
        <v>0</v>
      </c>
      <c r="S1318">
        <v>76303.928736000002</v>
      </c>
      <c r="T1318">
        <v>2.6400000206194818E-4</v>
      </c>
    </row>
    <row r="1319" spans="1:20">
      <c r="A1319" t="s">
        <v>19077</v>
      </c>
      <c r="B1319">
        <v>45152</v>
      </c>
      <c r="C1319" t="s">
        <v>16444</v>
      </c>
      <c r="D1319" t="s">
        <v>16445</v>
      </c>
      <c r="E1319">
        <v>0</v>
      </c>
      <c r="F1319">
        <v>99730</v>
      </c>
      <c r="G1319" s="259">
        <v>0</v>
      </c>
      <c r="H1319" s="259">
        <v>99730</v>
      </c>
      <c r="I1319" s="259">
        <v>0</v>
      </c>
      <c r="J1319" s="259">
        <v>0</v>
      </c>
      <c r="K1319" s="260">
        <v>0</v>
      </c>
      <c r="L1319" s="260">
        <v>0</v>
      </c>
      <c r="M1319" s="260">
        <v>0</v>
      </c>
      <c r="N1319" s="260">
        <v>0</v>
      </c>
      <c r="O1319" s="261">
        <v>0</v>
      </c>
      <c r="P1319" s="261">
        <v>99730</v>
      </c>
      <c r="Q1319" s="261">
        <v>0</v>
      </c>
      <c r="R1319" s="261">
        <v>0</v>
      </c>
      <c r="S1319">
        <v>99730</v>
      </c>
      <c r="T1319">
        <v>0</v>
      </c>
    </row>
    <row r="1320" spans="1:20">
      <c r="A1320" t="s">
        <v>19078</v>
      </c>
      <c r="B1320">
        <v>45152</v>
      </c>
      <c r="C1320" t="s">
        <v>16384</v>
      </c>
      <c r="D1320" t="s">
        <v>16385</v>
      </c>
      <c r="E1320">
        <v>0</v>
      </c>
      <c r="F1320">
        <v>43050</v>
      </c>
      <c r="G1320" s="259">
        <v>0</v>
      </c>
      <c r="H1320" s="259">
        <v>43050</v>
      </c>
      <c r="I1320" s="259">
        <v>0</v>
      </c>
      <c r="J1320" s="259">
        <v>0</v>
      </c>
      <c r="K1320" s="260">
        <v>0</v>
      </c>
      <c r="L1320" s="260">
        <v>0</v>
      </c>
      <c r="M1320" s="260">
        <v>0</v>
      </c>
      <c r="N1320" s="260">
        <v>0</v>
      </c>
      <c r="O1320" s="261">
        <v>0</v>
      </c>
      <c r="P1320" s="261">
        <v>43050</v>
      </c>
      <c r="Q1320" s="261">
        <v>0</v>
      </c>
      <c r="R1320" s="261">
        <v>0</v>
      </c>
      <c r="S1320">
        <v>43050</v>
      </c>
      <c r="T1320">
        <v>0</v>
      </c>
    </row>
    <row r="1321" spans="1:20">
      <c r="A1321" t="s">
        <v>19079</v>
      </c>
      <c r="B1321">
        <v>45152</v>
      </c>
      <c r="C1321" t="s">
        <v>16384</v>
      </c>
      <c r="D1321" t="s">
        <v>16385</v>
      </c>
      <c r="E1321">
        <v>0</v>
      </c>
      <c r="F1321">
        <v>44280</v>
      </c>
      <c r="G1321" s="259">
        <v>0</v>
      </c>
      <c r="H1321" s="259">
        <v>44280</v>
      </c>
      <c r="I1321" s="259">
        <v>0</v>
      </c>
      <c r="J1321" s="259">
        <v>0</v>
      </c>
      <c r="K1321" s="260">
        <v>0</v>
      </c>
      <c r="L1321" s="260">
        <v>0</v>
      </c>
      <c r="M1321" s="260">
        <v>0</v>
      </c>
      <c r="N1321" s="260">
        <v>0</v>
      </c>
      <c r="O1321" s="261">
        <v>0</v>
      </c>
      <c r="P1321" s="261">
        <v>44280</v>
      </c>
      <c r="Q1321" s="261">
        <v>0</v>
      </c>
      <c r="R1321" s="261">
        <v>0</v>
      </c>
      <c r="S1321">
        <v>44280</v>
      </c>
      <c r="T1321">
        <v>0</v>
      </c>
    </row>
    <row r="1322" spans="1:20">
      <c r="A1322" t="s">
        <v>19080</v>
      </c>
      <c r="B1322">
        <v>45152</v>
      </c>
      <c r="C1322" t="s">
        <v>17259</v>
      </c>
      <c r="D1322" t="s">
        <v>17260</v>
      </c>
      <c r="E1322">
        <v>0</v>
      </c>
      <c r="F1322">
        <v>96052.574000000008</v>
      </c>
      <c r="G1322" s="259">
        <v>0</v>
      </c>
      <c r="H1322" s="259">
        <v>63720.014399999993</v>
      </c>
      <c r="I1322" s="259">
        <v>0</v>
      </c>
      <c r="J1322" s="259">
        <v>13679.16</v>
      </c>
      <c r="K1322" s="260">
        <v>0</v>
      </c>
      <c r="L1322" s="260">
        <v>17605.456179775279</v>
      </c>
      <c r="M1322" s="260">
        <v>0</v>
      </c>
      <c r="N1322" s="260">
        <v>1047.943820224719</v>
      </c>
      <c r="O1322" s="261">
        <v>0</v>
      </c>
      <c r="P1322" s="261">
        <v>81325.470579775269</v>
      </c>
      <c r="Q1322" s="261">
        <v>0</v>
      </c>
      <c r="R1322" s="261">
        <v>14727.103820224718</v>
      </c>
      <c r="S1322">
        <v>96052.574399999983</v>
      </c>
      <c r="T1322">
        <v>-3.9999997534323484E-4</v>
      </c>
    </row>
    <row r="1323" spans="1:20">
      <c r="A1323" t="s">
        <v>19081</v>
      </c>
      <c r="B1323">
        <v>45153</v>
      </c>
      <c r="C1323" t="s">
        <v>17304</v>
      </c>
      <c r="D1323" t="s">
        <v>17305</v>
      </c>
      <c r="E1323">
        <v>0</v>
      </c>
      <c r="F1323">
        <v>85860.763000000006</v>
      </c>
      <c r="G1323" s="259">
        <v>0</v>
      </c>
      <c r="H1323" s="259">
        <v>0</v>
      </c>
      <c r="I1323" s="259">
        <v>67983.662500000006</v>
      </c>
      <c r="J1323" s="259">
        <v>0</v>
      </c>
      <c r="K1323" s="260">
        <v>0</v>
      </c>
      <c r="L1323" s="260">
        <v>0</v>
      </c>
      <c r="M1323" s="260">
        <v>17877.099999999999</v>
      </c>
      <c r="N1323" s="260">
        <v>0</v>
      </c>
      <c r="O1323" s="261">
        <v>0</v>
      </c>
      <c r="P1323" s="261">
        <v>0</v>
      </c>
      <c r="Q1323" s="261">
        <v>85860.762500000012</v>
      </c>
      <c r="R1323" s="261">
        <v>0</v>
      </c>
      <c r="S1323">
        <v>85860.762500000012</v>
      </c>
      <c r="T1323">
        <v>4.999999946448952E-4</v>
      </c>
    </row>
    <row r="1324" spans="1:20">
      <c r="A1324" t="s">
        <v>19082</v>
      </c>
      <c r="B1324">
        <v>45170</v>
      </c>
      <c r="C1324" t="s">
        <v>16957</v>
      </c>
      <c r="D1324" t="s">
        <v>17451</v>
      </c>
      <c r="E1324">
        <v>0</v>
      </c>
      <c r="F1324">
        <v>45212.765999999996</v>
      </c>
      <c r="G1324" s="259">
        <v>45212.766462500003</v>
      </c>
      <c r="H1324" s="259">
        <v>0</v>
      </c>
      <c r="I1324" s="259">
        <v>0</v>
      </c>
      <c r="J1324" s="259">
        <v>0</v>
      </c>
      <c r="K1324" s="260">
        <v>0</v>
      </c>
      <c r="L1324" s="260">
        <v>0</v>
      </c>
      <c r="M1324" s="260">
        <v>0</v>
      </c>
      <c r="N1324" s="260">
        <v>0</v>
      </c>
      <c r="O1324" s="261">
        <v>45212.766462500003</v>
      </c>
      <c r="P1324" s="261">
        <v>0</v>
      </c>
      <c r="Q1324" s="261">
        <v>0</v>
      </c>
      <c r="R1324" s="261">
        <v>0</v>
      </c>
      <c r="S1324">
        <v>45212.766462500003</v>
      </c>
      <c r="T1324">
        <v>-4.62500007415656E-4</v>
      </c>
    </row>
    <row r="1325" spans="1:20">
      <c r="A1325" t="s">
        <v>19083</v>
      </c>
      <c r="B1325">
        <v>45160</v>
      </c>
      <c r="C1325" t="s">
        <v>16444</v>
      </c>
      <c r="D1325" t="s">
        <v>16445</v>
      </c>
      <c r="E1325">
        <v>0</v>
      </c>
      <c r="F1325">
        <v>79920</v>
      </c>
      <c r="G1325" s="259">
        <v>79920</v>
      </c>
      <c r="H1325" s="259">
        <v>0</v>
      </c>
      <c r="I1325" s="259">
        <v>0</v>
      </c>
      <c r="J1325" s="259">
        <v>0</v>
      </c>
      <c r="K1325" s="260">
        <v>0</v>
      </c>
      <c r="L1325" s="260">
        <v>0</v>
      </c>
      <c r="M1325" s="260">
        <v>0</v>
      </c>
      <c r="N1325" s="260">
        <v>0</v>
      </c>
      <c r="O1325" s="261">
        <v>79920</v>
      </c>
      <c r="P1325" s="261">
        <v>0</v>
      </c>
      <c r="Q1325" s="261">
        <v>0</v>
      </c>
      <c r="R1325" s="261">
        <v>0</v>
      </c>
      <c r="S1325">
        <v>79920</v>
      </c>
      <c r="T1325">
        <v>0</v>
      </c>
    </row>
    <row r="1326" spans="1:20">
      <c r="A1326" t="s">
        <v>19084</v>
      </c>
      <c r="B1326">
        <v>45162</v>
      </c>
      <c r="C1326" t="s">
        <v>16384</v>
      </c>
      <c r="D1326" t="s">
        <v>16385</v>
      </c>
      <c r="E1326">
        <v>0</v>
      </c>
      <c r="F1326">
        <v>211200</v>
      </c>
      <c r="G1326" s="259">
        <v>211200</v>
      </c>
      <c r="H1326" s="259">
        <v>0</v>
      </c>
      <c r="I1326" s="259">
        <v>0</v>
      </c>
      <c r="J1326" s="259">
        <v>0</v>
      </c>
      <c r="K1326" s="260">
        <v>0</v>
      </c>
      <c r="L1326" s="260">
        <v>0</v>
      </c>
      <c r="M1326" s="260">
        <v>0</v>
      </c>
      <c r="N1326" s="260">
        <v>0</v>
      </c>
      <c r="O1326" s="261">
        <v>211200</v>
      </c>
      <c r="P1326" s="261">
        <v>0</v>
      </c>
      <c r="Q1326" s="261">
        <v>0</v>
      </c>
      <c r="R1326" s="261">
        <v>0</v>
      </c>
      <c r="S1326">
        <v>211200</v>
      </c>
      <c r="T1326">
        <v>0</v>
      </c>
    </row>
    <row r="1327" spans="1:20">
      <c r="A1327" t="s">
        <v>19085</v>
      </c>
      <c r="B1327">
        <v>45162</v>
      </c>
      <c r="C1327" t="s">
        <v>17276</v>
      </c>
      <c r="D1327" t="s">
        <v>17277</v>
      </c>
      <c r="E1327">
        <v>0</v>
      </c>
      <c r="F1327">
        <v>133038.28599999999</v>
      </c>
      <c r="G1327" s="259">
        <v>118833.46560000001</v>
      </c>
      <c r="H1327" s="259">
        <v>0</v>
      </c>
      <c r="I1327" s="259">
        <v>0</v>
      </c>
      <c r="J1327" s="259">
        <v>0</v>
      </c>
      <c r="K1327" s="260">
        <v>14204.82</v>
      </c>
      <c r="L1327" s="260">
        <v>0</v>
      </c>
      <c r="M1327" s="260">
        <v>0</v>
      </c>
      <c r="N1327" s="260">
        <v>0</v>
      </c>
      <c r="O1327" s="261">
        <v>133038.2856</v>
      </c>
      <c r="P1327" s="261">
        <v>0</v>
      </c>
      <c r="Q1327" s="261">
        <v>0</v>
      </c>
      <c r="R1327" s="261">
        <v>0</v>
      </c>
      <c r="S1327">
        <v>133038.2856</v>
      </c>
      <c r="T1327">
        <v>3.9999998989515007E-4</v>
      </c>
    </row>
    <row r="1328" spans="1:20">
      <c r="A1328" t="s">
        <v>19086</v>
      </c>
      <c r="B1328">
        <v>45170</v>
      </c>
      <c r="C1328" t="s">
        <v>16783</v>
      </c>
      <c r="D1328" t="s">
        <v>17509</v>
      </c>
      <c r="E1328">
        <v>0</v>
      </c>
      <c r="F1328">
        <v>959563.04300000006</v>
      </c>
      <c r="G1328" s="259">
        <v>104996.64</v>
      </c>
      <c r="H1328" s="259">
        <v>600958.76870400016</v>
      </c>
      <c r="I1328" s="259">
        <v>123518.047296</v>
      </c>
      <c r="J1328" s="259">
        <v>130089.587</v>
      </c>
      <c r="K1328" s="260">
        <v>0</v>
      </c>
      <c r="L1328" s="260">
        <v>0</v>
      </c>
      <c r="M1328" s="260">
        <v>0</v>
      </c>
      <c r="N1328" s="260">
        <v>0</v>
      </c>
      <c r="O1328" s="261">
        <v>104996.64</v>
      </c>
      <c r="P1328" s="261">
        <v>600958.76870400016</v>
      </c>
      <c r="Q1328" s="261">
        <v>123518.047296</v>
      </c>
      <c r="R1328" s="261">
        <v>130089.587</v>
      </c>
      <c r="S1328">
        <v>959563.0430000003</v>
      </c>
      <c r="T1328">
        <v>0</v>
      </c>
    </row>
    <row r="1329" spans="1:20">
      <c r="A1329" t="s">
        <v>19087</v>
      </c>
      <c r="B1329">
        <v>45173</v>
      </c>
      <c r="C1329" t="s">
        <v>16952</v>
      </c>
      <c r="D1329" t="s">
        <v>16953</v>
      </c>
      <c r="E1329">
        <v>0</v>
      </c>
      <c r="F1329">
        <v>44016</v>
      </c>
      <c r="G1329" s="259">
        <v>44016</v>
      </c>
      <c r="H1329" s="259">
        <v>0</v>
      </c>
      <c r="I1329" s="259">
        <v>0</v>
      </c>
      <c r="J1329" s="259">
        <v>0</v>
      </c>
      <c r="K1329" s="260">
        <v>0</v>
      </c>
      <c r="L1329" s="260">
        <v>0</v>
      </c>
      <c r="M1329" s="260">
        <v>0</v>
      </c>
      <c r="N1329" s="260">
        <v>0</v>
      </c>
      <c r="O1329" s="261">
        <v>44016</v>
      </c>
      <c r="P1329" s="261">
        <v>0</v>
      </c>
      <c r="Q1329" s="261">
        <v>0</v>
      </c>
      <c r="R1329" s="261">
        <v>0</v>
      </c>
      <c r="S1329">
        <v>44016</v>
      </c>
      <c r="T1329">
        <v>0</v>
      </c>
    </row>
    <row r="1330" spans="1:20">
      <c r="A1330" t="s">
        <v>19088</v>
      </c>
      <c r="B1330">
        <v>45173</v>
      </c>
      <c r="C1330" t="s">
        <v>16700</v>
      </c>
      <c r="D1330" t="s">
        <v>16701</v>
      </c>
      <c r="E1330">
        <v>0</v>
      </c>
      <c r="F1330">
        <v>245255.30600000001</v>
      </c>
      <c r="G1330" s="259">
        <v>214650.18623999998</v>
      </c>
      <c r="H1330" s="259">
        <v>0</v>
      </c>
      <c r="I1330" s="259">
        <v>0</v>
      </c>
      <c r="J1330" s="259">
        <v>0</v>
      </c>
      <c r="K1330" s="260">
        <v>30605.120000000003</v>
      </c>
      <c r="L1330" s="260">
        <v>0</v>
      </c>
      <c r="M1330" s="260">
        <v>0</v>
      </c>
      <c r="N1330" s="260">
        <v>0</v>
      </c>
      <c r="O1330" s="261">
        <v>245255.30623999998</v>
      </c>
      <c r="P1330" s="261">
        <v>0</v>
      </c>
      <c r="Q1330" s="261">
        <v>0</v>
      </c>
      <c r="R1330" s="261">
        <v>0</v>
      </c>
      <c r="S1330">
        <v>245255.30623999998</v>
      </c>
      <c r="T1330">
        <v>-2.3999996483325958E-4</v>
      </c>
    </row>
    <row r="1331" spans="1:20">
      <c r="A1331" t="s">
        <v>19089</v>
      </c>
      <c r="B1331">
        <v>45173</v>
      </c>
      <c r="C1331" t="s">
        <v>17342</v>
      </c>
      <c r="D1331" t="s">
        <v>17343</v>
      </c>
      <c r="E1331">
        <v>0</v>
      </c>
      <c r="F1331">
        <v>60588.650999999998</v>
      </c>
      <c r="G1331" s="259">
        <v>0</v>
      </c>
      <c r="H1331" s="259">
        <v>44599.867625999999</v>
      </c>
      <c r="I1331" s="259">
        <v>0</v>
      </c>
      <c r="J1331" s="259">
        <v>4201.6587840000002</v>
      </c>
      <c r="K1331" s="260">
        <v>0</v>
      </c>
      <c r="L1331" s="260">
        <v>11787.125</v>
      </c>
      <c r="M1331" s="260">
        <v>0</v>
      </c>
      <c r="N1331" s="260">
        <v>0</v>
      </c>
      <c r="O1331" s="261">
        <v>0</v>
      </c>
      <c r="P1331" s="261">
        <v>56386.992625999999</v>
      </c>
      <c r="Q1331" s="261">
        <v>0</v>
      </c>
      <c r="R1331" s="261">
        <v>4201.6587840000002</v>
      </c>
      <c r="S1331">
        <v>60588.651409999999</v>
      </c>
      <c r="T1331">
        <v>-4.1000000055646524E-4</v>
      </c>
    </row>
    <row r="1332" spans="1:20">
      <c r="A1332" t="s">
        <v>19090</v>
      </c>
      <c r="B1332">
        <v>45173</v>
      </c>
      <c r="C1332" t="s">
        <v>17321</v>
      </c>
      <c r="D1332" t="s">
        <v>18719</v>
      </c>
      <c r="E1332">
        <v>0</v>
      </c>
      <c r="F1332">
        <v>162288.579</v>
      </c>
      <c r="G1332" s="259">
        <v>0</v>
      </c>
      <c r="H1332" s="259">
        <v>13484.757</v>
      </c>
      <c r="I1332" s="259">
        <v>0</v>
      </c>
      <c r="J1332" s="259">
        <v>148803.82200000001</v>
      </c>
      <c r="K1332" s="260">
        <v>0</v>
      </c>
      <c r="L1332" s="260">
        <v>0</v>
      </c>
      <c r="M1332" s="260">
        <v>0</v>
      </c>
      <c r="N1332" s="260">
        <v>0</v>
      </c>
      <c r="O1332" s="261">
        <v>0</v>
      </c>
      <c r="P1332" s="261">
        <v>13484.757</v>
      </c>
      <c r="Q1332" s="261">
        <v>0</v>
      </c>
      <c r="R1332" s="261">
        <v>148803.82200000001</v>
      </c>
      <c r="S1332">
        <v>162288.57900000003</v>
      </c>
      <c r="T1332">
        <v>0</v>
      </c>
    </row>
    <row r="1333" spans="1:20">
      <c r="A1333" t="s">
        <v>19091</v>
      </c>
      <c r="B1333">
        <v>45271</v>
      </c>
      <c r="C1333" t="s">
        <v>17278</v>
      </c>
      <c r="D1333" t="s">
        <v>17279</v>
      </c>
      <c r="E1333">
        <v>0</v>
      </c>
      <c r="F1333">
        <v>367931.56299999997</v>
      </c>
      <c r="G1333" s="259">
        <v>0</v>
      </c>
      <c r="H1333" s="259">
        <v>284370.32055840001</v>
      </c>
      <c r="I1333" s="259">
        <v>83561.242168799989</v>
      </c>
      <c r="J1333" s="259">
        <v>0</v>
      </c>
      <c r="K1333" s="260">
        <v>0</v>
      </c>
      <c r="L1333" s="260">
        <v>0</v>
      </c>
      <c r="M1333" s="260">
        <v>0</v>
      </c>
      <c r="N1333" s="260">
        <v>0</v>
      </c>
      <c r="O1333" s="261">
        <v>0</v>
      </c>
      <c r="P1333" s="261">
        <v>284370.32055840001</v>
      </c>
      <c r="Q1333" s="261">
        <v>83561.242168799989</v>
      </c>
      <c r="R1333" s="261">
        <v>0</v>
      </c>
      <c r="S1333">
        <v>367931.56272719998</v>
      </c>
      <c r="T1333">
        <v>2.7279998175799847E-4</v>
      </c>
    </row>
    <row r="1334" spans="1:20">
      <c r="A1334" t="s">
        <v>19092</v>
      </c>
      <c r="B1334">
        <v>45181</v>
      </c>
      <c r="C1334" t="s">
        <v>16444</v>
      </c>
      <c r="D1334" t="s">
        <v>16445</v>
      </c>
      <c r="E1334">
        <v>0</v>
      </c>
      <c r="F1334">
        <v>37440</v>
      </c>
      <c r="G1334" s="259">
        <v>37440</v>
      </c>
      <c r="H1334" s="259">
        <v>0</v>
      </c>
      <c r="I1334" s="259">
        <v>0</v>
      </c>
      <c r="J1334" s="259">
        <v>0</v>
      </c>
      <c r="K1334" s="260">
        <v>0</v>
      </c>
      <c r="L1334" s="260">
        <v>0</v>
      </c>
      <c r="M1334" s="260">
        <v>0</v>
      </c>
      <c r="N1334" s="260">
        <v>0</v>
      </c>
      <c r="O1334" s="261">
        <v>37440</v>
      </c>
      <c r="P1334" s="261">
        <v>0</v>
      </c>
      <c r="Q1334" s="261">
        <v>0</v>
      </c>
      <c r="R1334" s="261">
        <v>0</v>
      </c>
      <c r="S1334">
        <v>37440</v>
      </c>
      <c r="T1334">
        <v>0</v>
      </c>
    </row>
    <row r="1335" spans="1:20">
      <c r="A1335" t="s">
        <v>19093</v>
      </c>
      <c r="B1335">
        <v>45181</v>
      </c>
      <c r="C1335" t="s">
        <v>16444</v>
      </c>
      <c r="D1335" t="s">
        <v>16445</v>
      </c>
      <c r="E1335">
        <v>0</v>
      </c>
      <c r="F1335">
        <v>42475.44</v>
      </c>
      <c r="G1335" s="259">
        <v>42475.44</v>
      </c>
      <c r="H1335" s="259">
        <v>0</v>
      </c>
      <c r="I1335" s="259">
        <v>0</v>
      </c>
      <c r="J1335" s="259">
        <v>0</v>
      </c>
      <c r="K1335" s="260">
        <v>0</v>
      </c>
      <c r="L1335" s="260">
        <v>0</v>
      </c>
      <c r="M1335" s="260">
        <v>0</v>
      </c>
      <c r="N1335" s="260">
        <v>0</v>
      </c>
      <c r="O1335" s="261">
        <v>42475.44</v>
      </c>
      <c r="P1335" s="261">
        <v>0</v>
      </c>
      <c r="Q1335" s="261">
        <v>0</v>
      </c>
      <c r="R1335" s="261">
        <v>0</v>
      </c>
      <c r="S1335">
        <v>42475.44</v>
      </c>
      <c r="T1335">
        <v>0</v>
      </c>
    </row>
    <row r="1336" spans="1:20">
      <c r="A1336" t="s">
        <v>19094</v>
      </c>
      <c r="B1336">
        <v>45182</v>
      </c>
      <c r="C1336" t="s">
        <v>17349</v>
      </c>
      <c r="D1336" t="s">
        <v>19095</v>
      </c>
      <c r="E1336">
        <v>0</v>
      </c>
      <c r="F1336">
        <v>109838.326</v>
      </c>
      <c r="G1336" s="259">
        <v>0</v>
      </c>
      <c r="H1336" s="259">
        <v>0</v>
      </c>
      <c r="I1336" s="259">
        <v>109838.326</v>
      </c>
      <c r="J1336" s="259">
        <v>0</v>
      </c>
      <c r="K1336" s="260">
        <v>0</v>
      </c>
      <c r="L1336" s="260">
        <v>0</v>
      </c>
      <c r="M1336" s="260">
        <v>0</v>
      </c>
      <c r="N1336" s="260">
        <v>0</v>
      </c>
      <c r="O1336" s="261">
        <v>0</v>
      </c>
      <c r="P1336" s="261">
        <v>0</v>
      </c>
      <c r="Q1336" s="261">
        <v>109838.326</v>
      </c>
      <c r="R1336" s="261">
        <v>0</v>
      </c>
      <c r="S1336">
        <v>109838.326</v>
      </c>
      <c r="T1336">
        <v>0</v>
      </c>
    </row>
    <row r="1337" spans="1:20">
      <c r="A1337" t="s">
        <v>19096</v>
      </c>
      <c r="B1337">
        <v>45182</v>
      </c>
      <c r="C1337" t="s">
        <v>17209</v>
      </c>
      <c r="D1337" t="s">
        <v>17210</v>
      </c>
      <c r="E1337">
        <v>0</v>
      </c>
      <c r="F1337">
        <v>78204.672000000006</v>
      </c>
      <c r="G1337" s="259">
        <v>12846.8025</v>
      </c>
      <c r="H1337" s="259">
        <v>34216.268940000002</v>
      </c>
      <c r="I1337" s="259">
        <v>10658.088</v>
      </c>
      <c r="J1337" s="259">
        <v>13346.400375000001</v>
      </c>
      <c r="K1337" s="260">
        <v>1625.4916701813581</v>
      </c>
      <c r="L1337" s="260">
        <v>3828.935934204977</v>
      </c>
      <c r="M1337" s="260">
        <v>1155.9051876845213</v>
      </c>
      <c r="N1337" s="260">
        <v>526.7797079291438</v>
      </c>
      <c r="O1337" s="261">
        <v>14472.294170181358</v>
      </c>
      <c r="P1337" s="261">
        <v>38045.204874204981</v>
      </c>
      <c r="Q1337" s="261">
        <v>11813.99318768452</v>
      </c>
      <c r="R1337" s="261">
        <v>13873.180082929144</v>
      </c>
      <c r="S1337">
        <v>78204.672315000003</v>
      </c>
      <c r="T1337">
        <v>-3.1499999749939889E-4</v>
      </c>
    </row>
    <row r="1338" spans="1:20">
      <c r="A1338" t="s">
        <v>19097</v>
      </c>
      <c r="B1338">
        <v>45201</v>
      </c>
      <c r="C1338" t="s">
        <v>17349</v>
      </c>
      <c r="D1338" t="s">
        <v>19095</v>
      </c>
      <c r="E1338">
        <v>0</v>
      </c>
      <c r="F1338">
        <v>109838.326</v>
      </c>
      <c r="G1338" s="259">
        <v>0</v>
      </c>
      <c r="H1338" s="259">
        <v>0</v>
      </c>
      <c r="I1338" s="259">
        <v>109838.326</v>
      </c>
      <c r="J1338" s="259">
        <v>0</v>
      </c>
      <c r="K1338" s="260">
        <v>0</v>
      </c>
      <c r="L1338" s="260">
        <v>0</v>
      </c>
      <c r="M1338" s="260">
        <v>0</v>
      </c>
      <c r="N1338" s="260">
        <v>0</v>
      </c>
      <c r="O1338" s="261">
        <v>0</v>
      </c>
      <c r="P1338" s="261">
        <v>0</v>
      </c>
      <c r="Q1338" s="261">
        <v>109838.326</v>
      </c>
      <c r="R1338" s="261">
        <v>0</v>
      </c>
      <c r="S1338">
        <v>109838.326</v>
      </c>
      <c r="T1338">
        <v>0</v>
      </c>
    </row>
    <row r="1339" spans="1:20">
      <c r="A1339" t="s">
        <v>19098</v>
      </c>
      <c r="B1339">
        <v>45182</v>
      </c>
      <c r="C1339" t="s">
        <v>17349</v>
      </c>
      <c r="D1339" t="s">
        <v>19095</v>
      </c>
      <c r="E1339">
        <v>0</v>
      </c>
      <c r="F1339">
        <v>50001.029000000002</v>
      </c>
      <c r="G1339" s="259">
        <v>0</v>
      </c>
      <c r="H1339" s="259">
        <v>0</v>
      </c>
      <c r="I1339" s="259">
        <v>50001.029000000002</v>
      </c>
      <c r="J1339" s="259">
        <v>0</v>
      </c>
      <c r="K1339" s="260">
        <v>0</v>
      </c>
      <c r="L1339" s="260">
        <v>0</v>
      </c>
      <c r="M1339" s="260">
        <v>0</v>
      </c>
      <c r="N1339" s="260">
        <v>0</v>
      </c>
      <c r="O1339" s="261">
        <v>0</v>
      </c>
      <c r="P1339" s="261">
        <v>0</v>
      </c>
      <c r="Q1339" s="261">
        <v>50001.029000000002</v>
      </c>
      <c r="R1339" s="261">
        <v>0</v>
      </c>
      <c r="S1339">
        <v>50001.029000000002</v>
      </c>
      <c r="T1339">
        <v>0</v>
      </c>
    </row>
    <row r="1340" spans="1:20">
      <c r="A1340" t="s">
        <v>19099</v>
      </c>
      <c r="B1340">
        <v>45183</v>
      </c>
      <c r="C1340" t="s">
        <v>16444</v>
      </c>
      <c r="D1340" t="s">
        <v>16445</v>
      </c>
      <c r="E1340">
        <v>0</v>
      </c>
      <c r="F1340">
        <v>229825</v>
      </c>
      <c r="G1340" s="259">
        <v>0</v>
      </c>
      <c r="H1340" s="259">
        <v>229825</v>
      </c>
      <c r="I1340" s="259">
        <v>0</v>
      </c>
      <c r="J1340" s="259">
        <v>0</v>
      </c>
      <c r="K1340" s="260">
        <v>0</v>
      </c>
      <c r="L1340" s="260">
        <v>0</v>
      </c>
      <c r="M1340" s="260">
        <v>0</v>
      </c>
      <c r="N1340" s="260">
        <v>0</v>
      </c>
      <c r="O1340" s="261">
        <v>0</v>
      </c>
      <c r="P1340" s="261">
        <v>229825</v>
      </c>
      <c r="Q1340" s="261">
        <v>0</v>
      </c>
      <c r="R1340" s="261">
        <v>0</v>
      </c>
      <c r="S1340">
        <v>229825</v>
      </c>
      <c r="T1340">
        <v>0</v>
      </c>
    </row>
    <row r="1341" spans="1:20">
      <c r="A1341" t="s">
        <v>19100</v>
      </c>
      <c r="B1341">
        <v>45183</v>
      </c>
      <c r="C1341" t="s">
        <v>16444</v>
      </c>
      <c r="D1341" t="s">
        <v>16445</v>
      </c>
      <c r="E1341">
        <v>0</v>
      </c>
      <c r="F1341">
        <v>38016</v>
      </c>
      <c r="G1341" s="259">
        <v>38016</v>
      </c>
      <c r="H1341" s="259">
        <v>0</v>
      </c>
      <c r="I1341" s="259">
        <v>0</v>
      </c>
      <c r="J1341" s="259">
        <v>0</v>
      </c>
      <c r="K1341" s="260">
        <v>0</v>
      </c>
      <c r="L1341" s="260">
        <v>0</v>
      </c>
      <c r="M1341" s="260">
        <v>0</v>
      </c>
      <c r="N1341" s="260">
        <v>0</v>
      </c>
      <c r="O1341" s="261">
        <v>38016</v>
      </c>
      <c r="P1341" s="261">
        <v>0</v>
      </c>
      <c r="Q1341" s="261">
        <v>0</v>
      </c>
      <c r="R1341" s="261">
        <v>0</v>
      </c>
      <c r="S1341">
        <v>38016</v>
      </c>
      <c r="T1341">
        <v>0</v>
      </c>
    </row>
    <row r="1342" spans="1:20">
      <c r="A1342" t="s">
        <v>19101</v>
      </c>
      <c r="B1342">
        <v>45231</v>
      </c>
      <c r="C1342" t="s">
        <v>16384</v>
      </c>
      <c r="D1342" t="s">
        <v>16385</v>
      </c>
      <c r="E1342">
        <v>0</v>
      </c>
      <c r="F1342">
        <v>39960</v>
      </c>
      <c r="G1342" s="259">
        <v>0</v>
      </c>
      <c r="H1342" s="259">
        <v>39960</v>
      </c>
      <c r="I1342" s="259">
        <v>0</v>
      </c>
      <c r="J1342" s="259">
        <v>0</v>
      </c>
      <c r="K1342" s="260">
        <v>0</v>
      </c>
      <c r="L1342" s="260">
        <v>0</v>
      </c>
      <c r="M1342" s="260">
        <v>0</v>
      </c>
      <c r="N1342" s="260">
        <v>0</v>
      </c>
      <c r="O1342" s="261">
        <v>0</v>
      </c>
      <c r="P1342" s="261">
        <v>39960</v>
      </c>
      <c r="Q1342" s="261">
        <v>0</v>
      </c>
      <c r="R1342" s="261">
        <v>0</v>
      </c>
      <c r="S1342">
        <v>39960</v>
      </c>
      <c r="T1342">
        <v>0</v>
      </c>
    </row>
    <row r="1343" spans="1:20">
      <c r="A1343" t="s">
        <v>19102</v>
      </c>
      <c r="B1343">
        <v>45231</v>
      </c>
      <c r="C1343" t="s">
        <v>16384</v>
      </c>
      <c r="D1343" t="s">
        <v>16385</v>
      </c>
      <c r="E1343">
        <v>0</v>
      </c>
      <c r="F1343">
        <v>41070</v>
      </c>
      <c r="G1343" s="259">
        <v>0</v>
      </c>
      <c r="H1343" s="259">
        <v>41070</v>
      </c>
      <c r="I1343" s="259">
        <v>0</v>
      </c>
      <c r="J1343" s="259">
        <v>0</v>
      </c>
      <c r="K1343" s="260">
        <v>0</v>
      </c>
      <c r="L1343" s="260">
        <v>0</v>
      </c>
      <c r="M1343" s="260">
        <v>0</v>
      </c>
      <c r="N1343" s="260">
        <v>0</v>
      </c>
      <c r="O1343" s="261">
        <v>0</v>
      </c>
      <c r="P1343" s="261">
        <v>41070</v>
      </c>
      <c r="Q1343" s="261">
        <v>0</v>
      </c>
      <c r="R1343" s="261">
        <v>0</v>
      </c>
      <c r="S1343">
        <v>41070</v>
      </c>
      <c r="T1343">
        <v>0</v>
      </c>
    </row>
    <row r="1344" spans="1:20">
      <c r="A1344" t="s">
        <v>19103</v>
      </c>
      <c r="B1344">
        <v>45184</v>
      </c>
      <c r="C1344" t="s">
        <v>16838</v>
      </c>
      <c r="D1344" t="s">
        <v>16839</v>
      </c>
      <c r="E1344">
        <v>0</v>
      </c>
      <c r="F1344">
        <v>371935.2</v>
      </c>
      <c r="G1344" s="259">
        <v>0</v>
      </c>
      <c r="H1344" s="259">
        <v>371935.2</v>
      </c>
      <c r="I1344" s="259">
        <v>0</v>
      </c>
      <c r="J1344" s="259">
        <v>0</v>
      </c>
      <c r="K1344" s="260">
        <v>0</v>
      </c>
      <c r="L1344" s="260">
        <v>0</v>
      </c>
      <c r="M1344" s="260">
        <v>0</v>
      </c>
      <c r="N1344" s="260">
        <v>0</v>
      </c>
      <c r="O1344" s="261">
        <v>0</v>
      </c>
      <c r="P1344" s="261">
        <v>371935.2</v>
      </c>
      <c r="Q1344" s="261">
        <v>0</v>
      </c>
      <c r="R1344" s="261">
        <v>0</v>
      </c>
      <c r="S1344">
        <v>371935.2</v>
      </c>
      <c r="T1344">
        <v>0</v>
      </c>
    </row>
    <row r="1345" spans="1:20">
      <c r="A1345" t="s">
        <v>19104</v>
      </c>
      <c r="B1345">
        <v>45184</v>
      </c>
      <c r="C1345" t="s">
        <v>17342</v>
      </c>
      <c r="D1345" t="s">
        <v>17343</v>
      </c>
      <c r="E1345">
        <v>0</v>
      </c>
      <c r="F1345">
        <v>93842.794999999998</v>
      </c>
      <c r="G1345" s="259">
        <v>0</v>
      </c>
      <c r="H1345" s="259">
        <v>47205.416236800003</v>
      </c>
      <c r="I1345" s="259">
        <v>0</v>
      </c>
      <c r="J1345" s="259">
        <v>19487.746544000001</v>
      </c>
      <c r="K1345" s="260">
        <v>0</v>
      </c>
      <c r="L1345" s="260">
        <v>21789.713030136983</v>
      </c>
      <c r="M1345" s="260">
        <v>0</v>
      </c>
      <c r="N1345" s="260">
        <v>5359.9193698630133</v>
      </c>
      <c r="O1345" s="261">
        <v>0</v>
      </c>
      <c r="P1345" s="261">
        <v>68995.129266936987</v>
      </c>
      <c r="Q1345" s="261">
        <v>0</v>
      </c>
      <c r="R1345" s="261">
        <v>24847.665913863013</v>
      </c>
      <c r="S1345">
        <v>93842.795180799993</v>
      </c>
      <c r="T1345">
        <v>-1.8079999426845461E-4</v>
      </c>
    </row>
    <row r="1346" spans="1:20">
      <c r="A1346" t="s">
        <v>19105</v>
      </c>
      <c r="B1346">
        <v>45201</v>
      </c>
      <c r="C1346" t="s">
        <v>17226</v>
      </c>
      <c r="D1346" t="s">
        <v>17891</v>
      </c>
      <c r="E1346">
        <v>0</v>
      </c>
      <c r="F1346">
        <v>55470</v>
      </c>
      <c r="G1346" s="259">
        <v>37920</v>
      </c>
      <c r="H1346" s="259">
        <v>10800</v>
      </c>
      <c r="I1346" s="259">
        <v>6750</v>
      </c>
      <c r="J1346" s="259">
        <v>0</v>
      </c>
      <c r="K1346" s="260">
        <v>0</v>
      </c>
      <c r="L1346" s="260">
        <v>0</v>
      </c>
      <c r="M1346" s="260">
        <v>0</v>
      </c>
      <c r="N1346" s="260">
        <v>0</v>
      </c>
      <c r="O1346" s="261">
        <v>37920</v>
      </c>
      <c r="P1346" s="261">
        <v>10800</v>
      </c>
      <c r="Q1346" s="261">
        <v>6750</v>
      </c>
      <c r="R1346" s="261">
        <v>0</v>
      </c>
      <c r="S1346">
        <v>55470</v>
      </c>
      <c r="T1346">
        <v>0</v>
      </c>
    </row>
    <row r="1347" spans="1:20">
      <c r="A1347" t="s">
        <v>19106</v>
      </c>
      <c r="B1347">
        <v>45201</v>
      </c>
      <c r="C1347" t="s">
        <v>17226</v>
      </c>
      <c r="D1347" t="s">
        <v>17891</v>
      </c>
      <c r="E1347">
        <v>0</v>
      </c>
      <c r="F1347">
        <v>62730</v>
      </c>
      <c r="G1347" s="259">
        <v>0</v>
      </c>
      <c r="H1347" s="259">
        <v>62730</v>
      </c>
      <c r="I1347" s="259">
        <v>0</v>
      </c>
      <c r="J1347" s="259">
        <v>0</v>
      </c>
      <c r="K1347" s="260">
        <v>0</v>
      </c>
      <c r="L1347" s="260">
        <v>0</v>
      </c>
      <c r="M1347" s="260">
        <v>0</v>
      </c>
      <c r="N1347" s="260">
        <v>0</v>
      </c>
      <c r="O1347" s="261">
        <v>0</v>
      </c>
      <c r="P1347" s="261">
        <v>62730</v>
      </c>
      <c r="Q1347" s="261">
        <v>0</v>
      </c>
      <c r="R1347" s="261">
        <v>0</v>
      </c>
      <c r="S1347">
        <v>62730</v>
      </c>
      <c r="T1347">
        <v>0</v>
      </c>
    </row>
    <row r="1348" spans="1:20">
      <c r="A1348" t="s">
        <v>19107</v>
      </c>
      <c r="B1348">
        <v>45201</v>
      </c>
      <c r="C1348" t="s">
        <v>16470</v>
      </c>
      <c r="D1348" t="s">
        <v>16471</v>
      </c>
      <c r="E1348">
        <v>0</v>
      </c>
      <c r="F1348">
        <v>620178.28</v>
      </c>
      <c r="G1348" s="259">
        <v>42521.964659999998</v>
      </c>
      <c r="H1348" s="259">
        <v>484049.1203100002</v>
      </c>
      <c r="I1348" s="259">
        <v>29500.064999999995</v>
      </c>
      <c r="J1348" s="259">
        <v>0</v>
      </c>
      <c r="K1348" s="260">
        <v>5437.0276440052548</v>
      </c>
      <c r="L1348" s="260">
        <v>54988.350600023688</v>
      </c>
      <c r="M1348" s="260">
        <v>3681.7522559710546</v>
      </c>
      <c r="N1348" s="260">
        <v>0</v>
      </c>
      <c r="O1348" s="261">
        <v>47958.992304005253</v>
      </c>
      <c r="P1348" s="261">
        <v>539037.4709100239</v>
      </c>
      <c r="Q1348" s="261">
        <v>33181.817255971051</v>
      </c>
      <c r="R1348" s="261">
        <v>0</v>
      </c>
      <c r="S1348">
        <v>620178.28047000011</v>
      </c>
      <c r="T1348">
        <v>-4.7000008635222912E-4</v>
      </c>
    </row>
    <row r="1349" spans="1:20">
      <c r="A1349" t="s">
        <v>19108</v>
      </c>
      <c r="B1349">
        <v>45237</v>
      </c>
      <c r="C1349" t="s">
        <v>17017</v>
      </c>
      <c r="D1349" t="s">
        <v>17430</v>
      </c>
      <c r="E1349">
        <v>0</v>
      </c>
      <c r="F1349">
        <v>21996.3</v>
      </c>
      <c r="G1349" s="259">
        <v>0</v>
      </c>
      <c r="H1349" s="259">
        <v>21996.3</v>
      </c>
      <c r="I1349" s="259">
        <v>0</v>
      </c>
      <c r="J1349" s="259">
        <v>0</v>
      </c>
      <c r="K1349" s="260">
        <v>0</v>
      </c>
      <c r="L1349" s="260">
        <v>0</v>
      </c>
      <c r="M1349" s="260">
        <v>0</v>
      </c>
      <c r="N1349" s="260">
        <v>0</v>
      </c>
      <c r="O1349" s="261">
        <v>0</v>
      </c>
      <c r="P1349" s="261">
        <v>21996.3</v>
      </c>
      <c r="Q1349" s="261">
        <v>0</v>
      </c>
      <c r="R1349" s="261">
        <v>0</v>
      </c>
      <c r="S1349">
        <v>21996.3</v>
      </c>
      <c r="T1349">
        <v>0</v>
      </c>
    </row>
    <row r="1350" spans="1:20">
      <c r="A1350" t="s">
        <v>19109</v>
      </c>
      <c r="B1350">
        <v>45189</v>
      </c>
      <c r="C1350" t="s">
        <v>17017</v>
      </c>
      <c r="D1350" t="s">
        <v>17430</v>
      </c>
      <c r="E1350">
        <v>0</v>
      </c>
      <c r="F1350">
        <v>61636.4</v>
      </c>
      <c r="G1350" s="259">
        <v>0</v>
      </c>
      <c r="H1350" s="259">
        <v>17500</v>
      </c>
      <c r="I1350" s="259">
        <v>14886.4</v>
      </c>
      <c r="J1350" s="259">
        <v>29250</v>
      </c>
      <c r="K1350" s="260">
        <v>0</v>
      </c>
      <c r="L1350" s="260">
        <v>0</v>
      </c>
      <c r="M1350" s="260">
        <v>0</v>
      </c>
      <c r="N1350" s="260">
        <v>0</v>
      </c>
      <c r="O1350" s="261">
        <v>0</v>
      </c>
      <c r="P1350" s="261">
        <v>17500</v>
      </c>
      <c r="Q1350" s="261">
        <v>14886.4</v>
      </c>
      <c r="R1350" s="261">
        <v>29250</v>
      </c>
      <c r="S1350">
        <v>61636.4</v>
      </c>
      <c r="T1350">
        <v>0</v>
      </c>
    </row>
    <row r="1351" spans="1:20">
      <c r="A1351" t="s">
        <v>19110</v>
      </c>
      <c r="B1351">
        <v>45189</v>
      </c>
      <c r="C1351" t="s">
        <v>17299</v>
      </c>
      <c r="D1351" t="s">
        <v>18631</v>
      </c>
      <c r="E1351">
        <v>0</v>
      </c>
      <c r="F1351">
        <v>324530.02399999998</v>
      </c>
      <c r="G1351" s="259">
        <v>293913.984</v>
      </c>
      <c r="H1351" s="259">
        <v>0</v>
      </c>
      <c r="I1351" s="259">
        <v>0</v>
      </c>
      <c r="J1351" s="259">
        <v>0</v>
      </c>
      <c r="K1351" s="260">
        <v>30616.039999999997</v>
      </c>
      <c r="L1351" s="260">
        <v>0</v>
      </c>
      <c r="M1351" s="260">
        <v>0</v>
      </c>
      <c r="N1351" s="260">
        <v>0</v>
      </c>
      <c r="O1351" s="261">
        <v>324530.02399999998</v>
      </c>
      <c r="P1351" s="261">
        <v>0</v>
      </c>
      <c r="Q1351" s="261">
        <v>0</v>
      </c>
      <c r="R1351" s="261">
        <v>0</v>
      </c>
      <c r="S1351">
        <v>324530.02399999998</v>
      </c>
      <c r="T1351">
        <v>0</v>
      </c>
    </row>
    <row r="1352" spans="1:20">
      <c r="A1352" t="s">
        <v>19111</v>
      </c>
      <c r="B1352">
        <v>45189</v>
      </c>
      <c r="C1352" t="s">
        <v>17342</v>
      </c>
      <c r="D1352" t="s">
        <v>17343</v>
      </c>
      <c r="E1352">
        <v>0</v>
      </c>
      <c r="F1352">
        <v>69656.774999999994</v>
      </c>
      <c r="G1352" s="259">
        <v>8914.8441600000006</v>
      </c>
      <c r="H1352" s="259">
        <v>24236.021304000002</v>
      </c>
      <c r="I1352" s="259">
        <v>24729.809999999994</v>
      </c>
      <c r="J1352" s="259">
        <v>0</v>
      </c>
      <c r="K1352" s="260">
        <v>1742.4562268803945</v>
      </c>
      <c r="L1352" s="260">
        <v>4951.4797780517874</v>
      </c>
      <c r="M1352" s="260">
        <v>5082.1639950678173</v>
      </c>
      <c r="N1352" s="260">
        <v>0</v>
      </c>
      <c r="O1352" s="261">
        <v>10657.300386880395</v>
      </c>
      <c r="P1352" s="261">
        <v>29187.501082051789</v>
      </c>
      <c r="Q1352" s="261">
        <v>29811.973995067812</v>
      </c>
      <c r="R1352" s="261">
        <v>0</v>
      </c>
      <c r="S1352">
        <v>69656.775464000006</v>
      </c>
      <c r="T1352">
        <v>-4.6400001156143844E-4</v>
      </c>
    </row>
    <row r="1353" spans="1:20">
      <c r="A1353" t="s">
        <v>19112</v>
      </c>
      <c r="B1353">
        <v>45201</v>
      </c>
      <c r="C1353" t="s">
        <v>16384</v>
      </c>
      <c r="D1353" t="s">
        <v>16385</v>
      </c>
      <c r="E1353">
        <v>0</v>
      </c>
      <c r="F1353">
        <v>152064</v>
      </c>
      <c r="G1353" s="259">
        <v>152064</v>
      </c>
      <c r="H1353" s="259">
        <v>0</v>
      </c>
      <c r="I1353" s="259">
        <v>0</v>
      </c>
      <c r="J1353" s="259">
        <v>0</v>
      </c>
      <c r="K1353" s="260">
        <v>0</v>
      </c>
      <c r="L1353" s="260">
        <v>0</v>
      </c>
      <c r="M1353" s="260">
        <v>0</v>
      </c>
      <c r="N1353" s="260">
        <v>0</v>
      </c>
      <c r="O1353" s="261">
        <v>152064</v>
      </c>
      <c r="P1353" s="261">
        <v>0</v>
      </c>
      <c r="Q1353" s="261">
        <v>0</v>
      </c>
      <c r="R1353" s="261">
        <v>0</v>
      </c>
      <c r="S1353">
        <v>152064</v>
      </c>
      <c r="T1353">
        <v>0</v>
      </c>
    </row>
    <row r="1354" spans="1:20">
      <c r="A1354" t="s">
        <v>19113</v>
      </c>
      <c r="B1354">
        <v>45189</v>
      </c>
      <c r="C1354" t="s">
        <v>16838</v>
      </c>
      <c r="D1354" t="s">
        <v>16839</v>
      </c>
      <c r="E1354">
        <v>0</v>
      </c>
      <c r="F1354">
        <v>200266.5</v>
      </c>
      <c r="G1354" s="259">
        <v>0</v>
      </c>
      <c r="H1354" s="259">
        <v>34854</v>
      </c>
      <c r="I1354" s="259">
        <v>164600</v>
      </c>
      <c r="J1354" s="259">
        <v>812.5</v>
      </c>
      <c r="K1354" s="260">
        <v>0</v>
      </c>
      <c r="L1354" s="260">
        <v>0</v>
      </c>
      <c r="M1354" s="260">
        <v>0</v>
      </c>
      <c r="N1354" s="260">
        <v>0</v>
      </c>
      <c r="O1354" s="261">
        <v>0</v>
      </c>
      <c r="P1354" s="261">
        <v>34854</v>
      </c>
      <c r="Q1354" s="261">
        <v>164600</v>
      </c>
      <c r="R1354" s="261">
        <v>812.5</v>
      </c>
      <c r="S1354">
        <v>200266.5</v>
      </c>
      <c r="T1354">
        <v>0</v>
      </c>
    </row>
    <row r="1355" spans="1:20">
      <c r="A1355" t="s">
        <v>19114</v>
      </c>
      <c r="B1355">
        <v>45189</v>
      </c>
      <c r="C1355" t="s">
        <v>17304</v>
      </c>
      <c r="D1355" t="s">
        <v>17305</v>
      </c>
      <c r="E1355">
        <v>0</v>
      </c>
      <c r="F1355">
        <v>66387.622999999992</v>
      </c>
      <c r="G1355" s="259">
        <v>0</v>
      </c>
      <c r="H1355" s="259">
        <v>33636.410772800002</v>
      </c>
      <c r="I1355" s="259">
        <v>8124.0192000000006</v>
      </c>
      <c r="J1355" s="259">
        <v>8168.6824999999999</v>
      </c>
      <c r="K1355" s="260">
        <v>0</v>
      </c>
      <c r="L1355" s="260">
        <v>12513.288839395498</v>
      </c>
      <c r="M1355" s="260">
        <v>2748.6295744651229</v>
      </c>
      <c r="N1355" s="260">
        <v>1192.9815861393763</v>
      </c>
      <c r="O1355" s="261">
        <v>0</v>
      </c>
      <c r="P1355" s="261">
        <v>46149.699612195502</v>
      </c>
      <c r="Q1355" s="261">
        <v>10872.648774465124</v>
      </c>
      <c r="R1355" s="261">
        <v>9361.6640861393753</v>
      </c>
      <c r="S1355">
        <v>66384.012472800008</v>
      </c>
      <c r="T1355">
        <v>3.6105271999840625</v>
      </c>
    </row>
    <row r="1356" spans="1:20">
      <c r="A1356" t="s">
        <v>19115</v>
      </c>
      <c r="B1356">
        <v>45201</v>
      </c>
      <c r="C1356" t="s">
        <v>16444</v>
      </c>
      <c r="D1356" t="s">
        <v>16445</v>
      </c>
      <c r="E1356">
        <v>0</v>
      </c>
      <c r="F1356">
        <v>42120</v>
      </c>
      <c r="G1356" s="259">
        <v>42120</v>
      </c>
      <c r="H1356" s="259">
        <v>0</v>
      </c>
      <c r="I1356" s="259">
        <v>0</v>
      </c>
      <c r="J1356" s="259">
        <v>0</v>
      </c>
      <c r="K1356" s="260">
        <v>0</v>
      </c>
      <c r="L1356" s="260">
        <v>0</v>
      </c>
      <c r="M1356" s="260">
        <v>0</v>
      </c>
      <c r="N1356" s="260">
        <v>0</v>
      </c>
      <c r="O1356" s="261">
        <v>42120</v>
      </c>
      <c r="P1356" s="261">
        <v>0</v>
      </c>
      <c r="Q1356" s="261">
        <v>0</v>
      </c>
      <c r="R1356" s="261">
        <v>0</v>
      </c>
      <c r="S1356">
        <v>42120</v>
      </c>
      <c r="T1356">
        <v>0</v>
      </c>
    </row>
    <row r="1357" spans="1:20">
      <c r="A1357" t="s">
        <v>19116</v>
      </c>
      <c r="B1357">
        <v>45201</v>
      </c>
      <c r="C1357" t="s">
        <v>16444</v>
      </c>
      <c r="D1357" t="s">
        <v>16445</v>
      </c>
      <c r="E1357">
        <v>0</v>
      </c>
      <c r="F1357">
        <v>42120</v>
      </c>
      <c r="G1357" s="259">
        <v>42120</v>
      </c>
      <c r="H1357" s="259">
        <v>0</v>
      </c>
      <c r="I1357" s="259">
        <v>0</v>
      </c>
      <c r="J1357" s="259">
        <v>0</v>
      </c>
      <c r="K1357" s="260">
        <v>0</v>
      </c>
      <c r="L1357" s="260">
        <v>0</v>
      </c>
      <c r="M1357" s="260">
        <v>0</v>
      </c>
      <c r="N1357" s="260">
        <v>0</v>
      </c>
      <c r="O1357" s="261">
        <v>42120</v>
      </c>
      <c r="P1357" s="261">
        <v>0</v>
      </c>
      <c r="Q1357" s="261">
        <v>0</v>
      </c>
      <c r="R1357" s="261">
        <v>0</v>
      </c>
      <c r="S1357">
        <v>42120</v>
      </c>
      <c r="T1357">
        <v>0</v>
      </c>
    </row>
    <row r="1358" spans="1:20">
      <c r="A1358" t="s">
        <v>19117</v>
      </c>
      <c r="B1358">
        <v>45201</v>
      </c>
      <c r="C1358" t="s">
        <v>16444</v>
      </c>
      <c r="D1358" t="s">
        <v>16445</v>
      </c>
      <c r="E1358">
        <v>0</v>
      </c>
      <c r="F1358">
        <v>84950.88</v>
      </c>
      <c r="G1358" s="259">
        <v>84950.88</v>
      </c>
      <c r="H1358" s="259">
        <v>0</v>
      </c>
      <c r="I1358" s="259">
        <v>0</v>
      </c>
      <c r="J1358" s="259">
        <v>0</v>
      </c>
      <c r="K1358" s="260">
        <v>0</v>
      </c>
      <c r="L1358" s="260">
        <v>0</v>
      </c>
      <c r="M1358" s="260">
        <v>0</v>
      </c>
      <c r="N1358" s="260">
        <v>0</v>
      </c>
      <c r="O1358" s="261">
        <v>84950.88</v>
      </c>
      <c r="P1358" s="261">
        <v>0</v>
      </c>
      <c r="Q1358" s="261">
        <v>0</v>
      </c>
      <c r="R1358" s="261">
        <v>0</v>
      </c>
      <c r="S1358">
        <v>84950.88</v>
      </c>
      <c r="T1358">
        <v>0</v>
      </c>
    </row>
    <row r="1359" spans="1:20">
      <c r="A1359" t="s">
        <v>19118</v>
      </c>
      <c r="B1359">
        <v>45201</v>
      </c>
      <c r="C1359" t="s">
        <v>16444</v>
      </c>
      <c r="D1359" t="s">
        <v>16445</v>
      </c>
      <c r="E1359">
        <v>0</v>
      </c>
      <c r="F1359">
        <v>105271.2</v>
      </c>
      <c r="G1359" s="259">
        <v>24108</v>
      </c>
      <c r="H1359" s="259">
        <v>78499.199999999997</v>
      </c>
      <c r="I1359" s="259">
        <v>2664</v>
      </c>
      <c r="J1359" s="259">
        <v>0</v>
      </c>
      <c r="K1359" s="260">
        <v>0</v>
      </c>
      <c r="L1359" s="260">
        <v>0</v>
      </c>
      <c r="M1359" s="260">
        <v>0</v>
      </c>
      <c r="N1359" s="260">
        <v>0</v>
      </c>
      <c r="O1359" s="261">
        <v>24108</v>
      </c>
      <c r="P1359" s="261">
        <v>78499.199999999997</v>
      </c>
      <c r="Q1359" s="261">
        <v>2664</v>
      </c>
      <c r="R1359" s="261">
        <v>0</v>
      </c>
      <c r="S1359">
        <v>105271.2</v>
      </c>
      <c r="T1359">
        <v>0</v>
      </c>
    </row>
    <row r="1360" spans="1:20">
      <c r="A1360" t="s">
        <v>19119</v>
      </c>
      <c r="B1360">
        <v>45201</v>
      </c>
      <c r="C1360" t="s">
        <v>16444</v>
      </c>
      <c r="D1360" t="s">
        <v>16445</v>
      </c>
      <c r="E1360">
        <v>0</v>
      </c>
      <c r="F1360">
        <v>105271.2</v>
      </c>
      <c r="G1360" s="259">
        <v>24108</v>
      </c>
      <c r="H1360" s="259">
        <v>78499.199999999997</v>
      </c>
      <c r="I1360" s="259">
        <v>2664</v>
      </c>
      <c r="J1360" s="259">
        <v>0</v>
      </c>
      <c r="K1360" s="260">
        <v>0</v>
      </c>
      <c r="L1360" s="260">
        <v>0</v>
      </c>
      <c r="M1360" s="260">
        <v>0</v>
      </c>
      <c r="N1360" s="260">
        <v>0</v>
      </c>
      <c r="O1360" s="261">
        <v>24108</v>
      </c>
      <c r="P1360" s="261">
        <v>78499.199999999997</v>
      </c>
      <c r="Q1360" s="261">
        <v>2664</v>
      </c>
      <c r="R1360" s="261">
        <v>0</v>
      </c>
      <c r="S1360">
        <v>105271.2</v>
      </c>
      <c r="T1360">
        <v>0</v>
      </c>
    </row>
    <row r="1361" spans="1:20">
      <c r="A1361" t="s">
        <v>19120</v>
      </c>
      <c r="B1361">
        <v>45189</v>
      </c>
      <c r="C1361" t="s">
        <v>17352</v>
      </c>
      <c r="D1361" t="s">
        <v>19121</v>
      </c>
      <c r="E1361">
        <v>0</v>
      </c>
      <c r="F1361">
        <v>1310026.706</v>
      </c>
      <c r="G1361" s="259">
        <v>0</v>
      </c>
      <c r="H1361" s="259">
        <v>1130361.793848</v>
      </c>
      <c r="I1361" s="259">
        <v>179664.91199999989</v>
      </c>
      <c r="J1361" s="259">
        <v>0</v>
      </c>
      <c r="K1361" s="260">
        <v>0</v>
      </c>
      <c r="L1361" s="260">
        <v>0</v>
      </c>
      <c r="M1361" s="260">
        <v>0</v>
      </c>
      <c r="N1361" s="260">
        <v>0</v>
      </c>
      <c r="O1361" s="261">
        <v>0</v>
      </c>
      <c r="P1361" s="261">
        <v>1130361.793848</v>
      </c>
      <c r="Q1361" s="261">
        <v>179664.91199999989</v>
      </c>
      <c r="R1361" s="261">
        <v>0</v>
      </c>
      <c r="S1361">
        <v>1310026.705848</v>
      </c>
      <c r="T1361">
        <v>1.5199999324977398E-4</v>
      </c>
    </row>
    <row r="1362" spans="1:20">
      <c r="A1362" t="s">
        <v>19122</v>
      </c>
      <c r="B1362">
        <v>45194</v>
      </c>
      <c r="C1362" t="s">
        <v>17299</v>
      </c>
      <c r="D1362" t="s">
        <v>18631</v>
      </c>
      <c r="E1362">
        <v>0</v>
      </c>
      <c r="F1362">
        <v>324023.609</v>
      </c>
      <c r="G1362" s="259">
        <v>293455.34399999998</v>
      </c>
      <c r="H1362" s="259">
        <v>0</v>
      </c>
      <c r="I1362" s="259">
        <v>0</v>
      </c>
      <c r="J1362" s="259">
        <v>0</v>
      </c>
      <c r="K1362" s="260">
        <v>30568.264999999999</v>
      </c>
      <c r="L1362" s="260">
        <v>0</v>
      </c>
      <c r="M1362" s="260">
        <v>0</v>
      </c>
      <c r="N1362" s="260">
        <v>0</v>
      </c>
      <c r="O1362" s="261">
        <v>324023.609</v>
      </c>
      <c r="P1362" s="261">
        <v>0</v>
      </c>
      <c r="Q1362" s="261">
        <v>0</v>
      </c>
      <c r="R1362" s="261">
        <v>0</v>
      </c>
      <c r="S1362">
        <v>324023.609</v>
      </c>
      <c r="T1362">
        <v>0</v>
      </c>
    </row>
    <row r="1363" spans="1:20">
      <c r="A1363" t="s">
        <v>19123</v>
      </c>
      <c r="B1363">
        <v>45202</v>
      </c>
      <c r="C1363" t="s">
        <v>17354</v>
      </c>
      <c r="D1363" t="s">
        <v>17355</v>
      </c>
      <c r="E1363">
        <v>0</v>
      </c>
      <c r="F1363">
        <v>42736.162000000004</v>
      </c>
      <c r="G1363" s="259">
        <v>1446.1415999999999</v>
      </c>
      <c r="H1363" s="259">
        <v>19089.069119999996</v>
      </c>
      <c r="I1363" s="259">
        <v>9701.1998999999996</v>
      </c>
      <c r="J1363" s="259">
        <v>12499.751699999999</v>
      </c>
      <c r="K1363" s="260">
        <v>0</v>
      </c>
      <c r="L1363" s="260">
        <v>0</v>
      </c>
      <c r="M1363" s="260">
        <v>0</v>
      </c>
      <c r="N1363" s="260">
        <v>0</v>
      </c>
      <c r="O1363" s="261">
        <v>1446.1415999999999</v>
      </c>
      <c r="P1363" s="261">
        <v>19089.069119999996</v>
      </c>
      <c r="Q1363" s="261">
        <v>9701.1998999999996</v>
      </c>
      <c r="R1363" s="261">
        <v>12499.751699999999</v>
      </c>
      <c r="S1363">
        <v>42736.162319999996</v>
      </c>
      <c r="T1363">
        <v>-3.1999999191612005E-4</v>
      </c>
    </row>
    <row r="1364" spans="1:20">
      <c r="A1364" t="s">
        <v>19124</v>
      </c>
      <c r="B1364">
        <v>45202</v>
      </c>
      <c r="C1364" t="s">
        <v>17304</v>
      </c>
      <c r="D1364" t="s">
        <v>17305</v>
      </c>
      <c r="E1364">
        <v>0</v>
      </c>
      <c r="F1364">
        <v>11615.623</v>
      </c>
      <c r="G1364" s="259">
        <v>0</v>
      </c>
      <c r="H1364" s="259">
        <v>11613.2973</v>
      </c>
      <c r="I1364" s="259">
        <v>0</v>
      </c>
      <c r="J1364" s="259">
        <v>0</v>
      </c>
      <c r="K1364" s="260">
        <v>0</v>
      </c>
      <c r="L1364" s="260">
        <v>0</v>
      </c>
      <c r="M1364" s="260">
        <v>0</v>
      </c>
      <c r="N1364" s="260">
        <v>0</v>
      </c>
      <c r="O1364" s="261">
        <v>0</v>
      </c>
      <c r="P1364" s="261">
        <v>11613.2973</v>
      </c>
      <c r="Q1364" s="261">
        <v>0</v>
      </c>
      <c r="R1364" s="261">
        <v>0</v>
      </c>
      <c r="S1364">
        <v>11613.2973</v>
      </c>
      <c r="T1364">
        <v>2.325699999999415</v>
      </c>
    </row>
    <row r="1365" spans="1:20">
      <c r="A1365" t="s">
        <v>19125</v>
      </c>
      <c r="B1365">
        <v>45201</v>
      </c>
      <c r="C1365" t="s">
        <v>16957</v>
      </c>
      <c r="D1365" t="s">
        <v>17451</v>
      </c>
      <c r="E1365">
        <v>0</v>
      </c>
      <c r="F1365">
        <v>86018.626999999993</v>
      </c>
      <c r="G1365" s="259">
        <v>86018.627174999987</v>
      </c>
      <c r="H1365" s="259">
        <v>0</v>
      </c>
      <c r="I1365" s="259">
        <v>0</v>
      </c>
      <c r="J1365" s="259">
        <v>0</v>
      </c>
      <c r="K1365" s="260">
        <v>0</v>
      </c>
      <c r="L1365" s="260">
        <v>0</v>
      </c>
      <c r="M1365" s="260">
        <v>0</v>
      </c>
      <c r="N1365" s="260">
        <v>0</v>
      </c>
      <c r="O1365" s="261">
        <v>86018.627174999987</v>
      </c>
      <c r="P1365" s="261">
        <v>0</v>
      </c>
      <c r="Q1365" s="261">
        <v>0</v>
      </c>
      <c r="R1365" s="261">
        <v>0</v>
      </c>
      <c r="S1365">
        <v>86018.627174999987</v>
      </c>
      <c r="T1365">
        <v>-1.7499999376013875E-4</v>
      </c>
    </row>
    <row r="1366" spans="1:20">
      <c r="A1366" t="s">
        <v>19126</v>
      </c>
      <c r="B1366">
        <v>45201</v>
      </c>
      <c r="C1366" t="s">
        <v>16904</v>
      </c>
      <c r="D1366" t="s">
        <v>16905</v>
      </c>
      <c r="E1366">
        <v>0</v>
      </c>
      <c r="F1366">
        <v>78654.543000000005</v>
      </c>
      <c r="G1366" s="259">
        <v>0</v>
      </c>
      <c r="H1366" s="259">
        <v>47603.821823999991</v>
      </c>
      <c r="I1366" s="259">
        <v>17645.120999999999</v>
      </c>
      <c r="J1366" s="259">
        <v>0</v>
      </c>
      <c r="K1366" s="260">
        <v>0</v>
      </c>
      <c r="L1366" s="260">
        <v>9713.0041427941833</v>
      </c>
      <c r="M1366" s="260">
        <v>3692.5958572058175</v>
      </c>
      <c r="N1366" s="260">
        <v>0</v>
      </c>
      <c r="O1366" s="261">
        <v>0</v>
      </c>
      <c r="P1366" s="261">
        <v>57316.825966794175</v>
      </c>
      <c r="Q1366" s="261">
        <v>21337.716857205818</v>
      </c>
      <c r="R1366" s="261">
        <v>0</v>
      </c>
      <c r="S1366">
        <v>78654.542823999989</v>
      </c>
      <c r="T1366">
        <v>1.7600001592654735E-4</v>
      </c>
    </row>
    <row r="1367" spans="1:20">
      <c r="A1367" t="s">
        <v>19127</v>
      </c>
      <c r="B1367">
        <v>45201</v>
      </c>
      <c r="C1367" t="s">
        <v>16904</v>
      </c>
      <c r="D1367" t="s">
        <v>16905</v>
      </c>
      <c r="E1367">
        <v>0</v>
      </c>
      <c r="F1367">
        <v>79837.577000000005</v>
      </c>
      <c r="G1367" s="259">
        <v>0</v>
      </c>
      <c r="H1367" s="259">
        <v>44932.371840000007</v>
      </c>
      <c r="I1367" s="259">
        <v>21467.205000000002</v>
      </c>
      <c r="J1367" s="259">
        <v>0</v>
      </c>
      <c r="K1367" s="260">
        <v>0</v>
      </c>
      <c r="L1367" s="260">
        <v>9052.2297650130549</v>
      </c>
      <c r="M1367" s="260">
        <v>4385.7702349869451</v>
      </c>
      <c r="N1367" s="260">
        <v>0</v>
      </c>
      <c r="O1367" s="261">
        <v>0</v>
      </c>
      <c r="P1367" s="261">
        <v>53984.601605013064</v>
      </c>
      <c r="Q1367" s="261">
        <v>25852.975234986945</v>
      </c>
      <c r="R1367" s="261">
        <v>0</v>
      </c>
      <c r="S1367">
        <v>79837.576840000009</v>
      </c>
      <c r="T1367">
        <v>1.5999999595806003E-4</v>
      </c>
    </row>
    <row r="1368" spans="1:20">
      <c r="A1368" t="s">
        <v>19128</v>
      </c>
      <c r="B1368">
        <v>45208</v>
      </c>
      <c r="C1368" t="s">
        <v>17309</v>
      </c>
      <c r="D1368" t="s">
        <v>18704</v>
      </c>
      <c r="E1368">
        <v>0</v>
      </c>
      <c r="F1368">
        <v>36864</v>
      </c>
      <c r="G1368" s="259">
        <v>36864</v>
      </c>
      <c r="H1368" s="259">
        <v>0</v>
      </c>
      <c r="I1368" s="259">
        <v>0</v>
      </c>
      <c r="J1368" s="259">
        <v>0</v>
      </c>
      <c r="K1368" s="260">
        <v>0</v>
      </c>
      <c r="L1368" s="260">
        <v>0</v>
      </c>
      <c r="M1368" s="260">
        <v>0</v>
      </c>
      <c r="N1368" s="260">
        <v>0</v>
      </c>
      <c r="O1368" s="261">
        <v>36864</v>
      </c>
      <c r="P1368" s="261">
        <v>0</v>
      </c>
      <c r="Q1368" s="261">
        <v>0</v>
      </c>
      <c r="R1368" s="261">
        <v>0</v>
      </c>
      <c r="S1368">
        <v>36864</v>
      </c>
      <c r="T1368">
        <v>0</v>
      </c>
    </row>
    <row r="1369" spans="1:20">
      <c r="A1369" t="s">
        <v>19129</v>
      </c>
      <c r="B1369">
        <v>45208</v>
      </c>
      <c r="C1369" t="s">
        <v>17342</v>
      </c>
      <c r="D1369" t="s">
        <v>17343</v>
      </c>
      <c r="E1369">
        <v>0</v>
      </c>
      <c r="F1369">
        <v>175682.42199999999</v>
      </c>
      <c r="G1369" s="259">
        <v>8546.3988479999989</v>
      </c>
      <c r="H1369" s="259">
        <v>92284.027651199984</v>
      </c>
      <c r="I1369" s="259">
        <v>35247.449999999997</v>
      </c>
      <c r="J1369" s="259">
        <v>16106.245068800003</v>
      </c>
      <c r="K1369" s="260">
        <v>1344.8947535771065</v>
      </c>
      <c r="L1369" s="260">
        <v>16026.662480127185</v>
      </c>
      <c r="M1369" s="260">
        <v>5603.7281399046105</v>
      </c>
      <c r="N1369" s="260">
        <v>523.01462639109695</v>
      </c>
      <c r="O1369" s="261">
        <v>9891.2936015771047</v>
      </c>
      <c r="P1369" s="261">
        <v>108310.69013132717</v>
      </c>
      <c r="Q1369" s="261">
        <v>40851.178139904609</v>
      </c>
      <c r="R1369" s="261">
        <v>16629.2596951911</v>
      </c>
      <c r="S1369">
        <v>175682.42156799999</v>
      </c>
      <c r="T1369">
        <v>4.3200000072829425E-4</v>
      </c>
    </row>
    <row r="1370" spans="1:20">
      <c r="A1370" t="s">
        <v>19130</v>
      </c>
      <c r="B1370">
        <v>45208</v>
      </c>
      <c r="C1370" t="s">
        <v>17342</v>
      </c>
      <c r="D1370" t="s">
        <v>17343</v>
      </c>
      <c r="E1370">
        <v>0</v>
      </c>
      <c r="F1370">
        <v>77834.385999999999</v>
      </c>
      <c r="G1370" s="259">
        <v>0</v>
      </c>
      <c r="H1370" s="259">
        <v>41273.837445600002</v>
      </c>
      <c r="I1370" s="259">
        <v>17623.724999999999</v>
      </c>
      <c r="J1370" s="259">
        <v>6180.6034316000014</v>
      </c>
      <c r="K1370" s="260">
        <v>0</v>
      </c>
      <c r="L1370" s="260">
        <v>8899.6883720930236</v>
      </c>
      <c r="M1370" s="260">
        <v>3559.8753488372095</v>
      </c>
      <c r="N1370" s="260">
        <v>296.65627906976744</v>
      </c>
      <c r="O1370" s="261">
        <v>0</v>
      </c>
      <c r="P1370" s="261">
        <v>50173.525817693022</v>
      </c>
      <c r="Q1370" s="261">
        <v>21183.600348837208</v>
      </c>
      <c r="R1370" s="261">
        <v>6477.2597106697685</v>
      </c>
      <c r="S1370">
        <v>77834.385877199995</v>
      </c>
      <c r="T1370">
        <v>1.2280000373721123E-4</v>
      </c>
    </row>
    <row r="1371" spans="1:20">
      <c r="A1371" t="s">
        <v>19131</v>
      </c>
      <c r="B1371">
        <v>45208</v>
      </c>
      <c r="C1371" t="s">
        <v>17342</v>
      </c>
      <c r="D1371" t="s">
        <v>17343</v>
      </c>
      <c r="E1371">
        <v>0</v>
      </c>
      <c r="F1371">
        <v>59346.53</v>
      </c>
      <c r="G1371" s="259">
        <v>5705.1521279999997</v>
      </c>
      <c r="H1371" s="259">
        <v>38500.741555200002</v>
      </c>
      <c r="I1371" s="259">
        <v>0</v>
      </c>
      <c r="J1371" s="259">
        <v>4384.3163682000004</v>
      </c>
      <c r="K1371" s="260">
        <v>1314.0833799949096</v>
      </c>
      <c r="L1371" s="260">
        <v>9100.0274064647492</v>
      </c>
      <c r="M1371" s="260">
        <v>0</v>
      </c>
      <c r="N1371" s="260">
        <v>342.20921354034107</v>
      </c>
      <c r="O1371" s="261">
        <v>7019.2355079949093</v>
      </c>
      <c r="P1371" s="261">
        <v>47600.768961664755</v>
      </c>
      <c r="Q1371" s="261">
        <v>0</v>
      </c>
      <c r="R1371" s="261">
        <v>4726.5255817403413</v>
      </c>
      <c r="S1371">
        <v>59346.530051400012</v>
      </c>
      <c r="T1371">
        <v>-5.1400013035163283E-5</v>
      </c>
    </row>
    <row r="1372" spans="1:20">
      <c r="A1372" t="s">
        <v>19132</v>
      </c>
      <c r="B1372">
        <v>45208</v>
      </c>
      <c r="C1372" t="s">
        <v>17342</v>
      </c>
      <c r="D1372" t="s">
        <v>17343</v>
      </c>
      <c r="E1372">
        <v>0</v>
      </c>
      <c r="F1372">
        <v>82469.759000000005</v>
      </c>
      <c r="G1372" s="259">
        <v>0</v>
      </c>
      <c r="H1372" s="259">
        <v>49893.251424000002</v>
      </c>
      <c r="I1372" s="259">
        <v>10582.424999999999</v>
      </c>
      <c r="J1372" s="259">
        <v>13326.572103999999</v>
      </c>
      <c r="K1372" s="260">
        <v>0</v>
      </c>
      <c r="L1372" s="260">
        <v>6700.3309766162311</v>
      </c>
      <c r="M1372" s="260">
        <v>1341.258425034388</v>
      </c>
      <c r="N1372" s="260">
        <v>625.92059834938107</v>
      </c>
      <c r="O1372" s="261">
        <v>0</v>
      </c>
      <c r="P1372" s="261">
        <v>56593.582400616229</v>
      </c>
      <c r="Q1372" s="261">
        <v>11923.683425034387</v>
      </c>
      <c r="R1372" s="261">
        <v>13952.49270234938</v>
      </c>
      <c r="S1372">
        <v>82469.758527999991</v>
      </c>
      <c r="T1372">
        <v>4.7200001426972449E-4</v>
      </c>
    </row>
    <row r="1373" spans="1:20">
      <c r="A1373" t="s">
        <v>19133</v>
      </c>
      <c r="B1373">
        <v>45208</v>
      </c>
      <c r="C1373" t="s">
        <v>17342</v>
      </c>
      <c r="D1373" t="s">
        <v>17343</v>
      </c>
      <c r="E1373">
        <v>0</v>
      </c>
      <c r="F1373">
        <v>78987.627999999997</v>
      </c>
      <c r="G1373" s="259">
        <v>11382.80832</v>
      </c>
      <c r="H1373" s="259">
        <v>30327.731910000006</v>
      </c>
      <c r="I1373" s="259">
        <v>14083.65</v>
      </c>
      <c r="J1373" s="259">
        <v>9813.9701879999993</v>
      </c>
      <c r="K1373" s="260">
        <v>2447.4635670731709</v>
      </c>
      <c r="L1373" s="260">
        <v>7158.8309336890252</v>
      </c>
      <c r="M1373" s="260">
        <v>3059.3294588414637</v>
      </c>
      <c r="N1373" s="260">
        <v>713.84354039634161</v>
      </c>
      <c r="O1373" s="261">
        <v>13830.271887073171</v>
      </c>
      <c r="P1373" s="261">
        <v>37486.562843689033</v>
      </c>
      <c r="Q1373" s="261">
        <v>17142.979458841462</v>
      </c>
      <c r="R1373" s="261">
        <v>10527.813728396341</v>
      </c>
      <c r="S1373">
        <v>78987.627918000013</v>
      </c>
      <c r="T1373">
        <v>8.1999984104186296E-5</v>
      </c>
    </row>
    <row r="1374" spans="1:20">
      <c r="A1374" t="s">
        <v>19134</v>
      </c>
      <c r="B1374">
        <v>45231</v>
      </c>
      <c r="C1374" t="s">
        <v>17342</v>
      </c>
      <c r="D1374" t="s">
        <v>17343</v>
      </c>
      <c r="E1374">
        <v>0</v>
      </c>
      <c r="F1374">
        <v>37312.877999999997</v>
      </c>
      <c r="G1374" s="259">
        <v>6548.9506560000009</v>
      </c>
      <c r="H1374" s="259">
        <v>25301.880576</v>
      </c>
      <c r="I1374" s="259">
        <v>0</v>
      </c>
      <c r="J1374" s="259">
        <v>5462.0472479999999</v>
      </c>
      <c r="K1374" s="260">
        <v>0</v>
      </c>
      <c r="L1374" s="260">
        <v>0</v>
      </c>
      <c r="M1374" s="260">
        <v>0</v>
      </c>
      <c r="N1374" s="260">
        <v>0</v>
      </c>
      <c r="O1374" s="261">
        <v>6548.9506560000009</v>
      </c>
      <c r="P1374" s="261">
        <v>25301.880576</v>
      </c>
      <c r="Q1374" s="261">
        <v>0</v>
      </c>
      <c r="R1374" s="261">
        <v>5462.0472479999999</v>
      </c>
      <c r="S1374">
        <v>37312.878479999999</v>
      </c>
      <c r="T1374">
        <v>-4.8000000242609531E-4</v>
      </c>
    </row>
    <row r="1375" spans="1:20">
      <c r="A1375" t="s">
        <v>19135</v>
      </c>
      <c r="B1375">
        <v>45261</v>
      </c>
      <c r="C1375" t="s">
        <v>17299</v>
      </c>
      <c r="D1375" t="s">
        <v>18631</v>
      </c>
      <c r="E1375">
        <v>0</v>
      </c>
      <c r="F1375">
        <v>271815.63300000003</v>
      </c>
      <c r="G1375" s="259">
        <v>246906.288</v>
      </c>
      <c r="H1375" s="259">
        <v>0</v>
      </c>
      <c r="I1375" s="259">
        <v>0</v>
      </c>
      <c r="J1375" s="259">
        <v>0</v>
      </c>
      <c r="K1375" s="260">
        <v>24909.344999999998</v>
      </c>
      <c r="L1375" s="260">
        <v>0</v>
      </c>
      <c r="M1375" s="260">
        <v>0</v>
      </c>
      <c r="N1375" s="260">
        <v>0</v>
      </c>
      <c r="O1375" s="261">
        <v>271815.63299999997</v>
      </c>
      <c r="P1375" s="261">
        <v>0</v>
      </c>
      <c r="Q1375" s="261">
        <v>0</v>
      </c>
      <c r="R1375" s="261">
        <v>0</v>
      </c>
      <c r="S1375">
        <v>271815.63299999997</v>
      </c>
      <c r="T1375">
        <v>0</v>
      </c>
    </row>
    <row r="1376" spans="1:20">
      <c r="A1376" t="s">
        <v>19136</v>
      </c>
      <c r="B1376">
        <v>45212</v>
      </c>
      <c r="C1376" t="s">
        <v>17017</v>
      </c>
      <c r="D1376" t="s">
        <v>17430</v>
      </c>
      <c r="E1376">
        <v>0</v>
      </c>
      <c r="F1376">
        <v>96350</v>
      </c>
      <c r="G1376" s="259">
        <v>0</v>
      </c>
      <c r="H1376" s="259">
        <v>96350</v>
      </c>
      <c r="I1376" s="259">
        <v>0</v>
      </c>
      <c r="J1376" s="259">
        <v>0</v>
      </c>
      <c r="K1376" s="260">
        <v>0</v>
      </c>
      <c r="L1376" s="260">
        <v>0</v>
      </c>
      <c r="M1376" s="260">
        <v>0</v>
      </c>
      <c r="N1376" s="260">
        <v>0</v>
      </c>
      <c r="O1376" s="261">
        <v>0</v>
      </c>
      <c r="P1376" s="261">
        <v>96350</v>
      </c>
      <c r="Q1376" s="261">
        <v>0</v>
      </c>
      <c r="R1376" s="261">
        <v>0</v>
      </c>
      <c r="S1376">
        <v>96350</v>
      </c>
      <c r="T1376">
        <v>0</v>
      </c>
    </row>
    <row r="1377" spans="1:20">
      <c r="A1377" t="s">
        <v>19137</v>
      </c>
      <c r="B1377">
        <v>45215</v>
      </c>
      <c r="C1377" t="s">
        <v>17017</v>
      </c>
      <c r="D1377" t="s">
        <v>17430</v>
      </c>
      <c r="E1377">
        <v>0</v>
      </c>
      <c r="F1377">
        <v>35250</v>
      </c>
      <c r="G1377" s="259">
        <v>0</v>
      </c>
      <c r="H1377" s="259">
        <v>35250</v>
      </c>
      <c r="I1377" s="259">
        <v>0</v>
      </c>
      <c r="J1377" s="259">
        <v>0</v>
      </c>
      <c r="K1377" s="260">
        <v>0</v>
      </c>
      <c r="L1377" s="260">
        <v>0</v>
      </c>
      <c r="M1377" s="260">
        <v>0</v>
      </c>
      <c r="N1377" s="260">
        <v>0</v>
      </c>
      <c r="O1377" s="261">
        <v>0</v>
      </c>
      <c r="P1377" s="261">
        <v>35250</v>
      </c>
      <c r="Q1377" s="261">
        <v>0</v>
      </c>
      <c r="R1377" s="261">
        <v>0</v>
      </c>
      <c r="S1377">
        <v>35250</v>
      </c>
      <c r="T1377">
        <v>0</v>
      </c>
    </row>
    <row r="1378" spans="1:20">
      <c r="A1378" t="s">
        <v>19138</v>
      </c>
      <c r="B1378">
        <v>45215</v>
      </c>
      <c r="C1378" t="s">
        <v>16700</v>
      </c>
      <c r="D1378" t="s">
        <v>16701</v>
      </c>
      <c r="E1378">
        <v>0</v>
      </c>
      <c r="F1378">
        <v>244602.20499999999</v>
      </c>
      <c r="G1378" s="259">
        <v>214372.55531999998</v>
      </c>
      <c r="H1378" s="259">
        <v>0</v>
      </c>
      <c r="I1378" s="259">
        <v>0</v>
      </c>
      <c r="J1378" s="259">
        <v>0</v>
      </c>
      <c r="K1378" s="260">
        <v>30229.65</v>
      </c>
      <c r="L1378" s="260">
        <v>0</v>
      </c>
      <c r="M1378" s="260">
        <v>0</v>
      </c>
      <c r="N1378" s="260">
        <v>0</v>
      </c>
      <c r="O1378" s="261">
        <v>244602.20531999998</v>
      </c>
      <c r="P1378" s="261">
        <v>0</v>
      </c>
      <c r="Q1378" s="261">
        <v>0</v>
      </c>
      <c r="R1378" s="261">
        <v>0</v>
      </c>
      <c r="S1378">
        <v>244602.20531999998</v>
      </c>
      <c r="T1378">
        <v>-3.1999999191612005E-4</v>
      </c>
    </row>
    <row r="1379" spans="1:20">
      <c r="A1379" t="s">
        <v>19139</v>
      </c>
      <c r="B1379">
        <v>45215</v>
      </c>
      <c r="C1379" t="s">
        <v>16838</v>
      </c>
      <c r="D1379" t="s">
        <v>16839</v>
      </c>
      <c r="E1379">
        <v>0</v>
      </c>
      <c r="F1379">
        <v>301069.44</v>
      </c>
      <c r="G1379" s="259">
        <v>0</v>
      </c>
      <c r="H1379" s="259">
        <v>301069.44</v>
      </c>
      <c r="I1379" s="259">
        <v>0</v>
      </c>
      <c r="J1379" s="259">
        <v>0</v>
      </c>
      <c r="K1379" s="260">
        <v>0</v>
      </c>
      <c r="L1379" s="260">
        <v>0</v>
      </c>
      <c r="M1379" s="260">
        <v>0</v>
      </c>
      <c r="N1379" s="260">
        <v>0</v>
      </c>
      <c r="O1379" s="261">
        <v>0</v>
      </c>
      <c r="P1379" s="261">
        <v>301069.44</v>
      </c>
      <c r="Q1379" s="261">
        <v>0</v>
      </c>
      <c r="R1379" s="261">
        <v>0</v>
      </c>
      <c r="S1379">
        <v>301069.44</v>
      </c>
      <c r="T1379">
        <v>0</v>
      </c>
    </row>
    <row r="1380" spans="1:20">
      <c r="A1380" t="s">
        <v>19140</v>
      </c>
      <c r="B1380">
        <v>45215</v>
      </c>
      <c r="C1380" t="s">
        <v>17233</v>
      </c>
      <c r="D1380" t="s">
        <v>17234</v>
      </c>
      <c r="E1380">
        <v>0</v>
      </c>
      <c r="F1380">
        <v>524243.43799999997</v>
      </c>
      <c r="G1380" s="259">
        <v>0</v>
      </c>
      <c r="H1380" s="259">
        <v>327836.74175999989</v>
      </c>
      <c r="I1380" s="259">
        <v>196406.69664000001</v>
      </c>
      <c r="J1380" s="259">
        <v>0</v>
      </c>
      <c r="K1380" s="260">
        <v>0</v>
      </c>
      <c r="L1380" s="260">
        <v>0</v>
      </c>
      <c r="M1380" s="260">
        <v>0</v>
      </c>
      <c r="N1380" s="260">
        <v>0</v>
      </c>
      <c r="O1380" s="261">
        <v>0</v>
      </c>
      <c r="P1380" s="261">
        <v>327836.74175999989</v>
      </c>
      <c r="Q1380" s="261">
        <v>196406.69664000001</v>
      </c>
      <c r="R1380" s="261">
        <v>0</v>
      </c>
      <c r="S1380">
        <v>524243.43839999987</v>
      </c>
      <c r="T1380">
        <v>-3.999999025836587E-4</v>
      </c>
    </row>
    <row r="1381" spans="1:20">
      <c r="A1381" t="s">
        <v>19141</v>
      </c>
      <c r="B1381">
        <v>45216</v>
      </c>
      <c r="C1381" t="s">
        <v>16957</v>
      </c>
      <c r="D1381" t="s">
        <v>17451</v>
      </c>
      <c r="E1381">
        <v>0</v>
      </c>
      <c r="F1381">
        <v>96175.445999999996</v>
      </c>
      <c r="G1381" s="259">
        <v>96175.446249999994</v>
      </c>
      <c r="H1381" s="259">
        <v>0</v>
      </c>
      <c r="I1381" s="259">
        <v>0</v>
      </c>
      <c r="J1381" s="259">
        <v>0</v>
      </c>
      <c r="K1381" s="260">
        <v>0</v>
      </c>
      <c r="L1381" s="260">
        <v>0</v>
      </c>
      <c r="M1381" s="260">
        <v>0</v>
      </c>
      <c r="N1381" s="260">
        <v>0</v>
      </c>
      <c r="O1381" s="261">
        <v>96175.446249999994</v>
      </c>
      <c r="P1381" s="261">
        <v>0</v>
      </c>
      <c r="Q1381" s="261">
        <v>0</v>
      </c>
      <c r="R1381" s="261">
        <v>0</v>
      </c>
      <c r="S1381">
        <v>96175.446249999994</v>
      </c>
      <c r="T1381">
        <v>-2.499999973224476E-4</v>
      </c>
    </row>
    <row r="1382" spans="1:20">
      <c r="A1382" t="s">
        <v>19142</v>
      </c>
      <c r="B1382">
        <v>45216</v>
      </c>
      <c r="C1382" t="s">
        <v>17309</v>
      </c>
      <c r="D1382" t="s">
        <v>18704</v>
      </c>
      <c r="E1382">
        <v>0</v>
      </c>
      <c r="F1382">
        <v>40714.800000000003</v>
      </c>
      <c r="G1382" s="259">
        <v>40714.800000000003</v>
      </c>
      <c r="H1382" s="259">
        <v>0</v>
      </c>
      <c r="I1382" s="259">
        <v>0</v>
      </c>
      <c r="J1382" s="259">
        <v>0</v>
      </c>
      <c r="K1382" s="260">
        <v>0</v>
      </c>
      <c r="L1382" s="260">
        <v>0</v>
      </c>
      <c r="M1382" s="260">
        <v>0</v>
      </c>
      <c r="N1382" s="260">
        <v>0</v>
      </c>
      <c r="O1382" s="261">
        <v>40714.800000000003</v>
      </c>
      <c r="P1382" s="261">
        <v>0</v>
      </c>
      <c r="Q1382" s="261">
        <v>0</v>
      </c>
      <c r="R1382" s="261">
        <v>0</v>
      </c>
      <c r="S1382">
        <v>40714.800000000003</v>
      </c>
      <c r="T1382">
        <v>0</v>
      </c>
    </row>
    <row r="1383" spans="1:20">
      <c r="A1383" t="s">
        <v>19143</v>
      </c>
      <c r="B1383">
        <v>45231</v>
      </c>
      <c r="C1383" t="s">
        <v>17357</v>
      </c>
      <c r="D1383" t="s">
        <v>19144</v>
      </c>
      <c r="E1383">
        <v>0</v>
      </c>
      <c r="F1383">
        <v>91090.52</v>
      </c>
      <c r="G1383" s="259">
        <v>14673.980250000001</v>
      </c>
      <c r="H1383" s="259">
        <v>53864.472480000004</v>
      </c>
      <c r="I1383" s="259">
        <v>6941.2980000000007</v>
      </c>
      <c r="J1383" s="259">
        <v>8682.1844375000001</v>
      </c>
      <c r="K1383" s="260">
        <v>1332.8948699679372</v>
      </c>
      <c r="L1383" s="260">
        <v>4818.1681225507655</v>
      </c>
      <c r="M1383" s="260">
        <v>592.39771998574986</v>
      </c>
      <c r="N1383" s="260">
        <v>185.12428749554684</v>
      </c>
      <c r="O1383" s="261">
        <v>16006.875119967937</v>
      </c>
      <c r="P1383" s="261">
        <v>58682.640602550768</v>
      </c>
      <c r="Q1383" s="261">
        <v>7533.6957199857507</v>
      </c>
      <c r="R1383" s="261">
        <v>8867.3087249955461</v>
      </c>
      <c r="S1383">
        <v>91090.520167499999</v>
      </c>
      <c r="T1383">
        <v>-1.6749999485909939E-4</v>
      </c>
    </row>
    <row r="1384" spans="1:20">
      <c r="A1384" t="s">
        <v>19145</v>
      </c>
      <c r="B1384">
        <v>45217</v>
      </c>
      <c r="C1384" t="s">
        <v>17304</v>
      </c>
      <c r="D1384" t="s">
        <v>17305</v>
      </c>
      <c r="E1384">
        <v>0</v>
      </c>
      <c r="F1384">
        <v>71821.532000000007</v>
      </c>
      <c r="G1384" s="259">
        <v>0</v>
      </c>
      <c r="H1384" s="259">
        <v>26972.461652400001</v>
      </c>
      <c r="I1384" s="259">
        <v>11983.593599999998</v>
      </c>
      <c r="J1384" s="259">
        <v>21306.478050000002</v>
      </c>
      <c r="K1384" s="260">
        <v>0</v>
      </c>
      <c r="L1384" s="260">
        <v>6390.140408136388</v>
      </c>
      <c r="M1384" s="260">
        <v>2651.5716670844186</v>
      </c>
      <c r="N1384" s="260">
        <v>2516.5379247791939</v>
      </c>
      <c r="O1384" s="261">
        <v>0</v>
      </c>
      <c r="P1384" s="261">
        <v>33362.602060536388</v>
      </c>
      <c r="Q1384" s="261">
        <v>14635.165267084416</v>
      </c>
      <c r="R1384" s="261">
        <v>23823.015974779195</v>
      </c>
      <c r="S1384">
        <v>71820.783302399999</v>
      </c>
      <c r="T1384">
        <v>0.74869760000729002</v>
      </c>
    </row>
    <row r="1385" spans="1:20">
      <c r="A1385" t="s">
        <v>19146</v>
      </c>
      <c r="B1385">
        <v>45218</v>
      </c>
      <c r="C1385" t="s">
        <v>17264</v>
      </c>
      <c r="D1385" t="s">
        <v>17265</v>
      </c>
      <c r="E1385">
        <v>0</v>
      </c>
      <c r="F1385">
        <v>168086.16</v>
      </c>
      <c r="G1385" s="259">
        <v>0</v>
      </c>
      <c r="H1385" s="259">
        <v>0</v>
      </c>
      <c r="I1385" s="259">
        <v>0</v>
      </c>
      <c r="J1385" s="259">
        <v>168086.16</v>
      </c>
      <c r="K1385" s="260">
        <v>0</v>
      </c>
      <c r="L1385" s="260">
        <v>0</v>
      </c>
      <c r="M1385" s="260">
        <v>0</v>
      </c>
      <c r="N1385" s="260">
        <v>0</v>
      </c>
      <c r="O1385" s="261">
        <v>0</v>
      </c>
      <c r="P1385" s="261">
        <v>0</v>
      </c>
      <c r="Q1385" s="261">
        <v>0</v>
      </c>
      <c r="R1385" s="261">
        <v>168086.16</v>
      </c>
      <c r="S1385">
        <v>168086.16</v>
      </c>
      <c r="T1385">
        <v>0</v>
      </c>
    </row>
    <row r="1386" spans="1:20">
      <c r="A1386" t="s">
        <v>19147</v>
      </c>
      <c r="B1386">
        <v>45218</v>
      </c>
      <c r="C1386" t="s">
        <v>16880</v>
      </c>
      <c r="D1386" t="s">
        <v>16881</v>
      </c>
      <c r="E1386">
        <v>0</v>
      </c>
      <c r="F1386">
        <v>89366.555999999997</v>
      </c>
      <c r="G1386" s="259">
        <v>9790.348469999999</v>
      </c>
      <c r="H1386" s="259">
        <v>79576.207340000008</v>
      </c>
      <c r="I1386" s="259">
        <v>0</v>
      </c>
      <c r="J1386" s="259">
        <v>0</v>
      </c>
      <c r="K1386" s="260">
        <v>0</v>
      </c>
      <c r="L1386" s="260">
        <v>0</v>
      </c>
      <c r="M1386" s="260">
        <v>0</v>
      </c>
      <c r="N1386" s="260">
        <v>0</v>
      </c>
      <c r="O1386" s="261">
        <v>9790.348469999999</v>
      </c>
      <c r="P1386" s="261">
        <v>79576.207340000008</v>
      </c>
      <c r="Q1386" s="261">
        <v>0</v>
      </c>
      <c r="R1386" s="261">
        <v>0</v>
      </c>
      <c r="S1386">
        <v>89366.555810000005</v>
      </c>
      <c r="T1386">
        <v>1.8999999156221747E-4</v>
      </c>
    </row>
    <row r="1387" spans="1:20">
      <c r="A1387" t="s">
        <v>19148</v>
      </c>
      <c r="B1387">
        <v>45218</v>
      </c>
      <c r="C1387" t="s">
        <v>16470</v>
      </c>
      <c r="D1387" t="s">
        <v>16471</v>
      </c>
      <c r="E1387">
        <v>0</v>
      </c>
      <c r="F1387">
        <v>611710.67799999996</v>
      </c>
      <c r="G1387" s="259">
        <v>25514.787420000001</v>
      </c>
      <c r="H1387" s="259">
        <v>492570.10363000014</v>
      </c>
      <c r="I1387" s="259">
        <v>29501.925000000003</v>
      </c>
      <c r="J1387" s="259">
        <v>0</v>
      </c>
      <c r="K1387" s="260">
        <v>2702.9333131664953</v>
      </c>
      <c r="L1387" s="260">
        <v>57619.334216135205</v>
      </c>
      <c r="M1387" s="260">
        <v>3801.5939706983054</v>
      </c>
      <c r="N1387" s="260">
        <v>0</v>
      </c>
      <c r="O1387" s="261">
        <v>28217.720733166498</v>
      </c>
      <c r="P1387" s="261">
        <v>550189.43784613535</v>
      </c>
      <c r="Q1387" s="261">
        <v>33303.518970698307</v>
      </c>
      <c r="R1387" s="261">
        <v>0</v>
      </c>
      <c r="S1387">
        <v>611710.67755000014</v>
      </c>
      <c r="T1387">
        <v>4.4999981764703989E-4</v>
      </c>
    </row>
    <row r="1388" spans="1:20">
      <c r="A1388" t="s">
        <v>19149</v>
      </c>
      <c r="B1388">
        <v>45218</v>
      </c>
      <c r="C1388" t="s">
        <v>16444</v>
      </c>
      <c r="D1388" t="s">
        <v>16445</v>
      </c>
      <c r="E1388">
        <v>0</v>
      </c>
      <c r="F1388">
        <v>181060</v>
      </c>
      <c r="G1388" s="259">
        <v>0</v>
      </c>
      <c r="H1388" s="259">
        <v>181060</v>
      </c>
      <c r="I1388" s="259">
        <v>0</v>
      </c>
      <c r="J1388" s="259">
        <v>0</v>
      </c>
      <c r="K1388" s="260">
        <v>0</v>
      </c>
      <c r="L1388" s="260">
        <v>0</v>
      </c>
      <c r="M1388" s="260">
        <v>0</v>
      </c>
      <c r="N1388" s="260">
        <v>0</v>
      </c>
      <c r="O1388" s="261">
        <v>0</v>
      </c>
      <c r="P1388" s="261">
        <v>181060</v>
      </c>
      <c r="Q1388" s="261">
        <v>0</v>
      </c>
      <c r="R1388" s="261">
        <v>0</v>
      </c>
      <c r="S1388">
        <v>181060</v>
      </c>
      <c r="T1388">
        <v>0</v>
      </c>
    </row>
    <row r="1389" spans="1:20">
      <c r="A1389" t="s">
        <v>19150</v>
      </c>
      <c r="B1389">
        <v>45218</v>
      </c>
      <c r="C1389" t="s">
        <v>16444</v>
      </c>
      <c r="D1389" t="s">
        <v>16445</v>
      </c>
      <c r="E1389">
        <v>0</v>
      </c>
      <c r="F1389">
        <v>181060</v>
      </c>
      <c r="G1389" s="259">
        <v>0</v>
      </c>
      <c r="H1389" s="259">
        <v>181060</v>
      </c>
      <c r="I1389" s="259">
        <v>0</v>
      </c>
      <c r="J1389" s="259">
        <v>0</v>
      </c>
      <c r="K1389" s="260">
        <v>0</v>
      </c>
      <c r="L1389" s="260">
        <v>0</v>
      </c>
      <c r="M1389" s="260">
        <v>0</v>
      </c>
      <c r="N1389" s="260">
        <v>0</v>
      </c>
      <c r="O1389" s="261">
        <v>0</v>
      </c>
      <c r="P1389" s="261">
        <v>181060</v>
      </c>
      <c r="Q1389" s="261">
        <v>0</v>
      </c>
      <c r="R1389" s="261">
        <v>0</v>
      </c>
      <c r="S1389">
        <v>181060</v>
      </c>
      <c r="T1389">
        <v>0</v>
      </c>
    </row>
    <row r="1390" spans="1:20">
      <c r="A1390" t="s">
        <v>19151</v>
      </c>
      <c r="B1390">
        <v>45231</v>
      </c>
      <c r="C1390" t="s">
        <v>16444</v>
      </c>
      <c r="D1390" t="s">
        <v>16445</v>
      </c>
      <c r="E1390">
        <v>0</v>
      </c>
      <c r="F1390">
        <v>133200</v>
      </c>
      <c r="G1390" s="259">
        <v>0</v>
      </c>
      <c r="H1390" s="259">
        <v>133200</v>
      </c>
      <c r="I1390" s="259">
        <v>0</v>
      </c>
      <c r="J1390" s="259">
        <v>0</v>
      </c>
      <c r="K1390" s="260">
        <v>0</v>
      </c>
      <c r="L1390" s="260">
        <v>0</v>
      </c>
      <c r="M1390" s="260">
        <v>0</v>
      </c>
      <c r="N1390" s="260">
        <v>0</v>
      </c>
      <c r="O1390" s="261">
        <v>0</v>
      </c>
      <c r="P1390" s="261">
        <v>133200</v>
      </c>
      <c r="Q1390" s="261">
        <v>0</v>
      </c>
      <c r="R1390" s="261">
        <v>0</v>
      </c>
      <c r="S1390">
        <v>133200</v>
      </c>
      <c r="T1390">
        <v>0</v>
      </c>
    </row>
    <row r="1391" spans="1:20">
      <c r="A1391" t="s">
        <v>19152</v>
      </c>
      <c r="B1391">
        <v>45222</v>
      </c>
      <c r="C1391" t="s">
        <v>16444</v>
      </c>
      <c r="D1391" t="s">
        <v>16445</v>
      </c>
      <c r="E1391">
        <v>0</v>
      </c>
      <c r="F1391">
        <v>126360</v>
      </c>
      <c r="G1391" s="259">
        <v>126360</v>
      </c>
      <c r="H1391" s="259">
        <v>0</v>
      </c>
      <c r="I1391" s="259">
        <v>0</v>
      </c>
      <c r="J1391" s="259">
        <v>0</v>
      </c>
      <c r="K1391" s="260">
        <v>0</v>
      </c>
      <c r="L1391" s="260">
        <v>0</v>
      </c>
      <c r="M1391" s="260">
        <v>0</v>
      </c>
      <c r="N1391" s="260">
        <v>0</v>
      </c>
      <c r="O1391" s="261">
        <v>126360</v>
      </c>
      <c r="P1391" s="261">
        <v>0</v>
      </c>
      <c r="Q1391" s="261">
        <v>0</v>
      </c>
      <c r="R1391" s="261">
        <v>0</v>
      </c>
      <c r="S1391">
        <v>126360</v>
      </c>
      <c r="T1391">
        <v>0</v>
      </c>
    </row>
    <row r="1392" spans="1:20">
      <c r="A1392" t="s">
        <v>19153</v>
      </c>
      <c r="B1392">
        <v>45222</v>
      </c>
      <c r="C1392" t="s">
        <v>16444</v>
      </c>
      <c r="D1392" t="s">
        <v>16445</v>
      </c>
      <c r="E1392">
        <v>0</v>
      </c>
      <c r="F1392">
        <v>38016</v>
      </c>
      <c r="G1392" s="259">
        <v>38016</v>
      </c>
      <c r="H1392" s="259">
        <v>0</v>
      </c>
      <c r="I1392" s="259">
        <v>0</v>
      </c>
      <c r="J1392" s="259">
        <v>0</v>
      </c>
      <c r="K1392" s="260">
        <v>0</v>
      </c>
      <c r="L1392" s="260">
        <v>0</v>
      </c>
      <c r="M1392" s="260">
        <v>0</v>
      </c>
      <c r="N1392" s="260">
        <v>0</v>
      </c>
      <c r="O1392" s="261">
        <v>38016</v>
      </c>
      <c r="P1392" s="261">
        <v>0</v>
      </c>
      <c r="Q1392" s="261">
        <v>0</v>
      </c>
      <c r="R1392" s="261">
        <v>0</v>
      </c>
      <c r="S1392">
        <v>38016</v>
      </c>
      <c r="T1392">
        <v>0</v>
      </c>
    </row>
    <row r="1393" spans="1:20">
      <c r="A1393" t="s">
        <v>19154</v>
      </c>
      <c r="B1393">
        <v>45226</v>
      </c>
      <c r="C1393" t="s">
        <v>17319</v>
      </c>
      <c r="D1393" t="s">
        <v>18700</v>
      </c>
      <c r="E1393">
        <v>0</v>
      </c>
      <c r="F1393">
        <v>195418.88600000003</v>
      </c>
      <c r="G1393" s="259">
        <v>0</v>
      </c>
      <c r="H1393" s="259">
        <v>177547.93196400002</v>
      </c>
      <c r="I1393" s="259">
        <v>17870.954399999999</v>
      </c>
      <c r="J1393" s="259">
        <v>0</v>
      </c>
      <c r="K1393" s="260">
        <v>0</v>
      </c>
      <c r="L1393" s="260">
        <v>0</v>
      </c>
      <c r="M1393" s="260">
        <v>0</v>
      </c>
      <c r="N1393" s="260">
        <v>0</v>
      </c>
      <c r="O1393" s="261">
        <v>0</v>
      </c>
      <c r="P1393" s="261">
        <v>177547.93196400002</v>
      </c>
      <c r="Q1393" s="261">
        <v>17870.954399999999</v>
      </c>
      <c r="R1393" s="261">
        <v>0</v>
      </c>
      <c r="S1393">
        <v>195418.88636400001</v>
      </c>
      <c r="T1393">
        <v>-3.6399997770786285E-4</v>
      </c>
    </row>
    <row r="1394" spans="1:20">
      <c r="A1394" t="s">
        <v>19155</v>
      </c>
      <c r="B1394">
        <v>45231</v>
      </c>
      <c r="C1394" t="s">
        <v>16384</v>
      </c>
      <c r="D1394" t="s">
        <v>16385</v>
      </c>
      <c r="E1394">
        <v>0</v>
      </c>
      <c r="F1394">
        <v>263525.76000000001</v>
      </c>
      <c r="G1394" s="259">
        <v>212021.76000000001</v>
      </c>
      <c r="H1394" s="259">
        <v>51504</v>
      </c>
      <c r="I1394" s="259">
        <v>0</v>
      </c>
      <c r="J1394" s="259">
        <v>0</v>
      </c>
      <c r="K1394" s="260">
        <v>0</v>
      </c>
      <c r="L1394" s="260">
        <v>0</v>
      </c>
      <c r="M1394" s="260">
        <v>0</v>
      </c>
      <c r="N1394" s="260">
        <v>0</v>
      </c>
      <c r="O1394" s="261">
        <v>212021.76000000001</v>
      </c>
      <c r="P1394" s="261">
        <v>51504</v>
      </c>
      <c r="Q1394" s="261">
        <v>0</v>
      </c>
      <c r="R1394" s="261">
        <v>0</v>
      </c>
      <c r="S1394">
        <v>263525.76000000001</v>
      </c>
      <c r="T1394">
        <v>0</v>
      </c>
    </row>
    <row r="1395" spans="1:20">
      <c r="A1395" t="s">
        <v>19156</v>
      </c>
      <c r="B1395">
        <v>45231</v>
      </c>
      <c r="C1395" t="s">
        <v>16904</v>
      </c>
      <c r="D1395" t="s">
        <v>16905</v>
      </c>
      <c r="E1395">
        <v>0</v>
      </c>
      <c r="F1395">
        <v>79258.874000000011</v>
      </c>
      <c r="G1395" s="259">
        <v>0</v>
      </c>
      <c r="H1395" s="259">
        <v>47969.578943999993</v>
      </c>
      <c r="I1395" s="259">
        <v>17780.694750000002</v>
      </c>
      <c r="J1395" s="259">
        <v>0</v>
      </c>
      <c r="K1395" s="260">
        <v>0</v>
      </c>
      <c r="L1395" s="260">
        <v>9787.6326134861174</v>
      </c>
      <c r="M1395" s="260">
        <v>3720.967386513883</v>
      </c>
      <c r="N1395" s="260">
        <v>0</v>
      </c>
      <c r="O1395" s="261">
        <v>0</v>
      </c>
      <c r="P1395" s="261">
        <v>57757.211557486109</v>
      </c>
      <c r="Q1395" s="261">
        <v>21501.662136513885</v>
      </c>
      <c r="R1395" s="261">
        <v>0</v>
      </c>
      <c r="S1395">
        <v>79258.873693999994</v>
      </c>
      <c r="T1395">
        <v>3.0600001628044993E-4</v>
      </c>
    </row>
    <row r="1396" spans="1:20">
      <c r="A1396" t="s">
        <v>19157</v>
      </c>
      <c r="B1396">
        <v>45231</v>
      </c>
      <c r="C1396" t="s">
        <v>17309</v>
      </c>
      <c r="D1396" t="s">
        <v>18704</v>
      </c>
      <c r="E1396">
        <v>0</v>
      </c>
      <c r="F1396">
        <v>34176</v>
      </c>
      <c r="G1396" s="259">
        <v>0</v>
      </c>
      <c r="H1396" s="259">
        <v>34176</v>
      </c>
      <c r="I1396" s="259">
        <v>0</v>
      </c>
      <c r="J1396" s="259">
        <v>0</v>
      </c>
      <c r="K1396" s="260">
        <v>0</v>
      </c>
      <c r="L1396" s="260">
        <v>0</v>
      </c>
      <c r="M1396" s="260">
        <v>0</v>
      </c>
      <c r="N1396" s="260">
        <v>0</v>
      </c>
      <c r="O1396" s="261">
        <v>0</v>
      </c>
      <c r="P1396" s="261">
        <v>34176</v>
      </c>
      <c r="Q1396" s="261">
        <v>0</v>
      </c>
      <c r="R1396" s="261">
        <v>0</v>
      </c>
      <c r="S1396">
        <v>34176</v>
      </c>
      <c r="T1396">
        <v>0</v>
      </c>
    </row>
    <row r="1397" spans="1:20">
      <c r="A1397" t="s">
        <v>19158</v>
      </c>
      <c r="B1397">
        <v>45264</v>
      </c>
      <c r="C1397" t="s">
        <v>17132</v>
      </c>
      <c r="D1397" t="s">
        <v>17133</v>
      </c>
      <c r="E1397">
        <v>0</v>
      </c>
      <c r="F1397">
        <v>131040</v>
      </c>
      <c r="G1397" s="259">
        <v>131040</v>
      </c>
      <c r="H1397" s="259">
        <v>0</v>
      </c>
      <c r="I1397" s="259">
        <v>0</v>
      </c>
      <c r="J1397" s="259">
        <v>0</v>
      </c>
      <c r="K1397" s="260">
        <v>0</v>
      </c>
      <c r="L1397" s="260">
        <v>0</v>
      </c>
      <c r="M1397" s="260">
        <v>0</v>
      </c>
      <c r="N1397" s="260">
        <v>0</v>
      </c>
      <c r="O1397" s="261">
        <v>131040</v>
      </c>
      <c r="P1397" s="261">
        <v>0</v>
      </c>
      <c r="Q1397" s="261">
        <v>0</v>
      </c>
      <c r="R1397" s="261">
        <v>0</v>
      </c>
      <c r="S1397">
        <v>131040</v>
      </c>
      <c r="T1397">
        <v>0</v>
      </c>
    </row>
    <row r="1398" spans="1:20">
      <c r="A1398" t="s">
        <v>19159</v>
      </c>
      <c r="B1398">
        <v>45231</v>
      </c>
      <c r="C1398" t="s">
        <v>16783</v>
      </c>
      <c r="D1398" t="s">
        <v>17509</v>
      </c>
      <c r="E1398">
        <v>0</v>
      </c>
      <c r="F1398">
        <v>807622.36800000002</v>
      </c>
      <c r="G1398" s="259">
        <v>289819.42181999999</v>
      </c>
      <c r="H1398" s="259">
        <v>144641.79953100003</v>
      </c>
      <c r="I1398" s="259">
        <v>127715.61599999999</v>
      </c>
      <c r="J1398" s="259">
        <v>245445.53062500001</v>
      </c>
      <c r="K1398" s="260">
        <v>0</v>
      </c>
      <c r="L1398" s="260">
        <v>0</v>
      </c>
      <c r="M1398" s="260">
        <v>0</v>
      </c>
      <c r="N1398" s="260">
        <v>0</v>
      </c>
      <c r="O1398" s="261">
        <v>289819.42181999999</v>
      </c>
      <c r="P1398" s="261">
        <v>144641.79953100003</v>
      </c>
      <c r="Q1398" s="261">
        <v>127715.61599999999</v>
      </c>
      <c r="R1398" s="261">
        <v>245445.53062500001</v>
      </c>
      <c r="S1398">
        <v>807622.36797600007</v>
      </c>
      <c r="T1398">
        <v>2.3999949917197227E-5</v>
      </c>
    </row>
    <row r="1399" spans="1:20">
      <c r="A1399" t="s">
        <v>19160</v>
      </c>
      <c r="B1399">
        <v>45232</v>
      </c>
      <c r="C1399" t="s">
        <v>16444</v>
      </c>
      <c r="D1399" t="s">
        <v>16445</v>
      </c>
      <c r="E1399">
        <v>0</v>
      </c>
      <c r="F1399">
        <v>126360</v>
      </c>
      <c r="G1399" s="259">
        <v>126360</v>
      </c>
      <c r="H1399" s="259">
        <v>0</v>
      </c>
      <c r="I1399" s="259">
        <v>0</v>
      </c>
      <c r="J1399" s="259">
        <v>0</v>
      </c>
      <c r="K1399" s="260">
        <v>0</v>
      </c>
      <c r="L1399" s="260">
        <v>0</v>
      </c>
      <c r="M1399" s="260">
        <v>0</v>
      </c>
      <c r="N1399" s="260">
        <v>0</v>
      </c>
      <c r="O1399" s="261">
        <v>126360</v>
      </c>
      <c r="P1399" s="261">
        <v>0</v>
      </c>
      <c r="Q1399" s="261">
        <v>0</v>
      </c>
      <c r="R1399" s="261">
        <v>0</v>
      </c>
      <c r="S1399">
        <v>126360</v>
      </c>
      <c r="T1399">
        <v>0</v>
      </c>
    </row>
    <row r="1400" spans="1:20">
      <c r="A1400" t="s">
        <v>19161</v>
      </c>
      <c r="B1400">
        <v>45233</v>
      </c>
      <c r="C1400" t="s">
        <v>16444</v>
      </c>
      <c r="D1400" t="s">
        <v>16445</v>
      </c>
      <c r="E1400">
        <v>0</v>
      </c>
      <c r="F1400">
        <v>38016</v>
      </c>
      <c r="G1400" s="259">
        <v>38016</v>
      </c>
      <c r="H1400" s="259">
        <v>0</v>
      </c>
      <c r="I1400" s="259">
        <v>0</v>
      </c>
      <c r="J1400" s="259">
        <v>0</v>
      </c>
      <c r="K1400" s="260">
        <v>0</v>
      </c>
      <c r="L1400" s="260">
        <v>0</v>
      </c>
      <c r="M1400" s="260">
        <v>0</v>
      </c>
      <c r="N1400" s="260">
        <v>0</v>
      </c>
      <c r="O1400" s="261">
        <v>38016</v>
      </c>
      <c r="P1400" s="261">
        <v>0</v>
      </c>
      <c r="Q1400" s="261">
        <v>0</v>
      </c>
      <c r="R1400" s="261">
        <v>0</v>
      </c>
      <c r="S1400">
        <v>38016</v>
      </c>
      <c r="T1400">
        <v>0</v>
      </c>
    </row>
    <row r="1401" spans="1:20">
      <c r="A1401" t="s">
        <v>19162</v>
      </c>
      <c r="B1401">
        <v>45236</v>
      </c>
      <c r="C1401" t="s">
        <v>16957</v>
      </c>
      <c r="D1401" t="s">
        <v>17451</v>
      </c>
      <c r="E1401">
        <v>0</v>
      </c>
      <c r="F1401">
        <v>96481.604999999996</v>
      </c>
      <c r="G1401" s="259">
        <v>96481.605349999998</v>
      </c>
      <c r="H1401" s="259">
        <v>0</v>
      </c>
      <c r="I1401" s="259">
        <v>0</v>
      </c>
      <c r="J1401" s="259">
        <v>0</v>
      </c>
      <c r="K1401" s="260">
        <v>0</v>
      </c>
      <c r="L1401" s="260">
        <v>0</v>
      </c>
      <c r="M1401" s="260">
        <v>0</v>
      </c>
      <c r="N1401" s="260">
        <v>0</v>
      </c>
      <c r="O1401" s="261">
        <v>96481.605349999998</v>
      </c>
      <c r="P1401" s="261">
        <v>0</v>
      </c>
      <c r="Q1401" s="261">
        <v>0</v>
      </c>
      <c r="R1401" s="261">
        <v>0</v>
      </c>
      <c r="S1401">
        <v>96481.605349999998</v>
      </c>
      <c r="T1401">
        <v>-3.5000000207219273E-4</v>
      </c>
    </row>
    <row r="1402" spans="1:20">
      <c r="A1402" t="s">
        <v>19163</v>
      </c>
      <c r="B1402">
        <v>45236</v>
      </c>
      <c r="C1402" t="s">
        <v>17209</v>
      </c>
      <c r="D1402" t="s">
        <v>17210</v>
      </c>
      <c r="E1402">
        <v>0</v>
      </c>
      <c r="F1402">
        <v>78245.395999999993</v>
      </c>
      <c r="G1402" s="259">
        <v>0</v>
      </c>
      <c r="H1402" s="259">
        <v>41119.343999999997</v>
      </c>
      <c r="I1402" s="259">
        <v>18505.221000000001</v>
      </c>
      <c r="J1402" s="259">
        <v>11513.643749999999</v>
      </c>
      <c r="K1402" s="260">
        <v>0</v>
      </c>
      <c r="L1402" s="260">
        <v>4649.1309665871122</v>
      </c>
      <c r="M1402" s="260">
        <v>2036.115751789976</v>
      </c>
      <c r="N1402" s="260">
        <v>424.19078162291163</v>
      </c>
      <c r="O1402" s="261">
        <v>0</v>
      </c>
      <c r="P1402" s="261">
        <v>45768.474966587106</v>
      </c>
      <c r="Q1402" s="261">
        <v>20541.336751789979</v>
      </c>
      <c r="R1402" s="261">
        <v>11937.834531622912</v>
      </c>
      <c r="S1402">
        <v>78247.646249999991</v>
      </c>
      <c r="T1402">
        <v>-2.2502499999973224</v>
      </c>
    </row>
    <row r="1403" spans="1:20">
      <c r="A1403" t="s">
        <v>19164</v>
      </c>
      <c r="B1403">
        <v>45236</v>
      </c>
      <c r="C1403" t="s">
        <v>17309</v>
      </c>
      <c r="D1403" t="s">
        <v>18704</v>
      </c>
      <c r="E1403">
        <v>0</v>
      </c>
      <c r="F1403">
        <v>83000</v>
      </c>
      <c r="G1403" s="259">
        <v>83000</v>
      </c>
      <c r="H1403" s="259">
        <v>0</v>
      </c>
      <c r="I1403" s="259">
        <v>0</v>
      </c>
      <c r="J1403" s="259">
        <v>0</v>
      </c>
      <c r="K1403" s="260">
        <v>0</v>
      </c>
      <c r="L1403" s="260">
        <v>0</v>
      </c>
      <c r="M1403" s="260">
        <v>0</v>
      </c>
      <c r="N1403" s="260">
        <v>0</v>
      </c>
      <c r="O1403" s="261">
        <v>83000</v>
      </c>
      <c r="P1403" s="261">
        <v>0</v>
      </c>
      <c r="Q1403" s="261">
        <v>0</v>
      </c>
      <c r="R1403" s="261">
        <v>0</v>
      </c>
      <c r="S1403">
        <v>83000</v>
      </c>
      <c r="T1403">
        <v>0</v>
      </c>
    </row>
    <row r="1404" spans="1:20">
      <c r="A1404" t="s">
        <v>19165</v>
      </c>
      <c r="B1404">
        <v>45236</v>
      </c>
      <c r="C1404" t="s">
        <v>16838</v>
      </c>
      <c r="D1404" t="s">
        <v>16839</v>
      </c>
      <c r="E1404">
        <v>0</v>
      </c>
      <c r="F1404">
        <v>87535.84</v>
      </c>
      <c r="G1404" s="259">
        <v>43575.839999999997</v>
      </c>
      <c r="H1404" s="259">
        <v>0</v>
      </c>
      <c r="I1404" s="259">
        <v>43960</v>
      </c>
      <c r="J1404" s="259">
        <v>0</v>
      </c>
      <c r="K1404" s="260">
        <v>0</v>
      </c>
      <c r="L1404" s="260">
        <v>0</v>
      </c>
      <c r="M1404" s="260">
        <v>0</v>
      </c>
      <c r="N1404" s="260">
        <v>0</v>
      </c>
      <c r="O1404" s="261">
        <v>43575.839999999997</v>
      </c>
      <c r="P1404" s="261">
        <v>0</v>
      </c>
      <c r="Q1404" s="261">
        <v>43960</v>
      </c>
      <c r="R1404" s="261">
        <v>0</v>
      </c>
      <c r="S1404">
        <v>87535.84</v>
      </c>
      <c r="T1404">
        <v>0</v>
      </c>
    </row>
    <row r="1405" spans="1:20">
      <c r="A1405" t="s">
        <v>19166</v>
      </c>
      <c r="B1405">
        <v>45237</v>
      </c>
      <c r="C1405" t="s">
        <v>16838</v>
      </c>
      <c r="D1405" t="s">
        <v>16839</v>
      </c>
      <c r="E1405">
        <v>0</v>
      </c>
      <c r="F1405">
        <v>263435.76</v>
      </c>
      <c r="G1405" s="259">
        <v>0</v>
      </c>
      <c r="H1405" s="259">
        <v>263435.76</v>
      </c>
      <c r="I1405" s="259">
        <v>0</v>
      </c>
      <c r="J1405" s="259">
        <v>0</v>
      </c>
      <c r="K1405" s="260">
        <v>0</v>
      </c>
      <c r="L1405" s="260">
        <v>0</v>
      </c>
      <c r="M1405" s="260">
        <v>0</v>
      </c>
      <c r="N1405" s="260">
        <v>0</v>
      </c>
      <c r="O1405" s="261">
        <v>0</v>
      </c>
      <c r="P1405" s="261">
        <v>263435.76</v>
      </c>
      <c r="Q1405" s="261">
        <v>0</v>
      </c>
      <c r="R1405" s="261">
        <v>0</v>
      </c>
      <c r="S1405">
        <v>263435.76</v>
      </c>
      <c r="T1405">
        <v>0</v>
      </c>
    </row>
    <row r="1406" spans="1:20">
      <c r="A1406" t="s">
        <v>19167</v>
      </c>
      <c r="B1406">
        <v>45264</v>
      </c>
      <c r="C1406" t="s">
        <v>16384</v>
      </c>
      <c r="D1406" t="s">
        <v>16385</v>
      </c>
      <c r="E1406">
        <v>0</v>
      </c>
      <c r="F1406">
        <v>190080</v>
      </c>
      <c r="G1406" s="259">
        <v>190080</v>
      </c>
      <c r="H1406" s="259">
        <v>0</v>
      </c>
      <c r="I1406" s="259">
        <v>0</v>
      </c>
      <c r="J1406" s="259">
        <v>0</v>
      </c>
      <c r="K1406" s="260">
        <v>0</v>
      </c>
      <c r="L1406" s="260">
        <v>0</v>
      </c>
      <c r="M1406" s="260">
        <v>0</v>
      </c>
      <c r="N1406" s="260">
        <v>0</v>
      </c>
      <c r="O1406" s="261">
        <v>190080</v>
      </c>
      <c r="P1406" s="261">
        <v>0</v>
      </c>
      <c r="Q1406" s="261">
        <v>0</v>
      </c>
      <c r="R1406" s="261">
        <v>0</v>
      </c>
      <c r="S1406">
        <v>190080</v>
      </c>
      <c r="T1406">
        <v>0</v>
      </c>
    </row>
    <row r="1407" spans="1:20">
      <c r="A1407" t="s">
        <v>19168</v>
      </c>
      <c r="B1407">
        <v>45237</v>
      </c>
      <c r="C1407" t="s">
        <v>16384</v>
      </c>
      <c r="D1407" t="s">
        <v>16385</v>
      </c>
      <c r="E1407">
        <v>0</v>
      </c>
      <c r="F1407">
        <v>183384</v>
      </c>
      <c r="G1407" s="259">
        <v>0</v>
      </c>
      <c r="H1407" s="259">
        <v>40584</v>
      </c>
      <c r="I1407" s="259">
        <v>142800</v>
      </c>
      <c r="J1407" s="259">
        <v>0</v>
      </c>
      <c r="K1407" s="260">
        <v>0</v>
      </c>
      <c r="L1407" s="260">
        <v>0</v>
      </c>
      <c r="M1407" s="260">
        <v>0</v>
      </c>
      <c r="N1407" s="260">
        <v>0</v>
      </c>
      <c r="O1407" s="261">
        <v>0</v>
      </c>
      <c r="P1407" s="261">
        <v>40584</v>
      </c>
      <c r="Q1407" s="261">
        <v>142800</v>
      </c>
      <c r="R1407" s="261">
        <v>0</v>
      </c>
      <c r="S1407">
        <v>183384</v>
      </c>
      <c r="T1407">
        <v>0</v>
      </c>
    </row>
    <row r="1408" spans="1:20">
      <c r="A1408" t="s">
        <v>19169</v>
      </c>
      <c r="B1408">
        <v>45240</v>
      </c>
      <c r="C1408" t="s">
        <v>17342</v>
      </c>
      <c r="D1408" t="s">
        <v>17343</v>
      </c>
      <c r="E1408">
        <v>0</v>
      </c>
      <c r="F1408">
        <v>82883.187999999995</v>
      </c>
      <c r="G1408" s="259">
        <v>0</v>
      </c>
      <c r="H1408" s="259">
        <v>48609.320380799996</v>
      </c>
      <c r="I1408" s="259">
        <v>14715.26592</v>
      </c>
      <c r="J1408" s="259">
        <v>11286.667032999998</v>
      </c>
      <c r="K1408" s="260">
        <v>0</v>
      </c>
      <c r="L1408" s="260">
        <v>6234.4598533344833</v>
      </c>
      <c r="M1408" s="260">
        <v>1712.7636959710119</v>
      </c>
      <c r="N1408" s="260">
        <v>324.71145069450432</v>
      </c>
      <c r="O1408" s="261">
        <v>0</v>
      </c>
      <c r="P1408" s="261">
        <v>54843.78023413448</v>
      </c>
      <c r="Q1408" s="261">
        <v>16428.029615971012</v>
      </c>
      <c r="R1408" s="261">
        <v>11611.378483694501</v>
      </c>
      <c r="S1408">
        <v>82883.18833379999</v>
      </c>
      <c r="T1408">
        <v>-3.3379999513272196E-4</v>
      </c>
    </row>
    <row r="1409" spans="1:20">
      <c r="A1409" t="s">
        <v>19170</v>
      </c>
      <c r="B1409">
        <v>45240</v>
      </c>
      <c r="C1409" t="s">
        <v>17342</v>
      </c>
      <c r="D1409" t="s">
        <v>17343</v>
      </c>
      <c r="E1409">
        <v>0</v>
      </c>
      <c r="F1409">
        <v>80489.532999999996</v>
      </c>
      <c r="G1409" s="259">
        <v>8906.9495040000002</v>
      </c>
      <c r="H1409" s="259">
        <v>37066.263878399994</v>
      </c>
      <c r="I1409" s="259">
        <v>7357.6329599999999</v>
      </c>
      <c r="J1409" s="259">
        <v>18211.492095999998</v>
      </c>
      <c r="K1409" s="260">
        <v>1245.5491879350348</v>
      </c>
      <c r="L1409" s="260">
        <v>5210.5474361948955</v>
      </c>
      <c r="M1409" s="260">
        <v>1037.957656612529</v>
      </c>
      <c r="N1409" s="260">
        <v>1453.1407192575407</v>
      </c>
      <c r="O1409" s="261">
        <v>10152.498691935034</v>
      </c>
      <c r="P1409" s="261">
        <v>42276.811314594888</v>
      </c>
      <c r="Q1409" s="261">
        <v>8395.5906166125296</v>
      </c>
      <c r="R1409" s="261">
        <v>19664.632815257537</v>
      </c>
      <c r="S1409">
        <v>80489.533438399987</v>
      </c>
      <c r="T1409">
        <v>-4.3839999125339091E-4</v>
      </c>
    </row>
    <row r="1410" spans="1:20">
      <c r="A1410" t="s">
        <v>19171</v>
      </c>
      <c r="B1410">
        <v>45240</v>
      </c>
      <c r="C1410" t="s">
        <v>16444</v>
      </c>
      <c r="D1410" t="s">
        <v>16445</v>
      </c>
      <c r="E1410">
        <v>0</v>
      </c>
      <c r="F1410">
        <v>38016</v>
      </c>
      <c r="G1410" s="259">
        <v>38016</v>
      </c>
      <c r="H1410" s="259">
        <v>0</v>
      </c>
      <c r="I1410" s="259">
        <v>0</v>
      </c>
      <c r="J1410" s="259">
        <v>0</v>
      </c>
      <c r="K1410" s="260">
        <v>0</v>
      </c>
      <c r="L1410" s="260">
        <v>0</v>
      </c>
      <c r="M1410" s="260">
        <v>0</v>
      </c>
      <c r="N1410" s="260">
        <v>0</v>
      </c>
      <c r="O1410" s="261">
        <v>38016</v>
      </c>
      <c r="P1410" s="261">
        <v>0</v>
      </c>
      <c r="Q1410" s="261">
        <v>0</v>
      </c>
      <c r="R1410" s="261">
        <v>0</v>
      </c>
      <c r="S1410">
        <v>38016</v>
      </c>
      <c r="T1410">
        <v>0</v>
      </c>
    </row>
    <row r="1411" spans="1:20">
      <c r="A1411" t="s">
        <v>19172</v>
      </c>
      <c r="B1411">
        <v>45244</v>
      </c>
      <c r="C1411" t="s">
        <v>17342</v>
      </c>
      <c r="D1411" t="s">
        <v>17343</v>
      </c>
      <c r="E1411">
        <v>0</v>
      </c>
      <c r="F1411">
        <v>88125.54800000001</v>
      </c>
      <c r="G1411" s="259">
        <v>5938.2301440000001</v>
      </c>
      <c r="H1411" s="259">
        <v>47620.10022</v>
      </c>
      <c r="I1411" s="259">
        <v>14715.919679999999</v>
      </c>
      <c r="J1411" s="259">
        <v>10903.705043</v>
      </c>
      <c r="K1411" s="260">
        <v>705.57654016757022</v>
      </c>
      <c r="L1411" s="260">
        <v>5882.744403647117</v>
      </c>
      <c r="M1411" s="260">
        <v>1763.9413504189256</v>
      </c>
      <c r="N1411" s="260">
        <v>595.33020576638739</v>
      </c>
      <c r="O1411" s="261">
        <v>6643.80668416757</v>
      </c>
      <c r="P1411" s="261">
        <v>53502.844623647121</v>
      </c>
      <c r="Q1411" s="261">
        <v>16479.861030418924</v>
      </c>
      <c r="R1411" s="261">
        <v>11499.035248766388</v>
      </c>
      <c r="S1411">
        <v>88125.547587000008</v>
      </c>
      <c r="T1411">
        <v>4.1300000157207251E-4</v>
      </c>
    </row>
    <row r="1412" spans="1:20">
      <c r="A1412" t="s">
        <v>19173</v>
      </c>
      <c r="B1412">
        <v>45245</v>
      </c>
      <c r="C1412" t="s">
        <v>17342</v>
      </c>
      <c r="D1412" t="s">
        <v>17343</v>
      </c>
      <c r="E1412">
        <v>0</v>
      </c>
      <c r="F1412">
        <v>66002.845000000001</v>
      </c>
      <c r="G1412" s="259">
        <v>2346.7678080000001</v>
      </c>
      <c r="H1412" s="259">
        <v>29330.140685999995</v>
      </c>
      <c r="I1412" s="259">
        <v>4906.6571399999993</v>
      </c>
      <c r="J1412" s="259">
        <v>6797.0639659999988</v>
      </c>
      <c r="K1412" s="260">
        <v>1758.0609082813892</v>
      </c>
      <c r="L1412" s="260">
        <v>16185.14823686554</v>
      </c>
      <c r="M1412" s="260">
        <v>3845.7582368655389</v>
      </c>
      <c r="N1412" s="260">
        <v>833.24761798753343</v>
      </c>
      <c r="O1412" s="261">
        <v>4104.8287162813895</v>
      </c>
      <c r="P1412" s="261">
        <v>45515.288922865533</v>
      </c>
      <c r="Q1412" s="261">
        <v>8752.4153768655378</v>
      </c>
      <c r="R1412" s="261">
        <v>7630.3115839875318</v>
      </c>
      <c r="S1412">
        <v>66002.844599999982</v>
      </c>
      <c r="T1412">
        <v>4.0000001899898052E-4</v>
      </c>
    </row>
    <row r="1413" spans="1:20">
      <c r="A1413" t="s">
        <v>19174</v>
      </c>
      <c r="B1413">
        <v>45245</v>
      </c>
      <c r="C1413" t="s">
        <v>17342</v>
      </c>
      <c r="D1413" t="s">
        <v>17343</v>
      </c>
      <c r="E1413">
        <v>0</v>
      </c>
      <c r="F1413">
        <v>80854.524999999994</v>
      </c>
      <c r="G1413" s="259">
        <v>0</v>
      </c>
      <c r="H1413" s="259">
        <v>62468.268693599988</v>
      </c>
      <c r="I1413" s="259">
        <v>3678.9799199999998</v>
      </c>
      <c r="J1413" s="259">
        <v>1876.7659679999999</v>
      </c>
      <c r="K1413" s="260">
        <v>0</v>
      </c>
      <c r="L1413" s="260">
        <v>12127.082916666666</v>
      </c>
      <c r="M1413" s="260">
        <v>703.42708333333326</v>
      </c>
      <c r="N1413" s="260">
        <v>0</v>
      </c>
      <c r="O1413" s="261">
        <v>0</v>
      </c>
      <c r="P1413" s="261">
        <v>74595.351610266662</v>
      </c>
      <c r="Q1413" s="261">
        <v>4382.4070033333328</v>
      </c>
      <c r="R1413" s="261">
        <v>1876.7659679999999</v>
      </c>
      <c r="S1413">
        <v>80854.524581599995</v>
      </c>
      <c r="T1413">
        <v>4.1839999903459102E-4</v>
      </c>
    </row>
    <row r="1414" spans="1:20">
      <c r="A1414" t="s">
        <v>19175</v>
      </c>
      <c r="B1414">
        <v>45247</v>
      </c>
      <c r="C1414" t="s">
        <v>17309</v>
      </c>
      <c r="D1414" t="s">
        <v>18704</v>
      </c>
      <c r="E1414">
        <v>0</v>
      </c>
      <c r="F1414">
        <v>180960</v>
      </c>
      <c r="G1414" s="259">
        <v>0</v>
      </c>
      <c r="H1414" s="259">
        <v>0</v>
      </c>
      <c r="I1414" s="259">
        <v>180960</v>
      </c>
      <c r="J1414" s="259">
        <v>0</v>
      </c>
      <c r="K1414" s="260">
        <v>0</v>
      </c>
      <c r="L1414" s="260">
        <v>0</v>
      </c>
      <c r="M1414" s="260">
        <v>0</v>
      </c>
      <c r="N1414" s="260">
        <v>0</v>
      </c>
      <c r="O1414" s="261">
        <v>0</v>
      </c>
      <c r="P1414" s="261">
        <v>0</v>
      </c>
      <c r="Q1414" s="261">
        <v>180960</v>
      </c>
      <c r="R1414" s="261">
        <v>0</v>
      </c>
      <c r="S1414">
        <v>180960</v>
      </c>
      <c r="T1414">
        <v>0</v>
      </c>
    </row>
    <row r="1415" spans="1:20">
      <c r="A1415" t="s">
        <v>19176</v>
      </c>
      <c r="B1415">
        <v>45247</v>
      </c>
      <c r="C1415" t="s">
        <v>16838</v>
      </c>
      <c r="D1415" t="s">
        <v>16839</v>
      </c>
      <c r="E1415">
        <v>0</v>
      </c>
      <c r="F1415">
        <v>246774.39999999999</v>
      </c>
      <c r="G1415" s="259">
        <v>23760</v>
      </c>
      <c r="H1415" s="259">
        <v>79934.399999999994</v>
      </c>
      <c r="I1415" s="259">
        <v>143080</v>
      </c>
      <c r="J1415" s="259">
        <v>0</v>
      </c>
      <c r="K1415" s="260">
        <v>0</v>
      </c>
      <c r="L1415" s="260">
        <v>0</v>
      </c>
      <c r="M1415" s="260">
        <v>0</v>
      </c>
      <c r="N1415" s="260">
        <v>0</v>
      </c>
      <c r="O1415" s="261">
        <v>23760</v>
      </c>
      <c r="P1415" s="261">
        <v>79934.399999999994</v>
      </c>
      <c r="Q1415" s="261">
        <v>143080</v>
      </c>
      <c r="R1415" s="261">
        <v>0</v>
      </c>
      <c r="S1415">
        <v>246774.39999999999</v>
      </c>
      <c r="T1415">
        <v>0</v>
      </c>
    </row>
    <row r="1416" spans="1:20">
      <c r="A1416" t="s">
        <v>19177</v>
      </c>
      <c r="B1416">
        <v>45247</v>
      </c>
      <c r="C1416" t="s">
        <v>17309</v>
      </c>
      <c r="D1416" t="s">
        <v>18704</v>
      </c>
      <c r="E1416">
        <v>0</v>
      </c>
      <c r="F1416">
        <v>537753.59999999998</v>
      </c>
      <c r="G1416" s="259">
        <v>537753.59999999998</v>
      </c>
      <c r="H1416" s="259">
        <v>0</v>
      </c>
      <c r="I1416" s="259">
        <v>0</v>
      </c>
      <c r="J1416" s="259">
        <v>0</v>
      </c>
      <c r="K1416" s="260">
        <v>0</v>
      </c>
      <c r="L1416" s="260">
        <v>0</v>
      </c>
      <c r="M1416" s="260">
        <v>0</v>
      </c>
      <c r="N1416" s="260">
        <v>0</v>
      </c>
      <c r="O1416" s="261">
        <v>537753.59999999998</v>
      </c>
      <c r="P1416" s="261">
        <v>0</v>
      </c>
      <c r="Q1416" s="261">
        <v>0</v>
      </c>
      <c r="R1416" s="261">
        <v>0</v>
      </c>
      <c r="S1416">
        <v>537753.59999999998</v>
      </c>
      <c r="T1416">
        <v>0</v>
      </c>
    </row>
    <row r="1417" spans="1:20">
      <c r="A1417" t="s">
        <v>19178</v>
      </c>
      <c r="B1417">
        <v>45250</v>
      </c>
      <c r="C1417" t="s">
        <v>17259</v>
      </c>
      <c r="D1417" t="s">
        <v>17260</v>
      </c>
      <c r="E1417">
        <v>0</v>
      </c>
      <c r="F1417">
        <v>51352.575999999994</v>
      </c>
      <c r="G1417" s="259">
        <v>0</v>
      </c>
      <c r="H1417" s="259">
        <v>39557.376000000004</v>
      </c>
      <c r="I1417" s="259">
        <v>0</v>
      </c>
      <c r="J1417" s="259">
        <v>0</v>
      </c>
      <c r="K1417" s="260">
        <v>0</v>
      </c>
      <c r="L1417" s="260">
        <v>11795.200000000003</v>
      </c>
      <c r="M1417" s="260">
        <v>0</v>
      </c>
      <c r="N1417" s="260">
        <v>0</v>
      </c>
      <c r="O1417" s="261">
        <v>0</v>
      </c>
      <c r="P1417" s="261">
        <v>51352.576000000008</v>
      </c>
      <c r="Q1417" s="261">
        <v>0</v>
      </c>
      <c r="R1417" s="261">
        <v>0</v>
      </c>
      <c r="S1417">
        <v>51352.576000000008</v>
      </c>
      <c r="T1417">
        <v>0</v>
      </c>
    </row>
    <row r="1418" spans="1:20">
      <c r="A1418" t="s">
        <v>19179</v>
      </c>
      <c r="B1418">
        <v>45250</v>
      </c>
      <c r="C1418" t="s">
        <v>17017</v>
      </c>
      <c r="D1418" t="s">
        <v>17430</v>
      </c>
      <c r="E1418">
        <v>0</v>
      </c>
      <c r="F1418">
        <v>35250</v>
      </c>
      <c r="G1418" s="259">
        <v>0</v>
      </c>
      <c r="H1418" s="259">
        <v>35250</v>
      </c>
      <c r="I1418" s="259">
        <v>0</v>
      </c>
      <c r="J1418" s="259">
        <v>0</v>
      </c>
      <c r="K1418" s="260">
        <v>0</v>
      </c>
      <c r="L1418" s="260">
        <v>0</v>
      </c>
      <c r="M1418" s="260">
        <v>0</v>
      </c>
      <c r="N1418" s="260">
        <v>0</v>
      </c>
      <c r="O1418" s="261">
        <v>0</v>
      </c>
      <c r="P1418" s="261">
        <v>35250</v>
      </c>
      <c r="Q1418" s="261">
        <v>0</v>
      </c>
      <c r="R1418" s="261">
        <v>0</v>
      </c>
      <c r="S1418">
        <v>35250</v>
      </c>
      <c r="T1418">
        <v>0</v>
      </c>
    </row>
    <row r="1419" spans="1:20">
      <c r="A1419" t="s">
        <v>19180</v>
      </c>
      <c r="B1419">
        <v>45250</v>
      </c>
      <c r="C1419" t="s">
        <v>17304</v>
      </c>
      <c r="D1419" t="s">
        <v>17305</v>
      </c>
      <c r="E1419">
        <v>0</v>
      </c>
      <c r="F1419">
        <v>44058.289000000004</v>
      </c>
      <c r="G1419" s="259">
        <v>0</v>
      </c>
      <c r="H1419" s="259">
        <v>29478.840029999999</v>
      </c>
      <c r="I1419" s="259">
        <v>0</v>
      </c>
      <c r="J1419" s="259">
        <v>10824.79135</v>
      </c>
      <c r="K1419" s="260">
        <v>0</v>
      </c>
      <c r="L1419" s="260">
        <v>3141.8512407226699</v>
      </c>
      <c r="M1419" s="260">
        <v>0</v>
      </c>
      <c r="N1419" s="260">
        <v>612.80625927733035</v>
      </c>
      <c r="O1419" s="261">
        <v>0</v>
      </c>
      <c r="P1419" s="261">
        <v>32620.691270722669</v>
      </c>
      <c r="Q1419" s="261">
        <v>0</v>
      </c>
      <c r="R1419" s="261">
        <v>11437.597609277331</v>
      </c>
      <c r="S1419">
        <v>44058.28888</v>
      </c>
      <c r="T1419">
        <v>1.2000000424450263E-4</v>
      </c>
    </row>
    <row r="1420" spans="1:20">
      <c r="A1420" t="s">
        <v>19181</v>
      </c>
      <c r="B1420">
        <v>45261</v>
      </c>
      <c r="C1420" t="s">
        <v>16444</v>
      </c>
      <c r="D1420" t="s">
        <v>16445</v>
      </c>
      <c r="E1420">
        <v>0</v>
      </c>
      <c r="F1420">
        <v>39425</v>
      </c>
      <c r="G1420" s="259">
        <v>39425</v>
      </c>
      <c r="H1420" s="259">
        <v>0</v>
      </c>
      <c r="I1420" s="259">
        <v>0</v>
      </c>
      <c r="J1420" s="259">
        <v>0</v>
      </c>
      <c r="K1420" s="260">
        <v>0</v>
      </c>
      <c r="L1420" s="260">
        <v>0</v>
      </c>
      <c r="M1420" s="260">
        <v>0</v>
      </c>
      <c r="N1420" s="260">
        <v>0</v>
      </c>
      <c r="O1420" s="261">
        <v>39425</v>
      </c>
      <c r="P1420" s="261">
        <v>0</v>
      </c>
      <c r="Q1420" s="261">
        <v>0</v>
      </c>
      <c r="R1420" s="261">
        <v>0</v>
      </c>
      <c r="S1420">
        <v>39425</v>
      </c>
      <c r="T1420">
        <v>0</v>
      </c>
    </row>
    <row r="1421" spans="1:20">
      <c r="A1421" t="s">
        <v>19182</v>
      </c>
      <c r="B1421">
        <v>45251</v>
      </c>
      <c r="C1421" t="s">
        <v>16384</v>
      </c>
      <c r="D1421" t="s">
        <v>16385</v>
      </c>
      <c r="E1421">
        <v>0</v>
      </c>
      <c r="F1421">
        <v>51133.2</v>
      </c>
      <c r="G1421" s="259">
        <v>18720</v>
      </c>
      <c r="H1421" s="259">
        <v>32413.200000000001</v>
      </c>
      <c r="I1421" s="259">
        <v>0</v>
      </c>
      <c r="J1421" s="259">
        <v>0</v>
      </c>
      <c r="K1421" s="260">
        <v>0</v>
      </c>
      <c r="L1421" s="260">
        <v>0</v>
      </c>
      <c r="M1421" s="260">
        <v>0</v>
      </c>
      <c r="N1421" s="260">
        <v>0</v>
      </c>
      <c r="O1421" s="261">
        <v>18720</v>
      </c>
      <c r="P1421" s="261">
        <v>32413.200000000001</v>
      </c>
      <c r="Q1421" s="261">
        <v>0</v>
      </c>
      <c r="R1421" s="261">
        <v>0</v>
      </c>
      <c r="S1421">
        <v>51133.2</v>
      </c>
      <c r="T1421">
        <v>0</v>
      </c>
    </row>
    <row r="1422" spans="1:20">
      <c r="A1422" t="s">
        <v>19183</v>
      </c>
      <c r="B1422">
        <v>45251</v>
      </c>
      <c r="C1422" t="s">
        <v>16384</v>
      </c>
      <c r="D1422" t="s">
        <v>16385</v>
      </c>
      <c r="E1422">
        <v>0</v>
      </c>
      <c r="F1422">
        <v>434343.2</v>
      </c>
      <c r="G1422" s="259">
        <v>305575.2</v>
      </c>
      <c r="H1422" s="259">
        <v>40848</v>
      </c>
      <c r="I1422" s="259">
        <v>87920</v>
      </c>
      <c r="J1422" s="259">
        <v>0</v>
      </c>
      <c r="K1422" s="260">
        <v>0</v>
      </c>
      <c r="L1422" s="260">
        <v>0</v>
      </c>
      <c r="M1422" s="260">
        <v>0</v>
      </c>
      <c r="N1422" s="260">
        <v>0</v>
      </c>
      <c r="O1422" s="261">
        <v>305575.2</v>
      </c>
      <c r="P1422" s="261">
        <v>40848</v>
      </c>
      <c r="Q1422" s="261">
        <v>87920</v>
      </c>
      <c r="R1422" s="261">
        <v>0</v>
      </c>
      <c r="S1422">
        <v>434343.2</v>
      </c>
      <c r="T1422">
        <v>0</v>
      </c>
    </row>
    <row r="1423" spans="1:20">
      <c r="A1423" t="s">
        <v>19184</v>
      </c>
      <c r="B1423">
        <v>45251</v>
      </c>
      <c r="C1423" t="s">
        <v>17362</v>
      </c>
      <c r="E1423">
        <v>0</v>
      </c>
      <c r="F1423">
        <v>50371.302000000003</v>
      </c>
      <c r="G1423" s="259">
        <v>44492.242750000005</v>
      </c>
      <c r="H1423" s="259">
        <v>0</v>
      </c>
      <c r="I1423" s="259">
        <v>0</v>
      </c>
      <c r="J1423" s="259">
        <v>0</v>
      </c>
      <c r="K1423" s="260">
        <v>5879.0590000000002</v>
      </c>
      <c r="L1423" s="260">
        <v>0</v>
      </c>
      <c r="M1423" s="260">
        <v>0</v>
      </c>
      <c r="N1423" s="260">
        <v>0</v>
      </c>
      <c r="O1423" s="261">
        <v>50371.301750000006</v>
      </c>
      <c r="P1423" s="261">
        <v>0</v>
      </c>
      <c r="Q1423" s="261">
        <v>0</v>
      </c>
      <c r="R1423" s="261">
        <v>0</v>
      </c>
      <c r="S1423">
        <v>50371.301750000006</v>
      </c>
      <c r="T1423">
        <v>2.499999973224476E-4</v>
      </c>
    </row>
    <row r="1424" spans="1:20">
      <c r="A1424" t="s">
        <v>19185</v>
      </c>
      <c r="B1424">
        <v>45251</v>
      </c>
      <c r="C1424" t="s">
        <v>17321</v>
      </c>
      <c r="D1424" t="s">
        <v>18719</v>
      </c>
      <c r="E1424">
        <v>0</v>
      </c>
      <c r="F1424">
        <v>59329.574999999997</v>
      </c>
      <c r="G1424" s="259">
        <v>0</v>
      </c>
      <c r="H1424" s="259">
        <v>0</v>
      </c>
      <c r="I1424" s="259">
        <v>0</v>
      </c>
      <c r="J1424" s="259">
        <v>59329.574999999997</v>
      </c>
      <c r="K1424" s="260">
        <v>0</v>
      </c>
      <c r="L1424" s="260">
        <v>0</v>
      </c>
      <c r="M1424" s="260">
        <v>0</v>
      </c>
      <c r="N1424" s="260">
        <v>0</v>
      </c>
      <c r="O1424" s="261">
        <v>0</v>
      </c>
      <c r="P1424" s="261">
        <v>0</v>
      </c>
      <c r="Q1424" s="261">
        <v>0</v>
      </c>
      <c r="R1424" s="261">
        <v>59329.574999999997</v>
      </c>
      <c r="S1424">
        <v>59329.574999999997</v>
      </c>
      <c r="T1424">
        <v>0</v>
      </c>
    </row>
    <row r="1425" spans="1:20">
      <c r="A1425" t="s">
        <v>19186</v>
      </c>
      <c r="B1425">
        <v>45251</v>
      </c>
      <c r="C1425" t="s">
        <v>16838</v>
      </c>
      <c r="D1425" t="s">
        <v>16839</v>
      </c>
      <c r="E1425">
        <v>0</v>
      </c>
      <c r="F1425">
        <v>86695.44</v>
      </c>
      <c r="G1425" s="259">
        <v>42475.44</v>
      </c>
      <c r="H1425" s="259">
        <v>42180</v>
      </c>
      <c r="I1425" s="259">
        <v>2040</v>
      </c>
      <c r="J1425" s="259">
        <v>0</v>
      </c>
      <c r="K1425" s="260">
        <v>0</v>
      </c>
      <c r="L1425" s="260">
        <v>0</v>
      </c>
      <c r="M1425" s="260">
        <v>0</v>
      </c>
      <c r="N1425" s="260">
        <v>0</v>
      </c>
      <c r="O1425" s="261">
        <v>42475.44</v>
      </c>
      <c r="P1425" s="261">
        <v>42180</v>
      </c>
      <c r="Q1425" s="261">
        <v>2040</v>
      </c>
      <c r="R1425" s="261">
        <v>0</v>
      </c>
      <c r="S1425">
        <v>86695.44</v>
      </c>
      <c r="T1425">
        <v>0</v>
      </c>
    </row>
    <row r="1426" spans="1:20">
      <c r="A1426" t="s">
        <v>19187</v>
      </c>
      <c r="B1426">
        <v>45251</v>
      </c>
      <c r="C1426" t="s">
        <v>17017</v>
      </c>
      <c r="D1426" t="s">
        <v>17430</v>
      </c>
      <c r="E1426">
        <v>0</v>
      </c>
      <c r="F1426">
        <v>126075</v>
      </c>
      <c r="G1426" s="259">
        <v>0</v>
      </c>
      <c r="H1426" s="259">
        <v>126075</v>
      </c>
      <c r="I1426" s="259">
        <v>0</v>
      </c>
      <c r="J1426" s="259">
        <v>0</v>
      </c>
      <c r="K1426" s="260">
        <v>0</v>
      </c>
      <c r="L1426" s="260">
        <v>0</v>
      </c>
      <c r="M1426" s="260">
        <v>0</v>
      </c>
      <c r="N1426" s="260">
        <v>0</v>
      </c>
      <c r="O1426" s="261">
        <v>0</v>
      </c>
      <c r="P1426" s="261">
        <v>126075</v>
      </c>
      <c r="Q1426" s="261">
        <v>0</v>
      </c>
      <c r="R1426" s="261">
        <v>0</v>
      </c>
      <c r="S1426">
        <v>126075</v>
      </c>
      <c r="T1426">
        <v>0</v>
      </c>
    </row>
    <row r="1427" spans="1:20">
      <c r="A1427" t="s">
        <v>19188</v>
      </c>
      <c r="B1427">
        <v>45251</v>
      </c>
      <c r="C1427" t="s">
        <v>17017</v>
      </c>
      <c r="D1427" t="s">
        <v>17430</v>
      </c>
      <c r="E1427">
        <v>0</v>
      </c>
      <c r="F1427">
        <v>170150</v>
      </c>
      <c r="G1427" s="259">
        <v>170150</v>
      </c>
      <c r="H1427" s="259">
        <v>0</v>
      </c>
      <c r="I1427" s="259">
        <v>0</v>
      </c>
      <c r="J1427" s="259">
        <v>0</v>
      </c>
      <c r="K1427" s="260">
        <v>0</v>
      </c>
      <c r="L1427" s="260">
        <v>0</v>
      </c>
      <c r="M1427" s="260">
        <v>0</v>
      </c>
      <c r="N1427" s="260">
        <v>0</v>
      </c>
      <c r="O1427" s="261">
        <v>170150</v>
      </c>
      <c r="P1427" s="261">
        <v>0</v>
      </c>
      <c r="Q1427" s="261">
        <v>0</v>
      </c>
      <c r="R1427" s="261">
        <v>0</v>
      </c>
      <c r="S1427">
        <v>170150</v>
      </c>
      <c r="T1427">
        <v>0</v>
      </c>
    </row>
    <row r="1428" spans="1:20">
      <c r="A1428" t="s">
        <v>19189</v>
      </c>
      <c r="B1428">
        <v>45261</v>
      </c>
      <c r="C1428" t="s">
        <v>16880</v>
      </c>
      <c r="D1428" t="s">
        <v>16881</v>
      </c>
      <c r="E1428">
        <v>0</v>
      </c>
      <c r="F1428">
        <v>95943.209000000003</v>
      </c>
      <c r="G1428" s="259">
        <v>3521.7775740000002</v>
      </c>
      <c r="H1428" s="259">
        <v>92421.431578000003</v>
      </c>
      <c r="I1428" s="259">
        <v>0</v>
      </c>
      <c r="J1428" s="259">
        <v>0</v>
      </c>
      <c r="K1428" s="260">
        <v>0</v>
      </c>
      <c r="L1428" s="260">
        <v>0</v>
      </c>
      <c r="M1428" s="260">
        <v>0</v>
      </c>
      <c r="N1428" s="260">
        <v>0</v>
      </c>
      <c r="O1428" s="261">
        <v>3521.7775740000002</v>
      </c>
      <c r="P1428" s="261">
        <v>92421.431578000003</v>
      </c>
      <c r="Q1428" s="261">
        <v>0</v>
      </c>
      <c r="R1428" s="261">
        <v>0</v>
      </c>
      <c r="S1428">
        <v>95943.20915200001</v>
      </c>
      <c r="T1428">
        <v>-1.5200000780168921E-4</v>
      </c>
    </row>
    <row r="1429" spans="1:20">
      <c r="A1429" t="s">
        <v>19190</v>
      </c>
      <c r="B1429">
        <v>45257</v>
      </c>
      <c r="C1429" t="s">
        <v>17342</v>
      </c>
      <c r="D1429" t="s">
        <v>17343</v>
      </c>
      <c r="E1429">
        <v>0</v>
      </c>
      <c r="F1429">
        <v>89108.428000000014</v>
      </c>
      <c r="G1429" s="259">
        <v>0</v>
      </c>
      <c r="H1429" s="259">
        <v>44683.675785599982</v>
      </c>
      <c r="I1429" s="259">
        <v>22216.726079999997</v>
      </c>
      <c r="J1429" s="259">
        <v>11333.466431999997</v>
      </c>
      <c r="K1429" s="260">
        <v>0</v>
      </c>
      <c r="L1429" s="260">
        <v>7752.6767464114828</v>
      </c>
      <c r="M1429" s="260">
        <v>3121.8832535885167</v>
      </c>
      <c r="N1429" s="260">
        <v>0</v>
      </c>
      <c r="O1429" s="261">
        <v>0</v>
      </c>
      <c r="P1429" s="261">
        <v>52436.352532011464</v>
      </c>
      <c r="Q1429" s="261">
        <v>25338.609333588513</v>
      </c>
      <c r="R1429" s="261">
        <v>11333.466431999997</v>
      </c>
      <c r="S1429">
        <v>89108.428297599981</v>
      </c>
      <c r="T1429">
        <v>-2.9759996687062085E-4</v>
      </c>
    </row>
    <row r="1430" spans="1:20">
      <c r="A1430" t="s">
        <v>19191</v>
      </c>
      <c r="B1430">
        <v>45261</v>
      </c>
      <c r="C1430" t="s">
        <v>16838</v>
      </c>
      <c r="D1430" t="s">
        <v>16839</v>
      </c>
      <c r="E1430">
        <v>0</v>
      </c>
      <c r="F1430">
        <v>820729.8</v>
      </c>
      <c r="G1430" s="259">
        <v>0</v>
      </c>
      <c r="H1430" s="259">
        <v>76969.8</v>
      </c>
      <c r="I1430" s="259">
        <v>694960</v>
      </c>
      <c r="J1430" s="259">
        <v>48800</v>
      </c>
      <c r="K1430" s="260">
        <v>0</v>
      </c>
      <c r="L1430" s="260">
        <v>0</v>
      </c>
      <c r="M1430" s="260">
        <v>0</v>
      </c>
      <c r="N1430" s="260">
        <v>0</v>
      </c>
      <c r="O1430" s="261">
        <v>0</v>
      </c>
      <c r="P1430" s="261">
        <v>76969.8</v>
      </c>
      <c r="Q1430" s="261">
        <v>694960</v>
      </c>
      <c r="R1430" s="261">
        <v>48800</v>
      </c>
      <c r="S1430">
        <v>820729.8</v>
      </c>
      <c r="T1430">
        <v>0</v>
      </c>
    </row>
    <row r="1431" spans="1:20">
      <c r="A1431" t="s">
        <v>19192</v>
      </c>
      <c r="B1431">
        <v>45264</v>
      </c>
      <c r="C1431" t="s">
        <v>17248</v>
      </c>
      <c r="D1431" t="s">
        <v>18158</v>
      </c>
      <c r="E1431">
        <v>0</v>
      </c>
      <c r="F1431">
        <v>79333.072</v>
      </c>
      <c r="G1431" s="259">
        <v>0</v>
      </c>
      <c r="H1431" s="259">
        <v>65252.896610000003</v>
      </c>
      <c r="I1431" s="259">
        <v>0</v>
      </c>
      <c r="J1431" s="259">
        <v>0</v>
      </c>
      <c r="K1431" s="260">
        <v>0</v>
      </c>
      <c r="L1431" s="260">
        <v>14080.05</v>
      </c>
      <c r="M1431" s="260">
        <v>0</v>
      </c>
      <c r="N1431" s="260">
        <v>0</v>
      </c>
      <c r="O1431" s="261">
        <v>0</v>
      </c>
      <c r="P1431" s="261">
        <v>79332.946609999999</v>
      </c>
      <c r="Q1431" s="261">
        <v>0</v>
      </c>
      <c r="R1431" s="261">
        <v>0</v>
      </c>
      <c r="S1431">
        <v>79332.946609999999</v>
      </c>
      <c r="T1431">
        <v>0.12539000000106171</v>
      </c>
    </row>
    <row r="1432" spans="1:20">
      <c r="A1432" t="s">
        <v>19193</v>
      </c>
      <c r="B1432">
        <v>45264</v>
      </c>
      <c r="C1432" t="s">
        <v>17329</v>
      </c>
      <c r="D1432" t="s">
        <v>18782</v>
      </c>
      <c r="E1432">
        <v>0</v>
      </c>
      <c r="F1432">
        <v>61225.035999999993</v>
      </c>
      <c r="G1432" s="259">
        <v>0</v>
      </c>
      <c r="H1432" s="259">
        <v>34294.247856000009</v>
      </c>
      <c r="I1432" s="259">
        <v>0</v>
      </c>
      <c r="J1432" s="259">
        <v>22614.355499999998</v>
      </c>
      <c r="K1432" s="260">
        <v>0</v>
      </c>
      <c r="L1432" s="260">
        <v>3433.3656923076924</v>
      </c>
      <c r="M1432" s="260">
        <v>0</v>
      </c>
      <c r="N1432" s="260">
        <v>883.06730769230762</v>
      </c>
      <c r="O1432" s="261">
        <v>0</v>
      </c>
      <c r="P1432" s="261">
        <v>37727.613548307701</v>
      </c>
      <c r="Q1432" s="261">
        <v>0</v>
      </c>
      <c r="R1432" s="261">
        <v>23497.422807692306</v>
      </c>
      <c r="S1432">
        <v>61225.036356000011</v>
      </c>
      <c r="T1432">
        <v>-3.5600001865532249E-4</v>
      </c>
    </row>
    <row r="1433" spans="1:20">
      <c r="A1433" t="s">
        <v>19194</v>
      </c>
      <c r="B1433">
        <v>45267</v>
      </c>
      <c r="C1433" t="s">
        <v>17278</v>
      </c>
      <c r="D1433" t="s">
        <v>17279</v>
      </c>
      <c r="E1433">
        <v>0</v>
      </c>
      <c r="F1433">
        <v>335941.75200000004</v>
      </c>
      <c r="G1433" s="259">
        <v>0</v>
      </c>
      <c r="H1433" s="259">
        <v>195160.44011519995</v>
      </c>
      <c r="I1433" s="259">
        <v>140781.31200000001</v>
      </c>
      <c r="J1433" s="259">
        <v>0</v>
      </c>
      <c r="K1433" s="260">
        <v>0</v>
      </c>
      <c r="L1433" s="260">
        <v>0</v>
      </c>
      <c r="M1433" s="260">
        <v>0</v>
      </c>
      <c r="N1433" s="260">
        <v>0</v>
      </c>
      <c r="O1433" s="261">
        <v>0</v>
      </c>
      <c r="P1433" s="261">
        <v>195160.44011519995</v>
      </c>
      <c r="Q1433" s="261">
        <v>140781.31200000001</v>
      </c>
      <c r="R1433" s="261">
        <v>0</v>
      </c>
      <c r="S1433">
        <v>335941.75211519992</v>
      </c>
      <c r="T1433">
        <v>-1.151998876594007E-4</v>
      </c>
    </row>
    <row r="1434" spans="1:20">
      <c r="A1434" t="s">
        <v>19195</v>
      </c>
      <c r="B1434">
        <v>45267</v>
      </c>
      <c r="C1434" t="s">
        <v>17226</v>
      </c>
      <c r="D1434" t="s">
        <v>17891</v>
      </c>
      <c r="E1434">
        <v>0</v>
      </c>
      <c r="F1434">
        <v>75045.600000000006</v>
      </c>
      <c r="G1434" s="259">
        <v>0</v>
      </c>
      <c r="H1434" s="259">
        <v>65988</v>
      </c>
      <c r="I1434" s="259">
        <v>9057.6</v>
      </c>
      <c r="J1434" s="259">
        <v>0</v>
      </c>
      <c r="K1434" s="260">
        <v>0</v>
      </c>
      <c r="L1434" s="260">
        <v>0</v>
      </c>
      <c r="M1434" s="260">
        <v>0</v>
      </c>
      <c r="N1434" s="260">
        <v>0</v>
      </c>
      <c r="O1434" s="261">
        <v>0</v>
      </c>
      <c r="P1434" s="261">
        <v>65988</v>
      </c>
      <c r="Q1434" s="261">
        <v>9057.6</v>
      </c>
      <c r="R1434" s="261">
        <v>0</v>
      </c>
      <c r="S1434">
        <v>75045.600000000006</v>
      </c>
      <c r="T1434">
        <v>0</v>
      </c>
    </row>
    <row r="1435" spans="1:20">
      <c r="A1435" t="s">
        <v>19196</v>
      </c>
      <c r="B1435">
        <v>45267</v>
      </c>
      <c r="C1435" t="s">
        <v>17226</v>
      </c>
      <c r="D1435" t="s">
        <v>17891</v>
      </c>
      <c r="E1435">
        <v>0</v>
      </c>
      <c r="F1435">
        <v>60240</v>
      </c>
      <c r="G1435" s="259">
        <v>60240</v>
      </c>
      <c r="H1435" s="259">
        <v>0</v>
      </c>
      <c r="I1435" s="259">
        <v>0</v>
      </c>
      <c r="J1435" s="259">
        <v>0</v>
      </c>
      <c r="K1435" s="260">
        <v>0</v>
      </c>
      <c r="L1435" s="260">
        <v>0</v>
      </c>
      <c r="M1435" s="260">
        <v>0</v>
      </c>
      <c r="N1435" s="260">
        <v>0</v>
      </c>
      <c r="O1435" s="261">
        <v>60240</v>
      </c>
      <c r="P1435" s="261">
        <v>0</v>
      </c>
      <c r="Q1435" s="261">
        <v>0</v>
      </c>
      <c r="R1435" s="261">
        <v>0</v>
      </c>
      <c r="S1435">
        <v>60240</v>
      </c>
      <c r="T1435">
        <v>0</v>
      </c>
    </row>
    <row r="1436" spans="1:20">
      <c r="A1436" t="s">
        <v>19197</v>
      </c>
      <c r="B1436">
        <v>45267</v>
      </c>
      <c r="C1436" t="s">
        <v>17209</v>
      </c>
      <c r="D1436" t="s">
        <v>17210</v>
      </c>
      <c r="E1436">
        <v>0</v>
      </c>
      <c r="F1436">
        <v>60880.552000000003</v>
      </c>
      <c r="G1436" s="259">
        <v>19439.91</v>
      </c>
      <c r="H1436" s="259">
        <v>5931.9496799999997</v>
      </c>
      <c r="I1436" s="259">
        <v>11339.9475</v>
      </c>
      <c r="J1436" s="259">
        <v>21453.329249999999</v>
      </c>
      <c r="K1436" s="260">
        <v>1116.5616904625929</v>
      </c>
      <c r="L1436" s="260">
        <v>521.06212221587668</v>
      </c>
      <c r="M1436" s="260">
        <v>651.32765276984594</v>
      </c>
      <c r="N1436" s="260">
        <v>426.46453455168484</v>
      </c>
      <c r="O1436" s="261">
        <v>20556.471690462593</v>
      </c>
      <c r="P1436" s="261">
        <v>6453.0118022158767</v>
      </c>
      <c r="Q1436" s="261">
        <v>11991.275152769846</v>
      </c>
      <c r="R1436" s="261">
        <v>21879.793784551683</v>
      </c>
      <c r="S1436">
        <v>60880.552429999996</v>
      </c>
      <c r="T1436">
        <v>-4.2999999277526513E-4</v>
      </c>
    </row>
    <row r="1437" spans="1:20">
      <c r="A1437" t="s">
        <v>19198</v>
      </c>
      <c r="B1437">
        <v>45267</v>
      </c>
      <c r="C1437" t="s">
        <v>17209</v>
      </c>
      <c r="D1437" t="s">
        <v>17210</v>
      </c>
      <c r="E1437">
        <v>0</v>
      </c>
      <c r="F1437">
        <v>76845.019</v>
      </c>
      <c r="G1437" s="259">
        <v>0</v>
      </c>
      <c r="H1437" s="259">
        <v>53448.700799999999</v>
      </c>
      <c r="I1437" s="259">
        <v>18391.758000000002</v>
      </c>
      <c r="J1437" s="259">
        <v>0</v>
      </c>
      <c r="K1437" s="260">
        <v>0</v>
      </c>
      <c r="L1437" s="260">
        <v>3707.0814814814817</v>
      </c>
      <c r="M1437" s="260">
        <v>1297.4785185185185</v>
      </c>
      <c r="N1437" s="260">
        <v>0</v>
      </c>
      <c r="O1437" s="261">
        <v>0</v>
      </c>
      <c r="P1437" s="261">
        <v>57155.782281481479</v>
      </c>
      <c r="Q1437" s="261">
        <v>19689.236518518519</v>
      </c>
      <c r="R1437" s="261">
        <v>0</v>
      </c>
      <c r="S1437">
        <v>76845.018799999991</v>
      </c>
      <c r="T1437">
        <v>2.0000000949949026E-4</v>
      </c>
    </row>
    <row r="1438" spans="1:20">
      <c r="A1438" t="s">
        <v>19199</v>
      </c>
      <c r="B1438">
        <v>45269</v>
      </c>
      <c r="C1438" t="s">
        <v>17359</v>
      </c>
      <c r="D1438" t="s">
        <v>17360</v>
      </c>
      <c r="E1438">
        <v>0</v>
      </c>
      <c r="F1438">
        <v>47116.9</v>
      </c>
      <c r="G1438" s="259">
        <v>38728.300000000003</v>
      </c>
      <c r="H1438" s="259">
        <v>2194.8000000000002</v>
      </c>
      <c r="I1438" s="259">
        <v>0</v>
      </c>
      <c r="J1438" s="259">
        <v>0</v>
      </c>
      <c r="K1438" s="260">
        <v>5808.6932642487045</v>
      </c>
      <c r="L1438" s="260">
        <v>385.10673575129533</v>
      </c>
      <c r="M1438" s="260">
        <v>0</v>
      </c>
      <c r="N1438" s="260">
        <v>0</v>
      </c>
      <c r="O1438" s="261">
        <v>44536.993264248711</v>
      </c>
      <c r="P1438" s="261">
        <v>2579.9067357512954</v>
      </c>
      <c r="Q1438" s="261">
        <v>0</v>
      </c>
      <c r="R1438" s="261">
        <v>0</v>
      </c>
      <c r="S1438">
        <v>47116.900000000009</v>
      </c>
      <c r="T1438">
        <v>0</v>
      </c>
    </row>
    <row r="1439" spans="1:20">
      <c r="A1439" t="s">
        <v>19200</v>
      </c>
      <c r="B1439">
        <v>45269</v>
      </c>
      <c r="C1439" t="s">
        <v>16643</v>
      </c>
      <c r="D1439" t="s">
        <v>16644</v>
      </c>
      <c r="E1439">
        <v>0</v>
      </c>
      <c r="F1439">
        <v>98494.996999999988</v>
      </c>
      <c r="G1439" s="259">
        <v>0</v>
      </c>
      <c r="H1439" s="259">
        <v>36770.380799999999</v>
      </c>
      <c r="I1439" s="259">
        <v>51555.815999999999</v>
      </c>
      <c r="J1439" s="259">
        <v>0</v>
      </c>
      <c r="K1439" s="260">
        <v>0</v>
      </c>
      <c r="L1439" s="260">
        <v>4319.4902654867265</v>
      </c>
      <c r="M1439" s="260">
        <v>5849.3097345132746</v>
      </c>
      <c r="N1439" s="260">
        <v>0</v>
      </c>
      <c r="O1439" s="261">
        <v>0</v>
      </c>
      <c r="P1439" s="261">
        <v>41089.871065486725</v>
      </c>
      <c r="Q1439" s="261">
        <v>57405.125734513276</v>
      </c>
      <c r="R1439" s="261">
        <v>0</v>
      </c>
      <c r="S1439">
        <v>98494.996799999994</v>
      </c>
      <c r="T1439">
        <v>1.9999999494757503E-4</v>
      </c>
    </row>
    <row r="1440" spans="1:20">
      <c r="A1440" t="s">
        <v>19201</v>
      </c>
      <c r="B1440">
        <v>45269</v>
      </c>
      <c r="C1440" t="s">
        <v>17309</v>
      </c>
      <c r="D1440" t="s">
        <v>18704</v>
      </c>
      <c r="E1440">
        <v>0</v>
      </c>
      <c r="F1440">
        <v>168480</v>
      </c>
      <c r="G1440" s="259">
        <v>0</v>
      </c>
      <c r="H1440" s="259">
        <v>0</v>
      </c>
      <c r="I1440" s="259">
        <v>168480</v>
      </c>
      <c r="J1440" s="259">
        <v>0</v>
      </c>
      <c r="K1440" s="260">
        <v>0</v>
      </c>
      <c r="L1440" s="260">
        <v>0</v>
      </c>
      <c r="M1440" s="260">
        <v>0</v>
      </c>
      <c r="N1440" s="260">
        <v>0</v>
      </c>
      <c r="O1440" s="261">
        <v>0</v>
      </c>
      <c r="P1440" s="261">
        <v>0</v>
      </c>
      <c r="Q1440" s="261">
        <v>168480</v>
      </c>
      <c r="R1440" s="261">
        <v>0</v>
      </c>
      <c r="S1440">
        <v>168480</v>
      </c>
      <c r="T1440">
        <v>0</v>
      </c>
    </row>
    <row r="1441" spans="1:20">
      <c r="A1441" t="s">
        <v>19202</v>
      </c>
      <c r="B1441">
        <v>45269</v>
      </c>
      <c r="C1441" t="s">
        <v>17156</v>
      </c>
      <c r="D1441" t="s">
        <v>17575</v>
      </c>
      <c r="E1441">
        <v>0</v>
      </c>
      <c r="F1441">
        <v>78000</v>
      </c>
      <c r="G1441" s="259">
        <v>78000</v>
      </c>
      <c r="H1441" s="259">
        <v>0</v>
      </c>
      <c r="I1441" s="259">
        <v>0</v>
      </c>
      <c r="J1441" s="259">
        <v>0</v>
      </c>
      <c r="K1441" s="260">
        <v>0</v>
      </c>
      <c r="L1441" s="260">
        <v>0</v>
      </c>
      <c r="M1441" s="260">
        <v>0</v>
      </c>
      <c r="N1441" s="260">
        <v>0</v>
      </c>
      <c r="O1441" s="261">
        <v>78000</v>
      </c>
      <c r="P1441" s="261">
        <v>0</v>
      </c>
      <c r="Q1441" s="261">
        <v>0</v>
      </c>
      <c r="R1441" s="261">
        <v>0</v>
      </c>
      <c r="S1441">
        <v>78000</v>
      </c>
      <c r="T1441">
        <v>0</v>
      </c>
    </row>
    <row r="1442" spans="1:20">
      <c r="A1442" t="s">
        <v>19203</v>
      </c>
      <c r="B1442">
        <v>45269</v>
      </c>
      <c r="C1442" t="s">
        <v>17226</v>
      </c>
      <c r="D1442" t="s">
        <v>17891</v>
      </c>
      <c r="E1442">
        <v>0</v>
      </c>
      <c r="F1442">
        <v>96969</v>
      </c>
      <c r="G1442" s="259">
        <v>0</v>
      </c>
      <c r="H1442" s="259">
        <v>70644</v>
      </c>
      <c r="I1442" s="259">
        <v>26325</v>
      </c>
      <c r="J1442" s="259">
        <v>0</v>
      </c>
      <c r="K1442" s="260">
        <v>0</v>
      </c>
      <c r="L1442" s="260">
        <v>0</v>
      </c>
      <c r="M1442" s="260">
        <v>0</v>
      </c>
      <c r="N1442" s="260">
        <v>0</v>
      </c>
      <c r="O1442" s="261">
        <v>0</v>
      </c>
      <c r="P1442" s="261">
        <v>70644</v>
      </c>
      <c r="Q1442" s="261">
        <v>26325</v>
      </c>
      <c r="R1442" s="261">
        <v>0</v>
      </c>
      <c r="S1442">
        <v>96969</v>
      </c>
      <c r="T1442">
        <v>0</v>
      </c>
    </row>
    <row r="1443" spans="1:20">
      <c r="A1443" t="s">
        <v>19204</v>
      </c>
      <c r="B1443">
        <v>45271</v>
      </c>
      <c r="C1443" t="s">
        <v>16783</v>
      </c>
      <c r="D1443" t="s">
        <v>17509</v>
      </c>
      <c r="E1443">
        <v>0</v>
      </c>
      <c r="F1443">
        <v>899824.21200000006</v>
      </c>
      <c r="G1443" s="259">
        <v>0</v>
      </c>
      <c r="H1443" s="259">
        <v>772790.20559999975</v>
      </c>
      <c r="I1443" s="259">
        <v>127034.00640000001</v>
      </c>
      <c r="J1443" s="259">
        <v>0</v>
      </c>
      <c r="K1443" s="260">
        <v>0</v>
      </c>
      <c r="L1443" s="260">
        <v>0</v>
      </c>
      <c r="M1443" s="260">
        <v>0</v>
      </c>
      <c r="N1443" s="260">
        <v>0</v>
      </c>
      <c r="O1443" s="261">
        <v>0</v>
      </c>
      <c r="P1443" s="261">
        <v>772790.20559999975</v>
      </c>
      <c r="Q1443" s="261">
        <v>127034.00640000001</v>
      </c>
      <c r="R1443" s="261">
        <v>0</v>
      </c>
      <c r="S1443">
        <v>899824.21199999982</v>
      </c>
      <c r="T1443">
        <v>0</v>
      </c>
    </row>
    <row r="1444" spans="1:20">
      <c r="A1444" t="s">
        <v>19205</v>
      </c>
      <c r="B1444">
        <v>45272</v>
      </c>
      <c r="C1444" t="s">
        <v>16444</v>
      </c>
      <c r="D1444" t="s">
        <v>16445</v>
      </c>
      <c r="E1444">
        <v>0</v>
      </c>
      <c r="F1444">
        <v>38016</v>
      </c>
      <c r="G1444" s="259">
        <v>38016</v>
      </c>
      <c r="H1444" s="259">
        <v>0</v>
      </c>
      <c r="I1444" s="259">
        <v>0</v>
      </c>
      <c r="J1444" s="259">
        <v>0</v>
      </c>
      <c r="K1444" s="260">
        <v>0</v>
      </c>
      <c r="L1444" s="260">
        <v>0</v>
      </c>
      <c r="M1444" s="260">
        <v>0</v>
      </c>
      <c r="N1444" s="260">
        <v>0</v>
      </c>
      <c r="O1444" s="261">
        <v>38016</v>
      </c>
      <c r="P1444" s="261">
        <v>0</v>
      </c>
      <c r="Q1444" s="261">
        <v>0</v>
      </c>
      <c r="R1444" s="261">
        <v>0</v>
      </c>
      <c r="S1444">
        <v>38016</v>
      </c>
      <c r="T1444">
        <v>0</v>
      </c>
    </row>
    <row r="1445" spans="1:20">
      <c r="A1445" t="s">
        <v>19206</v>
      </c>
      <c r="B1445">
        <v>45272</v>
      </c>
      <c r="C1445" t="s">
        <v>17119</v>
      </c>
      <c r="D1445" t="s">
        <v>17120</v>
      </c>
      <c r="E1445">
        <v>0</v>
      </c>
      <c r="F1445">
        <v>356756.29100000003</v>
      </c>
      <c r="G1445" s="259">
        <v>80573.7984</v>
      </c>
      <c r="H1445" s="259">
        <v>164480.15280000001</v>
      </c>
      <c r="I1445" s="259">
        <v>0</v>
      </c>
      <c r="J1445" s="259">
        <v>0</v>
      </c>
      <c r="K1445" s="260">
        <v>34703.639611650491</v>
      </c>
      <c r="L1445" s="260">
        <v>76998.70038834952</v>
      </c>
      <c r="M1445" s="260">
        <v>0</v>
      </c>
      <c r="N1445" s="260">
        <v>0</v>
      </c>
      <c r="O1445" s="261">
        <v>115277.43801165049</v>
      </c>
      <c r="P1445" s="261">
        <v>241478.85318834952</v>
      </c>
      <c r="Q1445" s="261">
        <v>0</v>
      </c>
      <c r="R1445" s="261">
        <v>0</v>
      </c>
      <c r="S1445">
        <v>356756.29119999998</v>
      </c>
      <c r="T1445">
        <v>-1.9999995129182935E-4</v>
      </c>
    </row>
    <row r="1446" spans="1:20">
      <c r="A1446" t="s">
        <v>19207</v>
      </c>
      <c r="B1446">
        <v>45272</v>
      </c>
      <c r="C1446" t="s">
        <v>16904</v>
      </c>
      <c r="D1446" t="s">
        <v>16905</v>
      </c>
      <c r="E1446">
        <v>0</v>
      </c>
      <c r="F1446">
        <v>72932.452999999994</v>
      </c>
      <c r="G1446" s="259">
        <v>0</v>
      </c>
      <c r="H1446" s="259">
        <v>62098.373465999997</v>
      </c>
      <c r="I1446" s="259">
        <v>0</v>
      </c>
      <c r="J1446" s="259">
        <v>0</v>
      </c>
      <c r="K1446" s="260">
        <v>0</v>
      </c>
      <c r="L1446" s="260">
        <v>10834.08</v>
      </c>
      <c r="M1446" s="260">
        <v>0</v>
      </c>
      <c r="N1446" s="260">
        <v>0</v>
      </c>
      <c r="O1446" s="261">
        <v>0</v>
      </c>
      <c r="P1446" s="261">
        <v>72932.453465999992</v>
      </c>
      <c r="Q1446" s="261">
        <v>0</v>
      </c>
      <c r="R1446" s="261">
        <v>0</v>
      </c>
      <c r="S1446">
        <v>72932.453465999992</v>
      </c>
      <c r="T1446">
        <v>-4.6599999768659472E-4</v>
      </c>
    </row>
    <row r="1447" spans="1:20">
      <c r="A1447" t="s">
        <v>19208</v>
      </c>
      <c r="B1447">
        <v>45272</v>
      </c>
      <c r="C1447" t="s">
        <v>16904</v>
      </c>
      <c r="D1447" t="s">
        <v>16905</v>
      </c>
      <c r="E1447">
        <v>0</v>
      </c>
      <c r="F1447">
        <v>81540.815999999992</v>
      </c>
      <c r="G1447" s="259">
        <v>0</v>
      </c>
      <c r="H1447" s="259">
        <v>42706.809521999996</v>
      </c>
      <c r="I1447" s="259">
        <v>27999.286574999998</v>
      </c>
      <c r="J1447" s="259">
        <v>0</v>
      </c>
      <c r="K1447" s="260">
        <v>0</v>
      </c>
      <c r="L1447" s="260">
        <v>6475.3828969117003</v>
      </c>
      <c r="M1447" s="260">
        <v>4359.337103088299</v>
      </c>
      <c r="N1447" s="260">
        <v>0</v>
      </c>
      <c r="O1447" s="261">
        <v>0</v>
      </c>
      <c r="P1447" s="261">
        <v>49182.192418911698</v>
      </c>
      <c r="Q1447" s="261">
        <v>32358.623678088297</v>
      </c>
      <c r="R1447" s="261">
        <v>0</v>
      </c>
      <c r="S1447">
        <v>81540.816097000003</v>
      </c>
      <c r="T1447">
        <v>-9.7000011010095477E-5</v>
      </c>
    </row>
    <row r="1448" spans="1:20">
      <c r="A1448" t="s">
        <v>19209</v>
      </c>
      <c r="B1448">
        <v>45272</v>
      </c>
      <c r="C1448" t="s">
        <v>16480</v>
      </c>
      <c r="D1448" t="s">
        <v>16481</v>
      </c>
      <c r="E1448">
        <v>0</v>
      </c>
      <c r="F1448">
        <v>76297.500999999989</v>
      </c>
      <c r="G1448" s="259">
        <v>0</v>
      </c>
      <c r="H1448" s="259">
        <v>57920.406749999995</v>
      </c>
      <c r="I1448" s="259">
        <v>7557.09375</v>
      </c>
      <c r="J1448" s="259">
        <v>0</v>
      </c>
      <c r="K1448" s="260">
        <v>0</v>
      </c>
      <c r="L1448" s="260">
        <v>9541.6446124763697</v>
      </c>
      <c r="M1448" s="260">
        <v>1278.3553875236296</v>
      </c>
      <c r="N1448" s="260">
        <v>0</v>
      </c>
      <c r="O1448" s="261">
        <v>0</v>
      </c>
      <c r="P1448" s="261">
        <v>67462.05136247637</v>
      </c>
      <c r="Q1448" s="261">
        <v>8835.4491375236303</v>
      </c>
      <c r="R1448" s="261">
        <v>0</v>
      </c>
      <c r="S1448">
        <v>76297.500499999995</v>
      </c>
      <c r="T1448">
        <v>4.999999946448952E-4</v>
      </c>
    </row>
    <row r="1449" spans="1:20">
      <c r="A1449" t="s">
        <v>19210</v>
      </c>
      <c r="B1449">
        <v>45272</v>
      </c>
      <c r="C1449" t="s">
        <v>16384</v>
      </c>
      <c r="D1449" t="s">
        <v>16385</v>
      </c>
      <c r="E1449">
        <v>0</v>
      </c>
      <c r="F1449">
        <v>41731.199999999997</v>
      </c>
      <c r="G1449" s="259">
        <v>0</v>
      </c>
      <c r="H1449" s="259">
        <v>41731.199999999997</v>
      </c>
      <c r="I1449" s="259">
        <v>0</v>
      </c>
      <c r="J1449" s="259">
        <v>0</v>
      </c>
      <c r="K1449" s="260">
        <v>0</v>
      </c>
      <c r="L1449" s="260">
        <v>0</v>
      </c>
      <c r="M1449" s="260">
        <v>0</v>
      </c>
      <c r="N1449" s="260">
        <v>0</v>
      </c>
      <c r="O1449" s="261">
        <v>0</v>
      </c>
      <c r="P1449" s="261">
        <v>41731.199999999997</v>
      </c>
      <c r="Q1449" s="261">
        <v>0</v>
      </c>
      <c r="R1449" s="261">
        <v>0</v>
      </c>
      <c r="S1449">
        <v>41731.199999999997</v>
      </c>
      <c r="T1449">
        <v>0</v>
      </c>
    </row>
    <row r="1450" spans="1:20">
      <c r="A1450" t="s">
        <v>19211</v>
      </c>
      <c r="B1450">
        <v>45272</v>
      </c>
      <c r="C1450" t="s">
        <v>16384</v>
      </c>
      <c r="D1450" t="s">
        <v>16385</v>
      </c>
      <c r="E1450">
        <v>0</v>
      </c>
      <c r="F1450">
        <v>38021.760000000002</v>
      </c>
      <c r="G1450" s="259">
        <v>0</v>
      </c>
      <c r="H1450" s="259">
        <v>38021.760000000002</v>
      </c>
      <c r="I1450" s="259">
        <v>0</v>
      </c>
      <c r="J1450" s="259">
        <v>0</v>
      </c>
      <c r="K1450" s="260">
        <v>0</v>
      </c>
      <c r="L1450" s="260">
        <v>0</v>
      </c>
      <c r="M1450" s="260">
        <v>0</v>
      </c>
      <c r="N1450" s="260">
        <v>0</v>
      </c>
      <c r="O1450" s="261">
        <v>0</v>
      </c>
      <c r="P1450" s="261">
        <v>38021.760000000002</v>
      </c>
      <c r="Q1450" s="261">
        <v>0</v>
      </c>
      <c r="R1450" s="261">
        <v>0</v>
      </c>
      <c r="S1450">
        <v>38021.760000000002</v>
      </c>
      <c r="T1450">
        <v>0</v>
      </c>
    </row>
    <row r="1451" spans="1:20">
      <c r="A1451" t="s">
        <v>19212</v>
      </c>
      <c r="B1451">
        <v>45272</v>
      </c>
      <c r="C1451" t="s">
        <v>16838</v>
      </c>
      <c r="D1451" t="s">
        <v>16839</v>
      </c>
      <c r="E1451">
        <v>0</v>
      </c>
      <c r="F1451">
        <v>257175</v>
      </c>
      <c r="G1451" s="259">
        <v>0</v>
      </c>
      <c r="H1451" s="259">
        <v>257175</v>
      </c>
      <c r="I1451" s="259">
        <v>0</v>
      </c>
      <c r="J1451" s="259">
        <v>0</v>
      </c>
      <c r="K1451" s="260">
        <v>0</v>
      </c>
      <c r="L1451" s="260">
        <v>0</v>
      </c>
      <c r="M1451" s="260">
        <v>0</v>
      </c>
      <c r="N1451" s="260">
        <v>0</v>
      </c>
      <c r="O1451" s="261">
        <v>0</v>
      </c>
      <c r="P1451" s="261">
        <v>257175</v>
      </c>
      <c r="Q1451" s="261">
        <v>0</v>
      </c>
      <c r="R1451" s="261">
        <v>0</v>
      </c>
      <c r="S1451">
        <v>257175</v>
      </c>
      <c r="T1451">
        <v>0</v>
      </c>
    </row>
    <row r="1452" spans="1:20">
      <c r="A1452" t="s">
        <v>19213</v>
      </c>
      <c r="B1452">
        <v>45272</v>
      </c>
      <c r="C1452" t="s">
        <v>16384</v>
      </c>
      <c r="D1452" t="s">
        <v>16385</v>
      </c>
      <c r="E1452">
        <v>0</v>
      </c>
      <c r="F1452">
        <v>76032</v>
      </c>
      <c r="G1452" s="259">
        <v>76032</v>
      </c>
      <c r="H1452" s="259">
        <v>0</v>
      </c>
      <c r="I1452" s="259">
        <v>0</v>
      </c>
      <c r="J1452" s="259">
        <v>0</v>
      </c>
      <c r="K1452" s="260">
        <v>0</v>
      </c>
      <c r="L1452" s="260">
        <v>0</v>
      </c>
      <c r="M1452" s="260">
        <v>0</v>
      </c>
      <c r="N1452" s="260">
        <v>0</v>
      </c>
      <c r="O1452" s="261">
        <v>76032</v>
      </c>
      <c r="P1452" s="261">
        <v>0</v>
      </c>
      <c r="Q1452" s="261">
        <v>0</v>
      </c>
      <c r="R1452" s="261">
        <v>0</v>
      </c>
      <c r="S1452">
        <v>76032</v>
      </c>
      <c r="T1452">
        <v>0</v>
      </c>
    </row>
    <row r="1453" spans="1:20">
      <c r="A1453" t="s">
        <v>19214</v>
      </c>
      <c r="B1453">
        <v>45272</v>
      </c>
      <c r="C1453" t="s">
        <v>16384</v>
      </c>
      <c r="D1453" t="s">
        <v>16385</v>
      </c>
      <c r="E1453">
        <v>0</v>
      </c>
      <c r="F1453">
        <v>79296</v>
      </c>
      <c r="G1453" s="259">
        <v>79296</v>
      </c>
      <c r="H1453" s="259">
        <v>0</v>
      </c>
      <c r="I1453" s="259">
        <v>0</v>
      </c>
      <c r="J1453" s="259">
        <v>0</v>
      </c>
      <c r="K1453" s="260">
        <v>0</v>
      </c>
      <c r="L1453" s="260">
        <v>0</v>
      </c>
      <c r="M1453" s="260">
        <v>0</v>
      </c>
      <c r="N1453" s="260">
        <v>0</v>
      </c>
      <c r="O1453" s="261">
        <v>79296</v>
      </c>
      <c r="P1453" s="261">
        <v>0</v>
      </c>
      <c r="Q1453" s="261">
        <v>0</v>
      </c>
      <c r="R1453" s="261">
        <v>0</v>
      </c>
      <c r="S1453">
        <v>79296</v>
      </c>
      <c r="T1453">
        <v>0</v>
      </c>
    </row>
    <row r="1454" spans="1:20">
      <c r="A1454" t="s">
        <v>19215</v>
      </c>
      <c r="B1454">
        <v>45272</v>
      </c>
      <c r="C1454" t="s">
        <v>16444</v>
      </c>
      <c r="D1454" t="s">
        <v>16445</v>
      </c>
      <c r="E1454">
        <v>0</v>
      </c>
      <c r="F1454">
        <v>87696</v>
      </c>
      <c r="G1454" s="259">
        <v>87696</v>
      </c>
      <c r="H1454" s="259">
        <v>0</v>
      </c>
      <c r="I1454" s="259">
        <v>0</v>
      </c>
      <c r="J1454" s="259">
        <v>0</v>
      </c>
      <c r="K1454" s="260">
        <v>0</v>
      </c>
      <c r="L1454" s="260">
        <v>0</v>
      </c>
      <c r="M1454" s="260">
        <v>0</v>
      </c>
      <c r="N1454" s="260">
        <v>0</v>
      </c>
      <c r="O1454" s="261">
        <v>87696</v>
      </c>
      <c r="P1454" s="261">
        <v>0</v>
      </c>
      <c r="Q1454" s="261">
        <v>0</v>
      </c>
      <c r="R1454" s="261">
        <v>0</v>
      </c>
      <c r="S1454">
        <v>87696</v>
      </c>
      <c r="T1454">
        <v>0</v>
      </c>
    </row>
    <row r="1455" spans="1:20">
      <c r="A1455" t="s">
        <v>19216</v>
      </c>
      <c r="B1455">
        <v>45272</v>
      </c>
      <c r="C1455" t="s">
        <v>17132</v>
      </c>
      <c r="D1455" t="s">
        <v>17133</v>
      </c>
      <c r="E1455">
        <v>0</v>
      </c>
      <c r="F1455">
        <v>173217.6</v>
      </c>
      <c r="G1455" s="259">
        <v>122760</v>
      </c>
      <c r="H1455" s="259">
        <v>0</v>
      </c>
      <c r="I1455" s="259">
        <v>50457.599999999999</v>
      </c>
      <c r="J1455" s="259">
        <v>0</v>
      </c>
      <c r="K1455" s="260">
        <v>0</v>
      </c>
      <c r="L1455" s="260">
        <v>0</v>
      </c>
      <c r="M1455" s="260">
        <v>0</v>
      </c>
      <c r="N1455" s="260">
        <v>0</v>
      </c>
      <c r="O1455" s="261">
        <v>122760</v>
      </c>
      <c r="P1455" s="261">
        <v>0</v>
      </c>
      <c r="Q1455" s="261">
        <v>50457.599999999999</v>
      </c>
      <c r="R1455" s="261">
        <v>0</v>
      </c>
      <c r="S1455">
        <v>173217.6</v>
      </c>
      <c r="T1455">
        <v>0</v>
      </c>
    </row>
    <row r="1456" spans="1:20">
      <c r="A1456" t="s">
        <v>19217</v>
      </c>
      <c r="B1456">
        <v>45273</v>
      </c>
      <c r="C1456" t="s">
        <v>17342</v>
      </c>
      <c r="D1456" t="s">
        <v>17343</v>
      </c>
      <c r="E1456">
        <v>0</v>
      </c>
      <c r="F1456">
        <v>83962.179000000004</v>
      </c>
      <c r="G1456" s="259">
        <v>0</v>
      </c>
      <c r="H1456" s="259">
        <v>53760.441959999996</v>
      </c>
      <c r="I1456" s="259">
        <v>18388.361999999994</v>
      </c>
      <c r="J1456" s="259">
        <v>0</v>
      </c>
      <c r="K1456" s="260">
        <v>0</v>
      </c>
      <c r="L1456" s="260">
        <v>8796.6806690500507</v>
      </c>
      <c r="M1456" s="260">
        <v>3016.6943309499488</v>
      </c>
      <c r="N1456" s="260">
        <v>0</v>
      </c>
      <c r="O1456" s="261">
        <v>0</v>
      </c>
      <c r="P1456" s="261">
        <v>62557.122629050049</v>
      </c>
      <c r="Q1456" s="261">
        <v>21405.056330949941</v>
      </c>
      <c r="R1456" s="261">
        <v>0</v>
      </c>
      <c r="S1456">
        <v>83962.17895999999</v>
      </c>
      <c r="T1456">
        <v>4.0000013541430235E-5</v>
      </c>
    </row>
    <row r="1457" spans="1:20">
      <c r="A1457" t="s">
        <v>19218</v>
      </c>
      <c r="B1457">
        <v>45273</v>
      </c>
      <c r="C1457" t="s">
        <v>16838</v>
      </c>
      <c r="D1457" t="s">
        <v>16839</v>
      </c>
      <c r="E1457">
        <v>0</v>
      </c>
      <c r="F1457">
        <v>135240</v>
      </c>
      <c r="G1457" s="259">
        <v>0</v>
      </c>
      <c r="H1457" s="259">
        <v>0</v>
      </c>
      <c r="I1457" s="259">
        <v>135240</v>
      </c>
      <c r="J1457" s="259">
        <v>0</v>
      </c>
      <c r="K1457" s="260">
        <v>0</v>
      </c>
      <c r="L1457" s="260">
        <v>0</v>
      </c>
      <c r="M1457" s="260">
        <v>0</v>
      </c>
      <c r="N1457" s="260">
        <v>0</v>
      </c>
      <c r="O1457" s="261">
        <v>0</v>
      </c>
      <c r="P1457" s="261">
        <v>0</v>
      </c>
      <c r="Q1457" s="261">
        <v>135240</v>
      </c>
      <c r="R1457" s="261">
        <v>0</v>
      </c>
      <c r="S1457">
        <v>135240</v>
      </c>
      <c r="T1457">
        <v>0</v>
      </c>
    </row>
    <row r="1458" spans="1:20">
      <c r="A1458" t="s">
        <v>19219</v>
      </c>
      <c r="B1458">
        <v>45275</v>
      </c>
      <c r="C1458" t="s">
        <v>17342</v>
      </c>
      <c r="D1458" t="s">
        <v>17343</v>
      </c>
      <c r="E1458">
        <v>0</v>
      </c>
      <c r="F1458">
        <v>93065.288</v>
      </c>
      <c r="G1458" s="259">
        <v>0</v>
      </c>
      <c r="H1458" s="259">
        <v>50129.053197599984</v>
      </c>
      <c r="I1458" s="259">
        <v>18446.110799999999</v>
      </c>
      <c r="J1458" s="259">
        <v>12639.648917999999</v>
      </c>
      <c r="K1458" s="260">
        <v>0</v>
      </c>
      <c r="L1458" s="260">
        <v>7834.3707846410689</v>
      </c>
      <c r="M1458" s="260">
        <v>2967.5646911519198</v>
      </c>
      <c r="N1458" s="260">
        <v>1048.5395242070117</v>
      </c>
      <c r="O1458" s="261">
        <v>0</v>
      </c>
      <c r="P1458" s="261">
        <v>57963.423982241053</v>
      </c>
      <c r="Q1458" s="261">
        <v>21413.675491151917</v>
      </c>
      <c r="R1458" s="261">
        <v>13688.188442207011</v>
      </c>
      <c r="S1458">
        <v>93065.287915599984</v>
      </c>
      <c r="T1458">
        <v>8.4400016930885613E-5</v>
      </c>
    </row>
    <row r="1459" spans="1:20">
      <c r="A1459" t="s">
        <v>19220</v>
      </c>
      <c r="B1459">
        <v>45278</v>
      </c>
      <c r="C1459" t="s">
        <v>16444</v>
      </c>
      <c r="D1459" t="s">
        <v>16445</v>
      </c>
      <c r="E1459">
        <v>0</v>
      </c>
      <c r="F1459">
        <v>87151.679999999993</v>
      </c>
      <c r="G1459" s="259">
        <v>87151.679999999993</v>
      </c>
      <c r="H1459" s="259">
        <v>0</v>
      </c>
      <c r="I1459" s="259">
        <v>0</v>
      </c>
      <c r="J1459" s="259">
        <v>0</v>
      </c>
      <c r="K1459" s="260">
        <v>0</v>
      </c>
      <c r="L1459" s="260">
        <v>0</v>
      </c>
      <c r="M1459" s="260">
        <v>0</v>
      </c>
      <c r="N1459" s="260">
        <v>0</v>
      </c>
      <c r="O1459" s="261">
        <v>87151.679999999993</v>
      </c>
      <c r="P1459" s="261">
        <v>0</v>
      </c>
      <c r="Q1459" s="261">
        <v>0</v>
      </c>
      <c r="R1459" s="261">
        <v>0</v>
      </c>
      <c r="S1459">
        <v>87151.679999999993</v>
      </c>
      <c r="T1459">
        <v>0</v>
      </c>
    </row>
    <row r="1460" spans="1:20">
      <c r="A1460" t="s">
        <v>19221</v>
      </c>
      <c r="B1460">
        <v>45278</v>
      </c>
      <c r="C1460" t="s">
        <v>17309</v>
      </c>
      <c r="D1460" t="s">
        <v>18704</v>
      </c>
      <c r="E1460">
        <v>0</v>
      </c>
      <c r="F1460">
        <v>168490</v>
      </c>
      <c r="G1460" s="259">
        <v>168490</v>
      </c>
      <c r="H1460" s="259">
        <v>0</v>
      </c>
      <c r="I1460" s="259">
        <v>0</v>
      </c>
      <c r="J1460" s="259">
        <v>0</v>
      </c>
      <c r="K1460" s="260">
        <v>0</v>
      </c>
      <c r="L1460" s="260">
        <v>0</v>
      </c>
      <c r="M1460" s="260">
        <v>0</v>
      </c>
      <c r="N1460" s="260">
        <v>0</v>
      </c>
      <c r="O1460" s="261">
        <v>168490</v>
      </c>
      <c r="P1460" s="261">
        <v>0</v>
      </c>
      <c r="Q1460" s="261">
        <v>0</v>
      </c>
      <c r="R1460" s="261">
        <v>0</v>
      </c>
      <c r="S1460">
        <v>168490</v>
      </c>
      <c r="T1460">
        <v>0</v>
      </c>
    </row>
    <row r="1461" spans="1:20">
      <c r="A1461" t="s">
        <v>19222</v>
      </c>
      <c r="B1461">
        <v>45280</v>
      </c>
      <c r="C1461" t="s">
        <v>16783</v>
      </c>
      <c r="D1461" t="s">
        <v>17509</v>
      </c>
      <c r="E1461">
        <v>0</v>
      </c>
      <c r="F1461">
        <v>1063472.4270000001</v>
      </c>
      <c r="G1461" s="259">
        <v>469128.9960000001</v>
      </c>
      <c r="H1461" s="259">
        <v>276139.75213440007</v>
      </c>
      <c r="I1461" s="259">
        <v>85610.829225600013</v>
      </c>
      <c r="J1461" s="259">
        <v>232592.84999999998</v>
      </c>
      <c r="K1461" s="260">
        <v>0</v>
      </c>
      <c r="L1461" s="260">
        <v>0</v>
      </c>
      <c r="M1461" s="260">
        <v>0</v>
      </c>
      <c r="N1461" s="260">
        <v>0</v>
      </c>
      <c r="O1461" s="261">
        <v>469128.9960000001</v>
      </c>
      <c r="P1461" s="261">
        <v>276139.75213440007</v>
      </c>
      <c r="Q1461" s="261">
        <v>85610.829225600013</v>
      </c>
      <c r="R1461" s="261">
        <v>232592.84999999998</v>
      </c>
      <c r="S1461">
        <v>1063472.4273600001</v>
      </c>
      <c r="T1461">
        <v>-3.5999994724988937E-4</v>
      </c>
    </row>
    <row r="1462" spans="1:20">
      <c r="A1462" t="s">
        <v>19223</v>
      </c>
      <c r="B1462">
        <v>45280</v>
      </c>
      <c r="C1462" t="s">
        <v>17342</v>
      </c>
      <c r="D1462" t="s">
        <v>17343</v>
      </c>
      <c r="E1462">
        <v>0</v>
      </c>
      <c r="F1462">
        <v>93999.73</v>
      </c>
      <c r="G1462" s="259">
        <v>0</v>
      </c>
      <c r="H1462" s="259">
        <v>63611.032240799999</v>
      </c>
      <c r="I1462" s="259">
        <v>11087.93304</v>
      </c>
      <c r="J1462" s="259">
        <v>6410.9744999999994</v>
      </c>
      <c r="K1462" s="260">
        <v>0</v>
      </c>
      <c r="L1462" s="260">
        <v>10406.127001959501</v>
      </c>
      <c r="M1462" s="260">
        <v>1894.3192357935986</v>
      </c>
      <c r="N1462" s="260">
        <v>589.34376224689731</v>
      </c>
      <c r="O1462" s="261">
        <v>0</v>
      </c>
      <c r="P1462" s="261">
        <v>74017.159242759502</v>
      </c>
      <c r="Q1462" s="261">
        <v>12982.252275793599</v>
      </c>
      <c r="R1462" s="261">
        <v>7000.3182622468967</v>
      </c>
      <c r="S1462">
        <v>93999.7297808</v>
      </c>
      <c r="T1462">
        <v>2.1919999562669545E-4</v>
      </c>
    </row>
    <row r="1463" spans="1:20">
      <c r="A1463" t="s">
        <v>19224</v>
      </c>
      <c r="B1463">
        <v>45280</v>
      </c>
      <c r="C1463" t="s">
        <v>17342</v>
      </c>
      <c r="D1463" t="s">
        <v>17343</v>
      </c>
      <c r="E1463">
        <v>0</v>
      </c>
      <c r="F1463">
        <v>170164.704</v>
      </c>
      <c r="G1463" s="259">
        <v>0</v>
      </c>
      <c r="H1463" s="259">
        <v>111993.59104079998</v>
      </c>
      <c r="I1463" s="259">
        <v>18493.508399999995</v>
      </c>
      <c r="J1463" s="259">
        <v>15915.755020999997</v>
      </c>
      <c r="K1463" s="260">
        <v>0</v>
      </c>
      <c r="L1463" s="260">
        <v>19042.420981071718</v>
      </c>
      <c r="M1463" s="260">
        <v>3167.4020261263668</v>
      </c>
      <c r="N1463" s="260">
        <v>1552.0269928019197</v>
      </c>
      <c r="O1463" s="261">
        <v>0</v>
      </c>
      <c r="P1463" s="261">
        <v>131036.01202187169</v>
      </c>
      <c r="Q1463" s="261">
        <v>21660.910426126364</v>
      </c>
      <c r="R1463" s="261">
        <v>17467.782013801916</v>
      </c>
      <c r="S1463">
        <v>170164.70446179996</v>
      </c>
      <c r="T1463">
        <v>-4.6179996570572257E-4</v>
      </c>
    </row>
    <row r="1464" spans="1:20">
      <c r="A1464" t="s">
        <v>19225</v>
      </c>
      <c r="B1464">
        <v>45281</v>
      </c>
      <c r="C1464" t="s">
        <v>17017</v>
      </c>
      <c r="D1464" t="s">
        <v>17430</v>
      </c>
      <c r="E1464">
        <v>0</v>
      </c>
      <c r="F1464">
        <v>246000</v>
      </c>
      <c r="G1464" s="259">
        <v>0</v>
      </c>
      <c r="H1464" s="259">
        <v>246000</v>
      </c>
      <c r="I1464" s="259">
        <v>0</v>
      </c>
      <c r="J1464" s="259">
        <v>0</v>
      </c>
      <c r="K1464" s="260">
        <v>0</v>
      </c>
      <c r="L1464" s="260">
        <v>0</v>
      </c>
      <c r="M1464" s="260">
        <v>0</v>
      </c>
      <c r="N1464" s="260">
        <v>0</v>
      </c>
      <c r="O1464" s="261">
        <v>0</v>
      </c>
      <c r="P1464" s="261">
        <v>246000</v>
      </c>
      <c r="Q1464" s="261">
        <v>0</v>
      </c>
      <c r="R1464" s="261">
        <v>0</v>
      </c>
      <c r="S1464">
        <v>246000</v>
      </c>
      <c r="T1464">
        <v>0</v>
      </c>
    </row>
    <row r="1465" spans="1:20">
      <c r="A1465" t="s">
        <v>19226</v>
      </c>
      <c r="B1465">
        <v>45281</v>
      </c>
      <c r="C1465" t="s">
        <v>17132</v>
      </c>
      <c r="D1465" t="s">
        <v>17133</v>
      </c>
      <c r="E1465">
        <v>0</v>
      </c>
      <c r="F1465">
        <v>122760</v>
      </c>
      <c r="G1465" s="259">
        <v>122760</v>
      </c>
      <c r="H1465" s="259">
        <v>0</v>
      </c>
      <c r="I1465" s="259">
        <v>0</v>
      </c>
      <c r="J1465" s="259">
        <v>0</v>
      </c>
      <c r="K1465" s="260">
        <v>0</v>
      </c>
      <c r="L1465" s="260">
        <v>0</v>
      </c>
      <c r="M1465" s="260">
        <v>0</v>
      </c>
      <c r="N1465" s="260">
        <v>0</v>
      </c>
      <c r="O1465" s="261">
        <v>122760</v>
      </c>
      <c r="P1465" s="261">
        <v>0</v>
      </c>
      <c r="Q1465" s="261">
        <v>0</v>
      </c>
      <c r="R1465" s="261">
        <v>0</v>
      </c>
      <c r="S1465">
        <v>122760</v>
      </c>
      <c r="T1465">
        <v>0</v>
      </c>
    </row>
    <row r="1466" spans="1:20">
      <c r="A1466" t="s">
        <v>19227</v>
      </c>
      <c r="B1466">
        <v>45282</v>
      </c>
      <c r="C1466" t="s">
        <v>17342</v>
      </c>
      <c r="D1466" t="s">
        <v>17343</v>
      </c>
      <c r="E1466">
        <v>0</v>
      </c>
      <c r="F1466">
        <v>61466.935999999994</v>
      </c>
      <c r="G1466" s="259">
        <v>0</v>
      </c>
      <c r="H1466" s="259">
        <v>44768.465968799988</v>
      </c>
      <c r="I1466" s="259">
        <v>7397.4033599999993</v>
      </c>
      <c r="J1466" s="259">
        <v>0</v>
      </c>
      <c r="K1466" s="260">
        <v>0</v>
      </c>
      <c r="L1466" s="260">
        <v>7974.2386119828825</v>
      </c>
      <c r="M1466" s="260">
        <v>1326.8283880171184</v>
      </c>
      <c r="N1466" s="260">
        <v>0</v>
      </c>
      <c r="O1466" s="261">
        <v>0</v>
      </c>
      <c r="P1466" s="261">
        <v>52742.704580782869</v>
      </c>
      <c r="Q1466" s="261">
        <v>8724.2317480171187</v>
      </c>
      <c r="R1466" s="261">
        <v>0</v>
      </c>
      <c r="S1466">
        <v>61466.936328799988</v>
      </c>
      <c r="T1466">
        <v>-3.2879999344004318E-4</v>
      </c>
    </row>
    <row r="1467" spans="1:20">
      <c r="A1467" t="s">
        <v>19228</v>
      </c>
      <c r="B1467">
        <v>45282</v>
      </c>
      <c r="C1467" t="s">
        <v>16444</v>
      </c>
      <c r="D1467" t="s">
        <v>16445</v>
      </c>
      <c r="E1467">
        <v>0</v>
      </c>
      <c r="F1467">
        <v>38976</v>
      </c>
      <c r="G1467" s="259">
        <v>38976</v>
      </c>
      <c r="H1467" s="259">
        <v>0</v>
      </c>
      <c r="I1467" s="259">
        <v>0</v>
      </c>
      <c r="J1467" s="259">
        <v>0</v>
      </c>
      <c r="K1467" s="260">
        <v>0</v>
      </c>
      <c r="L1467" s="260">
        <v>0</v>
      </c>
      <c r="M1467" s="260">
        <v>0</v>
      </c>
      <c r="N1467" s="260">
        <v>0</v>
      </c>
      <c r="O1467" s="261">
        <v>38976</v>
      </c>
      <c r="P1467" s="261">
        <v>0</v>
      </c>
      <c r="Q1467" s="261">
        <v>0</v>
      </c>
      <c r="R1467" s="261">
        <v>0</v>
      </c>
      <c r="S1467">
        <v>38976</v>
      </c>
      <c r="T1467">
        <v>0</v>
      </c>
    </row>
    <row r="1468" spans="1:20">
      <c r="A1468" t="s">
        <v>19229</v>
      </c>
      <c r="B1468">
        <v>45282</v>
      </c>
      <c r="C1468" t="s">
        <v>16444</v>
      </c>
      <c r="D1468" t="s">
        <v>16445</v>
      </c>
      <c r="E1468">
        <v>0</v>
      </c>
      <c r="F1468">
        <v>39744</v>
      </c>
      <c r="G1468" s="259">
        <v>0</v>
      </c>
      <c r="H1468" s="259">
        <v>39744</v>
      </c>
      <c r="I1468" s="259">
        <v>0</v>
      </c>
      <c r="J1468" s="259">
        <v>0</v>
      </c>
      <c r="K1468" s="260">
        <v>0</v>
      </c>
      <c r="L1468" s="260">
        <v>0</v>
      </c>
      <c r="M1468" s="260">
        <v>0</v>
      </c>
      <c r="N1468" s="260">
        <v>0</v>
      </c>
      <c r="O1468" s="261">
        <v>0</v>
      </c>
      <c r="P1468" s="261">
        <v>39744</v>
      </c>
      <c r="Q1468" s="261">
        <v>0</v>
      </c>
      <c r="R1468" s="261">
        <v>0</v>
      </c>
      <c r="S1468">
        <v>39744</v>
      </c>
      <c r="T1468">
        <v>0</v>
      </c>
    </row>
    <row r="1469" spans="1:20">
      <c r="A1469" t="s">
        <v>19230</v>
      </c>
      <c r="B1469">
        <v>45296</v>
      </c>
      <c r="C1469" t="s">
        <v>16838</v>
      </c>
      <c r="D1469" t="s">
        <v>16839</v>
      </c>
      <c r="E1469">
        <v>0</v>
      </c>
      <c r="F1469">
        <v>257175</v>
      </c>
      <c r="G1469" s="259">
        <v>0</v>
      </c>
      <c r="H1469" s="259">
        <v>257175</v>
      </c>
      <c r="I1469" s="259">
        <v>0</v>
      </c>
      <c r="J1469" s="259">
        <v>0</v>
      </c>
      <c r="K1469" s="260">
        <v>0</v>
      </c>
      <c r="L1469" s="260">
        <v>0</v>
      </c>
      <c r="M1469" s="260">
        <v>0</v>
      </c>
      <c r="N1469" s="260">
        <v>0</v>
      </c>
      <c r="O1469" s="261">
        <v>0</v>
      </c>
      <c r="P1469" s="261">
        <v>257175</v>
      </c>
      <c r="Q1469" s="261">
        <v>0</v>
      </c>
      <c r="R1469" s="261">
        <v>0</v>
      </c>
      <c r="S1469">
        <v>257175</v>
      </c>
      <c r="T1469">
        <v>0</v>
      </c>
    </row>
    <row r="1470" spans="1:20">
      <c r="A1470" t="s">
        <v>19231</v>
      </c>
      <c r="B1470">
        <v>45297</v>
      </c>
      <c r="C1470" t="s">
        <v>16700</v>
      </c>
      <c r="D1470" t="s">
        <v>16701</v>
      </c>
      <c r="E1470">
        <v>0</v>
      </c>
      <c r="F1470">
        <v>246593.92000000001</v>
      </c>
      <c r="G1470" s="259">
        <v>216118.11984</v>
      </c>
      <c r="H1470" s="259">
        <v>0</v>
      </c>
      <c r="I1470" s="259">
        <v>0</v>
      </c>
      <c r="J1470" s="259">
        <v>0</v>
      </c>
      <c r="K1470" s="260">
        <v>30475.8</v>
      </c>
      <c r="L1470" s="260">
        <v>0</v>
      </c>
      <c r="M1470" s="260">
        <v>0</v>
      </c>
      <c r="N1470" s="260">
        <v>0</v>
      </c>
      <c r="O1470" s="261">
        <v>246593.91983999999</v>
      </c>
      <c r="P1470" s="261">
        <v>0</v>
      </c>
      <c r="Q1470" s="261">
        <v>0</v>
      </c>
      <c r="R1470" s="261">
        <v>0</v>
      </c>
      <c r="S1470">
        <v>246593.91983999999</v>
      </c>
      <c r="T1470">
        <v>1.6000002506189048E-4</v>
      </c>
    </row>
    <row r="1471" spans="1:20">
      <c r="A1471" t="s">
        <v>19232</v>
      </c>
      <c r="B1471">
        <v>45297</v>
      </c>
      <c r="C1471" t="s">
        <v>16444</v>
      </c>
      <c r="D1471" t="s">
        <v>16445</v>
      </c>
      <c r="E1471">
        <v>0</v>
      </c>
      <c r="F1471">
        <v>105510.6</v>
      </c>
      <c r="G1471" s="259">
        <v>31351.32</v>
      </c>
      <c r="H1471" s="259">
        <v>73217.279999999999</v>
      </c>
      <c r="I1471" s="259">
        <v>942</v>
      </c>
      <c r="J1471" s="259">
        <v>0</v>
      </c>
      <c r="K1471" s="260">
        <v>0</v>
      </c>
      <c r="L1471" s="260">
        <v>0</v>
      </c>
      <c r="M1471" s="260">
        <v>0</v>
      </c>
      <c r="N1471" s="260">
        <v>0</v>
      </c>
      <c r="O1471" s="261">
        <v>31351.32</v>
      </c>
      <c r="P1471" s="261">
        <v>73217.279999999999</v>
      </c>
      <c r="Q1471" s="261">
        <v>942</v>
      </c>
      <c r="R1471" s="261">
        <v>0</v>
      </c>
      <c r="S1471">
        <v>105510.6</v>
      </c>
      <c r="T1471">
        <v>0</v>
      </c>
    </row>
    <row r="1472" spans="1:20">
      <c r="A1472" t="s">
        <v>19233</v>
      </c>
      <c r="B1472">
        <v>45321</v>
      </c>
      <c r="C1472" t="s">
        <v>16444</v>
      </c>
      <c r="D1472" t="s">
        <v>16445</v>
      </c>
      <c r="E1472">
        <v>0</v>
      </c>
      <c r="F1472">
        <v>105534.96</v>
      </c>
      <c r="G1472" s="259">
        <v>31375.68</v>
      </c>
      <c r="H1472" s="259">
        <v>73217.279999999999</v>
      </c>
      <c r="I1472" s="259">
        <v>942</v>
      </c>
      <c r="J1472" s="259">
        <v>0</v>
      </c>
      <c r="K1472" s="260">
        <v>0</v>
      </c>
      <c r="L1472" s="260">
        <v>0</v>
      </c>
      <c r="M1472" s="260">
        <v>0</v>
      </c>
      <c r="N1472" s="260">
        <v>0</v>
      </c>
      <c r="O1472" s="261">
        <v>31375.68</v>
      </c>
      <c r="P1472" s="261">
        <v>73217.279999999999</v>
      </c>
      <c r="Q1472" s="261">
        <v>942</v>
      </c>
      <c r="R1472" s="261">
        <v>0</v>
      </c>
      <c r="S1472">
        <v>105534.95999999999</v>
      </c>
      <c r="T1472">
        <v>0</v>
      </c>
    </row>
    <row r="1473" spans="1:20">
      <c r="A1473" t="s">
        <v>19234</v>
      </c>
      <c r="B1473">
        <v>45299</v>
      </c>
      <c r="C1473" t="s">
        <v>16643</v>
      </c>
      <c r="D1473" t="s">
        <v>16644</v>
      </c>
      <c r="E1473">
        <v>0</v>
      </c>
      <c r="F1473">
        <v>91470.716</v>
      </c>
      <c r="G1473" s="259">
        <v>0</v>
      </c>
      <c r="H1473" s="259">
        <v>79448.462999999989</v>
      </c>
      <c r="I1473" s="259">
        <v>0</v>
      </c>
      <c r="J1473" s="259">
        <v>0</v>
      </c>
      <c r="K1473" s="260">
        <v>0</v>
      </c>
      <c r="L1473" s="260">
        <v>12022.252500000001</v>
      </c>
      <c r="M1473" s="260">
        <v>0</v>
      </c>
      <c r="N1473" s="260">
        <v>0</v>
      </c>
      <c r="O1473" s="261">
        <v>0</v>
      </c>
      <c r="P1473" s="261">
        <v>91470.715499999991</v>
      </c>
      <c r="Q1473" s="261">
        <v>0</v>
      </c>
      <c r="R1473" s="261">
        <v>0</v>
      </c>
      <c r="S1473">
        <v>91470.715499999991</v>
      </c>
      <c r="T1473">
        <v>5.0000000919681042E-4</v>
      </c>
    </row>
    <row r="1474" spans="1:20">
      <c r="A1474" t="s">
        <v>19235</v>
      </c>
      <c r="B1474">
        <v>45299</v>
      </c>
      <c r="C1474" t="s">
        <v>17304</v>
      </c>
      <c r="D1474" t="s">
        <v>17305</v>
      </c>
      <c r="E1474">
        <v>0</v>
      </c>
      <c r="F1474">
        <v>22519.555</v>
      </c>
      <c r="G1474" s="259">
        <v>0</v>
      </c>
      <c r="H1474" s="259">
        <v>0</v>
      </c>
      <c r="I1474" s="259">
        <v>12007.958400000001</v>
      </c>
      <c r="J1474" s="259">
        <v>2056.9187999999999</v>
      </c>
      <c r="K1474" s="260">
        <v>0</v>
      </c>
      <c r="L1474" s="260">
        <v>0</v>
      </c>
      <c r="M1474" s="260">
        <v>7738.1794067796609</v>
      </c>
      <c r="N1474" s="260">
        <v>716.498093220339</v>
      </c>
      <c r="O1474" s="261">
        <v>0</v>
      </c>
      <c r="P1474" s="261">
        <v>0</v>
      </c>
      <c r="Q1474" s="261">
        <v>19746.137806779661</v>
      </c>
      <c r="R1474" s="261">
        <v>2773.4168932203388</v>
      </c>
      <c r="S1474">
        <v>22519.554700000001</v>
      </c>
      <c r="T1474">
        <v>2.9999999969732016E-4</v>
      </c>
    </row>
    <row r="1475" spans="1:20">
      <c r="A1475" t="s">
        <v>19236</v>
      </c>
      <c r="B1475">
        <v>45299</v>
      </c>
      <c r="C1475" t="s">
        <v>16783</v>
      </c>
      <c r="D1475" t="s">
        <v>17509</v>
      </c>
      <c r="E1475">
        <v>0</v>
      </c>
      <c r="F1475">
        <v>154435.29999999999</v>
      </c>
      <c r="G1475" s="259">
        <v>0</v>
      </c>
      <c r="H1475" s="259">
        <v>0</v>
      </c>
      <c r="I1475" s="259">
        <v>0</v>
      </c>
      <c r="J1475" s="259">
        <v>154435.29999999999</v>
      </c>
      <c r="K1475" s="260">
        <v>0</v>
      </c>
      <c r="L1475" s="260">
        <v>0</v>
      </c>
      <c r="M1475" s="260">
        <v>0</v>
      </c>
      <c r="N1475" s="260">
        <v>0</v>
      </c>
      <c r="O1475" s="261">
        <v>0</v>
      </c>
      <c r="P1475" s="261">
        <v>0</v>
      </c>
      <c r="Q1475" s="261">
        <v>0</v>
      </c>
      <c r="R1475" s="261">
        <v>154435.29999999999</v>
      </c>
      <c r="S1475">
        <v>154435.29999999999</v>
      </c>
      <c r="T1475">
        <v>0</v>
      </c>
    </row>
    <row r="1476" spans="1:20">
      <c r="A1476" t="s">
        <v>19237</v>
      </c>
      <c r="B1476">
        <v>45300</v>
      </c>
      <c r="C1476" t="s">
        <v>16444</v>
      </c>
      <c r="D1476" t="s">
        <v>16445</v>
      </c>
      <c r="E1476">
        <v>0</v>
      </c>
      <c r="F1476">
        <v>39425</v>
      </c>
      <c r="G1476" s="259">
        <v>39425</v>
      </c>
      <c r="H1476" s="259">
        <v>0</v>
      </c>
      <c r="I1476" s="259">
        <v>0</v>
      </c>
      <c r="J1476" s="259">
        <v>0</v>
      </c>
      <c r="K1476" s="260">
        <v>0</v>
      </c>
      <c r="L1476" s="260">
        <v>0</v>
      </c>
      <c r="M1476" s="260">
        <v>0</v>
      </c>
      <c r="N1476" s="260">
        <v>0</v>
      </c>
      <c r="O1476" s="261">
        <v>39425</v>
      </c>
      <c r="P1476" s="261">
        <v>0</v>
      </c>
      <c r="Q1476" s="261">
        <v>0</v>
      </c>
      <c r="R1476" s="261">
        <v>0</v>
      </c>
      <c r="S1476">
        <v>39425</v>
      </c>
      <c r="T1476">
        <v>0</v>
      </c>
    </row>
    <row r="1477" spans="1:20">
      <c r="A1477" t="s">
        <v>19238</v>
      </c>
      <c r="B1477">
        <v>45300</v>
      </c>
      <c r="C1477" t="s">
        <v>16838</v>
      </c>
      <c r="D1477" t="s">
        <v>16839</v>
      </c>
      <c r="E1477">
        <v>0</v>
      </c>
      <c r="F1477">
        <v>145927.20000000001</v>
      </c>
      <c r="G1477" s="259">
        <v>11880</v>
      </c>
      <c r="H1477" s="259">
        <v>39967.199999999997</v>
      </c>
      <c r="I1477" s="259">
        <v>94080</v>
      </c>
      <c r="J1477" s="259">
        <v>0</v>
      </c>
      <c r="K1477" s="260">
        <v>0</v>
      </c>
      <c r="L1477" s="260">
        <v>0</v>
      </c>
      <c r="M1477" s="260">
        <v>0</v>
      </c>
      <c r="N1477" s="260">
        <v>0</v>
      </c>
      <c r="O1477" s="261">
        <v>11880</v>
      </c>
      <c r="P1477" s="261">
        <v>39967.199999999997</v>
      </c>
      <c r="Q1477" s="261">
        <v>94080</v>
      </c>
      <c r="R1477" s="261">
        <v>0</v>
      </c>
      <c r="S1477">
        <v>145927.20000000001</v>
      </c>
      <c r="T1477">
        <v>0</v>
      </c>
    </row>
    <row r="1478" spans="1:20">
      <c r="A1478" t="s">
        <v>19239</v>
      </c>
      <c r="B1478">
        <v>45300</v>
      </c>
      <c r="C1478" t="s">
        <v>16904</v>
      </c>
      <c r="D1478" t="s">
        <v>16905</v>
      </c>
      <c r="E1478">
        <v>0</v>
      </c>
      <c r="F1478">
        <v>75384.702999999994</v>
      </c>
      <c r="G1478" s="259">
        <v>0</v>
      </c>
      <c r="H1478" s="259">
        <v>62166.237534000007</v>
      </c>
      <c r="I1478" s="259">
        <v>0</v>
      </c>
      <c r="J1478" s="259">
        <v>0</v>
      </c>
      <c r="K1478" s="260">
        <v>0</v>
      </c>
      <c r="L1478" s="260">
        <v>13218.465000000002</v>
      </c>
      <c r="M1478" s="260">
        <v>0</v>
      </c>
      <c r="N1478" s="260">
        <v>0</v>
      </c>
      <c r="O1478" s="261">
        <v>0</v>
      </c>
      <c r="P1478" s="261">
        <v>75384.702534000011</v>
      </c>
      <c r="Q1478" s="261">
        <v>0</v>
      </c>
      <c r="R1478" s="261">
        <v>0</v>
      </c>
      <c r="S1478">
        <v>75384.702534000011</v>
      </c>
      <c r="T1478">
        <v>4.659999831346795E-4</v>
      </c>
    </row>
    <row r="1479" spans="1:20">
      <c r="A1479" t="s">
        <v>19240</v>
      </c>
      <c r="B1479">
        <v>45300</v>
      </c>
      <c r="C1479" t="s">
        <v>17364</v>
      </c>
      <c r="D1479" t="s">
        <v>19241</v>
      </c>
      <c r="E1479">
        <v>0</v>
      </c>
      <c r="F1479">
        <v>57637.457000000002</v>
      </c>
      <c r="G1479" s="259">
        <v>0</v>
      </c>
      <c r="H1479" s="259">
        <v>57638.817976320002</v>
      </c>
      <c r="I1479" s="259">
        <v>0</v>
      </c>
      <c r="J1479" s="259">
        <v>0</v>
      </c>
      <c r="K1479" s="260">
        <v>0</v>
      </c>
      <c r="L1479" s="260">
        <v>0</v>
      </c>
      <c r="M1479" s="260">
        <v>0</v>
      </c>
      <c r="N1479" s="260">
        <v>0</v>
      </c>
      <c r="O1479" s="261">
        <v>0</v>
      </c>
      <c r="P1479" s="261">
        <v>57638.817976320002</v>
      </c>
      <c r="Q1479" s="261">
        <v>0</v>
      </c>
      <c r="R1479" s="261">
        <v>0</v>
      </c>
      <c r="S1479">
        <v>57638.817976320002</v>
      </c>
      <c r="T1479">
        <v>-1.3609763200001908</v>
      </c>
    </row>
    <row r="1480" spans="1:20">
      <c r="A1480" t="s">
        <v>19242</v>
      </c>
      <c r="B1480">
        <v>45301</v>
      </c>
      <c r="C1480" t="s">
        <v>17342</v>
      </c>
      <c r="D1480" t="s">
        <v>17343</v>
      </c>
      <c r="E1480">
        <v>0</v>
      </c>
      <c r="F1480">
        <v>82512.919000000009</v>
      </c>
      <c r="G1480" s="259">
        <v>0</v>
      </c>
      <c r="H1480" s="259">
        <v>53241.439137599999</v>
      </c>
      <c r="I1480" s="259">
        <v>11081.558879999999</v>
      </c>
      <c r="J1480" s="259">
        <v>9240.0565599999991</v>
      </c>
      <c r="K1480" s="260">
        <v>0</v>
      </c>
      <c r="L1480" s="260">
        <v>7102.2713617914615</v>
      </c>
      <c r="M1480" s="260">
        <v>1409.1808257522741</v>
      </c>
      <c r="N1480" s="260">
        <v>438.41181245626308</v>
      </c>
      <c r="O1480" s="261">
        <v>0</v>
      </c>
      <c r="P1480" s="261">
        <v>60343.710499391462</v>
      </c>
      <c r="Q1480" s="261">
        <v>12490.739705752272</v>
      </c>
      <c r="R1480" s="261">
        <v>9678.4683724562619</v>
      </c>
      <c r="S1480">
        <v>82512.918577599994</v>
      </c>
      <c r="T1480">
        <v>4.2240001494064927E-4</v>
      </c>
    </row>
    <row r="1481" spans="1:20">
      <c r="A1481" t="s">
        <v>19243</v>
      </c>
      <c r="B1481">
        <v>45301</v>
      </c>
      <c r="C1481" t="s">
        <v>16880</v>
      </c>
      <c r="D1481" t="s">
        <v>16881</v>
      </c>
      <c r="E1481">
        <v>0</v>
      </c>
      <c r="F1481">
        <v>96192.656999999992</v>
      </c>
      <c r="G1481" s="259">
        <v>8635.8481900000006</v>
      </c>
      <c r="H1481" s="259">
        <v>87556.808650000006</v>
      </c>
      <c r="I1481" s="259">
        <v>0</v>
      </c>
      <c r="J1481" s="259">
        <v>0</v>
      </c>
      <c r="K1481" s="260">
        <v>0</v>
      </c>
      <c r="L1481" s="260">
        <v>0</v>
      </c>
      <c r="M1481" s="260">
        <v>0</v>
      </c>
      <c r="N1481" s="260">
        <v>0</v>
      </c>
      <c r="O1481" s="261">
        <v>8635.8481900000006</v>
      </c>
      <c r="P1481" s="261">
        <v>87556.808650000006</v>
      </c>
      <c r="Q1481" s="261">
        <v>0</v>
      </c>
      <c r="R1481" s="261">
        <v>0</v>
      </c>
      <c r="S1481">
        <v>96192.656840000011</v>
      </c>
      <c r="T1481">
        <v>1.599999814061448E-4</v>
      </c>
    </row>
    <row r="1482" spans="1:20">
      <c r="A1482" t="s">
        <v>19244</v>
      </c>
      <c r="B1482">
        <v>45302</v>
      </c>
      <c r="C1482" t="s">
        <v>16444</v>
      </c>
      <c r="D1482" t="s">
        <v>16445</v>
      </c>
      <c r="E1482">
        <v>0</v>
      </c>
      <c r="F1482">
        <v>38976</v>
      </c>
      <c r="G1482" s="259">
        <v>38976</v>
      </c>
      <c r="H1482" s="259">
        <v>0</v>
      </c>
      <c r="I1482" s="259">
        <v>0</v>
      </c>
      <c r="J1482" s="259">
        <v>0</v>
      </c>
      <c r="K1482" s="260">
        <v>0</v>
      </c>
      <c r="L1482" s="260">
        <v>0</v>
      </c>
      <c r="M1482" s="260">
        <v>0</v>
      </c>
      <c r="N1482" s="260">
        <v>0</v>
      </c>
      <c r="O1482" s="261">
        <v>38976</v>
      </c>
      <c r="P1482" s="261">
        <v>0</v>
      </c>
      <c r="Q1482" s="261">
        <v>0</v>
      </c>
      <c r="R1482" s="261">
        <v>0</v>
      </c>
      <c r="S1482">
        <v>38976</v>
      </c>
      <c r="T1482">
        <v>0</v>
      </c>
    </row>
    <row r="1483" spans="1:20">
      <c r="A1483" t="s">
        <v>19245</v>
      </c>
      <c r="B1483">
        <v>45302</v>
      </c>
      <c r="C1483" t="s">
        <v>16444</v>
      </c>
      <c r="D1483" t="s">
        <v>16445</v>
      </c>
      <c r="E1483">
        <v>0</v>
      </c>
      <c r="F1483">
        <v>46368</v>
      </c>
      <c r="G1483" s="259">
        <v>0</v>
      </c>
      <c r="H1483" s="259">
        <v>46368</v>
      </c>
      <c r="I1483" s="259">
        <v>0</v>
      </c>
      <c r="J1483" s="259">
        <v>0</v>
      </c>
      <c r="K1483" s="260">
        <v>0</v>
      </c>
      <c r="L1483" s="260">
        <v>0</v>
      </c>
      <c r="M1483" s="260">
        <v>0</v>
      </c>
      <c r="N1483" s="260">
        <v>0</v>
      </c>
      <c r="O1483" s="261">
        <v>0</v>
      </c>
      <c r="P1483" s="261">
        <v>46368</v>
      </c>
      <c r="Q1483" s="261">
        <v>0</v>
      </c>
      <c r="R1483" s="261">
        <v>0</v>
      </c>
      <c r="S1483">
        <v>46368</v>
      </c>
      <c r="T1483">
        <v>0</v>
      </c>
    </row>
    <row r="1484" spans="1:20">
      <c r="A1484" t="s">
        <v>19246</v>
      </c>
      <c r="B1484">
        <v>45302</v>
      </c>
      <c r="C1484" t="s">
        <v>16444</v>
      </c>
      <c r="D1484" t="s">
        <v>16445</v>
      </c>
      <c r="E1484">
        <v>0</v>
      </c>
      <c r="F1484">
        <v>110128.8</v>
      </c>
      <c r="G1484" s="259">
        <v>72592.800000000003</v>
      </c>
      <c r="H1484" s="259">
        <v>37536</v>
      </c>
      <c r="I1484" s="259">
        <v>0</v>
      </c>
      <c r="J1484" s="259">
        <v>0</v>
      </c>
      <c r="K1484" s="260">
        <v>0</v>
      </c>
      <c r="L1484" s="260">
        <v>0</v>
      </c>
      <c r="M1484" s="260">
        <v>0</v>
      </c>
      <c r="N1484" s="260">
        <v>0</v>
      </c>
      <c r="O1484" s="261">
        <v>72592.800000000003</v>
      </c>
      <c r="P1484" s="261">
        <v>37536</v>
      </c>
      <c r="Q1484" s="261">
        <v>0</v>
      </c>
      <c r="R1484" s="261">
        <v>0</v>
      </c>
      <c r="S1484">
        <v>110128.8</v>
      </c>
      <c r="T1484">
        <v>0</v>
      </c>
    </row>
    <row r="1485" spans="1:20">
      <c r="A1485" t="s">
        <v>19247</v>
      </c>
      <c r="B1485">
        <v>45302</v>
      </c>
      <c r="C1485" t="s">
        <v>17367</v>
      </c>
      <c r="D1485" t="s">
        <v>19248</v>
      </c>
      <c r="E1485">
        <v>0</v>
      </c>
      <c r="F1485">
        <v>22494.68</v>
      </c>
      <c r="G1485" s="259">
        <v>16964.22</v>
      </c>
      <c r="H1485" s="259">
        <v>0</v>
      </c>
      <c r="I1485" s="259">
        <v>0</v>
      </c>
      <c r="J1485" s="259">
        <v>0</v>
      </c>
      <c r="K1485" s="260">
        <v>5530.46</v>
      </c>
      <c r="L1485" s="260">
        <v>0</v>
      </c>
      <c r="M1485" s="260">
        <v>0</v>
      </c>
      <c r="N1485" s="260">
        <v>0</v>
      </c>
      <c r="O1485" s="261">
        <v>22494.68</v>
      </c>
      <c r="P1485" s="261">
        <v>0</v>
      </c>
      <c r="Q1485" s="261">
        <v>0</v>
      </c>
      <c r="R1485" s="261">
        <v>0</v>
      </c>
      <c r="S1485">
        <v>22494.68</v>
      </c>
      <c r="T1485">
        <v>0</v>
      </c>
    </row>
    <row r="1486" spans="1:20">
      <c r="A1486" t="s">
        <v>19249</v>
      </c>
      <c r="B1486">
        <v>45304</v>
      </c>
      <c r="C1486" t="s">
        <v>17017</v>
      </c>
      <c r="D1486" t="s">
        <v>17430</v>
      </c>
      <c r="E1486">
        <v>0</v>
      </c>
      <c r="F1486">
        <v>19600</v>
      </c>
      <c r="G1486" s="259">
        <v>0</v>
      </c>
      <c r="H1486" s="259">
        <v>19600</v>
      </c>
      <c r="I1486" s="259">
        <v>0</v>
      </c>
      <c r="J1486" s="259">
        <v>0</v>
      </c>
      <c r="K1486" s="260">
        <v>0</v>
      </c>
      <c r="L1486" s="260">
        <v>0</v>
      </c>
      <c r="M1486" s="260">
        <v>0</v>
      </c>
      <c r="N1486" s="260">
        <v>0</v>
      </c>
      <c r="O1486" s="261">
        <v>0</v>
      </c>
      <c r="P1486" s="261">
        <v>19600</v>
      </c>
      <c r="Q1486" s="261">
        <v>0</v>
      </c>
      <c r="R1486" s="261">
        <v>0</v>
      </c>
      <c r="S1486">
        <v>19600</v>
      </c>
      <c r="T1486">
        <v>0</v>
      </c>
    </row>
    <row r="1487" spans="1:20">
      <c r="A1487" t="s">
        <v>19250</v>
      </c>
      <c r="B1487">
        <v>45383</v>
      </c>
      <c r="C1487" t="s">
        <v>17017</v>
      </c>
      <c r="D1487" t="s">
        <v>17430</v>
      </c>
      <c r="E1487">
        <v>0</v>
      </c>
      <c r="F1487">
        <v>51613.599999999999</v>
      </c>
      <c r="G1487" s="259">
        <v>9984</v>
      </c>
      <c r="H1487" s="259">
        <v>12432</v>
      </c>
      <c r="I1487" s="259">
        <v>15120</v>
      </c>
      <c r="J1487" s="259">
        <v>14077.6</v>
      </c>
      <c r="K1487" s="260">
        <v>0</v>
      </c>
      <c r="L1487" s="260">
        <v>0</v>
      </c>
      <c r="M1487" s="260">
        <v>0</v>
      </c>
      <c r="N1487" s="260">
        <v>0</v>
      </c>
      <c r="O1487" s="261">
        <v>9984</v>
      </c>
      <c r="P1487" s="261">
        <v>12432</v>
      </c>
      <c r="Q1487" s="261">
        <v>15120</v>
      </c>
      <c r="R1487" s="261">
        <v>14077.6</v>
      </c>
      <c r="S1487">
        <v>51613.599999999999</v>
      </c>
      <c r="T1487">
        <v>0</v>
      </c>
    </row>
    <row r="1488" spans="1:20">
      <c r="A1488" t="s">
        <v>19251</v>
      </c>
      <c r="B1488">
        <v>45304</v>
      </c>
      <c r="C1488" t="s">
        <v>17017</v>
      </c>
      <c r="D1488" t="s">
        <v>17430</v>
      </c>
      <c r="E1488">
        <v>0</v>
      </c>
      <c r="F1488">
        <v>57475</v>
      </c>
      <c r="G1488" s="259">
        <v>54450</v>
      </c>
      <c r="H1488" s="259">
        <v>3025</v>
      </c>
      <c r="I1488" s="259">
        <v>0</v>
      </c>
      <c r="J1488" s="259">
        <v>0</v>
      </c>
      <c r="K1488" s="260">
        <v>0</v>
      </c>
      <c r="L1488" s="260">
        <v>0</v>
      </c>
      <c r="M1488" s="260">
        <v>0</v>
      </c>
      <c r="N1488" s="260">
        <v>0</v>
      </c>
      <c r="O1488" s="261">
        <v>54450</v>
      </c>
      <c r="P1488" s="261">
        <v>3025</v>
      </c>
      <c r="Q1488" s="261">
        <v>0</v>
      </c>
      <c r="R1488" s="261">
        <v>0</v>
      </c>
      <c r="S1488">
        <v>57475</v>
      </c>
      <c r="T1488">
        <v>0</v>
      </c>
    </row>
    <row r="1489" spans="1:21">
      <c r="A1489" t="s">
        <v>19252</v>
      </c>
      <c r="B1489">
        <v>45304</v>
      </c>
      <c r="C1489" t="s">
        <v>16560</v>
      </c>
      <c r="D1489" t="s">
        <v>16561</v>
      </c>
      <c r="E1489">
        <v>0</v>
      </c>
      <c r="F1489">
        <v>296070.71999999997</v>
      </c>
      <c r="G1489" s="259">
        <v>0</v>
      </c>
      <c r="H1489" s="259">
        <v>0</v>
      </c>
      <c r="I1489" s="259">
        <v>296070.71999999997</v>
      </c>
      <c r="J1489" s="259">
        <v>0</v>
      </c>
      <c r="K1489" s="260">
        <v>0</v>
      </c>
      <c r="L1489" s="260">
        <v>0</v>
      </c>
      <c r="M1489" s="260">
        <v>0</v>
      </c>
      <c r="N1489" s="260">
        <v>0</v>
      </c>
      <c r="O1489" s="261">
        <v>0</v>
      </c>
      <c r="P1489" s="261">
        <v>0</v>
      </c>
      <c r="Q1489" s="261">
        <v>296070.71999999997</v>
      </c>
      <c r="R1489" s="261">
        <v>0</v>
      </c>
      <c r="S1489">
        <v>296070.71999999997</v>
      </c>
      <c r="T1489">
        <v>0</v>
      </c>
    </row>
    <row r="1490" spans="1:21">
      <c r="A1490" t="s">
        <v>19253</v>
      </c>
      <c r="B1490">
        <v>45304</v>
      </c>
      <c r="C1490" t="s">
        <v>16560</v>
      </c>
      <c r="D1490" t="s">
        <v>16561</v>
      </c>
      <c r="E1490">
        <v>0</v>
      </c>
      <c r="F1490">
        <v>295174.35800000001</v>
      </c>
      <c r="G1490" s="259">
        <v>0</v>
      </c>
      <c r="H1490" s="259">
        <v>0</v>
      </c>
      <c r="I1490" s="259">
        <v>295174.35750000004</v>
      </c>
      <c r="J1490" s="259">
        <v>0</v>
      </c>
      <c r="K1490" s="260">
        <v>0</v>
      </c>
      <c r="L1490" s="260">
        <v>0</v>
      </c>
      <c r="M1490" s="260">
        <v>0</v>
      </c>
      <c r="N1490" s="260">
        <v>0</v>
      </c>
      <c r="O1490" s="261">
        <v>0</v>
      </c>
      <c r="P1490" s="261">
        <v>0</v>
      </c>
      <c r="Q1490" s="261">
        <v>295174.35750000004</v>
      </c>
      <c r="R1490" s="261">
        <v>0</v>
      </c>
      <c r="S1490">
        <v>295174.35750000004</v>
      </c>
      <c r="T1490">
        <v>4.9999996554106474E-4</v>
      </c>
    </row>
    <row r="1491" spans="1:21">
      <c r="A1491" t="s">
        <v>19254</v>
      </c>
      <c r="B1491">
        <v>45304</v>
      </c>
      <c r="C1491" t="s">
        <v>17362</v>
      </c>
      <c r="E1491">
        <v>0</v>
      </c>
      <c r="F1491">
        <v>50301.398000000001</v>
      </c>
      <c r="G1491" s="259">
        <v>0</v>
      </c>
      <c r="H1491" s="259">
        <v>0</v>
      </c>
      <c r="I1491" s="259">
        <v>44457.112000000001</v>
      </c>
      <c r="J1491" s="259">
        <v>0</v>
      </c>
      <c r="K1491" s="260">
        <v>0</v>
      </c>
      <c r="L1491" s="260">
        <v>0</v>
      </c>
      <c r="M1491" s="260">
        <v>5844.2860000000001</v>
      </c>
      <c r="N1491" s="260">
        <v>0</v>
      </c>
      <c r="O1491" s="261">
        <v>0</v>
      </c>
      <c r="P1491" s="261">
        <v>0</v>
      </c>
      <c r="Q1491" s="261">
        <v>50301.398000000001</v>
      </c>
      <c r="R1491" s="261">
        <v>0</v>
      </c>
      <c r="S1491">
        <v>50301.398000000001</v>
      </c>
      <c r="T1491">
        <v>0</v>
      </c>
    </row>
    <row r="1492" spans="1:21">
      <c r="A1492" t="s">
        <v>19255</v>
      </c>
      <c r="B1492">
        <v>45307</v>
      </c>
      <c r="C1492" t="s">
        <v>16838</v>
      </c>
      <c r="D1492" t="s">
        <v>16839</v>
      </c>
      <c r="E1492">
        <v>0</v>
      </c>
      <c r="F1492">
        <v>43575.839999999997</v>
      </c>
      <c r="G1492" s="259">
        <v>43575.839999999997</v>
      </c>
      <c r="H1492" s="259">
        <v>0</v>
      </c>
      <c r="I1492" s="259">
        <v>0</v>
      </c>
      <c r="J1492" s="259">
        <v>0</v>
      </c>
      <c r="K1492" s="260">
        <v>0</v>
      </c>
      <c r="L1492" s="260">
        <v>0</v>
      </c>
      <c r="M1492" s="260">
        <v>0</v>
      </c>
      <c r="N1492" s="260">
        <v>0</v>
      </c>
      <c r="O1492" s="261">
        <v>43575.839999999997</v>
      </c>
      <c r="P1492" s="261">
        <v>0</v>
      </c>
      <c r="Q1492" s="261">
        <v>0</v>
      </c>
      <c r="R1492" s="261">
        <v>0</v>
      </c>
      <c r="S1492">
        <v>43575.839999999997</v>
      </c>
      <c r="T1492">
        <v>0</v>
      </c>
    </row>
    <row r="1493" spans="1:21">
      <c r="A1493" t="s">
        <v>19256</v>
      </c>
      <c r="B1493">
        <v>45307</v>
      </c>
      <c r="C1493" t="s">
        <v>16904</v>
      </c>
      <c r="D1493" t="s">
        <v>16905</v>
      </c>
      <c r="E1493">
        <v>0</v>
      </c>
      <c r="F1493">
        <v>83122.952000000005</v>
      </c>
      <c r="G1493" s="259">
        <v>0</v>
      </c>
      <c r="H1493" s="259">
        <v>54798.871679999997</v>
      </c>
      <c r="I1493" s="259">
        <v>15126.48</v>
      </c>
      <c r="J1493" s="259">
        <v>0</v>
      </c>
      <c r="K1493" s="260">
        <v>0</v>
      </c>
      <c r="L1493" s="260">
        <v>10282.935689045937</v>
      </c>
      <c r="M1493" s="260">
        <v>2914.6643109540637</v>
      </c>
      <c r="N1493" s="260">
        <v>0</v>
      </c>
      <c r="O1493" s="261">
        <v>0</v>
      </c>
      <c r="P1493" s="261">
        <v>65081.807369045935</v>
      </c>
      <c r="Q1493" s="261">
        <v>18041.144310954063</v>
      </c>
      <c r="R1493" s="261">
        <v>0</v>
      </c>
      <c r="S1493">
        <v>83122.951679999998</v>
      </c>
      <c r="T1493">
        <v>3.2000000646803528E-4</v>
      </c>
    </row>
    <row r="1494" spans="1:21">
      <c r="A1494" t="s">
        <v>19257</v>
      </c>
      <c r="B1494">
        <v>45307</v>
      </c>
      <c r="C1494" t="s">
        <v>16904</v>
      </c>
      <c r="D1494" t="s">
        <v>16905</v>
      </c>
      <c r="E1494">
        <v>0</v>
      </c>
      <c r="F1494">
        <v>85056.645999999993</v>
      </c>
      <c r="G1494" s="259">
        <v>0</v>
      </c>
      <c r="H1494" s="259">
        <v>55956.047400000003</v>
      </c>
      <c r="I1494" s="259">
        <v>15893.833725</v>
      </c>
      <c r="J1494" s="259">
        <v>0</v>
      </c>
      <c r="K1494" s="260">
        <v>0</v>
      </c>
      <c r="L1494" s="260">
        <v>10224.592258064516</v>
      </c>
      <c r="M1494" s="260">
        <v>2982.1727419354838</v>
      </c>
      <c r="N1494" s="260">
        <v>0</v>
      </c>
      <c r="O1494" s="261">
        <v>0</v>
      </c>
      <c r="P1494" s="261">
        <v>66180.639658064523</v>
      </c>
      <c r="Q1494" s="261">
        <v>18876.006466935483</v>
      </c>
      <c r="R1494" s="261">
        <v>0</v>
      </c>
      <c r="S1494">
        <v>85056.646124999999</v>
      </c>
      <c r="T1494">
        <v>-1.2500000593718141E-4</v>
      </c>
    </row>
    <row r="1495" spans="1:21">
      <c r="A1495" t="s">
        <v>19258</v>
      </c>
      <c r="B1495">
        <v>45323</v>
      </c>
      <c r="C1495" t="s">
        <v>16957</v>
      </c>
      <c r="D1495" t="s">
        <v>17451</v>
      </c>
      <c r="E1495">
        <v>0</v>
      </c>
      <c r="F1495">
        <v>109274.075</v>
      </c>
      <c r="G1495" s="259">
        <v>109274.07465</v>
      </c>
      <c r="H1495" s="259">
        <v>0</v>
      </c>
      <c r="I1495" s="259">
        <v>0</v>
      </c>
      <c r="J1495" s="259">
        <v>0</v>
      </c>
      <c r="K1495" s="260">
        <v>0</v>
      </c>
      <c r="L1495" s="260">
        <v>0</v>
      </c>
      <c r="M1495" s="260">
        <v>0</v>
      </c>
      <c r="N1495" s="260">
        <v>0</v>
      </c>
      <c r="O1495" s="261">
        <v>109274.07465</v>
      </c>
      <c r="P1495" s="261">
        <v>0</v>
      </c>
      <c r="Q1495" s="261">
        <v>0</v>
      </c>
      <c r="R1495" s="261">
        <v>0</v>
      </c>
      <c r="S1495">
        <v>109274.07465</v>
      </c>
      <c r="T1495">
        <v>3.5000000207219273E-4</v>
      </c>
    </row>
    <row r="1496" spans="1:21">
      <c r="A1496" t="s">
        <v>19259</v>
      </c>
      <c r="B1496">
        <v>45323</v>
      </c>
      <c r="C1496" t="s">
        <v>16957</v>
      </c>
      <c r="D1496" t="s">
        <v>17451</v>
      </c>
      <c r="E1496">
        <v>0</v>
      </c>
      <c r="F1496">
        <v>99659.36099999999</v>
      </c>
      <c r="G1496" s="259">
        <v>99659.361099999995</v>
      </c>
      <c r="H1496" s="259">
        <v>0</v>
      </c>
      <c r="I1496" s="259">
        <v>0</v>
      </c>
      <c r="J1496" s="259">
        <v>0</v>
      </c>
      <c r="K1496" s="260">
        <v>0</v>
      </c>
      <c r="L1496" s="260">
        <v>0</v>
      </c>
      <c r="M1496" s="260">
        <v>0</v>
      </c>
      <c r="N1496" s="260">
        <v>0</v>
      </c>
      <c r="O1496" s="261">
        <v>99659.361099999995</v>
      </c>
      <c r="P1496" s="261">
        <v>0</v>
      </c>
      <c r="Q1496" s="261">
        <v>0</v>
      </c>
      <c r="R1496" s="261">
        <v>0</v>
      </c>
      <c r="S1496">
        <v>99659.361099999995</v>
      </c>
      <c r="T1496">
        <v>-1.0000000474974513E-4</v>
      </c>
    </row>
    <row r="1497" spans="1:21">
      <c r="A1497" t="s">
        <v>19260</v>
      </c>
      <c r="B1497">
        <v>45310</v>
      </c>
      <c r="C1497" t="s">
        <v>16838</v>
      </c>
      <c r="D1497" t="s">
        <v>16839</v>
      </c>
      <c r="E1497">
        <v>0</v>
      </c>
      <c r="F1497">
        <v>258300</v>
      </c>
      <c r="G1497" s="259">
        <v>0</v>
      </c>
      <c r="H1497" s="259">
        <v>258300</v>
      </c>
      <c r="I1497" s="259">
        <v>0</v>
      </c>
      <c r="J1497" s="259">
        <v>0</v>
      </c>
      <c r="K1497" s="260">
        <v>0</v>
      </c>
      <c r="L1497" s="260">
        <v>0</v>
      </c>
      <c r="M1497" s="260">
        <v>0</v>
      </c>
      <c r="N1497" s="260">
        <v>0</v>
      </c>
      <c r="O1497" s="261">
        <v>0</v>
      </c>
      <c r="P1497" s="261">
        <v>258300</v>
      </c>
      <c r="Q1497" s="261">
        <v>0</v>
      </c>
      <c r="R1497" s="261">
        <v>0</v>
      </c>
      <c r="S1497">
        <v>258300</v>
      </c>
      <c r="T1497">
        <v>0</v>
      </c>
    </row>
    <row r="1498" spans="1:21">
      <c r="A1498" t="s">
        <v>19261</v>
      </c>
      <c r="B1498">
        <v>45314</v>
      </c>
      <c r="C1498" t="s">
        <v>17342</v>
      </c>
      <c r="D1498" t="s">
        <v>17343</v>
      </c>
      <c r="E1498">
        <v>0</v>
      </c>
      <c r="F1498">
        <v>89781.276999999987</v>
      </c>
      <c r="G1498" s="259">
        <v>0</v>
      </c>
      <c r="H1498" s="259">
        <v>56813.726515199996</v>
      </c>
      <c r="I1498" s="259">
        <v>3688.9497599999995</v>
      </c>
      <c r="J1498" s="259">
        <v>17429.001088000001</v>
      </c>
      <c r="K1498" s="260">
        <v>0</v>
      </c>
      <c r="L1498" s="260">
        <v>10125.316893404512</v>
      </c>
      <c r="M1498" s="260">
        <v>612.17151713449289</v>
      </c>
      <c r="N1498" s="260">
        <v>1112.1115894609954</v>
      </c>
      <c r="O1498" s="261">
        <v>0</v>
      </c>
      <c r="P1498" s="261">
        <v>66939.043408604513</v>
      </c>
      <c r="Q1498" s="261">
        <v>4301.1212771344926</v>
      </c>
      <c r="R1498" s="261">
        <v>18541.112677460995</v>
      </c>
      <c r="S1498">
        <v>89781.277363200003</v>
      </c>
      <c r="T1498">
        <v>-3.6320001527201384E-4</v>
      </c>
    </row>
    <row r="1499" spans="1:21">
      <c r="A1499" t="s">
        <v>19262</v>
      </c>
      <c r="B1499">
        <v>45314</v>
      </c>
      <c r="C1499" t="s">
        <v>17248</v>
      </c>
      <c r="D1499" t="s">
        <v>18158</v>
      </c>
      <c r="E1499">
        <v>0</v>
      </c>
      <c r="F1499">
        <v>74141.34</v>
      </c>
      <c r="G1499" s="259">
        <v>0</v>
      </c>
      <c r="H1499" s="259">
        <v>56314.877640000013</v>
      </c>
      <c r="I1499" s="259">
        <v>2909.0879999999997</v>
      </c>
      <c r="J1499" s="259">
        <v>0</v>
      </c>
      <c r="K1499" s="260">
        <v>0</v>
      </c>
      <c r="L1499" s="260">
        <v>14155.895527728086</v>
      </c>
      <c r="M1499" s="260">
        <v>762.5044722719141</v>
      </c>
      <c r="N1499" s="260">
        <v>0</v>
      </c>
      <c r="O1499" s="261">
        <v>0</v>
      </c>
      <c r="P1499" s="261">
        <v>70470.773167728097</v>
      </c>
      <c r="Q1499" s="261">
        <v>3671.5924722719137</v>
      </c>
      <c r="R1499" s="261">
        <v>0</v>
      </c>
      <c r="S1499">
        <v>74142.365640000004</v>
      </c>
      <c r="T1499">
        <v>-1.0256400000071153</v>
      </c>
    </row>
    <row r="1500" spans="1:21">
      <c r="A1500" t="s">
        <v>19263</v>
      </c>
      <c r="B1500">
        <v>45383</v>
      </c>
      <c r="C1500" t="s">
        <v>17304</v>
      </c>
      <c r="D1500" t="s">
        <v>17305</v>
      </c>
      <c r="E1500">
        <v>0</v>
      </c>
      <c r="F1500">
        <v>72019.724000000002</v>
      </c>
      <c r="G1500" s="259">
        <v>7449.2460000000001</v>
      </c>
      <c r="H1500" s="259">
        <v>36680.869014999997</v>
      </c>
      <c r="I1500" s="259">
        <v>7945.8624</v>
      </c>
      <c r="J1500" s="259">
        <v>7758.2517600000001</v>
      </c>
      <c r="K1500" s="260">
        <v>1467.2480433473811</v>
      </c>
      <c r="L1500" s="260">
        <v>8804.7109667870754</v>
      </c>
      <c r="M1500" s="260">
        <v>1760.6976520168573</v>
      </c>
      <c r="N1500" s="260">
        <v>152.83833784868554</v>
      </c>
      <c r="O1500" s="261">
        <v>8916.4940433473821</v>
      </c>
      <c r="P1500" s="261">
        <v>45485.579981787072</v>
      </c>
      <c r="Q1500" s="261">
        <v>9706.5600520168573</v>
      </c>
      <c r="R1500" s="261">
        <v>7911.0900978486852</v>
      </c>
      <c r="S1500">
        <v>72019.724174999996</v>
      </c>
      <c r="T1500">
        <v>-1.7499999376013875E-4</v>
      </c>
    </row>
    <row r="1501" spans="1:21">
      <c r="A1501" t="s">
        <v>19264</v>
      </c>
      <c r="B1501">
        <v>45628</v>
      </c>
      <c r="C1501" t="s">
        <v>17119</v>
      </c>
      <c r="D1501" t="s">
        <v>17120</v>
      </c>
      <c r="E1501">
        <v>0</v>
      </c>
      <c r="F1501">
        <v>224694.91500000001</v>
      </c>
      <c r="G1501" s="259">
        <v>0</v>
      </c>
      <c r="H1501" s="259">
        <v>0</v>
      </c>
      <c r="I1501" s="259">
        <v>207872.40110000002</v>
      </c>
      <c r="J1501" s="259">
        <v>0</v>
      </c>
      <c r="K1501" s="260">
        <v>0</v>
      </c>
      <c r="L1501" s="260">
        <v>0</v>
      </c>
      <c r="M1501" s="260">
        <v>16822.5134</v>
      </c>
      <c r="N1501" s="260">
        <v>0</v>
      </c>
      <c r="O1501" s="261">
        <v>0</v>
      </c>
      <c r="P1501" s="261">
        <v>0</v>
      </c>
      <c r="Q1501" s="261">
        <v>224694.91450000001</v>
      </c>
      <c r="R1501" s="261">
        <v>0</v>
      </c>
      <c r="S1501">
        <v>224694.91450000001</v>
      </c>
      <c r="T1501">
        <v>4.999999946448952E-4</v>
      </c>
    </row>
    <row r="1502" spans="1:21">
      <c r="A1502" t="s">
        <v>19265</v>
      </c>
      <c r="B1502">
        <v>45314</v>
      </c>
      <c r="C1502" t="s">
        <v>16384</v>
      </c>
      <c r="D1502" t="s">
        <v>16385</v>
      </c>
      <c r="E1502">
        <v>0</v>
      </c>
      <c r="F1502">
        <v>155136</v>
      </c>
      <c r="G1502" s="259">
        <v>155136</v>
      </c>
      <c r="H1502" s="259">
        <v>0</v>
      </c>
      <c r="I1502" s="259">
        <v>0</v>
      </c>
      <c r="J1502" s="259">
        <v>0</v>
      </c>
      <c r="K1502" s="260">
        <v>0</v>
      </c>
      <c r="L1502" s="260">
        <v>0</v>
      </c>
      <c r="M1502" s="260">
        <v>0</v>
      </c>
      <c r="N1502" s="260">
        <v>0</v>
      </c>
      <c r="O1502" s="261">
        <v>155136</v>
      </c>
      <c r="P1502" s="261">
        <v>0</v>
      </c>
      <c r="Q1502" s="261">
        <v>0</v>
      </c>
      <c r="R1502" s="261">
        <v>0</v>
      </c>
      <c r="S1502">
        <v>155136</v>
      </c>
      <c r="T1502">
        <v>0</v>
      </c>
    </row>
    <row r="1503" spans="1:21">
      <c r="A1503" t="s">
        <v>19266</v>
      </c>
      <c r="B1503">
        <v>45314</v>
      </c>
      <c r="C1503" t="s">
        <v>16470</v>
      </c>
      <c r="D1503" t="s">
        <v>16471</v>
      </c>
      <c r="E1503">
        <v>0</v>
      </c>
      <c r="F1503">
        <v>597838.03899999999</v>
      </c>
      <c r="G1503" s="259">
        <v>24394.832279999995</v>
      </c>
      <c r="H1503" s="259">
        <v>479195.30395099981</v>
      </c>
      <c r="I1503" s="259">
        <v>28060.487000000008</v>
      </c>
      <c r="J1503" s="259">
        <v>0</v>
      </c>
      <c r="K1503" s="260">
        <v>2789.9157659151188</v>
      </c>
      <c r="L1503" s="260">
        <v>59473.568277866725</v>
      </c>
      <c r="M1503" s="260">
        <v>3923.9321602181699</v>
      </c>
      <c r="N1503" s="260">
        <v>0</v>
      </c>
      <c r="O1503" s="261">
        <v>27184.748045915112</v>
      </c>
      <c r="P1503" s="261">
        <v>538668.87222886656</v>
      </c>
      <c r="Q1503" s="261">
        <v>31984.419160218178</v>
      </c>
      <c r="R1503" s="261">
        <v>0</v>
      </c>
      <c r="S1503">
        <v>597838.03943499993</v>
      </c>
      <c r="T1503">
        <v>-4.3499993626028299E-4</v>
      </c>
    </row>
    <row r="1504" spans="1:21">
      <c r="A1504" t="s">
        <v>19267</v>
      </c>
      <c r="B1504">
        <v>45628</v>
      </c>
      <c r="C1504" t="s">
        <v>17209</v>
      </c>
      <c r="D1504" t="s">
        <v>17210</v>
      </c>
      <c r="E1504">
        <v>0</v>
      </c>
      <c r="F1504">
        <v>51255.648000000001</v>
      </c>
      <c r="G1504" s="259">
        <v>15731.351999999999</v>
      </c>
      <c r="H1504" s="259">
        <v>17334.451679999998</v>
      </c>
      <c r="I1504" s="259">
        <v>4221.9952320000002</v>
      </c>
      <c r="J1504" s="259">
        <v>9129.8024999999998</v>
      </c>
      <c r="K1504" s="260">
        <v>956.72030651341004</v>
      </c>
      <c r="L1504" s="260">
        <v>1056.2192183908046</v>
      </c>
      <c r="M1504" s="260">
        <v>244.92039846743296</v>
      </c>
      <c r="N1504" s="260">
        <v>239.18007662835251</v>
      </c>
      <c r="O1504" s="261">
        <v>16688.072306513408</v>
      </c>
      <c r="P1504" s="261">
        <v>18390.670898390803</v>
      </c>
      <c r="Q1504" s="261">
        <v>4466.9156304674334</v>
      </c>
      <c r="R1504" s="261">
        <v>9368.982576628352</v>
      </c>
      <c r="S1504">
        <v>48914.641411999997</v>
      </c>
      <c r="T1504">
        <v>2341.0065880000038</v>
      </c>
      <c r="U1504" t="s">
        <v>19268</v>
      </c>
    </row>
    <row r="1505" spans="1:21">
      <c r="A1505" t="s">
        <v>19269</v>
      </c>
      <c r="B1505">
        <v>45323</v>
      </c>
      <c r="C1505" t="s">
        <v>17309</v>
      </c>
      <c r="D1505" t="s">
        <v>18704</v>
      </c>
      <c r="E1505">
        <v>0</v>
      </c>
      <c r="F1505">
        <v>646720</v>
      </c>
      <c r="G1505" s="259">
        <v>254720</v>
      </c>
      <c r="H1505" s="259">
        <v>0</v>
      </c>
      <c r="I1505" s="259">
        <v>392000</v>
      </c>
      <c r="J1505" s="259">
        <v>0</v>
      </c>
      <c r="K1505" s="260">
        <v>0</v>
      </c>
      <c r="L1505" s="260">
        <v>0</v>
      </c>
      <c r="M1505" s="260">
        <v>0</v>
      </c>
      <c r="N1505" s="260">
        <v>0</v>
      </c>
      <c r="O1505" s="261">
        <v>254720</v>
      </c>
      <c r="P1505" s="261">
        <v>0</v>
      </c>
      <c r="Q1505" s="261">
        <v>392000</v>
      </c>
      <c r="R1505" s="261">
        <v>0</v>
      </c>
      <c r="S1505">
        <v>646720</v>
      </c>
      <c r="T1505">
        <v>0</v>
      </c>
    </row>
    <row r="1506" spans="1:21">
      <c r="A1506" t="s">
        <v>19270</v>
      </c>
      <c r="B1506">
        <v>45314</v>
      </c>
      <c r="C1506" t="s">
        <v>16783</v>
      </c>
      <c r="D1506" t="s">
        <v>17509</v>
      </c>
      <c r="E1506">
        <v>0</v>
      </c>
      <c r="F1506">
        <v>359417.69500000001</v>
      </c>
      <c r="G1506" s="259">
        <v>0</v>
      </c>
      <c r="H1506" s="259">
        <v>66015.494999999995</v>
      </c>
      <c r="I1506" s="259">
        <v>0</v>
      </c>
      <c r="J1506" s="259">
        <v>293402.19999999995</v>
      </c>
      <c r="K1506" s="260">
        <v>0</v>
      </c>
      <c r="L1506" s="260">
        <v>0</v>
      </c>
      <c r="M1506" s="260">
        <v>0</v>
      </c>
      <c r="N1506" s="260">
        <v>0</v>
      </c>
      <c r="O1506" s="261">
        <v>0</v>
      </c>
      <c r="P1506" s="261">
        <v>66015.494999999995</v>
      </c>
      <c r="Q1506" s="261">
        <v>0</v>
      </c>
      <c r="R1506" s="261">
        <v>293402.19999999995</v>
      </c>
      <c r="S1506">
        <v>359417.69499999995</v>
      </c>
      <c r="T1506">
        <v>0</v>
      </c>
    </row>
    <row r="1507" spans="1:21">
      <c r="A1507" t="s">
        <v>19271</v>
      </c>
      <c r="B1507">
        <v>45320</v>
      </c>
      <c r="C1507" t="s">
        <v>17342</v>
      </c>
      <c r="D1507" t="s">
        <v>17343</v>
      </c>
      <c r="E1507">
        <v>0</v>
      </c>
      <c r="F1507">
        <v>84437.65</v>
      </c>
      <c r="G1507" s="259">
        <v>5941.3079039999993</v>
      </c>
      <c r="H1507" s="259">
        <v>54296.808652799984</v>
      </c>
      <c r="I1507" s="259">
        <v>7361.773439999999</v>
      </c>
      <c r="J1507" s="259">
        <v>5014.0595680000006</v>
      </c>
      <c r="K1507" s="260">
        <v>1021.8537990637379</v>
      </c>
      <c r="L1507" s="260">
        <v>9120.0451566438605</v>
      </c>
      <c r="M1507" s="260">
        <v>1277.3172488296725</v>
      </c>
      <c r="N1507" s="260">
        <v>404.48379546272963</v>
      </c>
      <c r="O1507" s="261">
        <v>6963.1617030637371</v>
      </c>
      <c r="P1507" s="261">
        <v>63416.853809443841</v>
      </c>
      <c r="Q1507" s="261">
        <v>8639.0906888296722</v>
      </c>
      <c r="R1507" s="261">
        <v>5418.5433634627298</v>
      </c>
      <c r="S1507">
        <v>84437.649564799984</v>
      </c>
      <c r="T1507">
        <v>4.3520001054275781E-4</v>
      </c>
    </row>
    <row r="1508" spans="1:21">
      <c r="A1508" t="s">
        <v>19272</v>
      </c>
      <c r="B1508">
        <v>45323</v>
      </c>
      <c r="C1508" t="s">
        <v>17119</v>
      </c>
      <c r="D1508" t="s">
        <v>17120</v>
      </c>
      <c r="E1508">
        <v>0</v>
      </c>
      <c r="F1508">
        <v>101688.47300000001</v>
      </c>
      <c r="G1508" s="259">
        <v>28893.081600000001</v>
      </c>
      <c r="H1508" s="259">
        <v>66219.331392000007</v>
      </c>
      <c r="I1508" s="259">
        <v>0</v>
      </c>
      <c r="J1508" s="259">
        <v>0</v>
      </c>
      <c r="K1508" s="260">
        <v>1997.6640534649705</v>
      </c>
      <c r="L1508" s="260">
        <v>4578.3963025350295</v>
      </c>
      <c r="M1508" s="260">
        <v>0</v>
      </c>
      <c r="N1508" s="260">
        <v>0</v>
      </c>
      <c r="O1508" s="261">
        <v>30890.745653464972</v>
      </c>
      <c r="P1508" s="261">
        <v>70797.727694535031</v>
      </c>
      <c r="Q1508" s="261">
        <v>0</v>
      </c>
      <c r="R1508" s="261">
        <v>0</v>
      </c>
      <c r="S1508">
        <v>101688.473348</v>
      </c>
      <c r="T1508">
        <v>-3.4799998684320599E-4</v>
      </c>
    </row>
    <row r="1509" spans="1:21">
      <c r="A1509" t="s">
        <v>19273</v>
      </c>
      <c r="B1509">
        <v>45446</v>
      </c>
      <c r="C1509" t="s">
        <v>17119</v>
      </c>
      <c r="D1509" t="s">
        <v>17120</v>
      </c>
      <c r="E1509">
        <v>0</v>
      </c>
      <c r="F1509">
        <v>117900.52499999999</v>
      </c>
      <c r="G1509" s="259">
        <v>10473.120000000001</v>
      </c>
      <c r="H1509" s="259">
        <v>101146.65</v>
      </c>
      <c r="I1509" s="259">
        <v>0</v>
      </c>
      <c r="J1509" s="259">
        <v>0</v>
      </c>
      <c r="K1509" s="260">
        <v>1049.731665768194</v>
      </c>
      <c r="L1509" s="260">
        <v>3007.0438342318062</v>
      </c>
      <c r="M1509" s="260">
        <v>0</v>
      </c>
      <c r="N1509" s="260">
        <v>0</v>
      </c>
      <c r="O1509" s="261">
        <v>11522.851665768194</v>
      </c>
      <c r="P1509" s="261">
        <v>104153.6938342318</v>
      </c>
      <c r="Q1509" s="261">
        <v>0</v>
      </c>
      <c r="R1509" s="261">
        <v>0</v>
      </c>
      <c r="S1509">
        <v>115676.54549999999</v>
      </c>
      <c r="T1509">
        <v>2223.9795000000013</v>
      </c>
      <c r="U1509" t="s">
        <v>19268</v>
      </c>
    </row>
    <row r="1510" spans="1:21">
      <c r="A1510" t="s">
        <v>19274</v>
      </c>
      <c r="B1510">
        <v>45323</v>
      </c>
      <c r="C1510" t="s">
        <v>16384</v>
      </c>
      <c r="D1510" t="s">
        <v>16385</v>
      </c>
      <c r="E1510">
        <v>0</v>
      </c>
      <c r="F1510">
        <v>232704</v>
      </c>
      <c r="G1510" s="259">
        <v>232704</v>
      </c>
      <c r="H1510" s="259">
        <v>0</v>
      </c>
      <c r="I1510" s="259">
        <v>0</v>
      </c>
      <c r="J1510" s="259">
        <v>0</v>
      </c>
      <c r="K1510" s="260">
        <v>0</v>
      </c>
      <c r="L1510" s="260">
        <v>0</v>
      </c>
      <c r="M1510" s="260">
        <v>0</v>
      </c>
      <c r="N1510" s="260">
        <v>0</v>
      </c>
      <c r="O1510" s="261">
        <v>232704</v>
      </c>
      <c r="P1510" s="261">
        <v>0</v>
      </c>
      <c r="Q1510" s="261">
        <v>0</v>
      </c>
      <c r="R1510" s="261">
        <v>0</v>
      </c>
      <c r="S1510">
        <v>232704</v>
      </c>
      <c r="T1510">
        <v>0</v>
      </c>
    </row>
    <row r="1511" spans="1:21">
      <c r="A1511" t="s">
        <v>19275</v>
      </c>
      <c r="B1511">
        <v>45323</v>
      </c>
      <c r="C1511" t="s">
        <v>16384</v>
      </c>
      <c r="D1511" t="s">
        <v>16385</v>
      </c>
      <c r="E1511">
        <v>0</v>
      </c>
      <c r="F1511">
        <v>441901.76</v>
      </c>
      <c r="G1511" s="259">
        <v>305847.36</v>
      </c>
      <c r="H1511" s="259">
        <v>48134.400000000001</v>
      </c>
      <c r="I1511" s="259">
        <v>87920</v>
      </c>
      <c r="J1511" s="259">
        <v>0</v>
      </c>
      <c r="K1511" s="260">
        <v>0</v>
      </c>
      <c r="L1511" s="260">
        <v>0</v>
      </c>
      <c r="M1511" s="260">
        <v>0</v>
      </c>
      <c r="N1511" s="260">
        <v>0</v>
      </c>
      <c r="O1511" s="261">
        <v>305847.36</v>
      </c>
      <c r="P1511" s="261">
        <v>48134.400000000001</v>
      </c>
      <c r="Q1511" s="261">
        <v>87920</v>
      </c>
      <c r="R1511" s="261">
        <v>0</v>
      </c>
      <c r="S1511">
        <v>441901.76</v>
      </c>
      <c r="T1511">
        <v>0</v>
      </c>
    </row>
    <row r="1512" spans="1:21">
      <c r="A1512" t="s">
        <v>19276</v>
      </c>
      <c r="B1512">
        <v>45323</v>
      </c>
      <c r="C1512" t="s">
        <v>17342</v>
      </c>
      <c r="D1512" t="s">
        <v>17343</v>
      </c>
      <c r="E1512">
        <v>0</v>
      </c>
      <c r="F1512">
        <v>92184.046999999991</v>
      </c>
      <c r="G1512" s="259">
        <v>0</v>
      </c>
      <c r="H1512" s="259">
        <v>58427.481451200001</v>
      </c>
      <c r="I1512" s="259">
        <v>0</v>
      </c>
      <c r="J1512" s="259">
        <v>21924.990218999999</v>
      </c>
      <c r="K1512" s="260">
        <v>0</v>
      </c>
      <c r="L1512" s="260">
        <v>10205.546451774113</v>
      </c>
      <c r="M1512" s="260">
        <v>0</v>
      </c>
      <c r="N1512" s="260">
        <v>1626.0285482258871</v>
      </c>
      <c r="O1512" s="261">
        <v>0</v>
      </c>
      <c r="P1512" s="261">
        <v>68633.027902974107</v>
      </c>
      <c r="Q1512" s="261">
        <v>0</v>
      </c>
      <c r="R1512" s="261">
        <v>23551.018767225887</v>
      </c>
      <c r="S1512">
        <v>92184.046670199998</v>
      </c>
      <c r="T1512">
        <v>3.2979999377857894E-4</v>
      </c>
    </row>
    <row r="1513" spans="1:21">
      <c r="A1513" t="s">
        <v>19277</v>
      </c>
      <c r="B1513">
        <v>45328</v>
      </c>
      <c r="C1513" t="s">
        <v>17370</v>
      </c>
      <c r="E1513">
        <v>0</v>
      </c>
      <c r="F1513">
        <v>127414.27</v>
      </c>
      <c r="G1513" s="259">
        <v>0</v>
      </c>
      <c r="H1513" s="259">
        <v>127414.27008000002</v>
      </c>
      <c r="I1513" s="259">
        <v>0</v>
      </c>
      <c r="J1513" s="259">
        <v>0</v>
      </c>
      <c r="K1513" s="260">
        <v>0</v>
      </c>
      <c r="L1513" s="260">
        <v>0</v>
      </c>
      <c r="M1513" s="260">
        <v>0</v>
      </c>
      <c r="N1513" s="260">
        <v>0</v>
      </c>
      <c r="O1513" s="261">
        <v>0</v>
      </c>
      <c r="P1513" s="261">
        <v>127414.27008000002</v>
      </c>
      <c r="Q1513" s="261">
        <v>0</v>
      </c>
      <c r="R1513" s="261">
        <v>0</v>
      </c>
      <c r="S1513">
        <v>127414.27008000002</v>
      </c>
      <c r="T1513">
        <v>-8.0000012530945241E-5</v>
      </c>
    </row>
    <row r="1514" spans="1:21">
      <c r="A1514" t="s">
        <v>19278</v>
      </c>
      <c r="B1514">
        <v>45329</v>
      </c>
      <c r="C1514" t="s">
        <v>16838</v>
      </c>
      <c r="D1514" t="s">
        <v>16839</v>
      </c>
      <c r="E1514">
        <v>0</v>
      </c>
      <c r="F1514">
        <v>85599.84</v>
      </c>
      <c r="G1514" s="259">
        <v>67935.839999999997</v>
      </c>
      <c r="H1514" s="259">
        <v>17664</v>
      </c>
      <c r="I1514" s="259">
        <v>0</v>
      </c>
      <c r="J1514" s="259">
        <v>0</v>
      </c>
      <c r="K1514" s="260">
        <v>0</v>
      </c>
      <c r="L1514" s="260">
        <v>0</v>
      </c>
      <c r="M1514" s="260">
        <v>0</v>
      </c>
      <c r="N1514" s="260">
        <v>0</v>
      </c>
      <c r="O1514" s="261">
        <v>67935.839999999997</v>
      </c>
      <c r="P1514" s="261">
        <v>17664</v>
      </c>
      <c r="Q1514" s="261">
        <v>0</v>
      </c>
      <c r="R1514" s="261">
        <v>0</v>
      </c>
      <c r="S1514">
        <v>85599.84</v>
      </c>
      <c r="T1514">
        <v>0</v>
      </c>
    </row>
    <row r="1515" spans="1:21">
      <c r="A1515" t="s">
        <v>19279</v>
      </c>
      <c r="B1515">
        <v>45329</v>
      </c>
      <c r="C1515" t="s">
        <v>16444</v>
      </c>
      <c r="D1515" t="s">
        <v>16445</v>
      </c>
      <c r="E1515">
        <v>0</v>
      </c>
      <c r="F1515">
        <v>44295.839999999997</v>
      </c>
      <c r="G1515" s="259">
        <v>44295.839999999997</v>
      </c>
      <c r="H1515" s="259">
        <v>0</v>
      </c>
      <c r="I1515" s="259">
        <v>0</v>
      </c>
      <c r="J1515" s="259">
        <v>0</v>
      </c>
      <c r="K1515" s="260">
        <v>0</v>
      </c>
      <c r="L1515" s="260">
        <v>0</v>
      </c>
      <c r="M1515" s="260">
        <v>0</v>
      </c>
      <c r="N1515" s="260">
        <v>0</v>
      </c>
      <c r="O1515" s="261">
        <v>44295.839999999997</v>
      </c>
      <c r="P1515" s="261">
        <v>0</v>
      </c>
      <c r="Q1515" s="261">
        <v>0</v>
      </c>
      <c r="R1515" s="261">
        <v>0</v>
      </c>
      <c r="S1515">
        <v>44295.839999999997</v>
      </c>
      <c r="T1515">
        <v>0</v>
      </c>
    </row>
    <row r="1516" spans="1:21">
      <c r="A1516" t="s">
        <v>19280</v>
      </c>
      <c r="B1516">
        <v>45330</v>
      </c>
      <c r="C1516" t="s">
        <v>16838</v>
      </c>
      <c r="D1516" t="s">
        <v>16839</v>
      </c>
      <c r="E1516">
        <v>0</v>
      </c>
      <c r="F1516">
        <v>254925</v>
      </c>
      <c r="G1516" s="259">
        <v>0</v>
      </c>
      <c r="H1516" s="259">
        <v>254925</v>
      </c>
      <c r="I1516" s="259">
        <v>0</v>
      </c>
      <c r="J1516" s="259">
        <v>0</v>
      </c>
      <c r="K1516" s="260">
        <v>0</v>
      </c>
      <c r="L1516" s="260">
        <v>0</v>
      </c>
      <c r="M1516" s="260">
        <v>0</v>
      </c>
      <c r="N1516" s="260">
        <v>0</v>
      </c>
      <c r="O1516" s="261">
        <v>0</v>
      </c>
      <c r="P1516" s="261">
        <v>254925</v>
      </c>
      <c r="Q1516" s="261">
        <v>0</v>
      </c>
      <c r="R1516" s="261">
        <v>0</v>
      </c>
      <c r="S1516">
        <v>254925</v>
      </c>
      <c r="T1516">
        <v>0</v>
      </c>
    </row>
    <row r="1517" spans="1:21">
      <c r="A1517" t="s">
        <v>19281</v>
      </c>
      <c r="B1517">
        <v>45414</v>
      </c>
      <c r="C1517" t="s">
        <v>17304</v>
      </c>
      <c r="D1517" t="s">
        <v>17305</v>
      </c>
      <c r="E1517">
        <v>0</v>
      </c>
      <c r="F1517">
        <v>78177.709000000003</v>
      </c>
      <c r="G1517" s="259">
        <v>0</v>
      </c>
      <c r="H1517" s="259">
        <v>0</v>
      </c>
      <c r="I1517" s="259">
        <v>71713.868147999994</v>
      </c>
      <c r="J1517" s="259">
        <v>0</v>
      </c>
      <c r="K1517" s="260">
        <v>0</v>
      </c>
      <c r="L1517" s="260">
        <v>0</v>
      </c>
      <c r="M1517" s="260">
        <v>6492.78</v>
      </c>
      <c r="N1517" s="260">
        <v>0</v>
      </c>
      <c r="O1517" s="261">
        <v>0</v>
      </c>
      <c r="P1517" s="261">
        <v>0</v>
      </c>
      <c r="Q1517" s="261">
        <v>78206.648147999993</v>
      </c>
      <c r="R1517" s="261">
        <v>0</v>
      </c>
      <c r="S1517">
        <v>78206.648147999993</v>
      </c>
      <c r="T1517">
        <v>-28.939147999990382</v>
      </c>
    </row>
    <row r="1518" spans="1:21">
      <c r="A1518" t="s">
        <v>19282</v>
      </c>
      <c r="B1518">
        <v>45414</v>
      </c>
      <c r="C1518" t="s">
        <v>17304</v>
      </c>
      <c r="D1518" t="s">
        <v>17305</v>
      </c>
      <c r="E1518">
        <v>0</v>
      </c>
      <c r="F1518">
        <v>77829.880999999994</v>
      </c>
      <c r="G1518" s="259">
        <v>0</v>
      </c>
      <c r="H1518" s="259">
        <v>55164.513960000004</v>
      </c>
      <c r="I1518" s="259">
        <v>16549.354187999998</v>
      </c>
      <c r="J1518" s="259">
        <v>0</v>
      </c>
      <c r="K1518" s="260">
        <v>0</v>
      </c>
      <c r="L1518" s="260">
        <v>4726.8865384615383</v>
      </c>
      <c r="M1518" s="260">
        <v>1418.0659615384616</v>
      </c>
      <c r="N1518" s="260">
        <v>0</v>
      </c>
      <c r="O1518" s="261">
        <v>0</v>
      </c>
      <c r="P1518" s="261">
        <v>59891.400498461546</v>
      </c>
      <c r="Q1518" s="261">
        <v>17967.420149538459</v>
      </c>
      <c r="R1518" s="261">
        <v>0</v>
      </c>
      <c r="S1518">
        <v>77858.820648000008</v>
      </c>
      <c r="T1518">
        <v>-28.939648000014131</v>
      </c>
    </row>
    <row r="1519" spans="1:21">
      <c r="A1519" t="s">
        <v>19283</v>
      </c>
      <c r="B1519">
        <v>45335</v>
      </c>
      <c r="C1519" t="s">
        <v>17342</v>
      </c>
      <c r="D1519" t="s">
        <v>17343</v>
      </c>
      <c r="E1519">
        <v>0</v>
      </c>
      <c r="F1519">
        <v>86844.941999999995</v>
      </c>
      <c r="G1519" s="259">
        <v>11867.490816</v>
      </c>
      <c r="H1519" s="259">
        <v>39313.168641600001</v>
      </c>
      <c r="I1519" s="259">
        <v>22057.208639999997</v>
      </c>
      <c r="J1519" s="259">
        <v>3654.0686559999995</v>
      </c>
      <c r="K1519" s="260">
        <v>1596.7387700534757</v>
      </c>
      <c r="L1519" s="260">
        <v>5129.5232987967911</v>
      </c>
      <c r="M1519" s="260">
        <v>2993.8851938502671</v>
      </c>
      <c r="N1519" s="260">
        <v>232.85773729946521</v>
      </c>
      <c r="O1519" s="261">
        <v>13464.229586053476</v>
      </c>
      <c r="P1519" s="261">
        <v>44442.691940396791</v>
      </c>
      <c r="Q1519" s="261">
        <v>25051.093833850264</v>
      </c>
      <c r="R1519" s="261">
        <v>3886.9263932994645</v>
      </c>
      <c r="S1519">
        <v>86844.941753599996</v>
      </c>
      <c r="T1519">
        <v>2.4639999901410192E-4</v>
      </c>
    </row>
    <row r="1520" spans="1:21">
      <c r="A1520" t="s">
        <v>19284</v>
      </c>
      <c r="B1520">
        <v>45336</v>
      </c>
      <c r="C1520" t="s">
        <v>17309</v>
      </c>
      <c r="D1520" t="s">
        <v>18704</v>
      </c>
      <c r="E1520">
        <v>0</v>
      </c>
      <c r="F1520">
        <v>77952</v>
      </c>
      <c r="G1520" s="259">
        <v>77952</v>
      </c>
      <c r="H1520" s="259">
        <v>0</v>
      </c>
      <c r="I1520" s="259">
        <v>0</v>
      </c>
      <c r="J1520" s="259">
        <v>0</v>
      </c>
      <c r="K1520" s="260">
        <v>0</v>
      </c>
      <c r="L1520" s="260">
        <v>0</v>
      </c>
      <c r="M1520" s="260">
        <v>0</v>
      </c>
      <c r="N1520" s="260">
        <v>0</v>
      </c>
      <c r="O1520" s="261">
        <v>77952</v>
      </c>
      <c r="P1520" s="261">
        <v>0</v>
      </c>
      <c r="Q1520" s="261">
        <v>0</v>
      </c>
      <c r="R1520" s="261">
        <v>0</v>
      </c>
      <c r="S1520">
        <v>77952</v>
      </c>
      <c r="T1520">
        <v>0</v>
      </c>
    </row>
    <row r="1521" spans="1:21">
      <c r="A1521" t="s">
        <v>19285</v>
      </c>
      <c r="B1521">
        <v>45337</v>
      </c>
      <c r="C1521" t="s">
        <v>17209</v>
      </c>
      <c r="D1521" t="s">
        <v>17210</v>
      </c>
      <c r="E1521">
        <v>0</v>
      </c>
      <c r="F1521">
        <v>82946.978000000003</v>
      </c>
      <c r="G1521" s="259">
        <v>0</v>
      </c>
      <c r="H1521" s="259">
        <v>44666.686320000001</v>
      </c>
      <c r="I1521" s="259">
        <v>14419.482</v>
      </c>
      <c r="J1521" s="259">
        <v>14185.3995</v>
      </c>
      <c r="K1521" s="260">
        <v>0</v>
      </c>
      <c r="L1521" s="260">
        <v>6735.6360100166949</v>
      </c>
      <c r="M1521" s="260">
        <v>2132.1437729549248</v>
      </c>
      <c r="N1521" s="260">
        <v>807.63021702838068</v>
      </c>
      <c r="O1521" s="261">
        <v>0</v>
      </c>
      <c r="P1521" s="261">
        <v>51402.322330016694</v>
      </c>
      <c r="Q1521" s="261">
        <v>16551.625772954925</v>
      </c>
      <c r="R1521" s="261">
        <v>14993.029717028381</v>
      </c>
      <c r="S1521">
        <v>82946.97782</v>
      </c>
      <c r="T1521">
        <v>1.8000000272877514E-4</v>
      </c>
    </row>
    <row r="1522" spans="1:21">
      <c r="A1522" t="s">
        <v>19286</v>
      </c>
      <c r="B1522">
        <v>45352</v>
      </c>
      <c r="C1522" t="s">
        <v>17226</v>
      </c>
      <c r="D1522" t="s">
        <v>17891</v>
      </c>
      <c r="E1522">
        <v>0</v>
      </c>
      <c r="F1522">
        <v>153458</v>
      </c>
      <c r="G1522" s="259">
        <v>10080</v>
      </c>
      <c r="H1522" s="259">
        <v>89100</v>
      </c>
      <c r="I1522" s="259">
        <v>14688</v>
      </c>
      <c r="J1522" s="259">
        <v>39590</v>
      </c>
      <c r="K1522" s="260">
        <v>0</v>
      </c>
      <c r="L1522" s="260">
        <v>0</v>
      </c>
      <c r="M1522" s="260">
        <v>0</v>
      </c>
      <c r="N1522" s="260">
        <v>0</v>
      </c>
      <c r="O1522" s="261">
        <v>10080</v>
      </c>
      <c r="P1522" s="261">
        <v>89100</v>
      </c>
      <c r="Q1522" s="261">
        <v>14688</v>
      </c>
      <c r="R1522" s="261">
        <v>39590</v>
      </c>
      <c r="S1522">
        <v>153458</v>
      </c>
      <c r="T1522">
        <v>0</v>
      </c>
    </row>
    <row r="1523" spans="1:21">
      <c r="A1523" t="s">
        <v>19287</v>
      </c>
      <c r="B1523">
        <v>45352</v>
      </c>
      <c r="C1523" t="s">
        <v>17226</v>
      </c>
      <c r="D1523" t="s">
        <v>17891</v>
      </c>
      <c r="E1523">
        <v>0</v>
      </c>
      <c r="F1523">
        <v>54240</v>
      </c>
      <c r="G1523" s="259">
        <v>54240</v>
      </c>
      <c r="H1523" s="259">
        <v>0</v>
      </c>
      <c r="I1523" s="259">
        <v>0</v>
      </c>
      <c r="J1523" s="259">
        <v>0</v>
      </c>
      <c r="K1523" s="260">
        <v>0</v>
      </c>
      <c r="L1523" s="260">
        <v>0</v>
      </c>
      <c r="M1523" s="260">
        <v>0</v>
      </c>
      <c r="N1523" s="260">
        <v>0</v>
      </c>
      <c r="O1523" s="261">
        <v>54240</v>
      </c>
      <c r="P1523" s="261">
        <v>0</v>
      </c>
      <c r="Q1523" s="261">
        <v>0</v>
      </c>
      <c r="R1523" s="261">
        <v>0</v>
      </c>
      <c r="S1523">
        <v>54240</v>
      </c>
      <c r="T1523">
        <v>0</v>
      </c>
    </row>
    <row r="1524" spans="1:21">
      <c r="A1524" t="s">
        <v>19288</v>
      </c>
      <c r="B1524">
        <v>45338</v>
      </c>
      <c r="C1524" t="s">
        <v>17342</v>
      </c>
      <c r="D1524" t="s">
        <v>17343</v>
      </c>
      <c r="E1524">
        <v>0</v>
      </c>
      <c r="F1524">
        <v>94623.130999999994</v>
      </c>
      <c r="G1524" s="259">
        <v>0</v>
      </c>
      <c r="H1524" s="259">
        <v>46190.256489599989</v>
      </c>
      <c r="I1524" s="259">
        <v>22057.208639999997</v>
      </c>
      <c r="J1524" s="259">
        <v>14567.015683999998</v>
      </c>
      <c r="K1524" s="260">
        <v>0</v>
      </c>
      <c r="L1524" s="260">
        <v>7578.8587831207069</v>
      </c>
      <c r="M1524" s="260">
        <v>3476.540726202159</v>
      </c>
      <c r="N1524" s="260">
        <v>753.25049067713439</v>
      </c>
      <c r="O1524" s="261">
        <v>0</v>
      </c>
      <c r="P1524" s="261">
        <v>53769.115272720694</v>
      </c>
      <c r="Q1524" s="261">
        <v>25533.749366202155</v>
      </c>
      <c r="R1524" s="261">
        <v>15320.266174677132</v>
      </c>
      <c r="S1524">
        <v>94623.130813599986</v>
      </c>
      <c r="T1524">
        <v>1.8640000780578703E-4</v>
      </c>
    </row>
    <row r="1525" spans="1:21">
      <c r="A1525" t="s">
        <v>19289</v>
      </c>
      <c r="B1525">
        <v>45339</v>
      </c>
      <c r="C1525" t="s">
        <v>17342</v>
      </c>
      <c r="D1525" t="s">
        <v>17343</v>
      </c>
      <c r="E1525">
        <v>0</v>
      </c>
      <c r="F1525">
        <v>91861.598000000013</v>
      </c>
      <c r="G1525" s="259">
        <v>0</v>
      </c>
      <c r="H1525" s="259">
        <v>55133.235107999986</v>
      </c>
      <c r="I1525" s="259">
        <v>14712.868799999997</v>
      </c>
      <c r="J1525" s="259">
        <v>13103.513744999998</v>
      </c>
      <c r="K1525" s="260">
        <v>0</v>
      </c>
      <c r="L1525" s="260">
        <v>6301.0767684021548</v>
      </c>
      <c r="M1525" s="260">
        <v>1745.4506283662479</v>
      </c>
      <c r="N1525" s="260">
        <v>865.45260323159789</v>
      </c>
      <c r="O1525" s="261">
        <v>0</v>
      </c>
      <c r="P1525" s="261">
        <v>61434.311876402142</v>
      </c>
      <c r="Q1525" s="261">
        <v>16458.319428366245</v>
      </c>
      <c r="R1525" s="261">
        <v>13968.966348231595</v>
      </c>
      <c r="S1525">
        <v>91861.597652999975</v>
      </c>
      <c r="T1525">
        <v>3.4700003743637353E-4</v>
      </c>
    </row>
    <row r="1526" spans="1:21">
      <c r="A1526" t="s">
        <v>19290</v>
      </c>
      <c r="B1526">
        <v>45342</v>
      </c>
      <c r="C1526" t="s">
        <v>17342</v>
      </c>
      <c r="D1526" t="s">
        <v>17343</v>
      </c>
      <c r="E1526">
        <v>0</v>
      </c>
      <c r="F1526">
        <v>87884.978000000003</v>
      </c>
      <c r="G1526" s="259">
        <v>8905.49856</v>
      </c>
      <c r="H1526" s="259">
        <v>30754.594836</v>
      </c>
      <c r="I1526" s="259">
        <v>18391.085999999996</v>
      </c>
      <c r="J1526" s="259">
        <v>26924.17182</v>
      </c>
      <c r="K1526" s="260">
        <v>1428.7688948605978</v>
      </c>
      <c r="L1526" s="260">
        <v>4750.6565754114881</v>
      </c>
      <c r="M1526" s="260">
        <v>2976.6018642929121</v>
      </c>
      <c r="N1526" s="260">
        <v>2659.0976654350015</v>
      </c>
      <c r="O1526" s="261">
        <v>10334.267454860597</v>
      </c>
      <c r="P1526" s="261">
        <v>35505.251411411489</v>
      </c>
      <c r="Q1526" s="261">
        <v>21367.687864292908</v>
      </c>
      <c r="R1526" s="261">
        <v>29583.269485435001</v>
      </c>
      <c r="S1526">
        <v>96790.476215999995</v>
      </c>
      <c r="T1526">
        <v>-8905.4982159999927</v>
      </c>
      <c r="U1526" t="s">
        <v>19268</v>
      </c>
    </row>
    <row r="1527" spans="1:21">
      <c r="A1527" t="s">
        <v>19291</v>
      </c>
      <c r="B1527">
        <v>45342</v>
      </c>
      <c r="C1527" t="s">
        <v>16444</v>
      </c>
      <c r="D1527" t="s">
        <v>16445</v>
      </c>
      <c r="E1527">
        <v>0</v>
      </c>
      <c r="F1527">
        <v>87151.679999999993</v>
      </c>
      <c r="G1527" s="259">
        <v>87151.679999999993</v>
      </c>
      <c r="H1527" s="259">
        <v>0</v>
      </c>
      <c r="I1527" s="259">
        <v>0</v>
      </c>
      <c r="J1527" s="259">
        <v>0</v>
      </c>
      <c r="K1527" s="260">
        <v>0</v>
      </c>
      <c r="L1527" s="260">
        <v>0</v>
      </c>
      <c r="M1527" s="260">
        <v>0</v>
      </c>
      <c r="N1527" s="260">
        <v>0</v>
      </c>
      <c r="O1527" s="261">
        <v>87151.679999999993</v>
      </c>
      <c r="P1527" s="261">
        <v>0</v>
      </c>
      <c r="Q1527" s="261">
        <v>0</v>
      </c>
      <c r="R1527" s="261">
        <v>0</v>
      </c>
      <c r="S1527">
        <v>87151.679999999993</v>
      </c>
      <c r="T1527">
        <v>0</v>
      </c>
    </row>
    <row r="1528" spans="1:21">
      <c r="A1528" t="s">
        <v>19292</v>
      </c>
      <c r="B1528">
        <v>45352</v>
      </c>
      <c r="C1528" t="s">
        <v>17297</v>
      </c>
      <c r="D1528" t="s">
        <v>18568</v>
      </c>
      <c r="E1528">
        <v>0</v>
      </c>
      <c r="F1528">
        <v>33960</v>
      </c>
      <c r="G1528" s="259">
        <v>7308</v>
      </c>
      <c r="H1528" s="259">
        <v>8832</v>
      </c>
      <c r="I1528" s="259">
        <v>17820</v>
      </c>
      <c r="J1528" s="259">
        <v>0</v>
      </c>
      <c r="K1528" s="260">
        <v>0</v>
      </c>
      <c r="L1528" s="260">
        <v>0</v>
      </c>
      <c r="M1528" s="260">
        <v>0</v>
      </c>
      <c r="N1528" s="260">
        <v>0</v>
      </c>
      <c r="O1528" s="261">
        <v>7308</v>
      </c>
      <c r="P1528" s="261">
        <v>8832</v>
      </c>
      <c r="Q1528" s="261">
        <v>17820</v>
      </c>
      <c r="R1528" s="261">
        <v>0</v>
      </c>
      <c r="S1528">
        <v>33960</v>
      </c>
      <c r="T1528">
        <v>0</v>
      </c>
    </row>
    <row r="1529" spans="1:21">
      <c r="A1529" t="s">
        <v>19293</v>
      </c>
      <c r="B1529">
        <v>45342</v>
      </c>
      <c r="C1529" t="s">
        <v>17017</v>
      </c>
      <c r="D1529" t="s">
        <v>17430</v>
      </c>
      <c r="E1529">
        <v>0</v>
      </c>
      <c r="F1529">
        <v>49610</v>
      </c>
      <c r="G1529" s="259">
        <v>0</v>
      </c>
      <c r="H1529" s="259">
        <v>49610</v>
      </c>
      <c r="I1529" s="259">
        <v>0</v>
      </c>
      <c r="J1529" s="259">
        <v>0</v>
      </c>
      <c r="K1529" s="260">
        <v>0</v>
      </c>
      <c r="L1529" s="260">
        <v>0</v>
      </c>
      <c r="M1529" s="260">
        <v>0</v>
      </c>
      <c r="N1529" s="260">
        <v>0</v>
      </c>
      <c r="O1529" s="261">
        <v>0</v>
      </c>
      <c r="P1529" s="261">
        <v>49610</v>
      </c>
      <c r="Q1529" s="261">
        <v>0</v>
      </c>
      <c r="R1529" s="261">
        <v>0</v>
      </c>
      <c r="S1529">
        <v>49610</v>
      </c>
      <c r="T1529">
        <v>0</v>
      </c>
    </row>
    <row r="1530" spans="1:21">
      <c r="A1530" t="s">
        <v>19294</v>
      </c>
      <c r="B1530">
        <v>45342</v>
      </c>
      <c r="C1530" t="s">
        <v>17278</v>
      </c>
      <c r="D1530" t="s">
        <v>17279</v>
      </c>
      <c r="E1530">
        <v>0</v>
      </c>
      <c r="F1530">
        <v>261568.44600000003</v>
      </c>
      <c r="G1530" s="259">
        <v>0</v>
      </c>
      <c r="H1530" s="259">
        <v>134340.68159999998</v>
      </c>
      <c r="I1530" s="259">
        <v>127227.76435200003</v>
      </c>
      <c r="J1530" s="259">
        <v>0</v>
      </c>
      <c r="K1530" s="260">
        <v>0</v>
      </c>
      <c r="L1530" s="260">
        <v>0</v>
      </c>
      <c r="M1530" s="260">
        <v>0</v>
      </c>
      <c r="N1530" s="260">
        <v>0</v>
      </c>
      <c r="O1530" s="261">
        <v>0</v>
      </c>
      <c r="P1530" s="261">
        <v>134340.68159999998</v>
      </c>
      <c r="Q1530" s="261">
        <v>127227.76435200003</v>
      </c>
      <c r="R1530" s="261">
        <v>0</v>
      </c>
      <c r="S1530">
        <v>261568.44595200001</v>
      </c>
      <c r="T1530">
        <v>4.8000016249716282E-5</v>
      </c>
    </row>
    <row r="1531" spans="1:21">
      <c r="A1531" t="s">
        <v>19295</v>
      </c>
      <c r="B1531">
        <v>45352</v>
      </c>
      <c r="C1531" t="s">
        <v>17342</v>
      </c>
      <c r="D1531" t="s">
        <v>17343</v>
      </c>
      <c r="E1531">
        <v>0</v>
      </c>
      <c r="F1531">
        <v>102006.545</v>
      </c>
      <c r="G1531" s="259">
        <v>5941.6596479999998</v>
      </c>
      <c r="H1531" s="259">
        <v>62513.589273600002</v>
      </c>
      <c r="I1531" s="259">
        <v>7362.2092799999982</v>
      </c>
      <c r="J1531" s="259">
        <v>5452.4673279999988</v>
      </c>
      <c r="K1531" s="260">
        <v>1592.5723545600001</v>
      </c>
      <c r="L1531" s="260">
        <v>16224.33086208</v>
      </c>
      <c r="M1531" s="260">
        <v>1990.7154432</v>
      </c>
      <c r="N1531" s="260">
        <v>929.00054016000001</v>
      </c>
      <c r="O1531" s="261">
        <v>7534.2320025600002</v>
      </c>
      <c r="P1531" s="261">
        <v>78737.920135680004</v>
      </c>
      <c r="Q1531" s="261">
        <v>9352.924723199998</v>
      </c>
      <c r="R1531" s="261">
        <v>6381.4678681599989</v>
      </c>
      <c r="S1531">
        <v>102006.54472960001</v>
      </c>
      <c r="T1531">
        <v>2.7039999258704484E-4</v>
      </c>
    </row>
    <row r="1532" spans="1:21">
      <c r="A1532" t="s">
        <v>19296</v>
      </c>
      <c r="B1532">
        <v>45344</v>
      </c>
      <c r="C1532" t="s">
        <v>16838</v>
      </c>
      <c r="D1532" t="s">
        <v>16839</v>
      </c>
      <c r="E1532">
        <v>0</v>
      </c>
      <c r="F1532">
        <v>47420</v>
      </c>
      <c r="G1532" s="259">
        <v>0</v>
      </c>
      <c r="H1532" s="259">
        <v>43920</v>
      </c>
      <c r="I1532" s="259">
        <v>3500</v>
      </c>
      <c r="J1532" s="259">
        <v>0</v>
      </c>
      <c r="K1532" s="260">
        <v>0</v>
      </c>
      <c r="L1532" s="260">
        <v>0</v>
      </c>
      <c r="M1532" s="260">
        <v>0</v>
      </c>
      <c r="N1532" s="260">
        <v>0</v>
      </c>
      <c r="O1532" s="261">
        <v>0</v>
      </c>
      <c r="P1532" s="261">
        <v>43920</v>
      </c>
      <c r="Q1532" s="261">
        <v>3500</v>
      </c>
      <c r="R1532" s="261">
        <v>0</v>
      </c>
      <c r="S1532">
        <v>47420</v>
      </c>
      <c r="T1532">
        <v>0</v>
      </c>
    </row>
    <row r="1533" spans="1:21">
      <c r="A1533" t="s">
        <v>19297</v>
      </c>
      <c r="B1533">
        <v>45348</v>
      </c>
      <c r="C1533" t="s">
        <v>17259</v>
      </c>
      <c r="D1533" t="s">
        <v>17260</v>
      </c>
      <c r="E1533">
        <v>0</v>
      </c>
      <c r="F1533">
        <v>101973.78300000001</v>
      </c>
      <c r="G1533" s="259">
        <v>10108.152</v>
      </c>
      <c r="H1533" s="259">
        <v>68105.233999999997</v>
      </c>
      <c r="I1533" s="259">
        <v>0</v>
      </c>
      <c r="J1533" s="259">
        <v>4417.6368000000002</v>
      </c>
      <c r="K1533" s="260">
        <v>2159.1918139534887</v>
      </c>
      <c r="L1533" s="260">
        <v>17183.568186046512</v>
      </c>
      <c r="M1533" s="260">
        <v>0</v>
      </c>
      <c r="N1533" s="260">
        <v>0</v>
      </c>
      <c r="O1533" s="261">
        <v>12267.343813953488</v>
      </c>
      <c r="P1533" s="261">
        <v>85288.802186046509</v>
      </c>
      <c r="Q1533" s="261">
        <v>0</v>
      </c>
      <c r="R1533" s="261">
        <v>4417.6368000000002</v>
      </c>
      <c r="S1533">
        <v>101973.78279999999</v>
      </c>
      <c r="T1533">
        <v>2.0000002405140549E-4</v>
      </c>
    </row>
    <row r="1534" spans="1:21">
      <c r="A1534" t="s">
        <v>19298</v>
      </c>
      <c r="B1534">
        <v>45348</v>
      </c>
      <c r="C1534" t="s">
        <v>17342</v>
      </c>
      <c r="D1534" t="s">
        <v>17343</v>
      </c>
      <c r="E1534">
        <v>0</v>
      </c>
      <c r="F1534">
        <v>88221.649000000005</v>
      </c>
      <c r="G1534" s="259">
        <v>5944.1218559999998</v>
      </c>
      <c r="H1534" s="259">
        <v>44669.816179199988</v>
      </c>
      <c r="I1534" s="259">
        <v>25778.41056</v>
      </c>
      <c r="J1534" s="259">
        <v>0</v>
      </c>
      <c r="K1534" s="260">
        <v>917</v>
      </c>
      <c r="L1534" s="260">
        <v>6900.4250000000002</v>
      </c>
      <c r="M1534" s="260">
        <v>4011.875</v>
      </c>
      <c r="N1534" s="260">
        <v>0</v>
      </c>
      <c r="O1534" s="261">
        <v>6861.1218559999998</v>
      </c>
      <c r="P1534" s="261">
        <v>51570.241179199991</v>
      </c>
      <c r="Q1534" s="261">
        <v>29790.28556</v>
      </c>
      <c r="R1534" s="261">
        <v>0</v>
      </c>
      <c r="S1534">
        <v>88221.648595199993</v>
      </c>
      <c r="T1534">
        <v>4.0480001189280301E-4</v>
      </c>
    </row>
    <row r="1535" spans="1:21">
      <c r="A1535" t="s">
        <v>19299</v>
      </c>
      <c r="B1535">
        <v>45349</v>
      </c>
      <c r="C1535" t="s">
        <v>16838</v>
      </c>
      <c r="D1535" t="s">
        <v>16839</v>
      </c>
      <c r="E1535">
        <v>0</v>
      </c>
      <c r="F1535">
        <v>221400</v>
      </c>
      <c r="G1535" s="259">
        <v>0</v>
      </c>
      <c r="H1535" s="259">
        <v>221400</v>
      </c>
      <c r="I1535" s="259">
        <v>0</v>
      </c>
      <c r="J1535" s="259">
        <v>0</v>
      </c>
      <c r="K1535" s="260">
        <v>0</v>
      </c>
      <c r="L1535" s="260">
        <v>0</v>
      </c>
      <c r="M1535" s="260">
        <v>0</v>
      </c>
      <c r="N1535" s="260">
        <v>0</v>
      </c>
      <c r="O1535" s="261">
        <v>0</v>
      </c>
      <c r="P1535" s="261">
        <v>221400</v>
      </c>
      <c r="Q1535" s="261">
        <v>0</v>
      </c>
      <c r="R1535" s="261">
        <v>0</v>
      </c>
      <c r="S1535">
        <v>221400</v>
      </c>
      <c r="T1535">
        <v>0</v>
      </c>
    </row>
    <row r="1536" spans="1:21">
      <c r="A1536" t="s">
        <v>19300</v>
      </c>
      <c r="B1536">
        <v>45352</v>
      </c>
      <c r="C1536" t="s">
        <v>17357</v>
      </c>
      <c r="D1536" t="s">
        <v>19144</v>
      </c>
      <c r="E1536">
        <v>0</v>
      </c>
      <c r="F1536">
        <v>87922.326000000001</v>
      </c>
      <c r="G1536" s="259">
        <v>0</v>
      </c>
      <c r="H1536" s="259">
        <v>70485.040079999992</v>
      </c>
      <c r="I1536" s="259">
        <v>7831.6711200000009</v>
      </c>
      <c r="J1536" s="259">
        <v>2496.1190999999999</v>
      </c>
      <c r="K1536" s="260">
        <v>0</v>
      </c>
      <c r="L1536" s="260">
        <v>6307.1385942857141</v>
      </c>
      <c r="M1536" s="260">
        <v>700.79317714285719</v>
      </c>
      <c r="N1536" s="260">
        <v>101.56422857142857</v>
      </c>
      <c r="O1536" s="261">
        <v>0</v>
      </c>
      <c r="P1536" s="261">
        <v>76792.178674285708</v>
      </c>
      <c r="Q1536" s="261">
        <v>8532.4642971428584</v>
      </c>
      <c r="R1536" s="261">
        <v>2597.6833285714283</v>
      </c>
      <c r="S1536">
        <v>87922.326299999986</v>
      </c>
      <c r="T1536">
        <v>-2.9999998514540493E-4</v>
      </c>
    </row>
    <row r="1537" spans="1:21">
      <c r="A1537" t="s">
        <v>19301</v>
      </c>
      <c r="B1537">
        <v>45352</v>
      </c>
      <c r="C1537" t="s">
        <v>17342</v>
      </c>
      <c r="D1537" t="s">
        <v>17343</v>
      </c>
      <c r="E1537">
        <v>0</v>
      </c>
      <c r="F1537">
        <v>77933.921000000002</v>
      </c>
      <c r="G1537" s="259">
        <v>65265.858000000007</v>
      </c>
      <c r="H1537" s="259">
        <v>0</v>
      </c>
      <c r="I1537" s="259">
        <v>0</v>
      </c>
      <c r="J1537" s="259">
        <v>0</v>
      </c>
      <c r="K1537" s="260">
        <v>12668.0625</v>
      </c>
      <c r="L1537" s="260">
        <v>0</v>
      </c>
      <c r="M1537" s="260">
        <v>0</v>
      </c>
      <c r="N1537" s="260">
        <v>0</v>
      </c>
      <c r="O1537" s="261">
        <v>77933.920500000007</v>
      </c>
      <c r="P1537" s="261">
        <v>0</v>
      </c>
      <c r="Q1537" s="261">
        <v>0</v>
      </c>
      <c r="R1537" s="261">
        <v>0</v>
      </c>
      <c r="S1537">
        <v>77933.920500000007</v>
      </c>
      <c r="T1537">
        <v>4.999999946448952E-4</v>
      </c>
    </row>
    <row r="1538" spans="1:21">
      <c r="A1538" t="s">
        <v>19302</v>
      </c>
      <c r="B1538">
        <v>45352</v>
      </c>
      <c r="C1538" t="s">
        <v>17342</v>
      </c>
      <c r="D1538" t="s">
        <v>17343</v>
      </c>
      <c r="E1538">
        <v>0</v>
      </c>
      <c r="F1538">
        <v>80720.448000000004</v>
      </c>
      <c r="G1538" s="259">
        <v>0</v>
      </c>
      <c r="H1538" s="259">
        <v>50537.545747199998</v>
      </c>
      <c r="I1538" s="259">
        <v>0</v>
      </c>
      <c r="J1538" s="259">
        <v>20210.280119999999</v>
      </c>
      <c r="K1538" s="260">
        <v>0</v>
      </c>
      <c r="L1538" s="260">
        <v>8633.2449577897169</v>
      </c>
      <c r="M1538" s="260">
        <v>0</v>
      </c>
      <c r="N1538" s="260">
        <v>1339.377542210284</v>
      </c>
      <c r="O1538" s="261">
        <v>0</v>
      </c>
      <c r="P1538" s="261">
        <v>59170.790704989719</v>
      </c>
      <c r="Q1538" s="261">
        <v>0</v>
      </c>
      <c r="R1538" s="261">
        <v>21549.657662210284</v>
      </c>
      <c r="S1538">
        <v>80720.448367200006</v>
      </c>
      <c r="T1538">
        <v>-3.6720000207424164E-4</v>
      </c>
    </row>
    <row r="1539" spans="1:21">
      <c r="A1539" t="s">
        <v>19303</v>
      </c>
      <c r="B1539">
        <v>45352</v>
      </c>
      <c r="C1539" t="s">
        <v>16783</v>
      </c>
      <c r="D1539" t="s">
        <v>17509</v>
      </c>
      <c r="E1539">
        <v>0</v>
      </c>
      <c r="F1539">
        <v>555182.20799999998</v>
      </c>
      <c r="G1539" s="259">
        <v>52375.68</v>
      </c>
      <c r="H1539" s="259">
        <v>439955.71199999994</v>
      </c>
      <c r="I1539" s="259">
        <v>62850.815999999999</v>
      </c>
      <c r="J1539" s="259">
        <v>0</v>
      </c>
      <c r="K1539" s="260">
        <v>0</v>
      </c>
      <c r="L1539" s="260">
        <v>0</v>
      </c>
      <c r="M1539" s="260">
        <v>0</v>
      </c>
      <c r="N1539" s="260">
        <v>0</v>
      </c>
      <c r="O1539" s="261">
        <v>52375.68</v>
      </c>
      <c r="P1539" s="261">
        <v>439955.71199999994</v>
      </c>
      <c r="Q1539" s="261">
        <v>62850.815999999999</v>
      </c>
      <c r="R1539" s="261">
        <v>0</v>
      </c>
      <c r="S1539">
        <v>555182.20799999998</v>
      </c>
      <c r="T1539">
        <v>0</v>
      </c>
    </row>
    <row r="1540" spans="1:21">
      <c r="A1540" t="s">
        <v>19304</v>
      </c>
      <c r="B1540">
        <v>45355</v>
      </c>
      <c r="C1540" t="s">
        <v>16880</v>
      </c>
      <c r="D1540" t="s">
        <v>16881</v>
      </c>
      <c r="E1540">
        <v>0</v>
      </c>
      <c r="F1540">
        <v>81142.527999999991</v>
      </c>
      <c r="G1540" s="259">
        <v>24878.844480000003</v>
      </c>
      <c r="H1540" s="259">
        <v>56263.683502000014</v>
      </c>
      <c r="I1540" s="259">
        <v>0</v>
      </c>
      <c r="J1540" s="259">
        <v>0</v>
      </c>
      <c r="K1540" s="260">
        <v>0</v>
      </c>
      <c r="L1540" s="260">
        <v>0</v>
      </c>
      <c r="M1540" s="260">
        <v>0</v>
      </c>
      <c r="N1540" s="260">
        <v>0</v>
      </c>
      <c r="O1540" s="261">
        <v>24878.844480000003</v>
      </c>
      <c r="P1540" s="261">
        <v>56263.683502000014</v>
      </c>
      <c r="Q1540" s="261">
        <v>0</v>
      </c>
      <c r="R1540" s="261">
        <v>0</v>
      </c>
      <c r="S1540">
        <v>81142.527982000014</v>
      </c>
      <c r="T1540">
        <v>1.7999976989813149E-5</v>
      </c>
    </row>
    <row r="1541" spans="1:21">
      <c r="A1541" t="s">
        <v>19305</v>
      </c>
      <c r="B1541">
        <v>45356</v>
      </c>
      <c r="C1541" t="s">
        <v>17342</v>
      </c>
      <c r="D1541" t="s">
        <v>17343</v>
      </c>
      <c r="E1541">
        <v>0</v>
      </c>
      <c r="F1541">
        <v>87678.039000000004</v>
      </c>
      <c r="G1541" s="259">
        <v>5945.440896000001</v>
      </c>
      <c r="H1541" s="259">
        <v>47478.499574399997</v>
      </c>
      <c r="I1541" s="259">
        <v>18417.236399999998</v>
      </c>
      <c r="J1541" s="259">
        <v>4004.9375850000001</v>
      </c>
      <c r="K1541" s="260">
        <v>945.45097386382542</v>
      </c>
      <c r="L1541" s="260">
        <v>7587.2440652571995</v>
      </c>
      <c r="M1541" s="260">
        <v>2954.5342933244547</v>
      </c>
      <c r="N1541" s="260">
        <v>344.69566755451967</v>
      </c>
      <c r="O1541" s="261">
        <v>6890.8918698638263</v>
      </c>
      <c r="P1541" s="261">
        <v>55065.743639657194</v>
      </c>
      <c r="Q1541" s="261">
        <v>21371.770693324452</v>
      </c>
      <c r="R1541" s="261">
        <v>4349.6332525545195</v>
      </c>
      <c r="S1541">
        <v>87678.039455399979</v>
      </c>
      <c r="T1541">
        <v>-4.5539997518062592E-4</v>
      </c>
    </row>
    <row r="1542" spans="1:21">
      <c r="A1542" t="s">
        <v>19306</v>
      </c>
      <c r="B1542">
        <v>45357</v>
      </c>
      <c r="C1542" t="s">
        <v>17342</v>
      </c>
      <c r="D1542" t="s">
        <v>17343</v>
      </c>
      <c r="E1542">
        <v>0</v>
      </c>
      <c r="F1542">
        <v>91393.37</v>
      </c>
      <c r="G1542" s="259">
        <v>5952.1240320000006</v>
      </c>
      <c r="H1542" s="259">
        <v>48878.082290399987</v>
      </c>
      <c r="I1542" s="259">
        <v>11062.763279999997</v>
      </c>
      <c r="J1542" s="259">
        <v>13655.175380000002</v>
      </c>
      <c r="K1542" s="260">
        <v>959.45123185960176</v>
      </c>
      <c r="L1542" s="260">
        <v>7687.6029952750596</v>
      </c>
      <c r="M1542" s="260">
        <v>1798.9710597367534</v>
      </c>
      <c r="N1542" s="260">
        <v>1399.1997131285859</v>
      </c>
      <c r="O1542" s="261">
        <v>6911.5752638596023</v>
      </c>
      <c r="P1542" s="261">
        <v>56565.685285675048</v>
      </c>
      <c r="Q1542" s="261">
        <v>12861.734339736751</v>
      </c>
      <c r="R1542" s="261">
        <v>15054.375093128589</v>
      </c>
      <c r="S1542">
        <v>91393.369982399992</v>
      </c>
      <c r="T1542">
        <v>1.7600003047846258E-5</v>
      </c>
    </row>
    <row r="1543" spans="1:21">
      <c r="A1543" t="s">
        <v>19307</v>
      </c>
      <c r="B1543">
        <v>45357</v>
      </c>
      <c r="C1543" t="s">
        <v>17209</v>
      </c>
      <c r="D1543" t="s">
        <v>17210</v>
      </c>
      <c r="E1543">
        <v>0</v>
      </c>
      <c r="F1543">
        <v>309443.51699999999</v>
      </c>
      <c r="G1543" s="259">
        <v>14356.460160000001</v>
      </c>
      <c r="H1543" s="259">
        <v>125656.18079999999</v>
      </c>
      <c r="I1543" s="259">
        <v>93837.15264</v>
      </c>
      <c r="J1543" s="259">
        <v>41380.712999999996</v>
      </c>
      <c r="K1543" s="260">
        <v>2022.877197943445</v>
      </c>
      <c r="L1543" s="260">
        <v>17150.480591259642</v>
      </c>
      <c r="M1543" s="260">
        <v>12840.872647814911</v>
      </c>
      <c r="N1543" s="260">
        <v>2198.7795629820052</v>
      </c>
      <c r="O1543" s="261">
        <v>16379.337357943445</v>
      </c>
      <c r="P1543" s="261">
        <v>142806.66139125964</v>
      </c>
      <c r="Q1543" s="261">
        <v>106678.0252878149</v>
      </c>
      <c r="R1543" s="261">
        <v>43579.492562981999</v>
      </c>
      <c r="S1543">
        <v>309443.51659999997</v>
      </c>
      <c r="T1543">
        <v>4.0000001899898052E-4</v>
      </c>
    </row>
    <row r="1544" spans="1:21">
      <c r="A1544" t="s">
        <v>19308</v>
      </c>
      <c r="B1544">
        <v>45628</v>
      </c>
      <c r="C1544" t="s">
        <v>16470</v>
      </c>
      <c r="D1544" t="s">
        <v>16471</v>
      </c>
      <c r="E1544">
        <v>0</v>
      </c>
      <c r="F1544">
        <v>590697.21600000001</v>
      </c>
      <c r="G1544" s="259">
        <v>23946.0108</v>
      </c>
      <c r="H1544" s="259">
        <v>476747.76727000007</v>
      </c>
      <c r="I1544" s="259">
        <v>27594.882499999996</v>
      </c>
      <c r="J1544" s="259">
        <v>0</v>
      </c>
      <c r="K1544" s="260">
        <v>2552.2566084648693</v>
      </c>
      <c r="L1544" s="260">
        <v>54891.914149671742</v>
      </c>
      <c r="M1544" s="260">
        <v>3589.6717418633884</v>
      </c>
      <c r="N1544" s="260">
        <v>0</v>
      </c>
      <c r="O1544" s="261">
        <v>26498.267408464868</v>
      </c>
      <c r="P1544" s="261">
        <v>531639.68141967186</v>
      </c>
      <c r="Q1544" s="261">
        <v>31184.554241863385</v>
      </c>
      <c r="R1544" s="261">
        <v>0</v>
      </c>
      <c r="S1544">
        <v>589322.50307000021</v>
      </c>
      <c r="T1544">
        <v>1374.7129299998051</v>
      </c>
      <c r="U1544" t="s">
        <v>19268</v>
      </c>
    </row>
    <row r="1545" spans="1:21">
      <c r="A1545" t="s">
        <v>19309</v>
      </c>
      <c r="B1545">
        <v>45359</v>
      </c>
      <c r="C1545" t="s">
        <v>16444</v>
      </c>
      <c r="D1545" t="s">
        <v>16445</v>
      </c>
      <c r="E1545">
        <v>0</v>
      </c>
      <c r="F1545">
        <v>38976</v>
      </c>
      <c r="G1545" s="259">
        <v>38976</v>
      </c>
      <c r="H1545" s="259">
        <v>0</v>
      </c>
      <c r="I1545" s="259">
        <v>0</v>
      </c>
      <c r="J1545" s="259">
        <v>0</v>
      </c>
      <c r="K1545" s="260">
        <v>0</v>
      </c>
      <c r="L1545" s="260">
        <v>0</v>
      </c>
      <c r="M1545" s="260">
        <v>0</v>
      </c>
      <c r="N1545" s="260">
        <v>0</v>
      </c>
      <c r="O1545" s="261">
        <v>38976</v>
      </c>
      <c r="P1545" s="261">
        <v>0</v>
      </c>
      <c r="Q1545" s="261">
        <v>0</v>
      </c>
      <c r="R1545" s="261">
        <v>0</v>
      </c>
      <c r="S1545">
        <v>38976</v>
      </c>
      <c r="T1545">
        <v>0</v>
      </c>
    </row>
    <row r="1546" spans="1:21">
      <c r="A1546" t="s">
        <v>19310</v>
      </c>
      <c r="B1546">
        <v>45359</v>
      </c>
      <c r="C1546" t="s">
        <v>16444</v>
      </c>
      <c r="D1546" t="s">
        <v>16445</v>
      </c>
      <c r="E1546">
        <v>0</v>
      </c>
      <c r="F1546">
        <v>38976</v>
      </c>
      <c r="G1546" s="259">
        <v>38976</v>
      </c>
      <c r="H1546" s="259">
        <v>0</v>
      </c>
      <c r="I1546" s="259">
        <v>0</v>
      </c>
      <c r="J1546" s="259">
        <v>0</v>
      </c>
      <c r="K1546" s="260">
        <v>0</v>
      </c>
      <c r="L1546" s="260">
        <v>0</v>
      </c>
      <c r="M1546" s="260">
        <v>0</v>
      </c>
      <c r="N1546" s="260">
        <v>0</v>
      </c>
      <c r="O1546" s="261">
        <v>38976</v>
      </c>
      <c r="P1546" s="261">
        <v>0</v>
      </c>
      <c r="Q1546" s="261">
        <v>0</v>
      </c>
      <c r="R1546" s="261">
        <v>0</v>
      </c>
      <c r="S1546">
        <v>38976</v>
      </c>
      <c r="T1546">
        <v>0</v>
      </c>
    </row>
    <row r="1547" spans="1:21">
      <c r="A1547" t="s">
        <v>19311</v>
      </c>
      <c r="B1547">
        <v>45359</v>
      </c>
      <c r="C1547" t="s">
        <v>16384</v>
      </c>
      <c r="D1547" t="s">
        <v>16385</v>
      </c>
      <c r="E1547">
        <v>0</v>
      </c>
      <c r="F1547">
        <v>441876.42</v>
      </c>
      <c r="G1547" s="259">
        <v>390430.02</v>
      </c>
      <c r="H1547" s="259">
        <v>51446.400000000001</v>
      </c>
      <c r="I1547" s="259">
        <v>0</v>
      </c>
      <c r="J1547" s="259">
        <v>0</v>
      </c>
      <c r="K1547" s="260">
        <v>0</v>
      </c>
      <c r="L1547" s="260">
        <v>0</v>
      </c>
      <c r="M1547" s="260">
        <v>0</v>
      </c>
      <c r="N1547" s="260">
        <v>0</v>
      </c>
      <c r="O1547" s="261">
        <v>390430.02</v>
      </c>
      <c r="P1547" s="261">
        <v>51446.400000000001</v>
      </c>
      <c r="Q1547" s="261">
        <v>0</v>
      </c>
      <c r="R1547" s="261">
        <v>0</v>
      </c>
      <c r="S1547">
        <v>441876.42000000004</v>
      </c>
      <c r="T1547">
        <v>0</v>
      </c>
    </row>
    <row r="1548" spans="1:21">
      <c r="A1548" t="s">
        <v>19312</v>
      </c>
      <c r="B1548">
        <v>45359</v>
      </c>
      <c r="C1548" t="s">
        <v>16838</v>
      </c>
      <c r="D1548" t="s">
        <v>16839</v>
      </c>
      <c r="E1548">
        <v>0</v>
      </c>
      <c r="F1548">
        <v>39744</v>
      </c>
      <c r="G1548" s="259">
        <v>0</v>
      </c>
      <c r="H1548" s="259">
        <v>39744</v>
      </c>
      <c r="I1548" s="259">
        <v>0</v>
      </c>
      <c r="J1548" s="259">
        <v>0</v>
      </c>
      <c r="K1548" s="260">
        <v>0</v>
      </c>
      <c r="L1548" s="260">
        <v>0</v>
      </c>
      <c r="M1548" s="260">
        <v>0</v>
      </c>
      <c r="N1548" s="260">
        <v>0</v>
      </c>
      <c r="O1548" s="261">
        <v>0</v>
      </c>
      <c r="P1548" s="261">
        <v>39744</v>
      </c>
      <c r="Q1548" s="261">
        <v>0</v>
      </c>
      <c r="R1548" s="261">
        <v>0</v>
      </c>
      <c r="S1548">
        <v>39744</v>
      </c>
      <c r="T1548">
        <v>0</v>
      </c>
    </row>
    <row r="1549" spans="1:21">
      <c r="A1549" t="s">
        <v>19313</v>
      </c>
      <c r="B1549">
        <v>45362</v>
      </c>
      <c r="C1549" t="s">
        <v>17309</v>
      </c>
      <c r="D1549" t="s">
        <v>18704</v>
      </c>
      <c r="E1549">
        <v>0</v>
      </c>
      <c r="F1549">
        <v>118680</v>
      </c>
      <c r="G1549" s="259">
        <v>0</v>
      </c>
      <c r="H1549" s="259">
        <v>32640</v>
      </c>
      <c r="I1549" s="259">
        <v>86040</v>
      </c>
      <c r="J1549" s="259">
        <v>0</v>
      </c>
      <c r="K1549" s="260">
        <v>0</v>
      </c>
      <c r="L1549" s="260">
        <v>0</v>
      </c>
      <c r="M1549" s="260">
        <v>0</v>
      </c>
      <c r="N1549" s="260">
        <v>0</v>
      </c>
      <c r="O1549" s="261">
        <v>0</v>
      </c>
      <c r="P1549" s="261">
        <v>32640</v>
      </c>
      <c r="Q1549" s="261">
        <v>86040</v>
      </c>
      <c r="R1549" s="261">
        <v>0</v>
      </c>
      <c r="S1549">
        <v>118680</v>
      </c>
      <c r="T1549">
        <v>0</v>
      </c>
    </row>
    <row r="1550" spans="1:21">
      <c r="A1550" t="s">
        <v>19314</v>
      </c>
      <c r="B1550">
        <v>45362</v>
      </c>
      <c r="C1550" t="s">
        <v>17309</v>
      </c>
      <c r="D1550" t="s">
        <v>18704</v>
      </c>
      <c r="E1550">
        <v>0</v>
      </c>
      <c r="F1550">
        <v>77952</v>
      </c>
      <c r="G1550" s="259">
        <v>77952</v>
      </c>
      <c r="H1550" s="259">
        <v>0</v>
      </c>
      <c r="I1550" s="259">
        <v>0</v>
      </c>
      <c r="J1550" s="259">
        <v>0</v>
      </c>
      <c r="K1550" s="260">
        <v>0</v>
      </c>
      <c r="L1550" s="260">
        <v>0</v>
      </c>
      <c r="M1550" s="260">
        <v>0</v>
      </c>
      <c r="N1550" s="260">
        <v>0</v>
      </c>
      <c r="O1550" s="261">
        <v>77952</v>
      </c>
      <c r="P1550" s="261">
        <v>0</v>
      </c>
      <c r="Q1550" s="261">
        <v>0</v>
      </c>
      <c r="R1550" s="261">
        <v>0</v>
      </c>
      <c r="S1550">
        <v>77952</v>
      </c>
      <c r="T1550">
        <v>0</v>
      </c>
    </row>
    <row r="1551" spans="1:21">
      <c r="A1551" t="s">
        <v>19315</v>
      </c>
      <c r="B1551">
        <v>45363</v>
      </c>
      <c r="C1551" t="s">
        <v>17017</v>
      </c>
      <c r="D1551" t="s">
        <v>17430</v>
      </c>
      <c r="E1551">
        <v>0</v>
      </c>
      <c r="F1551">
        <v>50225</v>
      </c>
      <c r="G1551" s="259">
        <v>0</v>
      </c>
      <c r="H1551" s="259">
        <v>50225</v>
      </c>
      <c r="I1551" s="259">
        <v>0</v>
      </c>
      <c r="J1551" s="259">
        <v>0</v>
      </c>
      <c r="K1551" s="260">
        <v>0</v>
      </c>
      <c r="L1551" s="260">
        <v>0</v>
      </c>
      <c r="M1551" s="260">
        <v>0</v>
      </c>
      <c r="N1551" s="260">
        <v>0</v>
      </c>
      <c r="O1551" s="261">
        <v>0</v>
      </c>
      <c r="P1551" s="261">
        <v>50225</v>
      </c>
      <c r="Q1551" s="261">
        <v>0</v>
      </c>
      <c r="R1551" s="261">
        <v>0</v>
      </c>
      <c r="S1551">
        <v>50225</v>
      </c>
      <c r="T1551">
        <v>0</v>
      </c>
    </row>
    <row r="1552" spans="1:21">
      <c r="A1552" t="s">
        <v>19316</v>
      </c>
      <c r="B1552">
        <v>45363</v>
      </c>
      <c r="C1552" t="s">
        <v>16904</v>
      </c>
      <c r="D1552" t="s">
        <v>16905</v>
      </c>
      <c r="E1552">
        <v>0</v>
      </c>
      <c r="F1552">
        <v>86334.318000000014</v>
      </c>
      <c r="G1552" s="259">
        <v>0</v>
      </c>
      <c r="H1552" s="259">
        <v>37590.287867999999</v>
      </c>
      <c r="I1552" s="259">
        <v>34385.192625000003</v>
      </c>
      <c r="J1552" s="259">
        <v>0</v>
      </c>
      <c r="K1552" s="260">
        <v>0</v>
      </c>
      <c r="L1552" s="260">
        <v>7446.6885109114255</v>
      </c>
      <c r="M1552" s="260">
        <v>6912.1489890885759</v>
      </c>
      <c r="N1552" s="260">
        <v>0</v>
      </c>
      <c r="O1552" s="261">
        <v>0</v>
      </c>
      <c r="P1552" s="261">
        <v>45036.976378911422</v>
      </c>
      <c r="Q1552" s="261">
        <v>41297.341614088582</v>
      </c>
      <c r="R1552" s="261">
        <v>0</v>
      </c>
      <c r="S1552">
        <v>86334.317993000004</v>
      </c>
      <c r="T1552">
        <v>7.0000096457079053E-6</v>
      </c>
    </row>
    <row r="1553" spans="1:20">
      <c r="A1553" t="s">
        <v>19317</v>
      </c>
      <c r="B1553">
        <v>45363</v>
      </c>
      <c r="C1553" t="s">
        <v>16904</v>
      </c>
      <c r="D1553" t="s">
        <v>16905</v>
      </c>
      <c r="E1553">
        <v>0</v>
      </c>
      <c r="F1553">
        <v>85916.729000000007</v>
      </c>
      <c r="G1553" s="259">
        <v>0</v>
      </c>
      <c r="H1553" s="259">
        <v>29216.213838</v>
      </c>
      <c r="I1553" s="259">
        <v>42341.677874999994</v>
      </c>
      <c r="J1553" s="259">
        <v>0</v>
      </c>
      <c r="K1553" s="260">
        <v>0</v>
      </c>
      <c r="L1553" s="260">
        <v>5837.731948640484</v>
      </c>
      <c r="M1553" s="260">
        <v>8521.1055513595165</v>
      </c>
      <c r="N1553" s="260">
        <v>0</v>
      </c>
      <c r="O1553" s="261">
        <v>0</v>
      </c>
      <c r="P1553" s="261">
        <v>35053.945786640485</v>
      </c>
      <c r="Q1553" s="261">
        <v>50862.783426359514</v>
      </c>
      <c r="R1553" s="261">
        <v>0</v>
      </c>
      <c r="S1553">
        <v>85916.729212999999</v>
      </c>
      <c r="T1553">
        <v>-2.1299999207258224E-4</v>
      </c>
    </row>
    <row r="1554" spans="1:20">
      <c r="A1554" t="s">
        <v>19318</v>
      </c>
      <c r="B1554">
        <v>45363</v>
      </c>
      <c r="C1554" t="s">
        <v>16444</v>
      </c>
      <c r="D1554" t="s">
        <v>16445</v>
      </c>
      <c r="E1554">
        <v>0</v>
      </c>
      <c r="F1554">
        <v>79488</v>
      </c>
      <c r="G1554" s="259">
        <v>0</v>
      </c>
      <c r="H1554" s="259">
        <v>79488</v>
      </c>
      <c r="I1554" s="259">
        <v>0</v>
      </c>
      <c r="J1554" s="259">
        <v>0</v>
      </c>
      <c r="K1554" s="260">
        <v>0</v>
      </c>
      <c r="L1554" s="260">
        <v>0</v>
      </c>
      <c r="M1554" s="260">
        <v>0</v>
      </c>
      <c r="N1554" s="260">
        <v>0</v>
      </c>
      <c r="O1554" s="261">
        <v>0</v>
      </c>
      <c r="P1554" s="261">
        <v>79488</v>
      </c>
      <c r="Q1554" s="261">
        <v>0</v>
      </c>
      <c r="R1554" s="261">
        <v>0</v>
      </c>
      <c r="S1554">
        <v>79488</v>
      </c>
      <c r="T1554">
        <v>0</v>
      </c>
    </row>
    <row r="1555" spans="1:20">
      <c r="A1555" t="s">
        <v>19319</v>
      </c>
      <c r="B1555">
        <v>45363</v>
      </c>
      <c r="C1555" t="s">
        <v>17342</v>
      </c>
      <c r="D1555" t="s">
        <v>17343</v>
      </c>
      <c r="E1555">
        <v>0</v>
      </c>
      <c r="F1555">
        <v>95007.495999999999</v>
      </c>
      <c r="G1555" s="259">
        <v>17851.359744000001</v>
      </c>
      <c r="H1555" s="259">
        <v>47976.341327999988</v>
      </c>
      <c r="I1555" s="259">
        <v>3686.552639999999</v>
      </c>
      <c r="J1555" s="259">
        <v>13651.342319999998</v>
      </c>
      <c r="K1555" s="260">
        <v>2736.254172015404</v>
      </c>
      <c r="L1555" s="260">
        <v>7205.4693196405642</v>
      </c>
      <c r="M1555" s="260">
        <v>570.05295250320921</v>
      </c>
      <c r="N1555" s="260">
        <v>1330.1235558408216</v>
      </c>
      <c r="O1555" s="261">
        <v>20587.613916015405</v>
      </c>
      <c r="P1555" s="261">
        <v>55181.810647640552</v>
      </c>
      <c r="Q1555" s="261">
        <v>4256.6055925032078</v>
      </c>
      <c r="R1555" s="261">
        <v>14981.465875840819</v>
      </c>
      <c r="S1555">
        <v>95007.496031999981</v>
      </c>
      <c r="T1555">
        <v>-3.1999981729313731E-5</v>
      </c>
    </row>
    <row r="1556" spans="1:20">
      <c r="A1556" t="s">
        <v>19320</v>
      </c>
      <c r="B1556">
        <v>45369</v>
      </c>
      <c r="C1556" t="s">
        <v>17342</v>
      </c>
      <c r="D1556" t="s">
        <v>17343</v>
      </c>
      <c r="E1556">
        <v>0</v>
      </c>
      <c r="F1556">
        <v>91769.716</v>
      </c>
      <c r="G1556" s="259">
        <v>29709.617280000002</v>
      </c>
      <c r="H1556" s="259">
        <v>37578.449428799999</v>
      </c>
      <c r="I1556" s="259">
        <v>7362.5361599999997</v>
      </c>
      <c r="J1556" s="259">
        <v>5294.1878499999993</v>
      </c>
      <c r="K1556" s="260">
        <v>4562.6720257234729</v>
      </c>
      <c r="L1556" s="260">
        <v>5646.3066318327983</v>
      </c>
      <c r="M1556" s="260">
        <v>1140.6680064308682</v>
      </c>
      <c r="N1556" s="260">
        <v>475.27833601286181</v>
      </c>
      <c r="O1556" s="261">
        <v>34272.289305723476</v>
      </c>
      <c r="P1556" s="261">
        <v>43224.756060632797</v>
      </c>
      <c r="Q1556" s="261">
        <v>8503.2041664308672</v>
      </c>
      <c r="R1556" s="261">
        <v>5769.4661860128608</v>
      </c>
      <c r="S1556">
        <v>91769.715718799984</v>
      </c>
      <c r="T1556">
        <v>2.8120001661591232E-4</v>
      </c>
    </row>
    <row r="1557" spans="1:20">
      <c r="A1557" t="s">
        <v>19321</v>
      </c>
      <c r="B1557">
        <v>45369</v>
      </c>
      <c r="C1557" t="s">
        <v>17342</v>
      </c>
      <c r="D1557" t="s">
        <v>17343</v>
      </c>
      <c r="E1557">
        <v>0</v>
      </c>
      <c r="F1557">
        <v>85607.138000000006</v>
      </c>
      <c r="G1557" s="259">
        <v>0</v>
      </c>
      <c r="H1557" s="259">
        <v>57350.044262399992</v>
      </c>
      <c r="I1557" s="259">
        <v>14729.430719999998</v>
      </c>
      <c r="J1557" s="259">
        <v>4605.65074</v>
      </c>
      <c r="K1557" s="260">
        <v>0</v>
      </c>
      <c r="L1557" s="260">
        <v>6965.3023306055657</v>
      </c>
      <c r="M1557" s="260">
        <v>1752.277315875614</v>
      </c>
      <c r="N1557" s="260">
        <v>204.43235351882163</v>
      </c>
      <c r="O1557" s="261">
        <v>0</v>
      </c>
      <c r="P1557" s="261">
        <v>64315.346593005554</v>
      </c>
      <c r="Q1557" s="261">
        <v>16481.708035875614</v>
      </c>
      <c r="R1557" s="261">
        <v>4810.0830935188214</v>
      </c>
      <c r="S1557">
        <v>85607.137722399988</v>
      </c>
      <c r="T1557">
        <v>2.7760001830756664E-4</v>
      </c>
    </row>
    <row r="1558" spans="1:20">
      <c r="A1558" t="s">
        <v>19322</v>
      </c>
      <c r="B1558">
        <v>45370</v>
      </c>
      <c r="C1558" t="s">
        <v>16444</v>
      </c>
      <c r="D1558" t="s">
        <v>16445</v>
      </c>
      <c r="E1558">
        <v>0</v>
      </c>
      <c r="F1558">
        <v>115020</v>
      </c>
      <c r="G1558" s="259">
        <v>115020</v>
      </c>
      <c r="H1558" s="259">
        <v>0</v>
      </c>
      <c r="I1558" s="259">
        <v>0</v>
      </c>
      <c r="J1558" s="259">
        <v>0</v>
      </c>
      <c r="K1558" s="260">
        <v>0</v>
      </c>
      <c r="L1558" s="260">
        <v>0</v>
      </c>
      <c r="M1558" s="260">
        <v>0</v>
      </c>
      <c r="N1558" s="260">
        <v>0</v>
      </c>
      <c r="O1558" s="261">
        <v>115020</v>
      </c>
      <c r="P1558" s="261">
        <v>0</v>
      </c>
      <c r="Q1558" s="261">
        <v>0</v>
      </c>
      <c r="R1558" s="261">
        <v>0</v>
      </c>
      <c r="S1558">
        <v>115020</v>
      </c>
      <c r="T1558">
        <v>0</v>
      </c>
    </row>
    <row r="1559" spans="1:20">
      <c r="A1559" t="s">
        <v>19323</v>
      </c>
      <c r="B1559">
        <v>45370</v>
      </c>
      <c r="C1559" t="s">
        <v>16384</v>
      </c>
      <c r="D1559" t="s">
        <v>16385</v>
      </c>
      <c r="E1559">
        <v>0</v>
      </c>
      <c r="F1559">
        <v>157056</v>
      </c>
      <c r="G1559" s="259">
        <v>157056</v>
      </c>
      <c r="H1559" s="259">
        <v>0</v>
      </c>
      <c r="I1559" s="259">
        <v>0</v>
      </c>
      <c r="J1559" s="259">
        <v>0</v>
      </c>
      <c r="K1559" s="260">
        <v>0</v>
      </c>
      <c r="L1559" s="260">
        <v>0</v>
      </c>
      <c r="M1559" s="260">
        <v>0</v>
      </c>
      <c r="N1559" s="260">
        <v>0</v>
      </c>
      <c r="O1559" s="261">
        <v>157056</v>
      </c>
      <c r="P1559" s="261">
        <v>0</v>
      </c>
      <c r="Q1559" s="261">
        <v>0</v>
      </c>
      <c r="R1559" s="261">
        <v>0</v>
      </c>
      <c r="S1559">
        <v>157056</v>
      </c>
      <c r="T1559">
        <v>0</v>
      </c>
    </row>
    <row r="1560" spans="1:20">
      <c r="A1560" t="s">
        <v>19324</v>
      </c>
      <c r="B1560">
        <v>45414</v>
      </c>
      <c r="C1560" t="s">
        <v>16838</v>
      </c>
      <c r="D1560" t="s">
        <v>16839</v>
      </c>
      <c r="E1560">
        <v>0</v>
      </c>
      <c r="F1560">
        <v>191394</v>
      </c>
      <c r="G1560" s="259">
        <v>7128</v>
      </c>
      <c r="H1560" s="259">
        <v>40626</v>
      </c>
      <c r="I1560" s="259">
        <v>143640</v>
      </c>
      <c r="J1560" s="259">
        <v>0</v>
      </c>
      <c r="K1560" s="260">
        <v>0</v>
      </c>
      <c r="L1560" s="260">
        <v>0</v>
      </c>
      <c r="M1560" s="260">
        <v>0</v>
      </c>
      <c r="N1560" s="260">
        <v>0</v>
      </c>
      <c r="O1560" s="261">
        <v>7128</v>
      </c>
      <c r="P1560" s="261">
        <v>40626</v>
      </c>
      <c r="Q1560" s="261">
        <v>143640</v>
      </c>
      <c r="R1560" s="261">
        <v>0</v>
      </c>
      <c r="S1560">
        <v>191394</v>
      </c>
      <c r="T1560">
        <v>0</v>
      </c>
    </row>
    <row r="1561" spans="1:20">
      <c r="A1561" t="s">
        <v>19325</v>
      </c>
      <c r="B1561">
        <v>45370</v>
      </c>
      <c r="C1561" t="s">
        <v>16957</v>
      </c>
      <c r="D1561" t="s">
        <v>17451</v>
      </c>
      <c r="E1561">
        <v>0</v>
      </c>
      <c r="F1561">
        <v>108698.89300000001</v>
      </c>
      <c r="G1561" s="259">
        <v>108698.89289999999</v>
      </c>
      <c r="H1561" s="259">
        <v>0</v>
      </c>
      <c r="I1561" s="259">
        <v>0</v>
      </c>
      <c r="J1561" s="259">
        <v>0</v>
      </c>
      <c r="K1561" s="260">
        <v>0</v>
      </c>
      <c r="L1561" s="260">
        <v>0</v>
      </c>
      <c r="M1561" s="260">
        <v>0</v>
      </c>
      <c r="N1561" s="260">
        <v>0</v>
      </c>
      <c r="O1561" s="261">
        <v>108698.89289999999</v>
      </c>
      <c r="P1561" s="261">
        <v>0</v>
      </c>
      <c r="Q1561" s="261">
        <v>0</v>
      </c>
      <c r="R1561" s="261">
        <v>0</v>
      </c>
      <c r="S1561">
        <v>108698.89289999999</v>
      </c>
      <c r="T1561">
        <v>1.0000001930166036E-4</v>
      </c>
    </row>
    <row r="1562" spans="1:20">
      <c r="A1562" t="s">
        <v>19326</v>
      </c>
      <c r="B1562">
        <v>45370</v>
      </c>
      <c r="C1562" t="s">
        <v>16957</v>
      </c>
      <c r="D1562" t="s">
        <v>17451</v>
      </c>
      <c r="E1562">
        <v>0</v>
      </c>
      <c r="F1562">
        <v>99372.828000000009</v>
      </c>
      <c r="G1562" s="259">
        <v>99372.828099999999</v>
      </c>
      <c r="H1562" s="259">
        <v>0</v>
      </c>
      <c r="I1562" s="259">
        <v>0</v>
      </c>
      <c r="J1562" s="259">
        <v>0</v>
      </c>
      <c r="K1562" s="260">
        <v>0</v>
      </c>
      <c r="L1562" s="260">
        <v>0</v>
      </c>
      <c r="M1562" s="260">
        <v>0</v>
      </c>
      <c r="N1562" s="260">
        <v>0</v>
      </c>
      <c r="O1562" s="261">
        <v>99372.828099999999</v>
      </c>
      <c r="P1562" s="261">
        <v>0</v>
      </c>
      <c r="Q1562" s="261">
        <v>0</v>
      </c>
      <c r="R1562" s="261">
        <v>0</v>
      </c>
      <c r="S1562">
        <v>99372.828099999999</v>
      </c>
      <c r="T1562">
        <v>-9.9999990197829902E-5</v>
      </c>
    </row>
    <row r="1563" spans="1:20">
      <c r="A1563" t="s">
        <v>19327</v>
      </c>
      <c r="B1563">
        <v>45370</v>
      </c>
      <c r="C1563" t="s">
        <v>17342</v>
      </c>
      <c r="D1563" t="s">
        <v>17343</v>
      </c>
      <c r="E1563">
        <v>0</v>
      </c>
      <c r="F1563">
        <v>8181.7269999999999</v>
      </c>
      <c r="G1563" s="259">
        <v>0</v>
      </c>
      <c r="H1563" s="259">
        <v>0</v>
      </c>
      <c r="I1563" s="259">
        <v>0</v>
      </c>
      <c r="J1563" s="259">
        <v>8181.7270919999992</v>
      </c>
      <c r="K1563" s="260">
        <v>0</v>
      </c>
      <c r="L1563" s="260">
        <v>0</v>
      </c>
      <c r="M1563" s="260">
        <v>0</v>
      </c>
      <c r="N1563" s="260">
        <v>0</v>
      </c>
      <c r="O1563" s="261">
        <v>0</v>
      </c>
      <c r="P1563" s="261">
        <v>0</v>
      </c>
      <c r="Q1563" s="261">
        <v>0</v>
      </c>
      <c r="R1563" s="261">
        <v>8181.7270919999992</v>
      </c>
      <c r="S1563">
        <v>8181.7270919999992</v>
      </c>
      <c r="T1563">
        <v>-9.1999999312974978E-5</v>
      </c>
    </row>
    <row r="1564" spans="1:20">
      <c r="A1564" t="s">
        <v>19328</v>
      </c>
      <c r="B1564">
        <v>45370</v>
      </c>
      <c r="C1564" t="s">
        <v>16783</v>
      </c>
      <c r="D1564" t="s">
        <v>17509</v>
      </c>
      <c r="E1564">
        <v>0</v>
      </c>
      <c r="F1564">
        <v>506429.88500000001</v>
      </c>
      <c r="G1564" s="259">
        <v>0</v>
      </c>
      <c r="H1564" s="259">
        <v>423066.94080000016</v>
      </c>
      <c r="I1564" s="259">
        <v>83362.944000000003</v>
      </c>
      <c r="J1564" s="259">
        <v>0</v>
      </c>
      <c r="K1564" s="260">
        <v>0</v>
      </c>
      <c r="L1564" s="260">
        <v>0</v>
      </c>
      <c r="M1564" s="260">
        <v>0</v>
      </c>
      <c r="N1564" s="260">
        <v>0</v>
      </c>
      <c r="O1564" s="261">
        <v>0</v>
      </c>
      <c r="P1564" s="261">
        <v>423066.94080000016</v>
      </c>
      <c r="Q1564" s="261">
        <v>83362.944000000003</v>
      </c>
      <c r="R1564" s="261">
        <v>0</v>
      </c>
      <c r="S1564">
        <v>506429.88480000017</v>
      </c>
      <c r="T1564">
        <v>1.9999983487650752E-4</v>
      </c>
    </row>
    <row r="1565" spans="1:20">
      <c r="A1565" t="s">
        <v>19329</v>
      </c>
      <c r="B1565">
        <v>45373</v>
      </c>
      <c r="C1565" t="s">
        <v>17342</v>
      </c>
      <c r="D1565" t="s">
        <v>17343</v>
      </c>
      <c r="E1565">
        <v>0</v>
      </c>
      <c r="F1565">
        <v>87346.606</v>
      </c>
      <c r="G1565" s="259">
        <v>0</v>
      </c>
      <c r="H1565" s="259">
        <v>52112.498781599999</v>
      </c>
      <c r="I1565" s="259">
        <v>14729.430719999998</v>
      </c>
      <c r="J1565" s="259">
        <v>8676.2511240000003</v>
      </c>
      <c r="K1565" s="260">
        <v>0</v>
      </c>
      <c r="L1565" s="260">
        <v>8663.4214585519421</v>
      </c>
      <c r="M1565" s="260">
        <v>2482.3557187827914</v>
      </c>
      <c r="N1565" s="260">
        <v>682.64782266526754</v>
      </c>
      <c r="O1565" s="261">
        <v>0</v>
      </c>
      <c r="P1565" s="261">
        <v>60775.920240151943</v>
      </c>
      <c r="Q1565" s="261">
        <v>17211.78643878279</v>
      </c>
      <c r="R1565" s="261">
        <v>9358.8989466652674</v>
      </c>
      <c r="S1565">
        <v>87346.605625600001</v>
      </c>
      <c r="T1565">
        <v>3.7439999869093299E-4</v>
      </c>
    </row>
    <row r="1566" spans="1:20">
      <c r="A1566" t="s">
        <v>19330</v>
      </c>
      <c r="B1566">
        <v>45373</v>
      </c>
      <c r="C1566" t="s">
        <v>17342</v>
      </c>
      <c r="D1566" t="s">
        <v>17343</v>
      </c>
      <c r="E1566">
        <v>0</v>
      </c>
      <c r="F1566">
        <v>85687.758000000002</v>
      </c>
      <c r="G1566" s="259">
        <v>0</v>
      </c>
      <c r="H1566" s="259">
        <v>55904.353310399994</v>
      </c>
      <c r="I1566" s="259">
        <v>14725.072319999999</v>
      </c>
      <c r="J1566" s="259">
        <v>3233.4074920000003</v>
      </c>
      <c r="K1566" s="260">
        <v>0</v>
      </c>
      <c r="L1566" s="260">
        <v>9322.1894344734174</v>
      </c>
      <c r="M1566" s="260">
        <v>2402.6261429055198</v>
      </c>
      <c r="N1566" s="260">
        <v>100.10942262106333</v>
      </c>
      <c r="O1566" s="261">
        <v>0</v>
      </c>
      <c r="P1566" s="261">
        <v>65226.542744873412</v>
      </c>
      <c r="Q1566" s="261">
        <v>17127.698462905519</v>
      </c>
      <c r="R1566" s="261">
        <v>3333.5169146210637</v>
      </c>
      <c r="S1566">
        <v>85687.758122400002</v>
      </c>
      <c r="T1566">
        <v>-1.2240000069141388E-4</v>
      </c>
    </row>
    <row r="1567" spans="1:20">
      <c r="A1567" t="s">
        <v>19331</v>
      </c>
      <c r="B1567">
        <v>45377</v>
      </c>
      <c r="C1567" t="s">
        <v>17226</v>
      </c>
      <c r="D1567" t="s">
        <v>17891</v>
      </c>
      <c r="E1567">
        <v>0</v>
      </c>
      <c r="F1567">
        <v>164120</v>
      </c>
      <c r="G1567" s="259">
        <v>0</v>
      </c>
      <c r="H1567" s="259">
        <v>128400</v>
      </c>
      <c r="I1567" s="259">
        <v>0</v>
      </c>
      <c r="J1567" s="259">
        <v>35720</v>
      </c>
      <c r="K1567" s="260">
        <v>0</v>
      </c>
      <c r="L1567" s="260">
        <v>0</v>
      </c>
      <c r="M1567" s="260">
        <v>0</v>
      </c>
      <c r="N1567" s="260">
        <v>0</v>
      </c>
      <c r="O1567" s="261">
        <v>0</v>
      </c>
      <c r="P1567" s="261">
        <v>128400</v>
      </c>
      <c r="Q1567" s="261">
        <v>0</v>
      </c>
      <c r="R1567" s="261">
        <v>35720</v>
      </c>
      <c r="S1567">
        <v>164120</v>
      </c>
      <c r="T1567">
        <v>0</v>
      </c>
    </row>
    <row r="1568" spans="1:20">
      <c r="A1568" t="s">
        <v>19332</v>
      </c>
      <c r="B1568">
        <v>45377</v>
      </c>
      <c r="C1568" t="s">
        <v>17226</v>
      </c>
      <c r="D1568" t="s">
        <v>17891</v>
      </c>
      <c r="E1568">
        <v>0</v>
      </c>
      <c r="F1568">
        <v>70992</v>
      </c>
      <c r="G1568" s="259">
        <v>0</v>
      </c>
      <c r="H1568" s="259">
        <v>0</v>
      </c>
      <c r="I1568" s="259">
        <v>70992</v>
      </c>
      <c r="J1568" s="259">
        <v>0</v>
      </c>
      <c r="K1568" s="260">
        <v>0</v>
      </c>
      <c r="L1568" s="260">
        <v>0</v>
      </c>
      <c r="M1568" s="260">
        <v>0</v>
      </c>
      <c r="N1568" s="260">
        <v>0</v>
      </c>
      <c r="O1568" s="261">
        <v>0</v>
      </c>
      <c r="P1568" s="261">
        <v>0</v>
      </c>
      <c r="Q1568" s="261">
        <v>70992</v>
      </c>
      <c r="R1568" s="261">
        <v>0</v>
      </c>
      <c r="S1568">
        <v>70992</v>
      </c>
      <c r="T1568">
        <v>0</v>
      </c>
    </row>
    <row r="1569" spans="1:20">
      <c r="A1569" t="s">
        <v>19333</v>
      </c>
      <c r="B1569">
        <v>45383</v>
      </c>
      <c r="C1569" t="s">
        <v>17132</v>
      </c>
      <c r="D1569" t="s">
        <v>17133</v>
      </c>
      <c r="E1569">
        <v>0</v>
      </c>
      <c r="F1569">
        <v>290724.47999999998</v>
      </c>
      <c r="G1569" s="259">
        <v>189809.28</v>
      </c>
      <c r="H1569" s="259">
        <v>0</v>
      </c>
      <c r="I1569" s="259">
        <v>100915.2</v>
      </c>
      <c r="J1569" s="259">
        <v>0</v>
      </c>
      <c r="K1569" s="260">
        <v>0</v>
      </c>
      <c r="L1569" s="260">
        <v>0</v>
      </c>
      <c r="M1569" s="260">
        <v>0</v>
      </c>
      <c r="N1569" s="260">
        <v>0</v>
      </c>
      <c r="O1569" s="261">
        <v>189809.28</v>
      </c>
      <c r="P1569" s="261">
        <v>0</v>
      </c>
      <c r="Q1569" s="261">
        <v>100915.2</v>
      </c>
      <c r="R1569" s="261">
        <v>0</v>
      </c>
      <c r="S1569">
        <v>290724.47999999998</v>
      </c>
      <c r="T1569">
        <v>0</v>
      </c>
    </row>
    <row r="1570" spans="1:20">
      <c r="A1570" t="s">
        <v>19334</v>
      </c>
      <c r="B1570">
        <v>45383</v>
      </c>
      <c r="C1570" t="s">
        <v>16643</v>
      </c>
      <c r="D1570" t="s">
        <v>16644</v>
      </c>
      <c r="E1570">
        <v>0</v>
      </c>
      <c r="F1570">
        <v>57713.905999999995</v>
      </c>
      <c r="G1570" s="259">
        <v>0</v>
      </c>
      <c r="H1570" s="259">
        <v>47566.40625</v>
      </c>
      <c r="I1570" s="259">
        <v>0</v>
      </c>
      <c r="J1570" s="259">
        <v>0</v>
      </c>
      <c r="K1570" s="260">
        <v>0</v>
      </c>
      <c r="L1570" s="260">
        <v>10147.5</v>
      </c>
      <c r="M1570" s="260">
        <v>0</v>
      </c>
      <c r="N1570" s="260">
        <v>0</v>
      </c>
      <c r="O1570" s="261">
        <v>0</v>
      </c>
      <c r="P1570" s="261">
        <v>57713.90625</v>
      </c>
      <c r="Q1570" s="261">
        <v>0</v>
      </c>
      <c r="R1570" s="261">
        <v>0</v>
      </c>
      <c r="S1570">
        <v>57713.90625</v>
      </c>
      <c r="T1570">
        <v>-2.5000000459840521E-4</v>
      </c>
    </row>
    <row r="1571" spans="1:20">
      <c r="A1571" t="s">
        <v>19335</v>
      </c>
      <c r="B1571">
        <v>45384</v>
      </c>
      <c r="C1571" t="s">
        <v>17304</v>
      </c>
      <c r="D1571" t="s">
        <v>17305</v>
      </c>
      <c r="E1571">
        <v>0</v>
      </c>
      <c r="F1571">
        <v>82909.687999999995</v>
      </c>
      <c r="G1571" s="259">
        <v>5604.1875</v>
      </c>
      <c r="H1571" s="259">
        <v>31376.53125</v>
      </c>
      <c r="I1571" s="259">
        <v>2767.5</v>
      </c>
      <c r="J1571" s="259">
        <v>31399.59375</v>
      </c>
      <c r="K1571" s="260">
        <v>1517.6612903225805</v>
      </c>
      <c r="L1571" s="260">
        <v>6766.2399193548381</v>
      </c>
      <c r="M1571" s="260">
        <v>316.17943548387098</v>
      </c>
      <c r="N1571" s="260">
        <v>3161.7943548387093</v>
      </c>
      <c r="O1571" s="261">
        <v>7121.8487903225805</v>
      </c>
      <c r="P1571" s="261">
        <v>38142.771169354841</v>
      </c>
      <c r="Q1571" s="261">
        <v>3083.6794354838712</v>
      </c>
      <c r="R1571" s="261">
        <v>34561.388104838712</v>
      </c>
      <c r="S1571">
        <v>82909.6875</v>
      </c>
      <c r="T1571">
        <v>4.999999946448952E-4</v>
      </c>
    </row>
    <row r="1572" spans="1:20">
      <c r="A1572" t="s">
        <v>19336</v>
      </c>
      <c r="B1572">
        <v>45397</v>
      </c>
      <c r="C1572" t="s">
        <v>17276</v>
      </c>
      <c r="D1572" t="s">
        <v>17277</v>
      </c>
      <c r="E1572">
        <v>0</v>
      </c>
      <c r="F1572">
        <v>111203.382</v>
      </c>
      <c r="G1572" s="259">
        <v>0</v>
      </c>
      <c r="H1572" s="259">
        <v>94908.837240000037</v>
      </c>
      <c r="I1572" s="259">
        <v>0</v>
      </c>
      <c r="J1572" s="259">
        <v>0</v>
      </c>
      <c r="K1572" s="260">
        <v>0</v>
      </c>
      <c r="L1572" s="260">
        <v>16294.545</v>
      </c>
      <c r="M1572" s="260">
        <v>0</v>
      </c>
      <c r="N1572" s="260">
        <v>0</v>
      </c>
      <c r="O1572" s="261">
        <v>0</v>
      </c>
      <c r="P1572" s="261">
        <v>111203.38224000004</v>
      </c>
      <c r="Q1572" s="261">
        <v>0</v>
      </c>
      <c r="R1572" s="261">
        <v>0</v>
      </c>
      <c r="S1572">
        <v>111203.38224000004</v>
      </c>
      <c r="T1572">
        <v>-2.4000003759283572E-4</v>
      </c>
    </row>
    <row r="1573" spans="1:20">
      <c r="A1573" t="s">
        <v>19337</v>
      </c>
      <c r="B1573">
        <v>45397</v>
      </c>
      <c r="C1573" t="s">
        <v>16470</v>
      </c>
      <c r="D1573" t="s">
        <v>16471</v>
      </c>
      <c r="E1573">
        <v>0</v>
      </c>
      <c r="F1573">
        <v>618137.60200000007</v>
      </c>
      <c r="G1573" s="259">
        <v>24152.143679999997</v>
      </c>
      <c r="H1573" s="259">
        <v>475514.46242999978</v>
      </c>
      <c r="I1573" s="259">
        <v>54554.85</v>
      </c>
      <c r="J1573" s="259">
        <v>0</v>
      </c>
      <c r="K1573" s="260">
        <v>2547.3332143239672</v>
      </c>
      <c r="L1573" s="260">
        <v>53929.844407154844</v>
      </c>
      <c r="M1573" s="260">
        <v>6774.8223785211894</v>
      </c>
      <c r="N1573" s="260">
        <v>0</v>
      </c>
      <c r="O1573" s="261">
        <v>26699.476894323965</v>
      </c>
      <c r="P1573" s="261">
        <v>529444.30683715467</v>
      </c>
      <c r="Q1573" s="261">
        <v>61329.672378521187</v>
      </c>
      <c r="R1573" s="261">
        <v>0</v>
      </c>
      <c r="S1573">
        <v>617473.4561099998</v>
      </c>
      <c r="T1573">
        <v>664.14589000027627</v>
      </c>
    </row>
    <row r="1574" spans="1:20">
      <c r="A1574" t="s">
        <v>19338</v>
      </c>
      <c r="B1574">
        <v>45397</v>
      </c>
      <c r="C1574" t="s">
        <v>16470</v>
      </c>
      <c r="D1574" t="s">
        <v>16471</v>
      </c>
      <c r="E1574">
        <v>0</v>
      </c>
      <c r="F1574">
        <v>617013.75100000005</v>
      </c>
      <c r="G1574" s="259">
        <v>24108.232079999991</v>
      </c>
      <c r="H1574" s="259">
        <v>474649.91801749973</v>
      </c>
      <c r="I1574" s="259">
        <v>54455.662499999999</v>
      </c>
      <c r="J1574" s="259">
        <v>0</v>
      </c>
      <c r="K1574" s="260">
        <v>2542.7018458352672</v>
      </c>
      <c r="L1574" s="260">
        <v>53831.793245028384</v>
      </c>
      <c r="M1574" s="260">
        <v>6762.5049091363489</v>
      </c>
      <c r="N1574" s="260">
        <v>0</v>
      </c>
      <c r="O1574" s="261">
        <v>26650.933925835259</v>
      </c>
      <c r="P1574" s="261">
        <v>528481.71126252809</v>
      </c>
      <c r="Q1574" s="261">
        <v>61218.167409136346</v>
      </c>
      <c r="R1574" s="261">
        <v>0</v>
      </c>
      <c r="S1574">
        <v>616350.81259749969</v>
      </c>
      <c r="T1574">
        <v>662.93840250035282</v>
      </c>
    </row>
    <row r="1575" spans="1:20">
      <c r="A1575" t="s">
        <v>19339</v>
      </c>
      <c r="B1575">
        <v>45397</v>
      </c>
      <c r="C1575" t="s">
        <v>16904</v>
      </c>
      <c r="D1575" t="s">
        <v>16905</v>
      </c>
      <c r="E1575">
        <v>0</v>
      </c>
      <c r="F1575">
        <v>80440.960999999996</v>
      </c>
      <c r="G1575" s="259">
        <v>0</v>
      </c>
      <c r="H1575" s="259">
        <v>47188.330380000007</v>
      </c>
      <c r="I1575" s="259">
        <v>18973.905750000002</v>
      </c>
      <c r="J1575" s="259">
        <v>0</v>
      </c>
      <c r="K1575" s="260">
        <v>0</v>
      </c>
      <c r="L1575" s="260">
        <v>10137.563457076567</v>
      </c>
      <c r="M1575" s="260">
        <v>4141.1615429234344</v>
      </c>
      <c r="N1575" s="260">
        <v>0</v>
      </c>
      <c r="O1575" s="261">
        <v>0</v>
      </c>
      <c r="P1575" s="261">
        <v>57325.893837076575</v>
      </c>
      <c r="Q1575" s="261">
        <v>23115.067292923435</v>
      </c>
      <c r="R1575" s="261">
        <v>0</v>
      </c>
      <c r="S1575">
        <v>80440.961130000011</v>
      </c>
      <c r="T1575">
        <v>-1.3000001490581781E-4</v>
      </c>
    </row>
    <row r="1576" spans="1:20">
      <c r="A1576" t="s">
        <v>19340</v>
      </c>
      <c r="B1576">
        <v>45397</v>
      </c>
      <c r="C1576" t="s">
        <v>16904</v>
      </c>
      <c r="D1576" t="s">
        <v>16905</v>
      </c>
      <c r="E1576">
        <v>0</v>
      </c>
      <c r="F1576">
        <v>80440.960999999996</v>
      </c>
      <c r="G1576" s="259">
        <v>0</v>
      </c>
      <c r="H1576" s="259">
        <v>47188.330380000007</v>
      </c>
      <c r="I1576" s="259">
        <v>18973.905750000002</v>
      </c>
      <c r="J1576" s="259">
        <v>0</v>
      </c>
      <c r="K1576" s="260">
        <v>0</v>
      </c>
      <c r="L1576" s="260">
        <v>10137.563457076567</v>
      </c>
      <c r="M1576" s="260">
        <v>4141.1615429234344</v>
      </c>
      <c r="N1576" s="260">
        <v>0</v>
      </c>
      <c r="O1576" s="261">
        <v>0</v>
      </c>
      <c r="P1576" s="261">
        <v>57325.893837076575</v>
      </c>
      <c r="Q1576" s="261">
        <v>23115.067292923435</v>
      </c>
      <c r="R1576" s="261">
        <v>0</v>
      </c>
      <c r="S1576">
        <v>80440.961130000011</v>
      </c>
      <c r="T1576">
        <v>-1.3000001490581781E-4</v>
      </c>
    </row>
    <row r="1577" spans="1:20">
      <c r="A1577" t="s">
        <v>19341</v>
      </c>
      <c r="B1577">
        <v>45397</v>
      </c>
      <c r="C1577" t="s">
        <v>16384</v>
      </c>
      <c r="D1577" t="s">
        <v>16385</v>
      </c>
      <c r="E1577">
        <v>0</v>
      </c>
      <c r="F1577">
        <v>116352</v>
      </c>
      <c r="G1577" s="259">
        <v>116352</v>
      </c>
      <c r="H1577" s="259">
        <v>0</v>
      </c>
      <c r="I1577" s="259">
        <v>0</v>
      </c>
      <c r="J1577" s="259">
        <v>0</v>
      </c>
      <c r="K1577" s="260">
        <v>0</v>
      </c>
      <c r="L1577" s="260">
        <v>0</v>
      </c>
      <c r="M1577" s="260">
        <v>0</v>
      </c>
      <c r="N1577" s="260">
        <v>0</v>
      </c>
      <c r="O1577" s="261">
        <v>116352</v>
      </c>
      <c r="P1577" s="261">
        <v>0</v>
      </c>
      <c r="Q1577" s="261">
        <v>0</v>
      </c>
      <c r="R1577" s="261">
        <v>0</v>
      </c>
      <c r="S1577">
        <v>116352</v>
      </c>
      <c r="T1577">
        <v>0</v>
      </c>
    </row>
    <row r="1578" spans="1:20">
      <c r="A1578" t="s">
        <v>19342</v>
      </c>
      <c r="B1578">
        <v>45414</v>
      </c>
      <c r="C1578" t="s">
        <v>17226</v>
      </c>
      <c r="D1578" t="s">
        <v>17891</v>
      </c>
      <c r="E1578">
        <v>0</v>
      </c>
      <c r="F1578">
        <v>81540</v>
      </c>
      <c r="G1578" s="259">
        <v>81540</v>
      </c>
      <c r="H1578" s="259">
        <v>0</v>
      </c>
      <c r="I1578" s="259">
        <v>0</v>
      </c>
      <c r="J1578" s="259">
        <v>0</v>
      </c>
      <c r="K1578" s="260">
        <v>0</v>
      </c>
      <c r="L1578" s="260">
        <v>0</v>
      </c>
      <c r="M1578" s="260">
        <v>0</v>
      </c>
      <c r="N1578" s="260">
        <v>0</v>
      </c>
      <c r="O1578" s="261">
        <v>81540</v>
      </c>
      <c r="P1578" s="261">
        <v>0</v>
      </c>
      <c r="Q1578" s="261">
        <v>0</v>
      </c>
      <c r="R1578" s="261">
        <v>0</v>
      </c>
      <c r="S1578">
        <v>81540</v>
      </c>
      <c r="T1578">
        <v>0</v>
      </c>
    </row>
    <row r="1579" spans="1:20">
      <c r="A1579" t="s">
        <v>19343</v>
      </c>
      <c r="B1579">
        <v>45414</v>
      </c>
      <c r="C1579" t="s">
        <v>16838</v>
      </c>
      <c r="D1579" t="s">
        <v>16839</v>
      </c>
      <c r="E1579">
        <v>0</v>
      </c>
      <c r="F1579">
        <v>129175.67999999999</v>
      </c>
      <c r="G1579" s="259">
        <v>111511.67999999999</v>
      </c>
      <c r="H1579" s="259">
        <v>17664</v>
      </c>
      <c r="I1579" s="259">
        <v>0</v>
      </c>
      <c r="J1579" s="259">
        <v>0</v>
      </c>
      <c r="K1579" s="260">
        <v>0</v>
      </c>
      <c r="L1579" s="260">
        <v>0</v>
      </c>
      <c r="M1579" s="260">
        <v>0</v>
      </c>
      <c r="N1579" s="260">
        <v>0</v>
      </c>
      <c r="O1579" s="261">
        <v>111511.67999999999</v>
      </c>
      <c r="P1579" s="261">
        <v>17664</v>
      </c>
      <c r="Q1579" s="261">
        <v>0</v>
      </c>
      <c r="R1579" s="261">
        <v>0</v>
      </c>
      <c r="S1579">
        <v>129175.67999999999</v>
      </c>
      <c r="T1579">
        <v>0</v>
      </c>
    </row>
    <row r="1580" spans="1:20">
      <c r="A1580" t="s">
        <v>19344</v>
      </c>
      <c r="B1580">
        <v>45398</v>
      </c>
      <c r="C1580" t="s">
        <v>17309</v>
      </c>
      <c r="D1580" t="s">
        <v>18704</v>
      </c>
      <c r="E1580">
        <v>0</v>
      </c>
      <c r="F1580">
        <v>41856</v>
      </c>
      <c r="G1580" s="259">
        <v>41856</v>
      </c>
      <c r="H1580" s="259">
        <v>0</v>
      </c>
      <c r="I1580" s="259">
        <v>0</v>
      </c>
      <c r="J1580" s="259">
        <v>0</v>
      </c>
      <c r="K1580" s="260">
        <v>0</v>
      </c>
      <c r="L1580" s="260">
        <v>0</v>
      </c>
      <c r="M1580" s="260">
        <v>0</v>
      </c>
      <c r="N1580" s="260">
        <v>0</v>
      </c>
      <c r="O1580" s="261">
        <v>41856</v>
      </c>
      <c r="P1580" s="261">
        <v>0</v>
      </c>
      <c r="Q1580" s="261">
        <v>0</v>
      </c>
      <c r="R1580" s="261">
        <v>0</v>
      </c>
      <c r="S1580">
        <v>41856</v>
      </c>
      <c r="T1580">
        <v>0</v>
      </c>
    </row>
    <row r="1581" spans="1:20">
      <c r="A1581" t="s">
        <v>19345</v>
      </c>
      <c r="B1581">
        <v>45628</v>
      </c>
      <c r="C1581" t="s">
        <v>17309</v>
      </c>
      <c r="D1581" t="s">
        <v>18704</v>
      </c>
      <c r="E1581">
        <v>0</v>
      </c>
      <c r="F1581">
        <v>41856</v>
      </c>
      <c r="G1581" s="259">
        <v>41856</v>
      </c>
      <c r="H1581" s="259">
        <v>0</v>
      </c>
      <c r="I1581" s="259">
        <v>0</v>
      </c>
      <c r="J1581" s="259">
        <v>0</v>
      </c>
      <c r="K1581" s="260">
        <v>0</v>
      </c>
      <c r="L1581" s="260">
        <v>0</v>
      </c>
      <c r="M1581" s="260">
        <v>0</v>
      </c>
      <c r="N1581" s="260">
        <v>0</v>
      </c>
      <c r="O1581" s="261">
        <v>41856</v>
      </c>
      <c r="P1581" s="261">
        <v>0</v>
      </c>
      <c r="Q1581" s="261">
        <v>0</v>
      </c>
      <c r="R1581" s="261">
        <v>0</v>
      </c>
      <c r="S1581">
        <v>41856</v>
      </c>
      <c r="T1581">
        <v>0</v>
      </c>
    </row>
    <row r="1582" spans="1:20">
      <c r="A1582" t="s">
        <v>19346</v>
      </c>
      <c r="B1582">
        <v>45398</v>
      </c>
      <c r="C1582" t="s">
        <v>17309</v>
      </c>
      <c r="D1582" t="s">
        <v>18704</v>
      </c>
      <c r="E1582">
        <v>0</v>
      </c>
      <c r="F1582">
        <v>44700</v>
      </c>
      <c r="G1582" s="259">
        <v>44700</v>
      </c>
      <c r="H1582" s="259">
        <v>0</v>
      </c>
      <c r="I1582" s="259">
        <v>0</v>
      </c>
      <c r="J1582" s="259">
        <v>0</v>
      </c>
      <c r="K1582" s="260">
        <v>0</v>
      </c>
      <c r="L1582" s="260">
        <v>0</v>
      </c>
      <c r="M1582" s="260">
        <v>0</v>
      </c>
      <c r="N1582" s="260">
        <v>0</v>
      </c>
      <c r="O1582" s="261">
        <v>44700</v>
      </c>
      <c r="P1582" s="261">
        <v>0</v>
      </c>
      <c r="Q1582" s="261">
        <v>0</v>
      </c>
      <c r="R1582" s="261">
        <v>0</v>
      </c>
      <c r="S1582">
        <v>44700</v>
      </c>
      <c r="T1582">
        <v>0</v>
      </c>
    </row>
    <row r="1583" spans="1:20">
      <c r="A1583" t="s">
        <v>19347</v>
      </c>
      <c r="B1583">
        <v>45446</v>
      </c>
      <c r="C1583" t="s">
        <v>17309</v>
      </c>
      <c r="D1583" t="s">
        <v>18704</v>
      </c>
      <c r="E1583">
        <v>0</v>
      </c>
      <c r="F1583">
        <v>871395</v>
      </c>
      <c r="G1583" s="259">
        <v>350895</v>
      </c>
      <c r="H1583" s="259">
        <v>25500</v>
      </c>
      <c r="I1583" s="259">
        <v>495000</v>
      </c>
      <c r="J1583" s="259">
        <v>0</v>
      </c>
      <c r="K1583" s="260">
        <v>0</v>
      </c>
      <c r="L1583" s="260">
        <v>0</v>
      </c>
      <c r="M1583" s="260">
        <v>0</v>
      </c>
      <c r="N1583" s="260">
        <v>0</v>
      </c>
      <c r="O1583" s="261">
        <v>350895</v>
      </c>
      <c r="P1583" s="261">
        <v>25500</v>
      </c>
      <c r="Q1583" s="261">
        <v>495000</v>
      </c>
      <c r="R1583" s="261">
        <v>0</v>
      </c>
      <c r="S1583">
        <v>871395</v>
      </c>
      <c r="T1583">
        <v>0</v>
      </c>
    </row>
    <row r="1584" spans="1:20">
      <c r="A1584" t="s">
        <v>19348</v>
      </c>
      <c r="B1584">
        <v>45398</v>
      </c>
      <c r="C1584" t="s">
        <v>16957</v>
      </c>
      <c r="D1584" t="s">
        <v>17451</v>
      </c>
      <c r="E1584">
        <v>0</v>
      </c>
      <c r="F1584">
        <v>110046.213</v>
      </c>
      <c r="G1584" s="259">
        <v>110046.212575</v>
      </c>
      <c r="H1584" s="259">
        <v>0</v>
      </c>
      <c r="I1584" s="259">
        <v>0</v>
      </c>
      <c r="J1584" s="259">
        <v>0</v>
      </c>
      <c r="K1584" s="260">
        <v>0</v>
      </c>
      <c r="L1584" s="260">
        <v>0</v>
      </c>
      <c r="M1584" s="260">
        <v>0</v>
      </c>
      <c r="N1584" s="260">
        <v>0</v>
      </c>
      <c r="O1584" s="261">
        <v>110046.212575</v>
      </c>
      <c r="P1584" s="261">
        <v>0</v>
      </c>
      <c r="Q1584" s="261">
        <v>0</v>
      </c>
      <c r="R1584" s="261">
        <v>0</v>
      </c>
      <c r="S1584">
        <v>110046.212575</v>
      </c>
      <c r="T1584">
        <v>4.2500000563450158E-4</v>
      </c>
    </row>
    <row r="1585" spans="1:20">
      <c r="A1585" t="s">
        <v>19349</v>
      </c>
      <c r="B1585">
        <v>45446</v>
      </c>
      <c r="C1585" t="s">
        <v>17299</v>
      </c>
      <c r="D1585" t="s">
        <v>18631</v>
      </c>
      <c r="E1585">
        <v>0</v>
      </c>
      <c r="F1585">
        <v>301410.87699999998</v>
      </c>
      <c r="G1585" s="259">
        <v>279844.28639999998</v>
      </c>
      <c r="H1585" s="259">
        <v>0</v>
      </c>
      <c r="I1585" s="259">
        <v>0</v>
      </c>
      <c r="J1585" s="259">
        <v>0</v>
      </c>
      <c r="K1585" s="260">
        <v>21566.590500000002</v>
      </c>
      <c r="L1585" s="260">
        <v>0</v>
      </c>
      <c r="M1585" s="260">
        <v>0</v>
      </c>
      <c r="N1585" s="260">
        <v>0</v>
      </c>
      <c r="O1585" s="261">
        <v>301410.87689999997</v>
      </c>
      <c r="P1585" s="261">
        <v>0</v>
      </c>
      <c r="Q1585" s="261">
        <v>0</v>
      </c>
      <c r="R1585" s="261">
        <v>0</v>
      </c>
      <c r="S1585">
        <v>301410.87689999997</v>
      </c>
      <c r="T1585">
        <v>1.0000000474974513E-4</v>
      </c>
    </row>
    <row r="1586" spans="1:20">
      <c r="A1586" t="s">
        <v>19350</v>
      </c>
      <c r="B1586">
        <v>45414</v>
      </c>
      <c r="C1586" t="s">
        <v>16643</v>
      </c>
      <c r="D1586" t="s">
        <v>16644</v>
      </c>
      <c r="E1586">
        <v>0</v>
      </c>
      <c r="F1586">
        <v>90351.183000000005</v>
      </c>
      <c r="G1586" s="259">
        <v>0</v>
      </c>
      <c r="H1586" s="259">
        <v>78391.055399999997</v>
      </c>
      <c r="I1586" s="259">
        <v>0</v>
      </c>
      <c r="J1586" s="259">
        <v>0</v>
      </c>
      <c r="K1586" s="260">
        <v>0</v>
      </c>
      <c r="L1586" s="260">
        <v>11960.127500000001</v>
      </c>
      <c r="M1586" s="260">
        <v>0</v>
      </c>
      <c r="N1586" s="260">
        <v>0</v>
      </c>
      <c r="O1586" s="261">
        <v>0</v>
      </c>
      <c r="P1586" s="261">
        <v>90351.1829</v>
      </c>
      <c r="Q1586" s="261">
        <v>0</v>
      </c>
      <c r="R1586" s="261">
        <v>0</v>
      </c>
      <c r="S1586">
        <v>90351.1829</v>
      </c>
      <c r="T1586">
        <v>1.0000000474974513E-4</v>
      </c>
    </row>
    <row r="1587" spans="1:20">
      <c r="A1587" t="s">
        <v>19351</v>
      </c>
      <c r="B1587">
        <v>45446</v>
      </c>
      <c r="C1587" t="s">
        <v>17372</v>
      </c>
      <c r="D1587" t="s">
        <v>19352</v>
      </c>
      <c r="E1587">
        <v>0</v>
      </c>
      <c r="F1587">
        <v>53217.233</v>
      </c>
      <c r="G1587" s="259">
        <v>6158.3939999999993</v>
      </c>
      <c r="H1587" s="259">
        <v>32023.648799999995</v>
      </c>
      <c r="I1587" s="259">
        <v>10189.342799999999</v>
      </c>
      <c r="J1587" s="259">
        <v>4845.8473999999987</v>
      </c>
      <c r="K1587" s="260">
        <v>0</v>
      </c>
      <c r="L1587" s="260">
        <v>0</v>
      </c>
      <c r="M1587" s="260">
        <v>0</v>
      </c>
      <c r="N1587" s="260">
        <v>0</v>
      </c>
      <c r="O1587" s="261">
        <v>6158.3939999999993</v>
      </c>
      <c r="P1587" s="261">
        <v>32023.648799999995</v>
      </c>
      <c r="Q1587" s="261">
        <v>10189.342799999999</v>
      </c>
      <c r="R1587" s="261">
        <v>4845.8473999999987</v>
      </c>
      <c r="S1587">
        <v>53217.232999999993</v>
      </c>
      <c r="T1587">
        <v>0</v>
      </c>
    </row>
    <row r="1588" spans="1:20">
      <c r="A1588" t="s">
        <v>19353</v>
      </c>
      <c r="B1588">
        <v>45414</v>
      </c>
      <c r="C1588" t="s">
        <v>17017</v>
      </c>
      <c r="D1588" t="s">
        <v>17430</v>
      </c>
      <c r="E1588">
        <v>0</v>
      </c>
      <c r="F1588">
        <v>60252.800000000003</v>
      </c>
      <c r="G1588" s="259">
        <v>7776</v>
      </c>
      <c r="H1588" s="259">
        <v>19612.8</v>
      </c>
      <c r="I1588" s="259">
        <v>15600</v>
      </c>
      <c r="J1588" s="259">
        <v>17264</v>
      </c>
      <c r="K1588" s="260">
        <v>0</v>
      </c>
      <c r="L1588" s="260">
        <v>0</v>
      </c>
      <c r="M1588" s="260">
        <v>0</v>
      </c>
      <c r="N1588" s="260">
        <v>0</v>
      </c>
      <c r="O1588" s="261">
        <v>7776</v>
      </c>
      <c r="P1588" s="261">
        <v>19612.8</v>
      </c>
      <c r="Q1588" s="261">
        <v>15600</v>
      </c>
      <c r="R1588" s="261">
        <v>17264</v>
      </c>
      <c r="S1588">
        <v>60252.800000000003</v>
      </c>
      <c r="T1588">
        <v>0</v>
      </c>
    </row>
    <row r="1589" spans="1:20">
      <c r="A1589" t="s">
        <v>19354</v>
      </c>
      <c r="B1589">
        <v>45414</v>
      </c>
      <c r="C1589" t="s">
        <v>16880</v>
      </c>
      <c r="D1589" t="s">
        <v>16881</v>
      </c>
      <c r="E1589">
        <v>0</v>
      </c>
      <c r="F1589">
        <v>89321.478000000003</v>
      </c>
      <c r="G1589" s="259">
        <v>17822.8828096</v>
      </c>
      <c r="H1589" s="259">
        <v>71498.595377000005</v>
      </c>
      <c r="I1589" s="259">
        <v>0</v>
      </c>
      <c r="J1589" s="259">
        <v>0</v>
      </c>
      <c r="K1589" s="260">
        <v>0</v>
      </c>
      <c r="L1589" s="260">
        <v>0</v>
      </c>
      <c r="M1589" s="260">
        <v>0</v>
      </c>
      <c r="N1589" s="260">
        <v>0</v>
      </c>
      <c r="O1589" s="261">
        <v>17822.8828096</v>
      </c>
      <c r="P1589" s="261">
        <v>71498.595377000005</v>
      </c>
      <c r="Q1589" s="261">
        <v>0</v>
      </c>
      <c r="R1589" s="261">
        <v>0</v>
      </c>
      <c r="S1589">
        <v>89321.478186599998</v>
      </c>
      <c r="T1589">
        <v>-1.8659999477677047E-4</v>
      </c>
    </row>
    <row r="1590" spans="1:20">
      <c r="A1590" t="s">
        <v>19355</v>
      </c>
      <c r="B1590">
        <v>45414</v>
      </c>
      <c r="C1590" t="s">
        <v>16384</v>
      </c>
      <c r="D1590" t="s">
        <v>16385</v>
      </c>
      <c r="E1590">
        <v>0</v>
      </c>
      <c r="F1590">
        <v>44622.48</v>
      </c>
      <c r="G1590" s="259">
        <v>44622.48</v>
      </c>
      <c r="H1590" s="259">
        <v>0</v>
      </c>
      <c r="I1590" s="259">
        <v>0</v>
      </c>
      <c r="J1590" s="259">
        <v>0</v>
      </c>
      <c r="K1590" s="260">
        <v>0</v>
      </c>
      <c r="L1590" s="260">
        <v>0</v>
      </c>
      <c r="M1590" s="260">
        <v>0</v>
      </c>
      <c r="N1590" s="260">
        <v>0</v>
      </c>
      <c r="O1590" s="261">
        <v>44622.48</v>
      </c>
      <c r="P1590" s="261">
        <v>0</v>
      </c>
      <c r="Q1590" s="261">
        <v>0</v>
      </c>
      <c r="R1590" s="261">
        <v>0</v>
      </c>
      <c r="S1590">
        <v>44622.48</v>
      </c>
      <c r="T1590">
        <v>0</v>
      </c>
    </row>
    <row r="1591" spans="1:20">
      <c r="A1591" t="s">
        <v>19356</v>
      </c>
      <c r="B1591">
        <v>45408</v>
      </c>
      <c r="C1591" t="s">
        <v>16838</v>
      </c>
      <c r="D1591" t="s">
        <v>16839</v>
      </c>
      <c r="E1591">
        <v>0</v>
      </c>
      <c r="F1591">
        <v>88472.16</v>
      </c>
      <c r="G1591" s="259">
        <v>88472.16</v>
      </c>
      <c r="H1591" s="259">
        <v>0</v>
      </c>
      <c r="I1591" s="259">
        <v>0</v>
      </c>
      <c r="J1591" s="259">
        <v>0</v>
      </c>
      <c r="K1591" s="260">
        <v>0</v>
      </c>
      <c r="L1591" s="260">
        <v>0</v>
      </c>
      <c r="M1591" s="260">
        <v>0</v>
      </c>
      <c r="N1591" s="260">
        <v>0</v>
      </c>
      <c r="O1591" s="261">
        <v>88472.16</v>
      </c>
      <c r="P1591" s="261">
        <v>0</v>
      </c>
      <c r="Q1591" s="261">
        <v>0</v>
      </c>
      <c r="R1591" s="261">
        <v>0</v>
      </c>
      <c r="S1591">
        <v>88472.16</v>
      </c>
      <c r="T1591">
        <v>0</v>
      </c>
    </row>
    <row r="1592" spans="1:20">
      <c r="A1592" t="s">
        <v>19357</v>
      </c>
      <c r="B1592">
        <v>45408</v>
      </c>
      <c r="C1592" t="s">
        <v>17309</v>
      </c>
      <c r="D1592" t="s">
        <v>18704</v>
      </c>
      <c r="E1592">
        <v>0</v>
      </c>
      <c r="F1592">
        <v>43430</v>
      </c>
      <c r="G1592" s="259">
        <v>0</v>
      </c>
      <c r="H1592" s="259">
        <v>0</v>
      </c>
      <c r="I1592" s="259">
        <v>43430</v>
      </c>
      <c r="J1592" s="259">
        <v>0</v>
      </c>
      <c r="K1592" s="260">
        <v>0</v>
      </c>
      <c r="L1592" s="260">
        <v>0</v>
      </c>
      <c r="M1592" s="260">
        <v>0</v>
      </c>
      <c r="N1592" s="260">
        <v>0</v>
      </c>
      <c r="O1592" s="261">
        <v>0</v>
      </c>
      <c r="P1592" s="261">
        <v>0</v>
      </c>
      <c r="Q1592" s="261">
        <v>43430</v>
      </c>
      <c r="R1592" s="261">
        <v>0</v>
      </c>
      <c r="S1592">
        <v>43430</v>
      </c>
      <c r="T1592">
        <v>0</v>
      </c>
    </row>
    <row r="1593" spans="1:20">
      <c r="A1593" t="s">
        <v>19358</v>
      </c>
      <c r="B1593">
        <v>45414</v>
      </c>
      <c r="C1593" t="s">
        <v>16444</v>
      </c>
      <c r="D1593" t="s">
        <v>16445</v>
      </c>
      <c r="E1593">
        <v>0</v>
      </c>
      <c r="F1593">
        <v>87696</v>
      </c>
      <c r="G1593" s="259">
        <v>87696</v>
      </c>
      <c r="H1593" s="259">
        <v>0</v>
      </c>
      <c r="I1593" s="259">
        <v>0</v>
      </c>
      <c r="J1593" s="259">
        <v>0</v>
      </c>
      <c r="K1593" s="260">
        <v>0</v>
      </c>
      <c r="L1593" s="260">
        <v>0</v>
      </c>
      <c r="M1593" s="260">
        <v>0</v>
      </c>
      <c r="N1593" s="260">
        <v>0</v>
      </c>
      <c r="O1593" s="261">
        <v>87696</v>
      </c>
      <c r="P1593" s="261">
        <v>0</v>
      </c>
      <c r="Q1593" s="261">
        <v>0</v>
      </c>
      <c r="R1593" s="261">
        <v>0</v>
      </c>
      <c r="S1593">
        <v>87696</v>
      </c>
      <c r="T1593">
        <v>0</v>
      </c>
    </row>
    <row r="1594" spans="1:20">
      <c r="A1594" t="s">
        <v>19359</v>
      </c>
      <c r="B1594">
        <v>45415</v>
      </c>
      <c r="C1594" t="s">
        <v>16384</v>
      </c>
      <c r="D1594" t="s">
        <v>16385</v>
      </c>
      <c r="E1594">
        <v>0</v>
      </c>
      <c r="F1594">
        <v>78720</v>
      </c>
      <c r="G1594" s="259">
        <v>78720</v>
      </c>
      <c r="H1594" s="259">
        <v>0</v>
      </c>
      <c r="I1594" s="259">
        <v>0</v>
      </c>
      <c r="J1594" s="259">
        <v>0</v>
      </c>
      <c r="K1594" s="260">
        <v>0</v>
      </c>
      <c r="L1594" s="260">
        <v>0</v>
      </c>
      <c r="M1594" s="260">
        <v>0</v>
      </c>
      <c r="N1594" s="260">
        <v>0</v>
      </c>
      <c r="O1594" s="261">
        <v>78720</v>
      </c>
      <c r="P1594" s="261">
        <v>0</v>
      </c>
      <c r="Q1594" s="261">
        <v>0</v>
      </c>
      <c r="R1594" s="261">
        <v>0</v>
      </c>
      <c r="S1594">
        <v>78720</v>
      </c>
      <c r="T1594">
        <v>0</v>
      </c>
    </row>
    <row r="1595" spans="1:20">
      <c r="A1595" t="s">
        <v>19360</v>
      </c>
      <c r="B1595">
        <v>45415</v>
      </c>
      <c r="C1595" t="s">
        <v>16384</v>
      </c>
      <c r="D1595" t="s">
        <v>16385</v>
      </c>
      <c r="E1595">
        <v>0</v>
      </c>
      <c r="F1595">
        <v>43420</v>
      </c>
      <c r="G1595" s="259">
        <v>0</v>
      </c>
      <c r="H1595" s="259">
        <v>0</v>
      </c>
      <c r="I1595" s="259">
        <v>43420</v>
      </c>
      <c r="J1595" s="259">
        <v>0</v>
      </c>
      <c r="K1595" s="260">
        <v>0</v>
      </c>
      <c r="L1595" s="260">
        <v>0</v>
      </c>
      <c r="M1595" s="260">
        <v>0</v>
      </c>
      <c r="N1595" s="260">
        <v>0</v>
      </c>
      <c r="O1595" s="261">
        <v>0</v>
      </c>
      <c r="P1595" s="261">
        <v>0</v>
      </c>
      <c r="Q1595" s="261">
        <v>43420</v>
      </c>
      <c r="R1595" s="261">
        <v>0</v>
      </c>
      <c r="S1595">
        <v>43420</v>
      </c>
      <c r="T1595">
        <v>0</v>
      </c>
    </row>
    <row r="1596" spans="1:20">
      <c r="A1596" t="s">
        <v>19361</v>
      </c>
      <c r="B1596">
        <v>45415</v>
      </c>
      <c r="C1596" t="s">
        <v>16444</v>
      </c>
      <c r="D1596" t="s">
        <v>16445</v>
      </c>
      <c r="E1596">
        <v>0</v>
      </c>
      <c r="F1596">
        <v>38976</v>
      </c>
      <c r="G1596" s="259">
        <v>38976</v>
      </c>
      <c r="H1596" s="259">
        <v>0</v>
      </c>
      <c r="I1596" s="259">
        <v>0</v>
      </c>
      <c r="J1596" s="259">
        <v>0</v>
      </c>
      <c r="K1596" s="260">
        <v>0</v>
      </c>
      <c r="L1596" s="260">
        <v>0</v>
      </c>
      <c r="M1596" s="260">
        <v>0</v>
      </c>
      <c r="N1596" s="260">
        <v>0</v>
      </c>
      <c r="O1596" s="261">
        <v>38976</v>
      </c>
      <c r="P1596" s="261">
        <v>0</v>
      </c>
      <c r="Q1596" s="261">
        <v>0</v>
      </c>
      <c r="R1596" s="261">
        <v>0</v>
      </c>
      <c r="S1596">
        <v>38976</v>
      </c>
      <c r="T1596">
        <v>0</v>
      </c>
    </row>
    <row r="1597" spans="1:20">
      <c r="A1597" t="s">
        <v>19362</v>
      </c>
      <c r="B1597">
        <v>45419</v>
      </c>
      <c r="C1597" t="s">
        <v>17278</v>
      </c>
      <c r="D1597" t="s">
        <v>17279</v>
      </c>
      <c r="E1597">
        <v>0</v>
      </c>
      <c r="F1597">
        <v>264108.86300000001</v>
      </c>
      <c r="G1597" s="259">
        <v>0</v>
      </c>
      <c r="H1597" s="259">
        <v>134388.3744</v>
      </c>
      <c r="I1597" s="259">
        <v>129720.48835199999</v>
      </c>
      <c r="J1597" s="259">
        <v>0</v>
      </c>
      <c r="K1597" s="260">
        <v>0</v>
      </c>
      <c r="L1597" s="260">
        <v>0</v>
      </c>
      <c r="M1597" s="260">
        <v>0</v>
      </c>
      <c r="N1597" s="260">
        <v>0</v>
      </c>
      <c r="O1597" s="261">
        <v>0</v>
      </c>
      <c r="P1597" s="261">
        <v>134388.3744</v>
      </c>
      <c r="Q1597" s="261">
        <v>129720.48835199999</v>
      </c>
      <c r="R1597" s="261">
        <v>0</v>
      </c>
      <c r="S1597">
        <v>264108.86275199999</v>
      </c>
      <c r="T1597">
        <v>2.4800002574920654E-4</v>
      </c>
    </row>
    <row r="1598" spans="1:20">
      <c r="A1598" t="s">
        <v>19363</v>
      </c>
      <c r="B1598">
        <v>45419</v>
      </c>
      <c r="C1598" t="s">
        <v>16838</v>
      </c>
      <c r="D1598" t="s">
        <v>16839</v>
      </c>
      <c r="E1598">
        <v>0</v>
      </c>
      <c r="F1598">
        <v>191394</v>
      </c>
      <c r="G1598" s="259">
        <v>7128</v>
      </c>
      <c r="H1598" s="259">
        <v>40626</v>
      </c>
      <c r="I1598" s="259">
        <v>143640</v>
      </c>
      <c r="J1598" s="259">
        <v>0</v>
      </c>
      <c r="K1598" s="260">
        <v>0</v>
      </c>
      <c r="L1598" s="260">
        <v>0</v>
      </c>
      <c r="M1598" s="260">
        <v>0</v>
      </c>
      <c r="N1598" s="260">
        <v>0</v>
      </c>
      <c r="O1598" s="261">
        <v>7128</v>
      </c>
      <c r="P1598" s="261">
        <v>40626</v>
      </c>
      <c r="Q1598" s="261">
        <v>143640</v>
      </c>
      <c r="R1598" s="261">
        <v>0</v>
      </c>
      <c r="S1598">
        <v>191394</v>
      </c>
      <c r="T1598">
        <v>0</v>
      </c>
    </row>
    <row r="1599" spans="1:20">
      <c r="A1599" t="s">
        <v>19364</v>
      </c>
      <c r="B1599">
        <v>45419</v>
      </c>
      <c r="C1599" t="s">
        <v>16783</v>
      </c>
      <c r="D1599" t="s">
        <v>17509</v>
      </c>
      <c r="E1599">
        <v>0</v>
      </c>
      <c r="F1599">
        <v>391653.68100000004</v>
      </c>
      <c r="G1599" s="259">
        <v>0</v>
      </c>
      <c r="H1599" s="259">
        <v>0</v>
      </c>
      <c r="I1599" s="259">
        <v>0</v>
      </c>
      <c r="J1599" s="259">
        <v>391653.68074999994</v>
      </c>
      <c r="K1599" s="260">
        <v>0</v>
      </c>
      <c r="L1599" s="260">
        <v>0</v>
      </c>
      <c r="M1599" s="260">
        <v>0</v>
      </c>
      <c r="N1599" s="260">
        <v>0</v>
      </c>
      <c r="O1599" s="261">
        <v>0</v>
      </c>
      <c r="P1599" s="261">
        <v>0</v>
      </c>
      <c r="Q1599" s="261">
        <v>0</v>
      </c>
      <c r="R1599" s="261">
        <v>391653.68074999994</v>
      </c>
      <c r="S1599">
        <v>391653.68074999994</v>
      </c>
      <c r="T1599">
        <v>2.500000991858542E-4</v>
      </c>
    </row>
    <row r="1600" spans="1:20">
      <c r="A1600" t="s">
        <v>19365</v>
      </c>
      <c r="B1600">
        <v>45420</v>
      </c>
      <c r="C1600" t="s">
        <v>17276</v>
      </c>
      <c r="D1600" t="s">
        <v>17277</v>
      </c>
      <c r="E1600">
        <v>0</v>
      </c>
      <c r="F1600">
        <v>45425.413</v>
      </c>
      <c r="G1600" s="259">
        <v>40192.070399999997</v>
      </c>
      <c r="H1600" s="259">
        <v>0</v>
      </c>
      <c r="I1600" s="259">
        <v>0</v>
      </c>
      <c r="J1600" s="259">
        <v>0</v>
      </c>
      <c r="K1600" s="260">
        <v>5233.3424999999997</v>
      </c>
      <c r="L1600" s="260">
        <v>0</v>
      </c>
      <c r="M1600" s="260">
        <v>0</v>
      </c>
      <c r="N1600" s="260">
        <v>0</v>
      </c>
      <c r="O1600" s="261">
        <v>45425.412899999996</v>
      </c>
      <c r="P1600" s="261">
        <v>0</v>
      </c>
      <c r="Q1600" s="261">
        <v>0</v>
      </c>
      <c r="R1600" s="261">
        <v>0</v>
      </c>
      <c r="S1600">
        <v>45425.412899999996</v>
      </c>
      <c r="T1600">
        <v>1.0000000474974513E-4</v>
      </c>
    </row>
    <row r="1601" spans="1:20">
      <c r="A1601" t="s">
        <v>19366</v>
      </c>
      <c r="B1601">
        <v>45420</v>
      </c>
      <c r="C1601" t="s">
        <v>16643</v>
      </c>
      <c r="D1601" t="s">
        <v>16644</v>
      </c>
      <c r="E1601">
        <v>0</v>
      </c>
      <c r="F1601">
        <v>91701.665999999997</v>
      </c>
      <c r="G1601" s="259">
        <v>0</v>
      </c>
      <c r="H1601" s="259">
        <v>79209.171000000002</v>
      </c>
      <c r="I1601" s="259">
        <v>0</v>
      </c>
      <c r="J1601" s="259">
        <v>0</v>
      </c>
      <c r="K1601" s="260">
        <v>0</v>
      </c>
      <c r="L1601" s="260">
        <v>12492.494999999999</v>
      </c>
      <c r="M1601" s="260">
        <v>0</v>
      </c>
      <c r="N1601" s="260">
        <v>0</v>
      </c>
      <c r="O1601" s="261">
        <v>0</v>
      </c>
      <c r="P1601" s="261">
        <v>91701.665999999997</v>
      </c>
      <c r="Q1601" s="261">
        <v>0</v>
      </c>
      <c r="R1601" s="261">
        <v>0</v>
      </c>
      <c r="S1601">
        <v>91701.665999999997</v>
      </c>
      <c r="T1601">
        <v>0</v>
      </c>
    </row>
    <row r="1602" spans="1:20">
      <c r="A1602" t="s">
        <v>19367</v>
      </c>
      <c r="B1602">
        <v>45628</v>
      </c>
      <c r="C1602" t="s">
        <v>17304</v>
      </c>
      <c r="D1602" t="s">
        <v>17305</v>
      </c>
      <c r="E1602">
        <v>0</v>
      </c>
      <c r="F1602">
        <v>90758.300999999992</v>
      </c>
      <c r="G1602" s="259">
        <v>0</v>
      </c>
      <c r="H1602" s="259">
        <v>43480.159904999993</v>
      </c>
      <c r="I1602" s="259">
        <v>0</v>
      </c>
      <c r="J1602" s="259">
        <v>35628.956610000001</v>
      </c>
      <c r="K1602" s="260">
        <v>0</v>
      </c>
      <c r="L1602" s="260">
        <v>8243.8503741117474</v>
      </c>
      <c r="M1602" s="260">
        <v>0</v>
      </c>
      <c r="N1602" s="260">
        <v>3409.9046258882545</v>
      </c>
      <c r="O1602" s="261">
        <v>0</v>
      </c>
      <c r="P1602" s="261">
        <v>51724.010279111739</v>
      </c>
      <c r="Q1602" s="261">
        <v>0</v>
      </c>
      <c r="R1602" s="261">
        <v>39038.861235888253</v>
      </c>
      <c r="S1602">
        <v>90762.871514999992</v>
      </c>
      <c r="T1602">
        <v>-4.5705149999994319</v>
      </c>
    </row>
    <row r="1603" spans="1:20">
      <c r="A1603" t="s">
        <v>19368</v>
      </c>
      <c r="B1603">
        <v>45420</v>
      </c>
      <c r="C1603" t="s">
        <v>16957</v>
      </c>
      <c r="D1603" t="s">
        <v>17451</v>
      </c>
      <c r="E1603">
        <v>0</v>
      </c>
      <c r="F1603">
        <v>114897.255</v>
      </c>
      <c r="G1603" s="259">
        <v>114897.25455</v>
      </c>
      <c r="H1603" s="259">
        <v>0</v>
      </c>
      <c r="I1603" s="259">
        <v>0</v>
      </c>
      <c r="J1603" s="259">
        <v>0</v>
      </c>
      <c r="K1603" s="260">
        <v>0</v>
      </c>
      <c r="L1603" s="260">
        <v>0</v>
      </c>
      <c r="M1603" s="260">
        <v>0</v>
      </c>
      <c r="N1603" s="260">
        <v>0</v>
      </c>
      <c r="O1603" s="261">
        <v>114897.25455</v>
      </c>
      <c r="P1603" s="261">
        <v>0</v>
      </c>
      <c r="Q1603" s="261">
        <v>0</v>
      </c>
      <c r="R1603" s="261">
        <v>0</v>
      </c>
      <c r="S1603">
        <v>114897.25455</v>
      </c>
      <c r="T1603">
        <v>4.5000000682193786E-4</v>
      </c>
    </row>
    <row r="1604" spans="1:20">
      <c r="A1604" t="s">
        <v>19369</v>
      </c>
      <c r="B1604">
        <v>45420</v>
      </c>
      <c r="C1604" t="s">
        <v>16957</v>
      </c>
      <c r="D1604" t="s">
        <v>17451</v>
      </c>
      <c r="E1604">
        <v>0</v>
      </c>
      <c r="F1604">
        <v>49978.519</v>
      </c>
      <c r="G1604" s="259">
        <v>49978.518524999992</v>
      </c>
      <c r="H1604" s="259">
        <v>0</v>
      </c>
      <c r="I1604" s="259">
        <v>0</v>
      </c>
      <c r="J1604" s="259">
        <v>0</v>
      </c>
      <c r="K1604" s="260">
        <v>0</v>
      </c>
      <c r="L1604" s="260">
        <v>0</v>
      </c>
      <c r="M1604" s="260">
        <v>0</v>
      </c>
      <c r="N1604" s="260">
        <v>0</v>
      </c>
      <c r="O1604" s="261">
        <v>49978.518524999992</v>
      </c>
      <c r="P1604" s="261">
        <v>0</v>
      </c>
      <c r="Q1604" s="261">
        <v>0</v>
      </c>
      <c r="R1604" s="261">
        <v>0</v>
      </c>
      <c r="S1604">
        <v>49978.518524999992</v>
      </c>
      <c r="T1604">
        <v>4.7500000800937414E-4</v>
      </c>
    </row>
    <row r="1605" spans="1:20">
      <c r="A1605" t="s">
        <v>19370</v>
      </c>
      <c r="B1605">
        <v>45420</v>
      </c>
      <c r="C1605" t="s">
        <v>17248</v>
      </c>
      <c r="D1605" t="s">
        <v>18158</v>
      </c>
      <c r="E1605">
        <v>0</v>
      </c>
      <c r="F1605">
        <v>74601.547000000006</v>
      </c>
      <c r="G1605" s="259">
        <v>0</v>
      </c>
      <c r="H1605" s="259">
        <v>60240.806779999992</v>
      </c>
      <c r="I1605" s="259">
        <v>0</v>
      </c>
      <c r="J1605" s="259">
        <v>0</v>
      </c>
      <c r="K1605" s="260">
        <v>0</v>
      </c>
      <c r="L1605" s="260">
        <v>14360.74</v>
      </c>
      <c r="M1605" s="260">
        <v>0</v>
      </c>
      <c r="N1605" s="260">
        <v>0</v>
      </c>
      <c r="O1605" s="261">
        <v>0</v>
      </c>
      <c r="P1605" s="261">
        <v>74601.54677999999</v>
      </c>
      <c r="Q1605" s="261">
        <v>0</v>
      </c>
      <c r="R1605" s="261">
        <v>0</v>
      </c>
      <c r="S1605">
        <v>74601.54677999999</v>
      </c>
      <c r="T1605">
        <v>2.2000001627020538E-4</v>
      </c>
    </row>
    <row r="1606" spans="1:20">
      <c r="A1606" t="s">
        <v>19371</v>
      </c>
      <c r="B1606">
        <v>45421</v>
      </c>
      <c r="C1606" t="s">
        <v>16700</v>
      </c>
      <c r="D1606" t="s">
        <v>16701</v>
      </c>
      <c r="E1606">
        <v>0</v>
      </c>
      <c r="F1606">
        <v>86540.534</v>
      </c>
      <c r="G1606" s="259">
        <v>80792.579249999995</v>
      </c>
      <c r="H1606" s="259">
        <v>0</v>
      </c>
      <c r="I1606" s="259">
        <v>0</v>
      </c>
      <c r="J1606" s="259">
        <v>0</v>
      </c>
      <c r="K1606" s="260">
        <v>5747.9549999999999</v>
      </c>
      <c r="L1606" s="260">
        <v>0</v>
      </c>
      <c r="M1606" s="260">
        <v>0</v>
      </c>
      <c r="N1606" s="260">
        <v>0</v>
      </c>
      <c r="O1606" s="261">
        <v>86540.534249999997</v>
      </c>
      <c r="P1606" s="261">
        <v>0</v>
      </c>
      <c r="Q1606" s="261">
        <v>0</v>
      </c>
      <c r="R1606" s="261">
        <v>0</v>
      </c>
      <c r="S1606">
        <v>86540.534249999997</v>
      </c>
      <c r="T1606">
        <v>-2.499999973224476E-4</v>
      </c>
    </row>
    <row r="1607" spans="1:20">
      <c r="A1607" t="s">
        <v>19372</v>
      </c>
      <c r="B1607">
        <v>45421</v>
      </c>
      <c r="C1607" t="s">
        <v>17336</v>
      </c>
      <c r="D1607" t="s">
        <v>18835</v>
      </c>
      <c r="E1607">
        <v>0</v>
      </c>
      <c r="F1607">
        <v>57405.197</v>
      </c>
      <c r="G1607" s="259">
        <v>0</v>
      </c>
      <c r="H1607" s="259">
        <v>57405.196799999998</v>
      </c>
      <c r="I1607" s="259">
        <v>0</v>
      </c>
      <c r="J1607" s="259">
        <v>0</v>
      </c>
      <c r="K1607" s="260">
        <v>0</v>
      </c>
      <c r="L1607" s="260">
        <v>0</v>
      </c>
      <c r="M1607" s="260">
        <v>0</v>
      </c>
      <c r="N1607" s="260">
        <v>0</v>
      </c>
      <c r="O1607" s="261">
        <v>0</v>
      </c>
      <c r="P1607" s="261">
        <v>57405.196799999998</v>
      </c>
      <c r="Q1607" s="261">
        <v>0</v>
      </c>
      <c r="R1607" s="261">
        <v>0</v>
      </c>
      <c r="S1607">
        <v>57405.196799999998</v>
      </c>
      <c r="T1607">
        <v>2.0000000222353265E-4</v>
      </c>
    </row>
    <row r="1608" spans="1:20">
      <c r="A1608" t="s">
        <v>19373</v>
      </c>
      <c r="B1608">
        <v>45421</v>
      </c>
      <c r="C1608" t="s">
        <v>17336</v>
      </c>
      <c r="D1608" t="s">
        <v>18835</v>
      </c>
      <c r="E1608">
        <v>0</v>
      </c>
      <c r="F1608">
        <v>57432.084000000003</v>
      </c>
      <c r="G1608" s="259">
        <v>0</v>
      </c>
      <c r="H1608" s="259">
        <v>57432.084479999998</v>
      </c>
      <c r="I1608" s="259">
        <v>0</v>
      </c>
      <c r="J1608" s="259">
        <v>0</v>
      </c>
      <c r="K1608" s="260">
        <v>0</v>
      </c>
      <c r="L1608" s="260">
        <v>0</v>
      </c>
      <c r="M1608" s="260">
        <v>0</v>
      </c>
      <c r="N1608" s="260">
        <v>0</v>
      </c>
      <c r="O1608" s="261">
        <v>0</v>
      </c>
      <c r="P1608" s="261">
        <v>57432.084479999998</v>
      </c>
      <c r="Q1608" s="261">
        <v>0</v>
      </c>
      <c r="R1608" s="261">
        <v>0</v>
      </c>
      <c r="S1608">
        <v>57432.084479999998</v>
      </c>
      <c r="T1608">
        <v>-4.7999999515013769E-4</v>
      </c>
    </row>
    <row r="1609" spans="1:20">
      <c r="A1609" t="s">
        <v>19374</v>
      </c>
      <c r="B1609">
        <v>45421</v>
      </c>
      <c r="C1609" t="s">
        <v>16444</v>
      </c>
      <c r="D1609" t="s">
        <v>16445</v>
      </c>
      <c r="E1609">
        <v>0</v>
      </c>
      <c r="F1609">
        <v>110064</v>
      </c>
      <c r="G1609" s="259">
        <v>73080</v>
      </c>
      <c r="H1609" s="259">
        <v>36984</v>
      </c>
      <c r="I1609" s="259">
        <v>0</v>
      </c>
      <c r="J1609" s="259">
        <v>0</v>
      </c>
      <c r="K1609" s="260">
        <v>0</v>
      </c>
      <c r="L1609" s="260">
        <v>0</v>
      </c>
      <c r="M1609" s="260">
        <v>0</v>
      </c>
      <c r="N1609" s="260">
        <v>0</v>
      </c>
      <c r="O1609" s="261">
        <v>73080</v>
      </c>
      <c r="P1609" s="261">
        <v>36984</v>
      </c>
      <c r="Q1609" s="261">
        <v>0</v>
      </c>
      <c r="R1609" s="261">
        <v>0</v>
      </c>
      <c r="S1609">
        <v>110064</v>
      </c>
      <c r="T1609">
        <v>0</v>
      </c>
    </row>
    <row r="1610" spans="1:20">
      <c r="A1610" t="s">
        <v>19375</v>
      </c>
      <c r="B1610">
        <v>45421</v>
      </c>
      <c r="C1610" t="s">
        <v>16444</v>
      </c>
      <c r="D1610" t="s">
        <v>16445</v>
      </c>
      <c r="E1610">
        <v>0</v>
      </c>
      <c r="F1610">
        <v>110064</v>
      </c>
      <c r="G1610" s="259">
        <v>73080</v>
      </c>
      <c r="H1610" s="259">
        <v>36984</v>
      </c>
      <c r="I1610" s="259">
        <v>0</v>
      </c>
      <c r="J1610" s="259">
        <v>0</v>
      </c>
      <c r="K1610" s="260">
        <v>0</v>
      </c>
      <c r="L1610" s="260">
        <v>0</v>
      </c>
      <c r="M1610" s="260">
        <v>0</v>
      </c>
      <c r="N1610" s="260">
        <v>0</v>
      </c>
      <c r="O1610" s="261">
        <v>73080</v>
      </c>
      <c r="P1610" s="261">
        <v>36984</v>
      </c>
      <c r="Q1610" s="261">
        <v>0</v>
      </c>
      <c r="R1610" s="261">
        <v>0</v>
      </c>
      <c r="S1610">
        <v>110064</v>
      </c>
      <c r="T1610">
        <v>0</v>
      </c>
    </row>
    <row r="1611" spans="1:20">
      <c r="A1611" t="s">
        <v>19376</v>
      </c>
      <c r="B1611">
        <v>45422</v>
      </c>
      <c r="C1611" t="s">
        <v>16384</v>
      </c>
      <c r="D1611" t="s">
        <v>16385</v>
      </c>
      <c r="E1611">
        <v>0</v>
      </c>
      <c r="F1611">
        <v>478039.32</v>
      </c>
      <c r="G1611" s="259">
        <v>396013.32</v>
      </c>
      <c r="H1611" s="259">
        <v>82026</v>
      </c>
      <c r="I1611" s="259">
        <v>0</v>
      </c>
      <c r="J1611" s="259">
        <v>0</v>
      </c>
      <c r="K1611" s="260">
        <v>0</v>
      </c>
      <c r="L1611" s="260">
        <v>0</v>
      </c>
      <c r="M1611" s="260">
        <v>0</v>
      </c>
      <c r="N1611" s="260">
        <v>0</v>
      </c>
      <c r="O1611" s="261">
        <v>396013.32</v>
      </c>
      <c r="P1611" s="261">
        <v>82026</v>
      </c>
      <c r="Q1611" s="261">
        <v>0</v>
      </c>
      <c r="R1611" s="261">
        <v>0</v>
      </c>
      <c r="S1611">
        <v>478039.32</v>
      </c>
      <c r="T1611">
        <v>0</v>
      </c>
    </row>
    <row r="1612" spans="1:20">
      <c r="A1612" t="s">
        <v>19377</v>
      </c>
      <c r="B1612">
        <v>45422</v>
      </c>
      <c r="C1612" t="s">
        <v>16384</v>
      </c>
      <c r="D1612" t="s">
        <v>16385</v>
      </c>
      <c r="E1612">
        <v>0</v>
      </c>
      <c r="F1612">
        <v>43205.440000000002</v>
      </c>
      <c r="G1612" s="259">
        <v>0</v>
      </c>
      <c r="H1612" s="259">
        <v>32005.439999999999</v>
      </c>
      <c r="I1612" s="259">
        <v>0</v>
      </c>
      <c r="J1612" s="259">
        <v>11200</v>
      </c>
      <c r="K1612" s="260">
        <v>0</v>
      </c>
      <c r="L1612" s="260">
        <v>0</v>
      </c>
      <c r="M1612" s="260">
        <v>0</v>
      </c>
      <c r="N1612" s="260">
        <v>0</v>
      </c>
      <c r="O1612" s="261">
        <v>0</v>
      </c>
      <c r="P1612" s="261">
        <v>32005.439999999999</v>
      </c>
      <c r="Q1612" s="261">
        <v>0</v>
      </c>
      <c r="R1612" s="261">
        <v>11200</v>
      </c>
      <c r="S1612">
        <v>43205.440000000002</v>
      </c>
      <c r="T1612">
        <v>0</v>
      </c>
    </row>
    <row r="1613" spans="1:20">
      <c r="A1613" t="s">
        <v>19378</v>
      </c>
      <c r="B1613">
        <v>45422</v>
      </c>
      <c r="C1613" t="s">
        <v>16384</v>
      </c>
      <c r="D1613" t="s">
        <v>16385</v>
      </c>
      <c r="E1613">
        <v>0</v>
      </c>
      <c r="F1613">
        <v>131439.20000000001</v>
      </c>
      <c r="G1613" s="259">
        <v>0</v>
      </c>
      <c r="H1613" s="259">
        <v>91279.2</v>
      </c>
      <c r="I1613" s="259">
        <v>0</v>
      </c>
      <c r="J1613" s="259">
        <v>40160</v>
      </c>
      <c r="K1613" s="260">
        <v>0</v>
      </c>
      <c r="L1613" s="260">
        <v>0</v>
      </c>
      <c r="M1613" s="260">
        <v>0</v>
      </c>
      <c r="N1613" s="260">
        <v>0</v>
      </c>
      <c r="O1613" s="261">
        <v>0</v>
      </c>
      <c r="P1613" s="261">
        <v>91279.2</v>
      </c>
      <c r="Q1613" s="261">
        <v>0</v>
      </c>
      <c r="R1613" s="261">
        <v>40160</v>
      </c>
      <c r="S1613">
        <v>131439.20000000001</v>
      </c>
      <c r="T1613">
        <v>0</v>
      </c>
    </row>
    <row r="1614" spans="1:20">
      <c r="A1614" t="s">
        <v>19379</v>
      </c>
      <c r="B1614">
        <v>45426</v>
      </c>
      <c r="C1614" t="s">
        <v>16444</v>
      </c>
      <c r="D1614" t="s">
        <v>16445</v>
      </c>
      <c r="E1614">
        <v>0</v>
      </c>
      <c r="F1614">
        <v>39632.5</v>
      </c>
      <c r="G1614" s="259">
        <v>39632.5</v>
      </c>
      <c r="H1614" s="259">
        <v>0</v>
      </c>
      <c r="I1614" s="259">
        <v>0</v>
      </c>
      <c r="J1614" s="259">
        <v>0</v>
      </c>
      <c r="K1614" s="260">
        <v>0</v>
      </c>
      <c r="L1614" s="260">
        <v>0</v>
      </c>
      <c r="M1614" s="260">
        <v>0</v>
      </c>
      <c r="N1614" s="260">
        <v>0</v>
      </c>
      <c r="O1614" s="261">
        <v>39632.5</v>
      </c>
      <c r="P1614" s="261">
        <v>0</v>
      </c>
      <c r="Q1614" s="261">
        <v>0</v>
      </c>
      <c r="R1614" s="261">
        <v>0</v>
      </c>
      <c r="S1614">
        <v>39632.5</v>
      </c>
      <c r="T1614">
        <v>0</v>
      </c>
    </row>
    <row r="1615" spans="1:20">
      <c r="A1615" t="s">
        <v>19380</v>
      </c>
      <c r="B1615">
        <v>45628</v>
      </c>
      <c r="C1615" t="s">
        <v>17309</v>
      </c>
      <c r="D1615" t="s">
        <v>18704</v>
      </c>
      <c r="E1615">
        <v>0</v>
      </c>
      <c r="F1615">
        <v>194880</v>
      </c>
      <c r="G1615" s="259">
        <v>194880</v>
      </c>
      <c r="H1615" s="259">
        <v>0</v>
      </c>
      <c r="I1615" s="259">
        <v>0</v>
      </c>
      <c r="J1615" s="259">
        <v>0</v>
      </c>
      <c r="K1615" s="260">
        <v>0</v>
      </c>
      <c r="L1615" s="260">
        <v>0</v>
      </c>
      <c r="M1615" s="260">
        <v>0</v>
      </c>
      <c r="N1615" s="260">
        <v>0</v>
      </c>
      <c r="O1615" s="261">
        <v>194880</v>
      </c>
      <c r="P1615" s="261">
        <v>0</v>
      </c>
      <c r="Q1615" s="261">
        <v>0</v>
      </c>
      <c r="R1615" s="261">
        <v>0</v>
      </c>
      <c r="S1615">
        <v>194880</v>
      </c>
      <c r="T1615">
        <v>0</v>
      </c>
    </row>
    <row r="1616" spans="1:20">
      <c r="A1616" t="s">
        <v>19381</v>
      </c>
      <c r="B1616">
        <v>45426</v>
      </c>
      <c r="C1616" t="s">
        <v>17342</v>
      </c>
      <c r="D1616" t="s">
        <v>17343</v>
      </c>
      <c r="E1616">
        <v>0</v>
      </c>
      <c r="F1616">
        <v>4752.3069999999998</v>
      </c>
      <c r="G1616" s="259">
        <v>0</v>
      </c>
      <c r="H1616" s="259">
        <v>3350.4466427999996</v>
      </c>
      <c r="I1616" s="259">
        <v>1401.86052</v>
      </c>
      <c r="J1616" s="259">
        <v>0</v>
      </c>
      <c r="K1616" s="260">
        <v>0</v>
      </c>
      <c r="L1616" s="260">
        <v>0</v>
      </c>
      <c r="M1616" s="260">
        <v>0</v>
      </c>
      <c r="N1616" s="260">
        <v>0</v>
      </c>
      <c r="O1616" s="261">
        <v>0</v>
      </c>
      <c r="P1616" s="261">
        <v>3350.4466427999996</v>
      </c>
      <c r="Q1616" s="261">
        <v>1401.86052</v>
      </c>
      <c r="R1616" s="261">
        <v>0</v>
      </c>
      <c r="S1616">
        <v>4752.3071627999998</v>
      </c>
      <c r="T1616">
        <v>-1.6279999999824213E-4</v>
      </c>
    </row>
    <row r="1617" spans="1:21">
      <c r="A1617" t="s">
        <v>19382</v>
      </c>
      <c r="B1617">
        <v>45426</v>
      </c>
      <c r="C1617" t="s">
        <v>17342</v>
      </c>
      <c r="D1617" t="s">
        <v>17343</v>
      </c>
      <c r="E1617">
        <v>0</v>
      </c>
      <c r="F1617">
        <v>27241.554</v>
      </c>
      <c r="G1617" s="259">
        <v>0</v>
      </c>
      <c r="H1617" s="259">
        <v>20480.453676000001</v>
      </c>
      <c r="I1617" s="259">
        <v>0</v>
      </c>
      <c r="J1617" s="259">
        <v>0</v>
      </c>
      <c r="K1617" s="260">
        <v>0</v>
      </c>
      <c r="L1617" s="260">
        <v>11831.924999999999</v>
      </c>
      <c r="M1617" s="260">
        <v>0</v>
      </c>
      <c r="N1617" s="260">
        <v>0</v>
      </c>
      <c r="O1617" s="261">
        <v>0</v>
      </c>
      <c r="P1617" s="261">
        <v>32312.378676</v>
      </c>
      <c r="Q1617" s="261">
        <v>0</v>
      </c>
      <c r="R1617" s="261">
        <v>0</v>
      </c>
      <c r="S1617">
        <v>32312.378676</v>
      </c>
      <c r="T1617">
        <v>-5070.8246760000002</v>
      </c>
      <c r="U1617" t="s">
        <v>19268</v>
      </c>
    </row>
    <row r="1618" spans="1:21">
      <c r="A1618" t="s">
        <v>19383</v>
      </c>
      <c r="B1618">
        <v>45446</v>
      </c>
      <c r="C1618" t="s">
        <v>17132</v>
      </c>
      <c r="D1618" t="s">
        <v>17133</v>
      </c>
      <c r="E1618">
        <v>0</v>
      </c>
      <c r="F1618">
        <v>297659.52000000002</v>
      </c>
      <c r="G1618" s="259">
        <v>297659.52000000002</v>
      </c>
      <c r="H1618" s="259">
        <v>0</v>
      </c>
      <c r="I1618" s="259">
        <v>0</v>
      </c>
      <c r="J1618" s="259">
        <v>0</v>
      </c>
      <c r="K1618" s="260">
        <v>0</v>
      </c>
      <c r="L1618" s="260">
        <v>0</v>
      </c>
      <c r="M1618" s="260">
        <v>0</v>
      </c>
      <c r="N1618" s="260">
        <v>0</v>
      </c>
      <c r="O1618" s="261">
        <v>297659.52000000002</v>
      </c>
      <c r="P1618" s="261">
        <v>0</v>
      </c>
      <c r="Q1618" s="261">
        <v>0</v>
      </c>
      <c r="R1618" s="261">
        <v>0</v>
      </c>
      <c r="S1618">
        <v>297659.52000000002</v>
      </c>
      <c r="T1618">
        <v>0</v>
      </c>
    </row>
    <row r="1619" spans="1:21">
      <c r="A1619" t="s">
        <v>19384</v>
      </c>
      <c r="B1619">
        <v>45432</v>
      </c>
      <c r="C1619" t="s">
        <v>17309</v>
      </c>
      <c r="D1619" t="s">
        <v>18704</v>
      </c>
      <c r="E1619">
        <v>0</v>
      </c>
      <c r="F1619">
        <v>493700</v>
      </c>
      <c r="G1619" s="259">
        <v>142100</v>
      </c>
      <c r="H1619" s="259">
        <v>51000</v>
      </c>
      <c r="I1619" s="259">
        <v>300600</v>
      </c>
      <c r="J1619" s="259">
        <v>0</v>
      </c>
      <c r="K1619" s="260">
        <v>0</v>
      </c>
      <c r="L1619" s="260">
        <v>0</v>
      </c>
      <c r="M1619" s="260">
        <v>0</v>
      </c>
      <c r="N1619" s="260">
        <v>0</v>
      </c>
      <c r="O1619" s="261">
        <v>142100</v>
      </c>
      <c r="P1619" s="261">
        <v>51000</v>
      </c>
      <c r="Q1619" s="261">
        <v>300600</v>
      </c>
      <c r="R1619" s="261">
        <v>0</v>
      </c>
      <c r="S1619">
        <v>493700</v>
      </c>
      <c r="T1619">
        <v>0</v>
      </c>
    </row>
    <row r="1620" spans="1:21">
      <c r="A1620" t="s">
        <v>19385</v>
      </c>
      <c r="B1620">
        <v>45432</v>
      </c>
      <c r="C1620" t="s">
        <v>17309</v>
      </c>
      <c r="D1620" t="s">
        <v>18704</v>
      </c>
      <c r="E1620">
        <v>0</v>
      </c>
      <c r="F1620">
        <v>118656</v>
      </c>
      <c r="G1620" s="259">
        <v>118656</v>
      </c>
      <c r="H1620" s="259">
        <v>0</v>
      </c>
      <c r="I1620" s="259">
        <v>0</v>
      </c>
      <c r="J1620" s="259">
        <v>0</v>
      </c>
      <c r="K1620" s="260">
        <v>0</v>
      </c>
      <c r="L1620" s="260">
        <v>0</v>
      </c>
      <c r="M1620" s="260">
        <v>0</v>
      </c>
      <c r="N1620" s="260">
        <v>0</v>
      </c>
      <c r="O1620" s="261">
        <v>118656</v>
      </c>
      <c r="P1620" s="261">
        <v>0</v>
      </c>
      <c r="Q1620" s="261">
        <v>0</v>
      </c>
      <c r="R1620" s="261">
        <v>0</v>
      </c>
      <c r="S1620">
        <v>118656</v>
      </c>
      <c r="T1620">
        <v>0</v>
      </c>
    </row>
    <row r="1621" spans="1:21">
      <c r="A1621" t="s">
        <v>19386</v>
      </c>
      <c r="B1621">
        <v>45432</v>
      </c>
      <c r="C1621" t="s">
        <v>16880</v>
      </c>
      <c r="D1621" t="s">
        <v>16881</v>
      </c>
      <c r="E1621">
        <v>0</v>
      </c>
      <c r="F1621">
        <v>80052.731</v>
      </c>
      <c r="G1621" s="259">
        <v>33607.40064</v>
      </c>
      <c r="H1621" s="259">
        <v>46445.330250000014</v>
      </c>
      <c r="I1621" s="259">
        <v>0</v>
      </c>
      <c r="J1621" s="259">
        <v>0</v>
      </c>
      <c r="K1621" s="260">
        <v>0</v>
      </c>
      <c r="L1621" s="260">
        <v>0</v>
      </c>
      <c r="M1621" s="260">
        <v>0</v>
      </c>
      <c r="N1621" s="260">
        <v>0</v>
      </c>
      <c r="O1621" s="261">
        <v>33607.40064</v>
      </c>
      <c r="P1621" s="261">
        <v>46445.330250000014</v>
      </c>
      <c r="Q1621" s="261">
        <v>0</v>
      </c>
      <c r="R1621" s="261">
        <v>0</v>
      </c>
      <c r="S1621">
        <v>80052.730890000006</v>
      </c>
      <c r="T1621">
        <v>1.0999999358318746E-4</v>
      </c>
    </row>
    <row r="1622" spans="1:21">
      <c r="A1622" t="s">
        <v>19387</v>
      </c>
      <c r="B1622">
        <v>45432</v>
      </c>
      <c r="C1622" t="s">
        <v>16904</v>
      </c>
      <c r="D1622" t="s">
        <v>16905</v>
      </c>
      <c r="E1622">
        <v>0</v>
      </c>
      <c r="F1622">
        <v>78722.930999999997</v>
      </c>
      <c r="G1622" s="259">
        <v>0</v>
      </c>
      <c r="H1622" s="259">
        <v>45315.02928599999</v>
      </c>
      <c r="I1622" s="259">
        <v>19018.888875000001</v>
      </c>
      <c r="J1622" s="259">
        <v>0</v>
      </c>
      <c r="K1622" s="260">
        <v>0</v>
      </c>
      <c r="L1622" s="260">
        <v>10071.617966874701</v>
      </c>
      <c r="M1622" s="260">
        <v>4317.3945331253008</v>
      </c>
      <c r="N1622" s="260">
        <v>0</v>
      </c>
      <c r="O1622" s="261">
        <v>0</v>
      </c>
      <c r="P1622" s="261">
        <v>55386.647252874689</v>
      </c>
      <c r="Q1622" s="261">
        <v>23336.283408125302</v>
      </c>
      <c r="R1622" s="261">
        <v>0</v>
      </c>
      <c r="S1622">
        <v>78722.930660999991</v>
      </c>
      <c r="T1622">
        <v>3.3900000562425703E-4</v>
      </c>
    </row>
    <row r="1623" spans="1:21">
      <c r="A1623" t="s">
        <v>19388</v>
      </c>
      <c r="B1623">
        <v>45433</v>
      </c>
      <c r="C1623" t="s">
        <v>16444</v>
      </c>
      <c r="D1623" t="s">
        <v>16445</v>
      </c>
      <c r="E1623">
        <v>0</v>
      </c>
      <c r="F1623">
        <v>87696</v>
      </c>
      <c r="G1623" s="259">
        <v>87696</v>
      </c>
      <c r="H1623" s="259">
        <v>0</v>
      </c>
      <c r="I1623" s="259">
        <v>0</v>
      </c>
      <c r="J1623" s="259">
        <v>0</v>
      </c>
      <c r="K1623" s="260">
        <v>0</v>
      </c>
      <c r="L1623" s="260">
        <v>0</v>
      </c>
      <c r="M1623" s="260">
        <v>0</v>
      </c>
      <c r="N1623" s="260">
        <v>0</v>
      </c>
      <c r="O1623" s="261">
        <v>87696</v>
      </c>
      <c r="P1623" s="261">
        <v>0</v>
      </c>
      <c r="Q1623" s="261">
        <v>0</v>
      </c>
      <c r="R1623" s="261">
        <v>0</v>
      </c>
      <c r="S1623">
        <v>87696</v>
      </c>
      <c r="T1623">
        <v>0</v>
      </c>
    </row>
    <row r="1624" spans="1:21">
      <c r="A1624" t="s">
        <v>19389</v>
      </c>
      <c r="B1624">
        <v>45433</v>
      </c>
      <c r="C1624" t="s">
        <v>16444</v>
      </c>
      <c r="D1624" t="s">
        <v>16445</v>
      </c>
      <c r="E1624">
        <v>0</v>
      </c>
      <c r="F1624">
        <v>39632.5</v>
      </c>
      <c r="G1624" s="259">
        <v>39632.5</v>
      </c>
      <c r="H1624" s="259">
        <v>0</v>
      </c>
      <c r="I1624" s="259">
        <v>0</v>
      </c>
      <c r="J1624" s="259">
        <v>0</v>
      </c>
      <c r="K1624" s="260">
        <v>0</v>
      </c>
      <c r="L1624" s="260">
        <v>0</v>
      </c>
      <c r="M1624" s="260">
        <v>0</v>
      </c>
      <c r="N1624" s="260">
        <v>0</v>
      </c>
      <c r="O1624" s="261">
        <v>39632.5</v>
      </c>
      <c r="P1624" s="261">
        <v>0</v>
      </c>
      <c r="Q1624" s="261">
        <v>0</v>
      </c>
      <c r="R1624" s="261">
        <v>0</v>
      </c>
      <c r="S1624">
        <v>39632.5</v>
      </c>
      <c r="T1624">
        <v>0</v>
      </c>
    </row>
    <row r="1625" spans="1:21">
      <c r="A1625" t="s">
        <v>19390</v>
      </c>
      <c r="B1625">
        <v>45439</v>
      </c>
      <c r="C1625" t="s">
        <v>16823</v>
      </c>
      <c r="D1625" t="s">
        <v>17805</v>
      </c>
      <c r="E1625">
        <v>0</v>
      </c>
      <c r="F1625">
        <v>87539.962</v>
      </c>
      <c r="G1625" s="259">
        <v>80070.681599999996</v>
      </c>
      <c r="H1625" s="259">
        <v>0</v>
      </c>
      <c r="I1625" s="259">
        <v>0</v>
      </c>
      <c r="J1625" s="259">
        <v>0</v>
      </c>
      <c r="K1625" s="260">
        <v>7469.28</v>
      </c>
      <c r="L1625" s="260">
        <v>0</v>
      </c>
      <c r="M1625" s="260">
        <v>0</v>
      </c>
      <c r="N1625" s="260">
        <v>0</v>
      </c>
      <c r="O1625" s="261">
        <v>87539.961599999995</v>
      </c>
      <c r="P1625" s="261">
        <v>0</v>
      </c>
      <c r="Q1625" s="261">
        <v>0</v>
      </c>
      <c r="R1625" s="261">
        <v>0</v>
      </c>
      <c r="S1625">
        <v>87539.961599999995</v>
      </c>
      <c r="T1625">
        <v>4.0000000444706529E-4</v>
      </c>
    </row>
    <row r="1626" spans="1:21">
      <c r="A1626" t="s">
        <v>19391</v>
      </c>
      <c r="B1626">
        <v>45446</v>
      </c>
      <c r="C1626" t="s">
        <v>17259</v>
      </c>
      <c r="D1626" t="s">
        <v>17260</v>
      </c>
      <c r="E1626">
        <v>0</v>
      </c>
      <c r="F1626">
        <v>94633.988000000012</v>
      </c>
      <c r="G1626" s="259">
        <v>10077.371999999998</v>
      </c>
      <c r="H1626" s="259">
        <v>60557.540999999997</v>
      </c>
      <c r="I1626" s="259">
        <v>0</v>
      </c>
      <c r="J1626" s="259">
        <v>4404.1847999999991</v>
      </c>
      <c r="K1626" s="260">
        <v>2411.6787692307694</v>
      </c>
      <c r="L1626" s="260">
        <v>17183.21123076923</v>
      </c>
      <c r="M1626" s="260">
        <v>0</v>
      </c>
      <c r="N1626" s="260">
        <v>0</v>
      </c>
      <c r="O1626" s="261">
        <v>12489.050769230767</v>
      </c>
      <c r="P1626" s="261">
        <v>77740.752230769227</v>
      </c>
      <c r="Q1626" s="261">
        <v>0</v>
      </c>
      <c r="R1626" s="261">
        <v>4404.1847999999991</v>
      </c>
      <c r="S1626">
        <v>94633.987800000003</v>
      </c>
      <c r="T1626">
        <v>2.0000000949949026E-4</v>
      </c>
    </row>
    <row r="1627" spans="1:21">
      <c r="A1627" t="s">
        <v>19392</v>
      </c>
      <c r="B1627">
        <v>45446</v>
      </c>
      <c r="C1627" t="s">
        <v>17017</v>
      </c>
      <c r="D1627" t="s">
        <v>17430</v>
      </c>
      <c r="E1627">
        <v>0</v>
      </c>
      <c r="F1627">
        <v>37420.160000000003</v>
      </c>
      <c r="G1627" s="259">
        <v>14976</v>
      </c>
      <c r="H1627" s="259">
        <v>11936.16</v>
      </c>
      <c r="I1627" s="259">
        <v>7344</v>
      </c>
      <c r="J1627" s="259">
        <v>3164</v>
      </c>
      <c r="K1627" s="260">
        <v>0</v>
      </c>
      <c r="L1627" s="260">
        <v>0</v>
      </c>
      <c r="M1627" s="260">
        <v>0</v>
      </c>
      <c r="N1627" s="260">
        <v>0</v>
      </c>
      <c r="O1627" s="261">
        <v>14976</v>
      </c>
      <c r="P1627" s="261">
        <v>11936.16</v>
      </c>
      <c r="Q1627" s="261">
        <v>7344</v>
      </c>
      <c r="R1627" s="261">
        <v>3164</v>
      </c>
      <c r="S1627">
        <v>37420.160000000003</v>
      </c>
      <c r="T1627">
        <v>0</v>
      </c>
    </row>
    <row r="1628" spans="1:21">
      <c r="A1628" t="s">
        <v>19393</v>
      </c>
      <c r="B1628">
        <v>45446</v>
      </c>
      <c r="C1628" t="s">
        <v>17226</v>
      </c>
      <c r="D1628" t="s">
        <v>17891</v>
      </c>
      <c r="E1628">
        <v>0</v>
      </c>
      <c r="F1628">
        <v>214072</v>
      </c>
      <c r="G1628" s="259">
        <v>0</v>
      </c>
      <c r="H1628" s="259">
        <v>188280</v>
      </c>
      <c r="I1628" s="259">
        <v>9792</v>
      </c>
      <c r="J1628" s="259">
        <v>16000</v>
      </c>
      <c r="K1628" s="260">
        <v>0</v>
      </c>
      <c r="L1628" s="260">
        <v>0</v>
      </c>
      <c r="M1628" s="260">
        <v>0</v>
      </c>
      <c r="N1628" s="260">
        <v>0</v>
      </c>
      <c r="O1628" s="261">
        <v>0</v>
      </c>
      <c r="P1628" s="261">
        <v>188280</v>
      </c>
      <c r="Q1628" s="261">
        <v>9792</v>
      </c>
      <c r="R1628" s="261">
        <v>16000</v>
      </c>
      <c r="S1628">
        <v>214072</v>
      </c>
      <c r="T1628">
        <v>0</v>
      </c>
    </row>
    <row r="1629" spans="1:21">
      <c r="A1629" t="s">
        <v>19394</v>
      </c>
      <c r="B1629">
        <v>45446</v>
      </c>
      <c r="C1629" t="s">
        <v>16823</v>
      </c>
      <c r="D1629" t="s">
        <v>17805</v>
      </c>
      <c r="E1629">
        <v>0</v>
      </c>
      <c r="F1629">
        <v>62903.902999999998</v>
      </c>
      <c r="G1629" s="259">
        <v>34616.521500000003</v>
      </c>
      <c r="H1629" s="259">
        <v>22369.224375000002</v>
      </c>
      <c r="I1629" s="259">
        <v>0</v>
      </c>
      <c r="J1629" s="259">
        <v>0</v>
      </c>
      <c r="K1629" s="260">
        <v>3521.7136216216213</v>
      </c>
      <c r="L1629" s="260">
        <v>2401.1683783783783</v>
      </c>
      <c r="M1629" s="260">
        <v>0</v>
      </c>
      <c r="N1629" s="260">
        <v>0</v>
      </c>
      <c r="O1629" s="261">
        <v>38138.235121621627</v>
      </c>
      <c r="P1629" s="261">
        <v>24770.392753378379</v>
      </c>
      <c r="Q1629" s="261">
        <v>0</v>
      </c>
      <c r="R1629" s="261">
        <v>0</v>
      </c>
      <c r="S1629">
        <v>62908.627875000006</v>
      </c>
      <c r="T1629">
        <v>-4.7248750000071595</v>
      </c>
    </row>
    <row r="1630" spans="1:21">
      <c r="A1630" t="s">
        <v>19395</v>
      </c>
      <c r="B1630">
        <v>45446</v>
      </c>
      <c r="C1630" t="s">
        <v>16384</v>
      </c>
      <c r="D1630" t="s">
        <v>16385</v>
      </c>
      <c r="E1630">
        <v>0</v>
      </c>
      <c r="F1630">
        <v>119808</v>
      </c>
      <c r="G1630" s="259">
        <v>119808</v>
      </c>
      <c r="H1630" s="259">
        <v>0</v>
      </c>
      <c r="I1630" s="259">
        <v>0</v>
      </c>
      <c r="J1630" s="259">
        <v>0</v>
      </c>
      <c r="K1630" s="260">
        <v>0</v>
      </c>
      <c r="L1630" s="260">
        <v>0</v>
      </c>
      <c r="M1630" s="260">
        <v>0</v>
      </c>
      <c r="N1630" s="260">
        <v>0</v>
      </c>
      <c r="O1630" s="261">
        <v>119808</v>
      </c>
      <c r="P1630" s="261">
        <v>0</v>
      </c>
      <c r="Q1630" s="261">
        <v>0</v>
      </c>
      <c r="R1630" s="261">
        <v>0</v>
      </c>
      <c r="S1630">
        <v>119808</v>
      </c>
      <c r="T1630">
        <v>0</v>
      </c>
    </row>
    <row r="1631" spans="1:21">
      <c r="A1631" t="s">
        <v>19396</v>
      </c>
      <c r="B1631">
        <v>45446</v>
      </c>
      <c r="C1631" t="s">
        <v>16384</v>
      </c>
      <c r="D1631" t="s">
        <v>16385</v>
      </c>
      <c r="E1631">
        <v>0</v>
      </c>
      <c r="F1631">
        <v>39552</v>
      </c>
      <c r="G1631" s="259">
        <v>39552</v>
      </c>
      <c r="H1631" s="259">
        <v>0</v>
      </c>
      <c r="I1631" s="259">
        <v>0</v>
      </c>
      <c r="J1631" s="259">
        <v>0</v>
      </c>
      <c r="K1631" s="260">
        <v>0</v>
      </c>
      <c r="L1631" s="260">
        <v>0</v>
      </c>
      <c r="M1631" s="260">
        <v>0</v>
      </c>
      <c r="N1631" s="260">
        <v>0</v>
      </c>
      <c r="O1631" s="261">
        <v>39552</v>
      </c>
      <c r="P1631" s="261">
        <v>0</v>
      </c>
      <c r="Q1631" s="261">
        <v>0</v>
      </c>
      <c r="R1631" s="261">
        <v>0</v>
      </c>
      <c r="S1631">
        <v>39552</v>
      </c>
      <c r="T1631">
        <v>0</v>
      </c>
    </row>
    <row r="1632" spans="1:21">
      <c r="A1632" t="s">
        <v>19397</v>
      </c>
      <c r="B1632">
        <v>45447</v>
      </c>
      <c r="C1632" t="s">
        <v>16470</v>
      </c>
      <c r="D1632" t="s">
        <v>16471</v>
      </c>
      <c r="E1632">
        <v>0</v>
      </c>
      <c r="F1632">
        <v>524291.30500000005</v>
      </c>
      <c r="G1632" s="259">
        <v>17520.660000000003</v>
      </c>
      <c r="H1632" s="259">
        <v>390403.32982500002</v>
      </c>
      <c r="I1632" s="259">
        <v>53587.124999999993</v>
      </c>
      <c r="J1632" s="259">
        <v>0</v>
      </c>
      <c r="K1632" s="260">
        <v>2558.2967248550049</v>
      </c>
      <c r="L1632" s="260">
        <v>52923.32301304779</v>
      </c>
      <c r="M1632" s="260">
        <v>6648.3802620972056</v>
      </c>
      <c r="N1632" s="260">
        <v>0</v>
      </c>
      <c r="O1632" s="261">
        <v>20078.956724855008</v>
      </c>
      <c r="P1632" s="261">
        <v>443326.65283804783</v>
      </c>
      <c r="Q1632" s="261">
        <v>60235.505262097198</v>
      </c>
      <c r="R1632" s="261">
        <v>0</v>
      </c>
      <c r="S1632">
        <v>523641.11482500006</v>
      </c>
      <c r="T1632">
        <v>650.19017499999609</v>
      </c>
    </row>
    <row r="1633" spans="1:20">
      <c r="A1633" t="s">
        <v>19398</v>
      </c>
      <c r="B1633">
        <v>45447</v>
      </c>
      <c r="C1633" t="s">
        <v>16904</v>
      </c>
      <c r="D1633" t="s">
        <v>16905</v>
      </c>
      <c r="E1633">
        <v>0</v>
      </c>
      <c r="F1633">
        <v>79029.892999999996</v>
      </c>
      <c r="G1633" s="259">
        <v>0</v>
      </c>
      <c r="H1633" s="259">
        <v>45669.873924</v>
      </c>
      <c r="I1633" s="259">
        <v>19035.181124999999</v>
      </c>
      <c r="J1633" s="259">
        <v>0</v>
      </c>
      <c r="K1633" s="260">
        <v>0</v>
      </c>
      <c r="L1633" s="260">
        <v>10063.522203712519</v>
      </c>
      <c r="M1633" s="260">
        <v>4261.3152962874819</v>
      </c>
      <c r="N1633" s="260">
        <v>0</v>
      </c>
      <c r="O1633" s="261">
        <v>0</v>
      </c>
      <c r="P1633" s="261">
        <v>55733.39612771252</v>
      </c>
      <c r="Q1633" s="261">
        <v>23296.49642128748</v>
      </c>
      <c r="R1633" s="261">
        <v>0</v>
      </c>
      <c r="S1633">
        <v>79029.892548999997</v>
      </c>
      <c r="T1633">
        <v>4.50999999884516E-4</v>
      </c>
    </row>
    <row r="1634" spans="1:20">
      <c r="A1634" t="s">
        <v>19399</v>
      </c>
      <c r="B1634">
        <v>45447</v>
      </c>
      <c r="C1634" t="s">
        <v>16643</v>
      </c>
      <c r="D1634" t="s">
        <v>16644</v>
      </c>
      <c r="E1634">
        <v>0</v>
      </c>
      <c r="F1634">
        <v>102452.23</v>
      </c>
      <c r="G1634" s="259">
        <v>0</v>
      </c>
      <c r="H1634" s="259">
        <v>80966.885999999999</v>
      </c>
      <c r="I1634" s="259">
        <v>9520.9562499999993</v>
      </c>
      <c r="J1634" s="259">
        <v>0</v>
      </c>
      <c r="K1634" s="260">
        <v>0</v>
      </c>
      <c r="L1634" s="260">
        <v>10658.231659388646</v>
      </c>
      <c r="M1634" s="260">
        <v>1306.1558406113538</v>
      </c>
      <c r="N1634" s="260">
        <v>0</v>
      </c>
      <c r="O1634" s="261">
        <v>0</v>
      </c>
      <c r="P1634" s="261">
        <v>91625.117659388648</v>
      </c>
      <c r="Q1634" s="261">
        <v>10827.112090611354</v>
      </c>
      <c r="R1634" s="261">
        <v>0</v>
      </c>
      <c r="S1634">
        <v>102452.22975</v>
      </c>
      <c r="T1634">
        <v>2.499999973224476E-4</v>
      </c>
    </row>
    <row r="1635" spans="1:20">
      <c r="A1635" t="s">
        <v>19400</v>
      </c>
      <c r="B1635">
        <v>45447</v>
      </c>
      <c r="C1635" t="s">
        <v>17321</v>
      </c>
      <c r="D1635" t="s">
        <v>18719</v>
      </c>
      <c r="E1635">
        <v>0</v>
      </c>
      <c r="F1635">
        <v>139065.58600000001</v>
      </c>
      <c r="G1635" s="259">
        <v>0</v>
      </c>
      <c r="H1635" s="259">
        <v>0</v>
      </c>
      <c r="I1635" s="259">
        <v>0</v>
      </c>
      <c r="J1635" s="259">
        <v>139065.58575</v>
      </c>
      <c r="K1635" s="260">
        <v>0</v>
      </c>
      <c r="L1635" s="260">
        <v>0</v>
      </c>
      <c r="M1635" s="260">
        <v>0</v>
      </c>
      <c r="N1635" s="260">
        <v>0</v>
      </c>
      <c r="O1635" s="261">
        <v>0</v>
      </c>
      <c r="P1635" s="261">
        <v>0</v>
      </c>
      <c r="Q1635" s="261">
        <v>0</v>
      </c>
      <c r="R1635" s="261">
        <v>139065.58575</v>
      </c>
      <c r="S1635">
        <v>139065.58575</v>
      </c>
      <c r="T1635">
        <v>2.5000001187436283E-4</v>
      </c>
    </row>
    <row r="1636" spans="1:20">
      <c r="A1636" t="s">
        <v>19401</v>
      </c>
      <c r="B1636">
        <v>45448</v>
      </c>
      <c r="C1636" t="s">
        <v>16838</v>
      </c>
      <c r="D1636" t="s">
        <v>16839</v>
      </c>
      <c r="E1636">
        <v>0</v>
      </c>
      <c r="F1636">
        <v>294012.5</v>
      </c>
      <c r="G1636" s="259">
        <v>44566.5</v>
      </c>
      <c r="H1636" s="259">
        <v>47214</v>
      </c>
      <c r="I1636" s="259">
        <v>192080</v>
      </c>
      <c r="J1636" s="259">
        <v>10152</v>
      </c>
      <c r="K1636" s="260">
        <v>0</v>
      </c>
      <c r="L1636" s="260">
        <v>0</v>
      </c>
      <c r="M1636" s="260">
        <v>0</v>
      </c>
      <c r="N1636" s="260">
        <v>0</v>
      </c>
      <c r="O1636" s="261">
        <v>44566.5</v>
      </c>
      <c r="P1636" s="261">
        <v>47214</v>
      </c>
      <c r="Q1636" s="261">
        <v>192080</v>
      </c>
      <c r="R1636" s="261">
        <v>10152</v>
      </c>
      <c r="S1636">
        <v>294012.5</v>
      </c>
      <c r="T1636">
        <v>0</v>
      </c>
    </row>
    <row r="1637" spans="1:20">
      <c r="A1637" t="s">
        <v>19402</v>
      </c>
      <c r="B1637">
        <v>45453</v>
      </c>
      <c r="C1637" t="s">
        <v>17299</v>
      </c>
      <c r="D1637" t="s">
        <v>18631</v>
      </c>
      <c r="E1637">
        <v>0</v>
      </c>
      <c r="F1637">
        <v>174055.20199999999</v>
      </c>
      <c r="G1637" s="259">
        <v>161786.4</v>
      </c>
      <c r="H1637" s="259">
        <v>0</v>
      </c>
      <c r="I1637" s="259">
        <v>0</v>
      </c>
      <c r="J1637" s="259">
        <v>0</v>
      </c>
      <c r="K1637" s="260">
        <v>12268.802</v>
      </c>
      <c r="L1637" s="260">
        <v>0</v>
      </c>
      <c r="M1637" s="260">
        <v>0</v>
      </c>
      <c r="N1637" s="260">
        <v>0</v>
      </c>
      <c r="O1637" s="261">
        <v>174055.20199999999</v>
      </c>
      <c r="P1637" s="261">
        <v>0</v>
      </c>
      <c r="Q1637" s="261">
        <v>0</v>
      </c>
      <c r="R1637" s="261">
        <v>0</v>
      </c>
      <c r="S1637">
        <v>174055.20199999999</v>
      </c>
      <c r="T1637">
        <v>0</v>
      </c>
    </row>
    <row r="1638" spans="1:20">
      <c r="A1638" t="s">
        <v>19403</v>
      </c>
      <c r="B1638">
        <v>45453</v>
      </c>
      <c r="C1638" t="s">
        <v>17017</v>
      </c>
      <c r="D1638" t="s">
        <v>17430</v>
      </c>
      <c r="E1638">
        <v>0</v>
      </c>
      <c r="F1638">
        <v>51250</v>
      </c>
      <c r="G1638" s="259">
        <v>0</v>
      </c>
      <c r="H1638" s="259">
        <v>51250</v>
      </c>
      <c r="I1638" s="259">
        <v>0</v>
      </c>
      <c r="J1638" s="259">
        <v>0</v>
      </c>
      <c r="K1638" s="260">
        <v>0</v>
      </c>
      <c r="L1638" s="260">
        <v>0</v>
      </c>
      <c r="M1638" s="260">
        <v>0</v>
      </c>
      <c r="N1638" s="260">
        <v>0</v>
      </c>
      <c r="O1638" s="261">
        <v>0</v>
      </c>
      <c r="P1638" s="261">
        <v>51250</v>
      </c>
      <c r="Q1638" s="261">
        <v>0</v>
      </c>
      <c r="R1638" s="261">
        <v>0</v>
      </c>
      <c r="S1638">
        <v>51250</v>
      </c>
      <c r="T1638">
        <v>0</v>
      </c>
    </row>
    <row r="1639" spans="1:20">
      <c r="A1639" t="s">
        <v>19404</v>
      </c>
      <c r="B1639">
        <v>45453</v>
      </c>
      <c r="C1639" t="s">
        <v>17349</v>
      </c>
      <c r="D1639" t="s">
        <v>19095</v>
      </c>
      <c r="E1639">
        <v>0</v>
      </c>
      <c r="F1639">
        <v>48272.679000000004</v>
      </c>
      <c r="G1639" s="259">
        <v>0</v>
      </c>
      <c r="H1639" s="259">
        <v>0</v>
      </c>
      <c r="I1639" s="259">
        <v>48272.679000000004</v>
      </c>
      <c r="J1639" s="259">
        <v>0</v>
      </c>
      <c r="K1639" s="260">
        <v>0</v>
      </c>
      <c r="L1639" s="260">
        <v>0</v>
      </c>
      <c r="M1639" s="260">
        <v>0</v>
      </c>
      <c r="N1639" s="260">
        <v>0</v>
      </c>
      <c r="O1639" s="261">
        <v>0</v>
      </c>
      <c r="P1639" s="261">
        <v>0</v>
      </c>
      <c r="Q1639" s="261">
        <v>48272.679000000004</v>
      </c>
      <c r="R1639" s="261">
        <v>0</v>
      </c>
      <c r="S1639">
        <v>48272.679000000004</v>
      </c>
      <c r="T1639">
        <v>0</v>
      </c>
    </row>
    <row r="1640" spans="1:20">
      <c r="A1640" t="s">
        <v>19405</v>
      </c>
      <c r="B1640">
        <v>45456</v>
      </c>
      <c r="C1640" t="s">
        <v>17309</v>
      </c>
      <c r="D1640" t="s">
        <v>18704</v>
      </c>
      <c r="E1640">
        <v>0</v>
      </c>
      <c r="F1640">
        <v>58256</v>
      </c>
      <c r="G1640" s="259">
        <v>55952</v>
      </c>
      <c r="H1640" s="259">
        <v>2304</v>
      </c>
      <c r="I1640" s="259">
        <v>0</v>
      </c>
      <c r="J1640" s="259">
        <v>0</v>
      </c>
      <c r="K1640" s="260">
        <v>0</v>
      </c>
      <c r="L1640" s="260">
        <v>0</v>
      </c>
      <c r="M1640" s="260">
        <v>0</v>
      </c>
      <c r="N1640" s="260">
        <v>0</v>
      </c>
      <c r="O1640" s="261">
        <v>55952</v>
      </c>
      <c r="P1640" s="261">
        <v>2304</v>
      </c>
      <c r="Q1640" s="261">
        <v>0</v>
      </c>
      <c r="R1640" s="261">
        <v>0</v>
      </c>
      <c r="S1640">
        <v>58256</v>
      </c>
      <c r="T1640">
        <v>0</v>
      </c>
    </row>
    <row r="1641" spans="1:20">
      <c r="A1641" t="s">
        <v>19406</v>
      </c>
      <c r="B1641">
        <v>45474</v>
      </c>
      <c r="C1641" t="s">
        <v>17309</v>
      </c>
      <c r="D1641" t="s">
        <v>18704</v>
      </c>
      <c r="E1641">
        <v>0</v>
      </c>
      <c r="F1641">
        <v>817085</v>
      </c>
      <c r="G1641" s="259">
        <v>319085</v>
      </c>
      <c r="H1641" s="259">
        <v>0</v>
      </c>
      <c r="I1641" s="259">
        <v>498000</v>
      </c>
      <c r="J1641" s="259">
        <v>0</v>
      </c>
      <c r="K1641" s="260">
        <v>0</v>
      </c>
      <c r="L1641" s="260">
        <v>0</v>
      </c>
      <c r="M1641" s="260">
        <v>0</v>
      </c>
      <c r="N1641" s="260">
        <v>0</v>
      </c>
      <c r="O1641" s="261">
        <v>319085</v>
      </c>
      <c r="P1641" s="261">
        <v>0</v>
      </c>
      <c r="Q1641" s="261">
        <v>498000</v>
      </c>
      <c r="R1641" s="261">
        <v>0</v>
      </c>
      <c r="S1641">
        <v>817085</v>
      </c>
      <c r="T1641">
        <v>0</v>
      </c>
    </row>
    <row r="1642" spans="1:20">
      <c r="A1642" t="s">
        <v>19407</v>
      </c>
      <c r="B1642">
        <v>45462</v>
      </c>
      <c r="C1642" t="s">
        <v>16384</v>
      </c>
      <c r="D1642" t="s">
        <v>16385</v>
      </c>
      <c r="E1642">
        <v>0</v>
      </c>
      <c r="F1642">
        <v>79104</v>
      </c>
      <c r="G1642" s="259">
        <v>79104</v>
      </c>
      <c r="H1642" s="259">
        <v>0</v>
      </c>
      <c r="I1642" s="259">
        <v>0</v>
      </c>
      <c r="J1642" s="259">
        <v>0</v>
      </c>
      <c r="K1642" s="260">
        <v>0</v>
      </c>
      <c r="L1642" s="260">
        <v>0</v>
      </c>
      <c r="M1642" s="260">
        <v>0</v>
      </c>
      <c r="N1642" s="260">
        <v>0</v>
      </c>
      <c r="O1642" s="261">
        <v>79104</v>
      </c>
      <c r="P1642" s="261">
        <v>0</v>
      </c>
      <c r="Q1642" s="261">
        <v>0</v>
      </c>
      <c r="R1642" s="261">
        <v>0</v>
      </c>
      <c r="S1642">
        <v>79104</v>
      </c>
      <c r="T1642">
        <v>0</v>
      </c>
    </row>
    <row r="1643" spans="1:20">
      <c r="A1643" t="s">
        <v>19408</v>
      </c>
      <c r="B1643">
        <v>45462</v>
      </c>
      <c r="C1643" t="s">
        <v>17278</v>
      </c>
      <c r="D1643" t="s">
        <v>17279</v>
      </c>
      <c r="E1643">
        <v>0</v>
      </c>
      <c r="F1643">
        <v>260443.65399999998</v>
      </c>
      <c r="G1643" s="259">
        <v>0</v>
      </c>
      <c r="H1643" s="259">
        <v>88298.560728000026</v>
      </c>
      <c r="I1643" s="259">
        <v>172145.093184</v>
      </c>
      <c r="J1643" s="259">
        <v>0</v>
      </c>
      <c r="K1643" s="260">
        <v>0</v>
      </c>
      <c r="L1643" s="260">
        <v>0</v>
      </c>
      <c r="M1643" s="260">
        <v>0</v>
      </c>
      <c r="N1643" s="260">
        <v>0</v>
      </c>
      <c r="O1643" s="261">
        <v>0</v>
      </c>
      <c r="P1643" s="261">
        <v>88298.560728000026</v>
      </c>
      <c r="Q1643" s="261">
        <v>172145.093184</v>
      </c>
      <c r="R1643" s="261">
        <v>0</v>
      </c>
      <c r="S1643">
        <v>260443.65391200001</v>
      </c>
      <c r="T1643">
        <v>8.7999971583485603E-5</v>
      </c>
    </row>
    <row r="1644" spans="1:20">
      <c r="A1644" t="s">
        <v>19409</v>
      </c>
      <c r="B1644">
        <v>45462</v>
      </c>
      <c r="C1644" t="s">
        <v>17226</v>
      </c>
      <c r="D1644" t="s">
        <v>17891</v>
      </c>
      <c r="E1644">
        <v>0</v>
      </c>
      <c r="F1644">
        <v>138540</v>
      </c>
      <c r="G1644" s="259">
        <v>138540</v>
      </c>
      <c r="H1644" s="259">
        <v>0</v>
      </c>
      <c r="I1644" s="259">
        <v>0</v>
      </c>
      <c r="J1644" s="259">
        <v>0</v>
      </c>
      <c r="K1644" s="260">
        <v>0</v>
      </c>
      <c r="L1644" s="260">
        <v>0</v>
      </c>
      <c r="M1644" s="260">
        <v>0</v>
      </c>
      <c r="N1644" s="260">
        <v>0</v>
      </c>
      <c r="O1644" s="261">
        <v>138540</v>
      </c>
      <c r="P1644" s="261">
        <v>0</v>
      </c>
      <c r="Q1644" s="261">
        <v>0</v>
      </c>
      <c r="R1644" s="261">
        <v>0</v>
      </c>
      <c r="S1644">
        <v>138540</v>
      </c>
      <c r="T1644">
        <v>0</v>
      </c>
    </row>
    <row r="1645" spans="1:20">
      <c r="A1645" t="s">
        <v>19410</v>
      </c>
      <c r="B1645">
        <v>45462</v>
      </c>
      <c r="C1645" t="s">
        <v>17226</v>
      </c>
      <c r="D1645" t="s">
        <v>17891</v>
      </c>
      <c r="E1645">
        <v>0</v>
      </c>
      <c r="F1645">
        <v>287752</v>
      </c>
      <c r="G1645" s="259">
        <v>0</v>
      </c>
      <c r="H1645" s="259">
        <v>200760</v>
      </c>
      <c r="I1645" s="259">
        <v>70992</v>
      </c>
      <c r="J1645" s="259">
        <v>16000</v>
      </c>
      <c r="K1645" s="260">
        <v>0</v>
      </c>
      <c r="L1645" s="260">
        <v>0</v>
      </c>
      <c r="M1645" s="260">
        <v>0</v>
      </c>
      <c r="N1645" s="260">
        <v>0</v>
      </c>
      <c r="O1645" s="261">
        <v>0</v>
      </c>
      <c r="P1645" s="261">
        <v>200760</v>
      </c>
      <c r="Q1645" s="261">
        <v>70992</v>
      </c>
      <c r="R1645" s="261">
        <v>16000</v>
      </c>
      <c r="S1645">
        <v>287752</v>
      </c>
      <c r="T1645">
        <v>0</v>
      </c>
    </row>
    <row r="1646" spans="1:20">
      <c r="A1646" t="s">
        <v>19411</v>
      </c>
      <c r="B1646">
        <v>45462</v>
      </c>
      <c r="C1646" t="s">
        <v>17017</v>
      </c>
      <c r="D1646" t="s">
        <v>17430</v>
      </c>
      <c r="E1646">
        <v>0</v>
      </c>
      <c r="F1646">
        <v>50225</v>
      </c>
      <c r="G1646" s="259">
        <v>0</v>
      </c>
      <c r="H1646" s="259">
        <v>50225</v>
      </c>
      <c r="I1646" s="259">
        <v>0</v>
      </c>
      <c r="J1646" s="259">
        <v>0</v>
      </c>
      <c r="K1646" s="260">
        <v>0</v>
      </c>
      <c r="L1646" s="260">
        <v>0</v>
      </c>
      <c r="M1646" s="260">
        <v>0</v>
      </c>
      <c r="N1646" s="260">
        <v>0</v>
      </c>
      <c r="O1646" s="261">
        <v>0</v>
      </c>
      <c r="P1646" s="261">
        <v>50225</v>
      </c>
      <c r="Q1646" s="261">
        <v>0</v>
      </c>
      <c r="R1646" s="261">
        <v>0</v>
      </c>
      <c r="S1646">
        <v>50225</v>
      </c>
      <c r="T1646">
        <v>0</v>
      </c>
    </row>
    <row r="1647" spans="1:20">
      <c r="A1647" t="s">
        <v>19412</v>
      </c>
      <c r="B1647">
        <v>45462</v>
      </c>
      <c r="C1647" t="s">
        <v>16470</v>
      </c>
      <c r="D1647" t="s">
        <v>16471</v>
      </c>
      <c r="E1647">
        <v>0</v>
      </c>
      <c r="F1647">
        <v>613642.19799999997</v>
      </c>
      <c r="G1647" s="259">
        <v>23976.497279999996</v>
      </c>
      <c r="H1647" s="259">
        <v>472056.2847799997</v>
      </c>
      <c r="I1647" s="259">
        <v>54158.1</v>
      </c>
      <c r="J1647" s="259">
        <v>0</v>
      </c>
      <c r="K1647" s="260">
        <v>2528.8077403691673</v>
      </c>
      <c r="L1647" s="260">
        <v>53537.639758649006</v>
      </c>
      <c r="M1647" s="260">
        <v>6725.5525009818275</v>
      </c>
      <c r="N1647" s="260">
        <v>0</v>
      </c>
      <c r="O1647" s="261">
        <v>26505.305020369164</v>
      </c>
      <c r="P1647" s="261">
        <v>525593.92453864869</v>
      </c>
      <c r="Q1647" s="261">
        <v>60883.652500981829</v>
      </c>
      <c r="R1647" s="261">
        <v>0</v>
      </c>
      <c r="S1647">
        <v>612982.88205999963</v>
      </c>
      <c r="T1647">
        <v>659.31594000034966</v>
      </c>
    </row>
    <row r="1648" spans="1:20">
      <c r="A1648" t="s">
        <v>19413</v>
      </c>
      <c r="B1648">
        <v>45499</v>
      </c>
      <c r="C1648" t="s">
        <v>16957</v>
      </c>
      <c r="D1648" t="s">
        <v>17451</v>
      </c>
      <c r="E1648">
        <v>0</v>
      </c>
      <c r="F1648">
        <v>49549.514999999999</v>
      </c>
      <c r="G1648" s="259">
        <v>49549.514950000004</v>
      </c>
      <c r="H1648" s="259">
        <v>0</v>
      </c>
      <c r="I1648" s="259">
        <v>0</v>
      </c>
      <c r="J1648" s="259">
        <v>0</v>
      </c>
      <c r="K1648" s="260">
        <v>0</v>
      </c>
      <c r="L1648" s="260">
        <v>0</v>
      </c>
      <c r="M1648" s="260">
        <v>0</v>
      </c>
      <c r="N1648" s="260">
        <v>0</v>
      </c>
      <c r="O1648" s="261">
        <v>49549.514950000004</v>
      </c>
      <c r="P1648" s="261">
        <v>0</v>
      </c>
      <c r="Q1648" s="261">
        <v>0</v>
      </c>
      <c r="R1648" s="261">
        <v>0</v>
      </c>
      <c r="S1648">
        <v>49549.514950000004</v>
      </c>
      <c r="T1648">
        <v>4.9999995098914951E-5</v>
      </c>
    </row>
    <row r="1649" spans="1:20">
      <c r="A1649" t="s">
        <v>19414</v>
      </c>
      <c r="B1649">
        <v>45628</v>
      </c>
      <c r="C1649" t="s">
        <v>17374</v>
      </c>
      <c r="E1649">
        <v>0</v>
      </c>
      <c r="F1649">
        <v>253767.49300000002</v>
      </c>
      <c r="G1649" s="259">
        <v>0</v>
      </c>
      <c r="H1649" s="259">
        <v>191865.79300000001</v>
      </c>
      <c r="I1649" s="259">
        <v>61901.7</v>
      </c>
      <c r="J1649" s="259">
        <v>0</v>
      </c>
      <c r="K1649" s="260">
        <v>0</v>
      </c>
      <c r="L1649" s="260">
        <v>0</v>
      </c>
      <c r="M1649" s="260">
        <v>0</v>
      </c>
      <c r="N1649" s="260">
        <v>0</v>
      </c>
      <c r="O1649" s="261">
        <v>0</v>
      </c>
      <c r="P1649" s="261">
        <v>191865.79300000001</v>
      </c>
      <c r="Q1649" s="261">
        <v>61901.7</v>
      </c>
      <c r="R1649" s="261">
        <v>0</v>
      </c>
      <c r="S1649">
        <v>253767.49300000002</v>
      </c>
      <c r="T1649">
        <v>0</v>
      </c>
    </row>
    <row r="1650" spans="1:20">
      <c r="A1650" t="s">
        <v>19415</v>
      </c>
      <c r="B1650">
        <v>45462</v>
      </c>
      <c r="C1650" t="s">
        <v>16838</v>
      </c>
      <c r="D1650" t="s">
        <v>16839</v>
      </c>
      <c r="E1650">
        <v>0</v>
      </c>
      <c r="F1650">
        <v>143550</v>
      </c>
      <c r="G1650" s="259">
        <v>0</v>
      </c>
      <c r="H1650" s="259">
        <v>143550</v>
      </c>
      <c r="I1650" s="259">
        <v>0</v>
      </c>
      <c r="J1650" s="259">
        <v>0</v>
      </c>
      <c r="K1650" s="260">
        <v>0</v>
      </c>
      <c r="L1650" s="260">
        <v>0</v>
      </c>
      <c r="M1650" s="260">
        <v>0</v>
      </c>
      <c r="N1650" s="260">
        <v>0</v>
      </c>
      <c r="O1650" s="261">
        <v>0</v>
      </c>
      <c r="P1650" s="261">
        <v>143550</v>
      </c>
      <c r="Q1650" s="261">
        <v>0</v>
      </c>
      <c r="R1650" s="261">
        <v>0</v>
      </c>
      <c r="S1650">
        <v>143550</v>
      </c>
      <c r="T1650">
        <v>0</v>
      </c>
    </row>
    <row r="1651" spans="1:20">
      <c r="A1651" t="s">
        <v>19416</v>
      </c>
      <c r="B1651">
        <v>45474</v>
      </c>
      <c r="C1651" t="s">
        <v>16444</v>
      </c>
      <c r="D1651" t="s">
        <v>16445</v>
      </c>
      <c r="E1651">
        <v>0</v>
      </c>
      <c r="F1651">
        <v>44136</v>
      </c>
      <c r="G1651" s="259">
        <v>44136</v>
      </c>
      <c r="H1651" s="259">
        <v>0</v>
      </c>
      <c r="I1651" s="259">
        <v>0</v>
      </c>
      <c r="J1651" s="259">
        <v>0</v>
      </c>
      <c r="K1651" s="260">
        <v>0</v>
      </c>
      <c r="L1651" s="260">
        <v>0</v>
      </c>
      <c r="M1651" s="260">
        <v>0</v>
      </c>
      <c r="N1651" s="260">
        <v>0</v>
      </c>
      <c r="O1651" s="261">
        <v>44136</v>
      </c>
      <c r="P1651" s="261">
        <v>0</v>
      </c>
      <c r="Q1651" s="261">
        <v>0</v>
      </c>
      <c r="R1651" s="261">
        <v>0</v>
      </c>
      <c r="S1651">
        <v>44136</v>
      </c>
      <c r="T1651">
        <v>0</v>
      </c>
    </row>
    <row r="1652" spans="1:20">
      <c r="A1652" t="s">
        <v>19417</v>
      </c>
      <c r="B1652">
        <v>45462</v>
      </c>
      <c r="C1652" t="s">
        <v>16904</v>
      </c>
      <c r="D1652" t="s">
        <v>16905</v>
      </c>
      <c r="E1652">
        <v>0</v>
      </c>
      <c r="F1652">
        <v>75079.678</v>
      </c>
      <c r="G1652" s="259">
        <v>0</v>
      </c>
      <c r="H1652" s="259">
        <v>45619.740108000005</v>
      </c>
      <c r="I1652" s="259">
        <v>15150.825000000001</v>
      </c>
      <c r="J1652" s="259">
        <v>0</v>
      </c>
      <c r="K1652" s="260">
        <v>0</v>
      </c>
      <c r="L1652" s="260">
        <v>10688.385652834007</v>
      </c>
      <c r="M1652" s="260">
        <v>3620.7268471659918</v>
      </c>
      <c r="N1652" s="260">
        <v>0</v>
      </c>
      <c r="O1652" s="261">
        <v>0</v>
      </c>
      <c r="P1652" s="261">
        <v>56308.125760834009</v>
      </c>
      <c r="Q1652" s="261">
        <v>18771.551847165993</v>
      </c>
      <c r="R1652" s="261">
        <v>0</v>
      </c>
      <c r="S1652">
        <v>75079.677607999998</v>
      </c>
      <c r="T1652">
        <v>3.9200000173877925E-4</v>
      </c>
    </row>
    <row r="1653" spans="1:20">
      <c r="A1653" t="s">
        <v>19418</v>
      </c>
      <c r="B1653">
        <v>45462</v>
      </c>
      <c r="C1653" t="s">
        <v>16643</v>
      </c>
      <c r="D1653" t="s">
        <v>16644</v>
      </c>
      <c r="E1653">
        <v>0</v>
      </c>
      <c r="F1653">
        <v>104908.52800000001</v>
      </c>
      <c r="G1653" s="259">
        <v>0</v>
      </c>
      <c r="H1653" s="259">
        <v>92447.482500000013</v>
      </c>
      <c r="I1653" s="259">
        <v>0</v>
      </c>
      <c r="J1653" s="259">
        <v>0</v>
      </c>
      <c r="K1653" s="260">
        <v>0</v>
      </c>
      <c r="L1653" s="260">
        <v>12461.045000000002</v>
      </c>
      <c r="M1653" s="260">
        <v>0</v>
      </c>
      <c r="N1653" s="260">
        <v>0</v>
      </c>
      <c r="O1653" s="261">
        <v>0</v>
      </c>
      <c r="P1653" s="261">
        <v>104908.52750000001</v>
      </c>
      <c r="Q1653" s="261">
        <v>0</v>
      </c>
      <c r="R1653" s="261">
        <v>0</v>
      </c>
      <c r="S1653">
        <v>104908.52750000001</v>
      </c>
      <c r="T1653">
        <v>4.999999946448952E-4</v>
      </c>
    </row>
    <row r="1654" spans="1:20">
      <c r="A1654" t="s">
        <v>19419</v>
      </c>
      <c r="B1654">
        <v>45474</v>
      </c>
      <c r="C1654" t="s">
        <v>16444</v>
      </c>
      <c r="D1654" t="s">
        <v>16445</v>
      </c>
      <c r="E1654">
        <v>0</v>
      </c>
      <c r="F1654">
        <v>44716.08</v>
      </c>
      <c r="G1654" s="259">
        <v>44716.08</v>
      </c>
      <c r="H1654" s="259">
        <v>0</v>
      </c>
      <c r="I1654" s="259">
        <v>0</v>
      </c>
      <c r="J1654" s="259">
        <v>0</v>
      </c>
      <c r="K1654" s="260">
        <v>0</v>
      </c>
      <c r="L1654" s="260">
        <v>0</v>
      </c>
      <c r="M1654" s="260">
        <v>0</v>
      </c>
      <c r="N1654" s="260">
        <v>0</v>
      </c>
      <c r="O1654" s="261">
        <v>44716.08</v>
      </c>
      <c r="P1654" s="261">
        <v>0</v>
      </c>
      <c r="Q1654" s="261">
        <v>0</v>
      </c>
      <c r="R1654" s="261">
        <v>0</v>
      </c>
      <c r="S1654">
        <v>44716.08</v>
      </c>
      <c r="T1654">
        <v>0</v>
      </c>
    </row>
    <row r="1655" spans="1:20">
      <c r="A1655" t="s">
        <v>19420</v>
      </c>
      <c r="B1655">
        <v>45474</v>
      </c>
      <c r="C1655" t="s">
        <v>16957</v>
      </c>
      <c r="D1655" t="s">
        <v>17451</v>
      </c>
      <c r="E1655">
        <v>0</v>
      </c>
      <c r="F1655">
        <v>115166.43800000001</v>
      </c>
      <c r="G1655" s="259">
        <v>115166.4384</v>
      </c>
      <c r="H1655" s="259">
        <v>0</v>
      </c>
      <c r="I1655" s="259">
        <v>0</v>
      </c>
      <c r="J1655" s="259">
        <v>0</v>
      </c>
      <c r="K1655" s="260">
        <v>0</v>
      </c>
      <c r="L1655" s="260">
        <v>0</v>
      </c>
      <c r="M1655" s="260">
        <v>0</v>
      </c>
      <c r="N1655" s="260">
        <v>0</v>
      </c>
      <c r="O1655" s="261">
        <v>115166.4384</v>
      </c>
      <c r="P1655" s="261">
        <v>0</v>
      </c>
      <c r="Q1655" s="261">
        <v>0</v>
      </c>
      <c r="R1655" s="261">
        <v>0</v>
      </c>
      <c r="S1655">
        <v>115166.4384</v>
      </c>
      <c r="T1655">
        <v>-3.9999998989515007E-4</v>
      </c>
    </row>
    <row r="1656" spans="1:20">
      <c r="A1656" t="s">
        <v>19421</v>
      </c>
      <c r="B1656">
        <v>45475</v>
      </c>
      <c r="C1656" t="s">
        <v>17299</v>
      </c>
      <c r="D1656" t="s">
        <v>18631</v>
      </c>
      <c r="E1656">
        <v>0</v>
      </c>
      <c r="F1656">
        <v>86611.106999999989</v>
      </c>
      <c r="G1656" s="259">
        <v>80460.326399999991</v>
      </c>
      <c r="H1656" s="259">
        <v>0</v>
      </c>
      <c r="I1656" s="259">
        <v>0</v>
      </c>
      <c r="J1656" s="259">
        <v>0</v>
      </c>
      <c r="K1656" s="260">
        <v>6150.7809999999999</v>
      </c>
      <c r="L1656" s="260">
        <v>0</v>
      </c>
      <c r="M1656" s="260">
        <v>0</v>
      </c>
      <c r="N1656" s="260">
        <v>0</v>
      </c>
      <c r="O1656" s="261">
        <v>86611.107399999994</v>
      </c>
      <c r="P1656" s="261">
        <v>0</v>
      </c>
      <c r="Q1656" s="261">
        <v>0</v>
      </c>
      <c r="R1656" s="261">
        <v>0</v>
      </c>
      <c r="S1656">
        <v>86611.107399999994</v>
      </c>
      <c r="T1656">
        <v>-4.0000000444706529E-4</v>
      </c>
    </row>
    <row r="1657" spans="1:20">
      <c r="A1657" t="s">
        <v>19422</v>
      </c>
      <c r="B1657">
        <v>45475</v>
      </c>
      <c r="C1657" t="s">
        <v>16838</v>
      </c>
      <c r="D1657" t="s">
        <v>16839</v>
      </c>
      <c r="E1657">
        <v>0</v>
      </c>
      <c r="F1657">
        <v>143080</v>
      </c>
      <c r="G1657" s="259">
        <v>0</v>
      </c>
      <c r="H1657" s="259">
        <v>0</v>
      </c>
      <c r="I1657" s="259">
        <v>143080</v>
      </c>
      <c r="J1657" s="259">
        <v>0</v>
      </c>
      <c r="K1657" s="260">
        <v>0</v>
      </c>
      <c r="L1657" s="260">
        <v>0</v>
      </c>
      <c r="M1657" s="260">
        <v>0</v>
      </c>
      <c r="N1657" s="260">
        <v>0</v>
      </c>
      <c r="O1657" s="261">
        <v>0</v>
      </c>
      <c r="P1657" s="261">
        <v>0</v>
      </c>
      <c r="Q1657" s="261">
        <v>143080</v>
      </c>
      <c r="R1657" s="261">
        <v>0</v>
      </c>
      <c r="S1657">
        <v>143080</v>
      </c>
      <c r="T1657">
        <v>0</v>
      </c>
    </row>
    <row r="1658" spans="1:20">
      <c r="A1658" t="s">
        <v>19423</v>
      </c>
      <c r="B1658">
        <v>45475</v>
      </c>
      <c r="C1658" t="s">
        <v>17376</v>
      </c>
      <c r="D1658" t="s">
        <v>19424</v>
      </c>
      <c r="E1658">
        <v>0</v>
      </c>
      <c r="F1658">
        <v>215562.89800000002</v>
      </c>
      <c r="G1658" s="259">
        <v>215562.89779199997</v>
      </c>
      <c r="H1658" s="259">
        <v>0</v>
      </c>
      <c r="I1658" s="259">
        <v>0</v>
      </c>
      <c r="J1658" s="259">
        <v>0</v>
      </c>
      <c r="K1658" s="260">
        <v>0</v>
      </c>
      <c r="L1658" s="260">
        <v>0</v>
      </c>
      <c r="M1658" s="260">
        <v>0</v>
      </c>
      <c r="N1658" s="260">
        <v>0</v>
      </c>
      <c r="O1658" s="261">
        <v>215562.89779199997</v>
      </c>
      <c r="P1658" s="261">
        <v>0</v>
      </c>
      <c r="Q1658" s="261">
        <v>0</v>
      </c>
      <c r="R1658" s="261">
        <v>0</v>
      </c>
      <c r="S1658">
        <v>215562.89779199997</v>
      </c>
      <c r="T1658">
        <v>2.0800004131160676E-4</v>
      </c>
    </row>
    <row r="1659" spans="1:20">
      <c r="A1659" t="s">
        <v>19425</v>
      </c>
      <c r="B1659">
        <v>45478</v>
      </c>
      <c r="C1659" t="s">
        <v>17354</v>
      </c>
      <c r="D1659" t="s">
        <v>17355</v>
      </c>
      <c r="E1659">
        <v>0</v>
      </c>
      <c r="F1659">
        <v>186786.10699999999</v>
      </c>
      <c r="G1659" s="259">
        <v>171165.65625</v>
      </c>
      <c r="H1659" s="259">
        <v>0</v>
      </c>
      <c r="I1659" s="259">
        <v>0</v>
      </c>
      <c r="J1659" s="259">
        <v>0</v>
      </c>
      <c r="K1659" s="260">
        <v>15620.451000000001</v>
      </c>
      <c r="L1659" s="260">
        <v>0</v>
      </c>
      <c r="M1659" s="260">
        <v>0</v>
      </c>
      <c r="N1659" s="260">
        <v>0</v>
      </c>
      <c r="O1659" s="261">
        <v>186786.10725</v>
      </c>
      <c r="P1659" s="261">
        <v>0</v>
      </c>
      <c r="Q1659" s="261">
        <v>0</v>
      </c>
      <c r="R1659" s="261">
        <v>0</v>
      </c>
      <c r="S1659">
        <v>186786.10725</v>
      </c>
      <c r="T1659">
        <v>-2.5000001187436283E-4</v>
      </c>
    </row>
    <row r="1660" spans="1:20">
      <c r="A1660" t="s">
        <v>19426</v>
      </c>
      <c r="B1660">
        <v>45481</v>
      </c>
      <c r="C1660" t="s">
        <v>16880</v>
      </c>
      <c r="D1660" t="s">
        <v>16881</v>
      </c>
      <c r="E1660">
        <v>0</v>
      </c>
      <c r="F1660">
        <v>87353.35</v>
      </c>
      <c r="G1660" s="259">
        <v>37885.372799999997</v>
      </c>
      <c r="H1660" s="259">
        <v>49467.977680000011</v>
      </c>
      <c r="I1660" s="259">
        <v>0</v>
      </c>
      <c r="J1660" s="259">
        <v>0</v>
      </c>
      <c r="K1660" s="260">
        <v>0</v>
      </c>
      <c r="L1660" s="260">
        <v>0</v>
      </c>
      <c r="M1660" s="260">
        <v>0</v>
      </c>
      <c r="N1660" s="260">
        <v>0</v>
      </c>
      <c r="O1660" s="261">
        <v>37885.372799999997</v>
      </c>
      <c r="P1660" s="261">
        <v>49467.977680000011</v>
      </c>
      <c r="Q1660" s="261">
        <v>0</v>
      </c>
      <c r="R1660" s="261">
        <v>0</v>
      </c>
      <c r="S1660">
        <v>87353.350480000008</v>
      </c>
      <c r="T1660">
        <v>-4.8000000242609531E-4</v>
      </c>
    </row>
    <row r="1661" spans="1:20">
      <c r="A1661" t="s">
        <v>19427</v>
      </c>
      <c r="B1661">
        <v>45481</v>
      </c>
      <c r="C1661" t="s">
        <v>16880</v>
      </c>
      <c r="D1661" t="s">
        <v>16881</v>
      </c>
      <c r="E1661">
        <v>0</v>
      </c>
      <c r="F1661">
        <v>92680.584000000003</v>
      </c>
      <c r="G1661" s="259">
        <v>24824.466239999998</v>
      </c>
      <c r="H1661" s="259">
        <v>67856.117624999999</v>
      </c>
      <c r="I1661" s="259">
        <v>0</v>
      </c>
      <c r="J1661" s="259">
        <v>0</v>
      </c>
      <c r="K1661" s="260">
        <v>0</v>
      </c>
      <c r="L1661" s="260">
        <v>0</v>
      </c>
      <c r="M1661" s="260">
        <v>0</v>
      </c>
      <c r="N1661" s="260">
        <v>0</v>
      </c>
      <c r="O1661" s="261">
        <v>24824.466239999998</v>
      </c>
      <c r="P1661" s="261">
        <v>67856.117624999999</v>
      </c>
      <c r="Q1661" s="261">
        <v>0</v>
      </c>
      <c r="R1661" s="261">
        <v>0</v>
      </c>
      <c r="S1661">
        <v>92680.583864999993</v>
      </c>
      <c r="T1661">
        <v>1.3500000932253897E-4</v>
      </c>
    </row>
    <row r="1662" spans="1:20">
      <c r="A1662" t="s">
        <v>19428</v>
      </c>
      <c r="B1662">
        <v>45481</v>
      </c>
      <c r="C1662" t="s">
        <v>16880</v>
      </c>
      <c r="D1662" t="s">
        <v>16881</v>
      </c>
      <c r="E1662">
        <v>0</v>
      </c>
      <c r="F1662">
        <v>68681.023000000001</v>
      </c>
      <c r="G1662" s="259">
        <v>68681.023264000003</v>
      </c>
      <c r="H1662" s="259">
        <v>0</v>
      </c>
      <c r="I1662" s="259">
        <v>0</v>
      </c>
      <c r="J1662" s="259">
        <v>0</v>
      </c>
      <c r="K1662" s="260">
        <v>0</v>
      </c>
      <c r="L1662" s="260">
        <v>0</v>
      </c>
      <c r="M1662" s="260">
        <v>0</v>
      </c>
      <c r="N1662" s="260">
        <v>0</v>
      </c>
      <c r="O1662" s="261">
        <v>68681.023264000003</v>
      </c>
      <c r="P1662" s="261">
        <v>0</v>
      </c>
      <c r="Q1662" s="261">
        <v>0</v>
      </c>
      <c r="R1662" s="261">
        <v>0</v>
      </c>
      <c r="S1662">
        <v>68681.023264000003</v>
      </c>
      <c r="T1662">
        <v>-2.6400000206194818E-4</v>
      </c>
    </row>
    <row r="1663" spans="1:20">
      <c r="A1663" t="s">
        <v>19429</v>
      </c>
      <c r="B1663">
        <v>45482</v>
      </c>
      <c r="C1663" t="s">
        <v>16904</v>
      </c>
      <c r="D1663" t="s">
        <v>16905</v>
      </c>
      <c r="E1663">
        <v>0</v>
      </c>
      <c r="F1663">
        <v>79286.63900000001</v>
      </c>
      <c r="G1663" s="259">
        <v>0</v>
      </c>
      <c r="H1663" s="259">
        <v>45818.242919999997</v>
      </c>
      <c r="I1663" s="259">
        <v>19097.021249999998</v>
      </c>
      <c r="J1663" s="259">
        <v>0</v>
      </c>
      <c r="K1663" s="260">
        <v>0</v>
      </c>
      <c r="L1663" s="260">
        <v>10096.21584959543</v>
      </c>
      <c r="M1663" s="260">
        <v>4275.1591504045691</v>
      </c>
      <c r="N1663" s="260">
        <v>0</v>
      </c>
      <c r="O1663" s="261">
        <v>0</v>
      </c>
      <c r="P1663" s="261">
        <v>55914.458769595425</v>
      </c>
      <c r="Q1663" s="261">
        <v>23372.180400404566</v>
      </c>
      <c r="R1663" s="261">
        <v>0</v>
      </c>
      <c r="S1663">
        <v>79286.639169999995</v>
      </c>
      <c r="T1663">
        <v>-1.6999998479150236E-4</v>
      </c>
    </row>
    <row r="1664" spans="1:20">
      <c r="A1664" t="s">
        <v>19430</v>
      </c>
      <c r="B1664">
        <v>45482</v>
      </c>
      <c r="C1664" t="s">
        <v>16904</v>
      </c>
      <c r="D1664" t="s">
        <v>16905</v>
      </c>
      <c r="E1664">
        <v>0</v>
      </c>
      <c r="F1664">
        <v>79285.467000000004</v>
      </c>
      <c r="G1664" s="259">
        <v>0</v>
      </c>
      <c r="H1664" s="259">
        <v>45817.565435999997</v>
      </c>
      <c r="I1664" s="259">
        <v>19096.738875000003</v>
      </c>
      <c r="J1664" s="259">
        <v>0</v>
      </c>
      <c r="K1664" s="260">
        <v>0</v>
      </c>
      <c r="L1664" s="260">
        <v>10096.066563541171</v>
      </c>
      <c r="M1664" s="260">
        <v>4275.0959364588289</v>
      </c>
      <c r="N1664" s="260">
        <v>0</v>
      </c>
      <c r="O1664" s="261">
        <v>0</v>
      </c>
      <c r="P1664" s="261">
        <v>55913.631999541169</v>
      </c>
      <c r="Q1664" s="261">
        <v>23371.83481145883</v>
      </c>
      <c r="R1664" s="261">
        <v>0</v>
      </c>
      <c r="S1664">
        <v>79285.466810999991</v>
      </c>
      <c r="T1664">
        <v>1.8900001305155456E-4</v>
      </c>
    </row>
    <row r="1665" spans="1:20">
      <c r="A1665" t="s">
        <v>19431</v>
      </c>
      <c r="B1665">
        <v>45482</v>
      </c>
      <c r="C1665" t="s">
        <v>16560</v>
      </c>
      <c r="D1665" t="s">
        <v>16561</v>
      </c>
      <c r="E1665">
        <v>0</v>
      </c>
      <c r="F1665">
        <v>237127.68799999999</v>
      </c>
      <c r="G1665" s="259">
        <v>0</v>
      </c>
      <c r="H1665" s="259">
        <v>0</v>
      </c>
      <c r="I1665" s="259">
        <v>237127.68749999997</v>
      </c>
      <c r="J1665" s="259">
        <v>0</v>
      </c>
      <c r="K1665" s="260">
        <v>0</v>
      </c>
      <c r="L1665" s="260">
        <v>0</v>
      </c>
      <c r="M1665" s="260">
        <v>0</v>
      </c>
      <c r="N1665" s="260">
        <v>0</v>
      </c>
      <c r="O1665" s="261">
        <v>0</v>
      </c>
      <c r="P1665" s="261">
        <v>0</v>
      </c>
      <c r="Q1665" s="261">
        <v>237127.68749999997</v>
      </c>
      <c r="R1665" s="261">
        <v>0</v>
      </c>
      <c r="S1665">
        <v>237127.68749999997</v>
      </c>
      <c r="T1665">
        <v>5.0000002374872565E-4</v>
      </c>
    </row>
    <row r="1666" spans="1:20">
      <c r="A1666" t="s">
        <v>19432</v>
      </c>
      <c r="B1666">
        <v>45482</v>
      </c>
      <c r="C1666" t="s">
        <v>16560</v>
      </c>
      <c r="D1666" t="s">
        <v>16561</v>
      </c>
      <c r="E1666">
        <v>0</v>
      </c>
      <c r="F1666">
        <v>237127.68799999999</v>
      </c>
      <c r="G1666" s="259">
        <v>0</v>
      </c>
      <c r="H1666" s="259">
        <v>0</v>
      </c>
      <c r="I1666" s="259">
        <v>237127.68749999997</v>
      </c>
      <c r="J1666" s="259">
        <v>0</v>
      </c>
      <c r="K1666" s="260">
        <v>0</v>
      </c>
      <c r="L1666" s="260">
        <v>0</v>
      </c>
      <c r="M1666" s="260">
        <v>0</v>
      </c>
      <c r="N1666" s="260">
        <v>0</v>
      </c>
      <c r="O1666" s="261">
        <v>0</v>
      </c>
      <c r="P1666" s="261">
        <v>0</v>
      </c>
      <c r="Q1666" s="261">
        <v>237127.68749999997</v>
      </c>
      <c r="R1666" s="261">
        <v>0</v>
      </c>
      <c r="S1666">
        <v>237127.68749999997</v>
      </c>
      <c r="T1666">
        <v>5.0000002374872565E-4</v>
      </c>
    </row>
    <row r="1667" spans="1:20">
      <c r="A1667" t="s">
        <v>19433</v>
      </c>
      <c r="B1667">
        <v>45482</v>
      </c>
      <c r="C1667" t="s">
        <v>16384</v>
      </c>
      <c r="D1667" t="s">
        <v>16385</v>
      </c>
      <c r="E1667">
        <v>0</v>
      </c>
      <c r="F1667">
        <v>879200</v>
      </c>
      <c r="G1667" s="259">
        <v>0</v>
      </c>
      <c r="H1667" s="259">
        <v>0</v>
      </c>
      <c r="I1667" s="259">
        <v>879200</v>
      </c>
      <c r="J1667" s="259">
        <v>0</v>
      </c>
      <c r="K1667" s="260">
        <v>0</v>
      </c>
      <c r="L1667" s="260">
        <v>0</v>
      </c>
      <c r="M1667" s="260">
        <v>0</v>
      </c>
      <c r="N1667" s="260">
        <v>0</v>
      </c>
      <c r="O1667" s="261">
        <v>0</v>
      </c>
      <c r="P1667" s="261">
        <v>0</v>
      </c>
      <c r="Q1667" s="261">
        <v>879200</v>
      </c>
      <c r="R1667" s="261">
        <v>0</v>
      </c>
      <c r="S1667">
        <v>879200</v>
      </c>
      <c r="T1667">
        <v>0</v>
      </c>
    </row>
    <row r="1668" spans="1:20">
      <c r="A1668" t="s">
        <v>19434</v>
      </c>
      <c r="B1668">
        <v>45483</v>
      </c>
      <c r="C1668" t="s">
        <v>16560</v>
      </c>
      <c r="D1668" t="s">
        <v>16561</v>
      </c>
      <c r="E1668">
        <v>0</v>
      </c>
      <c r="F1668">
        <v>228322.125</v>
      </c>
      <c r="G1668" s="259">
        <v>0</v>
      </c>
      <c r="H1668" s="259">
        <v>228322.125</v>
      </c>
      <c r="I1668" s="259">
        <v>0</v>
      </c>
      <c r="J1668" s="259">
        <v>0</v>
      </c>
      <c r="K1668" s="260">
        <v>0</v>
      </c>
      <c r="L1668" s="260">
        <v>0</v>
      </c>
      <c r="M1668" s="260">
        <v>0</v>
      </c>
      <c r="N1668" s="260">
        <v>0</v>
      </c>
      <c r="O1668" s="261">
        <v>0</v>
      </c>
      <c r="P1668" s="261">
        <v>228322.125</v>
      </c>
      <c r="Q1668" s="261">
        <v>0</v>
      </c>
      <c r="R1668" s="261">
        <v>0</v>
      </c>
      <c r="S1668">
        <v>228322.125</v>
      </c>
      <c r="T1668">
        <v>0</v>
      </c>
    </row>
    <row r="1669" spans="1:20">
      <c r="A1669" t="s">
        <v>19435</v>
      </c>
      <c r="B1669">
        <v>45483</v>
      </c>
      <c r="C1669" t="s">
        <v>16444</v>
      </c>
      <c r="D1669" t="s">
        <v>16445</v>
      </c>
      <c r="E1669">
        <v>0</v>
      </c>
      <c r="F1669">
        <v>38976</v>
      </c>
      <c r="G1669" s="259">
        <v>38976</v>
      </c>
      <c r="H1669" s="259">
        <v>0</v>
      </c>
      <c r="I1669" s="259">
        <v>0</v>
      </c>
      <c r="J1669" s="259">
        <v>0</v>
      </c>
      <c r="K1669" s="260">
        <v>0</v>
      </c>
      <c r="L1669" s="260">
        <v>0</v>
      </c>
      <c r="M1669" s="260">
        <v>0</v>
      </c>
      <c r="N1669" s="260">
        <v>0</v>
      </c>
      <c r="O1669" s="261">
        <v>38976</v>
      </c>
      <c r="P1669" s="261">
        <v>0</v>
      </c>
      <c r="Q1669" s="261">
        <v>0</v>
      </c>
      <c r="R1669" s="261">
        <v>0</v>
      </c>
      <c r="S1669">
        <v>38976</v>
      </c>
      <c r="T1669">
        <v>0</v>
      </c>
    </row>
    <row r="1670" spans="1:20">
      <c r="A1670" t="s">
        <v>19436</v>
      </c>
      <c r="B1670">
        <v>45485</v>
      </c>
      <c r="C1670" t="s">
        <v>17017</v>
      </c>
      <c r="D1670" t="s">
        <v>17430</v>
      </c>
      <c r="E1670">
        <v>0</v>
      </c>
      <c r="F1670">
        <v>78925</v>
      </c>
      <c r="G1670" s="259">
        <v>0</v>
      </c>
      <c r="H1670" s="259">
        <v>78925</v>
      </c>
      <c r="I1670" s="259">
        <v>0</v>
      </c>
      <c r="J1670" s="259">
        <v>0</v>
      </c>
      <c r="K1670" s="260">
        <v>0</v>
      </c>
      <c r="L1670" s="260">
        <v>0</v>
      </c>
      <c r="M1670" s="260">
        <v>0</v>
      </c>
      <c r="N1670" s="260">
        <v>0</v>
      </c>
      <c r="O1670" s="261">
        <v>0</v>
      </c>
      <c r="P1670" s="261">
        <v>78925</v>
      </c>
      <c r="Q1670" s="261">
        <v>0</v>
      </c>
      <c r="R1670" s="261">
        <v>0</v>
      </c>
      <c r="S1670">
        <v>78925</v>
      </c>
      <c r="T1670">
        <v>0</v>
      </c>
    </row>
    <row r="1671" spans="1:20">
      <c r="A1671" t="s">
        <v>19437</v>
      </c>
      <c r="B1671">
        <v>45485</v>
      </c>
      <c r="C1671" t="s">
        <v>17017</v>
      </c>
      <c r="D1671" t="s">
        <v>17430</v>
      </c>
      <c r="E1671">
        <v>0</v>
      </c>
      <c r="F1671">
        <v>39462.5</v>
      </c>
      <c r="G1671" s="259">
        <v>0</v>
      </c>
      <c r="H1671" s="259">
        <v>39462.5</v>
      </c>
      <c r="I1671" s="259">
        <v>0</v>
      </c>
      <c r="J1671" s="259">
        <v>0</v>
      </c>
      <c r="K1671" s="260">
        <v>0</v>
      </c>
      <c r="L1671" s="260">
        <v>0</v>
      </c>
      <c r="M1671" s="260">
        <v>0</v>
      </c>
      <c r="N1671" s="260">
        <v>0</v>
      </c>
      <c r="O1671" s="261">
        <v>0</v>
      </c>
      <c r="P1671" s="261">
        <v>39462.5</v>
      </c>
      <c r="Q1671" s="261">
        <v>0</v>
      </c>
      <c r="R1671" s="261">
        <v>0</v>
      </c>
      <c r="S1671">
        <v>39462.5</v>
      </c>
      <c r="T1671">
        <v>0</v>
      </c>
    </row>
    <row r="1672" spans="1:20">
      <c r="A1672" t="s">
        <v>19438</v>
      </c>
      <c r="B1672">
        <v>45485</v>
      </c>
      <c r="C1672" t="s">
        <v>17017</v>
      </c>
      <c r="D1672" t="s">
        <v>17430</v>
      </c>
      <c r="E1672">
        <v>0</v>
      </c>
      <c r="F1672">
        <v>119831.25</v>
      </c>
      <c r="G1672" s="259">
        <v>119831.25</v>
      </c>
      <c r="H1672" s="259">
        <v>0</v>
      </c>
      <c r="I1672" s="259">
        <v>0</v>
      </c>
      <c r="J1672" s="259">
        <v>0</v>
      </c>
      <c r="K1672" s="260">
        <v>0</v>
      </c>
      <c r="L1672" s="260">
        <v>0</v>
      </c>
      <c r="M1672" s="260">
        <v>0</v>
      </c>
      <c r="N1672" s="260">
        <v>0</v>
      </c>
      <c r="O1672" s="261">
        <v>119831.25</v>
      </c>
      <c r="P1672" s="261">
        <v>0</v>
      </c>
      <c r="Q1672" s="261">
        <v>0</v>
      </c>
      <c r="R1672" s="261">
        <v>0</v>
      </c>
      <c r="S1672">
        <v>119831.25</v>
      </c>
      <c r="T1672">
        <v>0</v>
      </c>
    </row>
    <row r="1673" spans="1:20">
      <c r="A1673" t="s">
        <v>19439</v>
      </c>
      <c r="B1673">
        <v>45486</v>
      </c>
      <c r="C1673" t="s">
        <v>17376</v>
      </c>
      <c r="D1673" t="s">
        <v>19424</v>
      </c>
      <c r="E1673">
        <v>0</v>
      </c>
      <c r="F1673">
        <v>292602.02100000001</v>
      </c>
      <c r="G1673" s="259">
        <v>278085.81502079993</v>
      </c>
      <c r="H1673" s="259">
        <v>0</v>
      </c>
      <c r="I1673" s="259">
        <v>14516.205849600001</v>
      </c>
      <c r="J1673" s="259">
        <v>0</v>
      </c>
      <c r="K1673" s="260">
        <v>0</v>
      </c>
      <c r="L1673" s="260">
        <v>0</v>
      </c>
      <c r="M1673" s="260">
        <v>0</v>
      </c>
      <c r="N1673" s="260">
        <v>0</v>
      </c>
      <c r="O1673" s="261">
        <v>278085.81502079993</v>
      </c>
      <c r="P1673" s="261">
        <v>0</v>
      </c>
      <c r="Q1673" s="261">
        <v>14516.205849600001</v>
      </c>
      <c r="R1673" s="261">
        <v>0</v>
      </c>
      <c r="S1673">
        <v>292602.02087039995</v>
      </c>
      <c r="T1673">
        <v>1.2960005551576614E-4</v>
      </c>
    </row>
    <row r="1674" spans="1:20">
      <c r="A1674" t="s">
        <v>19440</v>
      </c>
      <c r="B1674">
        <v>45489</v>
      </c>
      <c r="C1674" t="s">
        <v>16783</v>
      </c>
      <c r="D1674" t="s">
        <v>17509</v>
      </c>
      <c r="E1674">
        <v>0</v>
      </c>
      <c r="F1674">
        <v>792537.3409999999</v>
      </c>
      <c r="G1674" s="259">
        <v>117183.77999999998</v>
      </c>
      <c r="H1674" s="259">
        <v>507400.55923200003</v>
      </c>
      <c r="I1674" s="259">
        <v>167953.00166400001</v>
      </c>
      <c r="J1674" s="259">
        <v>0</v>
      </c>
      <c r="K1674" s="260">
        <v>0</v>
      </c>
      <c r="L1674" s="260">
        <v>0</v>
      </c>
      <c r="M1674" s="260">
        <v>0</v>
      </c>
      <c r="N1674" s="260">
        <v>0</v>
      </c>
      <c r="O1674" s="261">
        <v>117183.77999999998</v>
      </c>
      <c r="P1674" s="261">
        <v>507400.55923200003</v>
      </c>
      <c r="Q1674" s="261">
        <v>167953.00166400001</v>
      </c>
      <c r="R1674" s="261">
        <v>0</v>
      </c>
      <c r="S1674">
        <v>792537.34089600004</v>
      </c>
      <c r="T1674">
        <v>1.0399986058473587E-4</v>
      </c>
    </row>
    <row r="1675" spans="1:20">
      <c r="A1675" t="s">
        <v>19441</v>
      </c>
      <c r="B1675">
        <v>45490</v>
      </c>
      <c r="C1675" t="s">
        <v>17302</v>
      </c>
      <c r="D1675" t="s">
        <v>18621</v>
      </c>
      <c r="E1675">
        <v>0</v>
      </c>
      <c r="F1675">
        <v>92720.03</v>
      </c>
      <c r="G1675" s="259">
        <v>0</v>
      </c>
      <c r="H1675" s="259">
        <v>60060.663785999983</v>
      </c>
      <c r="I1675" s="259">
        <v>15318.4692</v>
      </c>
      <c r="J1675" s="259">
        <v>5496.0219999999999</v>
      </c>
      <c r="K1675" s="260">
        <v>0</v>
      </c>
      <c r="L1675" s="260">
        <v>8996.2537780305483</v>
      </c>
      <c r="M1675" s="260">
        <v>2309.6928826779331</v>
      </c>
      <c r="N1675" s="260">
        <v>538.92833929151766</v>
      </c>
      <c r="O1675" s="261">
        <v>0</v>
      </c>
      <c r="P1675" s="261">
        <v>69056.917564030533</v>
      </c>
      <c r="Q1675" s="261">
        <v>17628.162082677933</v>
      </c>
      <c r="R1675" s="261">
        <v>6034.9503392915176</v>
      </c>
      <c r="S1675">
        <v>92720.029985999994</v>
      </c>
      <c r="T1675">
        <v>1.4000004739500582E-5</v>
      </c>
    </row>
    <row r="1676" spans="1:20">
      <c r="A1676" t="s">
        <v>19442</v>
      </c>
      <c r="B1676">
        <v>45505</v>
      </c>
      <c r="C1676" t="s">
        <v>17379</v>
      </c>
      <c r="D1676" t="s">
        <v>19443</v>
      </c>
      <c r="E1676">
        <v>0</v>
      </c>
      <c r="F1676">
        <v>79300</v>
      </c>
      <c r="G1676" s="259">
        <v>0</v>
      </c>
      <c r="H1676" s="259">
        <v>0</v>
      </c>
      <c r="I1676" s="259">
        <v>79300</v>
      </c>
      <c r="J1676" s="259">
        <v>0</v>
      </c>
      <c r="K1676" s="260">
        <v>0</v>
      </c>
      <c r="L1676" s="260">
        <v>0</v>
      </c>
      <c r="M1676" s="260">
        <v>0</v>
      </c>
      <c r="N1676" s="260">
        <v>0</v>
      </c>
      <c r="O1676" s="261">
        <v>0</v>
      </c>
      <c r="P1676" s="261">
        <v>0</v>
      </c>
      <c r="Q1676" s="261">
        <v>79300</v>
      </c>
      <c r="R1676" s="261">
        <v>0</v>
      </c>
      <c r="S1676">
        <v>79300</v>
      </c>
      <c r="T1676">
        <v>0</v>
      </c>
    </row>
    <row r="1677" spans="1:20">
      <c r="A1677" t="s">
        <v>19444</v>
      </c>
      <c r="B1677">
        <v>45490</v>
      </c>
      <c r="C1677" t="s">
        <v>17299</v>
      </c>
      <c r="D1677" t="s">
        <v>18631</v>
      </c>
      <c r="E1677">
        <v>0</v>
      </c>
      <c r="F1677">
        <v>86731.559000000008</v>
      </c>
      <c r="G1677" s="259">
        <v>80572.224000000002</v>
      </c>
      <c r="H1677" s="259">
        <v>0</v>
      </c>
      <c r="I1677" s="259">
        <v>0</v>
      </c>
      <c r="J1677" s="259">
        <v>0</v>
      </c>
      <c r="K1677" s="260">
        <v>6159.335</v>
      </c>
      <c r="L1677" s="260">
        <v>0</v>
      </c>
      <c r="M1677" s="260">
        <v>0</v>
      </c>
      <c r="N1677" s="260">
        <v>0</v>
      </c>
      <c r="O1677" s="261">
        <v>86731.559000000008</v>
      </c>
      <c r="P1677" s="261">
        <v>0</v>
      </c>
      <c r="Q1677" s="261">
        <v>0</v>
      </c>
      <c r="R1677" s="261">
        <v>0</v>
      </c>
      <c r="S1677">
        <v>86731.559000000008</v>
      </c>
      <c r="T1677">
        <v>0</v>
      </c>
    </row>
    <row r="1678" spans="1:20">
      <c r="A1678" t="s">
        <v>19445</v>
      </c>
      <c r="B1678">
        <v>45490</v>
      </c>
      <c r="C1678" t="s">
        <v>17226</v>
      </c>
      <c r="D1678" t="s">
        <v>17891</v>
      </c>
      <c r="E1678">
        <v>0</v>
      </c>
      <c r="F1678">
        <v>139440</v>
      </c>
      <c r="G1678" s="259">
        <v>139440</v>
      </c>
      <c r="H1678" s="259">
        <v>0</v>
      </c>
      <c r="I1678" s="259">
        <v>0</v>
      </c>
      <c r="J1678" s="259">
        <v>0</v>
      </c>
      <c r="K1678" s="260">
        <v>0</v>
      </c>
      <c r="L1678" s="260">
        <v>0</v>
      </c>
      <c r="M1678" s="260">
        <v>0</v>
      </c>
      <c r="N1678" s="260">
        <v>0</v>
      </c>
      <c r="O1678" s="261">
        <v>139440</v>
      </c>
      <c r="P1678" s="261">
        <v>0</v>
      </c>
      <c r="Q1678" s="261">
        <v>0</v>
      </c>
      <c r="R1678" s="261">
        <v>0</v>
      </c>
      <c r="S1678">
        <v>139440</v>
      </c>
      <c r="T1678">
        <v>0</v>
      </c>
    </row>
    <row r="1679" spans="1:20">
      <c r="A1679" t="s">
        <v>19446</v>
      </c>
      <c r="B1679">
        <v>45496</v>
      </c>
      <c r="C1679" t="s">
        <v>17276</v>
      </c>
      <c r="D1679" t="s">
        <v>17277</v>
      </c>
      <c r="E1679">
        <v>0</v>
      </c>
      <c r="F1679">
        <v>166144.42000000001</v>
      </c>
      <c r="G1679" s="259">
        <v>38691.443700000003</v>
      </c>
      <c r="H1679" s="259">
        <v>105822.75199999999</v>
      </c>
      <c r="I1679" s="259">
        <v>0</v>
      </c>
      <c r="J1679" s="259">
        <v>0</v>
      </c>
      <c r="K1679" s="260">
        <v>5522.6105106382984</v>
      </c>
      <c r="L1679" s="260">
        <v>16107.613989361704</v>
      </c>
      <c r="M1679" s="260">
        <v>0</v>
      </c>
      <c r="N1679" s="260">
        <v>0</v>
      </c>
      <c r="O1679" s="261">
        <v>44214.0542106383</v>
      </c>
      <c r="P1679" s="261">
        <v>121930.3659893617</v>
      </c>
      <c r="Q1679" s="261">
        <v>0</v>
      </c>
      <c r="R1679" s="261">
        <v>0</v>
      </c>
      <c r="S1679">
        <v>166144.42019999999</v>
      </c>
      <c r="T1679">
        <v>-1.999999803956598E-4</v>
      </c>
    </row>
    <row r="1680" spans="1:20">
      <c r="A1680" t="s">
        <v>19447</v>
      </c>
      <c r="B1680">
        <v>45628</v>
      </c>
      <c r="C1680" t="s">
        <v>16972</v>
      </c>
      <c r="D1680" t="s">
        <v>17424</v>
      </c>
      <c r="E1680">
        <v>0</v>
      </c>
      <c r="F1680">
        <v>217897.5</v>
      </c>
      <c r="G1680" s="259">
        <v>0</v>
      </c>
      <c r="H1680" s="259">
        <v>217897.5</v>
      </c>
      <c r="I1680" s="259">
        <v>0</v>
      </c>
      <c r="J1680" s="259">
        <v>0</v>
      </c>
      <c r="K1680" s="260">
        <v>0</v>
      </c>
      <c r="L1680" s="260">
        <v>0</v>
      </c>
      <c r="M1680" s="260">
        <v>0</v>
      </c>
      <c r="N1680" s="260">
        <v>0</v>
      </c>
      <c r="O1680" s="261">
        <v>0</v>
      </c>
      <c r="P1680" s="261">
        <v>217897.5</v>
      </c>
      <c r="Q1680" s="261">
        <v>0</v>
      </c>
      <c r="R1680" s="261">
        <v>0</v>
      </c>
      <c r="S1680">
        <v>217897.5</v>
      </c>
      <c r="T1680">
        <v>0</v>
      </c>
    </row>
    <row r="1681" spans="1:20">
      <c r="A1681" t="s">
        <v>19448</v>
      </c>
      <c r="B1681">
        <v>45497</v>
      </c>
      <c r="C1681" t="s">
        <v>16838</v>
      </c>
      <c r="D1681" t="s">
        <v>16839</v>
      </c>
      <c r="E1681">
        <v>0</v>
      </c>
      <c r="F1681">
        <v>95729.2</v>
      </c>
      <c r="G1681" s="259">
        <v>0</v>
      </c>
      <c r="H1681" s="259">
        <v>87829.2</v>
      </c>
      <c r="I1681" s="259">
        <v>7900</v>
      </c>
      <c r="J1681" s="259">
        <v>0</v>
      </c>
      <c r="K1681" s="260">
        <v>0</v>
      </c>
      <c r="L1681" s="260">
        <v>0</v>
      </c>
      <c r="M1681" s="260">
        <v>0</v>
      </c>
      <c r="N1681" s="260">
        <v>0</v>
      </c>
      <c r="O1681" s="261">
        <v>0</v>
      </c>
      <c r="P1681" s="261">
        <v>87829.2</v>
      </c>
      <c r="Q1681" s="261">
        <v>7900</v>
      </c>
      <c r="R1681" s="261">
        <v>0</v>
      </c>
      <c r="S1681">
        <v>95729.2</v>
      </c>
      <c r="T1681">
        <v>0</v>
      </c>
    </row>
    <row r="1682" spans="1:20">
      <c r="A1682" t="s">
        <v>19449</v>
      </c>
      <c r="B1682">
        <v>45497</v>
      </c>
      <c r="C1682" t="s">
        <v>16384</v>
      </c>
      <c r="D1682" t="s">
        <v>16385</v>
      </c>
      <c r="E1682">
        <v>0</v>
      </c>
      <c r="F1682">
        <v>79104</v>
      </c>
      <c r="G1682" s="259">
        <v>79104</v>
      </c>
      <c r="H1682" s="259">
        <v>0</v>
      </c>
      <c r="I1682" s="259">
        <v>0</v>
      </c>
      <c r="J1682" s="259">
        <v>0</v>
      </c>
      <c r="K1682" s="260">
        <v>0</v>
      </c>
      <c r="L1682" s="260">
        <v>0</v>
      </c>
      <c r="M1682" s="260">
        <v>0</v>
      </c>
      <c r="N1682" s="260">
        <v>0</v>
      </c>
      <c r="O1682" s="261">
        <v>79104</v>
      </c>
      <c r="P1682" s="261">
        <v>0</v>
      </c>
      <c r="Q1682" s="261">
        <v>0</v>
      </c>
      <c r="R1682" s="261">
        <v>0</v>
      </c>
      <c r="S1682">
        <v>79104</v>
      </c>
      <c r="T1682">
        <v>0</v>
      </c>
    </row>
    <row r="1683" spans="1:20">
      <c r="A1683" t="s">
        <v>19450</v>
      </c>
      <c r="B1683">
        <v>45499</v>
      </c>
      <c r="C1683" t="s">
        <v>16444</v>
      </c>
      <c r="D1683" t="s">
        <v>16445</v>
      </c>
      <c r="E1683">
        <v>0</v>
      </c>
      <c r="F1683">
        <v>88992</v>
      </c>
      <c r="G1683" s="259">
        <v>88992</v>
      </c>
      <c r="H1683" s="259">
        <v>0</v>
      </c>
      <c r="I1683" s="259">
        <v>0</v>
      </c>
      <c r="J1683" s="259">
        <v>0</v>
      </c>
      <c r="K1683" s="260">
        <v>0</v>
      </c>
      <c r="L1683" s="260">
        <v>0</v>
      </c>
      <c r="M1683" s="260">
        <v>0</v>
      </c>
      <c r="N1683" s="260">
        <v>0</v>
      </c>
      <c r="O1683" s="261">
        <v>88992</v>
      </c>
      <c r="P1683" s="261">
        <v>0</v>
      </c>
      <c r="Q1683" s="261">
        <v>0</v>
      </c>
      <c r="R1683" s="261">
        <v>0</v>
      </c>
      <c r="S1683">
        <v>88992</v>
      </c>
      <c r="T1683">
        <v>0</v>
      </c>
    </row>
    <row r="1684" spans="1:20">
      <c r="A1684" t="s">
        <v>19451</v>
      </c>
      <c r="B1684">
        <v>45499</v>
      </c>
      <c r="C1684" t="s">
        <v>16444</v>
      </c>
      <c r="D1684" t="s">
        <v>16445</v>
      </c>
      <c r="E1684">
        <v>0</v>
      </c>
      <c r="F1684">
        <v>88472.16</v>
      </c>
      <c r="G1684" s="259">
        <v>88472.16</v>
      </c>
      <c r="H1684" s="259">
        <v>0</v>
      </c>
      <c r="I1684" s="259">
        <v>0</v>
      </c>
      <c r="J1684" s="259">
        <v>0</v>
      </c>
      <c r="K1684" s="260">
        <v>0</v>
      </c>
      <c r="L1684" s="260">
        <v>0</v>
      </c>
      <c r="M1684" s="260">
        <v>0</v>
      </c>
      <c r="N1684" s="260">
        <v>0</v>
      </c>
      <c r="O1684" s="261">
        <v>88472.16</v>
      </c>
      <c r="P1684" s="261">
        <v>0</v>
      </c>
      <c r="Q1684" s="261">
        <v>0</v>
      </c>
      <c r="R1684" s="261">
        <v>0</v>
      </c>
      <c r="S1684">
        <v>88472.16</v>
      </c>
      <c r="T1684">
        <v>0</v>
      </c>
    </row>
    <row r="1685" spans="1:20">
      <c r="A1685" t="s">
        <v>19452</v>
      </c>
      <c r="B1685">
        <v>45513</v>
      </c>
      <c r="C1685" t="s">
        <v>17156</v>
      </c>
      <c r="D1685" t="s">
        <v>17575</v>
      </c>
      <c r="E1685">
        <v>0</v>
      </c>
      <c r="F1685">
        <v>126000</v>
      </c>
      <c r="G1685" s="259">
        <v>126000</v>
      </c>
      <c r="H1685" s="259">
        <v>0</v>
      </c>
      <c r="I1685" s="259">
        <v>0</v>
      </c>
      <c r="J1685" s="259">
        <v>0</v>
      </c>
      <c r="K1685" s="260">
        <v>0</v>
      </c>
      <c r="L1685" s="260">
        <v>0</v>
      </c>
      <c r="M1685" s="260">
        <v>0</v>
      </c>
      <c r="N1685" s="260">
        <v>0</v>
      </c>
      <c r="O1685" s="261">
        <v>126000</v>
      </c>
      <c r="P1685" s="261">
        <v>0</v>
      </c>
      <c r="Q1685" s="261">
        <v>0</v>
      </c>
      <c r="R1685" s="261">
        <v>0</v>
      </c>
      <c r="S1685">
        <v>126000</v>
      </c>
      <c r="T1685">
        <v>0</v>
      </c>
    </row>
    <row r="1686" spans="1:20">
      <c r="A1686" t="s">
        <v>19453</v>
      </c>
      <c r="B1686">
        <v>45506</v>
      </c>
      <c r="C1686" t="s">
        <v>16783</v>
      </c>
      <c r="D1686" t="s">
        <v>17509</v>
      </c>
      <c r="E1686">
        <v>0</v>
      </c>
      <c r="F1686">
        <v>573594.02299999993</v>
      </c>
      <c r="G1686" s="259">
        <v>116210.42999999998</v>
      </c>
      <c r="H1686" s="259">
        <v>348052.82030399999</v>
      </c>
      <c r="I1686" s="259">
        <v>109330.77254400002</v>
      </c>
      <c r="J1686" s="259">
        <v>0</v>
      </c>
      <c r="K1686" s="260">
        <v>0</v>
      </c>
      <c r="L1686" s="260">
        <v>0</v>
      </c>
      <c r="M1686" s="260">
        <v>0</v>
      </c>
      <c r="N1686" s="260">
        <v>0</v>
      </c>
      <c r="O1686" s="261">
        <v>116210.42999999998</v>
      </c>
      <c r="P1686" s="261">
        <v>348052.82030399999</v>
      </c>
      <c r="Q1686" s="261">
        <v>109330.77254400002</v>
      </c>
      <c r="R1686" s="261">
        <v>0</v>
      </c>
      <c r="S1686">
        <v>573594.02284800005</v>
      </c>
      <c r="T1686">
        <v>1.5199987683445215E-4</v>
      </c>
    </row>
    <row r="1687" spans="1:20">
      <c r="A1687" t="s">
        <v>19454</v>
      </c>
      <c r="B1687">
        <v>45509</v>
      </c>
      <c r="C1687" t="s">
        <v>16444</v>
      </c>
      <c r="D1687" t="s">
        <v>16445</v>
      </c>
      <c r="E1687">
        <v>0</v>
      </c>
      <c r="F1687">
        <v>88992</v>
      </c>
      <c r="G1687" s="259">
        <v>88992</v>
      </c>
      <c r="H1687" s="259">
        <v>0</v>
      </c>
      <c r="I1687" s="259">
        <v>0</v>
      </c>
      <c r="J1687" s="259">
        <v>0</v>
      </c>
      <c r="K1687" s="260">
        <v>0</v>
      </c>
      <c r="L1687" s="260">
        <v>0</v>
      </c>
      <c r="M1687" s="260">
        <v>0</v>
      </c>
      <c r="N1687" s="260">
        <v>0</v>
      </c>
      <c r="O1687" s="261">
        <v>88992</v>
      </c>
      <c r="P1687" s="261">
        <v>0</v>
      </c>
      <c r="Q1687" s="261">
        <v>0</v>
      </c>
      <c r="R1687" s="261">
        <v>0</v>
      </c>
      <c r="S1687">
        <v>88992</v>
      </c>
      <c r="T1687">
        <v>0</v>
      </c>
    </row>
    <row r="1688" spans="1:20">
      <c r="A1688" t="s">
        <v>19455</v>
      </c>
      <c r="B1688">
        <v>45509</v>
      </c>
      <c r="C1688" t="s">
        <v>16957</v>
      </c>
      <c r="D1688" t="s">
        <v>17451</v>
      </c>
      <c r="E1688">
        <v>0</v>
      </c>
      <c r="F1688">
        <v>113879.51800000001</v>
      </c>
      <c r="G1688" s="259">
        <v>113879.51835000001</v>
      </c>
      <c r="H1688" s="259">
        <v>0</v>
      </c>
      <c r="I1688" s="259">
        <v>0</v>
      </c>
      <c r="J1688" s="259">
        <v>0</v>
      </c>
      <c r="K1688" s="260">
        <v>0</v>
      </c>
      <c r="L1688" s="260">
        <v>0</v>
      </c>
      <c r="M1688" s="260">
        <v>0</v>
      </c>
      <c r="N1688" s="260">
        <v>0</v>
      </c>
      <c r="O1688" s="261">
        <v>113879.51835000001</v>
      </c>
      <c r="P1688" s="261">
        <v>0</v>
      </c>
      <c r="Q1688" s="261">
        <v>0</v>
      </c>
      <c r="R1688" s="261">
        <v>0</v>
      </c>
      <c r="S1688">
        <v>113879.51835000001</v>
      </c>
      <c r="T1688">
        <v>-3.5000000207219273E-4</v>
      </c>
    </row>
    <row r="1689" spans="1:20">
      <c r="A1689" t="s">
        <v>19456</v>
      </c>
      <c r="B1689">
        <v>45509</v>
      </c>
      <c r="C1689" t="s">
        <v>16957</v>
      </c>
      <c r="D1689" t="s">
        <v>17451</v>
      </c>
      <c r="E1689">
        <v>0</v>
      </c>
      <c r="F1689">
        <v>49161.104000000007</v>
      </c>
      <c r="G1689" s="259">
        <v>49161.103550000007</v>
      </c>
      <c r="H1689" s="259">
        <v>0</v>
      </c>
      <c r="I1689" s="259">
        <v>0</v>
      </c>
      <c r="J1689" s="259">
        <v>0</v>
      </c>
      <c r="K1689" s="260">
        <v>0</v>
      </c>
      <c r="L1689" s="260">
        <v>0</v>
      </c>
      <c r="M1689" s="260">
        <v>0</v>
      </c>
      <c r="N1689" s="260">
        <v>0</v>
      </c>
      <c r="O1689" s="261">
        <v>49161.103550000007</v>
      </c>
      <c r="P1689" s="261">
        <v>0</v>
      </c>
      <c r="Q1689" s="261">
        <v>0</v>
      </c>
      <c r="R1689" s="261">
        <v>0</v>
      </c>
      <c r="S1689">
        <v>49161.103550000007</v>
      </c>
      <c r="T1689">
        <v>4.4999999954598024E-4</v>
      </c>
    </row>
    <row r="1690" spans="1:20">
      <c r="A1690" t="s">
        <v>19457</v>
      </c>
      <c r="B1690">
        <v>45513</v>
      </c>
      <c r="C1690" t="s">
        <v>16384</v>
      </c>
      <c r="D1690" t="s">
        <v>16385</v>
      </c>
      <c r="E1690">
        <v>0</v>
      </c>
      <c r="F1690">
        <v>132720</v>
      </c>
      <c r="G1690" s="259">
        <v>0</v>
      </c>
      <c r="H1690" s="259">
        <v>0</v>
      </c>
      <c r="I1690" s="259">
        <v>132720</v>
      </c>
      <c r="J1690" s="259">
        <v>0</v>
      </c>
      <c r="K1690" s="260">
        <v>0</v>
      </c>
      <c r="L1690" s="260">
        <v>0</v>
      </c>
      <c r="M1690" s="260">
        <v>0</v>
      </c>
      <c r="N1690" s="260">
        <v>0</v>
      </c>
      <c r="O1690" s="261">
        <v>0</v>
      </c>
      <c r="P1690" s="261">
        <v>0</v>
      </c>
      <c r="Q1690" s="261">
        <v>132720</v>
      </c>
      <c r="R1690" s="261">
        <v>0</v>
      </c>
      <c r="S1690">
        <v>132720</v>
      </c>
      <c r="T1690">
        <v>0</v>
      </c>
    </row>
    <row r="1691" spans="1:20">
      <c r="A1691" t="s">
        <v>19458</v>
      </c>
      <c r="B1691">
        <v>45513</v>
      </c>
      <c r="C1691" t="s">
        <v>16972</v>
      </c>
      <c r="D1691" t="s">
        <v>17424</v>
      </c>
      <c r="E1691">
        <v>0</v>
      </c>
      <c r="F1691">
        <v>417200</v>
      </c>
      <c r="G1691" s="259">
        <v>0</v>
      </c>
      <c r="H1691" s="259">
        <v>0</v>
      </c>
      <c r="I1691" s="259">
        <v>417200</v>
      </c>
      <c r="J1691" s="259">
        <v>0</v>
      </c>
      <c r="K1691" s="260">
        <v>0</v>
      </c>
      <c r="L1691" s="260">
        <v>0</v>
      </c>
      <c r="M1691" s="260">
        <v>0</v>
      </c>
      <c r="N1691" s="260">
        <v>0</v>
      </c>
      <c r="O1691" s="261">
        <v>0</v>
      </c>
      <c r="P1691" s="261">
        <v>0</v>
      </c>
      <c r="Q1691" s="261">
        <v>417200</v>
      </c>
      <c r="R1691" s="261">
        <v>0</v>
      </c>
      <c r="S1691">
        <v>417200</v>
      </c>
      <c r="T1691">
        <v>0</v>
      </c>
    </row>
    <row r="1692" spans="1:20">
      <c r="A1692" t="s">
        <v>19459</v>
      </c>
      <c r="B1692">
        <v>45518</v>
      </c>
      <c r="C1692" t="s">
        <v>17374</v>
      </c>
      <c r="E1692">
        <v>0</v>
      </c>
      <c r="F1692">
        <v>252074.50899999999</v>
      </c>
      <c r="G1692" s="259">
        <v>0</v>
      </c>
      <c r="H1692" s="259">
        <v>191072.50154999999</v>
      </c>
      <c r="I1692" s="259">
        <v>61002.0075</v>
      </c>
      <c r="J1692" s="259">
        <v>0</v>
      </c>
      <c r="K1692" s="260">
        <v>0</v>
      </c>
      <c r="L1692" s="260">
        <v>0</v>
      </c>
      <c r="M1692" s="260">
        <v>0</v>
      </c>
      <c r="N1692" s="260">
        <v>0</v>
      </c>
      <c r="O1692" s="261">
        <v>0</v>
      </c>
      <c r="P1692" s="261">
        <v>191072.50154999999</v>
      </c>
      <c r="Q1692" s="261">
        <v>61002.0075</v>
      </c>
      <c r="R1692" s="261">
        <v>0</v>
      </c>
      <c r="S1692">
        <v>252074.50904999999</v>
      </c>
      <c r="T1692">
        <v>-5.0000002374872565E-5</v>
      </c>
    </row>
    <row r="1693" spans="1:20">
      <c r="A1693" t="s">
        <v>19460</v>
      </c>
      <c r="B1693">
        <v>45537</v>
      </c>
      <c r="C1693" t="s">
        <v>17359</v>
      </c>
      <c r="D1693" t="s">
        <v>17360</v>
      </c>
      <c r="E1693">
        <v>0</v>
      </c>
      <c r="F1693">
        <v>42639.612999999998</v>
      </c>
      <c r="G1693" s="259">
        <v>22201.857179999995</v>
      </c>
      <c r="H1693" s="259">
        <v>14456.718124999998</v>
      </c>
      <c r="I1693" s="259">
        <v>0</v>
      </c>
      <c r="J1693" s="259">
        <v>0</v>
      </c>
      <c r="K1693" s="260">
        <v>3302.1880080897704</v>
      </c>
      <c r="L1693" s="260">
        <v>2633.0767419102299</v>
      </c>
      <c r="M1693" s="260">
        <v>0</v>
      </c>
      <c r="N1693" s="260">
        <v>0</v>
      </c>
      <c r="O1693" s="261">
        <v>25504.045188089767</v>
      </c>
      <c r="P1693" s="261">
        <v>17089.794866910226</v>
      </c>
      <c r="Q1693" s="261">
        <v>0</v>
      </c>
      <c r="R1693" s="261">
        <v>0</v>
      </c>
      <c r="S1693">
        <v>42593.840054999993</v>
      </c>
      <c r="T1693">
        <v>45.772945000004256</v>
      </c>
    </row>
    <row r="1694" spans="1:20">
      <c r="A1694" t="s">
        <v>19461</v>
      </c>
      <c r="B1694">
        <v>45518</v>
      </c>
      <c r="C1694" t="s">
        <v>16384</v>
      </c>
      <c r="D1694" t="s">
        <v>16385</v>
      </c>
      <c r="E1694">
        <v>0</v>
      </c>
      <c r="F1694">
        <v>197760</v>
      </c>
      <c r="G1694" s="259">
        <v>197760</v>
      </c>
      <c r="H1694" s="259">
        <v>0</v>
      </c>
      <c r="I1694" s="259">
        <v>0</v>
      </c>
      <c r="J1694" s="259">
        <v>0</v>
      </c>
      <c r="K1694" s="260">
        <v>0</v>
      </c>
      <c r="L1694" s="260">
        <v>0</v>
      </c>
      <c r="M1694" s="260">
        <v>0</v>
      </c>
      <c r="N1694" s="260">
        <v>0</v>
      </c>
      <c r="O1694" s="261">
        <v>197760</v>
      </c>
      <c r="P1694" s="261">
        <v>0</v>
      </c>
      <c r="Q1694" s="261">
        <v>0</v>
      </c>
      <c r="R1694" s="261">
        <v>0</v>
      </c>
      <c r="S1694">
        <v>197760</v>
      </c>
      <c r="T1694">
        <v>0</v>
      </c>
    </row>
    <row r="1695" spans="1:20">
      <c r="A1695" t="s">
        <v>19462</v>
      </c>
      <c r="B1695">
        <v>45518</v>
      </c>
      <c r="C1695" t="s">
        <v>16880</v>
      </c>
      <c r="D1695" t="s">
        <v>16881</v>
      </c>
      <c r="E1695">
        <v>0</v>
      </c>
      <c r="F1695">
        <v>98519.184000000008</v>
      </c>
      <c r="G1695" s="259">
        <v>0</v>
      </c>
      <c r="H1695" s="259">
        <v>98519.184176000024</v>
      </c>
      <c r="I1695" s="259">
        <v>0</v>
      </c>
      <c r="J1695" s="259">
        <v>0</v>
      </c>
      <c r="K1695" s="260">
        <v>0</v>
      </c>
      <c r="L1695" s="260">
        <v>0</v>
      </c>
      <c r="M1695" s="260">
        <v>0</v>
      </c>
      <c r="N1695" s="260">
        <v>0</v>
      </c>
      <c r="O1695" s="261">
        <v>0</v>
      </c>
      <c r="P1695" s="261">
        <v>98519.184176000024</v>
      </c>
      <c r="Q1695" s="261">
        <v>0</v>
      </c>
      <c r="R1695" s="261">
        <v>0</v>
      </c>
      <c r="S1695">
        <v>98519.184176000024</v>
      </c>
      <c r="T1695">
        <v>-1.7600001592654735E-4</v>
      </c>
    </row>
    <row r="1696" spans="1:20">
      <c r="A1696" t="s">
        <v>19463</v>
      </c>
      <c r="B1696">
        <v>45537</v>
      </c>
      <c r="C1696" t="s">
        <v>16838</v>
      </c>
      <c r="D1696" t="s">
        <v>16839</v>
      </c>
      <c r="E1696">
        <v>0</v>
      </c>
      <c r="F1696">
        <v>222075</v>
      </c>
      <c r="G1696" s="259">
        <v>0</v>
      </c>
      <c r="H1696" s="259">
        <v>222075</v>
      </c>
      <c r="I1696" s="259">
        <v>0</v>
      </c>
      <c r="J1696" s="259">
        <v>0</v>
      </c>
      <c r="K1696" s="260">
        <v>0</v>
      </c>
      <c r="L1696" s="260">
        <v>0</v>
      </c>
      <c r="M1696" s="260">
        <v>0</v>
      </c>
      <c r="N1696" s="260">
        <v>0</v>
      </c>
      <c r="O1696" s="261">
        <v>0</v>
      </c>
      <c r="P1696" s="261">
        <v>222075</v>
      </c>
      <c r="Q1696" s="261">
        <v>0</v>
      </c>
      <c r="R1696" s="261">
        <v>0</v>
      </c>
      <c r="S1696">
        <v>222075</v>
      </c>
      <c r="T1696">
        <v>0</v>
      </c>
    </row>
    <row r="1697" spans="1:20">
      <c r="A1697" t="s">
        <v>19464</v>
      </c>
      <c r="B1697">
        <v>45518</v>
      </c>
      <c r="C1697" t="s">
        <v>17309</v>
      </c>
      <c r="D1697" t="s">
        <v>18704</v>
      </c>
      <c r="E1697">
        <v>0</v>
      </c>
      <c r="F1697">
        <v>56856</v>
      </c>
      <c r="G1697" s="259">
        <v>56856</v>
      </c>
      <c r="H1697" s="259">
        <v>0</v>
      </c>
      <c r="I1697" s="259">
        <v>0</v>
      </c>
      <c r="J1697" s="259">
        <v>0</v>
      </c>
      <c r="K1697" s="260">
        <v>0</v>
      </c>
      <c r="L1697" s="260">
        <v>0</v>
      </c>
      <c r="M1697" s="260">
        <v>0</v>
      </c>
      <c r="N1697" s="260">
        <v>0</v>
      </c>
      <c r="O1697" s="261">
        <v>56856</v>
      </c>
      <c r="P1697" s="261">
        <v>0</v>
      </c>
      <c r="Q1697" s="261">
        <v>0</v>
      </c>
      <c r="R1697" s="261">
        <v>0</v>
      </c>
      <c r="S1697">
        <v>56856</v>
      </c>
      <c r="T1697">
        <v>0</v>
      </c>
    </row>
    <row r="1698" spans="1:20">
      <c r="A1698" t="s">
        <v>19465</v>
      </c>
      <c r="B1698">
        <v>45628</v>
      </c>
      <c r="C1698" t="s">
        <v>16444</v>
      </c>
      <c r="D1698" t="s">
        <v>16445</v>
      </c>
      <c r="E1698">
        <v>0</v>
      </c>
      <c r="F1698">
        <v>88992</v>
      </c>
      <c r="G1698" s="259">
        <v>88992</v>
      </c>
      <c r="H1698" s="259">
        <v>0</v>
      </c>
      <c r="I1698" s="259">
        <v>0</v>
      </c>
      <c r="J1698" s="259">
        <v>0</v>
      </c>
      <c r="K1698" s="260">
        <v>0</v>
      </c>
      <c r="L1698" s="260">
        <v>0</v>
      </c>
      <c r="M1698" s="260">
        <v>0</v>
      </c>
      <c r="N1698" s="260">
        <v>0</v>
      </c>
      <c r="O1698" s="261">
        <v>88992</v>
      </c>
      <c r="P1698" s="261">
        <v>0</v>
      </c>
      <c r="Q1698" s="261">
        <v>0</v>
      </c>
      <c r="R1698" s="261">
        <v>0</v>
      </c>
      <c r="S1698">
        <v>88992</v>
      </c>
      <c r="T1698">
        <v>0</v>
      </c>
    </row>
    <row r="1699" spans="1:20">
      <c r="A1699" t="s">
        <v>19466</v>
      </c>
      <c r="B1699">
        <v>45518</v>
      </c>
      <c r="C1699" t="s">
        <v>16904</v>
      </c>
      <c r="D1699" t="s">
        <v>16905</v>
      </c>
      <c r="E1699">
        <v>0</v>
      </c>
      <c r="F1699">
        <v>79587.934999999998</v>
      </c>
      <c r="G1699" s="259">
        <v>0</v>
      </c>
      <c r="H1699" s="259">
        <v>45992.356308000002</v>
      </c>
      <c r="I1699" s="259">
        <v>19169.591624999997</v>
      </c>
      <c r="J1699" s="259">
        <v>0</v>
      </c>
      <c r="K1699" s="260">
        <v>0</v>
      </c>
      <c r="L1699" s="260">
        <v>10134.58236554022</v>
      </c>
      <c r="M1699" s="260">
        <v>4291.405134459781</v>
      </c>
      <c r="N1699" s="260">
        <v>0</v>
      </c>
      <c r="O1699" s="261">
        <v>0</v>
      </c>
      <c r="P1699" s="261">
        <v>56126.938673540222</v>
      </c>
      <c r="Q1699" s="261">
        <v>23460.996759459777</v>
      </c>
      <c r="R1699" s="261">
        <v>0</v>
      </c>
      <c r="S1699">
        <v>79587.935433000006</v>
      </c>
      <c r="T1699">
        <v>-4.3300000834278762E-4</v>
      </c>
    </row>
    <row r="1700" spans="1:20">
      <c r="A1700" t="s">
        <v>19467</v>
      </c>
      <c r="B1700">
        <v>45518</v>
      </c>
      <c r="C1700" t="s">
        <v>17299</v>
      </c>
      <c r="D1700" t="s">
        <v>18631</v>
      </c>
      <c r="E1700">
        <v>0</v>
      </c>
      <c r="F1700">
        <v>299489.136</v>
      </c>
      <c r="G1700" s="259">
        <v>277897.06559999997</v>
      </c>
      <c r="H1700" s="259">
        <v>0</v>
      </c>
      <c r="I1700" s="259">
        <v>0</v>
      </c>
      <c r="J1700" s="259">
        <v>0</v>
      </c>
      <c r="K1700" s="260">
        <v>21592.070500000002</v>
      </c>
      <c r="L1700" s="260">
        <v>0</v>
      </c>
      <c r="M1700" s="260">
        <v>0</v>
      </c>
      <c r="N1700" s="260">
        <v>0</v>
      </c>
      <c r="O1700" s="261">
        <v>299489.1361</v>
      </c>
      <c r="P1700" s="261">
        <v>0</v>
      </c>
      <c r="Q1700" s="261">
        <v>0</v>
      </c>
      <c r="R1700" s="261">
        <v>0</v>
      </c>
      <c r="S1700">
        <v>299489.1361</v>
      </c>
      <c r="T1700">
        <v>-1.0000000474974513E-4</v>
      </c>
    </row>
    <row r="1701" spans="1:20">
      <c r="A1701" t="s">
        <v>19468</v>
      </c>
      <c r="B1701">
        <v>45523</v>
      </c>
      <c r="C1701" t="s">
        <v>16444</v>
      </c>
      <c r="D1701" t="s">
        <v>16445</v>
      </c>
      <c r="E1701">
        <v>0</v>
      </c>
      <c r="F1701">
        <v>88480</v>
      </c>
      <c r="G1701" s="259">
        <v>0</v>
      </c>
      <c r="H1701" s="259">
        <v>0</v>
      </c>
      <c r="I1701" s="259">
        <v>88480</v>
      </c>
      <c r="J1701" s="259">
        <v>0</v>
      </c>
      <c r="K1701" s="260">
        <v>0</v>
      </c>
      <c r="L1701" s="260">
        <v>0</v>
      </c>
      <c r="M1701" s="260">
        <v>0</v>
      </c>
      <c r="N1701" s="260">
        <v>0</v>
      </c>
      <c r="O1701" s="261">
        <v>0</v>
      </c>
      <c r="P1701" s="261">
        <v>0</v>
      </c>
      <c r="Q1701" s="261">
        <v>88480</v>
      </c>
      <c r="R1701" s="261">
        <v>0</v>
      </c>
      <c r="S1701">
        <v>88480</v>
      </c>
      <c r="T1701">
        <v>0</v>
      </c>
    </row>
    <row r="1702" spans="1:20">
      <c r="A1702" t="s">
        <v>19469</v>
      </c>
      <c r="B1702">
        <v>45523</v>
      </c>
      <c r="C1702" t="s">
        <v>17354</v>
      </c>
      <c r="D1702" t="s">
        <v>17355</v>
      </c>
      <c r="E1702">
        <v>0</v>
      </c>
      <c r="F1702">
        <v>124873.95699999999</v>
      </c>
      <c r="G1702" s="259">
        <v>114431.0625</v>
      </c>
      <c r="H1702" s="259">
        <v>0</v>
      </c>
      <c r="I1702" s="259">
        <v>0</v>
      </c>
      <c r="J1702" s="259">
        <v>0</v>
      </c>
      <c r="K1702" s="260">
        <v>10442.894</v>
      </c>
      <c r="L1702" s="260">
        <v>0</v>
      </c>
      <c r="M1702" s="260">
        <v>0</v>
      </c>
      <c r="N1702" s="260">
        <v>0</v>
      </c>
      <c r="O1702" s="261">
        <v>124873.9565</v>
      </c>
      <c r="P1702" s="261">
        <v>0</v>
      </c>
      <c r="Q1702" s="261">
        <v>0</v>
      </c>
      <c r="R1702" s="261">
        <v>0</v>
      </c>
      <c r="S1702">
        <v>124873.9565</v>
      </c>
      <c r="T1702">
        <v>4.999999946448952E-4</v>
      </c>
    </row>
    <row r="1703" spans="1:20">
      <c r="A1703" t="s">
        <v>19470</v>
      </c>
      <c r="B1703">
        <v>45524</v>
      </c>
      <c r="C1703" t="s">
        <v>17302</v>
      </c>
      <c r="D1703" t="s">
        <v>18621</v>
      </c>
      <c r="E1703">
        <v>0</v>
      </c>
      <c r="F1703">
        <v>76038.070999999996</v>
      </c>
      <c r="G1703" s="259">
        <v>0</v>
      </c>
      <c r="H1703" s="259">
        <v>55603.156752000003</v>
      </c>
      <c r="I1703" s="259">
        <v>20434.914000000001</v>
      </c>
      <c r="J1703" s="259">
        <v>0</v>
      </c>
      <c r="K1703" s="260">
        <v>0</v>
      </c>
      <c r="L1703" s="260">
        <v>0</v>
      </c>
      <c r="M1703" s="260">
        <v>0</v>
      </c>
      <c r="N1703" s="260">
        <v>0</v>
      </c>
      <c r="O1703" s="261">
        <v>0</v>
      </c>
      <c r="P1703" s="261">
        <v>55603.156752000003</v>
      </c>
      <c r="Q1703" s="261">
        <v>20434.914000000001</v>
      </c>
      <c r="R1703" s="261">
        <v>0</v>
      </c>
      <c r="S1703">
        <v>76038.070752</v>
      </c>
      <c r="T1703">
        <v>2.4799999664537609E-4</v>
      </c>
    </row>
    <row r="1704" spans="1:20">
      <c r="A1704" t="s">
        <v>19471</v>
      </c>
      <c r="B1704">
        <v>45524</v>
      </c>
      <c r="C1704" t="s">
        <v>17302</v>
      </c>
      <c r="D1704" t="s">
        <v>18621</v>
      </c>
      <c r="E1704">
        <v>0</v>
      </c>
      <c r="F1704">
        <v>86139.513000000006</v>
      </c>
      <c r="G1704" s="259">
        <v>0</v>
      </c>
      <c r="H1704" s="259">
        <v>38647.551456000001</v>
      </c>
      <c r="I1704" s="259">
        <v>20434.914000000001</v>
      </c>
      <c r="J1704" s="259">
        <v>27057.047346000007</v>
      </c>
      <c r="K1704" s="260">
        <v>0</v>
      </c>
      <c r="L1704" s="260">
        <v>0</v>
      </c>
      <c r="M1704" s="260">
        <v>0</v>
      </c>
      <c r="N1704" s="260">
        <v>0</v>
      </c>
      <c r="O1704" s="261">
        <v>0</v>
      </c>
      <c r="P1704" s="261">
        <v>38647.551456000001</v>
      </c>
      <c r="Q1704" s="261">
        <v>20434.914000000001</v>
      </c>
      <c r="R1704" s="261">
        <v>27057.047346000007</v>
      </c>
      <c r="S1704">
        <v>86139.512802000012</v>
      </c>
      <c r="T1704">
        <v>1.9799999427050352E-4</v>
      </c>
    </row>
    <row r="1705" spans="1:20">
      <c r="A1705" t="s">
        <v>19472</v>
      </c>
      <c r="B1705">
        <v>45537</v>
      </c>
      <c r="C1705" t="s">
        <v>16384</v>
      </c>
      <c r="D1705" t="s">
        <v>16385</v>
      </c>
      <c r="E1705">
        <v>0</v>
      </c>
      <c r="F1705">
        <v>118127.08</v>
      </c>
      <c r="G1705" s="259">
        <v>44616.480000000003</v>
      </c>
      <c r="H1705" s="259">
        <v>23101.200000000001</v>
      </c>
      <c r="I1705" s="259">
        <v>50409.4</v>
      </c>
      <c r="J1705" s="259">
        <v>0</v>
      </c>
      <c r="K1705" s="260">
        <v>0</v>
      </c>
      <c r="L1705" s="260">
        <v>0</v>
      </c>
      <c r="M1705" s="260">
        <v>0</v>
      </c>
      <c r="N1705" s="260">
        <v>0</v>
      </c>
      <c r="O1705" s="261">
        <v>44616.480000000003</v>
      </c>
      <c r="P1705" s="261">
        <v>23101.200000000001</v>
      </c>
      <c r="Q1705" s="261">
        <v>50409.4</v>
      </c>
      <c r="R1705" s="261">
        <v>0</v>
      </c>
      <c r="S1705">
        <v>118127.08000000002</v>
      </c>
      <c r="T1705">
        <v>0</v>
      </c>
    </row>
    <row r="1706" spans="1:20">
      <c r="A1706" t="s">
        <v>19473</v>
      </c>
      <c r="B1706">
        <v>45537</v>
      </c>
      <c r="C1706" t="s">
        <v>16972</v>
      </c>
      <c r="D1706" t="s">
        <v>17424</v>
      </c>
      <c r="E1706">
        <v>0</v>
      </c>
      <c r="F1706">
        <v>115200</v>
      </c>
      <c r="G1706" s="259">
        <v>115200</v>
      </c>
      <c r="H1706" s="259">
        <v>0</v>
      </c>
      <c r="I1706" s="259">
        <v>0</v>
      </c>
      <c r="J1706" s="259">
        <v>0</v>
      </c>
      <c r="K1706" s="260">
        <v>0</v>
      </c>
      <c r="L1706" s="260">
        <v>0</v>
      </c>
      <c r="M1706" s="260">
        <v>0</v>
      </c>
      <c r="N1706" s="260">
        <v>0</v>
      </c>
      <c r="O1706" s="261">
        <v>115200</v>
      </c>
      <c r="P1706" s="261">
        <v>0</v>
      </c>
      <c r="Q1706" s="261">
        <v>0</v>
      </c>
      <c r="R1706" s="261">
        <v>0</v>
      </c>
      <c r="S1706">
        <v>115200</v>
      </c>
      <c r="T1706">
        <v>0</v>
      </c>
    </row>
    <row r="1707" spans="1:20">
      <c r="A1707" t="s">
        <v>19474</v>
      </c>
      <c r="B1707">
        <v>45566</v>
      </c>
      <c r="C1707" t="s">
        <v>17259</v>
      </c>
      <c r="D1707" t="s">
        <v>17260</v>
      </c>
      <c r="E1707">
        <v>0</v>
      </c>
      <c r="F1707">
        <v>138466.70699999999</v>
      </c>
      <c r="G1707" s="259">
        <v>0</v>
      </c>
      <c r="H1707" s="259">
        <v>96833.690999999992</v>
      </c>
      <c r="I1707" s="259">
        <v>0</v>
      </c>
      <c r="J1707" s="259">
        <v>12911.158799999999</v>
      </c>
      <c r="K1707" s="260">
        <v>0</v>
      </c>
      <c r="L1707" s="260">
        <v>28721.857500000002</v>
      </c>
      <c r="M1707" s="260">
        <v>0</v>
      </c>
      <c r="N1707" s="260">
        <v>0</v>
      </c>
      <c r="O1707" s="261">
        <v>0</v>
      </c>
      <c r="P1707" s="261">
        <v>125555.54849999999</v>
      </c>
      <c r="Q1707" s="261">
        <v>0</v>
      </c>
      <c r="R1707" s="261">
        <v>12911.158799999999</v>
      </c>
      <c r="S1707">
        <v>138466.70729999998</v>
      </c>
      <c r="T1707">
        <v>-2.9999998514540493E-4</v>
      </c>
    </row>
    <row r="1708" spans="1:20">
      <c r="A1708" t="s">
        <v>19475</v>
      </c>
      <c r="B1708">
        <v>45526</v>
      </c>
      <c r="C1708" t="s">
        <v>16904</v>
      </c>
      <c r="D1708" t="s">
        <v>16905</v>
      </c>
      <c r="E1708">
        <v>0</v>
      </c>
      <c r="F1708">
        <v>78497.330999999991</v>
      </c>
      <c r="G1708" s="259">
        <v>0</v>
      </c>
      <c r="H1708" s="259">
        <v>48796.768278000003</v>
      </c>
      <c r="I1708" s="259">
        <v>15274.575000000001</v>
      </c>
      <c r="J1708" s="259">
        <v>0</v>
      </c>
      <c r="K1708" s="260">
        <v>0</v>
      </c>
      <c r="L1708" s="260">
        <v>10934.703013068733</v>
      </c>
      <c r="M1708" s="260">
        <v>3491.2844869312685</v>
      </c>
      <c r="N1708" s="260">
        <v>0</v>
      </c>
      <c r="O1708" s="261">
        <v>0</v>
      </c>
      <c r="P1708" s="261">
        <v>59731.471291068738</v>
      </c>
      <c r="Q1708" s="261">
        <v>18765.859486931269</v>
      </c>
      <c r="R1708" s="261">
        <v>0</v>
      </c>
      <c r="S1708">
        <v>78497.330778000003</v>
      </c>
      <c r="T1708">
        <v>2.2199998784344643E-4</v>
      </c>
    </row>
    <row r="1709" spans="1:20">
      <c r="A1709" t="s">
        <v>19476</v>
      </c>
      <c r="B1709">
        <v>45526</v>
      </c>
      <c r="C1709" t="s">
        <v>16904</v>
      </c>
      <c r="D1709" t="s">
        <v>16905</v>
      </c>
      <c r="E1709">
        <v>0</v>
      </c>
      <c r="F1709">
        <v>76199.830999999991</v>
      </c>
      <c r="G1709" s="259">
        <v>0</v>
      </c>
      <c r="H1709" s="259">
        <v>50292.454661999989</v>
      </c>
      <c r="I1709" s="259">
        <v>11481.388874999999</v>
      </c>
      <c r="J1709" s="259">
        <v>0</v>
      </c>
      <c r="K1709" s="260">
        <v>0</v>
      </c>
      <c r="L1709" s="260">
        <v>11706.155769230769</v>
      </c>
      <c r="M1709" s="260">
        <v>2719.8317307692309</v>
      </c>
      <c r="N1709" s="260">
        <v>0</v>
      </c>
      <c r="O1709" s="261">
        <v>0</v>
      </c>
      <c r="P1709" s="261">
        <v>61998.610431230758</v>
      </c>
      <c r="Q1709" s="261">
        <v>14201.220605769229</v>
      </c>
      <c r="R1709" s="261">
        <v>0</v>
      </c>
      <c r="S1709">
        <v>76199.831036999982</v>
      </c>
      <c r="T1709">
        <v>-3.6999990697950125E-5</v>
      </c>
    </row>
    <row r="1710" spans="1:20">
      <c r="A1710" t="s">
        <v>19477</v>
      </c>
      <c r="B1710">
        <v>45530</v>
      </c>
      <c r="C1710" t="s">
        <v>16560</v>
      </c>
      <c r="D1710" t="s">
        <v>16561</v>
      </c>
      <c r="E1710">
        <v>0</v>
      </c>
      <c r="F1710">
        <v>278353.67200000002</v>
      </c>
      <c r="G1710" s="259">
        <v>0</v>
      </c>
      <c r="H1710" s="259">
        <v>0</v>
      </c>
      <c r="I1710" s="259">
        <v>278331.26904000004</v>
      </c>
      <c r="J1710" s="259">
        <v>0</v>
      </c>
      <c r="K1710" s="260">
        <v>0</v>
      </c>
      <c r="L1710" s="260">
        <v>0</v>
      </c>
      <c r="M1710" s="260">
        <v>0</v>
      </c>
      <c r="N1710" s="260">
        <v>0</v>
      </c>
      <c r="O1710" s="261">
        <v>0</v>
      </c>
      <c r="P1710" s="261">
        <v>0</v>
      </c>
      <c r="Q1710" s="261">
        <v>278331.26904000004</v>
      </c>
      <c r="R1710" s="261">
        <v>0</v>
      </c>
      <c r="S1710">
        <v>278331.26904000004</v>
      </c>
      <c r="T1710">
        <v>22.402959999977611</v>
      </c>
    </row>
    <row r="1711" spans="1:20">
      <c r="A1711" t="s">
        <v>19478</v>
      </c>
      <c r="B1711">
        <v>45530</v>
      </c>
      <c r="C1711" t="s">
        <v>17376</v>
      </c>
      <c r="D1711" t="s">
        <v>19424</v>
      </c>
      <c r="E1711">
        <v>0</v>
      </c>
      <c r="F1711">
        <v>147126.24</v>
      </c>
      <c r="G1711" s="259">
        <v>142318.56</v>
      </c>
      <c r="H1711" s="259">
        <v>0</v>
      </c>
      <c r="I1711" s="259">
        <v>4807.68</v>
      </c>
      <c r="J1711" s="259">
        <v>0</v>
      </c>
      <c r="K1711" s="260">
        <v>0</v>
      </c>
      <c r="L1711" s="260">
        <v>0</v>
      </c>
      <c r="M1711" s="260">
        <v>0</v>
      </c>
      <c r="N1711" s="260">
        <v>0</v>
      </c>
      <c r="O1711" s="261">
        <v>142318.56</v>
      </c>
      <c r="P1711" s="261">
        <v>0</v>
      </c>
      <c r="Q1711" s="261">
        <v>4807.68</v>
      </c>
      <c r="R1711" s="261">
        <v>0</v>
      </c>
      <c r="S1711">
        <v>147126.24</v>
      </c>
      <c r="T1711">
        <v>0</v>
      </c>
    </row>
    <row r="1712" spans="1:20">
      <c r="A1712" t="s">
        <v>19479</v>
      </c>
      <c r="B1712">
        <v>45537</v>
      </c>
      <c r="C1712" t="s">
        <v>17376</v>
      </c>
      <c r="D1712" t="s">
        <v>19424</v>
      </c>
      <c r="E1712">
        <v>0</v>
      </c>
      <c r="F1712">
        <v>214042.8</v>
      </c>
      <c r="G1712" s="259">
        <v>214042.8</v>
      </c>
      <c r="H1712" s="259">
        <v>0</v>
      </c>
      <c r="I1712" s="259">
        <v>0</v>
      </c>
      <c r="J1712" s="259">
        <v>0</v>
      </c>
      <c r="K1712" s="260">
        <v>0</v>
      </c>
      <c r="L1712" s="260">
        <v>0</v>
      </c>
      <c r="M1712" s="260">
        <v>0</v>
      </c>
      <c r="N1712" s="260">
        <v>0</v>
      </c>
      <c r="O1712" s="261">
        <v>214042.8</v>
      </c>
      <c r="P1712" s="261">
        <v>0</v>
      </c>
      <c r="Q1712" s="261">
        <v>0</v>
      </c>
      <c r="R1712" s="261">
        <v>0</v>
      </c>
      <c r="S1712">
        <v>214042.8</v>
      </c>
      <c r="T1712">
        <v>0</v>
      </c>
    </row>
    <row r="1713" spans="1:20">
      <c r="A1713" t="s">
        <v>19480</v>
      </c>
      <c r="B1713">
        <v>45530</v>
      </c>
      <c r="C1713" t="s">
        <v>16560</v>
      </c>
      <c r="D1713" t="s">
        <v>16561</v>
      </c>
      <c r="E1713">
        <v>0</v>
      </c>
      <c r="F1713">
        <v>277512.59999999998</v>
      </c>
      <c r="G1713" s="259">
        <v>0</v>
      </c>
      <c r="H1713" s="259">
        <v>0</v>
      </c>
      <c r="I1713" s="259">
        <v>277507.18512000004</v>
      </c>
      <c r="J1713" s="259">
        <v>0</v>
      </c>
      <c r="K1713" s="260">
        <v>0</v>
      </c>
      <c r="L1713" s="260">
        <v>0</v>
      </c>
      <c r="M1713" s="260">
        <v>0</v>
      </c>
      <c r="N1713" s="260">
        <v>0</v>
      </c>
      <c r="O1713" s="261">
        <v>0</v>
      </c>
      <c r="P1713" s="261">
        <v>0</v>
      </c>
      <c r="Q1713" s="261">
        <v>277507.18512000004</v>
      </c>
      <c r="R1713" s="261">
        <v>0</v>
      </c>
      <c r="S1713">
        <v>277507.18512000004</v>
      </c>
      <c r="T1713">
        <v>5.414879999938421</v>
      </c>
    </row>
    <row r="1714" spans="1:20">
      <c r="A1714" t="s">
        <v>19481</v>
      </c>
      <c r="B1714">
        <v>45628</v>
      </c>
      <c r="C1714" t="s">
        <v>17278</v>
      </c>
      <c r="D1714" t="s">
        <v>17279</v>
      </c>
      <c r="E1714">
        <v>0</v>
      </c>
      <c r="F1714">
        <v>506351.60700000002</v>
      </c>
      <c r="G1714" s="259">
        <v>47979.404999999999</v>
      </c>
      <c r="H1714" s="259">
        <v>215260.27200000003</v>
      </c>
      <c r="I1714" s="259">
        <v>243111.93</v>
      </c>
      <c r="J1714" s="259">
        <v>0</v>
      </c>
      <c r="K1714" s="260">
        <v>0</v>
      </c>
      <c r="L1714" s="260">
        <v>0</v>
      </c>
      <c r="M1714" s="260">
        <v>0</v>
      </c>
      <c r="N1714" s="260">
        <v>0</v>
      </c>
      <c r="O1714" s="261">
        <v>47979.404999999999</v>
      </c>
      <c r="P1714" s="261">
        <v>215260.27200000003</v>
      </c>
      <c r="Q1714" s="261">
        <v>243111.93</v>
      </c>
      <c r="R1714" s="261">
        <v>0</v>
      </c>
      <c r="S1714">
        <v>506351.60700000002</v>
      </c>
      <c r="T1714">
        <v>0</v>
      </c>
    </row>
    <row r="1715" spans="1:20">
      <c r="A1715" t="s">
        <v>19482</v>
      </c>
      <c r="B1715">
        <v>45530</v>
      </c>
      <c r="C1715" t="s">
        <v>17304</v>
      </c>
      <c r="D1715" t="s">
        <v>17305</v>
      </c>
      <c r="E1715">
        <v>0</v>
      </c>
      <c r="F1715">
        <v>73499.072</v>
      </c>
      <c r="G1715" s="259">
        <v>0</v>
      </c>
      <c r="H1715" s="259">
        <v>0</v>
      </c>
      <c r="I1715" s="259">
        <v>60494.189755999992</v>
      </c>
      <c r="J1715" s="259">
        <v>0</v>
      </c>
      <c r="K1715" s="260">
        <v>0</v>
      </c>
      <c r="L1715" s="260">
        <v>0</v>
      </c>
      <c r="M1715" s="260">
        <v>13004.972750000001</v>
      </c>
      <c r="N1715" s="260">
        <v>0</v>
      </c>
      <c r="O1715" s="261">
        <v>0</v>
      </c>
      <c r="P1715" s="261">
        <v>0</v>
      </c>
      <c r="Q1715" s="261">
        <v>73499.162505999993</v>
      </c>
      <c r="R1715" s="261">
        <v>0</v>
      </c>
      <c r="S1715">
        <v>73499.162505999993</v>
      </c>
      <c r="T1715">
        <v>-9.050599999318365E-2</v>
      </c>
    </row>
    <row r="1716" spans="1:20">
      <c r="A1716" t="s">
        <v>19483</v>
      </c>
      <c r="B1716">
        <v>45530</v>
      </c>
      <c r="C1716" t="s">
        <v>17304</v>
      </c>
      <c r="D1716" t="s">
        <v>17305</v>
      </c>
      <c r="E1716">
        <v>0</v>
      </c>
      <c r="F1716">
        <v>82792.038</v>
      </c>
      <c r="G1716" s="259">
        <v>7256.48</v>
      </c>
      <c r="H1716" s="259">
        <v>42224.686118999998</v>
      </c>
      <c r="I1716" s="259">
        <v>12049.385039999997</v>
      </c>
      <c r="J1716" s="259">
        <v>9696.4713999999985</v>
      </c>
      <c r="K1716" s="260">
        <v>1139.6349034292473</v>
      </c>
      <c r="L1716" s="260">
        <v>7817.8954375246367</v>
      </c>
      <c r="M1716" s="260">
        <v>1969.2891131257393</v>
      </c>
      <c r="N1716" s="260">
        <v>638.19554592037855</v>
      </c>
      <c r="O1716" s="261">
        <v>8396.1149034292466</v>
      </c>
      <c r="P1716" s="261">
        <v>50042.581556524638</v>
      </c>
      <c r="Q1716" s="261">
        <v>14018.674153125736</v>
      </c>
      <c r="R1716" s="261">
        <v>10334.666945920377</v>
      </c>
      <c r="S1716">
        <v>82792.037558999989</v>
      </c>
      <c r="T1716">
        <v>4.4100001105107367E-4</v>
      </c>
    </row>
    <row r="1717" spans="1:20">
      <c r="A1717" t="s">
        <v>19484</v>
      </c>
      <c r="B1717">
        <v>45530</v>
      </c>
      <c r="C1717" t="s">
        <v>17299</v>
      </c>
      <c r="D1717" t="s">
        <v>18631</v>
      </c>
      <c r="E1717">
        <v>0</v>
      </c>
      <c r="F1717">
        <v>216832.10100000002</v>
      </c>
      <c r="G1717" s="259">
        <v>201433.53599999996</v>
      </c>
      <c r="H1717" s="259">
        <v>0</v>
      </c>
      <c r="I1717" s="259">
        <v>0</v>
      </c>
      <c r="J1717" s="259">
        <v>0</v>
      </c>
      <c r="K1717" s="260">
        <v>15398.565000000001</v>
      </c>
      <c r="L1717" s="260">
        <v>0</v>
      </c>
      <c r="M1717" s="260">
        <v>0</v>
      </c>
      <c r="N1717" s="260">
        <v>0</v>
      </c>
      <c r="O1717" s="261">
        <v>216832.10099999997</v>
      </c>
      <c r="P1717" s="261">
        <v>0</v>
      </c>
      <c r="Q1717" s="261">
        <v>0</v>
      </c>
      <c r="R1717" s="261">
        <v>0</v>
      </c>
      <c r="S1717">
        <v>216832.10099999997</v>
      </c>
      <c r="T1717">
        <v>0</v>
      </c>
    </row>
    <row r="1718" spans="1:20">
      <c r="A1718" t="s">
        <v>19485</v>
      </c>
      <c r="B1718">
        <v>45530</v>
      </c>
      <c r="C1718" t="s">
        <v>16444</v>
      </c>
      <c r="D1718" t="s">
        <v>16445</v>
      </c>
      <c r="E1718">
        <v>0</v>
      </c>
      <c r="F1718">
        <v>91240.4</v>
      </c>
      <c r="G1718" s="259">
        <v>0</v>
      </c>
      <c r="H1718" s="259">
        <v>91240.4</v>
      </c>
      <c r="I1718" s="259">
        <v>0</v>
      </c>
      <c r="J1718" s="259">
        <v>0</v>
      </c>
      <c r="K1718" s="260">
        <v>0</v>
      </c>
      <c r="L1718" s="260">
        <v>0</v>
      </c>
      <c r="M1718" s="260">
        <v>0</v>
      </c>
      <c r="N1718" s="260">
        <v>0</v>
      </c>
      <c r="O1718" s="261">
        <v>0</v>
      </c>
      <c r="P1718" s="261">
        <v>91240.4</v>
      </c>
      <c r="Q1718" s="261">
        <v>0</v>
      </c>
      <c r="R1718" s="261">
        <v>0</v>
      </c>
      <c r="S1718">
        <v>91240.4</v>
      </c>
      <c r="T1718">
        <v>0</v>
      </c>
    </row>
    <row r="1719" spans="1:20">
      <c r="A1719" t="s">
        <v>19486</v>
      </c>
      <c r="B1719">
        <v>45537</v>
      </c>
      <c r="C1719" t="s">
        <v>17017</v>
      </c>
      <c r="D1719" t="s">
        <v>17430</v>
      </c>
      <c r="E1719">
        <v>0</v>
      </c>
      <c r="F1719">
        <v>60600</v>
      </c>
      <c r="G1719" s="259">
        <v>0</v>
      </c>
      <c r="H1719" s="259">
        <v>11900</v>
      </c>
      <c r="I1719" s="259">
        <v>13500</v>
      </c>
      <c r="J1719" s="259">
        <v>35200</v>
      </c>
      <c r="K1719" s="260">
        <v>0</v>
      </c>
      <c r="L1719" s="260">
        <v>0</v>
      </c>
      <c r="M1719" s="260">
        <v>0</v>
      </c>
      <c r="N1719" s="260">
        <v>0</v>
      </c>
      <c r="O1719" s="261">
        <v>0</v>
      </c>
      <c r="P1719" s="261">
        <v>11900</v>
      </c>
      <c r="Q1719" s="261">
        <v>13500</v>
      </c>
      <c r="R1719" s="261">
        <v>35200</v>
      </c>
      <c r="S1719">
        <v>60600</v>
      </c>
      <c r="T1719">
        <v>0</v>
      </c>
    </row>
    <row r="1720" spans="1:20">
      <c r="A1720" t="s">
        <v>19487</v>
      </c>
      <c r="B1720">
        <v>45537</v>
      </c>
      <c r="C1720" t="s">
        <v>16838</v>
      </c>
      <c r="D1720" t="s">
        <v>16839</v>
      </c>
      <c r="E1720">
        <v>0</v>
      </c>
      <c r="F1720">
        <v>42408</v>
      </c>
      <c r="G1720" s="259">
        <v>0</v>
      </c>
      <c r="H1720" s="259">
        <v>42408</v>
      </c>
      <c r="I1720" s="259">
        <v>0</v>
      </c>
      <c r="J1720" s="259">
        <v>0</v>
      </c>
      <c r="K1720" s="260">
        <v>0</v>
      </c>
      <c r="L1720" s="260">
        <v>0</v>
      </c>
      <c r="M1720" s="260">
        <v>0</v>
      </c>
      <c r="N1720" s="260">
        <v>0</v>
      </c>
      <c r="O1720" s="261">
        <v>0</v>
      </c>
      <c r="P1720" s="261">
        <v>42408</v>
      </c>
      <c r="Q1720" s="261">
        <v>0</v>
      </c>
      <c r="R1720" s="261">
        <v>0</v>
      </c>
      <c r="S1720">
        <v>42408</v>
      </c>
      <c r="T1720">
        <v>0</v>
      </c>
    </row>
    <row r="1721" spans="1:20">
      <c r="A1721" t="s">
        <v>19488</v>
      </c>
      <c r="B1721">
        <v>45532</v>
      </c>
      <c r="C1721" t="s">
        <v>16783</v>
      </c>
      <c r="D1721" t="s">
        <v>17509</v>
      </c>
      <c r="E1721">
        <v>0</v>
      </c>
      <c r="F1721">
        <v>119223.317</v>
      </c>
      <c r="G1721" s="259">
        <v>0</v>
      </c>
      <c r="H1721" s="259">
        <v>88469.236799999999</v>
      </c>
      <c r="I1721" s="259">
        <v>30754.080000000005</v>
      </c>
      <c r="J1721" s="259">
        <v>0</v>
      </c>
      <c r="K1721" s="260">
        <v>0</v>
      </c>
      <c r="L1721" s="260">
        <v>0</v>
      </c>
      <c r="M1721" s="260">
        <v>0</v>
      </c>
      <c r="N1721" s="260">
        <v>0</v>
      </c>
      <c r="O1721" s="261">
        <v>0</v>
      </c>
      <c r="P1721" s="261">
        <v>88469.236799999999</v>
      </c>
      <c r="Q1721" s="261">
        <v>30754.080000000005</v>
      </c>
      <c r="R1721" s="261">
        <v>0</v>
      </c>
      <c r="S1721">
        <v>119223.3168</v>
      </c>
      <c r="T1721">
        <v>1.9999999494757503E-4</v>
      </c>
    </row>
    <row r="1722" spans="1:20">
      <c r="A1722" t="s">
        <v>19489</v>
      </c>
      <c r="B1722">
        <v>45537</v>
      </c>
      <c r="C1722" t="s">
        <v>16972</v>
      </c>
      <c r="D1722" t="s">
        <v>17424</v>
      </c>
      <c r="E1722">
        <v>0</v>
      </c>
      <c r="F1722">
        <v>478500</v>
      </c>
      <c r="G1722" s="259">
        <v>0</v>
      </c>
      <c r="H1722" s="259">
        <v>0</v>
      </c>
      <c r="I1722" s="259">
        <v>478500</v>
      </c>
      <c r="J1722" s="259">
        <v>0</v>
      </c>
      <c r="K1722" s="260">
        <v>0</v>
      </c>
      <c r="L1722" s="260">
        <v>0</v>
      </c>
      <c r="M1722" s="260">
        <v>0</v>
      </c>
      <c r="N1722" s="260">
        <v>0</v>
      </c>
      <c r="O1722" s="261">
        <v>0</v>
      </c>
      <c r="P1722" s="261">
        <v>0</v>
      </c>
      <c r="Q1722" s="261">
        <v>478500</v>
      </c>
      <c r="R1722" s="261">
        <v>0</v>
      </c>
      <c r="S1722">
        <v>478500</v>
      </c>
      <c r="T1722">
        <v>0</v>
      </c>
    </row>
    <row r="1723" spans="1:20">
      <c r="A1723" t="s">
        <v>19490</v>
      </c>
      <c r="B1723">
        <v>45537</v>
      </c>
      <c r="C1723" t="s">
        <v>17354</v>
      </c>
      <c r="D1723" t="s">
        <v>17355</v>
      </c>
      <c r="E1723">
        <v>0</v>
      </c>
      <c r="F1723">
        <v>111780.44099999999</v>
      </c>
      <c r="G1723" s="259">
        <v>0</v>
      </c>
      <c r="H1723" s="259">
        <v>101364.95875000002</v>
      </c>
      <c r="I1723" s="259">
        <v>0</v>
      </c>
      <c r="J1723" s="259">
        <v>0</v>
      </c>
      <c r="K1723" s="260">
        <v>0</v>
      </c>
      <c r="L1723" s="260">
        <v>10415.482</v>
      </c>
      <c r="M1723" s="260">
        <v>0</v>
      </c>
      <c r="N1723" s="260">
        <v>0</v>
      </c>
      <c r="O1723" s="261">
        <v>0</v>
      </c>
      <c r="P1723" s="261">
        <v>111780.44075000002</v>
      </c>
      <c r="Q1723" s="261">
        <v>0</v>
      </c>
      <c r="R1723" s="261">
        <v>0</v>
      </c>
      <c r="S1723">
        <v>111780.44075000002</v>
      </c>
      <c r="T1723">
        <v>2.4999996821861714E-4</v>
      </c>
    </row>
    <row r="1724" spans="1:20">
      <c r="A1724" t="s">
        <v>19491</v>
      </c>
      <c r="B1724">
        <v>45538</v>
      </c>
      <c r="C1724" t="s">
        <v>16444</v>
      </c>
      <c r="D1724" t="s">
        <v>16445</v>
      </c>
      <c r="E1724">
        <v>0</v>
      </c>
      <c r="F1724">
        <v>39552</v>
      </c>
      <c r="G1724" s="259">
        <v>39552</v>
      </c>
      <c r="H1724" s="259">
        <v>0</v>
      </c>
      <c r="I1724" s="259">
        <v>0</v>
      </c>
      <c r="J1724" s="259">
        <v>0</v>
      </c>
      <c r="K1724" s="260">
        <v>0</v>
      </c>
      <c r="L1724" s="260">
        <v>0</v>
      </c>
      <c r="M1724" s="260">
        <v>0</v>
      </c>
      <c r="N1724" s="260">
        <v>0</v>
      </c>
      <c r="O1724" s="261">
        <v>39552</v>
      </c>
      <c r="P1724" s="261">
        <v>0</v>
      </c>
      <c r="Q1724" s="261">
        <v>0</v>
      </c>
      <c r="R1724" s="261">
        <v>0</v>
      </c>
      <c r="S1724">
        <v>39552</v>
      </c>
      <c r="T1724">
        <v>0</v>
      </c>
    </row>
    <row r="1725" spans="1:20">
      <c r="A1725" t="s">
        <v>19492</v>
      </c>
      <c r="B1725">
        <v>45538</v>
      </c>
      <c r="C1725" t="s">
        <v>17302</v>
      </c>
      <c r="D1725" t="s">
        <v>18621</v>
      </c>
      <c r="E1725">
        <v>0</v>
      </c>
      <c r="F1725">
        <v>80719.188999999998</v>
      </c>
      <c r="G1725" s="259">
        <v>5669.7981600000003</v>
      </c>
      <c r="H1725" s="259">
        <v>63688.891468799993</v>
      </c>
      <c r="I1725" s="259">
        <v>0</v>
      </c>
      <c r="J1725" s="259">
        <v>11360.4993008</v>
      </c>
      <c r="K1725" s="260">
        <v>0</v>
      </c>
      <c r="L1725" s="260">
        <v>0</v>
      </c>
      <c r="M1725" s="260">
        <v>0</v>
      </c>
      <c r="N1725" s="260">
        <v>0</v>
      </c>
      <c r="O1725" s="261">
        <v>5669.7981600000003</v>
      </c>
      <c r="P1725" s="261">
        <v>63688.891468799993</v>
      </c>
      <c r="Q1725" s="261">
        <v>0</v>
      </c>
      <c r="R1725" s="261">
        <v>11360.4993008</v>
      </c>
      <c r="S1725">
        <v>80719.188929600001</v>
      </c>
      <c r="T1725">
        <v>7.0399997639469802E-5</v>
      </c>
    </row>
    <row r="1726" spans="1:20">
      <c r="A1726" t="s">
        <v>19493</v>
      </c>
      <c r="B1726">
        <v>45541</v>
      </c>
      <c r="C1726" t="s">
        <v>17342</v>
      </c>
      <c r="D1726" t="s">
        <v>17343</v>
      </c>
      <c r="E1726">
        <v>0</v>
      </c>
      <c r="F1726">
        <v>65946.281000000003</v>
      </c>
      <c r="G1726" s="259">
        <v>0</v>
      </c>
      <c r="H1726" s="259">
        <v>35971.916521200001</v>
      </c>
      <c r="I1726" s="259">
        <v>15905.747880000003</v>
      </c>
      <c r="J1726" s="259">
        <v>2227.9414080000001</v>
      </c>
      <c r="K1726" s="260">
        <v>0</v>
      </c>
      <c r="L1726" s="260">
        <v>8013.4658197267572</v>
      </c>
      <c r="M1726" s="260">
        <v>3551.0188270576473</v>
      </c>
      <c r="N1726" s="260">
        <v>276.19035321559477</v>
      </c>
      <c r="O1726" s="261">
        <v>0</v>
      </c>
      <c r="P1726" s="261">
        <v>43985.382340926757</v>
      </c>
      <c r="Q1726" s="261">
        <v>19456.76670705765</v>
      </c>
      <c r="R1726" s="261">
        <v>2504.1317612155949</v>
      </c>
      <c r="S1726">
        <v>65946.280809200005</v>
      </c>
      <c r="T1726">
        <v>1.9079999765381217E-4</v>
      </c>
    </row>
    <row r="1727" spans="1:20">
      <c r="A1727" t="s">
        <v>19494</v>
      </c>
      <c r="B1727">
        <v>45541</v>
      </c>
      <c r="C1727" t="s">
        <v>17342</v>
      </c>
      <c r="D1727" t="s">
        <v>17343</v>
      </c>
      <c r="E1727">
        <v>0</v>
      </c>
      <c r="F1727">
        <v>72638.955000000002</v>
      </c>
      <c r="G1727" s="259">
        <v>0</v>
      </c>
      <c r="H1727" s="259">
        <v>32031.935298</v>
      </c>
      <c r="I1727" s="259">
        <v>13254.789900000002</v>
      </c>
      <c r="J1727" s="259">
        <v>15511.554894000001</v>
      </c>
      <c r="K1727" s="260">
        <v>0</v>
      </c>
      <c r="L1727" s="260">
        <v>7369.1209969788515</v>
      </c>
      <c r="M1727" s="260">
        <v>2981.0360020140984</v>
      </c>
      <c r="N1727" s="260">
        <v>1490.5180010070492</v>
      </c>
      <c r="O1727" s="261">
        <v>0</v>
      </c>
      <c r="P1727" s="261">
        <v>39401.056294978851</v>
      </c>
      <c r="Q1727" s="261">
        <v>16235.825902014099</v>
      </c>
      <c r="R1727" s="261">
        <v>17002.072895007052</v>
      </c>
      <c r="S1727">
        <v>72638.955092000004</v>
      </c>
      <c r="T1727">
        <v>-9.2000002041459084E-5</v>
      </c>
    </row>
    <row r="1728" spans="1:20">
      <c r="A1728" t="s">
        <v>19495</v>
      </c>
      <c r="B1728">
        <v>45541</v>
      </c>
      <c r="C1728" t="s">
        <v>16972</v>
      </c>
      <c r="D1728" t="s">
        <v>17424</v>
      </c>
      <c r="E1728">
        <v>0</v>
      </c>
      <c r="F1728">
        <v>404250</v>
      </c>
      <c r="G1728" s="259">
        <v>0</v>
      </c>
      <c r="H1728" s="259">
        <v>0</v>
      </c>
      <c r="I1728" s="259">
        <v>404250</v>
      </c>
      <c r="J1728" s="259">
        <v>0</v>
      </c>
      <c r="K1728" s="260">
        <v>0</v>
      </c>
      <c r="L1728" s="260">
        <v>0</v>
      </c>
      <c r="M1728" s="260">
        <v>0</v>
      </c>
      <c r="N1728" s="260">
        <v>0</v>
      </c>
      <c r="O1728" s="261">
        <v>0</v>
      </c>
      <c r="P1728" s="261">
        <v>0</v>
      </c>
      <c r="Q1728" s="261">
        <v>404250</v>
      </c>
      <c r="R1728" s="261">
        <v>0</v>
      </c>
      <c r="S1728">
        <v>404250</v>
      </c>
      <c r="T1728">
        <v>0</v>
      </c>
    </row>
    <row r="1729" spans="1:20">
      <c r="A1729" t="s">
        <v>19496</v>
      </c>
      <c r="B1729">
        <v>45546</v>
      </c>
      <c r="C1729" t="s">
        <v>16904</v>
      </c>
      <c r="D1729" t="s">
        <v>16905</v>
      </c>
      <c r="E1729">
        <v>0</v>
      </c>
      <c r="F1729">
        <v>78022.093999999997</v>
      </c>
      <c r="G1729" s="259">
        <v>0</v>
      </c>
      <c r="H1729" s="259">
        <v>48501.343944000007</v>
      </c>
      <c r="I1729" s="259">
        <v>15182.1</v>
      </c>
      <c r="J1729" s="259">
        <v>0</v>
      </c>
      <c r="K1729" s="260">
        <v>0</v>
      </c>
      <c r="L1729" s="260">
        <v>10868.502371732817</v>
      </c>
      <c r="M1729" s="260">
        <v>3470.1476282671829</v>
      </c>
      <c r="N1729" s="260">
        <v>0</v>
      </c>
      <c r="O1729" s="261">
        <v>0</v>
      </c>
      <c r="P1729" s="261">
        <v>59369.846315732822</v>
      </c>
      <c r="Q1729" s="261">
        <v>18652.247628267185</v>
      </c>
      <c r="R1729" s="261">
        <v>0</v>
      </c>
      <c r="S1729">
        <v>78022.093944000007</v>
      </c>
      <c r="T1729">
        <v>5.5999989854171872E-5</v>
      </c>
    </row>
    <row r="1730" spans="1:20">
      <c r="A1730" t="s">
        <v>19497</v>
      </c>
      <c r="B1730">
        <v>45546</v>
      </c>
      <c r="C1730" t="s">
        <v>16823</v>
      </c>
      <c r="D1730" t="s">
        <v>17805</v>
      </c>
      <c r="E1730">
        <v>0</v>
      </c>
      <c r="F1730">
        <v>60108.482000000004</v>
      </c>
      <c r="G1730" s="259">
        <v>15892.5273</v>
      </c>
      <c r="H1730" s="259">
        <v>39046.169685000001</v>
      </c>
      <c r="I1730" s="259">
        <v>0</v>
      </c>
      <c r="J1730" s="259">
        <v>0</v>
      </c>
      <c r="K1730" s="260">
        <v>1439.1264453961455</v>
      </c>
      <c r="L1730" s="260">
        <v>3730.6585546038546</v>
      </c>
      <c r="M1730" s="260">
        <v>0</v>
      </c>
      <c r="N1730" s="260">
        <v>0</v>
      </c>
      <c r="O1730" s="261">
        <v>17331.653745396146</v>
      </c>
      <c r="P1730" s="261">
        <v>42776.828239603856</v>
      </c>
      <c r="Q1730" s="261">
        <v>0</v>
      </c>
      <c r="R1730" s="261">
        <v>0</v>
      </c>
      <c r="S1730">
        <v>60108.481985000006</v>
      </c>
      <c r="T1730">
        <v>1.4999997802078724E-5</v>
      </c>
    </row>
    <row r="1731" spans="1:20">
      <c r="A1731" t="s">
        <v>19498</v>
      </c>
      <c r="B1731">
        <v>45546</v>
      </c>
      <c r="C1731" t="s">
        <v>16838</v>
      </c>
      <c r="D1731" t="s">
        <v>16839</v>
      </c>
      <c r="E1731">
        <v>0</v>
      </c>
      <c r="F1731">
        <v>180000</v>
      </c>
      <c r="G1731" s="259">
        <v>0</v>
      </c>
      <c r="H1731" s="259">
        <v>180000</v>
      </c>
      <c r="I1731" s="259">
        <v>0</v>
      </c>
      <c r="J1731" s="259">
        <v>0</v>
      </c>
      <c r="K1731" s="260">
        <v>0</v>
      </c>
      <c r="L1731" s="260">
        <v>0</v>
      </c>
      <c r="M1731" s="260">
        <v>0</v>
      </c>
      <c r="N1731" s="260">
        <v>0</v>
      </c>
      <c r="O1731" s="261">
        <v>0</v>
      </c>
      <c r="P1731" s="261">
        <v>180000</v>
      </c>
      <c r="Q1731" s="261">
        <v>0</v>
      </c>
      <c r="R1731" s="261">
        <v>0</v>
      </c>
      <c r="S1731">
        <v>180000</v>
      </c>
      <c r="T1731">
        <v>0</v>
      </c>
    </row>
    <row r="1732" spans="1:20">
      <c r="A1732" t="s">
        <v>19499</v>
      </c>
      <c r="B1732">
        <v>45546</v>
      </c>
      <c r="C1732" t="s">
        <v>17309</v>
      </c>
      <c r="D1732" t="s">
        <v>18704</v>
      </c>
      <c r="E1732">
        <v>0</v>
      </c>
      <c r="F1732">
        <v>229600</v>
      </c>
      <c r="G1732" s="259">
        <v>229600</v>
      </c>
      <c r="H1732" s="259">
        <v>0</v>
      </c>
      <c r="I1732" s="259">
        <v>0</v>
      </c>
      <c r="J1732" s="259">
        <v>0</v>
      </c>
      <c r="K1732" s="260">
        <v>0</v>
      </c>
      <c r="L1732" s="260">
        <v>0</v>
      </c>
      <c r="M1732" s="260">
        <v>0</v>
      </c>
      <c r="N1732" s="260">
        <v>0</v>
      </c>
      <c r="O1732" s="261">
        <v>229600</v>
      </c>
      <c r="P1732" s="261">
        <v>0</v>
      </c>
      <c r="Q1732" s="261">
        <v>0</v>
      </c>
      <c r="R1732" s="261">
        <v>0</v>
      </c>
      <c r="S1732">
        <v>229600</v>
      </c>
      <c r="T1732">
        <v>0</v>
      </c>
    </row>
    <row r="1733" spans="1:20">
      <c r="A1733" t="s">
        <v>19500</v>
      </c>
      <c r="B1733">
        <v>45546</v>
      </c>
      <c r="C1733" t="s">
        <v>17299</v>
      </c>
      <c r="D1733" t="s">
        <v>18631</v>
      </c>
      <c r="E1733">
        <v>0</v>
      </c>
      <c r="F1733">
        <v>129695.62</v>
      </c>
      <c r="G1733" s="259">
        <v>120485.1456</v>
      </c>
      <c r="H1733" s="259">
        <v>0</v>
      </c>
      <c r="I1733" s="259">
        <v>0</v>
      </c>
      <c r="J1733" s="259">
        <v>0</v>
      </c>
      <c r="K1733" s="260">
        <v>9210.4740000000002</v>
      </c>
      <c r="L1733" s="260">
        <v>0</v>
      </c>
      <c r="M1733" s="260">
        <v>0</v>
      </c>
      <c r="N1733" s="260">
        <v>0</v>
      </c>
      <c r="O1733" s="261">
        <v>129695.61960000001</v>
      </c>
      <c r="P1733" s="261">
        <v>0</v>
      </c>
      <c r="Q1733" s="261">
        <v>0</v>
      </c>
      <c r="R1733" s="261">
        <v>0</v>
      </c>
      <c r="S1733">
        <v>129695.61960000001</v>
      </c>
      <c r="T1733">
        <v>3.9999998989515007E-4</v>
      </c>
    </row>
    <row r="1734" spans="1:20">
      <c r="A1734" t="s">
        <v>19501</v>
      </c>
      <c r="B1734">
        <v>45547</v>
      </c>
      <c r="C1734" t="s">
        <v>17354</v>
      </c>
      <c r="D1734" t="s">
        <v>17355</v>
      </c>
      <c r="E1734">
        <v>0</v>
      </c>
      <c r="F1734">
        <v>185529.61800000002</v>
      </c>
      <c r="G1734" s="259">
        <v>0</v>
      </c>
      <c r="H1734" s="259">
        <v>0</v>
      </c>
      <c r="I1734" s="259">
        <v>172655.02800000002</v>
      </c>
      <c r="J1734" s="259">
        <v>0</v>
      </c>
      <c r="K1734" s="260">
        <v>0</v>
      </c>
      <c r="L1734" s="260">
        <v>0</v>
      </c>
      <c r="M1734" s="260">
        <v>12874.589999999998</v>
      </c>
      <c r="N1734" s="260">
        <v>0</v>
      </c>
      <c r="O1734" s="261">
        <v>0</v>
      </c>
      <c r="P1734" s="261">
        <v>0</v>
      </c>
      <c r="Q1734" s="261">
        <v>185529.61800000002</v>
      </c>
      <c r="R1734" s="261">
        <v>0</v>
      </c>
      <c r="S1734">
        <v>185529.61800000002</v>
      </c>
      <c r="T1734">
        <v>0</v>
      </c>
    </row>
    <row r="1735" spans="1:20">
      <c r="A1735" t="s">
        <v>19502</v>
      </c>
      <c r="B1735">
        <v>45547</v>
      </c>
      <c r="C1735" t="s">
        <v>16444</v>
      </c>
      <c r="D1735" t="s">
        <v>16445</v>
      </c>
      <c r="E1735">
        <v>0</v>
      </c>
      <c r="F1735">
        <v>76416</v>
      </c>
      <c r="G1735" s="259">
        <v>76416</v>
      </c>
      <c r="H1735" s="259">
        <v>0</v>
      </c>
      <c r="I1735" s="259">
        <v>0</v>
      </c>
      <c r="J1735" s="259">
        <v>0</v>
      </c>
      <c r="K1735" s="260">
        <v>0</v>
      </c>
      <c r="L1735" s="260">
        <v>0</v>
      </c>
      <c r="M1735" s="260">
        <v>0</v>
      </c>
      <c r="N1735" s="260">
        <v>0</v>
      </c>
      <c r="O1735" s="261">
        <v>76416</v>
      </c>
      <c r="P1735" s="261">
        <v>0</v>
      </c>
      <c r="Q1735" s="261">
        <v>0</v>
      </c>
      <c r="R1735" s="261">
        <v>0</v>
      </c>
      <c r="S1735">
        <v>76416</v>
      </c>
      <c r="T1735">
        <v>0</v>
      </c>
    </row>
    <row r="1736" spans="1:20">
      <c r="A1736" t="s">
        <v>19503</v>
      </c>
      <c r="B1736">
        <v>45628</v>
      </c>
      <c r="C1736" t="s">
        <v>17209</v>
      </c>
      <c r="D1736" t="s">
        <v>17210</v>
      </c>
      <c r="E1736">
        <v>0</v>
      </c>
      <c r="F1736">
        <v>57402.320999999996</v>
      </c>
      <c r="G1736" s="259">
        <v>0</v>
      </c>
      <c r="H1736" s="259">
        <v>41512.040639999999</v>
      </c>
      <c r="I1736" s="259">
        <v>0</v>
      </c>
      <c r="J1736" s="259">
        <v>11882.52</v>
      </c>
      <c r="K1736" s="260">
        <v>0</v>
      </c>
      <c r="L1736" s="260">
        <v>3503.0139682539684</v>
      </c>
      <c r="M1736" s="260">
        <v>0</v>
      </c>
      <c r="N1736" s="260">
        <v>533.9960317460318</v>
      </c>
      <c r="O1736" s="261">
        <v>0</v>
      </c>
      <c r="P1736" s="261">
        <v>45015.054608253966</v>
      </c>
      <c r="Q1736" s="261">
        <v>0</v>
      </c>
      <c r="R1736" s="261">
        <v>12416.516031746032</v>
      </c>
      <c r="S1736">
        <v>57431.570639999998</v>
      </c>
      <c r="T1736">
        <v>-29.249640000001818</v>
      </c>
    </row>
    <row r="1737" spans="1:20">
      <c r="A1737" t="s">
        <v>19504</v>
      </c>
      <c r="B1737">
        <v>45554</v>
      </c>
      <c r="C1737" t="s">
        <v>17342</v>
      </c>
      <c r="D1737" t="s">
        <v>17343</v>
      </c>
      <c r="E1737">
        <v>0</v>
      </c>
      <c r="F1737">
        <v>63195.302000000003</v>
      </c>
      <c r="G1737" s="259">
        <v>0</v>
      </c>
      <c r="H1737" s="259">
        <v>38155.173303599993</v>
      </c>
      <c r="I1737" s="259">
        <v>13262.625899999999</v>
      </c>
      <c r="J1737" s="259">
        <v>0</v>
      </c>
      <c r="K1737" s="260">
        <v>0</v>
      </c>
      <c r="L1737" s="260">
        <v>8719.9995610856713</v>
      </c>
      <c r="M1737" s="260">
        <v>3057.5033524143305</v>
      </c>
      <c r="N1737" s="260">
        <v>0</v>
      </c>
      <c r="O1737" s="261">
        <v>0</v>
      </c>
      <c r="P1737" s="261">
        <v>46875.172864685665</v>
      </c>
      <c r="Q1737" s="261">
        <v>16320.12925241433</v>
      </c>
      <c r="R1737" s="261">
        <v>0</v>
      </c>
      <c r="S1737">
        <v>63195.302117099993</v>
      </c>
      <c r="T1737">
        <v>-1.1709998943842947E-4</v>
      </c>
    </row>
    <row r="1738" spans="1:20">
      <c r="A1738" t="s">
        <v>19505</v>
      </c>
      <c r="B1738">
        <v>45554</v>
      </c>
      <c r="C1738" t="s">
        <v>17384</v>
      </c>
      <c r="E1738">
        <v>0</v>
      </c>
      <c r="F1738">
        <v>71808</v>
      </c>
      <c r="G1738" s="259">
        <v>71808</v>
      </c>
      <c r="H1738" s="259">
        <v>0</v>
      </c>
      <c r="I1738" s="259">
        <v>0</v>
      </c>
      <c r="J1738" s="259">
        <v>0</v>
      </c>
      <c r="K1738" s="260">
        <v>0</v>
      </c>
      <c r="L1738" s="260">
        <v>0</v>
      </c>
      <c r="M1738" s="260">
        <v>0</v>
      </c>
      <c r="N1738" s="260">
        <v>0</v>
      </c>
      <c r="O1738" s="261">
        <v>71808</v>
      </c>
      <c r="P1738" s="261">
        <v>0</v>
      </c>
      <c r="Q1738" s="261">
        <v>0</v>
      </c>
      <c r="R1738" s="261">
        <v>0</v>
      </c>
      <c r="S1738">
        <v>71808</v>
      </c>
      <c r="T1738">
        <v>0</v>
      </c>
    </row>
    <row r="1739" spans="1:20">
      <c r="A1739" t="s">
        <v>19506</v>
      </c>
      <c r="B1739">
        <v>45555</v>
      </c>
      <c r="C1739" t="s">
        <v>16904</v>
      </c>
      <c r="D1739" t="s">
        <v>16905</v>
      </c>
      <c r="E1739">
        <v>0</v>
      </c>
      <c r="F1739">
        <v>80500.456999999995</v>
      </c>
      <c r="G1739" s="259">
        <v>0</v>
      </c>
      <c r="H1739" s="259">
        <v>46991.975688000006</v>
      </c>
      <c r="I1739" s="259">
        <v>19119.893624999997</v>
      </c>
      <c r="J1739" s="259">
        <v>0</v>
      </c>
      <c r="K1739" s="260">
        <v>0</v>
      </c>
      <c r="L1739" s="260">
        <v>10180.41380439869</v>
      </c>
      <c r="M1739" s="260">
        <v>4208.1736956013101</v>
      </c>
      <c r="N1739" s="260">
        <v>0</v>
      </c>
      <c r="O1739" s="261">
        <v>0</v>
      </c>
      <c r="P1739" s="261">
        <v>57172.389492398695</v>
      </c>
      <c r="Q1739" s="261">
        <v>23328.067320601309</v>
      </c>
      <c r="R1739" s="261">
        <v>0</v>
      </c>
      <c r="S1739">
        <v>80500.456812999997</v>
      </c>
      <c r="T1739">
        <v>1.8699999782256782E-4</v>
      </c>
    </row>
    <row r="1740" spans="1:20">
      <c r="A1740" t="s">
        <v>19507</v>
      </c>
      <c r="B1740">
        <v>45555</v>
      </c>
      <c r="C1740" t="s">
        <v>16444</v>
      </c>
      <c r="D1740" t="s">
        <v>16445</v>
      </c>
      <c r="E1740">
        <v>0</v>
      </c>
      <c r="F1740">
        <v>85391.039999999994</v>
      </c>
      <c r="G1740" s="259">
        <v>85391.039999999994</v>
      </c>
      <c r="H1740" s="259">
        <v>0</v>
      </c>
      <c r="I1740" s="259">
        <v>0</v>
      </c>
      <c r="J1740" s="259">
        <v>0</v>
      </c>
      <c r="K1740" s="260">
        <v>0</v>
      </c>
      <c r="L1740" s="260">
        <v>0</v>
      </c>
      <c r="M1740" s="260">
        <v>0</v>
      </c>
      <c r="N1740" s="260">
        <v>0</v>
      </c>
      <c r="O1740" s="261">
        <v>85391.039999999994</v>
      </c>
      <c r="P1740" s="261">
        <v>0</v>
      </c>
      <c r="Q1740" s="261">
        <v>0</v>
      </c>
      <c r="R1740" s="261">
        <v>0</v>
      </c>
      <c r="S1740">
        <v>85391.039999999994</v>
      </c>
      <c r="T1740">
        <v>0</v>
      </c>
    </row>
    <row r="1741" spans="1:20">
      <c r="A1741" t="s">
        <v>19508</v>
      </c>
      <c r="B1741">
        <v>45628</v>
      </c>
      <c r="C1741" t="s">
        <v>16444</v>
      </c>
      <c r="D1741" t="s">
        <v>16445</v>
      </c>
      <c r="E1741">
        <v>0</v>
      </c>
      <c r="F1741">
        <v>101024.4</v>
      </c>
      <c r="G1741" s="259">
        <v>39204</v>
      </c>
      <c r="H1741" s="259">
        <v>61820.4</v>
      </c>
      <c r="I1741" s="259">
        <v>0</v>
      </c>
      <c r="J1741" s="259">
        <v>0</v>
      </c>
      <c r="K1741" s="260">
        <v>0</v>
      </c>
      <c r="L1741" s="260">
        <v>0</v>
      </c>
      <c r="M1741" s="260">
        <v>0</v>
      </c>
      <c r="N1741" s="260">
        <v>0</v>
      </c>
      <c r="O1741" s="261">
        <v>39204</v>
      </c>
      <c r="P1741" s="261">
        <v>61820.4</v>
      </c>
      <c r="Q1741" s="261">
        <v>0</v>
      </c>
      <c r="R1741" s="261">
        <v>0</v>
      </c>
      <c r="S1741">
        <v>101024.4</v>
      </c>
      <c r="T1741">
        <v>0</v>
      </c>
    </row>
    <row r="1742" spans="1:20">
      <c r="A1742" t="s">
        <v>19509</v>
      </c>
      <c r="B1742">
        <v>45628</v>
      </c>
      <c r="C1742" t="s">
        <v>17304</v>
      </c>
      <c r="D1742" t="s">
        <v>17305</v>
      </c>
      <c r="E1742">
        <v>0</v>
      </c>
      <c r="F1742">
        <v>51344.31</v>
      </c>
      <c r="G1742" s="259">
        <v>0</v>
      </c>
      <c r="H1742" s="259">
        <v>31818.260517119998</v>
      </c>
      <c r="I1742" s="259">
        <v>8003.3443200000002</v>
      </c>
      <c r="J1742" s="259">
        <v>5764.8298800000002</v>
      </c>
      <c r="K1742" s="260">
        <v>0</v>
      </c>
      <c r="L1742" s="260">
        <v>4273.0379059829065</v>
      </c>
      <c r="M1742" s="260">
        <v>1196.3776638176639</v>
      </c>
      <c r="N1742" s="260">
        <v>291.79943019943022</v>
      </c>
      <c r="O1742" s="261">
        <v>0</v>
      </c>
      <c r="P1742" s="261">
        <v>36091.298423102904</v>
      </c>
      <c r="Q1742" s="261">
        <v>9199.7219838176643</v>
      </c>
      <c r="R1742" s="261">
        <v>6056.6293101994306</v>
      </c>
      <c r="S1742">
        <v>51347.649717119995</v>
      </c>
      <c r="T1742">
        <v>-3.3397171199976583</v>
      </c>
    </row>
    <row r="1743" spans="1:20">
      <c r="A1743" t="s">
        <v>19510</v>
      </c>
      <c r="B1743">
        <v>45559</v>
      </c>
      <c r="C1743" t="s">
        <v>16957</v>
      </c>
      <c r="D1743" t="s">
        <v>17451</v>
      </c>
      <c r="E1743">
        <v>0</v>
      </c>
      <c r="F1743">
        <v>112151.948</v>
      </c>
      <c r="G1743" s="259">
        <v>112151.94802500001</v>
      </c>
      <c r="H1743" s="259">
        <v>0</v>
      </c>
      <c r="I1743" s="259">
        <v>0</v>
      </c>
      <c r="J1743" s="259">
        <v>0</v>
      </c>
      <c r="K1743" s="260">
        <v>0</v>
      </c>
      <c r="L1743" s="260">
        <v>0</v>
      </c>
      <c r="M1743" s="260">
        <v>0</v>
      </c>
      <c r="N1743" s="260">
        <v>0</v>
      </c>
      <c r="O1743" s="261">
        <v>112151.94802500001</v>
      </c>
      <c r="P1743" s="261">
        <v>0</v>
      </c>
      <c r="Q1743" s="261">
        <v>0</v>
      </c>
      <c r="R1743" s="261">
        <v>0</v>
      </c>
      <c r="S1743">
        <v>112151.94802500001</v>
      </c>
      <c r="T1743">
        <v>-2.5000001187436283E-5</v>
      </c>
    </row>
    <row r="1744" spans="1:20">
      <c r="A1744" t="s">
        <v>19511</v>
      </c>
      <c r="B1744">
        <v>45566</v>
      </c>
      <c r="C1744" t="s">
        <v>16972</v>
      </c>
      <c r="D1744" t="s">
        <v>17424</v>
      </c>
      <c r="E1744">
        <v>0</v>
      </c>
      <c r="F1744">
        <v>398750</v>
      </c>
      <c r="G1744" s="259">
        <v>0</v>
      </c>
      <c r="H1744" s="259">
        <v>0</v>
      </c>
      <c r="I1744" s="259">
        <v>398750</v>
      </c>
      <c r="J1744" s="259">
        <v>0</v>
      </c>
      <c r="K1744" s="260">
        <v>0</v>
      </c>
      <c r="L1744" s="260">
        <v>0</v>
      </c>
      <c r="M1744" s="260">
        <v>0</v>
      </c>
      <c r="N1744" s="260">
        <v>0</v>
      </c>
      <c r="O1744" s="261">
        <v>0</v>
      </c>
      <c r="P1744" s="261">
        <v>0</v>
      </c>
      <c r="Q1744" s="261">
        <v>398750</v>
      </c>
      <c r="R1744" s="261">
        <v>0</v>
      </c>
      <c r="S1744">
        <v>398750</v>
      </c>
      <c r="T1744">
        <v>0</v>
      </c>
    </row>
    <row r="1745" spans="1:21">
      <c r="A1745" t="s">
        <v>19512</v>
      </c>
      <c r="B1745">
        <v>45566</v>
      </c>
      <c r="C1745" t="s">
        <v>17299</v>
      </c>
      <c r="D1745" t="s">
        <v>18631</v>
      </c>
      <c r="E1745">
        <v>0</v>
      </c>
      <c r="F1745">
        <v>88907.263000000006</v>
      </c>
      <c r="G1745" s="259">
        <v>0</v>
      </c>
      <c r="H1745" s="259">
        <v>0</v>
      </c>
      <c r="I1745" s="259">
        <v>84869.083000000013</v>
      </c>
      <c r="J1745" s="259">
        <v>0</v>
      </c>
      <c r="K1745" s="260">
        <v>0</v>
      </c>
      <c r="L1745" s="260">
        <v>0</v>
      </c>
      <c r="M1745" s="260">
        <v>8749.39</v>
      </c>
      <c r="N1745" s="260">
        <v>0</v>
      </c>
      <c r="O1745" s="261">
        <v>0</v>
      </c>
      <c r="P1745" s="261">
        <v>0</v>
      </c>
      <c r="Q1745" s="261">
        <v>93618.473000000013</v>
      </c>
      <c r="R1745" s="261">
        <v>0</v>
      </c>
      <c r="S1745">
        <v>93618.473000000013</v>
      </c>
      <c r="T1745">
        <v>-4711.2100000000064</v>
      </c>
      <c r="U1745" t="s">
        <v>19268</v>
      </c>
    </row>
    <row r="1746" spans="1:21">
      <c r="A1746" t="s">
        <v>19513</v>
      </c>
      <c r="B1746">
        <v>45608</v>
      </c>
      <c r="C1746" t="s">
        <v>17299</v>
      </c>
      <c r="D1746" t="s">
        <v>18631</v>
      </c>
      <c r="E1746">
        <v>0</v>
      </c>
      <c r="F1746">
        <v>612243.821</v>
      </c>
      <c r="G1746" s="259">
        <v>0</v>
      </c>
      <c r="H1746" s="259">
        <v>0</v>
      </c>
      <c r="I1746" s="259">
        <v>551258.00599999982</v>
      </c>
      <c r="J1746" s="259">
        <v>0</v>
      </c>
      <c r="K1746" s="260">
        <v>0</v>
      </c>
      <c r="L1746" s="260">
        <v>0</v>
      </c>
      <c r="M1746" s="260">
        <v>89546.665000000008</v>
      </c>
      <c r="N1746" s="260">
        <v>0</v>
      </c>
      <c r="O1746" s="261">
        <v>0</v>
      </c>
      <c r="P1746" s="261">
        <v>0</v>
      </c>
      <c r="Q1746" s="261">
        <v>640804.67099999986</v>
      </c>
      <c r="R1746" s="261">
        <v>0</v>
      </c>
      <c r="S1746">
        <v>640804.67099999986</v>
      </c>
      <c r="T1746">
        <v>-28560.84999999986</v>
      </c>
      <c r="U1746" t="s">
        <v>19268</v>
      </c>
    </row>
    <row r="1747" spans="1:21">
      <c r="A1747" t="s">
        <v>19514</v>
      </c>
      <c r="B1747">
        <v>45566</v>
      </c>
      <c r="C1747" t="s">
        <v>16444</v>
      </c>
      <c r="D1747" t="s">
        <v>16445</v>
      </c>
      <c r="E1747">
        <v>0</v>
      </c>
      <c r="F1747">
        <v>94360</v>
      </c>
      <c r="G1747" s="259">
        <v>0</v>
      </c>
      <c r="H1747" s="259">
        <v>94360</v>
      </c>
      <c r="I1747" s="259">
        <v>0</v>
      </c>
      <c r="J1747" s="259">
        <v>0</v>
      </c>
      <c r="K1747" s="260">
        <v>0</v>
      </c>
      <c r="L1747" s="260">
        <v>0</v>
      </c>
      <c r="M1747" s="260">
        <v>0</v>
      </c>
      <c r="N1747" s="260">
        <v>0</v>
      </c>
      <c r="O1747" s="261">
        <v>0</v>
      </c>
      <c r="P1747" s="261">
        <v>94360</v>
      </c>
      <c r="Q1747" s="261">
        <v>0</v>
      </c>
      <c r="R1747" s="261">
        <v>0</v>
      </c>
      <c r="S1747">
        <v>94360</v>
      </c>
      <c r="T1747">
        <v>0</v>
      </c>
    </row>
    <row r="1748" spans="1:21">
      <c r="A1748" t="s">
        <v>19515</v>
      </c>
      <c r="B1748">
        <v>45566</v>
      </c>
      <c r="C1748" t="s">
        <v>16444</v>
      </c>
      <c r="D1748" t="s">
        <v>16445</v>
      </c>
      <c r="E1748">
        <v>0</v>
      </c>
      <c r="F1748">
        <v>208000</v>
      </c>
      <c r="G1748" s="259">
        <v>0</v>
      </c>
      <c r="H1748" s="259">
        <v>0</v>
      </c>
      <c r="I1748" s="259">
        <v>208000</v>
      </c>
      <c r="J1748" s="259">
        <v>0</v>
      </c>
      <c r="K1748" s="260">
        <v>0</v>
      </c>
      <c r="L1748" s="260">
        <v>0</v>
      </c>
      <c r="M1748" s="260">
        <v>0</v>
      </c>
      <c r="N1748" s="260">
        <v>0</v>
      </c>
      <c r="O1748" s="261">
        <v>0</v>
      </c>
      <c r="P1748" s="261">
        <v>0</v>
      </c>
      <c r="Q1748" s="261">
        <v>208000</v>
      </c>
      <c r="R1748" s="261">
        <v>0</v>
      </c>
      <c r="S1748">
        <v>208000</v>
      </c>
      <c r="T1748">
        <v>0</v>
      </c>
    </row>
    <row r="1749" spans="1:21">
      <c r="A1749" t="s">
        <v>19516</v>
      </c>
      <c r="B1749">
        <v>45566</v>
      </c>
      <c r="C1749" t="s">
        <v>16444</v>
      </c>
      <c r="D1749" t="s">
        <v>16445</v>
      </c>
      <c r="E1749">
        <v>0</v>
      </c>
      <c r="F1749">
        <v>76896</v>
      </c>
      <c r="G1749" s="259">
        <v>0</v>
      </c>
      <c r="H1749" s="259">
        <v>76896</v>
      </c>
      <c r="I1749" s="259">
        <v>0</v>
      </c>
      <c r="J1749" s="259">
        <v>0</v>
      </c>
      <c r="K1749" s="260">
        <v>0</v>
      </c>
      <c r="L1749" s="260">
        <v>0</v>
      </c>
      <c r="M1749" s="260">
        <v>0</v>
      </c>
      <c r="N1749" s="260">
        <v>0</v>
      </c>
      <c r="O1749" s="261">
        <v>0</v>
      </c>
      <c r="P1749" s="261">
        <v>76896</v>
      </c>
      <c r="Q1749" s="261">
        <v>0</v>
      </c>
      <c r="R1749" s="261">
        <v>0</v>
      </c>
      <c r="S1749">
        <v>76896</v>
      </c>
      <c r="T1749">
        <v>0</v>
      </c>
    </row>
    <row r="1750" spans="1:21">
      <c r="A1750" t="s">
        <v>19517</v>
      </c>
      <c r="B1750">
        <v>45567</v>
      </c>
      <c r="C1750" t="s">
        <v>17156</v>
      </c>
      <c r="D1750" t="s">
        <v>17575</v>
      </c>
      <c r="E1750">
        <v>0</v>
      </c>
      <c r="F1750">
        <v>95530</v>
      </c>
      <c r="G1750" s="259">
        <v>0</v>
      </c>
      <c r="H1750" s="259">
        <v>95530</v>
      </c>
      <c r="I1750" s="259">
        <v>0</v>
      </c>
      <c r="J1750" s="259">
        <v>0</v>
      </c>
      <c r="K1750" s="260">
        <v>0</v>
      </c>
      <c r="L1750" s="260">
        <v>0</v>
      </c>
      <c r="M1750" s="260">
        <v>0</v>
      </c>
      <c r="N1750" s="260">
        <v>0</v>
      </c>
      <c r="O1750" s="261">
        <v>0</v>
      </c>
      <c r="P1750" s="261">
        <v>95530</v>
      </c>
      <c r="Q1750" s="261">
        <v>0</v>
      </c>
      <c r="R1750" s="261">
        <v>0</v>
      </c>
      <c r="S1750">
        <v>95530</v>
      </c>
      <c r="T1750">
        <v>0</v>
      </c>
    </row>
    <row r="1751" spans="1:21">
      <c r="A1751" t="s">
        <v>19518</v>
      </c>
      <c r="B1751">
        <v>45567</v>
      </c>
      <c r="C1751" t="s">
        <v>16384</v>
      </c>
      <c r="D1751" t="s">
        <v>16385</v>
      </c>
      <c r="E1751">
        <v>0</v>
      </c>
      <c r="F1751">
        <v>76416</v>
      </c>
      <c r="G1751" s="259">
        <v>76416</v>
      </c>
      <c r="H1751" s="259">
        <v>0</v>
      </c>
      <c r="I1751" s="259">
        <v>0</v>
      </c>
      <c r="J1751" s="259">
        <v>0</v>
      </c>
      <c r="K1751" s="260">
        <v>0</v>
      </c>
      <c r="L1751" s="260">
        <v>0</v>
      </c>
      <c r="M1751" s="260">
        <v>0</v>
      </c>
      <c r="N1751" s="260">
        <v>0</v>
      </c>
      <c r="O1751" s="261">
        <v>76416</v>
      </c>
      <c r="P1751" s="261">
        <v>0</v>
      </c>
      <c r="Q1751" s="261">
        <v>0</v>
      </c>
      <c r="R1751" s="261">
        <v>0</v>
      </c>
      <c r="S1751">
        <v>76416</v>
      </c>
      <c r="T1751">
        <v>0</v>
      </c>
    </row>
    <row r="1752" spans="1:21">
      <c r="A1752" t="s">
        <v>19519</v>
      </c>
      <c r="B1752">
        <v>45567</v>
      </c>
      <c r="C1752" t="s">
        <v>16384</v>
      </c>
      <c r="D1752" t="s">
        <v>16385</v>
      </c>
      <c r="E1752">
        <v>0</v>
      </c>
      <c r="F1752">
        <v>130704</v>
      </c>
      <c r="G1752" s="259">
        <v>0</v>
      </c>
      <c r="H1752" s="259">
        <v>115104</v>
      </c>
      <c r="I1752" s="259">
        <v>0</v>
      </c>
      <c r="J1752" s="259">
        <v>15600</v>
      </c>
      <c r="K1752" s="260">
        <v>0</v>
      </c>
      <c r="L1752" s="260">
        <v>0</v>
      </c>
      <c r="M1752" s="260">
        <v>0</v>
      </c>
      <c r="N1752" s="260">
        <v>0</v>
      </c>
      <c r="O1752" s="261">
        <v>0</v>
      </c>
      <c r="P1752" s="261">
        <v>115104</v>
      </c>
      <c r="Q1752" s="261">
        <v>0</v>
      </c>
      <c r="R1752" s="261">
        <v>15600</v>
      </c>
      <c r="S1752">
        <v>130704</v>
      </c>
      <c r="T1752">
        <v>0</v>
      </c>
    </row>
    <row r="1753" spans="1:21">
      <c r="A1753" t="s">
        <v>19520</v>
      </c>
      <c r="B1753">
        <v>45567</v>
      </c>
      <c r="C1753" t="s">
        <v>17342</v>
      </c>
      <c r="D1753" t="s">
        <v>17343</v>
      </c>
      <c r="E1753">
        <v>0</v>
      </c>
      <c r="F1753">
        <v>71585.467999999993</v>
      </c>
      <c r="G1753" s="259">
        <v>0</v>
      </c>
      <c r="H1753" s="259">
        <v>38096.64963</v>
      </c>
      <c r="I1753" s="259">
        <v>7942.7654999999995</v>
      </c>
      <c r="J1753" s="259">
        <v>13382.553</v>
      </c>
      <c r="K1753" s="260">
        <v>0</v>
      </c>
      <c r="L1753" s="260">
        <v>8915.5694259012016</v>
      </c>
      <c r="M1753" s="260">
        <v>1826.9609479305741</v>
      </c>
      <c r="N1753" s="260">
        <v>1420.9696261682243</v>
      </c>
      <c r="O1753" s="261">
        <v>0</v>
      </c>
      <c r="P1753" s="261">
        <v>47012.219055901202</v>
      </c>
      <c r="Q1753" s="261">
        <v>9769.7264479305741</v>
      </c>
      <c r="R1753" s="261">
        <v>14803.522626168224</v>
      </c>
      <c r="S1753">
        <v>71585.468129999994</v>
      </c>
      <c r="T1753">
        <v>-1.3000000035390258E-4</v>
      </c>
    </row>
    <row r="1754" spans="1:21">
      <c r="A1754" t="s">
        <v>19521</v>
      </c>
      <c r="B1754">
        <v>45572</v>
      </c>
      <c r="C1754" t="s">
        <v>17259</v>
      </c>
      <c r="D1754" t="s">
        <v>17260</v>
      </c>
      <c r="E1754">
        <v>0</v>
      </c>
      <c r="F1754">
        <v>138266.21900000001</v>
      </c>
      <c r="G1754" s="259">
        <v>0</v>
      </c>
      <c r="H1754" s="259">
        <v>92556.347000000009</v>
      </c>
      <c r="I1754" s="259">
        <v>0</v>
      </c>
      <c r="J1754" s="259">
        <v>16680.417000000001</v>
      </c>
      <c r="K1754" s="260">
        <v>0</v>
      </c>
      <c r="L1754" s="260">
        <v>28514.748351063827</v>
      </c>
      <c r="M1754" s="260">
        <v>0</v>
      </c>
      <c r="N1754" s="260">
        <v>514.70664893617015</v>
      </c>
      <c r="O1754" s="261">
        <v>0</v>
      </c>
      <c r="P1754" s="261">
        <v>121071.09535106384</v>
      </c>
      <c r="Q1754" s="261">
        <v>0</v>
      </c>
      <c r="R1754" s="261">
        <v>17195.123648936173</v>
      </c>
      <c r="S1754">
        <v>138266.21900000001</v>
      </c>
      <c r="T1754">
        <v>0</v>
      </c>
    </row>
    <row r="1755" spans="1:21">
      <c r="A1755" t="s">
        <v>19522</v>
      </c>
      <c r="B1755">
        <v>45572</v>
      </c>
      <c r="C1755" t="s">
        <v>16957</v>
      </c>
      <c r="D1755" t="s">
        <v>17451</v>
      </c>
      <c r="E1755">
        <v>0</v>
      </c>
      <c r="F1755">
        <v>48965.305999999997</v>
      </c>
      <c r="G1755" s="259">
        <v>48965.306000000004</v>
      </c>
      <c r="H1755" s="259">
        <v>0</v>
      </c>
      <c r="I1755" s="259">
        <v>0</v>
      </c>
      <c r="J1755" s="259">
        <v>0</v>
      </c>
      <c r="K1755" s="260">
        <v>0</v>
      </c>
      <c r="L1755" s="260">
        <v>0</v>
      </c>
      <c r="M1755" s="260">
        <v>0</v>
      </c>
      <c r="N1755" s="260">
        <v>0</v>
      </c>
      <c r="O1755" s="261">
        <v>48965.306000000004</v>
      </c>
      <c r="P1755" s="261">
        <v>0</v>
      </c>
      <c r="Q1755" s="261">
        <v>0</v>
      </c>
      <c r="R1755" s="261">
        <v>0</v>
      </c>
      <c r="S1755">
        <v>48965.306000000004</v>
      </c>
      <c r="T1755">
        <v>0</v>
      </c>
    </row>
    <row r="1756" spans="1:21">
      <c r="A1756" t="s">
        <v>19523</v>
      </c>
      <c r="B1756">
        <v>45572</v>
      </c>
      <c r="C1756" t="s">
        <v>17276</v>
      </c>
      <c r="D1756" t="s">
        <v>17277</v>
      </c>
      <c r="E1756">
        <v>0</v>
      </c>
      <c r="F1756">
        <v>63685.21</v>
      </c>
      <c r="G1756" s="259">
        <v>0</v>
      </c>
      <c r="H1756" s="259">
        <v>54194.150399999991</v>
      </c>
      <c r="I1756" s="259">
        <v>0</v>
      </c>
      <c r="J1756" s="259">
        <v>4431.8591999999999</v>
      </c>
      <c r="K1756" s="260">
        <v>0</v>
      </c>
      <c r="L1756" s="260">
        <v>5059.2</v>
      </c>
      <c r="M1756" s="260">
        <v>0</v>
      </c>
      <c r="N1756" s="260">
        <v>0</v>
      </c>
      <c r="O1756" s="261">
        <v>0</v>
      </c>
      <c r="P1756" s="261">
        <v>59253.350399999988</v>
      </c>
      <c r="Q1756" s="261">
        <v>0</v>
      </c>
      <c r="R1756" s="261">
        <v>4431.8591999999999</v>
      </c>
      <c r="S1756">
        <v>63685.209599999987</v>
      </c>
      <c r="T1756">
        <v>4.0000001172302291E-4</v>
      </c>
    </row>
    <row r="1757" spans="1:21">
      <c r="A1757" t="s">
        <v>19524</v>
      </c>
      <c r="B1757">
        <v>45572</v>
      </c>
      <c r="C1757" t="s">
        <v>16880</v>
      </c>
      <c r="D1757" t="s">
        <v>16881</v>
      </c>
      <c r="E1757">
        <v>0</v>
      </c>
      <c r="F1757">
        <v>79993.456999999995</v>
      </c>
      <c r="G1757" s="259">
        <v>18174.395766000001</v>
      </c>
      <c r="H1757" s="259">
        <v>61819.061624999995</v>
      </c>
      <c r="I1757" s="259">
        <v>0</v>
      </c>
      <c r="J1757" s="259">
        <v>0</v>
      </c>
      <c r="K1757" s="260">
        <v>0</v>
      </c>
      <c r="L1757" s="260">
        <v>0</v>
      </c>
      <c r="M1757" s="260">
        <v>0</v>
      </c>
      <c r="N1757" s="260">
        <v>0</v>
      </c>
      <c r="O1757" s="261">
        <v>18174.395766000001</v>
      </c>
      <c r="P1757" s="261">
        <v>61819.061624999995</v>
      </c>
      <c r="Q1757" s="261">
        <v>0</v>
      </c>
      <c r="R1757" s="261">
        <v>0</v>
      </c>
      <c r="S1757">
        <v>79993.457391000004</v>
      </c>
      <c r="T1757">
        <v>-3.9100000867620111E-4</v>
      </c>
    </row>
    <row r="1758" spans="1:21">
      <c r="A1758" t="s">
        <v>19525</v>
      </c>
      <c r="B1758">
        <v>45628</v>
      </c>
      <c r="C1758" t="s">
        <v>17309</v>
      </c>
      <c r="D1758" t="s">
        <v>18704</v>
      </c>
      <c r="E1758">
        <v>0</v>
      </c>
      <c r="F1758">
        <v>644220</v>
      </c>
      <c r="G1758" s="259">
        <v>259320</v>
      </c>
      <c r="H1758" s="259">
        <v>48900</v>
      </c>
      <c r="I1758" s="259">
        <v>336000</v>
      </c>
      <c r="J1758" s="259">
        <v>0</v>
      </c>
      <c r="K1758" s="260">
        <v>0</v>
      </c>
      <c r="L1758" s="260">
        <v>0</v>
      </c>
      <c r="M1758" s="260">
        <v>0</v>
      </c>
      <c r="N1758" s="260">
        <v>0</v>
      </c>
      <c r="O1758" s="261">
        <v>259320</v>
      </c>
      <c r="P1758" s="261">
        <v>48900</v>
      </c>
      <c r="Q1758" s="261">
        <v>336000</v>
      </c>
      <c r="R1758" s="261">
        <v>0</v>
      </c>
      <c r="S1758">
        <v>644220</v>
      </c>
      <c r="T1758">
        <v>0</v>
      </c>
    </row>
    <row r="1759" spans="1:21">
      <c r="A1759" t="s">
        <v>19526</v>
      </c>
      <c r="B1759">
        <v>45572</v>
      </c>
      <c r="C1759" t="s">
        <v>16972</v>
      </c>
      <c r="D1759" t="s">
        <v>17424</v>
      </c>
      <c r="E1759">
        <v>0</v>
      </c>
      <c r="F1759">
        <v>398750</v>
      </c>
      <c r="G1759" s="259">
        <v>0</v>
      </c>
      <c r="H1759" s="259">
        <v>0</v>
      </c>
      <c r="I1759" s="259">
        <v>398750</v>
      </c>
      <c r="J1759" s="259">
        <v>0</v>
      </c>
      <c r="K1759" s="260">
        <v>0</v>
      </c>
      <c r="L1759" s="260">
        <v>0</v>
      </c>
      <c r="M1759" s="260">
        <v>0</v>
      </c>
      <c r="N1759" s="260">
        <v>0</v>
      </c>
      <c r="O1759" s="261">
        <v>0</v>
      </c>
      <c r="P1759" s="261">
        <v>0</v>
      </c>
      <c r="Q1759" s="261">
        <v>398750</v>
      </c>
      <c r="R1759" s="261">
        <v>0</v>
      </c>
      <c r="S1759">
        <v>398750</v>
      </c>
      <c r="T1759">
        <v>0</v>
      </c>
    </row>
    <row r="1760" spans="1:21">
      <c r="A1760" t="s">
        <v>19527</v>
      </c>
      <c r="B1760">
        <v>45574</v>
      </c>
      <c r="C1760" t="s">
        <v>17379</v>
      </c>
      <c r="D1760" t="s">
        <v>19443</v>
      </c>
      <c r="E1760">
        <v>0</v>
      </c>
      <c r="F1760">
        <v>153920</v>
      </c>
      <c r="G1760" s="259">
        <v>0</v>
      </c>
      <c r="H1760" s="259">
        <v>0</v>
      </c>
      <c r="I1760" s="259">
        <v>153920</v>
      </c>
      <c r="J1760" s="259">
        <v>0</v>
      </c>
      <c r="K1760" s="260">
        <v>0</v>
      </c>
      <c r="L1760" s="260">
        <v>0</v>
      </c>
      <c r="M1760" s="260">
        <v>0</v>
      </c>
      <c r="N1760" s="260">
        <v>0</v>
      </c>
      <c r="O1760" s="261">
        <v>0</v>
      </c>
      <c r="P1760" s="261">
        <v>0</v>
      </c>
      <c r="Q1760" s="261">
        <v>153920</v>
      </c>
      <c r="R1760" s="261">
        <v>0</v>
      </c>
      <c r="S1760">
        <v>153920</v>
      </c>
      <c r="T1760">
        <v>0</v>
      </c>
    </row>
    <row r="1761" spans="1:20">
      <c r="A1761" t="s">
        <v>19528</v>
      </c>
      <c r="B1761">
        <v>45575</v>
      </c>
      <c r="C1761" t="s">
        <v>16783</v>
      </c>
      <c r="D1761" t="s">
        <v>17509</v>
      </c>
      <c r="E1761">
        <v>0</v>
      </c>
      <c r="F1761">
        <v>857624.32499999995</v>
      </c>
      <c r="G1761" s="259">
        <v>73485.342047999991</v>
      </c>
      <c r="H1761" s="259">
        <v>0</v>
      </c>
      <c r="I1761" s="259">
        <v>0</v>
      </c>
      <c r="J1761" s="259">
        <v>784138.98300000012</v>
      </c>
      <c r="K1761" s="260">
        <v>0</v>
      </c>
      <c r="L1761" s="260">
        <v>0</v>
      </c>
      <c r="M1761" s="260">
        <v>0</v>
      </c>
      <c r="N1761" s="260">
        <v>0</v>
      </c>
      <c r="O1761" s="261">
        <v>73485.342047999991</v>
      </c>
      <c r="P1761" s="261">
        <v>0</v>
      </c>
      <c r="Q1761" s="261">
        <v>0</v>
      </c>
      <c r="R1761" s="261">
        <v>784138.98300000012</v>
      </c>
      <c r="S1761">
        <v>857624.32504800009</v>
      </c>
      <c r="T1761">
        <v>-4.8000132665038109E-5</v>
      </c>
    </row>
    <row r="1762" spans="1:20">
      <c r="A1762" t="s">
        <v>19529</v>
      </c>
      <c r="B1762">
        <v>45628</v>
      </c>
      <c r="C1762" t="s">
        <v>17386</v>
      </c>
      <c r="D1762" t="s">
        <v>19530</v>
      </c>
      <c r="E1762">
        <v>0</v>
      </c>
      <c r="F1762">
        <v>79300</v>
      </c>
      <c r="G1762" s="259">
        <v>0</v>
      </c>
      <c r="H1762" s="259">
        <v>0</v>
      </c>
      <c r="I1762" s="259">
        <v>79300</v>
      </c>
      <c r="J1762" s="259">
        <v>0</v>
      </c>
      <c r="K1762" s="260">
        <v>0</v>
      </c>
      <c r="L1762" s="260">
        <v>0</v>
      </c>
      <c r="M1762" s="260">
        <v>0</v>
      </c>
      <c r="N1762" s="260">
        <v>0</v>
      </c>
      <c r="O1762" s="261">
        <v>0</v>
      </c>
      <c r="P1762" s="261">
        <v>0</v>
      </c>
      <c r="Q1762" s="261">
        <v>79300</v>
      </c>
      <c r="R1762" s="261">
        <v>0</v>
      </c>
      <c r="S1762">
        <v>79300</v>
      </c>
      <c r="T1762">
        <v>0</v>
      </c>
    </row>
    <row r="1763" spans="1:20">
      <c r="A1763" t="s">
        <v>19531</v>
      </c>
      <c r="B1763">
        <v>45575</v>
      </c>
      <c r="C1763" t="s">
        <v>17342</v>
      </c>
      <c r="D1763" t="s">
        <v>17343</v>
      </c>
      <c r="E1763">
        <v>0</v>
      </c>
      <c r="F1763">
        <v>61897.544999999998</v>
      </c>
      <c r="G1763" s="259">
        <v>3567.8664800000006</v>
      </c>
      <c r="H1763" s="259">
        <v>39518.223502800007</v>
      </c>
      <c r="I1763" s="259">
        <v>5287.0275600000004</v>
      </c>
      <c r="J1763" s="259">
        <v>1379.6470079999999</v>
      </c>
      <c r="K1763" s="260">
        <v>872.78332734459207</v>
      </c>
      <c r="L1763" s="260">
        <v>9962.8216816385175</v>
      </c>
      <c r="M1763" s="260">
        <v>1309.174991016888</v>
      </c>
      <c r="N1763" s="260">
        <v>0</v>
      </c>
      <c r="O1763" s="261">
        <v>4440.6498073445928</v>
      </c>
      <c r="P1763" s="261">
        <v>49481.045184438524</v>
      </c>
      <c r="Q1763" s="261">
        <v>6596.2025510168887</v>
      </c>
      <c r="R1763" s="261">
        <v>1379.6470079999999</v>
      </c>
      <c r="S1763">
        <v>61897.544550800005</v>
      </c>
      <c r="T1763">
        <v>4.4919999345438555E-4</v>
      </c>
    </row>
    <row r="1764" spans="1:20">
      <c r="A1764" t="s">
        <v>19532</v>
      </c>
      <c r="B1764">
        <v>45579</v>
      </c>
      <c r="C1764" t="s">
        <v>16904</v>
      </c>
      <c r="D1764" t="s">
        <v>16905</v>
      </c>
      <c r="E1764">
        <v>0</v>
      </c>
      <c r="F1764">
        <v>69309.005999999994</v>
      </c>
      <c r="G1764" s="259">
        <v>0</v>
      </c>
      <c r="H1764" s="259">
        <v>54995.643360000002</v>
      </c>
      <c r="I1764" s="259">
        <v>0</v>
      </c>
      <c r="J1764" s="259">
        <v>0</v>
      </c>
      <c r="K1764" s="260">
        <v>0</v>
      </c>
      <c r="L1764" s="260">
        <v>14313.362499999999</v>
      </c>
      <c r="M1764" s="260">
        <v>0</v>
      </c>
      <c r="N1764" s="260">
        <v>0</v>
      </c>
      <c r="O1764" s="261">
        <v>0</v>
      </c>
      <c r="P1764" s="261">
        <v>69309.005860000005</v>
      </c>
      <c r="Q1764" s="261">
        <v>0</v>
      </c>
      <c r="R1764" s="261">
        <v>0</v>
      </c>
      <c r="S1764">
        <v>69309.005860000005</v>
      </c>
      <c r="T1764">
        <v>1.3999998918734491E-4</v>
      </c>
    </row>
    <row r="1765" spans="1:20">
      <c r="A1765" t="s">
        <v>19533</v>
      </c>
      <c r="B1765">
        <v>45579</v>
      </c>
      <c r="C1765" t="s">
        <v>16957</v>
      </c>
      <c r="D1765" t="s">
        <v>17451</v>
      </c>
      <c r="E1765">
        <v>0</v>
      </c>
      <c r="F1765">
        <v>114454.761</v>
      </c>
      <c r="G1765" s="259">
        <v>114454.76054999999</v>
      </c>
      <c r="H1765" s="259">
        <v>0</v>
      </c>
      <c r="I1765" s="259">
        <v>0</v>
      </c>
      <c r="J1765" s="259">
        <v>0</v>
      </c>
      <c r="K1765" s="260">
        <v>0</v>
      </c>
      <c r="L1765" s="260">
        <v>0</v>
      </c>
      <c r="M1765" s="260">
        <v>0</v>
      </c>
      <c r="N1765" s="260">
        <v>0</v>
      </c>
      <c r="O1765" s="261">
        <v>114454.76054999999</v>
      </c>
      <c r="P1765" s="261">
        <v>0</v>
      </c>
      <c r="Q1765" s="261">
        <v>0</v>
      </c>
      <c r="R1765" s="261">
        <v>0</v>
      </c>
      <c r="S1765">
        <v>114454.76054999999</v>
      </c>
      <c r="T1765">
        <v>4.5000000682193786E-4</v>
      </c>
    </row>
    <row r="1766" spans="1:20">
      <c r="A1766" t="s">
        <v>19534</v>
      </c>
      <c r="B1766">
        <v>45579</v>
      </c>
      <c r="C1766" t="s">
        <v>16444</v>
      </c>
      <c r="D1766" t="s">
        <v>16445</v>
      </c>
      <c r="E1766">
        <v>0</v>
      </c>
      <c r="F1766">
        <v>38208</v>
      </c>
      <c r="G1766" s="259">
        <v>38208</v>
      </c>
      <c r="H1766" s="259">
        <v>0</v>
      </c>
      <c r="I1766" s="259">
        <v>0</v>
      </c>
      <c r="J1766" s="259">
        <v>0</v>
      </c>
      <c r="K1766" s="260">
        <v>0</v>
      </c>
      <c r="L1766" s="260">
        <v>0</v>
      </c>
      <c r="M1766" s="260">
        <v>0</v>
      </c>
      <c r="N1766" s="260">
        <v>0</v>
      </c>
      <c r="O1766" s="261">
        <v>38208</v>
      </c>
      <c r="P1766" s="261">
        <v>0</v>
      </c>
      <c r="Q1766" s="261">
        <v>0</v>
      </c>
      <c r="R1766" s="261">
        <v>0</v>
      </c>
      <c r="S1766">
        <v>38208</v>
      </c>
      <c r="T1766">
        <v>0</v>
      </c>
    </row>
    <row r="1767" spans="1:20">
      <c r="A1767" t="s">
        <v>19535</v>
      </c>
      <c r="B1767">
        <v>45580</v>
      </c>
      <c r="C1767" t="s">
        <v>16838</v>
      </c>
      <c r="D1767" t="s">
        <v>16839</v>
      </c>
      <c r="E1767">
        <v>0</v>
      </c>
      <c r="F1767">
        <v>139500</v>
      </c>
      <c r="G1767" s="259">
        <v>0</v>
      </c>
      <c r="H1767" s="259">
        <v>139500</v>
      </c>
      <c r="I1767" s="259">
        <v>0</v>
      </c>
      <c r="J1767" s="259">
        <v>0</v>
      </c>
      <c r="K1767" s="260">
        <v>0</v>
      </c>
      <c r="L1767" s="260">
        <v>0</v>
      </c>
      <c r="M1767" s="260">
        <v>0</v>
      </c>
      <c r="N1767" s="260">
        <v>0</v>
      </c>
      <c r="O1767" s="261">
        <v>0</v>
      </c>
      <c r="P1767" s="261">
        <v>139500</v>
      </c>
      <c r="Q1767" s="261">
        <v>0</v>
      </c>
      <c r="R1767" s="261">
        <v>0</v>
      </c>
      <c r="S1767">
        <v>139500</v>
      </c>
      <c r="T1767">
        <v>0</v>
      </c>
    </row>
    <row r="1768" spans="1:20">
      <c r="A1768" t="s">
        <v>19536</v>
      </c>
      <c r="B1768">
        <v>45580</v>
      </c>
      <c r="C1768" t="s">
        <v>17278</v>
      </c>
      <c r="D1768" t="s">
        <v>17279</v>
      </c>
      <c r="E1768">
        <v>0</v>
      </c>
      <c r="F1768">
        <v>487814.02799999999</v>
      </c>
      <c r="G1768" s="259">
        <v>0</v>
      </c>
      <c r="H1768" s="259">
        <v>285869.51097600011</v>
      </c>
      <c r="I1768" s="259">
        <v>201944.51692800003</v>
      </c>
      <c r="J1768" s="259">
        <v>0</v>
      </c>
      <c r="K1768" s="260">
        <v>0</v>
      </c>
      <c r="L1768" s="260">
        <v>0</v>
      </c>
      <c r="M1768" s="260">
        <v>0</v>
      </c>
      <c r="N1768" s="260">
        <v>0</v>
      </c>
      <c r="O1768" s="261">
        <v>0</v>
      </c>
      <c r="P1768" s="261">
        <v>285869.51097600011</v>
      </c>
      <c r="Q1768" s="261">
        <v>201944.51692800003</v>
      </c>
      <c r="R1768" s="261">
        <v>0</v>
      </c>
      <c r="S1768">
        <v>487814.02790400013</v>
      </c>
      <c r="T1768">
        <v>9.5999857876449823E-5</v>
      </c>
    </row>
    <row r="1769" spans="1:20">
      <c r="A1769" t="s">
        <v>19537</v>
      </c>
      <c r="B1769">
        <v>45580</v>
      </c>
      <c r="C1769" t="s">
        <v>16444</v>
      </c>
      <c r="D1769" t="s">
        <v>16445</v>
      </c>
      <c r="E1769">
        <v>0</v>
      </c>
      <c r="F1769">
        <v>75924</v>
      </c>
      <c r="G1769" s="259">
        <v>0</v>
      </c>
      <c r="H1769" s="259">
        <v>75924</v>
      </c>
      <c r="I1769" s="259">
        <v>0</v>
      </c>
      <c r="J1769" s="259">
        <v>0</v>
      </c>
      <c r="K1769" s="260">
        <v>0</v>
      </c>
      <c r="L1769" s="260">
        <v>0</v>
      </c>
      <c r="M1769" s="260">
        <v>0</v>
      </c>
      <c r="N1769" s="260">
        <v>0</v>
      </c>
      <c r="O1769" s="261">
        <v>0</v>
      </c>
      <c r="P1769" s="261">
        <v>75924</v>
      </c>
      <c r="Q1769" s="261">
        <v>0</v>
      </c>
      <c r="R1769" s="261">
        <v>0</v>
      </c>
      <c r="S1769">
        <v>75924</v>
      </c>
      <c r="T1769">
        <v>0</v>
      </c>
    </row>
    <row r="1770" spans="1:20">
      <c r="A1770" t="s">
        <v>19538</v>
      </c>
      <c r="B1770">
        <v>45581</v>
      </c>
      <c r="C1770" t="s">
        <v>17304</v>
      </c>
      <c r="D1770" t="s">
        <v>17305</v>
      </c>
      <c r="E1770">
        <v>0</v>
      </c>
      <c r="F1770">
        <v>72618.466</v>
      </c>
      <c r="G1770" s="259">
        <v>0</v>
      </c>
      <c r="H1770" s="259">
        <v>0</v>
      </c>
      <c r="I1770" s="259">
        <v>59771.241972000003</v>
      </c>
      <c r="J1770" s="259">
        <v>0</v>
      </c>
      <c r="K1770" s="260">
        <v>0</v>
      </c>
      <c r="L1770" s="260">
        <v>0</v>
      </c>
      <c r="M1770" s="260">
        <v>12849.554249999999</v>
      </c>
      <c r="N1770" s="260">
        <v>0</v>
      </c>
      <c r="O1770" s="261">
        <v>0</v>
      </c>
      <c r="P1770" s="261">
        <v>0</v>
      </c>
      <c r="Q1770" s="261">
        <v>72620.796222000004</v>
      </c>
      <c r="R1770" s="261">
        <v>0</v>
      </c>
      <c r="S1770">
        <v>72620.796222000004</v>
      </c>
      <c r="T1770">
        <v>-2.3302220000041416</v>
      </c>
    </row>
    <row r="1771" spans="1:20">
      <c r="A1771" t="s">
        <v>19539</v>
      </c>
      <c r="B1771">
        <v>45582</v>
      </c>
      <c r="C1771" t="s">
        <v>16480</v>
      </c>
      <c r="D1771" t="s">
        <v>16481</v>
      </c>
      <c r="E1771">
        <v>0</v>
      </c>
      <c r="F1771">
        <v>69253.440999999992</v>
      </c>
      <c r="G1771" s="259">
        <v>0</v>
      </c>
      <c r="H1771" s="259">
        <v>54951.553439999996</v>
      </c>
      <c r="I1771" s="259">
        <v>0</v>
      </c>
      <c r="J1771" s="259">
        <v>0</v>
      </c>
      <c r="K1771" s="260">
        <v>0</v>
      </c>
      <c r="L1771" s="260">
        <v>14301.887499999999</v>
      </c>
      <c r="M1771" s="260">
        <v>0</v>
      </c>
      <c r="N1771" s="260">
        <v>0</v>
      </c>
      <c r="O1771" s="261">
        <v>0</v>
      </c>
      <c r="P1771" s="261">
        <v>69253.44094</v>
      </c>
      <c r="Q1771" s="261">
        <v>0</v>
      </c>
      <c r="R1771" s="261">
        <v>0</v>
      </c>
      <c r="S1771">
        <v>69253.44094</v>
      </c>
      <c r="T1771">
        <v>5.9999991208314896E-5</v>
      </c>
    </row>
    <row r="1772" spans="1:20">
      <c r="A1772" t="s">
        <v>19540</v>
      </c>
      <c r="B1772">
        <v>45582</v>
      </c>
      <c r="C1772" t="s">
        <v>17342</v>
      </c>
      <c r="D1772" t="s">
        <v>17343</v>
      </c>
      <c r="E1772">
        <v>0</v>
      </c>
      <c r="F1772">
        <v>59497.139000000003</v>
      </c>
      <c r="G1772" s="259">
        <v>0</v>
      </c>
      <c r="H1772" s="259">
        <v>39876.852796800005</v>
      </c>
      <c r="I1772" s="259">
        <v>5278.0945200000006</v>
      </c>
      <c r="J1772" s="259">
        <v>2217.9312960000002</v>
      </c>
      <c r="K1772" s="260">
        <v>0</v>
      </c>
      <c r="L1772" s="260">
        <v>10408.125263963273</v>
      </c>
      <c r="M1772" s="260">
        <v>1391.4605967865339</v>
      </c>
      <c r="N1772" s="260">
        <v>324.67413925019122</v>
      </c>
      <c r="O1772" s="261">
        <v>0</v>
      </c>
      <c r="P1772" s="261">
        <v>50284.978060763278</v>
      </c>
      <c r="Q1772" s="261">
        <v>6669.5551167865342</v>
      </c>
      <c r="R1772" s="261">
        <v>2542.6054352501915</v>
      </c>
      <c r="S1772">
        <v>59497.138612800001</v>
      </c>
      <c r="T1772">
        <v>3.8720000156899914E-4</v>
      </c>
    </row>
    <row r="1773" spans="1:20">
      <c r="A1773" t="s">
        <v>19541</v>
      </c>
      <c r="B1773">
        <v>45582</v>
      </c>
      <c r="C1773" t="s">
        <v>16838</v>
      </c>
      <c r="D1773" t="s">
        <v>16839</v>
      </c>
      <c r="E1773">
        <v>0</v>
      </c>
      <c r="F1773">
        <v>180000</v>
      </c>
      <c r="G1773" s="259">
        <v>0</v>
      </c>
      <c r="H1773" s="259">
        <v>180000</v>
      </c>
      <c r="I1773" s="259">
        <v>0</v>
      </c>
      <c r="J1773" s="259">
        <v>0</v>
      </c>
      <c r="K1773" s="260">
        <v>0</v>
      </c>
      <c r="L1773" s="260">
        <v>0</v>
      </c>
      <c r="M1773" s="260">
        <v>0</v>
      </c>
      <c r="N1773" s="260">
        <v>0</v>
      </c>
      <c r="O1773" s="261">
        <v>0</v>
      </c>
      <c r="P1773" s="261">
        <v>180000</v>
      </c>
      <c r="Q1773" s="261">
        <v>0</v>
      </c>
      <c r="R1773" s="261">
        <v>0</v>
      </c>
      <c r="S1773">
        <v>180000</v>
      </c>
      <c r="T1773">
        <v>0</v>
      </c>
    </row>
    <row r="1774" spans="1:20">
      <c r="A1774" t="s">
        <v>19542</v>
      </c>
      <c r="B1774">
        <v>45583</v>
      </c>
      <c r="C1774" t="s">
        <v>16957</v>
      </c>
      <c r="D1774" t="s">
        <v>17451</v>
      </c>
      <c r="E1774">
        <v>0</v>
      </c>
      <c r="F1774">
        <v>49409.432000000001</v>
      </c>
      <c r="G1774" s="259">
        <v>49409.432150000001</v>
      </c>
      <c r="H1774" s="259">
        <v>0</v>
      </c>
      <c r="I1774" s="259">
        <v>0</v>
      </c>
      <c r="J1774" s="259">
        <v>0</v>
      </c>
      <c r="K1774" s="260">
        <v>0</v>
      </c>
      <c r="L1774" s="260">
        <v>0</v>
      </c>
      <c r="M1774" s="260">
        <v>0</v>
      </c>
      <c r="N1774" s="260">
        <v>0</v>
      </c>
      <c r="O1774" s="261">
        <v>49409.432150000001</v>
      </c>
      <c r="P1774" s="261">
        <v>0</v>
      </c>
      <c r="Q1774" s="261">
        <v>0</v>
      </c>
      <c r="R1774" s="261">
        <v>0</v>
      </c>
      <c r="S1774">
        <v>49409.432150000001</v>
      </c>
      <c r="T1774">
        <v>-1.4999999984866008E-4</v>
      </c>
    </row>
    <row r="1775" spans="1:20">
      <c r="A1775" t="s">
        <v>19543</v>
      </c>
      <c r="B1775">
        <v>45583</v>
      </c>
      <c r="C1775" t="s">
        <v>17276</v>
      </c>
      <c r="D1775" t="s">
        <v>17277</v>
      </c>
      <c r="E1775">
        <v>0</v>
      </c>
      <c r="F1775">
        <v>89857.731</v>
      </c>
      <c r="G1775" s="259">
        <v>80100.825599999996</v>
      </c>
      <c r="H1775" s="259">
        <v>0</v>
      </c>
      <c r="I1775" s="259">
        <v>0</v>
      </c>
      <c r="J1775" s="259">
        <v>0</v>
      </c>
      <c r="K1775" s="260">
        <v>9756.9050000000007</v>
      </c>
      <c r="L1775" s="260">
        <v>0</v>
      </c>
      <c r="M1775" s="260">
        <v>0</v>
      </c>
      <c r="N1775" s="260">
        <v>0</v>
      </c>
      <c r="O1775" s="261">
        <v>89857.730599999995</v>
      </c>
      <c r="P1775" s="261">
        <v>0</v>
      </c>
      <c r="Q1775" s="261">
        <v>0</v>
      </c>
      <c r="R1775" s="261">
        <v>0</v>
      </c>
      <c r="S1775">
        <v>89857.730599999995</v>
      </c>
      <c r="T1775">
        <v>4.0000000444706529E-4</v>
      </c>
    </row>
    <row r="1776" spans="1:20">
      <c r="A1776" t="s">
        <v>19544</v>
      </c>
      <c r="B1776">
        <v>45583</v>
      </c>
      <c r="C1776" t="s">
        <v>16444</v>
      </c>
      <c r="D1776" t="s">
        <v>16445</v>
      </c>
      <c r="E1776">
        <v>0</v>
      </c>
      <c r="F1776">
        <v>39632.5</v>
      </c>
      <c r="G1776" s="259">
        <v>39632.5</v>
      </c>
      <c r="H1776" s="259">
        <v>0</v>
      </c>
      <c r="I1776" s="259">
        <v>0</v>
      </c>
      <c r="J1776" s="259">
        <v>0</v>
      </c>
      <c r="K1776" s="260">
        <v>0</v>
      </c>
      <c r="L1776" s="260">
        <v>0</v>
      </c>
      <c r="M1776" s="260">
        <v>0</v>
      </c>
      <c r="N1776" s="260">
        <v>0</v>
      </c>
      <c r="O1776" s="261">
        <v>39632.5</v>
      </c>
      <c r="P1776" s="261">
        <v>0</v>
      </c>
      <c r="Q1776" s="261">
        <v>0</v>
      </c>
      <c r="R1776" s="261">
        <v>0</v>
      </c>
      <c r="S1776">
        <v>39632.5</v>
      </c>
      <c r="T1776">
        <v>0</v>
      </c>
    </row>
    <row r="1777" spans="1:20">
      <c r="A1777" t="s">
        <v>19545</v>
      </c>
      <c r="B1777">
        <v>45628</v>
      </c>
      <c r="C1777" t="s">
        <v>16384</v>
      </c>
      <c r="D1777" t="s">
        <v>16385</v>
      </c>
      <c r="E1777">
        <v>0</v>
      </c>
      <c r="F1777">
        <v>206194.06</v>
      </c>
      <c r="G1777" s="259">
        <v>167719.06</v>
      </c>
      <c r="H1777" s="259">
        <v>38475</v>
      </c>
      <c r="I1777" s="259">
        <v>0</v>
      </c>
      <c r="J1777" s="259">
        <v>0</v>
      </c>
      <c r="K1777" s="260">
        <v>0</v>
      </c>
      <c r="L1777" s="260">
        <v>0</v>
      </c>
      <c r="M1777" s="260">
        <v>0</v>
      </c>
      <c r="N1777" s="260">
        <v>0</v>
      </c>
      <c r="O1777" s="261">
        <v>167719.06</v>
      </c>
      <c r="P1777" s="261">
        <v>38475</v>
      </c>
      <c r="Q1777" s="261">
        <v>0</v>
      </c>
      <c r="R1777" s="261">
        <v>0</v>
      </c>
      <c r="S1777">
        <v>206194.06</v>
      </c>
      <c r="T1777">
        <v>0</v>
      </c>
    </row>
    <row r="1778" spans="1:20">
      <c r="A1778" t="s">
        <v>19546</v>
      </c>
      <c r="B1778">
        <v>45583</v>
      </c>
      <c r="C1778" t="s">
        <v>16838</v>
      </c>
      <c r="D1778" t="s">
        <v>16839</v>
      </c>
      <c r="E1778">
        <v>0</v>
      </c>
      <c r="F1778">
        <v>40558</v>
      </c>
      <c r="G1778" s="259">
        <v>40558</v>
      </c>
      <c r="H1778" s="259">
        <v>0</v>
      </c>
      <c r="I1778" s="259">
        <v>0</v>
      </c>
      <c r="J1778" s="259">
        <v>0</v>
      </c>
      <c r="K1778" s="260">
        <v>0</v>
      </c>
      <c r="L1778" s="260">
        <v>0</v>
      </c>
      <c r="M1778" s="260">
        <v>0</v>
      </c>
      <c r="N1778" s="260">
        <v>0</v>
      </c>
      <c r="O1778" s="261">
        <v>40558</v>
      </c>
      <c r="P1778" s="261">
        <v>0</v>
      </c>
      <c r="Q1778" s="261">
        <v>0</v>
      </c>
      <c r="R1778" s="261">
        <v>0</v>
      </c>
      <c r="S1778">
        <v>40558</v>
      </c>
      <c r="T1778">
        <v>0</v>
      </c>
    </row>
    <row r="1779" spans="1:20">
      <c r="A1779" t="s">
        <v>19547</v>
      </c>
      <c r="B1779">
        <v>45583</v>
      </c>
      <c r="C1779" t="s">
        <v>16838</v>
      </c>
      <c r="D1779" t="s">
        <v>16839</v>
      </c>
      <c r="E1779">
        <v>0</v>
      </c>
      <c r="F1779">
        <v>91160</v>
      </c>
      <c r="G1779" s="259">
        <v>0</v>
      </c>
      <c r="H1779" s="259">
        <v>0</v>
      </c>
      <c r="I1779" s="259">
        <v>91160</v>
      </c>
      <c r="J1779" s="259">
        <v>0</v>
      </c>
      <c r="K1779" s="260">
        <v>0</v>
      </c>
      <c r="L1779" s="260">
        <v>0</v>
      </c>
      <c r="M1779" s="260">
        <v>0</v>
      </c>
      <c r="N1779" s="260">
        <v>0</v>
      </c>
      <c r="O1779" s="261">
        <v>0</v>
      </c>
      <c r="P1779" s="261">
        <v>0</v>
      </c>
      <c r="Q1779" s="261">
        <v>91160</v>
      </c>
      <c r="R1779" s="261">
        <v>0</v>
      </c>
      <c r="S1779">
        <v>91160</v>
      </c>
      <c r="T1779">
        <v>0</v>
      </c>
    </row>
    <row r="1780" spans="1:20">
      <c r="A1780" t="s">
        <v>19548</v>
      </c>
      <c r="B1780">
        <v>45583</v>
      </c>
      <c r="C1780" t="s">
        <v>17342</v>
      </c>
      <c r="D1780" t="s">
        <v>17343</v>
      </c>
      <c r="E1780">
        <v>0</v>
      </c>
      <c r="F1780">
        <v>16705.487000000001</v>
      </c>
      <c r="G1780" s="259">
        <v>0</v>
      </c>
      <c r="H1780" s="259">
        <v>12211.66071</v>
      </c>
      <c r="I1780" s="259">
        <v>3936.6405</v>
      </c>
      <c r="J1780" s="259">
        <v>557.18603999999993</v>
      </c>
      <c r="K1780" s="260">
        <v>0</v>
      </c>
      <c r="L1780" s="260">
        <v>0</v>
      </c>
      <c r="M1780" s="260">
        <v>0</v>
      </c>
      <c r="N1780" s="260">
        <v>0</v>
      </c>
      <c r="O1780" s="261">
        <v>0</v>
      </c>
      <c r="P1780" s="261">
        <v>12211.66071</v>
      </c>
      <c r="Q1780" s="261">
        <v>3936.6405</v>
      </c>
      <c r="R1780" s="261">
        <v>557.18603999999993</v>
      </c>
      <c r="S1780">
        <v>16705.487249999998</v>
      </c>
      <c r="T1780">
        <v>-2.499999973224476E-4</v>
      </c>
    </row>
    <row r="1781" spans="1:20">
      <c r="A1781" t="s">
        <v>19549</v>
      </c>
      <c r="B1781">
        <v>45583</v>
      </c>
      <c r="C1781" t="s">
        <v>17342</v>
      </c>
      <c r="D1781" t="s">
        <v>17343</v>
      </c>
      <c r="E1781">
        <v>0</v>
      </c>
      <c r="F1781">
        <v>17817.302</v>
      </c>
      <c r="G1781" s="259">
        <v>0</v>
      </c>
      <c r="H1781" s="259">
        <v>11001.597984000002</v>
      </c>
      <c r="I1781" s="259">
        <v>2361.9843000000001</v>
      </c>
      <c r="J1781" s="259">
        <v>4453.7199119999996</v>
      </c>
      <c r="K1781" s="260">
        <v>0</v>
      </c>
      <c r="L1781" s="260">
        <v>0</v>
      </c>
      <c r="M1781" s="260">
        <v>0</v>
      </c>
      <c r="N1781" s="260">
        <v>0</v>
      </c>
      <c r="O1781" s="261">
        <v>0</v>
      </c>
      <c r="P1781" s="261">
        <v>11001.597984000002</v>
      </c>
      <c r="Q1781" s="261">
        <v>2361.9843000000001</v>
      </c>
      <c r="R1781" s="261">
        <v>4453.7199119999996</v>
      </c>
      <c r="S1781">
        <v>17817.302196000001</v>
      </c>
      <c r="T1781">
        <v>-1.9600000086938962E-4</v>
      </c>
    </row>
    <row r="1782" spans="1:20">
      <c r="A1782" t="s">
        <v>19550</v>
      </c>
      <c r="B1782">
        <v>45586</v>
      </c>
      <c r="C1782" t="s">
        <v>16444</v>
      </c>
      <c r="D1782" t="s">
        <v>16445</v>
      </c>
      <c r="E1782">
        <v>0</v>
      </c>
      <c r="F1782">
        <v>39632.5</v>
      </c>
      <c r="G1782" s="259">
        <v>39632.5</v>
      </c>
      <c r="H1782" s="259">
        <v>0</v>
      </c>
      <c r="I1782" s="259">
        <v>0</v>
      </c>
      <c r="J1782" s="259">
        <v>0</v>
      </c>
      <c r="K1782" s="260">
        <v>0</v>
      </c>
      <c r="L1782" s="260">
        <v>0</v>
      </c>
      <c r="M1782" s="260">
        <v>0</v>
      </c>
      <c r="N1782" s="260">
        <v>0</v>
      </c>
      <c r="O1782" s="261">
        <v>39632.5</v>
      </c>
      <c r="P1782" s="261">
        <v>0</v>
      </c>
      <c r="Q1782" s="261">
        <v>0</v>
      </c>
      <c r="R1782" s="261">
        <v>0</v>
      </c>
      <c r="S1782">
        <v>39632.5</v>
      </c>
      <c r="T1782">
        <v>0</v>
      </c>
    </row>
    <row r="1783" spans="1:20">
      <c r="A1783" t="s">
        <v>19551</v>
      </c>
      <c r="B1783">
        <v>45597</v>
      </c>
      <c r="C1783" t="s">
        <v>17156</v>
      </c>
      <c r="D1783" t="s">
        <v>17575</v>
      </c>
      <c r="E1783">
        <v>0</v>
      </c>
      <c r="F1783">
        <v>40500</v>
      </c>
      <c r="G1783" s="259">
        <v>40500</v>
      </c>
      <c r="H1783" s="259">
        <v>0</v>
      </c>
      <c r="I1783" s="259">
        <v>0</v>
      </c>
      <c r="J1783" s="259">
        <v>0</v>
      </c>
      <c r="K1783" s="260">
        <v>0</v>
      </c>
      <c r="L1783" s="260">
        <v>0</v>
      </c>
      <c r="M1783" s="260">
        <v>0</v>
      </c>
      <c r="N1783" s="260">
        <v>0</v>
      </c>
      <c r="O1783" s="261">
        <v>40500</v>
      </c>
      <c r="P1783" s="261">
        <v>0</v>
      </c>
      <c r="Q1783" s="261">
        <v>0</v>
      </c>
      <c r="R1783" s="261">
        <v>0</v>
      </c>
      <c r="S1783">
        <v>40500</v>
      </c>
      <c r="T1783">
        <v>0</v>
      </c>
    </row>
    <row r="1784" spans="1:20">
      <c r="A1784" t="s">
        <v>19552</v>
      </c>
      <c r="B1784">
        <v>45587</v>
      </c>
      <c r="C1784" t="s">
        <v>17342</v>
      </c>
      <c r="D1784" t="s">
        <v>17343</v>
      </c>
      <c r="E1784">
        <v>0</v>
      </c>
      <c r="F1784">
        <v>17510.581000000002</v>
      </c>
      <c r="G1784" s="259">
        <v>1076.6880000000001</v>
      </c>
      <c r="H1784" s="259">
        <v>11635.094286</v>
      </c>
      <c r="I1784" s="259">
        <v>1574.6561999999999</v>
      </c>
      <c r="J1784" s="259">
        <v>3224.1422159999997</v>
      </c>
      <c r="K1784" s="260">
        <v>0</v>
      </c>
      <c r="L1784" s="260">
        <v>0</v>
      </c>
      <c r="M1784" s="260">
        <v>0</v>
      </c>
      <c r="N1784" s="260">
        <v>0</v>
      </c>
      <c r="O1784" s="261">
        <v>1076.6880000000001</v>
      </c>
      <c r="P1784" s="261">
        <v>11635.094286</v>
      </c>
      <c r="Q1784" s="261">
        <v>1574.6561999999999</v>
      </c>
      <c r="R1784" s="261">
        <v>3224.1422159999997</v>
      </c>
      <c r="S1784">
        <v>17510.580701999999</v>
      </c>
      <c r="T1784">
        <v>2.9800000265822746E-4</v>
      </c>
    </row>
    <row r="1785" spans="1:20">
      <c r="A1785" t="s">
        <v>19553</v>
      </c>
      <c r="B1785">
        <v>45587</v>
      </c>
      <c r="C1785" t="s">
        <v>17342</v>
      </c>
      <c r="D1785" t="s">
        <v>17343</v>
      </c>
      <c r="E1785">
        <v>0</v>
      </c>
      <c r="F1785">
        <v>42391.360000000001</v>
      </c>
      <c r="G1785" s="259">
        <v>0</v>
      </c>
      <c r="H1785" s="259">
        <v>20116.838592000004</v>
      </c>
      <c r="I1785" s="259">
        <v>4723.9686000000002</v>
      </c>
      <c r="J1785" s="259">
        <v>17550.552744000001</v>
      </c>
      <c r="K1785" s="260">
        <v>0</v>
      </c>
      <c r="L1785" s="260">
        <v>0</v>
      </c>
      <c r="M1785" s="260">
        <v>0</v>
      </c>
      <c r="N1785" s="260">
        <v>0</v>
      </c>
      <c r="O1785" s="261">
        <v>0</v>
      </c>
      <c r="P1785" s="261">
        <v>20116.838592000004</v>
      </c>
      <c r="Q1785" s="261">
        <v>4723.9686000000002</v>
      </c>
      <c r="R1785" s="261">
        <v>17550.552744000001</v>
      </c>
      <c r="S1785">
        <v>42391.359936000008</v>
      </c>
      <c r="T1785">
        <v>6.3999992562457919E-5</v>
      </c>
    </row>
    <row r="1786" spans="1:20">
      <c r="A1786" t="s">
        <v>19554</v>
      </c>
      <c r="B1786">
        <v>45590</v>
      </c>
      <c r="C1786" t="s">
        <v>17342</v>
      </c>
      <c r="D1786" t="s">
        <v>17343</v>
      </c>
      <c r="E1786">
        <v>0</v>
      </c>
      <c r="F1786">
        <v>15809.82</v>
      </c>
      <c r="G1786" s="259">
        <v>0</v>
      </c>
      <c r="H1786" s="259">
        <v>11873.413205999997</v>
      </c>
      <c r="I1786" s="259">
        <v>3936.4065000000001</v>
      </c>
      <c r="J1786" s="259">
        <v>0</v>
      </c>
      <c r="K1786" s="260">
        <v>0</v>
      </c>
      <c r="L1786" s="260">
        <v>0</v>
      </c>
      <c r="M1786" s="260">
        <v>0</v>
      </c>
      <c r="N1786" s="260">
        <v>0</v>
      </c>
      <c r="O1786" s="261">
        <v>0</v>
      </c>
      <c r="P1786" s="261">
        <v>11873.413205999997</v>
      </c>
      <c r="Q1786" s="261">
        <v>3936.4065000000001</v>
      </c>
      <c r="R1786" s="261">
        <v>0</v>
      </c>
      <c r="S1786">
        <v>15809.819705999998</v>
      </c>
      <c r="T1786">
        <v>2.9400000130408444E-4</v>
      </c>
    </row>
    <row r="1787" spans="1:20">
      <c r="A1787" t="s">
        <v>19555</v>
      </c>
      <c r="B1787">
        <v>45597</v>
      </c>
      <c r="C1787" t="s">
        <v>17376</v>
      </c>
      <c r="D1787" t="s">
        <v>19424</v>
      </c>
      <c r="E1787">
        <v>0</v>
      </c>
      <c r="F1787">
        <v>315000</v>
      </c>
      <c r="G1787" s="259">
        <v>315000</v>
      </c>
      <c r="H1787" s="259">
        <v>0</v>
      </c>
      <c r="I1787" s="259">
        <v>0</v>
      </c>
      <c r="J1787" s="259">
        <v>0</v>
      </c>
      <c r="K1787" s="260">
        <v>0</v>
      </c>
      <c r="L1787" s="260">
        <v>0</v>
      </c>
      <c r="M1787" s="260">
        <v>0</v>
      </c>
      <c r="N1787" s="260">
        <v>0</v>
      </c>
      <c r="O1787" s="261">
        <v>315000</v>
      </c>
      <c r="P1787" s="261">
        <v>0</v>
      </c>
      <c r="Q1787" s="261">
        <v>0</v>
      </c>
      <c r="R1787" s="261">
        <v>0</v>
      </c>
      <c r="S1787">
        <v>315000</v>
      </c>
      <c r="T1787">
        <v>0</v>
      </c>
    </row>
    <row r="1788" spans="1:20">
      <c r="A1788" t="s">
        <v>19556</v>
      </c>
      <c r="B1788">
        <v>45597</v>
      </c>
      <c r="C1788" t="s">
        <v>16444</v>
      </c>
      <c r="D1788" t="s">
        <v>16445</v>
      </c>
      <c r="E1788">
        <v>0</v>
      </c>
      <c r="F1788">
        <v>39632.5</v>
      </c>
      <c r="G1788" s="259">
        <v>39632.5</v>
      </c>
      <c r="H1788" s="259">
        <v>0</v>
      </c>
      <c r="I1788" s="259">
        <v>0</v>
      </c>
      <c r="J1788" s="259">
        <v>0</v>
      </c>
      <c r="K1788" s="260">
        <v>0</v>
      </c>
      <c r="L1788" s="260">
        <v>0</v>
      </c>
      <c r="M1788" s="260">
        <v>0</v>
      </c>
      <c r="N1788" s="260">
        <v>0</v>
      </c>
      <c r="O1788" s="261">
        <v>39632.5</v>
      </c>
      <c r="P1788" s="261">
        <v>0</v>
      </c>
      <c r="Q1788" s="261">
        <v>0</v>
      </c>
      <c r="R1788" s="261">
        <v>0</v>
      </c>
      <c r="S1788">
        <v>39632.5</v>
      </c>
      <c r="T1788">
        <v>0</v>
      </c>
    </row>
    <row r="1789" spans="1:20">
      <c r="A1789" t="s">
        <v>19557</v>
      </c>
      <c r="B1789">
        <v>45593</v>
      </c>
      <c r="C1789" t="s">
        <v>17017</v>
      </c>
      <c r="D1789" t="s">
        <v>17430</v>
      </c>
      <c r="E1789">
        <v>0</v>
      </c>
      <c r="F1789">
        <v>45100</v>
      </c>
      <c r="G1789" s="259">
        <v>0</v>
      </c>
      <c r="H1789" s="259">
        <v>45100</v>
      </c>
      <c r="I1789" s="259">
        <v>0</v>
      </c>
      <c r="J1789" s="259">
        <v>0</v>
      </c>
      <c r="K1789" s="260">
        <v>0</v>
      </c>
      <c r="L1789" s="260">
        <v>0</v>
      </c>
      <c r="M1789" s="260">
        <v>0</v>
      </c>
      <c r="N1789" s="260">
        <v>0</v>
      </c>
      <c r="O1789" s="261">
        <v>0</v>
      </c>
      <c r="P1789" s="261">
        <v>45100</v>
      </c>
      <c r="Q1789" s="261">
        <v>0</v>
      </c>
      <c r="R1789" s="261">
        <v>0</v>
      </c>
      <c r="S1789">
        <v>45100</v>
      </c>
      <c r="T1789">
        <v>0</v>
      </c>
    </row>
    <row r="1790" spans="1:20">
      <c r="A1790" t="s">
        <v>19558</v>
      </c>
      <c r="B1790">
        <v>45593</v>
      </c>
      <c r="C1790" t="s">
        <v>16444</v>
      </c>
      <c r="D1790" t="s">
        <v>16445</v>
      </c>
      <c r="E1790">
        <v>0</v>
      </c>
      <c r="F1790">
        <v>38208</v>
      </c>
      <c r="G1790" s="259">
        <v>38208</v>
      </c>
      <c r="H1790" s="259">
        <v>0</v>
      </c>
      <c r="I1790" s="259">
        <v>0</v>
      </c>
      <c r="J1790" s="259">
        <v>0</v>
      </c>
      <c r="K1790" s="260">
        <v>0</v>
      </c>
      <c r="L1790" s="260">
        <v>0</v>
      </c>
      <c r="M1790" s="260">
        <v>0</v>
      </c>
      <c r="N1790" s="260">
        <v>0</v>
      </c>
      <c r="O1790" s="261">
        <v>38208</v>
      </c>
      <c r="P1790" s="261">
        <v>0</v>
      </c>
      <c r="Q1790" s="261">
        <v>0</v>
      </c>
      <c r="R1790" s="261">
        <v>0</v>
      </c>
      <c r="S1790">
        <v>38208</v>
      </c>
      <c r="T1790">
        <v>0</v>
      </c>
    </row>
    <row r="1791" spans="1:20">
      <c r="A1791" t="s">
        <v>19559</v>
      </c>
      <c r="B1791">
        <v>45597</v>
      </c>
      <c r="C1791" t="s">
        <v>17349</v>
      </c>
      <c r="D1791" t="s">
        <v>19095</v>
      </c>
      <c r="E1791">
        <v>0</v>
      </c>
      <c r="F1791">
        <v>285654.408</v>
      </c>
      <c r="G1791" s="259">
        <v>0</v>
      </c>
      <c r="H1791" s="259">
        <v>0</v>
      </c>
      <c r="I1791" s="259">
        <v>285654.408</v>
      </c>
      <c r="J1791" s="259">
        <v>0</v>
      </c>
      <c r="K1791" s="260">
        <v>0</v>
      </c>
      <c r="L1791" s="260">
        <v>0</v>
      </c>
      <c r="M1791" s="260">
        <v>0</v>
      </c>
      <c r="N1791" s="260">
        <v>0</v>
      </c>
      <c r="O1791" s="261">
        <v>0</v>
      </c>
      <c r="P1791" s="261">
        <v>0</v>
      </c>
      <c r="Q1791" s="261">
        <v>285654.408</v>
      </c>
      <c r="R1791" s="261">
        <v>0</v>
      </c>
      <c r="S1791">
        <v>285654.408</v>
      </c>
      <c r="T1791">
        <v>0</v>
      </c>
    </row>
    <row r="1792" spans="1:20">
      <c r="A1792" t="s">
        <v>19560</v>
      </c>
      <c r="B1792">
        <v>45597</v>
      </c>
      <c r="C1792" t="s">
        <v>16823</v>
      </c>
      <c r="D1792" t="s">
        <v>17805</v>
      </c>
      <c r="E1792">
        <v>0</v>
      </c>
      <c r="F1792">
        <v>116850.42800000001</v>
      </c>
      <c r="G1792" s="259">
        <v>0</v>
      </c>
      <c r="H1792" s="259">
        <v>31459.560300000001</v>
      </c>
      <c r="I1792" s="259">
        <v>66277.288</v>
      </c>
      <c r="J1792" s="259">
        <v>0</v>
      </c>
      <c r="K1792" s="260">
        <v>0</v>
      </c>
      <c r="L1792" s="260">
        <v>5671.5361489281677</v>
      </c>
      <c r="M1792" s="260">
        <v>13442.04385107183</v>
      </c>
      <c r="N1792" s="260">
        <v>0</v>
      </c>
      <c r="O1792" s="261">
        <v>0</v>
      </c>
      <c r="P1792" s="261">
        <v>37131.096448928169</v>
      </c>
      <c r="Q1792" s="261">
        <v>79719.331851071824</v>
      </c>
      <c r="R1792" s="261">
        <v>0</v>
      </c>
      <c r="S1792">
        <v>116850.4283</v>
      </c>
      <c r="T1792">
        <v>-2.9999998514540493E-4</v>
      </c>
    </row>
    <row r="1793" spans="1:20">
      <c r="A1793" t="s">
        <v>19561</v>
      </c>
      <c r="B1793">
        <v>45597</v>
      </c>
      <c r="C1793" t="s">
        <v>16880</v>
      </c>
      <c r="D1793" t="s">
        <v>16881</v>
      </c>
      <c r="E1793">
        <v>0</v>
      </c>
      <c r="F1793">
        <v>76823.607000000004</v>
      </c>
      <c r="G1793" s="259">
        <v>53967.056749999989</v>
      </c>
      <c r="H1793" s="259">
        <v>22846.169372</v>
      </c>
      <c r="I1793" s="259">
        <v>0</v>
      </c>
      <c r="J1793" s="259">
        <v>0</v>
      </c>
      <c r="K1793" s="260">
        <v>0</v>
      </c>
      <c r="L1793" s="260">
        <v>0</v>
      </c>
      <c r="M1793" s="260">
        <v>0</v>
      </c>
      <c r="N1793" s="260">
        <v>0</v>
      </c>
      <c r="O1793" s="261">
        <v>53967.056749999989</v>
      </c>
      <c r="P1793" s="261">
        <v>22846.169372</v>
      </c>
      <c r="Q1793" s="261">
        <v>0</v>
      </c>
      <c r="R1793" s="261">
        <v>0</v>
      </c>
      <c r="S1793">
        <v>76813.226121999993</v>
      </c>
      <c r="T1793">
        <v>10.380878000010853</v>
      </c>
    </row>
    <row r="1794" spans="1:20">
      <c r="A1794" t="s">
        <v>19562</v>
      </c>
      <c r="B1794">
        <v>45597</v>
      </c>
      <c r="C1794" t="s">
        <v>17374</v>
      </c>
      <c r="E1794">
        <v>0</v>
      </c>
      <c r="F1794">
        <v>171405.421</v>
      </c>
      <c r="G1794" s="259">
        <v>0</v>
      </c>
      <c r="H1794" s="259">
        <v>171405.42120000004</v>
      </c>
      <c r="I1794" s="259">
        <v>0</v>
      </c>
      <c r="J1794" s="259">
        <v>0</v>
      </c>
      <c r="K1794" s="260">
        <v>0</v>
      </c>
      <c r="L1794" s="260">
        <v>0</v>
      </c>
      <c r="M1794" s="260">
        <v>0</v>
      </c>
      <c r="N1794" s="260">
        <v>0</v>
      </c>
      <c r="O1794" s="261">
        <v>0</v>
      </c>
      <c r="P1794" s="261">
        <v>171405.42120000004</v>
      </c>
      <c r="Q1794" s="261">
        <v>0</v>
      </c>
      <c r="R1794" s="261">
        <v>0</v>
      </c>
      <c r="S1794">
        <v>171405.42120000004</v>
      </c>
      <c r="T1794">
        <v>-2.0000003860332072E-4</v>
      </c>
    </row>
    <row r="1795" spans="1:20">
      <c r="A1795" t="s">
        <v>19563</v>
      </c>
      <c r="B1795">
        <v>45600</v>
      </c>
      <c r="C1795" t="s">
        <v>17349</v>
      </c>
      <c r="D1795" t="s">
        <v>19095</v>
      </c>
      <c r="E1795">
        <v>0</v>
      </c>
      <c r="F1795">
        <v>49765.788</v>
      </c>
      <c r="G1795" s="259">
        <v>0</v>
      </c>
      <c r="H1795" s="259">
        <v>0</v>
      </c>
      <c r="I1795" s="259">
        <v>49765.787499999999</v>
      </c>
      <c r="J1795" s="259">
        <v>0</v>
      </c>
      <c r="K1795" s="260">
        <v>0</v>
      </c>
      <c r="L1795" s="260">
        <v>0</v>
      </c>
      <c r="M1795" s="260">
        <v>0</v>
      </c>
      <c r="N1795" s="260">
        <v>0</v>
      </c>
      <c r="O1795" s="261">
        <v>0</v>
      </c>
      <c r="P1795" s="261">
        <v>0</v>
      </c>
      <c r="Q1795" s="261">
        <v>49765.787499999999</v>
      </c>
      <c r="R1795" s="261">
        <v>0</v>
      </c>
      <c r="S1795">
        <v>49765.787499999999</v>
      </c>
      <c r="T1795">
        <v>5.0000000192085281E-4</v>
      </c>
    </row>
    <row r="1796" spans="1:20">
      <c r="A1796" t="s">
        <v>19564</v>
      </c>
      <c r="B1796">
        <v>45600</v>
      </c>
      <c r="C1796" t="s">
        <v>17309</v>
      </c>
      <c r="D1796" t="s">
        <v>18704</v>
      </c>
      <c r="E1796">
        <v>0</v>
      </c>
      <c r="F1796">
        <v>258382.5</v>
      </c>
      <c r="G1796" s="259">
        <v>0</v>
      </c>
      <c r="H1796" s="259">
        <v>94132.5</v>
      </c>
      <c r="I1796" s="259">
        <v>164250</v>
      </c>
      <c r="J1796" s="259">
        <v>0</v>
      </c>
      <c r="K1796" s="260">
        <v>0</v>
      </c>
      <c r="L1796" s="260">
        <v>0</v>
      </c>
      <c r="M1796" s="260">
        <v>0</v>
      </c>
      <c r="N1796" s="260">
        <v>0</v>
      </c>
      <c r="O1796" s="261">
        <v>0</v>
      </c>
      <c r="P1796" s="261">
        <v>94132.5</v>
      </c>
      <c r="Q1796" s="261">
        <v>164250</v>
      </c>
      <c r="R1796" s="261">
        <v>0</v>
      </c>
      <c r="S1796">
        <v>258382.5</v>
      </c>
      <c r="T1796">
        <v>0</v>
      </c>
    </row>
    <row r="1797" spans="1:20">
      <c r="A1797" t="s">
        <v>19565</v>
      </c>
      <c r="B1797">
        <v>45600</v>
      </c>
      <c r="C1797" t="s">
        <v>17017</v>
      </c>
      <c r="D1797" t="s">
        <v>17430</v>
      </c>
      <c r="E1797">
        <v>0</v>
      </c>
      <c r="F1797">
        <v>43000</v>
      </c>
      <c r="G1797" s="259">
        <v>43000</v>
      </c>
      <c r="H1797" s="259">
        <v>0</v>
      </c>
      <c r="I1797" s="259">
        <v>0</v>
      </c>
      <c r="J1797" s="259">
        <v>0</v>
      </c>
      <c r="K1797" s="260">
        <v>0</v>
      </c>
      <c r="L1797" s="260">
        <v>0</v>
      </c>
      <c r="M1797" s="260">
        <v>0</v>
      </c>
      <c r="N1797" s="260">
        <v>0</v>
      </c>
      <c r="O1797" s="261">
        <v>43000</v>
      </c>
      <c r="P1797" s="261">
        <v>0</v>
      </c>
      <c r="Q1797" s="261">
        <v>0</v>
      </c>
      <c r="R1797" s="261">
        <v>0</v>
      </c>
      <c r="S1797">
        <v>43000</v>
      </c>
      <c r="T1797">
        <v>0</v>
      </c>
    </row>
    <row r="1798" spans="1:20">
      <c r="A1798" t="s">
        <v>19566</v>
      </c>
      <c r="B1798">
        <v>45600</v>
      </c>
      <c r="C1798" t="s">
        <v>17329</v>
      </c>
      <c r="D1798" t="s">
        <v>18782</v>
      </c>
      <c r="E1798">
        <v>0</v>
      </c>
      <c r="F1798">
        <v>104127.85800000001</v>
      </c>
      <c r="G1798" s="259">
        <v>2166.8604999999998</v>
      </c>
      <c r="H1798" s="259">
        <v>25782.160319999995</v>
      </c>
      <c r="I1798" s="259">
        <v>42778.3434624</v>
      </c>
      <c r="J1798" s="259">
        <v>33400.493875</v>
      </c>
      <c r="K1798" s="260">
        <v>0</v>
      </c>
      <c r="L1798" s="260">
        <v>0</v>
      </c>
      <c r="M1798" s="260">
        <v>0</v>
      </c>
      <c r="N1798" s="260">
        <v>0</v>
      </c>
      <c r="O1798" s="261">
        <v>2166.8604999999998</v>
      </c>
      <c r="P1798" s="261">
        <v>25782.160319999995</v>
      </c>
      <c r="Q1798" s="261">
        <v>42778.3434624</v>
      </c>
      <c r="R1798" s="261">
        <v>33400.493875</v>
      </c>
      <c r="S1798">
        <v>104127.8581574</v>
      </c>
      <c r="T1798">
        <v>-1.5739999071229249E-4</v>
      </c>
    </row>
    <row r="1799" spans="1:20">
      <c r="A1799" t="s">
        <v>19567</v>
      </c>
      <c r="B1799">
        <v>45628</v>
      </c>
      <c r="C1799" t="s">
        <v>17394</v>
      </c>
      <c r="D1799" t="s">
        <v>17395</v>
      </c>
      <c r="E1799">
        <v>0</v>
      </c>
      <c r="F1799">
        <v>141045.12</v>
      </c>
      <c r="G1799" s="259">
        <v>141045.12</v>
      </c>
      <c r="H1799" s="259">
        <v>0</v>
      </c>
      <c r="I1799" s="259">
        <v>0</v>
      </c>
      <c r="J1799" s="259">
        <v>0</v>
      </c>
      <c r="K1799" s="260">
        <v>0</v>
      </c>
      <c r="L1799" s="260">
        <v>0</v>
      </c>
      <c r="M1799" s="260">
        <v>0</v>
      </c>
      <c r="N1799" s="260">
        <v>0</v>
      </c>
      <c r="O1799" s="261">
        <v>141045.12</v>
      </c>
      <c r="P1799" s="261">
        <v>0</v>
      </c>
      <c r="Q1799" s="261">
        <v>0</v>
      </c>
      <c r="R1799" s="261">
        <v>0</v>
      </c>
      <c r="S1799">
        <v>141045.12</v>
      </c>
      <c r="T1799">
        <v>0</v>
      </c>
    </row>
    <row r="1800" spans="1:20">
      <c r="A1800" t="s">
        <v>19568</v>
      </c>
      <c r="B1800">
        <v>45604</v>
      </c>
      <c r="C1800" t="s">
        <v>16957</v>
      </c>
      <c r="D1800" t="s">
        <v>17451</v>
      </c>
      <c r="E1800">
        <v>0</v>
      </c>
      <c r="F1800">
        <v>47224.714000000007</v>
      </c>
      <c r="G1800" s="259">
        <v>47224.713737499995</v>
      </c>
      <c r="H1800" s="259">
        <v>0</v>
      </c>
      <c r="I1800" s="259">
        <v>0</v>
      </c>
      <c r="J1800" s="259">
        <v>0</v>
      </c>
      <c r="K1800" s="260">
        <v>0</v>
      </c>
      <c r="L1800" s="260">
        <v>0</v>
      </c>
      <c r="M1800" s="260">
        <v>0</v>
      </c>
      <c r="N1800" s="260">
        <v>0</v>
      </c>
      <c r="O1800" s="261">
        <v>47224.713737499995</v>
      </c>
      <c r="P1800" s="261">
        <v>0</v>
      </c>
      <c r="Q1800" s="261">
        <v>0</v>
      </c>
      <c r="R1800" s="261">
        <v>0</v>
      </c>
      <c r="S1800">
        <v>47224.713737499995</v>
      </c>
      <c r="T1800">
        <v>2.6250001246808097E-4</v>
      </c>
    </row>
    <row r="1801" spans="1:20">
      <c r="A1801" t="s">
        <v>19569</v>
      </c>
      <c r="B1801">
        <v>45604</v>
      </c>
      <c r="C1801" t="s">
        <v>16957</v>
      </c>
      <c r="D1801" t="s">
        <v>17451</v>
      </c>
      <c r="E1801">
        <v>0</v>
      </c>
      <c r="F1801">
        <v>110271.056</v>
      </c>
      <c r="G1801" s="259">
        <v>110271.05635</v>
      </c>
      <c r="H1801" s="259">
        <v>0</v>
      </c>
      <c r="I1801" s="259">
        <v>0</v>
      </c>
      <c r="J1801" s="259">
        <v>0</v>
      </c>
      <c r="K1801" s="260">
        <v>0</v>
      </c>
      <c r="L1801" s="260">
        <v>0</v>
      </c>
      <c r="M1801" s="260">
        <v>0</v>
      </c>
      <c r="N1801" s="260">
        <v>0</v>
      </c>
      <c r="O1801" s="261">
        <v>110271.05635</v>
      </c>
      <c r="P1801" s="261">
        <v>0</v>
      </c>
      <c r="Q1801" s="261">
        <v>0</v>
      </c>
      <c r="R1801" s="261">
        <v>0</v>
      </c>
      <c r="S1801">
        <v>110271.05635</v>
      </c>
      <c r="T1801">
        <v>-3.5000000207219273E-4</v>
      </c>
    </row>
    <row r="1802" spans="1:20">
      <c r="A1802" t="s">
        <v>19570</v>
      </c>
      <c r="B1802">
        <v>45604</v>
      </c>
      <c r="C1802" t="s">
        <v>16384</v>
      </c>
      <c r="D1802" t="s">
        <v>16385</v>
      </c>
      <c r="E1802">
        <v>0</v>
      </c>
      <c r="F1802">
        <v>76416</v>
      </c>
      <c r="G1802" s="259">
        <v>76416</v>
      </c>
      <c r="H1802" s="259">
        <v>0</v>
      </c>
      <c r="I1802" s="259">
        <v>0</v>
      </c>
      <c r="J1802" s="259">
        <v>0</v>
      </c>
      <c r="K1802" s="260">
        <v>0</v>
      </c>
      <c r="L1802" s="260">
        <v>0</v>
      </c>
      <c r="M1802" s="260">
        <v>0</v>
      </c>
      <c r="N1802" s="260">
        <v>0</v>
      </c>
      <c r="O1802" s="261">
        <v>76416</v>
      </c>
      <c r="P1802" s="261">
        <v>0</v>
      </c>
      <c r="Q1802" s="261">
        <v>0</v>
      </c>
      <c r="R1802" s="261">
        <v>0</v>
      </c>
      <c r="S1802">
        <v>76416</v>
      </c>
      <c r="T1802">
        <v>0</v>
      </c>
    </row>
    <row r="1803" spans="1:20">
      <c r="A1803" t="s">
        <v>19571</v>
      </c>
      <c r="B1803">
        <v>45608</v>
      </c>
      <c r="C1803" t="s">
        <v>17342</v>
      </c>
      <c r="D1803" t="s">
        <v>17343</v>
      </c>
      <c r="E1803">
        <v>0</v>
      </c>
      <c r="F1803">
        <v>33804.345999999998</v>
      </c>
      <c r="G1803" s="259">
        <v>1070.4480000000001</v>
      </c>
      <c r="H1803" s="259">
        <v>12551.136606</v>
      </c>
      <c r="I1803" s="259">
        <v>3131.0603999999998</v>
      </c>
      <c r="J1803" s="259">
        <v>3604.1984159999997</v>
      </c>
      <c r="K1803" s="260">
        <v>915.41885636487393</v>
      </c>
      <c r="L1803" s="260">
        <v>9145.0343750850916</v>
      </c>
      <c r="M1803" s="260">
        <v>2746.2565690946217</v>
      </c>
      <c r="N1803" s="260">
        <v>640.79319945541181</v>
      </c>
      <c r="O1803" s="261">
        <v>1985.8668563648739</v>
      </c>
      <c r="P1803" s="261">
        <v>21696.170981085092</v>
      </c>
      <c r="Q1803" s="261">
        <v>5877.3169690946215</v>
      </c>
      <c r="R1803" s="261">
        <v>4244.9916154554112</v>
      </c>
      <c r="S1803">
        <v>33804.346421999995</v>
      </c>
      <c r="T1803">
        <v>-4.2199999734293669E-4</v>
      </c>
    </row>
    <row r="1804" spans="1:20">
      <c r="A1804" t="s">
        <v>19572</v>
      </c>
      <c r="B1804">
        <v>45608</v>
      </c>
      <c r="C1804" t="s">
        <v>17374</v>
      </c>
      <c r="E1804">
        <v>0</v>
      </c>
      <c r="F1804">
        <v>180042.17</v>
      </c>
      <c r="G1804" s="259">
        <v>0</v>
      </c>
      <c r="H1804" s="259">
        <v>0</v>
      </c>
      <c r="I1804" s="259">
        <v>180042.16999999995</v>
      </c>
      <c r="J1804" s="259">
        <v>0</v>
      </c>
      <c r="K1804" s="260">
        <v>0</v>
      </c>
      <c r="L1804" s="260">
        <v>0</v>
      </c>
      <c r="M1804" s="260">
        <v>0</v>
      </c>
      <c r="N1804" s="260">
        <v>0</v>
      </c>
      <c r="O1804" s="261">
        <v>0</v>
      </c>
      <c r="P1804" s="261">
        <v>0</v>
      </c>
      <c r="Q1804" s="261">
        <v>180042.16999999995</v>
      </c>
      <c r="R1804" s="261">
        <v>0</v>
      </c>
      <c r="S1804">
        <v>180042.16999999995</v>
      </c>
      <c r="T1804">
        <v>0</v>
      </c>
    </row>
    <row r="1805" spans="1:20">
      <c r="A1805" t="s">
        <v>19573</v>
      </c>
      <c r="B1805">
        <v>45608</v>
      </c>
      <c r="C1805" t="s">
        <v>17379</v>
      </c>
      <c r="D1805" t="s">
        <v>19443</v>
      </c>
      <c r="E1805">
        <v>0</v>
      </c>
      <c r="F1805">
        <v>76960</v>
      </c>
      <c r="G1805" s="259">
        <v>0</v>
      </c>
      <c r="H1805" s="259">
        <v>0</v>
      </c>
      <c r="I1805" s="259">
        <v>76960</v>
      </c>
      <c r="J1805" s="259">
        <v>0</v>
      </c>
      <c r="K1805" s="260">
        <v>0</v>
      </c>
      <c r="L1805" s="260">
        <v>0</v>
      </c>
      <c r="M1805" s="260">
        <v>0</v>
      </c>
      <c r="N1805" s="260">
        <v>0</v>
      </c>
      <c r="O1805" s="261">
        <v>0</v>
      </c>
      <c r="P1805" s="261">
        <v>0</v>
      </c>
      <c r="Q1805" s="261">
        <v>76960</v>
      </c>
      <c r="R1805" s="261">
        <v>0</v>
      </c>
      <c r="S1805">
        <v>76960</v>
      </c>
      <c r="T1805">
        <v>0</v>
      </c>
    </row>
    <row r="1806" spans="1:20">
      <c r="A1806" t="s">
        <v>19574</v>
      </c>
      <c r="B1806">
        <v>45614</v>
      </c>
      <c r="C1806" t="s">
        <v>17342</v>
      </c>
      <c r="D1806" t="s">
        <v>17343</v>
      </c>
      <c r="E1806">
        <v>0</v>
      </c>
      <c r="F1806">
        <v>78359.705999999991</v>
      </c>
      <c r="G1806" s="259">
        <v>1605.7920000000001</v>
      </c>
      <c r="H1806" s="259">
        <v>26316.120744</v>
      </c>
      <c r="I1806" s="259">
        <v>7045.4124000000002</v>
      </c>
      <c r="J1806" s="259">
        <v>12638.118304000001</v>
      </c>
      <c r="K1806" s="260">
        <v>1624.4878351967604</v>
      </c>
      <c r="L1806" s="260">
        <v>20587.675831393608</v>
      </c>
      <c r="M1806" s="260">
        <v>7310.1952583854218</v>
      </c>
      <c r="N1806" s="260">
        <v>1231.90327502421</v>
      </c>
      <c r="O1806" s="261">
        <v>3230.2798351967604</v>
      </c>
      <c r="P1806" s="261">
        <v>46903.796575393608</v>
      </c>
      <c r="Q1806" s="261">
        <v>14355.607658385423</v>
      </c>
      <c r="R1806" s="261">
        <v>13870.021579024211</v>
      </c>
      <c r="S1806">
        <v>78359.705648000003</v>
      </c>
      <c r="T1806">
        <v>3.5199998819734901E-4</v>
      </c>
    </row>
    <row r="1807" spans="1:20">
      <c r="A1807" t="s">
        <v>19575</v>
      </c>
      <c r="B1807">
        <v>45609</v>
      </c>
      <c r="C1807" t="s">
        <v>17248</v>
      </c>
      <c r="D1807" t="s">
        <v>18158</v>
      </c>
      <c r="E1807">
        <v>0</v>
      </c>
      <c r="F1807">
        <v>154097.50199999998</v>
      </c>
      <c r="G1807" s="259">
        <v>3036.768</v>
      </c>
      <c r="H1807" s="259">
        <v>113087.81683500003</v>
      </c>
      <c r="I1807" s="259">
        <v>7288.2431999999999</v>
      </c>
      <c r="J1807" s="259">
        <v>0</v>
      </c>
      <c r="K1807" s="260">
        <v>763.66376306620202</v>
      </c>
      <c r="L1807" s="260">
        <v>28087.553205574914</v>
      </c>
      <c r="M1807" s="260">
        <v>1832.7930313588849</v>
      </c>
      <c r="N1807" s="260">
        <v>0</v>
      </c>
      <c r="O1807" s="261">
        <v>3800.4317630662022</v>
      </c>
      <c r="P1807" s="261">
        <v>141175.37004057496</v>
      </c>
      <c r="Q1807" s="261">
        <v>9121.0362313588848</v>
      </c>
      <c r="R1807" s="261">
        <v>0</v>
      </c>
      <c r="S1807">
        <v>154096.83803500005</v>
      </c>
      <c r="T1807">
        <v>0.663964999926975</v>
      </c>
    </row>
    <row r="1808" spans="1:20">
      <c r="A1808" t="s">
        <v>19576</v>
      </c>
      <c r="B1808">
        <v>45609</v>
      </c>
      <c r="C1808" t="s">
        <v>16384</v>
      </c>
      <c r="D1808" t="s">
        <v>16385</v>
      </c>
      <c r="E1808">
        <v>0</v>
      </c>
      <c r="F1808">
        <v>114048</v>
      </c>
      <c r="G1808" s="259">
        <v>114048</v>
      </c>
      <c r="H1808" s="259">
        <v>0</v>
      </c>
      <c r="I1808" s="259">
        <v>0</v>
      </c>
      <c r="J1808" s="259">
        <v>0</v>
      </c>
      <c r="K1808" s="260">
        <v>0</v>
      </c>
      <c r="L1808" s="260">
        <v>0</v>
      </c>
      <c r="M1808" s="260">
        <v>0</v>
      </c>
      <c r="N1808" s="260">
        <v>0</v>
      </c>
      <c r="O1808" s="261">
        <v>114048</v>
      </c>
      <c r="P1808" s="261">
        <v>0</v>
      </c>
      <c r="Q1808" s="261">
        <v>0</v>
      </c>
      <c r="R1808" s="261">
        <v>0</v>
      </c>
      <c r="S1808">
        <v>114048</v>
      </c>
      <c r="T1808">
        <v>0</v>
      </c>
    </row>
    <row r="1809" spans="1:20">
      <c r="A1809" t="s">
        <v>19577</v>
      </c>
      <c r="B1809">
        <v>45611</v>
      </c>
      <c r="C1809" t="s">
        <v>16783</v>
      </c>
      <c r="D1809" t="s">
        <v>17509</v>
      </c>
      <c r="E1809">
        <v>0</v>
      </c>
      <c r="F1809">
        <v>142025.84299999999</v>
      </c>
      <c r="G1809" s="259">
        <v>0</v>
      </c>
      <c r="H1809" s="259">
        <v>0</v>
      </c>
      <c r="I1809" s="259">
        <v>0</v>
      </c>
      <c r="J1809" s="259">
        <v>142025.84340000001</v>
      </c>
      <c r="K1809" s="260">
        <v>0</v>
      </c>
      <c r="L1809" s="260">
        <v>0</v>
      </c>
      <c r="M1809" s="260">
        <v>0</v>
      </c>
      <c r="N1809" s="260">
        <v>0</v>
      </c>
      <c r="O1809" s="261">
        <v>0</v>
      </c>
      <c r="P1809" s="261">
        <v>0</v>
      </c>
      <c r="Q1809" s="261">
        <v>0</v>
      </c>
      <c r="R1809" s="261">
        <v>142025.84340000001</v>
      </c>
      <c r="S1809">
        <v>142025.84340000001</v>
      </c>
      <c r="T1809">
        <v>-4.0000001899898052E-4</v>
      </c>
    </row>
    <row r="1810" spans="1:20">
      <c r="A1810" t="s">
        <v>19578</v>
      </c>
      <c r="B1810">
        <v>45614</v>
      </c>
      <c r="C1810" t="s">
        <v>16384</v>
      </c>
      <c r="D1810" t="s">
        <v>16385</v>
      </c>
      <c r="E1810">
        <v>0</v>
      </c>
      <c r="F1810">
        <v>341911.64</v>
      </c>
      <c r="G1810" s="259">
        <v>294277.64</v>
      </c>
      <c r="H1810" s="259">
        <v>47634</v>
      </c>
      <c r="I1810" s="259">
        <v>0</v>
      </c>
      <c r="J1810" s="259">
        <v>0</v>
      </c>
      <c r="K1810" s="260">
        <v>0</v>
      </c>
      <c r="L1810" s="260">
        <v>0</v>
      </c>
      <c r="M1810" s="260">
        <v>0</v>
      </c>
      <c r="N1810" s="260">
        <v>0</v>
      </c>
      <c r="O1810" s="261">
        <v>294277.64</v>
      </c>
      <c r="P1810" s="261">
        <v>47634</v>
      </c>
      <c r="Q1810" s="261">
        <v>0</v>
      </c>
      <c r="R1810" s="261">
        <v>0</v>
      </c>
      <c r="S1810">
        <v>341911.64</v>
      </c>
      <c r="T1810">
        <v>0</v>
      </c>
    </row>
    <row r="1811" spans="1:20">
      <c r="A1811" t="s">
        <v>19579</v>
      </c>
      <c r="B1811">
        <v>45628</v>
      </c>
      <c r="C1811" t="s">
        <v>16838</v>
      </c>
      <c r="D1811" t="s">
        <v>16839</v>
      </c>
      <c r="E1811">
        <v>0</v>
      </c>
      <c r="F1811">
        <v>95200</v>
      </c>
      <c r="G1811" s="259">
        <v>0</v>
      </c>
      <c r="H1811" s="259">
        <v>0</v>
      </c>
      <c r="I1811" s="259">
        <v>95200</v>
      </c>
      <c r="J1811" s="259">
        <v>0</v>
      </c>
      <c r="K1811" s="260">
        <v>0</v>
      </c>
      <c r="L1811" s="260">
        <v>0</v>
      </c>
      <c r="M1811" s="260">
        <v>0</v>
      </c>
      <c r="N1811" s="260">
        <v>0</v>
      </c>
      <c r="O1811" s="261">
        <v>0</v>
      </c>
      <c r="P1811" s="261">
        <v>0</v>
      </c>
      <c r="Q1811" s="261">
        <v>95200</v>
      </c>
      <c r="R1811" s="261">
        <v>0</v>
      </c>
      <c r="S1811">
        <v>95200</v>
      </c>
      <c r="T1811">
        <v>0</v>
      </c>
    </row>
    <row r="1812" spans="1:20">
      <c r="A1812" t="s">
        <v>19580</v>
      </c>
      <c r="B1812">
        <v>45628</v>
      </c>
      <c r="C1812" t="s">
        <v>17278</v>
      </c>
      <c r="D1812" t="s">
        <v>17279</v>
      </c>
      <c r="E1812">
        <v>0</v>
      </c>
      <c r="F1812">
        <v>471849.13700000005</v>
      </c>
      <c r="G1812" s="259">
        <v>0</v>
      </c>
      <c r="H1812" s="259">
        <v>281361.38172000006</v>
      </c>
      <c r="I1812" s="259">
        <v>190487.75558400003</v>
      </c>
      <c r="J1812" s="259">
        <v>0</v>
      </c>
      <c r="K1812" s="260">
        <v>0</v>
      </c>
      <c r="L1812" s="260">
        <v>0</v>
      </c>
      <c r="M1812" s="260">
        <v>0</v>
      </c>
      <c r="N1812" s="260">
        <v>0</v>
      </c>
      <c r="O1812" s="261">
        <v>0</v>
      </c>
      <c r="P1812" s="261">
        <v>281361.38172000006</v>
      </c>
      <c r="Q1812" s="261">
        <v>190487.75558400003</v>
      </c>
      <c r="R1812" s="261">
        <v>0</v>
      </c>
      <c r="S1812">
        <v>471849.13730400009</v>
      </c>
      <c r="T1812">
        <v>-3.0400004470720887E-4</v>
      </c>
    </row>
    <row r="1813" spans="1:20">
      <c r="A1813" t="s">
        <v>19581</v>
      </c>
      <c r="B1813">
        <v>45614</v>
      </c>
      <c r="C1813" t="s">
        <v>16470</v>
      </c>
      <c r="D1813" t="s">
        <v>16471</v>
      </c>
      <c r="E1813">
        <v>0</v>
      </c>
      <c r="F1813">
        <v>703168.49200000009</v>
      </c>
      <c r="G1813" s="259">
        <v>43908.018839999997</v>
      </c>
      <c r="H1813" s="259">
        <v>570781.35827999993</v>
      </c>
      <c r="I1813" s="259">
        <v>0</v>
      </c>
      <c r="J1813" s="259">
        <v>0</v>
      </c>
      <c r="K1813" s="260">
        <v>5892.9045647703906</v>
      </c>
      <c r="L1813" s="260">
        <v>81839.215435229606</v>
      </c>
      <c r="M1813" s="260">
        <v>0</v>
      </c>
      <c r="N1813" s="260">
        <v>0</v>
      </c>
      <c r="O1813" s="261">
        <v>49800.923404770387</v>
      </c>
      <c r="P1813" s="261">
        <v>652620.57371522952</v>
      </c>
      <c r="Q1813" s="261">
        <v>0</v>
      </c>
      <c r="R1813" s="261">
        <v>0</v>
      </c>
      <c r="S1813">
        <v>702421.49711999996</v>
      </c>
      <c r="T1813">
        <v>746.99488000012934</v>
      </c>
    </row>
    <row r="1814" spans="1:20">
      <c r="A1814" t="s">
        <v>19582</v>
      </c>
      <c r="B1814">
        <v>45628</v>
      </c>
      <c r="C1814" t="s">
        <v>16560</v>
      </c>
      <c r="D1814" t="s">
        <v>16561</v>
      </c>
      <c r="E1814">
        <v>0</v>
      </c>
      <c r="F1814">
        <v>305205.53999999998</v>
      </c>
      <c r="G1814" s="259">
        <v>0</v>
      </c>
      <c r="H1814" s="259">
        <v>305205.53979999991</v>
      </c>
      <c r="I1814" s="259">
        <v>0</v>
      </c>
      <c r="J1814" s="259">
        <v>0</v>
      </c>
      <c r="K1814" s="260">
        <v>0</v>
      </c>
      <c r="L1814" s="260">
        <v>0</v>
      </c>
      <c r="M1814" s="260">
        <v>0</v>
      </c>
      <c r="N1814" s="260">
        <v>0</v>
      </c>
      <c r="O1814" s="261">
        <v>0</v>
      </c>
      <c r="P1814" s="261">
        <v>305205.53979999991</v>
      </c>
      <c r="Q1814" s="261">
        <v>0</v>
      </c>
      <c r="R1814" s="261">
        <v>0</v>
      </c>
      <c r="S1814">
        <v>305205.53979999991</v>
      </c>
      <c r="T1814">
        <v>2.0000006770715117E-4</v>
      </c>
    </row>
    <row r="1815" spans="1:20">
      <c r="A1815" t="s">
        <v>19583</v>
      </c>
      <c r="B1815">
        <v>45614</v>
      </c>
      <c r="C1815" t="s">
        <v>16560</v>
      </c>
      <c r="D1815" t="s">
        <v>16561</v>
      </c>
      <c r="E1815">
        <v>0</v>
      </c>
      <c r="F1815">
        <v>229133.43799999999</v>
      </c>
      <c r="G1815" s="259">
        <v>0</v>
      </c>
      <c r="H1815" s="259">
        <v>0</v>
      </c>
      <c r="I1815" s="259">
        <v>229133.43750000003</v>
      </c>
      <c r="J1815" s="259">
        <v>0</v>
      </c>
      <c r="K1815" s="260">
        <v>0</v>
      </c>
      <c r="L1815" s="260">
        <v>0</v>
      </c>
      <c r="M1815" s="260">
        <v>0</v>
      </c>
      <c r="N1815" s="260">
        <v>0</v>
      </c>
      <c r="O1815" s="261">
        <v>0</v>
      </c>
      <c r="P1815" s="261">
        <v>0</v>
      </c>
      <c r="Q1815" s="261">
        <v>229133.43750000003</v>
      </c>
      <c r="R1815" s="261">
        <v>0</v>
      </c>
      <c r="S1815">
        <v>229133.43750000003</v>
      </c>
      <c r="T1815">
        <v>4.9999996554106474E-4</v>
      </c>
    </row>
    <row r="1816" spans="1:20">
      <c r="A1816" t="s">
        <v>19584</v>
      </c>
      <c r="B1816">
        <v>45614</v>
      </c>
      <c r="C1816" t="s">
        <v>16560</v>
      </c>
      <c r="D1816" t="s">
        <v>16561</v>
      </c>
      <c r="E1816">
        <v>0</v>
      </c>
      <c r="F1816">
        <v>229133.43799999999</v>
      </c>
      <c r="G1816" s="259">
        <v>0</v>
      </c>
      <c r="H1816" s="259">
        <v>0</v>
      </c>
      <c r="I1816" s="259">
        <v>229133.43750000003</v>
      </c>
      <c r="J1816" s="259">
        <v>0</v>
      </c>
      <c r="K1816" s="260">
        <v>0</v>
      </c>
      <c r="L1816" s="260">
        <v>0</v>
      </c>
      <c r="M1816" s="260">
        <v>0</v>
      </c>
      <c r="N1816" s="260">
        <v>0</v>
      </c>
      <c r="O1816" s="261">
        <v>0</v>
      </c>
      <c r="P1816" s="261">
        <v>0</v>
      </c>
      <c r="Q1816" s="261">
        <v>229133.43750000003</v>
      </c>
      <c r="R1816" s="261">
        <v>0</v>
      </c>
      <c r="S1816">
        <v>229133.43750000003</v>
      </c>
      <c r="T1816">
        <v>4.9999996554106474E-4</v>
      </c>
    </row>
    <row r="1817" spans="1:20">
      <c r="A1817" t="s">
        <v>19585</v>
      </c>
      <c r="B1817">
        <v>45614</v>
      </c>
      <c r="C1817" t="s">
        <v>16560</v>
      </c>
      <c r="D1817" t="s">
        <v>16561</v>
      </c>
      <c r="E1817">
        <v>0</v>
      </c>
      <c r="F1817">
        <v>183306.75</v>
      </c>
      <c r="G1817" s="259">
        <v>0</v>
      </c>
      <c r="H1817" s="259">
        <v>0</v>
      </c>
      <c r="I1817" s="259">
        <v>183306.75000000003</v>
      </c>
      <c r="J1817" s="259">
        <v>0</v>
      </c>
      <c r="K1817" s="260">
        <v>0</v>
      </c>
      <c r="L1817" s="260">
        <v>0</v>
      </c>
      <c r="M1817" s="260">
        <v>0</v>
      </c>
      <c r="N1817" s="260">
        <v>0</v>
      </c>
      <c r="O1817" s="261">
        <v>0</v>
      </c>
      <c r="P1817" s="261">
        <v>0</v>
      </c>
      <c r="Q1817" s="261">
        <v>183306.75000000003</v>
      </c>
      <c r="R1817" s="261">
        <v>0</v>
      </c>
      <c r="S1817">
        <v>183306.75000000003</v>
      </c>
      <c r="T1817">
        <v>0</v>
      </c>
    </row>
    <row r="1818" spans="1:20">
      <c r="A1818" t="s">
        <v>19586</v>
      </c>
      <c r="B1818">
        <v>45614</v>
      </c>
      <c r="C1818" t="s">
        <v>17209</v>
      </c>
      <c r="D1818" t="s">
        <v>17210</v>
      </c>
      <c r="E1818">
        <v>0</v>
      </c>
      <c r="F1818">
        <v>74389.516000000003</v>
      </c>
      <c r="G1818" s="259">
        <v>7667.7457499999991</v>
      </c>
      <c r="H1818" s="259">
        <v>19995.194880000003</v>
      </c>
      <c r="I1818" s="259">
        <v>24628.22784</v>
      </c>
      <c r="J1818" s="259">
        <v>17907.282000000003</v>
      </c>
      <c r="K1818" s="260">
        <v>540.08582474226807</v>
      </c>
      <c r="L1818" s="260">
        <v>1728.2746391752576</v>
      </c>
      <c r="M1818" s="260">
        <v>1382.6197113402061</v>
      </c>
      <c r="N1818" s="260">
        <v>540.08582474226807</v>
      </c>
      <c r="O1818" s="261">
        <v>8207.8315747422675</v>
      </c>
      <c r="P1818" s="261">
        <v>21723.469519175262</v>
      </c>
      <c r="Q1818" s="261">
        <v>26010.847551340205</v>
      </c>
      <c r="R1818" s="261">
        <v>18447.367824742272</v>
      </c>
      <c r="S1818">
        <v>74389.516470000002</v>
      </c>
      <c r="T1818">
        <v>-4.6999999904073775E-4</v>
      </c>
    </row>
    <row r="1819" spans="1:20">
      <c r="A1819" t="s">
        <v>19587</v>
      </c>
      <c r="B1819">
        <v>45615</v>
      </c>
      <c r="C1819" t="s">
        <v>17304</v>
      </c>
      <c r="D1819" t="s">
        <v>17305</v>
      </c>
      <c r="E1819">
        <v>0</v>
      </c>
      <c r="F1819">
        <v>90483.396999999997</v>
      </c>
      <c r="G1819" s="259">
        <v>4679.0477000000001</v>
      </c>
      <c r="H1819" s="259">
        <v>34349.71488</v>
      </c>
      <c r="I1819" s="259">
        <v>16154.22042</v>
      </c>
      <c r="J1819" s="259">
        <v>23794.559349999996</v>
      </c>
      <c r="K1819" s="260">
        <v>782.39814000000001</v>
      </c>
      <c r="L1819" s="260">
        <v>5743.7228160000004</v>
      </c>
      <c r="M1819" s="260">
        <v>2816.6333040000004</v>
      </c>
      <c r="N1819" s="260">
        <v>2163.1007400000003</v>
      </c>
      <c r="O1819" s="261">
        <v>5461.4458400000003</v>
      </c>
      <c r="P1819" s="261">
        <v>40093.437696000001</v>
      </c>
      <c r="Q1819" s="261">
        <v>18970.853724000001</v>
      </c>
      <c r="R1819" s="261">
        <v>25957.660089999998</v>
      </c>
      <c r="S1819">
        <v>90483.397349999999</v>
      </c>
      <c r="T1819">
        <v>-3.5000000207219273E-4</v>
      </c>
    </row>
    <row r="1820" spans="1:20">
      <c r="A1820" t="s">
        <v>19588</v>
      </c>
      <c r="B1820">
        <v>45616</v>
      </c>
      <c r="C1820" t="s">
        <v>17304</v>
      </c>
      <c r="D1820" t="s">
        <v>17305</v>
      </c>
      <c r="E1820">
        <v>0</v>
      </c>
      <c r="F1820">
        <v>82937.587</v>
      </c>
      <c r="G1820" s="259">
        <v>4128.5715</v>
      </c>
      <c r="H1820" s="259">
        <v>41566.50478784</v>
      </c>
      <c r="I1820" s="259">
        <v>11402.97912</v>
      </c>
      <c r="J1820" s="259">
        <v>14333.678311999998</v>
      </c>
      <c r="K1820" s="260">
        <v>693.01246787664638</v>
      </c>
      <c r="L1820" s="260">
        <v>7800.5483384195313</v>
      </c>
      <c r="M1820" s="260">
        <v>1995.8759074847417</v>
      </c>
      <c r="N1820" s="260">
        <v>1016.4182862190813</v>
      </c>
      <c r="O1820" s="261">
        <v>4821.5839678766461</v>
      </c>
      <c r="P1820" s="261">
        <v>49367.053126259532</v>
      </c>
      <c r="Q1820" s="261">
        <v>13398.855027484742</v>
      </c>
      <c r="R1820" s="261">
        <v>15350.096598219079</v>
      </c>
      <c r="S1820">
        <v>82937.588719840001</v>
      </c>
      <c r="T1820">
        <v>-1.7198400018969551E-3</v>
      </c>
    </row>
    <row r="1821" spans="1:20">
      <c r="A1821" t="s">
        <v>19589</v>
      </c>
      <c r="B1821">
        <v>45616</v>
      </c>
      <c r="C1821" t="s">
        <v>17342</v>
      </c>
      <c r="D1821" t="s">
        <v>17343</v>
      </c>
      <c r="E1821">
        <v>0</v>
      </c>
      <c r="F1821">
        <v>28755.305</v>
      </c>
      <c r="G1821" s="259">
        <v>0</v>
      </c>
      <c r="H1821" s="259">
        <v>12131.582495999997</v>
      </c>
      <c r="I1821" s="259">
        <v>4685.7096000000001</v>
      </c>
      <c r="J1821" s="259">
        <v>2092.6832960000002</v>
      </c>
      <c r="K1821" s="260">
        <v>0</v>
      </c>
      <c r="L1821" s="260">
        <v>6669.4170967741939</v>
      </c>
      <c r="M1821" s="260">
        <v>2946.7233122713669</v>
      </c>
      <c r="N1821" s="260">
        <v>229.18959095443964</v>
      </c>
      <c r="O1821" s="261">
        <v>0</v>
      </c>
      <c r="P1821" s="261">
        <v>18800.999592774191</v>
      </c>
      <c r="Q1821" s="261">
        <v>7632.4329122713671</v>
      </c>
      <c r="R1821" s="261">
        <v>2321.8728869544398</v>
      </c>
      <c r="S1821">
        <v>28755.305391999998</v>
      </c>
      <c r="T1821">
        <v>-3.9199999810080044E-4</v>
      </c>
    </row>
    <row r="1822" spans="1:20">
      <c r="A1822" t="s">
        <v>19590</v>
      </c>
      <c r="B1822">
        <v>45628</v>
      </c>
      <c r="C1822" t="s">
        <v>17379</v>
      </c>
      <c r="D1822" t="s">
        <v>19443</v>
      </c>
      <c r="E1822">
        <v>0</v>
      </c>
      <c r="F1822">
        <v>115440</v>
      </c>
      <c r="G1822" s="259">
        <v>0</v>
      </c>
      <c r="H1822" s="259">
        <v>0</v>
      </c>
      <c r="I1822" s="259">
        <v>115440</v>
      </c>
      <c r="J1822" s="259">
        <v>0</v>
      </c>
      <c r="K1822" s="260">
        <v>0</v>
      </c>
      <c r="L1822" s="260">
        <v>0</v>
      </c>
      <c r="M1822" s="260">
        <v>0</v>
      </c>
      <c r="N1822" s="260">
        <v>0</v>
      </c>
      <c r="O1822" s="261">
        <v>0</v>
      </c>
      <c r="P1822" s="261">
        <v>0</v>
      </c>
      <c r="Q1822" s="261">
        <v>115440</v>
      </c>
      <c r="R1822" s="261">
        <v>0</v>
      </c>
      <c r="S1822">
        <v>115440</v>
      </c>
      <c r="T1822">
        <v>0</v>
      </c>
    </row>
    <row r="1823" spans="1:20">
      <c r="A1823" t="s">
        <v>19591</v>
      </c>
      <c r="B1823">
        <v>45628</v>
      </c>
      <c r="C1823" t="s">
        <v>16972</v>
      </c>
      <c r="D1823" t="s">
        <v>17424</v>
      </c>
      <c r="E1823">
        <v>0</v>
      </c>
      <c r="F1823">
        <v>39068</v>
      </c>
      <c r="G1823" s="259">
        <v>39068</v>
      </c>
      <c r="H1823" s="259">
        <v>0</v>
      </c>
      <c r="I1823" s="259">
        <v>0</v>
      </c>
      <c r="J1823" s="259">
        <v>0</v>
      </c>
      <c r="K1823" s="260">
        <v>0</v>
      </c>
      <c r="L1823" s="260">
        <v>0</v>
      </c>
      <c r="M1823" s="260">
        <v>0</v>
      </c>
      <c r="N1823" s="260">
        <v>0</v>
      </c>
      <c r="O1823" s="261">
        <v>39068</v>
      </c>
      <c r="P1823" s="261">
        <v>0</v>
      </c>
      <c r="Q1823" s="261">
        <v>0</v>
      </c>
      <c r="R1823" s="261">
        <v>0</v>
      </c>
      <c r="S1823">
        <v>39068</v>
      </c>
      <c r="T1823">
        <v>0</v>
      </c>
    </row>
    <row r="1824" spans="1:20">
      <c r="A1824" t="s">
        <v>19592</v>
      </c>
      <c r="B1824">
        <v>45628</v>
      </c>
      <c r="C1824" t="s">
        <v>16972</v>
      </c>
      <c r="D1824" t="s">
        <v>17424</v>
      </c>
      <c r="E1824">
        <v>0</v>
      </c>
      <c r="F1824">
        <v>77078</v>
      </c>
      <c r="G1824" s="259">
        <v>77078</v>
      </c>
      <c r="H1824" s="259">
        <v>0</v>
      </c>
      <c r="I1824" s="259">
        <v>0</v>
      </c>
      <c r="J1824" s="259">
        <v>0</v>
      </c>
      <c r="K1824" s="260">
        <v>0</v>
      </c>
      <c r="L1824" s="260">
        <v>0</v>
      </c>
      <c r="M1824" s="260">
        <v>0</v>
      </c>
      <c r="N1824" s="260">
        <v>0</v>
      </c>
      <c r="O1824" s="261">
        <v>77078</v>
      </c>
      <c r="P1824" s="261">
        <v>0</v>
      </c>
      <c r="Q1824" s="261">
        <v>0</v>
      </c>
      <c r="R1824" s="261">
        <v>0</v>
      </c>
      <c r="S1824">
        <v>77078</v>
      </c>
      <c r="T1824">
        <v>0</v>
      </c>
    </row>
    <row r="1825" spans="1:20">
      <c r="A1825" t="s">
        <v>19593</v>
      </c>
      <c r="B1825">
        <v>45616</v>
      </c>
      <c r="C1825" t="s">
        <v>16904</v>
      </c>
      <c r="D1825" t="s">
        <v>16905</v>
      </c>
      <c r="E1825">
        <v>0</v>
      </c>
      <c r="F1825">
        <v>77183.663</v>
      </c>
      <c r="G1825" s="259">
        <v>0</v>
      </c>
      <c r="H1825" s="259">
        <v>38289.863808000002</v>
      </c>
      <c r="I1825" s="259">
        <v>24753.624</v>
      </c>
      <c r="J1825" s="259">
        <v>0</v>
      </c>
      <c r="K1825" s="260">
        <v>0</v>
      </c>
      <c r="L1825" s="260">
        <v>8534.0793384685094</v>
      </c>
      <c r="M1825" s="260">
        <v>5606.0956615314908</v>
      </c>
      <c r="N1825" s="260">
        <v>0</v>
      </c>
      <c r="O1825" s="261">
        <v>0</v>
      </c>
      <c r="P1825" s="261">
        <v>46823.943146468511</v>
      </c>
      <c r="Q1825" s="261">
        <v>30359.71966153149</v>
      </c>
      <c r="R1825" s="261">
        <v>0</v>
      </c>
      <c r="S1825">
        <v>77183.662807999994</v>
      </c>
      <c r="T1825">
        <v>1.9200000679120421E-4</v>
      </c>
    </row>
    <row r="1826" spans="1:20">
      <c r="A1826" t="s">
        <v>19594</v>
      </c>
      <c r="B1826">
        <v>45616</v>
      </c>
      <c r="C1826" t="s">
        <v>16904</v>
      </c>
      <c r="D1826" t="s">
        <v>16905</v>
      </c>
      <c r="E1826">
        <v>0</v>
      </c>
      <c r="F1826">
        <v>70727.758000000002</v>
      </c>
      <c r="G1826" s="259">
        <v>0</v>
      </c>
      <c r="H1826" s="259">
        <v>49500.859967999997</v>
      </c>
      <c r="I1826" s="259">
        <v>7086.7230000000009</v>
      </c>
      <c r="J1826" s="259">
        <v>0</v>
      </c>
      <c r="K1826" s="260">
        <v>0</v>
      </c>
      <c r="L1826" s="260">
        <v>12347.556465517242</v>
      </c>
      <c r="M1826" s="260">
        <v>1792.6185344827586</v>
      </c>
      <c r="N1826" s="260">
        <v>0</v>
      </c>
      <c r="O1826" s="261">
        <v>0</v>
      </c>
      <c r="P1826" s="261">
        <v>61848.416433517239</v>
      </c>
      <c r="Q1826" s="261">
        <v>8879.341534482759</v>
      </c>
      <c r="R1826" s="261">
        <v>0</v>
      </c>
      <c r="S1826">
        <v>70727.757967999991</v>
      </c>
      <c r="T1826">
        <v>3.2000010833144188E-5</v>
      </c>
    </row>
    <row r="1827" spans="1:20">
      <c r="A1827" t="s">
        <v>19595</v>
      </c>
      <c r="B1827">
        <v>45616</v>
      </c>
      <c r="C1827" t="s">
        <v>16783</v>
      </c>
      <c r="D1827" t="s">
        <v>17509</v>
      </c>
      <c r="E1827">
        <v>0</v>
      </c>
      <c r="F1827">
        <v>611017.48800000001</v>
      </c>
      <c r="G1827" s="259">
        <v>152754.37199999997</v>
      </c>
      <c r="H1827" s="259">
        <v>458263.1160000001</v>
      </c>
      <c r="I1827" s="259">
        <v>0</v>
      </c>
      <c r="J1827" s="259">
        <v>0</v>
      </c>
      <c r="K1827" s="260">
        <v>0</v>
      </c>
      <c r="L1827" s="260">
        <v>0</v>
      </c>
      <c r="M1827" s="260">
        <v>0</v>
      </c>
      <c r="N1827" s="260">
        <v>0</v>
      </c>
      <c r="O1827" s="261">
        <v>152754.37199999997</v>
      </c>
      <c r="P1827" s="261">
        <v>458263.1160000001</v>
      </c>
      <c r="Q1827" s="261">
        <v>0</v>
      </c>
      <c r="R1827" s="261">
        <v>0</v>
      </c>
      <c r="S1827">
        <v>611017.48800000013</v>
      </c>
      <c r="T1827">
        <v>0</v>
      </c>
    </row>
    <row r="1828" spans="1:20">
      <c r="A1828" t="s">
        <v>19596</v>
      </c>
      <c r="B1828">
        <v>45628</v>
      </c>
      <c r="C1828" t="s">
        <v>16444</v>
      </c>
      <c r="D1828" t="s">
        <v>16445</v>
      </c>
      <c r="E1828">
        <v>0</v>
      </c>
      <c r="F1828">
        <v>38208</v>
      </c>
      <c r="G1828" s="259">
        <v>38208</v>
      </c>
      <c r="H1828" s="259">
        <v>0</v>
      </c>
      <c r="I1828" s="259">
        <v>0</v>
      </c>
      <c r="J1828" s="259">
        <v>0</v>
      </c>
      <c r="K1828" s="260">
        <v>0</v>
      </c>
      <c r="L1828" s="260">
        <v>0</v>
      </c>
      <c r="M1828" s="260">
        <v>0</v>
      </c>
      <c r="N1828" s="260">
        <v>0</v>
      </c>
      <c r="O1828" s="261">
        <v>38208</v>
      </c>
      <c r="P1828" s="261">
        <v>0</v>
      </c>
      <c r="Q1828" s="261">
        <v>0</v>
      </c>
      <c r="R1828" s="261">
        <v>0</v>
      </c>
      <c r="S1828">
        <v>38208</v>
      </c>
      <c r="T1828">
        <v>0</v>
      </c>
    </row>
    <row r="1829" spans="1:20">
      <c r="A1829" t="s">
        <v>19597</v>
      </c>
      <c r="B1829">
        <v>45628</v>
      </c>
      <c r="C1829" t="s">
        <v>17017</v>
      </c>
      <c r="D1829" t="s">
        <v>17430</v>
      </c>
      <c r="E1829">
        <v>0</v>
      </c>
      <c r="F1829">
        <v>18480</v>
      </c>
      <c r="G1829" s="259">
        <v>0</v>
      </c>
      <c r="H1829" s="259">
        <v>13167</v>
      </c>
      <c r="I1829" s="259">
        <v>2040</v>
      </c>
      <c r="J1829" s="259">
        <v>3273</v>
      </c>
      <c r="K1829" s="260">
        <v>0</v>
      </c>
      <c r="L1829" s="260">
        <v>0</v>
      </c>
      <c r="M1829" s="260">
        <v>0</v>
      </c>
      <c r="N1829" s="260">
        <v>0</v>
      </c>
      <c r="O1829" s="261">
        <v>0</v>
      </c>
      <c r="P1829" s="261">
        <v>13167</v>
      </c>
      <c r="Q1829" s="261">
        <v>2040</v>
      </c>
      <c r="R1829" s="261">
        <v>3273</v>
      </c>
      <c r="S1829">
        <v>18480</v>
      </c>
      <c r="T1829">
        <v>0</v>
      </c>
    </row>
    <row r="1830" spans="1:20">
      <c r="A1830" t="s">
        <v>19598</v>
      </c>
      <c r="B1830">
        <v>45628</v>
      </c>
      <c r="C1830" t="s">
        <v>17394</v>
      </c>
      <c r="D1830" t="s">
        <v>17395</v>
      </c>
      <c r="E1830">
        <v>0</v>
      </c>
      <c r="F1830">
        <v>93962.4</v>
      </c>
      <c r="G1830" s="259">
        <v>93962.4</v>
      </c>
      <c r="H1830" s="259">
        <v>0</v>
      </c>
      <c r="I1830" s="259">
        <v>0</v>
      </c>
      <c r="J1830" s="259">
        <v>0</v>
      </c>
      <c r="K1830" s="260">
        <v>0</v>
      </c>
      <c r="L1830" s="260">
        <v>0</v>
      </c>
      <c r="M1830" s="260">
        <v>0</v>
      </c>
      <c r="N1830" s="260">
        <v>0</v>
      </c>
      <c r="O1830" s="261">
        <v>93962.4</v>
      </c>
      <c r="P1830" s="261">
        <v>0</v>
      </c>
      <c r="Q1830" s="261">
        <v>0</v>
      </c>
      <c r="R1830" s="261">
        <v>0</v>
      </c>
      <c r="S1830">
        <v>93962.4</v>
      </c>
      <c r="T1830">
        <v>0</v>
      </c>
    </row>
    <row r="1831" spans="1:20">
      <c r="A1831" t="s">
        <v>19599</v>
      </c>
      <c r="B1831">
        <v>45628</v>
      </c>
      <c r="C1831" t="s">
        <v>17342</v>
      </c>
      <c r="D1831" t="s">
        <v>17343</v>
      </c>
      <c r="E1831">
        <v>0</v>
      </c>
      <c r="F1831">
        <v>14632.738000000001</v>
      </c>
      <c r="G1831" s="259">
        <v>532.89599999999996</v>
      </c>
      <c r="H1831" s="259">
        <v>11124.950054399997</v>
      </c>
      <c r="I1831" s="259">
        <v>347.71463999999992</v>
      </c>
      <c r="J1831" s="259">
        <v>2627.1772799999999</v>
      </c>
      <c r="K1831" s="260">
        <v>0</v>
      </c>
      <c r="L1831" s="260">
        <v>0</v>
      </c>
      <c r="M1831" s="260">
        <v>0</v>
      </c>
      <c r="N1831" s="260">
        <v>0</v>
      </c>
      <c r="O1831" s="261">
        <v>532.89599999999996</v>
      </c>
      <c r="P1831" s="261">
        <v>11124.950054399997</v>
      </c>
      <c r="Q1831" s="261">
        <v>347.71463999999992</v>
      </c>
      <c r="R1831" s="261">
        <v>2627.1772799999999</v>
      </c>
      <c r="S1831">
        <v>14632.737974399997</v>
      </c>
      <c r="T1831">
        <v>2.5600003937142901E-5</v>
      </c>
    </row>
    <row r="1832" spans="1:20">
      <c r="A1832" t="s">
        <v>19600</v>
      </c>
      <c r="B1832">
        <v>45628</v>
      </c>
      <c r="C1832" t="s">
        <v>17342</v>
      </c>
      <c r="D1832" t="s">
        <v>17343</v>
      </c>
      <c r="E1832">
        <v>0</v>
      </c>
      <c r="F1832">
        <v>63367.387000000002</v>
      </c>
      <c r="G1832" s="259">
        <v>1600.5840000000003</v>
      </c>
      <c r="H1832" s="259">
        <v>26179.151904000006</v>
      </c>
      <c r="I1832" s="259">
        <v>5461.9929000000002</v>
      </c>
      <c r="J1832" s="259">
        <v>6116.8985199999997</v>
      </c>
      <c r="K1832" s="260">
        <v>1204.9565872020075</v>
      </c>
      <c r="L1832" s="260">
        <v>17953.853149309911</v>
      </c>
      <c r="M1832" s="260">
        <v>4217.3480552070259</v>
      </c>
      <c r="N1832" s="260">
        <v>632.60220828105389</v>
      </c>
      <c r="O1832" s="261">
        <v>2805.5405872020078</v>
      </c>
      <c r="P1832" s="261">
        <v>44133.005053309913</v>
      </c>
      <c r="Q1832" s="261">
        <v>9679.3409552070261</v>
      </c>
      <c r="R1832" s="261">
        <v>6749.5007282810539</v>
      </c>
      <c r="S1832">
        <v>63367.387323999996</v>
      </c>
      <c r="T1832">
        <v>-3.2399999327026308E-4</v>
      </c>
    </row>
    <row r="1833" spans="1:20">
      <c r="A1833" t="s">
        <v>19601</v>
      </c>
      <c r="B1833">
        <v>45628</v>
      </c>
      <c r="C1833" t="s">
        <v>17376</v>
      </c>
      <c r="D1833" t="s">
        <v>19424</v>
      </c>
      <c r="E1833">
        <v>0</v>
      </c>
      <c r="F1833">
        <v>210006.72</v>
      </c>
      <c r="G1833" s="259">
        <v>210006.72</v>
      </c>
      <c r="H1833" s="259">
        <v>0</v>
      </c>
      <c r="I1833" s="259">
        <v>0</v>
      </c>
      <c r="J1833" s="259">
        <v>0</v>
      </c>
      <c r="K1833" s="260">
        <v>0</v>
      </c>
      <c r="L1833" s="260">
        <v>0</v>
      </c>
      <c r="M1833" s="260">
        <v>0</v>
      </c>
      <c r="N1833" s="260">
        <v>0</v>
      </c>
      <c r="O1833" s="261">
        <v>210006.72</v>
      </c>
      <c r="P1833" s="261">
        <v>0</v>
      </c>
      <c r="Q1833" s="261">
        <v>0</v>
      </c>
      <c r="R1833" s="261">
        <v>0</v>
      </c>
      <c r="S1833">
        <v>210006.72</v>
      </c>
      <c r="T1833">
        <v>0</v>
      </c>
    </row>
    <row r="1834" spans="1:20">
      <c r="A1834" t="s">
        <v>19602</v>
      </c>
      <c r="B1834">
        <v>45628</v>
      </c>
      <c r="C1834" t="s">
        <v>16783</v>
      </c>
      <c r="D1834" t="s">
        <v>17509</v>
      </c>
      <c r="E1834">
        <v>0</v>
      </c>
      <c r="F1834">
        <v>616303.86800000002</v>
      </c>
      <c r="G1834" s="259">
        <v>76401.306000000011</v>
      </c>
      <c r="H1834" s="259">
        <v>397286.79120000009</v>
      </c>
      <c r="I1834" s="259">
        <v>142615.77120000002</v>
      </c>
      <c r="J1834" s="259">
        <v>0</v>
      </c>
      <c r="K1834" s="260">
        <v>0</v>
      </c>
      <c r="L1834" s="260">
        <v>0</v>
      </c>
      <c r="M1834" s="260">
        <v>0</v>
      </c>
      <c r="N1834" s="260">
        <v>0</v>
      </c>
      <c r="O1834" s="261">
        <v>76401.306000000011</v>
      </c>
      <c r="P1834" s="261">
        <v>397286.79120000009</v>
      </c>
      <c r="Q1834" s="261">
        <v>142615.77120000002</v>
      </c>
      <c r="R1834" s="261">
        <v>0</v>
      </c>
      <c r="S1834">
        <v>616303.86840000004</v>
      </c>
      <c r="T1834">
        <v>-4.0000001899898052E-4</v>
      </c>
    </row>
    <row r="1835" spans="1:20">
      <c r="A1835" t="s">
        <v>19603</v>
      </c>
      <c r="B1835">
        <v>45631</v>
      </c>
      <c r="C1835" t="s">
        <v>16957</v>
      </c>
      <c r="D1835" t="s">
        <v>17451</v>
      </c>
      <c r="E1835">
        <v>0</v>
      </c>
      <c r="F1835">
        <v>110577.82</v>
      </c>
      <c r="G1835" s="259">
        <v>110577.81994999999</v>
      </c>
      <c r="H1835" s="259">
        <v>0</v>
      </c>
      <c r="I1835" s="259">
        <v>0</v>
      </c>
      <c r="J1835" s="259">
        <v>0</v>
      </c>
      <c r="K1835" s="260">
        <v>0</v>
      </c>
      <c r="L1835" s="260">
        <v>0</v>
      </c>
      <c r="M1835" s="260">
        <v>0</v>
      </c>
      <c r="N1835" s="260">
        <v>0</v>
      </c>
      <c r="O1835" s="261">
        <v>110577.81994999999</v>
      </c>
      <c r="P1835" s="261">
        <v>0</v>
      </c>
      <c r="Q1835" s="261">
        <v>0</v>
      </c>
      <c r="R1835" s="261">
        <v>0</v>
      </c>
      <c r="S1835">
        <v>110577.81994999999</v>
      </c>
      <c r="T1835">
        <v>5.0000016926787794E-5</v>
      </c>
    </row>
    <row r="1836" spans="1:20">
      <c r="A1836" t="s">
        <v>19604</v>
      </c>
      <c r="B1836">
        <v>45631</v>
      </c>
      <c r="C1836" t="s">
        <v>16904</v>
      </c>
      <c r="D1836" t="s">
        <v>16905</v>
      </c>
      <c r="E1836">
        <v>0</v>
      </c>
      <c r="F1836">
        <v>79188.921000000002</v>
      </c>
      <c r="G1836" s="259">
        <v>0</v>
      </c>
      <c r="H1836" s="259">
        <v>36721.009151999999</v>
      </c>
      <c r="I1836" s="259">
        <v>28334.112000000001</v>
      </c>
      <c r="J1836" s="259">
        <v>0</v>
      </c>
      <c r="K1836" s="260">
        <v>0</v>
      </c>
      <c r="L1836" s="260">
        <v>7929.3223880597016</v>
      </c>
      <c r="M1836" s="260">
        <v>6204.4776119402986</v>
      </c>
      <c r="N1836" s="260">
        <v>0</v>
      </c>
      <c r="O1836" s="261">
        <v>0</v>
      </c>
      <c r="P1836" s="261">
        <v>44650.331540059698</v>
      </c>
      <c r="Q1836" s="261">
        <v>34538.589611940297</v>
      </c>
      <c r="R1836" s="261">
        <v>0</v>
      </c>
      <c r="S1836">
        <v>79188.921151999995</v>
      </c>
      <c r="T1836">
        <v>-1.5199999324977398E-4</v>
      </c>
    </row>
    <row r="1837" spans="1:20">
      <c r="A1837" t="s">
        <v>19605</v>
      </c>
      <c r="B1837">
        <v>45631</v>
      </c>
      <c r="C1837" t="s">
        <v>16904</v>
      </c>
      <c r="D1837" t="s">
        <v>16905</v>
      </c>
      <c r="E1837">
        <v>0</v>
      </c>
      <c r="F1837">
        <v>78163.240000000005</v>
      </c>
      <c r="G1837" s="259">
        <v>0</v>
      </c>
      <c r="H1837" s="259">
        <v>64029.439600000012</v>
      </c>
      <c r="I1837" s="259">
        <v>0</v>
      </c>
      <c r="J1837" s="259">
        <v>0</v>
      </c>
      <c r="K1837" s="260">
        <v>0</v>
      </c>
      <c r="L1837" s="260">
        <v>14133.800000000003</v>
      </c>
      <c r="M1837" s="260">
        <v>0</v>
      </c>
      <c r="N1837" s="260">
        <v>0</v>
      </c>
      <c r="O1837" s="261">
        <v>0</v>
      </c>
      <c r="P1837" s="261">
        <v>78163.239600000015</v>
      </c>
      <c r="Q1837" s="261">
        <v>0</v>
      </c>
      <c r="R1837" s="261">
        <v>0</v>
      </c>
      <c r="S1837">
        <v>78163.239600000015</v>
      </c>
      <c r="T1837">
        <v>3.9999998989515007E-4</v>
      </c>
    </row>
    <row r="1838" spans="1:20">
      <c r="A1838" t="s">
        <v>19606</v>
      </c>
      <c r="B1838">
        <v>45631</v>
      </c>
      <c r="C1838" t="s">
        <v>16444</v>
      </c>
      <c r="D1838" t="s">
        <v>16445</v>
      </c>
      <c r="E1838">
        <v>0</v>
      </c>
      <c r="F1838">
        <v>76464</v>
      </c>
      <c r="G1838" s="259">
        <v>0</v>
      </c>
      <c r="H1838" s="259">
        <v>76464</v>
      </c>
      <c r="I1838" s="259">
        <v>0</v>
      </c>
      <c r="J1838" s="259">
        <v>0</v>
      </c>
      <c r="K1838" s="260">
        <v>0</v>
      </c>
      <c r="L1838" s="260">
        <v>0</v>
      </c>
      <c r="M1838" s="260">
        <v>0</v>
      </c>
      <c r="N1838" s="260">
        <v>0</v>
      </c>
      <c r="O1838" s="261">
        <v>0</v>
      </c>
      <c r="P1838" s="261">
        <v>76464</v>
      </c>
      <c r="Q1838" s="261">
        <v>0</v>
      </c>
      <c r="R1838" s="261">
        <v>0</v>
      </c>
      <c r="S1838">
        <v>76464</v>
      </c>
      <c r="T1838">
        <v>0</v>
      </c>
    </row>
    <row r="1839" spans="1:20">
      <c r="A1839" t="s">
        <v>19607</v>
      </c>
      <c r="B1839">
        <v>45631</v>
      </c>
      <c r="C1839" t="s">
        <v>16700</v>
      </c>
      <c r="D1839" t="s">
        <v>16701</v>
      </c>
      <c r="E1839">
        <v>0</v>
      </c>
      <c r="F1839">
        <v>226983.91800000001</v>
      </c>
      <c r="G1839" s="259">
        <v>201217.49340000001</v>
      </c>
      <c r="H1839" s="259">
        <v>0</v>
      </c>
      <c r="I1839" s="259">
        <v>0</v>
      </c>
      <c r="J1839" s="259">
        <v>0</v>
      </c>
      <c r="K1839" s="260">
        <v>25766.424999999999</v>
      </c>
      <c r="L1839" s="260">
        <v>0</v>
      </c>
      <c r="M1839" s="260">
        <v>0</v>
      </c>
      <c r="N1839" s="260">
        <v>0</v>
      </c>
      <c r="O1839" s="261">
        <v>226983.9184</v>
      </c>
      <c r="P1839" s="261">
        <v>0</v>
      </c>
      <c r="Q1839" s="261">
        <v>0</v>
      </c>
      <c r="R1839" s="261">
        <v>0</v>
      </c>
      <c r="S1839">
        <v>226983.9184</v>
      </c>
      <c r="T1839">
        <v>-3.9999998989515007E-4</v>
      </c>
    </row>
    <row r="1840" spans="1:20">
      <c r="A1840" t="s">
        <v>19608</v>
      </c>
      <c r="B1840">
        <v>45631</v>
      </c>
      <c r="C1840" t="s">
        <v>16560</v>
      </c>
      <c r="D1840" t="s">
        <v>16561</v>
      </c>
      <c r="E1840">
        <v>0</v>
      </c>
      <c r="F1840">
        <v>91591.5</v>
      </c>
      <c r="G1840" s="259">
        <v>0</v>
      </c>
      <c r="H1840" s="259">
        <v>0</v>
      </c>
      <c r="I1840" s="259">
        <v>91591.5</v>
      </c>
      <c r="J1840" s="259">
        <v>0</v>
      </c>
      <c r="K1840" s="260">
        <v>0</v>
      </c>
      <c r="L1840" s="260">
        <v>0</v>
      </c>
      <c r="M1840" s="260">
        <v>0</v>
      </c>
      <c r="N1840" s="260">
        <v>0</v>
      </c>
      <c r="O1840" s="261">
        <v>0</v>
      </c>
      <c r="P1840" s="261">
        <v>0</v>
      </c>
      <c r="Q1840" s="261">
        <v>91591.5</v>
      </c>
      <c r="R1840" s="261">
        <v>0</v>
      </c>
      <c r="S1840">
        <v>91591.5</v>
      </c>
      <c r="T1840">
        <v>0</v>
      </c>
    </row>
    <row r="1841" spans="1:20">
      <c r="A1841" t="s">
        <v>19609</v>
      </c>
      <c r="B1841">
        <v>45631</v>
      </c>
      <c r="C1841" t="s">
        <v>16384</v>
      </c>
      <c r="D1841" t="s">
        <v>16385</v>
      </c>
      <c r="E1841">
        <v>0</v>
      </c>
      <c r="F1841">
        <v>128520</v>
      </c>
      <c r="G1841" s="259">
        <v>0</v>
      </c>
      <c r="H1841" s="259">
        <v>0</v>
      </c>
      <c r="I1841" s="259">
        <v>128520</v>
      </c>
      <c r="J1841" s="259">
        <v>0</v>
      </c>
      <c r="K1841" s="260">
        <v>0</v>
      </c>
      <c r="L1841" s="260">
        <v>0</v>
      </c>
      <c r="M1841" s="260">
        <v>0</v>
      </c>
      <c r="N1841" s="260">
        <v>0</v>
      </c>
      <c r="O1841" s="261">
        <v>0</v>
      </c>
      <c r="P1841" s="261">
        <v>0</v>
      </c>
      <c r="Q1841" s="261">
        <v>128520</v>
      </c>
      <c r="R1841" s="261">
        <v>0</v>
      </c>
      <c r="S1841">
        <v>128520</v>
      </c>
      <c r="T1841">
        <v>0</v>
      </c>
    </row>
    <row r="1842" spans="1:20">
      <c r="A1842" t="s">
        <v>19610</v>
      </c>
      <c r="B1842">
        <v>45632</v>
      </c>
      <c r="C1842" t="s">
        <v>16904</v>
      </c>
      <c r="D1842" t="s">
        <v>16905</v>
      </c>
      <c r="E1842">
        <v>0</v>
      </c>
      <c r="F1842">
        <v>68476.561000000002</v>
      </c>
      <c r="G1842" s="259">
        <v>0</v>
      </c>
      <c r="H1842" s="259">
        <v>54335.111039999996</v>
      </c>
      <c r="I1842" s="259">
        <v>0</v>
      </c>
      <c r="J1842" s="259">
        <v>0</v>
      </c>
      <c r="K1842" s="260">
        <v>0</v>
      </c>
      <c r="L1842" s="260">
        <v>14141.449999999999</v>
      </c>
      <c r="M1842" s="260">
        <v>0</v>
      </c>
      <c r="N1842" s="260">
        <v>0</v>
      </c>
      <c r="O1842" s="261">
        <v>0</v>
      </c>
      <c r="P1842" s="261">
        <v>68476.561040000001</v>
      </c>
      <c r="Q1842" s="261">
        <v>0</v>
      </c>
      <c r="R1842" s="261">
        <v>0</v>
      </c>
      <c r="S1842">
        <v>68476.561040000001</v>
      </c>
      <c r="T1842">
        <v>-3.9999998989515007E-5</v>
      </c>
    </row>
    <row r="1843" spans="1:20">
      <c r="A1843" t="s">
        <v>19611</v>
      </c>
      <c r="B1843">
        <v>45635</v>
      </c>
      <c r="C1843" t="s">
        <v>17342</v>
      </c>
      <c r="D1843" t="s">
        <v>17343</v>
      </c>
      <c r="E1843">
        <v>0</v>
      </c>
      <c r="F1843">
        <v>30958.327000000001</v>
      </c>
      <c r="G1843" s="259">
        <v>1065.7919999999999</v>
      </c>
      <c r="H1843" s="259">
        <v>13823.055792000003</v>
      </c>
      <c r="I1843" s="259">
        <v>2338.0812000000001</v>
      </c>
      <c r="J1843" s="259">
        <v>575.52767999999992</v>
      </c>
      <c r="K1843" s="260">
        <v>888.01012487343905</v>
      </c>
      <c r="L1843" s="260">
        <v>10269.837094161323</v>
      </c>
      <c r="M1843" s="260">
        <v>1998.0227809652381</v>
      </c>
      <c r="N1843" s="260">
        <v>0</v>
      </c>
      <c r="O1843" s="261">
        <v>1953.802124873439</v>
      </c>
      <c r="P1843" s="261">
        <v>24092.892886161324</v>
      </c>
      <c r="Q1843" s="261">
        <v>4336.1039809652384</v>
      </c>
      <c r="R1843" s="261">
        <v>575.52767999999992</v>
      </c>
      <c r="S1843">
        <v>30958.326672000003</v>
      </c>
      <c r="T1843">
        <v>3.2799999826238491E-4</v>
      </c>
    </row>
    <row r="1844" spans="1:20">
      <c r="A1844" t="s">
        <v>19612</v>
      </c>
      <c r="B1844">
        <v>45638</v>
      </c>
      <c r="C1844" t="s">
        <v>17209</v>
      </c>
      <c r="D1844" t="s">
        <v>17210</v>
      </c>
      <c r="E1844">
        <v>0</v>
      </c>
      <c r="F1844">
        <v>77585.453999999998</v>
      </c>
      <c r="G1844" s="259">
        <v>6141.7314000000006</v>
      </c>
      <c r="H1844" s="259">
        <v>31280.867999999995</v>
      </c>
      <c r="I1844" s="259">
        <v>12283.462800000001</v>
      </c>
      <c r="J1844" s="259">
        <v>23683.177500000002</v>
      </c>
      <c r="K1844" s="260">
        <v>432.22805150214589</v>
      </c>
      <c r="L1844" s="260">
        <v>2269.1972703862662</v>
      </c>
      <c r="M1844" s="260">
        <v>864.45610300429178</v>
      </c>
      <c r="N1844" s="260">
        <v>630.33257510729607</v>
      </c>
      <c r="O1844" s="261">
        <v>6573.9594515021463</v>
      </c>
      <c r="P1844" s="261">
        <v>33550.065270386258</v>
      </c>
      <c r="Q1844" s="261">
        <v>13147.918903004293</v>
      </c>
      <c r="R1844" s="261">
        <v>24313.510075107297</v>
      </c>
      <c r="S1844">
        <v>77585.453699999984</v>
      </c>
      <c r="T1844">
        <v>3.0000001424923539E-4</v>
      </c>
    </row>
    <row r="1845" spans="1:20">
      <c r="A1845" t="s">
        <v>19613</v>
      </c>
      <c r="B1845">
        <v>45638</v>
      </c>
      <c r="C1845" t="s">
        <v>16957</v>
      </c>
      <c r="D1845" t="s">
        <v>17451</v>
      </c>
      <c r="E1845">
        <v>0</v>
      </c>
      <c r="F1845">
        <v>110917.189</v>
      </c>
      <c r="G1845" s="259">
        <v>110914.61498909998</v>
      </c>
      <c r="H1845" s="259">
        <v>0</v>
      </c>
      <c r="I1845" s="259">
        <v>0</v>
      </c>
      <c r="J1845" s="259">
        <v>0</v>
      </c>
      <c r="K1845" s="260">
        <v>0</v>
      </c>
      <c r="L1845" s="260">
        <v>0</v>
      </c>
      <c r="M1845" s="260">
        <v>0</v>
      </c>
      <c r="N1845" s="260">
        <v>0</v>
      </c>
      <c r="O1845" s="261">
        <v>110914.61498909998</v>
      </c>
      <c r="P1845" s="261">
        <v>0</v>
      </c>
      <c r="Q1845" s="261">
        <v>0</v>
      </c>
      <c r="R1845" s="261">
        <v>0</v>
      </c>
      <c r="S1845">
        <v>110914.61498909998</v>
      </c>
      <c r="T1845">
        <v>2.5740109000180382</v>
      </c>
    </row>
    <row r="1846" spans="1:20">
      <c r="A1846" t="s">
        <v>19614</v>
      </c>
      <c r="B1846">
        <v>45638</v>
      </c>
      <c r="C1846" t="s">
        <v>17309</v>
      </c>
      <c r="D1846" t="s">
        <v>18704</v>
      </c>
      <c r="E1846">
        <v>0</v>
      </c>
      <c r="F1846">
        <v>72960</v>
      </c>
      <c r="G1846" s="259">
        <v>72960</v>
      </c>
      <c r="H1846" s="259">
        <v>0</v>
      </c>
      <c r="I1846" s="259">
        <v>0</v>
      </c>
      <c r="J1846" s="259">
        <v>0</v>
      </c>
      <c r="K1846" s="260">
        <v>0</v>
      </c>
      <c r="L1846" s="260">
        <v>0</v>
      </c>
      <c r="M1846" s="260">
        <v>0</v>
      </c>
      <c r="N1846" s="260">
        <v>0</v>
      </c>
      <c r="O1846" s="261">
        <v>72960</v>
      </c>
      <c r="P1846" s="261">
        <v>0</v>
      </c>
      <c r="Q1846" s="261">
        <v>0</v>
      </c>
      <c r="R1846" s="261">
        <v>0</v>
      </c>
      <c r="S1846">
        <v>72960</v>
      </c>
      <c r="T1846">
        <v>0</v>
      </c>
    </row>
    <row r="1847" spans="1:20">
      <c r="A1847" t="s">
        <v>19615</v>
      </c>
      <c r="B1847">
        <v>45638</v>
      </c>
      <c r="C1847" t="s">
        <v>17309</v>
      </c>
      <c r="D1847" t="s">
        <v>18704</v>
      </c>
      <c r="E1847">
        <v>0</v>
      </c>
      <c r="F1847">
        <v>705716.15</v>
      </c>
      <c r="G1847" s="259">
        <v>254306.15</v>
      </c>
      <c r="H1847" s="259">
        <v>32000</v>
      </c>
      <c r="I1847" s="259">
        <v>419410</v>
      </c>
      <c r="J1847" s="259">
        <v>0</v>
      </c>
      <c r="K1847" s="260">
        <v>0</v>
      </c>
      <c r="L1847" s="260">
        <v>0</v>
      </c>
      <c r="M1847" s="260">
        <v>0</v>
      </c>
      <c r="N1847" s="260">
        <v>0</v>
      </c>
      <c r="O1847" s="261">
        <v>254306.15</v>
      </c>
      <c r="P1847" s="261">
        <v>32000</v>
      </c>
      <c r="Q1847" s="261">
        <v>419410</v>
      </c>
      <c r="R1847" s="261">
        <v>0</v>
      </c>
      <c r="S1847">
        <v>705716.15</v>
      </c>
      <c r="T1847">
        <v>0</v>
      </c>
    </row>
    <row r="1848" spans="1:20">
      <c r="A1848" t="s">
        <v>19616</v>
      </c>
      <c r="B1848">
        <v>45644</v>
      </c>
      <c r="C1848" t="s">
        <v>17342</v>
      </c>
      <c r="D1848" t="s">
        <v>17343</v>
      </c>
      <c r="E1848">
        <v>0</v>
      </c>
      <c r="F1848">
        <v>33154.843000000001</v>
      </c>
      <c r="G1848" s="259">
        <v>0</v>
      </c>
      <c r="H1848" s="259">
        <v>15635.913599999998</v>
      </c>
      <c r="I1848" s="259">
        <v>2331.5174999999999</v>
      </c>
      <c r="J1848" s="259">
        <v>2898.7870000000003</v>
      </c>
      <c r="K1848" s="260">
        <v>0</v>
      </c>
      <c r="L1848" s="260">
        <v>9988.3861222357664</v>
      </c>
      <c r="M1848" s="260">
        <v>1925.7813860351732</v>
      </c>
      <c r="N1848" s="260">
        <v>374.45749172906147</v>
      </c>
      <c r="O1848" s="261">
        <v>0</v>
      </c>
      <c r="P1848" s="261">
        <v>25624.299722235766</v>
      </c>
      <c r="Q1848" s="261">
        <v>4257.2988860351734</v>
      </c>
      <c r="R1848" s="261">
        <v>3273.2444917290618</v>
      </c>
      <c r="S1848">
        <v>33154.843099999998</v>
      </c>
      <c r="T1848">
        <v>-9.9999997473787516E-5</v>
      </c>
    </row>
    <row r="1849" spans="1:20">
      <c r="A1849" t="s">
        <v>19617</v>
      </c>
      <c r="B1849">
        <v>45644</v>
      </c>
      <c r="C1849" t="s">
        <v>17342</v>
      </c>
      <c r="D1849" t="s">
        <v>17343</v>
      </c>
      <c r="E1849">
        <v>0</v>
      </c>
      <c r="F1849">
        <v>31091.151000000002</v>
      </c>
      <c r="G1849" s="259">
        <v>0</v>
      </c>
      <c r="H1849" s="259">
        <v>11096.429099999999</v>
      </c>
      <c r="I1849" s="259">
        <v>3885.8625000000002</v>
      </c>
      <c r="J1849" s="259">
        <v>4152.3595999999998</v>
      </c>
      <c r="K1849" s="260">
        <v>0</v>
      </c>
      <c r="L1849" s="260">
        <v>8446.8413588390504</v>
      </c>
      <c r="M1849" s="260">
        <v>2957.5775065963062</v>
      </c>
      <c r="N1849" s="260">
        <v>552.08113456464378</v>
      </c>
      <c r="O1849" s="261">
        <v>0</v>
      </c>
      <c r="P1849" s="261">
        <v>19543.270458839048</v>
      </c>
      <c r="Q1849" s="261">
        <v>6843.4400065963064</v>
      </c>
      <c r="R1849" s="261">
        <v>4704.4407345646432</v>
      </c>
      <c r="S1849">
        <v>31091.151199999997</v>
      </c>
      <c r="T1849">
        <v>-1.9999999494757503E-4</v>
      </c>
    </row>
    <row r="1850" spans="1:20">
      <c r="A1850" t="s">
        <v>19618</v>
      </c>
      <c r="B1850">
        <v>45644</v>
      </c>
      <c r="C1850" t="s">
        <v>17342</v>
      </c>
      <c r="D1850" t="s">
        <v>17343</v>
      </c>
      <c r="E1850">
        <v>0</v>
      </c>
      <c r="F1850">
        <v>60159.13</v>
      </c>
      <c r="G1850" s="259">
        <v>2125.6</v>
      </c>
      <c r="H1850" s="259">
        <v>24843.614249999999</v>
      </c>
      <c r="I1850" s="259">
        <v>3885.8625000000002</v>
      </c>
      <c r="J1850" s="259">
        <v>9708.6779999999999</v>
      </c>
      <c r="K1850" s="260">
        <v>1405.1900322696306</v>
      </c>
      <c r="L1850" s="260">
        <v>14080.0041233417</v>
      </c>
      <c r="M1850" s="260">
        <v>2634.7313105055578</v>
      </c>
      <c r="N1850" s="260">
        <v>1475.4495338831123</v>
      </c>
      <c r="O1850" s="261">
        <v>3530.7900322696305</v>
      </c>
      <c r="P1850" s="261">
        <v>38923.618373341698</v>
      </c>
      <c r="Q1850" s="261">
        <v>6520.5938105055575</v>
      </c>
      <c r="R1850" s="261">
        <v>11184.127533883113</v>
      </c>
      <c r="S1850">
        <v>60159.12975</v>
      </c>
      <c r="T1850">
        <v>2.499999973224476E-4</v>
      </c>
    </row>
    <row r="1851" spans="1:20">
      <c r="A1851" t="s">
        <v>19619</v>
      </c>
      <c r="B1851">
        <v>45644</v>
      </c>
      <c r="C1851" t="s">
        <v>16838</v>
      </c>
      <c r="D1851" t="s">
        <v>16839</v>
      </c>
      <c r="E1851">
        <v>0</v>
      </c>
      <c r="F1851">
        <v>48528</v>
      </c>
      <c r="G1851" s="259">
        <v>0</v>
      </c>
      <c r="H1851" s="259">
        <v>38988</v>
      </c>
      <c r="I1851" s="259">
        <v>0</v>
      </c>
      <c r="J1851" s="259">
        <v>9540</v>
      </c>
      <c r="K1851" s="260">
        <v>0</v>
      </c>
      <c r="L1851" s="260">
        <v>0</v>
      </c>
      <c r="M1851" s="260">
        <v>0</v>
      </c>
      <c r="N1851" s="260">
        <v>0</v>
      </c>
      <c r="O1851" s="261">
        <v>0</v>
      </c>
      <c r="P1851" s="261">
        <v>38988</v>
      </c>
      <c r="Q1851" s="261">
        <v>0</v>
      </c>
      <c r="R1851" s="261">
        <v>9540</v>
      </c>
      <c r="S1851">
        <v>48528</v>
      </c>
      <c r="T1851">
        <v>0</v>
      </c>
    </row>
    <row r="1852" spans="1:20">
      <c r="A1852" t="s">
        <v>19620</v>
      </c>
      <c r="B1852">
        <v>45644</v>
      </c>
      <c r="C1852" t="s">
        <v>16384</v>
      </c>
      <c r="D1852" t="s">
        <v>16385</v>
      </c>
      <c r="E1852">
        <v>0</v>
      </c>
      <c r="F1852">
        <v>157056</v>
      </c>
      <c r="G1852" s="259">
        <v>157056</v>
      </c>
      <c r="H1852" s="259">
        <v>0</v>
      </c>
      <c r="I1852" s="259">
        <v>0</v>
      </c>
      <c r="J1852" s="259">
        <v>0</v>
      </c>
      <c r="K1852" s="260">
        <v>0</v>
      </c>
      <c r="L1852" s="260">
        <v>0</v>
      </c>
      <c r="M1852" s="260">
        <v>0</v>
      </c>
      <c r="N1852" s="260">
        <v>0</v>
      </c>
      <c r="O1852" s="261">
        <v>157056</v>
      </c>
      <c r="P1852" s="261">
        <v>0</v>
      </c>
      <c r="Q1852" s="261">
        <v>0</v>
      </c>
      <c r="R1852" s="261">
        <v>0</v>
      </c>
      <c r="S1852">
        <v>157056</v>
      </c>
      <c r="T1852">
        <v>0</v>
      </c>
    </row>
    <row r="1853" spans="1:20">
      <c r="A1853" t="s">
        <v>19621</v>
      </c>
      <c r="B1853">
        <v>45644</v>
      </c>
      <c r="C1853" t="s">
        <v>16444</v>
      </c>
      <c r="D1853" t="s">
        <v>16445</v>
      </c>
      <c r="E1853">
        <v>0</v>
      </c>
      <c r="F1853">
        <v>40618.699999999997</v>
      </c>
      <c r="G1853" s="259">
        <v>40618.699999999997</v>
      </c>
      <c r="H1853" s="259">
        <v>0</v>
      </c>
      <c r="I1853" s="259">
        <v>0</v>
      </c>
      <c r="J1853" s="259">
        <v>0</v>
      </c>
      <c r="K1853" s="260">
        <v>0</v>
      </c>
      <c r="L1853" s="260">
        <v>0</v>
      </c>
      <c r="M1853" s="260">
        <v>0</v>
      </c>
      <c r="N1853" s="260">
        <v>0</v>
      </c>
      <c r="O1853" s="261">
        <v>40618.699999999997</v>
      </c>
      <c r="P1853" s="261">
        <v>0</v>
      </c>
      <c r="Q1853" s="261">
        <v>0</v>
      </c>
      <c r="R1853" s="261">
        <v>0</v>
      </c>
      <c r="S1853">
        <v>40618.699999999997</v>
      </c>
      <c r="T1853">
        <v>0</v>
      </c>
    </row>
    <row r="1854" spans="1:20">
      <c r="A1854" t="s">
        <v>19622</v>
      </c>
      <c r="B1854">
        <v>45644</v>
      </c>
      <c r="C1854" t="s">
        <v>16972</v>
      </c>
      <c r="D1854" t="s">
        <v>17424</v>
      </c>
      <c r="E1854">
        <v>0</v>
      </c>
      <c r="F1854">
        <v>398750</v>
      </c>
      <c r="G1854" s="259">
        <v>0</v>
      </c>
      <c r="H1854" s="259">
        <v>0</v>
      </c>
      <c r="I1854" s="259">
        <v>398750</v>
      </c>
      <c r="J1854" s="259">
        <v>0</v>
      </c>
      <c r="K1854" s="260">
        <v>0</v>
      </c>
      <c r="L1854" s="260">
        <v>0</v>
      </c>
      <c r="M1854" s="260">
        <v>0</v>
      </c>
      <c r="N1854" s="260">
        <v>0</v>
      </c>
      <c r="O1854" s="261">
        <v>0</v>
      </c>
      <c r="P1854" s="261">
        <v>0</v>
      </c>
      <c r="Q1854" s="261">
        <v>398750</v>
      </c>
      <c r="R1854" s="261">
        <v>0</v>
      </c>
      <c r="S1854">
        <v>398750</v>
      </c>
      <c r="T1854">
        <v>0</v>
      </c>
    </row>
    <row r="1855" spans="1:20">
      <c r="A1855" t="s">
        <v>19623</v>
      </c>
      <c r="B1855">
        <v>45645</v>
      </c>
      <c r="C1855" t="s">
        <v>17304</v>
      </c>
      <c r="D1855" t="s">
        <v>17305</v>
      </c>
      <c r="E1855">
        <v>0</v>
      </c>
      <c r="F1855">
        <v>79909.891000000003</v>
      </c>
      <c r="G1855" s="259">
        <v>0</v>
      </c>
      <c r="H1855" s="259">
        <v>0</v>
      </c>
      <c r="I1855" s="259">
        <v>59255.041248000001</v>
      </c>
      <c r="J1855" s="259">
        <v>0</v>
      </c>
      <c r="K1855" s="260">
        <v>0</v>
      </c>
      <c r="L1855" s="260">
        <v>0</v>
      </c>
      <c r="M1855" s="260">
        <v>20657.16</v>
      </c>
      <c r="N1855" s="260">
        <v>0</v>
      </c>
      <c r="O1855" s="261">
        <v>0</v>
      </c>
      <c r="P1855" s="261">
        <v>0</v>
      </c>
      <c r="Q1855" s="261">
        <v>79912.201247999998</v>
      </c>
      <c r="R1855" s="261">
        <v>0</v>
      </c>
      <c r="S1855">
        <v>79912.201247999998</v>
      </c>
      <c r="T1855">
        <v>-2.3102479999943171</v>
      </c>
    </row>
    <row r="1856" spans="1:20">
      <c r="A1856" t="s">
        <v>19624</v>
      </c>
      <c r="B1856">
        <v>45645</v>
      </c>
      <c r="C1856" t="s">
        <v>16957</v>
      </c>
      <c r="D1856" t="s">
        <v>17451</v>
      </c>
      <c r="E1856">
        <v>0</v>
      </c>
      <c r="F1856">
        <v>95884.550999999992</v>
      </c>
      <c r="G1856" s="259">
        <v>95884.550775000011</v>
      </c>
      <c r="H1856" s="259">
        <v>0</v>
      </c>
      <c r="I1856" s="259">
        <v>0</v>
      </c>
      <c r="J1856" s="259">
        <v>0</v>
      </c>
      <c r="K1856" s="260">
        <v>0</v>
      </c>
      <c r="L1856" s="260">
        <v>0</v>
      </c>
      <c r="M1856" s="260">
        <v>0</v>
      </c>
      <c r="N1856" s="260">
        <v>0</v>
      </c>
      <c r="O1856" s="261">
        <v>95884.550775000011</v>
      </c>
      <c r="P1856" s="261">
        <v>0</v>
      </c>
      <c r="Q1856" s="261">
        <v>0</v>
      </c>
      <c r="R1856" s="261">
        <v>0</v>
      </c>
      <c r="S1856">
        <v>95884.550775000011</v>
      </c>
      <c r="T1856">
        <v>2.2499998158309609E-4</v>
      </c>
    </row>
    <row r="1857" spans="1:20">
      <c r="A1857" t="s">
        <v>19625</v>
      </c>
      <c r="B1857">
        <v>45644</v>
      </c>
      <c r="C1857" t="s">
        <v>16470</v>
      </c>
      <c r="D1857" t="s">
        <v>16471</v>
      </c>
      <c r="E1857">
        <v>0</v>
      </c>
      <c r="F1857">
        <v>575039</v>
      </c>
      <c r="G1857" s="259">
        <v>36805.846950000006</v>
      </c>
      <c r="H1857" s="259">
        <v>478456.8256499999</v>
      </c>
      <c r="I1857" s="259">
        <v>0</v>
      </c>
      <c r="J1857" s="259">
        <v>0</v>
      </c>
      <c r="K1857" s="260">
        <v>3973.2534955448937</v>
      </c>
      <c r="L1857" s="260">
        <v>55179.571504455103</v>
      </c>
      <c r="M1857" s="260">
        <v>0</v>
      </c>
      <c r="N1857" s="260">
        <v>0</v>
      </c>
      <c r="O1857" s="261">
        <v>40779.1004455449</v>
      </c>
      <c r="P1857" s="261">
        <v>533636.39715445496</v>
      </c>
      <c r="Q1857" s="261">
        <v>0</v>
      </c>
      <c r="R1857" s="261">
        <v>0</v>
      </c>
      <c r="S1857">
        <v>574415.49759999989</v>
      </c>
      <c r="T1857">
        <v>623.50240000011399</v>
      </c>
    </row>
    <row r="1858" spans="1:20">
      <c r="A1858" t="s">
        <v>19626</v>
      </c>
      <c r="B1858">
        <v>45645</v>
      </c>
      <c r="C1858" t="s">
        <v>16823</v>
      </c>
      <c r="D1858" t="s">
        <v>17805</v>
      </c>
      <c r="E1858">
        <v>0</v>
      </c>
      <c r="F1858">
        <v>61479.885000000002</v>
      </c>
      <c r="G1858" s="259">
        <v>17906.281435000001</v>
      </c>
      <c r="H1858" s="259">
        <v>27391.976766000003</v>
      </c>
      <c r="I1858" s="259">
        <v>10745.111999999999</v>
      </c>
      <c r="J1858" s="259">
        <v>0</v>
      </c>
      <c r="K1858" s="260">
        <v>1633.9040655339807</v>
      </c>
      <c r="L1858" s="260">
        <v>2638.3087500000001</v>
      </c>
      <c r="M1858" s="260">
        <v>1164.3021844660193</v>
      </c>
      <c r="N1858" s="260">
        <v>0</v>
      </c>
      <c r="O1858" s="261">
        <v>19540.185500533982</v>
      </c>
      <c r="P1858" s="261">
        <v>30030.285516000004</v>
      </c>
      <c r="Q1858" s="261">
        <v>11909.414184466019</v>
      </c>
      <c r="R1858" s="261">
        <v>0</v>
      </c>
      <c r="S1858">
        <v>61479.885201000005</v>
      </c>
      <c r="T1858">
        <v>-2.010000025620684E-4</v>
      </c>
    </row>
    <row r="1859" spans="1:20">
      <c r="A1859" t="s">
        <v>19627</v>
      </c>
      <c r="B1859">
        <v>45649</v>
      </c>
      <c r="C1859" t="s">
        <v>16904</v>
      </c>
      <c r="D1859" t="s">
        <v>16905</v>
      </c>
      <c r="E1859">
        <v>0</v>
      </c>
      <c r="F1859">
        <v>93432.790999999997</v>
      </c>
      <c r="G1859" s="259">
        <v>0</v>
      </c>
      <c r="H1859" s="259">
        <v>7177.68</v>
      </c>
      <c r="I1859" s="259">
        <v>0</v>
      </c>
      <c r="J1859" s="259">
        <v>72132.36099999999</v>
      </c>
      <c r="K1859" s="260">
        <v>0</v>
      </c>
      <c r="L1859" s="260">
        <v>7652.7216748768478</v>
      </c>
      <c r="M1859" s="260">
        <v>2782.807881773399</v>
      </c>
      <c r="N1859" s="260">
        <v>3687.2204433497541</v>
      </c>
      <c r="O1859" s="261">
        <v>0</v>
      </c>
      <c r="P1859" s="261">
        <v>14830.401674876848</v>
      </c>
      <c r="Q1859" s="261">
        <v>2782.807881773399</v>
      </c>
      <c r="R1859" s="261">
        <v>75819.581443349743</v>
      </c>
      <c r="S1859">
        <v>93432.790999999997</v>
      </c>
      <c r="T1859">
        <v>0</v>
      </c>
    </row>
    <row r="1860" spans="1:20">
      <c r="A1860" t="s">
        <v>19628</v>
      </c>
      <c r="B1860">
        <v>45649</v>
      </c>
      <c r="C1860" t="s">
        <v>17394</v>
      </c>
      <c r="D1860" t="s">
        <v>17395</v>
      </c>
      <c r="E1860">
        <v>0</v>
      </c>
      <c r="F1860">
        <v>180005.76000000001</v>
      </c>
      <c r="G1860" s="259">
        <v>0</v>
      </c>
      <c r="H1860" s="259">
        <v>180005.76000000001</v>
      </c>
      <c r="I1860" s="259">
        <v>0</v>
      </c>
      <c r="J1860" s="259">
        <v>0</v>
      </c>
      <c r="K1860" s="260">
        <v>0</v>
      </c>
      <c r="L1860" s="260">
        <v>0</v>
      </c>
      <c r="M1860" s="260">
        <v>0</v>
      </c>
      <c r="N1860" s="260">
        <v>0</v>
      </c>
      <c r="O1860" s="261">
        <v>0</v>
      </c>
      <c r="P1860" s="261">
        <v>180005.76000000001</v>
      </c>
      <c r="Q1860" s="261">
        <v>0</v>
      </c>
      <c r="R1860" s="261">
        <v>0</v>
      </c>
      <c r="S1860">
        <v>180005.76000000001</v>
      </c>
      <c r="T1860">
        <v>0</v>
      </c>
    </row>
    <row r="1861" spans="1:20">
      <c r="A1861" t="s">
        <v>19629</v>
      </c>
      <c r="B1861">
        <v>45650</v>
      </c>
      <c r="C1861" t="s">
        <v>17342</v>
      </c>
      <c r="D1861" t="s">
        <v>17343</v>
      </c>
      <c r="E1861">
        <v>0</v>
      </c>
      <c r="F1861">
        <v>62177.442000000003</v>
      </c>
      <c r="G1861" s="259">
        <v>0</v>
      </c>
      <c r="H1861" s="259">
        <v>19117.556952000003</v>
      </c>
      <c r="I1861" s="259">
        <v>3111.9192000000003</v>
      </c>
      <c r="J1861" s="259">
        <v>12190.178784999998</v>
      </c>
      <c r="K1861" s="260">
        <v>0</v>
      </c>
      <c r="L1861" s="260">
        <v>22393.320028835082</v>
      </c>
      <c r="M1861" s="260">
        <v>4032.1159317906222</v>
      </c>
      <c r="N1861" s="260">
        <v>1332.3513513742926</v>
      </c>
      <c r="O1861" s="261">
        <v>0</v>
      </c>
      <c r="P1861" s="261">
        <v>41510.876980835084</v>
      </c>
      <c r="Q1861" s="261">
        <v>7144.0351317906225</v>
      </c>
      <c r="R1861" s="261">
        <v>13522.530136374291</v>
      </c>
      <c r="S1861">
        <v>62177.442249</v>
      </c>
      <c r="T1861">
        <v>-2.4899999698391184E-4</v>
      </c>
    </row>
    <row r="1862" spans="1:20">
      <c r="A1862" t="s">
        <v>19630</v>
      </c>
      <c r="B1862">
        <v>45650</v>
      </c>
      <c r="C1862" t="s">
        <v>17342</v>
      </c>
      <c r="D1862" t="s">
        <v>17343</v>
      </c>
      <c r="E1862">
        <v>0</v>
      </c>
      <c r="F1862">
        <v>48387.328000000001</v>
      </c>
      <c r="G1862" s="259">
        <v>0</v>
      </c>
      <c r="H1862" s="259">
        <v>21289.264932000006</v>
      </c>
      <c r="I1862" s="259">
        <v>6222.7152000000006</v>
      </c>
      <c r="J1862" s="259">
        <v>8243.768</v>
      </c>
      <c r="K1862" s="260">
        <v>0</v>
      </c>
      <c r="L1862" s="260">
        <v>9139.0810702818417</v>
      </c>
      <c r="M1862" s="260">
        <v>2703.8701391366394</v>
      </c>
      <c r="N1862" s="260">
        <v>788.62879058151975</v>
      </c>
      <c r="O1862" s="261">
        <v>0</v>
      </c>
      <c r="P1862" s="261">
        <v>30428.346002281847</v>
      </c>
      <c r="Q1862" s="261">
        <v>8926.58533913664</v>
      </c>
      <c r="R1862" s="261">
        <v>9032.3967905815189</v>
      </c>
      <c r="S1862">
        <v>48387.32813200001</v>
      </c>
      <c r="T1862">
        <v>-1.320000083069317E-4</v>
      </c>
    </row>
    <row r="1863" spans="1:20">
      <c r="A1863" t="s">
        <v>19631</v>
      </c>
      <c r="B1863">
        <v>45652</v>
      </c>
      <c r="C1863" t="s">
        <v>16444</v>
      </c>
      <c r="D1863" t="s">
        <v>16445</v>
      </c>
      <c r="E1863">
        <v>0</v>
      </c>
      <c r="F1863">
        <v>38208</v>
      </c>
      <c r="G1863" s="259">
        <v>38208</v>
      </c>
      <c r="H1863" s="259">
        <v>0</v>
      </c>
      <c r="I1863" s="259">
        <v>0</v>
      </c>
      <c r="J1863" s="259">
        <v>0</v>
      </c>
      <c r="K1863" s="260">
        <v>0</v>
      </c>
      <c r="L1863" s="260">
        <v>0</v>
      </c>
      <c r="M1863" s="260">
        <v>0</v>
      </c>
      <c r="N1863" s="260">
        <v>0</v>
      </c>
      <c r="O1863" s="261">
        <v>38208</v>
      </c>
      <c r="P1863" s="261">
        <v>0</v>
      </c>
      <c r="Q1863" s="261">
        <v>0</v>
      </c>
      <c r="R1863" s="261">
        <v>0</v>
      </c>
      <c r="S1863">
        <v>38208</v>
      </c>
      <c r="T1863">
        <v>0</v>
      </c>
    </row>
    <row r="1864" spans="1:20">
      <c r="A1864" t="s">
        <v>19632</v>
      </c>
      <c r="B1864">
        <v>45652</v>
      </c>
      <c r="C1864" t="s">
        <v>16444</v>
      </c>
      <c r="D1864" t="s">
        <v>16445</v>
      </c>
      <c r="E1864">
        <v>0</v>
      </c>
      <c r="F1864">
        <v>90720</v>
      </c>
      <c r="G1864" s="259">
        <v>90720</v>
      </c>
      <c r="H1864" s="259">
        <v>0</v>
      </c>
      <c r="I1864" s="259">
        <v>0</v>
      </c>
      <c r="J1864" s="259">
        <v>0</v>
      </c>
      <c r="K1864" s="260">
        <v>0</v>
      </c>
      <c r="L1864" s="260">
        <v>0</v>
      </c>
      <c r="M1864" s="260">
        <v>0</v>
      </c>
      <c r="N1864" s="260">
        <v>0</v>
      </c>
      <c r="O1864" s="261">
        <v>90720</v>
      </c>
      <c r="P1864" s="261">
        <v>0</v>
      </c>
      <c r="Q1864" s="261">
        <v>0</v>
      </c>
      <c r="R1864" s="261">
        <v>0</v>
      </c>
      <c r="S1864">
        <v>90720</v>
      </c>
      <c r="T1864">
        <v>0</v>
      </c>
    </row>
    <row r="1865" spans="1:20">
      <c r="A1865" t="s">
        <v>19633</v>
      </c>
      <c r="B1865">
        <v>45653</v>
      </c>
      <c r="C1865" t="s">
        <v>16823</v>
      </c>
      <c r="D1865" t="s">
        <v>17805</v>
      </c>
      <c r="E1865">
        <v>0</v>
      </c>
      <c r="F1865">
        <v>106350.704</v>
      </c>
      <c r="G1865" s="259">
        <v>3189.4563750000002</v>
      </c>
      <c r="H1865" s="259">
        <v>83033.300070000012</v>
      </c>
      <c r="I1865" s="259">
        <v>11638.718000000001</v>
      </c>
      <c r="J1865" s="259">
        <v>0</v>
      </c>
      <c r="K1865" s="260">
        <v>258.71281237301912</v>
      </c>
      <c r="L1865" s="260">
        <v>7109.4280840105648</v>
      </c>
      <c r="M1865" s="260">
        <v>1121.0888536164161</v>
      </c>
      <c r="N1865" s="260">
        <v>0</v>
      </c>
      <c r="O1865" s="261">
        <v>3448.1691873730192</v>
      </c>
      <c r="P1865" s="261">
        <v>90142.728154010576</v>
      </c>
      <c r="Q1865" s="261">
        <v>12759.806853616417</v>
      </c>
      <c r="R1865" s="261">
        <v>0</v>
      </c>
      <c r="S1865">
        <v>106350.70419500001</v>
      </c>
      <c r="T1865">
        <v>-1.950000150827691E-4</v>
      </c>
    </row>
    <row r="1866" spans="1:20">
      <c r="A1866" t="s">
        <v>19634</v>
      </c>
      <c r="B1866">
        <v>45653</v>
      </c>
      <c r="C1866" t="s">
        <v>17379</v>
      </c>
      <c r="D1866" t="s">
        <v>19443</v>
      </c>
      <c r="E1866">
        <v>0</v>
      </c>
      <c r="F1866">
        <v>230880</v>
      </c>
      <c r="G1866" s="259">
        <v>0</v>
      </c>
      <c r="H1866" s="259">
        <v>0</v>
      </c>
      <c r="I1866" s="259">
        <v>230880</v>
      </c>
      <c r="J1866" s="259">
        <v>0</v>
      </c>
      <c r="K1866" s="260">
        <v>0</v>
      </c>
      <c r="L1866" s="260">
        <v>0</v>
      </c>
      <c r="M1866" s="260">
        <v>0</v>
      </c>
      <c r="N1866" s="260">
        <v>0</v>
      </c>
      <c r="O1866" s="261">
        <v>0</v>
      </c>
      <c r="P1866" s="261">
        <v>0</v>
      </c>
      <c r="Q1866" s="261">
        <v>230880</v>
      </c>
      <c r="R1866" s="261">
        <v>0</v>
      </c>
      <c r="S1866">
        <v>230880</v>
      </c>
      <c r="T1866">
        <v>0</v>
      </c>
    </row>
    <row r="1867" spans="1:20">
      <c r="A1867" t="s">
        <v>19635</v>
      </c>
      <c r="B1867">
        <v>45654</v>
      </c>
      <c r="C1867" t="s">
        <v>17381</v>
      </c>
      <c r="D1867" t="s">
        <v>19443</v>
      </c>
      <c r="E1867">
        <v>0</v>
      </c>
      <c r="F1867">
        <v>230880</v>
      </c>
      <c r="G1867" s="259">
        <v>0</v>
      </c>
      <c r="H1867" s="259">
        <v>0</v>
      </c>
      <c r="I1867" s="259">
        <v>230880</v>
      </c>
      <c r="J1867" s="259">
        <v>0</v>
      </c>
      <c r="K1867" s="260">
        <v>0</v>
      </c>
      <c r="L1867" s="260">
        <v>0</v>
      </c>
      <c r="M1867" s="260">
        <v>0</v>
      </c>
      <c r="N1867" s="260">
        <v>0</v>
      </c>
      <c r="O1867" s="261">
        <v>0</v>
      </c>
      <c r="P1867" s="261">
        <v>0</v>
      </c>
      <c r="Q1867" s="261">
        <v>230880</v>
      </c>
      <c r="R1867" s="261">
        <v>0</v>
      </c>
      <c r="S1867">
        <v>230880</v>
      </c>
      <c r="T1867">
        <v>0</v>
      </c>
    </row>
  </sheetData>
  <autoFilter ref="A1:AE1037" xr:uid="{00000000-0009-0000-0000-000004000000}"/>
  <phoneticPr fontId="6" type="noConversion"/>
  <conditionalFormatting sqref="A1:A599 A890:A65536">
    <cfRule type="duplicateValues" dxfId="71" priority="6" stopIfTrue="1"/>
  </conditionalFormatting>
  <conditionalFormatting sqref="A600:A649 A651:A689">
    <cfRule type="duplicateValues" dxfId="70" priority="2" stopIfTrue="1"/>
  </conditionalFormatting>
  <conditionalFormatting sqref="A650">
    <cfRule type="duplicateValues" dxfId="69" priority="1" stopIfTrue="1"/>
  </conditionalFormatting>
  <conditionalFormatting sqref="A690:A889">
    <cfRule type="duplicateValues" dxfId="68" priority="3" stopIfTrue="1"/>
  </conditionalFormatting>
  <pageMargins left="0.7" right="0.7" top="0.75" bottom="0.75" header="0.3" footer="0.3"/>
  <pageSetup paperSize="9" orientation="portrait" verticalDpi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 filterMode="1">
    <tabColor rgb="FFFF0000"/>
  </sheetPr>
  <dimension ref="A1:O2124"/>
  <sheetViews>
    <sheetView topLeftCell="A2011" zoomScale="90" zoomScaleNormal="90" workbookViewId="0">
      <selection activeCell="N2022" sqref="N2022:O2022"/>
    </sheetView>
  </sheetViews>
  <sheetFormatPr defaultColWidth="9.140625" defaultRowHeight="12.6"/>
  <cols>
    <col min="1" max="1" width="14.42578125" style="71" bestFit="1" customWidth="1"/>
    <col min="2" max="2" width="13.140625" style="71" customWidth="1"/>
    <col min="3" max="3" width="12.7109375" style="71" bestFit="1" customWidth="1"/>
    <col min="4" max="4" width="13.140625" style="73" bestFit="1" customWidth="1"/>
    <col min="5" max="5" width="12.7109375" style="71" bestFit="1" customWidth="1"/>
    <col min="6" max="6" width="11.140625" style="71" bestFit="1" customWidth="1"/>
    <col min="7" max="7" width="29.7109375" style="71" bestFit="1" customWidth="1"/>
    <col min="8" max="8" width="16.85546875" style="71" bestFit="1" customWidth="1"/>
    <col min="9" max="9" width="12.7109375" style="71" bestFit="1" customWidth="1"/>
    <col min="10" max="10" width="13" style="74" bestFit="1" customWidth="1"/>
    <col min="11" max="13" width="9.140625" style="71" customWidth="1"/>
    <col min="14" max="14" width="24.42578125" style="71" bestFit="1" customWidth="1"/>
    <col min="15" max="15" width="16.42578125" style="813" bestFit="1" customWidth="1"/>
    <col min="16" max="16384" width="9.140625" style="71"/>
  </cols>
  <sheetData>
    <row r="1" spans="1:15" ht="12.95">
      <c r="A1" s="635"/>
      <c r="B1" s="635"/>
      <c r="C1" s="635"/>
      <c r="D1" s="636"/>
      <c r="E1" s="635"/>
      <c r="F1" s="635"/>
      <c r="G1" s="635"/>
      <c r="H1" s="635"/>
      <c r="I1" s="637">
        <f ca="1">TODAY()</f>
        <v>45911</v>
      </c>
      <c r="J1" s="90"/>
      <c r="K1" s="635"/>
      <c r="L1" s="635"/>
      <c r="M1" s="635"/>
      <c r="N1" s="635"/>
      <c r="O1" s="638"/>
    </row>
    <row r="2" spans="1:15" ht="12.95">
      <c r="A2" s="635"/>
      <c r="B2" s="635"/>
      <c r="C2" s="635"/>
      <c r="D2" s="636"/>
      <c r="E2" s="635"/>
      <c r="F2" s="635"/>
      <c r="G2" s="635"/>
      <c r="H2" s="635"/>
      <c r="I2" s="635"/>
      <c r="J2" s="639"/>
      <c r="K2" s="635"/>
      <c r="L2" s="635"/>
      <c r="M2" s="635"/>
      <c r="N2" s="635"/>
      <c r="O2" s="638"/>
    </row>
    <row r="3" spans="1:15" ht="12" customHeight="1">
      <c r="A3" s="635"/>
      <c r="B3" s="635"/>
      <c r="C3" s="635"/>
      <c r="D3" s="636"/>
      <c r="E3" s="635"/>
      <c r="F3" s="635"/>
      <c r="G3" s="635"/>
      <c r="H3" s="635"/>
      <c r="I3" s="635"/>
      <c r="J3" s="639"/>
      <c r="K3" s="635"/>
      <c r="L3" s="635"/>
      <c r="M3" s="635"/>
      <c r="N3" s="635"/>
      <c r="O3" s="638"/>
    </row>
    <row r="4" spans="1:15" ht="19.5" customHeight="1">
      <c r="A4" s="76"/>
      <c r="B4" s="76"/>
      <c r="C4" s="76"/>
      <c r="D4" s="76"/>
      <c r="E4" s="76"/>
      <c r="F4" s="76"/>
      <c r="G4" s="76"/>
      <c r="H4" s="76"/>
      <c r="I4" s="76"/>
      <c r="J4" s="91"/>
      <c r="K4" s="635"/>
      <c r="L4" s="635"/>
      <c r="M4" s="635"/>
      <c r="N4" s="635"/>
      <c r="O4" s="638"/>
    </row>
    <row r="5" spans="1:15" ht="13.5" thickBot="1">
      <c r="A5" s="635"/>
      <c r="B5" s="635"/>
      <c r="C5" s="635"/>
      <c r="D5" s="636"/>
      <c r="E5" s="635"/>
      <c r="F5" s="635"/>
      <c r="G5" s="635"/>
      <c r="H5" s="635"/>
      <c r="I5" s="635"/>
      <c r="J5" s="639"/>
      <c r="K5" s="635"/>
      <c r="L5" s="635"/>
      <c r="M5" s="635"/>
      <c r="N5" s="635"/>
      <c r="O5" s="638"/>
    </row>
    <row r="6" spans="1:15" s="68" customFormat="1" ht="13.5" thickBot="1">
      <c r="A6" s="77" t="s">
        <v>19636</v>
      </c>
      <c r="B6" s="78" t="s">
        <v>19637</v>
      </c>
      <c r="C6" s="79" t="s">
        <v>19638</v>
      </c>
      <c r="D6" s="80" t="s">
        <v>19639</v>
      </c>
      <c r="E6" s="79" t="s">
        <v>19640</v>
      </c>
      <c r="F6" s="79" t="s">
        <v>19641</v>
      </c>
      <c r="G6" s="79" t="s">
        <v>19642</v>
      </c>
      <c r="H6" s="79" t="s">
        <v>19643</v>
      </c>
      <c r="I6" s="92" t="s">
        <v>19644</v>
      </c>
      <c r="J6" s="93" t="s">
        <v>19645</v>
      </c>
      <c r="N6" s="816" t="s">
        <v>19646</v>
      </c>
      <c r="O6" s="640"/>
    </row>
    <row r="7" spans="1:15" ht="12.95" hidden="1">
      <c r="A7" s="641">
        <v>43469</v>
      </c>
      <c r="B7" s="642">
        <v>44016</v>
      </c>
      <c r="C7" s="643">
        <v>56340.480000000003</v>
      </c>
      <c r="D7" s="644">
        <v>0</v>
      </c>
      <c r="E7" s="645">
        <f>(C7-D7)</f>
        <v>56340.480000000003</v>
      </c>
      <c r="F7" s="645">
        <f>(E7/B7)</f>
        <v>1.28</v>
      </c>
      <c r="G7" s="646" t="s">
        <v>19647</v>
      </c>
      <c r="H7" s="647" t="s">
        <v>17421</v>
      </c>
      <c r="I7" s="648">
        <v>43467</v>
      </c>
      <c r="J7" s="649"/>
      <c r="N7" s="297" t="s">
        <v>19643</v>
      </c>
      <c r="O7" s="95" t="s">
        <v>19648</v>
      </c>
    </row>
    <row r="8" spans="1:15" ht="14.45" hidden="1">
      <c r="A8" s="81">
        <v>43469</v>
      </c>
      <c r="B8" s="82">
        <v>20176</v>
      </c>
      <c r="C8" s="83">
        <v>30263.64</v>
      </c>
      <c r="D8" s="84">
        <v>0</v>
      </c>
      <c r="E8" s="30">
        <f t="shared" ref="E8:E71" si="0">(C8-D8)</f>
        <v>30263.64</v>
      </c>
      <c r="F8" s="30">
        <f t="shared" ref="F8:F71" si="1">(E8/B8)</f>
        <v>1.4999821570182394</v>
      </c>
      <c r="G8" s="83" t="s">
        <v>19649</v>
      </c>
      <c r="H8" s="85" t="s">
        <v>19650</v>
      </c>
      <c r="I8" s="94">
        <v>43451</v>
      </c>
      <c r="J8" s="32"/>
      <c r="N8" s="62" t="s">
        <v>19650</v>
      </c>
      <c r="O8" s="650">
        <v>0</v>
      </c>
    </row>
    <row r="9" spans="1:15" ht="14.45" hidden="1">
      <c r="A9" s="86">
        <v>43470</v>
      </c>
      <c r="B9" s="87">
        <v>40200</v>
      </c>
      <c r="C9" s="30">
        <v>71516.544999999998</v>
      </c>
      <c r="D9" s="84">
        <v>21067.9</v>
      </c>
      <c r="E9" s="30">
        <f t="shared" si="0"/>
        <v>50448.644999999997</v>
      </c>
      <c r="F9" s="30">
        <f t="shared" si="1"/>
        <v>1.2549414179104477</v>
      </c>
      <c r="G9" s="88" t="s">
        <v>19651</v>
      </c>
      <c r="H9" s="85" t="s">
        <v>17432</v>
      </c>
      <c r="I9" s="94">
        <v>43467</v>
      </c>
      <c r="J9" s="32"/>
      <c r="N9" s="66" t="s">
        <v>17421</v>
      </c>
      <c r="O9" s="651">
        <v>0</v>
      </c>
    </row>
    <row r="10" spans="1:15" ht="14.45" hidden="1">
      <c r="A10" s="86">
        <v>43472</v>
      </c>
      <c r="B10" s="87">
        <v>140000</v>
      </c>
      <c r="C10" s="30">
        <v>165200</v>
      </c>
      <c r="D10" s="84">
        <v>0</v>
      </c>
      <c r="E10" s="30">
        <f t="shared" si="0"/>
        <v>165200</v>
      </c>
      <c r="F10" s="30">
        <f t="shared" si="1"/>
        <v>1.18</v>
      </c>
      <c r="G10" s="83" t="s">
        <v>19652</v>
      </c>
      <c r="H10" s="85" t="s">
        <v>17423</v>
      </c>
      <c r="I10" s="94">
        <v>43467</v>
      </c>
      <c r="J10" s="32"/>
      <c r="N10" s="66" t="s">
        <v>17423</v>
      </c>
      <c r="O10" s="651">
        <v>0</v>
      </c>
    </row>
    <row r="11" spans="1:15" ht="14.45" hidden="1">
      <c r="A11" s="86">
        <v>43472</v>
      </c>
      <c r="B11" s="87">
        <v>66024</v>
      </c>
      <c r="C11" s="30">
        <v>86491.44</v>
      </c>
      <c r="D11" s="84">
        <v>0</v>
      </c>
      <c r="E11" s="30">
        <f t="shared" si="0"/>
        <v>86491.44</v>
      </c>
      <c r="F11" s="30">
        <f t="shared" si="1"/>
        <v>1.31</v>
      </c>
      <c r="G11" s="83" t="s">
        <v>19647</v>
      </c>
      <c r="H11" s="85" t="s">
        <v>17421</v>
      </c>
      <c r="I11" s="94">
        <v>43467</v>
      </c>
      <c r="J11" s="32"/>
      <c r="N11" s="66" t="s">
        <v>17426</v>
      </c>
      <c r="O11" s="651">
        <v>1483.3</v>
      </c>
    </row>
    <row r="12" spans="1:15" ht="14.45" hidden="1">
      <c r="A12" s="86">
        <v>43472</v>
      </c>
      <c r="B12" s="87">
        <v>18850</v>
      </c>
      <c r="C12" s="30">
        <v>68149.133000000002</v>
      </c>
      <c r="D12" s="84">
        <v>1483.3</v>
      </c>
      <c r="E12" s="30">
        <f t="shared" si="0"/>
        <v>66665.832999999999</v>
      </c>
      <c r="F12" s="30">
        <f t="shared" si="1"/>
        <v>3.5366489655172413</v>
      </c>
      <c r="G12" s="88" t="s">
        <v>19653</v>
      </c>
      <c r="H12" s="85" t="s">
        <v>17426</v>
      </c>
      <c r="I12" s="94">
        <v>43467</v>
      </c>
      <c r="J12" s="32"/>
      <c r="N12" s="66" t="s">
        <v>17428</v>
      </c>
      <c r="O12" s="651">
        <v>843.2</v>
      </c>
    </row>
    <row r="13" spans="1:15" ht="14.45" hidden="1">
      <c r="A13" s="86">
        <v>43473</v>
      </c>
      <c r="B13" s="87">
        <v>33600</v>
      </c>
      <c r="C13" s="30">
        <v>50400</v>
      </c>
      <c r="D13" s="84">
        <v>0</v>
      </c>
      <c r="E13" s="30">
        <f t="shared" si="0"/>
        <v>50400</v>
      </c>
      <c r="F13" s="30">
        <f t="shared" si="1"/>
        <v>1.5</v>
      </c>
      <c r="G13" s="83" t="s">
        <v>19654</v>
      </c>
      <c r="H13" s="85" t="s">
        <v>17429</v>
      </c>
      <c r="I13" s="94">
        <v>43467</v>
      </c>
      <c r="J13" s="32"/>
      <c r="N13" s="66" t="s">
        <v>17429</v>
      </c>
      <c r="O13" s="651">
        <v>0</v>
      </c>
    </row>
    <row r="14" spans="1:15" ht="14.45" hidden="1">
      <c r="A14" s="86">
        <v>43477</v>
      </c>
      <c r="B14" s="87">
        <v>66024</v>
      </c>
      <c r="C14" s="30">
        <v>86491.44</v>
      </c>
      <c r="D14" s="84">
        <v>0</v>
      </c>
      <c r="E14" s="30">
        <f t="shared" si="0"/>
        <v>86491.44</v>
      </c>
      <c r="F14" s="30">
        <f t="shared" si="1"/>
        <v>1.31</v>
      </c>
      <c r="G14" s="83" t="s">
        <v>19647</v>
      </c>
      <c r="H14" s="85" t="s">
        <v>17434</v>
      </c>
      <c r="I14" s="94">
        <v>43473</v>
      </c>
      <c r="J14" s="32"/>
      <c r="N14" s="66" t="s">
        <v>17432</v>
      </c>
      <c r="O14" s="651">
        <v>21067.9</v>
      </c>
    </row>
    <row r="15" spans="1:15" ht="14.45" hidden="1">
      <c r="A15" s="81">
        <v>43480</v>
      </c>
      <c r="B15" s="82">
        <v>44016</v>
      </c>
      <c r="C15" s="83">
        <v>57660.959999999999</v>
      </c>
      <c r="D15" s="84">
        <v>0</v>
      </c>
      <c r="E15" s="30">
        <f t="shared" si="0"/>
        <v>57660.959999999999</v>
      </c>
      <c r="F15" s="30">
        <f t="shared" si="1"/>
        <v>1.31</v>
      </c>
      <c r="G15" s="83" t="s">
        <v>19647</v>
      </c>
      <c r="H15" s="85" t="s">
        <v>17434</v>
      </c>
      <c r="I15" s="94">
        <v>43473</v>
      </c>
      <c r="J15" s="32"/>
      <c r="N15" s="66" t="s">
        <v>17434</v>
      </c>
      <c r="O15" s="651">
        <v>0</v>
      </c>
    </row>
    <row r="16" spans="1:15" ht="14.45" hidden="1">
      <c r="A16" s="86">
        <v>43480</v>
      </c>
      <c r="B16" s="87">
        <v>76008</v>
      </c>
      <c r="C16" s="30">
        <v>107367.6</v>
      </c>
      <c r="D16" s="84">
        <v>0</v>
      </c>
      <c r="E16" s="30">
        <f t="shared" si="0"/>
        <v>107367.6</v>
      </c>
      <c r="F16" s="30">
        <f t="shared" si="1"/>
        <v>1.4125828860119989</v>
      </c>
      <c r="G16" s="83" t="s">
        <v>19655</v>
      </c>
      <c r="H16" s="85" t="s">
        <v>17435</v>
      </c>
      <c r="I16" s="94">
        <v>43473</v>
      </c>
      <c r="J16" s="32"/>
      <c r="N16" s="66" t="s">
        <v>17435</v>
      </c>
      <c r="O16" s="651">
        <v>0</v>
      </c>
    </row>
    <row r="17" spans="1:15" ht="14.45" hidden="1">
      <c r="A17" s="86">
        <v>43481</v>
      </c>
      <c r="B17" s="87">
        <v>112000</v>
      </c>
      <c r="C17" s="30">
        <v>136640</v>
      </c>
      <c r="D17" s="84">
        <v>0</v>
      </c>
      <c r="E17" s="30">
        <f t="shared" si="0"/>
        <v>136640</v>
      </c>
      <c r="F17" s="30">
        <f t="shared" si="1"/>
        <v>1.22</v>
      </c>
      <c r="G17" s="83" t="s">
        <v>19656</v>
      </c>
      <c r="H17" s="85" t="s">
        <v>17449</v>
      </c>
      <c r="I17" s="94">
        <v>43473</v>
      </c>
      <c r="J17" s="32"/>
      <c r="N17" s="66" t="s">
        <v>17439</v>
      </c>
      <c r="O17" s="651">
        <v>10080</v>
      </c>
    </row>
    <row r="18" spans="1:15" ht="14.45" hidden="1">
      <c r="A18" s="86">
        <v>43482</v>
      </c>
      <c r="B18" s="87">
        <v>112000</v>
      </c>
      <c r="C18" s="30">
        <v>136640</v>
      </c>
      <c r="D18" s="84">
        <v>0</v>
      </c>
      <c r="E18" s="30">
        <f t="shared" si="0"/>
        <v>136640</v>
      </c>
      <c r="F18" s="30">
        <f t="shared" si="1"/>
        <v>1.22</v>
      </c>
      <c r="G18" s="83" t="s">
        <v>19656</v>
      </c>
      <c r="H18" s="85" t="s">
        <v>17449</v>
      </c>
      <c r="I18" s="94">
        <v>43473</v>
      </c>
      <c r="J18" s="32"/>
      <c r="N18" s="66" t="s">
        <v>17443</v>
      </c>
      <c r="O18" s="651">
        <v>10080</v>
      </c>
    </row>
    <row r="19" spans="1:15" ht="14.45" hidden="1">
      <c r="A19" s="86">
        <v>43483</v>
      </c>
      <c r="B19" s="87">
        <v>44016</v>
      </c>
      <c r="C19" s="30">
        <v>78333.710000000006</v>
      </c>
      <c r="D19" s="84">
        <v>13884.44</v>
      </c>
      <c r="E19" s="30">
        <f t="shared" si="0"/>
        <v>64449.270000000004</v>
      </c>
      <c r="F19" s="30">
        <f t="shared" si="1"/>
        <v>1.4642236913849511</v>
      </c>
      <c r="G19" s="88" t="s">
        <v>19657</v>
      </c>
      <c r="H19" s="85" t="s">
        <v>17447</v>
      </c>
      <c r="I19" s="94">
        <v>43473</v>
      </c>
      <c r="J19" s="32"/>
      <c r="N19" s="66" t="s">
        <v>17445</v>
      </c>
      <c r="O19" s="651">
        <v>10080</v>
      </c>
    </row>
    <row r="20" spans="1:15" ht="14.45" hidden="1">
      <c r="A20" s="86">
        <v>43483</v>
      </c>
      <c r="B20" s="87">
        <v>56000</v>
      </c>
      <c r="C20" s="30">
        <v>68320</v>
      </c>
      <c r="D20" s="84">
        <v>0</v>
      </c>
      <c r="E20" s="30">
        <f t="shared" si="0"/>
        <v>68320</v>
      </c>
      <c r="F20" s="30">
        <f t="shared" si="1"/>
        <v>1.22</v>
      </c>
      <c r="G20" s="83" t="s">
        <v>19656</v>
      </c>
      <c r="H20" s="85" t="s">
        <v>17449</v>
      </c>
      <c r="I20" s="94">
        <v>43473</v>
      </c>
      <c r="J20" s="32"/>
      <c r="N20" s="66" t="s">
        <v>17447</v>
      </c>
      <c r="O20" s="651">
        <v>13884.44</v>
      </c>
    </row>
    <row r="21" spans="1:15" ht="14.45" hidden="1">
      <c r="A21" s="86">
        <v>43484</v>
      </c>
      <c r="B21" s="87">
        <v>300000</v>
      </c>
      <c r="C21" s="30">
        <v>498003</v>
      </c>
      <c r="D21" s="84">
        <v>0</v>
      </c>
      <c r="E21" s="30">
        <f t="shared" si="0"/>
        <v>498003</v>
      </c>
      <c r="F21" s="30">
        <f t="shared" si="1"/>
        <v>1.66001</v>
      </c>
      <c r="G21" s="88" t="s">
        <v>19658</v>
      </c>
      <c r="H21" s="85" t="s">
        <v>17453</v>
      </c>
      <c r="I21" s="94">
        <v>43475</v>
      </c>
      <c r="J21" s="32"/>
      <c r="N21" s="66" t="s">
        <v>17449</v>
      </c>
      <c r="O21" s="651">
        <v>0</v>
      </c>
    </row>
    <row r="22" spans="1:15" ht="14.45" hidden="1">
      <c r="A22" s="86">
        <v>43488</v>
      </c>
      <c r="B22" s="87">
        <v>28008</v>
      </c>
      <c r="C22" s="30">
        <v>35850.239999999998</v>
      </c>
      <c r="D22" s="84">
        <v>0</v>
      </c>
      <c r="E22" s="30">
        <f t="shared" si="0"/>
        <v>35850.239999999998</v>
      </c>
      <c r="F22" s="30">
        <f t="shared" si="1"/>
        <v>1.28</v>
      </c>
      <c r="G22" s="83" t="s">
        <v>19655</v>
      </c>
      <c r="H22" s="85" t="s">
        <v>17455</v>
      </c>
      <c r="I22" s="96">
        <v>43476</v>
      </c>
      <c r="J22" s="32"/>
      <c r="N22" s="66" t="s">
        <v>17450</v>
      </c>
      <c r="O22" s="651">
        <v>4614.1779999999999</v>
      </c>
    </row>
    <row r="23" spans="1:15" ht="14.45" hidden="1">
      <c r="A23" s="86">
        <v>43488</v>
      </c>
      <c r="B23" s="87">
        <v>28008</v>
      </c>
      <c r="C23" s="30">
        <v>35850.239999999998</v>
      </c>
      <c r="D23" s="84">
        <v>0</v>
      </c>
      <c r="E23" s="30">
        <f t="shared" si="0"/>
        <v>35850.239999999998</v>
      </c>
      <c r="F23" s="30">
        <f t="shared" si="1"/>
        <v>1.28</v>
      </c>
      <c r="G23" s="83" t="s">
        <v>19655</v>
      </c>
      <c r="H23" s="85" t="s">
        <v>17457</v>
      </c>
      <c r="I23" s="96">
        <v>43476</v>
      </c>
      <c r="J23" s="32"/>
      <c r="N23" s="66" t="s">
        <v>17453</v>
      </c>
      <c r="O23" s="651">
        <v>0</v>
      </c>
    </row>
    <row r="24" spans="1:15" ht="14.45" hidden="1">
      <c r="A24" s="86">
        <v>43488</v>
      </c>
      <c r="B24" s="87">
        <v>20000</v>
      </c>
      <c r="C24" s="30">
        <v>41765.699999999997</v>
      </c>
      <c r="D24" s="84">
        <v>4614.1779999999999</v>
      </c>
      <c r="E24" s="30">
        <f t="shared" si="0"/>
        <v>37151.521999999997</v>
      </c>
      <c r="F24" s="30">
        <f t="shared" si="1"/>
        <v>1.8575761</v>
      </c>
      <c r="G24" s="88" t="s">
        <v>19659</v>
      </c>
      <c r="H24" s="85" t="s">
        <v>17450</v>
      </c>
      <c r="I24" s="94">
        <v>43473</v>
      </c>
      <c r="J24" s="32"/>
      <c r="N24" s="66" t="s">
        <v>17455</v>
      </c>
      <c r="O24" s="651">
        <v>0</v>
      </c>
    </row>
    <row r="25" spans="1:15" ht="14.45" hidden="1">
      <c r="A25" s="86">
        <v>43488</v>
      </c>
      <c r="B25" s="87">
        <v>20000</v>
      </c>
      <c r="C25" s="30">
        <v>27600</v>
      </c>
      <c r="D25" s="84">
        <v>0</v>
      </c>
      <c r="E25" s="30">
        <f t="shared" si="0"/>
        <v>27600</v>
      </c>
      <c r="F25" s="30">
        <f t="shared" si="1"/>
        <v>1.38</v>
      </c>
      <c r="G25" s="83" t="s">
        <v>19660</v>
      </c>
      <c r="H25" s="85" t="s">
        <v>17461</v>
      </c>
      <c r="I25" s="96">
        <v>43482</v>
      </c>
      <c r="J25" s="32"/>
      <c r="N25" s="66" t="s">
        <v>17457</v>
      </c>
      <c r="O25" s="651">
        <v>0</v>
      </c>
    </row>
    <row r="26" spans="1:15" ht="14.45" hidden="1">
      <c r="A26" s="86">
        <v>43489</v>
      </c>
      <c r="B26" s="87">
        <v>22840</v>
      </c>
      <c r="C26" s="30">
        <v>34348.5</v>
      </c>
      <c r="D26" s="84">
        <v>0</v>
      </c>
      <c r="E26" s="30">
        <f t="shared" si="0"/>
        <v>34348.5</v>
      </c>
      <c r="F26" s="30">
        <f t="shared" si="1"/>
        <v>1.5038747810858144</v>
      </c>
      <c r="G26" s="83" t="s">
        <v>19647</v>
      </c>
      <c r="H26" s="85" t="s">
        <v>17469</v>
      </c>
      <c r="I26" s="96">
        <v>43486</v>
      </c>
      <c r="J26" s="32"/>
      <c r="N26" s="66" t="s">
        <v>17458</v>
      </c>
      <c r="O26" s="651">
        <v>0</v>
      </c>
    </row>
    <row r="27" spans="1:15" ht="14.45" hidden="1">
      <c r="A27" s="86">
        <v>43490</v>
      </c>
      <c r="B27" s="87">
        <v>27222</v>
      </c>
      <c r="C27" s="30">
        <v>51091.336000000003</v>
      </c>
      <c r="D27" s="89">
        <v>10080</v>
      </c>
      <c r="E27" s="30">
        <f t="shared" si="0"/>
        <v>41011.336000000003</v>
      </c>
      <c r="F27" s="30">
        <f t="shared" si="1"/>
        <v>1.5065511718463009</v>
      </c>
      <c r="G27" s="88" t="s">
        <v>19661</v>
      </c>
      <c r="H27" s="85" t="s">
        <v>17439</v>
      </c>
      <c r="I27" s="94">
        <v>43473</v>
      </c>
      <c r="J27" s="32"/>
      <c r="N27" s="66" t="s">
        <v>17461</v>
      </c>
      <c r="O27" s="651">
        <v>0</v>
      </c>
    </row>
    <row r="28" spans="1:15" ht="14.45" hidden="1">
      <c r="A28" s="86">
        <v>43490</v>
      </c>
      <c r="B28" s="87">
        <v>21600</v>
      </c>
      <c r="C28" s="30">
        <v>40186.053</v>
      </c>
      <c r="D28" s="89">
        <v>10080</v>
      </c>
      <c r="E28" s="30">
        <f t="shared" si="0"/>
        <v>30106.053</v>
      </c>
      <c r="F28" s="30">
        <f t="shared" si="1"/>
        <v>1.39379875</v>
      </c>
      <c r="G28" s="88" t="s">
        <v>19661</v>
      </c>
      <c r="H28" s="85" t="s">
        <v>17443</v>
      </c>
      <c r="I28" s="94">
        <v>43473</v>
      </c>
      <c r="J28" s="32"/>
      <c r="N28" s="66" t="s">
        <v>17463</v>
      </c>
      <c r="O28" s="651">
        <v>0</v>
      </c>
    </row>
    <row r="29" spans="1:15" ht="14.45" hidden="1">
      <c r="A29" s="86">
        <v>43490</v>
      </c>
      <c r="B29" s="87">
        <v>21600</v>
      </c>
      <c r="C29" s="30">
        <v>40186.053</v>
      </c>
      <c r="D29" s="89">
        <v>10080</v>
      </c>
      <c r="E29" s="30">
        <f t="shared" si="0"/>
        <v>30106.053</v>
      </c>
      <c r="F29" s="30">
        <f t="shared" si="1"/>
        <v>1.39379875</v>
      </c>
      <c r="G29" s="88" t="s">
        <v>19661</v>
      </c>
      <c r="H29" s="85" t="s">
        <v>17445</v>
      </c>
      <c r="I29" s="94">
        <v>43473</v>
      </c>
      <c r="J29" s="32"/>
      <c r="N29" s="66" t="s">
        <v>17465</v>
      </c>
      <c r="O29" s="651">
        <v>0</v>
      </c>
    </row>
    <row r="30" spans="1:15" ht="14.45" hidden="1">
      <c r="A30" s="86">
        <v>43491</v>
      </c>
      <c r="B30" s="87">
        <v>26000</v>
      </c>
      <c r="C30" s="30">
        <v>42850.387999999999</v>
      </c>
      <c r="D30" s="84">
        <v>6030.5780000000004</v>
      </c>
      <c r="E30" s="30">
        <f t="shared" si="0"/>
        <v>36819.81</v>
      </c>
      <c r="F30" s="30">
        <f t="shared" si="1"/>
        <v>1.4161465384615384</v>
      </c>
      <c r="G30" s="88" t="s">
        <v>17173</v>
      </c>
      <c r="H30" s="85" t="s">
        <v>17473</v>
      </c>
      <c r="I30" s="94">
        <v>43487</v>
      </c>
      <c r="J30" s="32"/>
      <c r="N30" s="66" t="s">
        <v>17467</v>
      </c>
      <c r="O30" s="651">
        <v>0</v>
      </c>
    </row>
    <row r="31" spans="1:15" ht="14.45" hidden="1">
      <c r="A31" s="86">
        <v>43493</v>
      </c>
      <c r="B31" s="87">
        <v>111420</v>
      </c>
      <c r="C31" s="30">
        <v>184116.519</v>
      </c>
      <c r="D31" s="84">
        <v>41496.313999999998</v>
      </c>
      <c r="E31" s="30">
        <f t="shared" si="0"/>
        <v>142620.20500000002</v>
      </c>
      <c r="F31" s="30">
        <f t="shared" si="1"/>
        <v>1.2800233800035901</v>
      </c>
      <c r="G31" s="88" t="s">
        <v>19662</v>
      </c>
      <c r="H31" s="85" t="s">
        <v>17475</v>
      </c>
      <c r="I31" s="94">
        <v>43487</v>
      </c>
      <c r="J31" s="32"/>
      <c r="N31" s="66" t="s">
        <v>17469</v>
      </c>
      <c r="O31" s="651">
        <v>0</v>
      </c>
    </row>
    <row r="32" spans="1:15" ht="14.45" hidden="1">
      <c r="A32" s="86">
        <v>43495</v>
      </c>
      <c r="B32" s="87">
        <v>26000</v>
      </c>
      <c r="C32" s="30">
        <v>43667.192000000003</v>
      </c>
      <c r="D32" s="84">
        <v>7929.375</v>
      </c>
      <c r="E32" s="30">
        <f t="shared" si="0"/>
        <v>35737.817000000003</v>
      </c>
      <c r="F32" s="30">
        <f t="shared" si="1"/>
        <v>1.3745314230769232</v>
      </c>
      <c r="G32" s="88" t="s">
        <v>17173</v>
      </c>
      <c r="H32" s="85" t="s">
        <v>17471</v>
      </c>
      <c r="I32" s="94">
        <v>43487</v>
      </c>
      <c r="J32" s="32"/>
      <c r="N32" s="66" t="s">
        <v>17471</v>
      </c>
      <c r="O32" s="651">
        <v>7929.375</v>
      </c>
    </row>
    <row r="33" spans="1:15" ht="14.45" hidden="1">
      <c r="A33" s="86">
        <v>43496</v>
      </c>
      <c r="B33" s="87">
        <v>40000</v>
      </c>
      <c r="C33" s="30">
        <v>55200</v>
      </c>
      <c r="D33" s="84">
        <v>0</v>
      </c>
      <c r="E33" s="30">
        <f t="shared" si="0"/>
        <v>55200</v>
      </c>
      <c r="F33" s="30">
        <f t="shared" si="1"/>
        <v>1.38</v>
      </c>
      <c r="G33" s="83" t="s">
        <v>19660</v>
      </c>
      <c r="H33" s="85" t="s">
        <v>17463</v>
      </c>
      <c r="I33" s="96">
        <v>43482</v>
      </c>
      <c r="J33" s="32"/>
      <c r="N33" s="66" t="s">
        <v>17473</v>
      </c>
      <c r="O33" s="651">
        <v>6030.5780000000004</v>
      </c>
    </row>
    <row r="34" spans="1:15" ht="14.45" hidden="1">
      <c r="A34" s="86">
        <v>43497</v>
      </c>
      <c r="B34" s="87">
        <v>22008</v>
      </c>
      <c r="C34" s="30">
        <v>31887.360000000001</v>
      </c>
      <c r="D34" s="84">
        <v>0</v>
      </c>
      <c r="E34" s="30">
        <f t="shared" si="0"/>
        <v>31887.360000000001</v>
      </c>
      <c r="F34" s="30">
        <f t="shared" si="1"/>
        <v>1.4488985823336968</v>
      </c>
      <c r="G34" s="83" t="s">
        <v>19663</v>
      </c>
      <c r="H34" s="85" t="s">
        <v>17465</v>
      </c>
      <c r="I34" s="96">
        <v>43483</v>
      </c>
      <c r="J34" s="32"/>
      <c r="N34" s="66" t="s">
        <v>17475</v>
      </c>
      <c r="O34" s="651">
        <v>41496.313999999998</v>
      </c>
    </row>
    <row r="35" spans="1:15" ht="14.45" hidden="1">
      <c r="A35" s="86">
        <v>43497</v>
      </c>
      <c r="B35" s="87">
        <v>57600</v>
      </c>
      <c r="C35" s="30">
        <v>81024</v>
      </c>
      <c r="D35" s="84">
        <v>0</v>
      </c>
      <c r="E35" s="30">
        <f t="shared" si="0"/>
        <v>81024</v>
      </c>
      <c r="F35" s="30">
        <f t="shared" si="1"/>
        <v>1.4066666666666667</v>
      </c>
      <c r="G35" s="83" t="s">
        <v>19664</v>
      </c>
      <c r="H35" s="85" t="s">
        <v>17458</v>
      </c>
      <c r="I35" s="96">
        <v>43482</v>
      </c>
      <c r="N35" s="66" t="s">
        <v>17476</v>
      </c>
      <c r="O35" s="651">
        <v>1428.54</v>
      </c>
    </row>
    <row r="36" spans="1:15" s="69" customFormat="1" ht="14.45" hidden="1">
      <c r="A36" s="86">
        <v>43501</v>
      </c>
      <c r="B36" s="87">
        <v>8552</v>
      </c>
      <c r="C36" s="30">
        <v>14419.4</v>
      </c>
      <c r="D36" s="84">
        <v>0</v>
      </c>
      <c r="E36" s="30">
        <f t="shared" si="0"/>
        <v>14419.4</v>
      </c>
      <c r="F36" s="30">
        <f t="shared" si="1"/>
        <v>1.6860851262862488</v>
      </c>
      <c r="G36" s="83" t="s">
        <v>19665</v>
      </c>
      <c r="H36" s="85" t="s">
        <v>17486</v>
      </c>
      <c r="I36" s="94">
        <v>43496</v>
      </c>
      <c r="J36" s="97"/>
      <c r="N36" s="66" t="s">
        <v>17478</v>
      </c>
      <c r="O36" s="651">
        <v>18059.240000000002</v>
      </c>
    </row>
    <row r="37" spans="1:15" ht="14.45" hidden="1">
      <c r="A37" s="86">
        <v>43501</v>
      </c>
      <c r="B37" s="87">
        <v>11808</v>
      </c>
      <c r="C37" s="30">
        <v>18295.36</v>
      </c>
      <c r="D37" s="84">
        <v>0</v>
      </c>
      <c r="E37" s="30">
        <f t="shared" si="0"/>
        <v>18295.36</v>
      </c>
      <c r="F37" s="30">
        <f t="shared" si="1"/>
        <v>1.5494037940379404</v>
      </c>
      <c r="G37" s="83" t="s">
        <v>19666</v>
      </c>
      <c r="H37" s="85" t="s">
        <v>17467</v>
      </c>
      <c r="I37" s="94">
        <v>43483</v>
      </c>
      <c r="N37" s="66" t="s">
        <v>17480</v>
      </c>
      <c r="O37" s="651">
        <v>18059.240000000002</v>
      </c>
    </row>
    <row r="38" spans="1:15" ht="14.45" hidden="1">
      <c r="A38" s="86">
        <v>43502</v>
      </c>
      <c r="B38" s="87">
        <v>108000</v>
      </c>
      <c r="C38" s="30">
        <v>153213.228</v>
      </c>
      <c r="D38" s="84">
        <v>18059.240000000002</v>
      </c>
      <c r="E38" s="30">
        <f t="shared" si="0"/>
        <v>135153.98800000001</v>
      </c>
      <c r="F38" s="30">
        <f t="shared" si="1"/>
        <v>1.251425814814815</v>
      </c>
      <c r="G38" s="88" t="s">
        <v>19667</v>
      </c>
      <c r="H38" s="85" t="s">
        <v>17478</v>
      </c>
      <c r="I38" s="94">
        <v>43489</v>
      </c>
      <c r="N38" s="66" t="s">
        <v>17481</v>
      </c>
      <c r="O38" s="651">
        <v>19000</v>
      </c>
    </row>
    <row r="39" spans="1:15" ht="14.45" hidden="1">
      <c r="A39" s="86">
        <v>43502</v>
      </c>
      <c r="B39" s="87">
        <v>88032</v>
      </c>
      <c r="C39" s="30">
        <v>115321.92</v>
      </c>
      <c r="D39" s="84">
        <v>0</v>
      </c>
      <c r="E39" s="30">
        <f t="shared" si="0"/>
        <v>115321.92</v>
      </c>
      <c r="F39" s="30">
        <f t="shared" si="1"/>
        <v>1.31</v>
      </c>
      <c r="G39" s="83" t="s">
        <v>19647</v>
      </c>
      <c r="H39" s="85" t="s">
        <v>17490</v>
      </c>
      <c r="I39" s="94">
        <v>43500</v>
      </c>
      <c r="N39" s="66" t="s">
        <v>17482</v>
      </c>
      <c r="O39" s="651">
        <v>19000</v>
      </c>
    </row>
    <row r="40" spans="1:15" ht="14.45" hidden="1">
      <c r="A40" s="86">
        <v>43502</v>
      </c>
      <c r="B40" s="87">
        <v>13034</v>
      </c>
      <c r="C40" s="30">
        <v>30724.753000000001</v>
      </c>
      <c r="D40" s="84">
        <v>6944.4849999999997</v>
      </c>
      <c r="E40" s="30">
        <f t="shared" si="0"/>
        <v>23780.268</v>
      </c>
      <c r="F40" s="30">
        <f t="shared" si="1"/>
        <v>1.8244796685591529</v>
      </c>
      <c r="G40" s="88" t="s">
        <v>17151</v>
      </c>
      <c r="H40" s="85" t="s">
        <v>17494</v>
      </c>
      <c r="I40" s="94">
        <v>43500</v>
      </c>
      <c r="N40" s="66" t="s">
        <v>17483</v>
      </c>
      <c r="O40" s="651">
        <v>40844.14</v>
      </c>
    </row>
    <row r="41" spans="1:15" ht="14.45" hidden="1">
      <c r="A41" s="86">
        <v>43503</v>
      </c>
      <c r="B41" s="87">
        <v>108000</v>
      </c>
      <c r="C41" s="30">
        <v>153213.228</v>
      </c>
      <c r="D41" s="84">
        <v>18059.240000000002</v>
      </c>
      <c r="E41" s="30">
        <f t="shared" si="0"/>
        <v>135153.98800000001</v>
      </c>
      <c r="F41" s="30">
        <f t="shared" si="1"/>
        <v>1.251425814814815</v>
      </c>
      <c r="G41" s="88" t="s">
        <v>19667</v>
      </c>
      <c r="H41" s="85" t="s">
        <v>17480</v>
      </c>
      <c r="I41" s="94">
        <v>43489</v>
      </c>
      <c r="N41" s="66" t="s">
        <v>17484</v>
      </c>
      <c r="O41" s="651">
        <v>10074.65</v>
      </c>
    </row>
    <row r="42" spans="1:15" ht="14.45" hidden="1">
      <c r="A42" s="86">
        <v>43503</v>
      </c>
      <c r="B42" s="87">
        <v>44016</v>
      </c>
      <c r="C42" s="30">
        <v>57660.959999999999</v>
      </c>
      <c r="D42" s="84">
        <v>0</v>
      </c>
      <c r="E42" s="30">
        <f t="shared" si="0"/>
        <v>57660.959999999999</v>
      </c>
      <c r="F42" s="30">
        <f t="shared" si="1"/>
        <v>1.31</v>
      </c>
      <c r="G42" s="83" t="s">
        <v>19647</v>
      </c>
      <c r="H42" s="85" t="s">
        <v>17490</v>
      </c>
      <c r="I42" s="94">
        <v>43500</v>
      </c>
      <c r="N42" s="66" t="s">
        <v>17486</v>
      </c>
      <c r="O42" s="651">
        <v>0</v>
      </c>
    </row>
    <row r="43" spans="1:15" ht="14.45" hidden="1">
      <c r="A43" s="86">
        <v>43503</v>
      </c>
      <c r="B43" s="87">
        <v>24600</v>
      </c>
      <c r="C43" s="30">
        <v>44057.129000000001</v>
      </c>
      <c r="D43" s="84">
        <v>10074.65</v>
      </c>
      <c r="E43" s="30">
        <f t="shared" si="0"/>
        <v>33982.478999999999</v>
      </c>
      <c r="F43" s="30">
        <f t="shared" si="1"/>
        <v>1.3814015853658537</v>
      </c>
      <c r="G43" s="88" t="s">
        <v>19657</v>
      </c>
      <c r="H43" s="85" t="s">
        <v>17484</v>
      </c>
      <c r="I43" s="94">
        <v>43489</v>
      </c>
      <c r="N43" s="66" t="s">
        <v>17488</v>
      </c>
      <c r="O43" s="651">
        <v>1220.95</v>
      </c>
    </row>
    <row r="44" spans="1:15" ht="14.45" hidden="1">
      <c r="A44" s="86">
        <v>43503</v>
      </c>
      <c r="B44" s="87">
        <v>18480</v>
      </c>
      <c r="C44" s="30">
        <v>62126.267999999996</v>
      </c>
      <c r="D44" s="84">
        <v>1428.54</v>
      </c>
      <c r="E44" s="30">
        <f t="shared" si="0"/>
        <v>60697.727999999996</v>
      </c>
      <c r="F44" s="30">
        <f t="shared" si="1"/>
        <v>3.2845090909090908</v>
      </c>
      <c r="G44" s="88" t="s">
        <v>19653</v>
      </c>
      <c r="H44" s="85" t="s">
        <v>17476</v>
      </c>
      <c r="I44" s="94">
        <v>43489</v>
      </c>
      <c r="N44" s="66" t="s">
        <v>17490</v>
      </c>
      <c r="O44" s="651">
        <v>0</v>
      </c>
    </row>
    <row r="45" spans="1:15" ht="14.45" hidden="1">
      <c r="A45" s="86">
        <v>43504</v>
      </c>
      <c r="B45" s="87">
        <v>108000</v>
      </c>
      <c r="C45" s="30">
        <v>153213.228</v>
      </c>
      <c r="D45" s="89">
        <v>19000</v>
      </c>
      <c r="E45" s="30">
        <f t="shared" si="0"/>
        <v>134213.228</v>
      </c>
      <c r="F45" s="30">
        <f t="shared" si="1"/>
        <v>1.242715074074074</v>
      </c>
      <c r="G45" s="88" t="s">
        <v>19667</v>
      </c>
      <c r="H45" s="85" t="s">
        <v>17481</v>
      </c>
      <c r="I45" s="94">
        <v>43489</v>
      </c>
      <c r="N45" s="66" t="s">
        <v>17491</v>
      </c>
      <c r="O45" s="651">
        <v>0</v>
      </c>
    </row>
    <row r="46" spans="1:15" ht="14.45" hidden="1">
      <c r="A46" s="86">
        <v>43504</v>
      </c>
      <c r="B46" s="87">
        <v>44016</v>
      </c>
      <c r="C46" s="30">
        <v>57660.959999999999</v>
      </c>
      <c r="D46" s="84">
        <v>0</v>
      </c>
      <c r="E46" s="30">
        <f t="shared" si="0"/>
        <v>57660.959999999999</v>
      </c>
      <c r="F46" s="30">
        <f t="shared" si="1"/>
        <v>1.31</v>
      </c>
      <c r="G46" s="83" t="s">
        <v>19647</v>
      </c>
      <c r="H46" s="85" t="s">
        <v>17490</v>
      </c>
      <c r="I46" s="94">
        <v>43500</v>
      </c>
      <c r="N46" s="66" t="s">
        <v>17492</v>
      </c>
      <c r="O46" s="651">
        <v>9932.259</v>
      </c>
    </row>
    <row r="47" spans="1:15" ht="14.45" hidden="1">
      <c r="A47" s="86">
        <v>43505</v>
      </c>
      <c r="B47" s="87">
        <v>24044</v>
      </c>
      <c r="C47" s="30">
        <v>32127.96</v>
      </c>
      <c r="D47" s="84">
        <v>0</v>
      </c>
      <c r="E47" s="30">
        <f t="shared" si="0"/>
        <v>32127.96</v>
      </c>
      <c r="F47" s="30">
        <f t="shared" si="1"/>
        <v>1.3362152720013309</v>
      </c>
      <c r="G47" s="83" t="s">
        <v>19668</v>
      </c>
      <c r="H47" s="85" t="s">
        <v>17496</v>
      </c>
      <c r="I47" s="94">
        <v>43502</v>
      </c>
      <c r="N47" s="66" t="s">
        <v>17494</v>
      </c>
      <c r="O47" s="651">
        <v>6944.4849999999997</v>
      </c>
    </row>
    <row r="48" spans="1:15" ht="14.45" hidden="1">
      <c r="A48" s="86">
        <v>43505</v>
      </c>
      <c r="B48" s="87">
        <v>108000</v>
      </c>
      <c r="C48" s="30">
        <v>153213.228</v>
      </c>
      <c r="D48" s="89">
        <v>19000</v>
      </c>
      <c r="E48" s="30">
        <f t="shared" si="0"/>
        <v>134213.228</v>
      </c>
      <c r="F48" s="30">
        <f t="shared" si="1"/>
        <v>1.242715074074074</v>
      </c>
      <c r="G48" s="88" t="s">
        <v>19667</v>
      </c>
      <c r="H48" s="85" t="s">
        <v>17482</v>
      </c>
      <c r="I48" s="94">
        <v>43489</v>
      </c>
      <c r="N48" s="66" t="s">
        <v>17496</v>
      </c>
      <c r="O48" s="651">
        <v>0</v>
      </c>
    </row>
    <row r="49" spans="1:15" ht="14.45" hidden="1">
      <c r="A49" s="86">
        <v>43507</v>
      </c>
      <c r="B49" s="87">
        <v>104000</v>
      </c>
      <c r="C49" s="30">
        <v>131040</v>
      </c>
      <c r="D49" s="84">
        <v>0</v>
      </c>
      <c r="E49" s="30">
        <f t="shared" si="0"/>
        <v>131040</v>
      </c>
      <c r="F49" s="30">
        <f t="shared" si="1"/>
        <v>1.26</v>
      </c>
      <c r="G49" s="83" t="s">
        <v>19656</v>
      </c>
      <c r="H49" s="85" t="s">
        <v>17498</v>
      </c>
      <c r="I49" s="94">
        <v>43502</v>
      </c>
      <c r="N49" s="66" t="s">
        <v>17498</v>
      </c>
      <c r="O49" s="651">
        <v>0</v>
      </c>
    </row>
    <row r="50" spans="1:15" ht="14.45" hidden="1">
      <c r="A50" s="86">
        <v>43508</v>
      </c>
      <c r="B50" s="87">
        <v>104000</v>
      </c>
      <c r="C50" s="30">
        <v>131040</v>
      </c>
      <c r="D50" s="84">
        <v>0</v>
      </c>
      <c r="E50" s="30">
        <f t="shared" si="0"/>
        <v>131040</v>
      </c>
      <c r="F50" s="30">
        <f t="shared" si="1"/>
        <v>1.26</v>
      </c>
      <c r="G50" s="83" t="s">
        <v>19656</v>
      </c>
      <c r="H50" s="85" t="s">
        <v>17498</v>
      </c>
      <c r="I50" s="94">
        <v>43502</v>
      </c>
      <c r="N50" s="66" t="s">
        <v>17499</v>
      </c>
      <c r="O50" s="651">
        <v>0</v>
      </c>
    </row>
    <row r="51" spans="1:15" ht="14.45" hidden="1">
      <c r="A51" s="86">
        <v>43509</v>
      </c>
      <c r="B51" s="87">
        <v>22008</v>
      </c>
      <c r="C51" s="30">
        <v>31251.360000000001</v>
      </c>
      <c r="D51" s="84">
        <v>0</v>
      </c>
      <c r="E51" s="30">
        <f t="shared" si="0"/>
        <v>31251.360000000001</v>
      </c>
      <c r="F51" s="30">
        <f t="shared" si="1"/>
        <v>1.42</v>
      </c>
      <c r="G51" s="83" t="s">
        <v>19655</v>
      </c>
      <c r="H51" s="85" t="s">
        <v>17491</v>
      </c>
      <c r="I51" s="94">
        <v>43500</v>
      </c>
      <c r="N51" s="66" t="s">
        <v>17501</v>
      </c>
      <c r="O51" s="651">
        <v>0</v>
      </c>
    </row>
    <row r="52" spans="1:15" ht="14.45" hidden="1">
      <c r="A52" s="86">
        <v>43509</v>
      </c>
      <c r="B52" s="87">
        <v>104000</v>
      </c>
      <c r="C52" s="30">
        <v>131040</v>
      </c>
      <c r="D52" s="84">
        <v>0</v>
      </c>
      <c r="E52" s="30">
        <f t="shared" si="0"/>
        <v>131040</v>
      </c>
      <c r="F52" s="30">
        <f t="shared" si="1"/>
        <v>1.26</v>
      </c>
      <c r="G52" s="83" t="s">
        <v>19656</v>
      </c>
      <c r="H52" s="85" t="s">
        <v>17498</v>
      </c>
      <c r="I52" s="94">
        <v>43502</v>
      </c>
      <c r="N52" s="66" t="s">
        <v>17504</v>
      </c>
      <c r="O52" s="651">
        <v>18500</v>
      </c>
    </row>
    <row r="53" spans="1:15" ht="14.45" hidden="1">
      <c r="A53" s="86">
        <v>43510</v>
      </c>
      <c r="B53" s="87">
        <v>8000</v>
      </c>
      <c r="C53" s="30">
        <v>33787.563999999998</v>
      </c>
      <c r="D53" s="84">
        <v>843.2</v>
      </c>
      <c r="E53" s="30">
        <f t="shared" si="0"/>
        <v>32944.364000000001</v>
      </c>
      <c r="F53" s="30">
        <f t="shared" si="1"/>
        <v>4.1180455</v>
      </c>
      <c r="G53" s="88" t="s">
        <v>19669</v>
      </c>
      <c r="H53" s="85" t="s">
        <v>17428</v>
      </c>
      <c r="I53" s="94">
        <v>43467</v>
      </c>
      <c r="N53" s="66" t="s">
        <v>17505</v>
      </c>
      <c r="O53" s="651">
        <v>18500</v>
      </c>
    </row>
    <row r="54" spans="1:15" ht="14.45" hidden="1">
      <c r="A54" s="86">
        <v>43510</v>
      </c>
      <c r="B54" s="87">
        <v>104000</v>
      </c>
      <c r="C54" s="30">
        <v>131040</v>
      </c>
      <c r="D54" s="84">
        <v>0</v>
      </c>
      <c r="E54" s="30">
        <f t="shared" si="0"/>
        <v>131040</v>
      </c>
      <c r="F54" s="30">
        <f t="shared" si="1"/>
        <v>1.26</v>
      </c>
      <c r="G54" s="83" t="s">
        <v>19656</v>
      </c>
      <c r="H54" s="85" t="s">
        <v>17498</v>
      </c>
      <c r="I54" s="94">
        <v>43502</v>
      </c>
      <c r="N54" s="66" t="s">
        <v>17506</v>
      </c>
      <c r="O54" s="651">
        <v>18500</v>
      </c>
    </row>
    <row r="55" spans="1:15" ht="14.45" hidden="1">
      <c r="A55" s="86">
        <v>43511</v>
      </c>
      <c r="B55" s="87">
        <v>104000</v>
      </c>
      <c r="C55" s="30">
        <v>131040</v>
      </c>
      <c r="D55" s="84">
        <v>0</v>
      </c>
      <c r="E55" s="30">
        <f t="shared" si="0"/>
        <v>131040</v>
      </c>
      <c r="F55" s="30">
        <f t="shared" si="1"/>
        <v>1.26</v>
      </c>
      <c r="G55" s="83" t="s">
        <v>19656</v>
      </c>
      <c r="H55" s="85" t="s">
        <v>17498</v>
      </c>
      <c r="I55" s="94">
        <v>43502</v>
      </c>
      <c r="N55" s="66" t="s">
        <v>17507</v>
      </c>
      <c r="O55" s="651">
        <v>18500</v>
      </c>
    </row>
    <row r="56" spans="1:15" ht="14.45" hidden="1">
      <c r="A56" s="86">
        <v>43512</v>
      </c>
      <c r="B56" s="87">
        <v>407040</v>
      </c>
      <c r="C56" s="30">
        <v>625213.43999999994</v>
      </c>
      <c r="D56" s="84">
        <v>0</v>
      </c>
      <c r="E56" s="30">
        <f t="shared" si="0"/>
        <v>625213.43999999994</v>
      </c>
      <c r="F56" s="30">
        <f t="shared" si="1"/>
        <v>1.5359999999999998</v>
      </c>
      <c r="G56" s="88" t="s">
        <v>19670</v>
      </c>
      <c r="H56" s="85" t="s">
        <v>17501</v>
      </c>
      <c r="I56" s="94">
        <v>43505</v>
      </c>
      <c r="N56" s="66" t="s">
        <v>17508</v>
      </c>
      <c r="O56" s="651">
        <v>0</v>
      </c>
    </row>
    <row r="57" spans="1:15" ht="14.45" hidden="1">
      <c r="A57" s="86">
        <v>43514</v>
      </c>
      <c r="B57" s="87">
        <v>56000</v>
      </c>
      <c r="C57" s="30">
        <v>73500</v>
      </c>
      <c r="D57" s="84">
        <v>0</v>
      </c>
      <c r="E57" s="30">
        <f t="shared" si="0"/>
        <v>73500</v>
      </c>
      <c r="F57" s="30">
        <f t="shared" si="1"/>
        <v>1.3125</v>
      </c>
      <c r="G57" s="83" t="s">
        <v>19647</v>
      </c>
      <c r="H57" s="85" t="s">
        <v>17499</v>
      </c>
      <c r="I57" s="94">
        <v>43504</v>
      </c>
      <c r="N57" s="66" t="s">
        <v>17510</v>
      </c>
      <c r="O57" s="651">
        <v>6535.3190000000004</v>
      </c>
    </row>
    <row r="58" spans="1:15" ht="14.45" hidden="1">
      <c r="A58" s="86">
        <v>43516</v>
      </c>
      <c r="B58" s="87">
        <v>20004</v>
      </c>
      <c r="C58" s="30">
        <v>28175.759999999998</v>
      </c>
      <c r="D58" s="84">
        <v>0</v>
      </c>
      <c r="E58" s="30">
        <f t="shared" si="0"/>
        <v>28175.759999999998</v>
      </c>
      <c r="F58" s="30">
        <f t="shared" si="1"/>
        <v>1.4085062987402519</v>
      </c>
      <c r="G58" s="83" t="s">
        <v>19647</v>
      </c>
      <c r="H58" s="85" t="s">
        <v>17499</v>
      </c>
      <c r="I58" s="94">
        <v>43504</v>
      </c>
      <c r="N58" s="66" t="s">
        <v>17511</v>
      </c>
      <c r="O58" s="651">
        <v>50526.625</v>
      </c>
    </row>
    <row r="59" spans="1:15" ht="14.45" hidden="1">
      <c r="A59" s="86">
        <v>43517</v>
      </c>
      <c r="B59" s="87">
        <v>111420</v>
      </c>
      <c r="C59" s="30">
        <v>185449.62</v>
      </c>
      <c r="D59" s="84">
        <v>40844.14</v>
      </c>
      <c r="E59" s="30">
        <f t="shared" si="0"/>
        <v>144605.47999999998</v>
      </c>
      <c r="F59" s="30">
        <f t="shared" si="1"/>
        <v>1.2978413211272661</v>
      </c>
      <c r="G59" s="88" t="s">
        <v>19662</v>
      </c>
      <c r="H59" s="85" t="s">
        <v>17483</v>
      </c>
      <c r="I59" s="94">
        <v>43489</v>
      </c>
      <c r="N59" s="66" t="s">
        <v>17512</v>
      </c>
      <c r="O59" s="651">
        <v>0</v>
      </c>
    </row>
    <row r="60" spans="1:15" ht="14.45" hidden="1">
      <c r="A60" s="86">
        <v>43519</v>
      </c>
      <c r="B60" s="87">
        <v>302400</v>
      </c>
      <c r="C60" s="30">
        <v>451173.69400000002</v>
      </c>
      <c r="D60" s="84">
        <v>0</v>
      </c>
      <c r="E60" s="30">
        <f t="shared" si="0"/>
        <v>451173.69400000002</v>
      </c>
      <c r="F60" s="30">
        <f t="shared" si="1"/>
        <v>1.4919765013227513</v>
      </c>
      <c r="G60" s="88" t="s">
        <v>19671</v>
      </c>
      <c r="H60" s="85" t="s">
        <v>17508</v>
      </c>
      <c r="I60" s="94">
        <v>43515</v>
      </c>
      <c r="N60" s="66" t="s">
        <v>17514</v>
      </c>
      <c r="O60" s="651">
        <v>0</v>
      </c>
    </row>
    <row r="61" spans="1:15" ht="14.45" hidden="1">
      <c r="A61" s="86">
        <v>43521</v>
      </c>
      <c r="B61" s="87">
        <v>108000</v>
      </c>
      <c r="C61" s="30">
        <v>152630.946</v>
      </c>
      <c r="D61" s="89">
        <v>18500</v>
      </c>
      <c r="E61" s="30">
        <f t="shared" si="0"/>
        <v>134130.946</v>
      </c>
      <c r="F61" s="30">
        <f t="shared" si="1"/>
        <v>1.2419532037037038</v>
      </c>
      <c r="G61" s="88" t="s">
        <v>19667</v>
      </c>
      <c r="H61" s="85" t="s">
        <v>17504</v>
      </c>
      <c r="I61" s="94">
        <v>43511</v>
      </c>
      <c r="N61" s="66" t="s">
        <v>17516</v>
      </c>
      <c r="O61" s="651">
        <v>0</v>
      </c>
    </row>
    <row r="62" spans="1:15" ht="14.45" hidden="1">
      <c r="A62" s="86">
        <v>43521</v>
      </c>
      <c r="B62" s="87">
        <v>28008</v>
      </c>
      <c r="C62" s="30">
        <v>39411.360000000001</v>
      </c>
      <c r="D62" s="84">
        <v>0</v>
      </c>
      <c r="E62" s="30">
        <f t="shared" si="0"/>
        <v>39411.360000000001</v>
      </c>
      <c r="F62" s="30">
        <f t="shared" si="1"/>
        <v>1.4071465295629819</v>
      </c>
      <c r="G62" s="83" t="s">
        <v>19655</v>
      </c>
      <c r="H62" s="85" t="s">
        <v>17512</v>
      </c>
      <c r="I62" s="94">
        <v>43516</v>
      </c>
      <c r="N62" s="66" t="s">
        <v>17518</v>
      </c>
      <c r="O62" s="651">
        <v>0</v>
      </c>
    </row>
    <row r="63" spans="1:15" ht="14.45" hidden="1">
      <c r="A63" s="86">
        <v>43522</v>
      </c>
      <c r="B63" s="87">
        <v>108000</v>
      </c>
      <c r="C63" s="30">
        <v>152637.58799999999</v>
      </c>
      <c r="D63" s="89">
        <v>18500</v>
      </c>
      <c r="E63" s="30">
        <f t="shared" si="0"/>
        <v>134137.58799999999</v>
      </c>
      <c r="F63" s="30">
        <f t="shared" si="1"/>
        <v>1.2420147037037037</v>
      </c>
      <c r="G63" s="88" t="s">
        <v>19667</v>
      </c>
      <c r="H63" s="85" t="s">
        <v>17505</v>
      </c>
      <c r="I63" s="94">
        <v>43511</v>
      </c>
      <c r="N63" s="66" t="s">
        <v>17520</v>
      </c>
      <c r="O63" s="651">
        <v>0</v>
      </c>
    </row>
    <row r="64" spans="1:15" ht="14.45" hidden="1">
      <c r="A64" s="86">
        <v>43522</v>
      </c>
      <c r="B64" s="87">
        <v>13560</v>
      </c>
      <c r="C64" s="30">
        <v>28117.305</v>
      </c>
      <c r="D64" s="84">
        <v>6535.3190000000004</v>
      </c>
      <c r="E64" s="30">
        <f t="shared" si="0"/>
        <v>21581.986000000001</v>
      </c>
      <c r="F64" s="30">
        <f t="shared" si="1"/>
        <v>1.5915918879056048</v>
      </c>
      <c r="G64" s="88" t="s">
        <v>17151</v>
      </c>
      <c r="H64" s="85" t="s">
        <v>17510</v>
      </c>
      <c r="I64" s="94">
        <v>43516</v>
      </c>
      <c r="N64" s="66" t="s">
        <v>17522</v>
      </c>
      <c r="O64" s="651">
        <v>0</v>
      </c>
    </row>
    <row r="65" spans="1:15" ht="14.45" hidden="1">
      <c r="A65" s="86">
        <v>43523</v>
      </c>
      <c r="B65" s="87">
        <v>108000</v>
      </c>
      <c r="C65" s="30">
        <v>152637.58799999999</v>
      </c>
      <c r="D65" s="89">
        <v>18500</v>
      </c>
      <c r="E65" s="30">
        <f t="shared" si="0"/>
        <v>134137.58799999999</v>
      </c>
      <c r="F65" s="30">
        <f t="shared" si="1"/>
        <v>1.2420147037037037</v>
      </c>
      <c r="G65" s="88" t="s">
        <v>19667</v>
      </c>
      <c r="H65" s="85" t="s">
        <v>17506</v>
      </c>
      <c r="I65" s="94">
        <v>43511</v>
      </c>
      <c r="N65" s="66" t="s">
        <v>17523</v>
      </c>
      <c r="O65" s="651">
        <v>0</v>
      </c>
    </row>
    <row r="66" spans="1:15" ht="14.45" hidden="1">
      <c r="A66" s="86">
        <v>43524</v>
      </c>
      <c r="B66" s="87">
        <v>108000</v>
      </c>
      <c r="C66" s="30">
        <v>152320.986</v>
      </c>
      <c r="D66" s="89">
        <v>18500</v>
      </c>
      <c r="E66" s="30">
        <f t="shared" si="0"/>
        <v>133820.986</v>
      </c>
      <c r="F66" s="30">
        <f t="shared" si="1"/>
        <v>1.2390832037037038</v>
      </c>
      <c r="G66" s="88" t="s">
        <v>19667</v>
      </c>
      <c r="H66" s="85" t="s">
        <v>17507</v>
      </c>
      <c r="I66" s="94">
        <v>43511</v>
      </c>
      <c r="N66" s="66" t="s">
        <v>17525</v>
      </c>
      <c r="O66" s="651">
        <v>0</v>
      </c>
    </row>
    <row r="67" spans="1:15" ht="14.45" hidden="1">
      <c r="A67" s="86">
        <v>43525</v>
      </c>
      <c r="B67" s="87">
        <v>11596</v>
      </c>
      <c r="C67" s="30">
        <v>18642.64</v>
      </c>
      <c r="D67" s="84">
        <v>0</v>
      </c>
      <c r="E67" s="30">
        <f t="shared" si="0"/>
        <v>18642.64</v>
      </c>
      <c r="F67" s="30">
        <f t="shared" si="1"/>
        <v>1.607678509830976</v>
      </c>
      <c r="G67" s="83" t="s">
        <v>19666</v>
      </c>
      <c r="H67" s="85" t="s">
        <v>17518</v>
      </c>
      <c r="I67" s="94">
        <v>43518</v>
      </c>
      <c r="N67" s="66" t="s">
        <v>17526</v>
      </c>
      <c r="O67" s="651">
        <v>1101.7</v>
      </c>
    </row>
    <row r="68" spans="1:15" ht="14.45" hidden="1">
      <c r="A68" s="86">
        <v>43526</v>
      </c>
      <c r="B68" s="87">
        <v>137808</v>
      </c>
      <c r="C68" s="30">
        <v>225767.27600000001</v>
      </c>
      <c r="D68" s="84">
        <v>50526.625</v>
      </c>
      <c r="E68" s="30">
        <f t="shared" si="0"/>
        <v>175240.65100000001</v>
      </c>
      <c r="F68" s="30">
        <f t="shared" si="1"/>
        <v>1.2716290128294438</v>
      </c>
      <c r="G68" s="88" t="s">
        <v>19662</v>
      </c>
      <c r="H68" s="85" t="s">
        <v>17511</v>
      </c>
      <c r="I68" s="94">
        <v>43516</v>
      </c>
      <c r="N68" s="66" t="s">
        <v>17528</v>
      </c>
      <c r="O68" s="651">
        <v>1101</v>
      </c>
    </row>
    <row r="69" spans="1:15" ht="14.45" hidden="1">
      <c r="A69" s="86">
        <v>43528</v>
      </c>
      <c r="B69" s="87">
        <v>140000</v>
      </c>
      <c r="C69" s="30">
        <v>170800</v>
      </c>
      <c r="D69" s="84">
        <v>0</v>
      </c>
      <c r="E69" s="30">
        <f t="shared" si="0"/>
        <v>170800</v>
      </c>
      <c r="F69" s="30">
        <f t="shared" si="1"/>
        <v>1.22</v>
      </c>
      <c r="G69" s="83" t="s">
        <v>19652</v>
      </c>
      <c r="H69" s="85" t="s">
        <v>17523</v>
      </c>
      <c r="I69" s="94">
        <v>43523</v>
      </c>
      <c r="N69" s="66" t="s">
        <v>17530</v>
      </c>
      <c r="O69" s="651">
        <v>0</v>
      </c>
    </row>
    <row r="70" spans="1:15" ht="14.45" hidden="1">
      <c r="A70" s="86">
        <v>43528</v>
      </c>
      <c r="B70" s="87">
        <v>18000</v>
      </c>
      <c r="C70" s="30">
        <v>64330.497000000003</v>
      </c>
      <c r="D70" s="84">
        <v>1101</v>
      </c>
      <c r="E70" s="30">
        <f t="shared" si="0"/>
        <v>63229.497000000003</v>
      </c>
      <c r="F70" s="30">
        <f t="shared" si="1"/>
        <v>3.5127498333333333</v>
      </c>
      <c r="G70" s="88" t="s">
        <v>19653</v>
      </c>
      <c r="H70" s="85" t="s">
        <v>17528</v>
      </c>
      <c r="I70" s="94">
        <v>43525</v>
      </c>
      <c r="N70" s="66" t="s">
        <v>17533</v>
      </c>
      <c r="O70" s="651">
        <v>0</v>
      </c>
    </row>
    <row r="71" spans="1:15" ht="14.45" hidden="1">
      <c r="A71" s="86">
        <v>43528</v>
      </c>
      <c r="B71" s="87">
        <v>13050</v>
      </c>
      <c r="C71" s="30">
        <v>35803.81</v>
      </c>
      <c r="D71" s="84">
        <v>1101.7</v>
      </c>
      <c r="E71" s="30">
        <f t="shared" si="0"/>
        <v>34702.11</v>
      </c>
      <c r="F71" s="30">
        <f t="shared" si="1"/>
        <v>2.6591655172413793</v>
      </c>
      <c r="G71" s="88" t="s">
        <v>19672</v>
      </c>
      <c r="H71" s="85" t="s">
        <v>17526</v>
      </c>
      <c r="I71" s="94">
        <v>43525</v>
      </c>
      <c r="N71" s="66" t="s">
        <v>17534</v>
      </c>
      <c r="O71" s="651">
        <v>9871.4629999999997</v>
      </c>
    </row>
    <row r="72" spans="1:15" ht="14.45" hidden="1">
      <c r="A72" s="86">
        <v>43529</v>
      </c>
      <c r="B72" s="87">
        <v>3600</v>
      </c>
      <c r="C72" s="30">
        <v>14580</v>
      </c>
      <c r="D72" s="84">
        <v>0</v>
      </c>
      <c r="E72" s="30">
        <f t="shared" ref="E72:E135" si="2">(C72-D72)</f>
        <v>14580</v>
      </c>
      <c r="F72" s="30">
        <f t="shared" ref="F72:F135" si="3">(E72/B72)</f>
        <v>4.05</v>
      </c>
      <c r="G72" s="83" t="s">
        <v>19673</v>
      </c>
      <c r="H72" s="85" t="s">
        <v>17516</v>
      </c>
      <c r="I72" s="94">
        <v>43518</v>
      </c>
      <c r="N72" s="66" t="s">
        <v>17536</v>
      </c>
      <c r="O72" s="651">
        <v>23275.891</v>
      </c>
    </row>
    <row r="73" spans="1:15" ht="14.45" hidden="1">
      <c r="A73" s="86">
        <v>43529</v>
      </c>
      <c r="B73" s="87">
        <v>140000</v>
      </c>
      <c r="C73" s="30">
        <v>170800</v>
      </c>
      <c r="D73" s="84">
        <v>0</v>
      </c>
      <c r="E73" s="30">
        <f t="shared" si="2"/>
        <v>170800</v>
      </c>
      <c r="F73" s="30">
        <f t="shared" si="3"/>
        <v>1.22</v>
      </c>
      <c r="G73" s="83" t="s">
        <v>19652</v>
      </c>
      <c r="H73" s="85" t="s">
        <v>17523</v>
      </c>
      <c r="I73" s="94">
        <v>43523</v>
      </c>
      <c r="N73" s="66" t="s">
        <v>17538</v>
      </c>
      <c r="O73" s="651">
        <v>0</v>
      </c>
    </row>
    <row r="74" spans="1:15" ht="14.45" hidden="1">
      <c r="A74" s="86">
        <v>43530</v>
      </c>
      <c r="B74" s="87">
        <v>44016</v>
      </c>
      <c r="C74" s="30">
        <v>56340.480000000003</v>
      </c>
      <c r="D74" s="84">
        <v>0</v>
      </c>
      <c r="E74" s="30">
        <f t="shared" si="2"/>
        <v>56340.480000000003</v>
      </c>
      <c r="F74" s="30">
        <f t="shared" si="3"/>
        <v>1.28</v>
      </c>
      <c r="G74" s="83" t="s">
        <v>19647</v>
      </c>
      <c r="H74" s="85" t="s">
        <v>17522</v>
      </c>
      <c r="I74" s="94">
        <v>43523</v>
      </c>
      <c r="N74" s="66" t="s">
        <v>17539</v>
      </c>
      <c r="O74" s="651">
        <v>0</v>
      </c>
    </row>
    <row r="75" spans="1:15" ht="14.45" hidden="1">
      <c r="A75" s="86">
        <v>43531</v>
      </c>
      <c r="B75" s="87">
        <v>66024</v>
      </c>
      <c r="C75" s="30">
        <v>86491.44</v>
      </c>
      <c r="D75" s="84">
        <v>0</v>
      </c>
      <c r="E75" s="30">
        <f t="shared" si="2"/>
        <v>86491.44</v>
      </c>
      <c r="F75" s="30">
        <f t="shared" si="3"/>
        <v>1.31</v>
      </c>
      <c r="G75" s="83" t="s">
        <v>19647</v>
      </c>
      <c r="H75" s="85" t="s">
        <v>17522</v>
      </c>
      <c r="I75" s="94">
        <v>43523</v>
      </c>
      <c r="N75" s="66" t="s">
        <v>17540</v>
      </c>
      <c r="O75" s="651">
        <v>24424.215</v>
      </c>
    </row>
    <row r="76" spans="1:15" ht="14.45" hidden="1">
      <c r="A76" s="86">
        <v>43531</v>
      </c>
      <c r="B76" s="87">
        <v>40180</v>
      </c>
      <c r="C76" s="30">
        <v>62957.4</v>
      </c>
      <c r="D76" s="84">
        <v>0</v>
      </c>
      <c r="E76" s="30">
        <f t="shared" si="2"/>
        <v>62957.4</v>
      </c>
      <c r="F76" s="30">
        <f t="shared" si="3"/>
        <v>1.5668840219014435</v>
      </c>
      <c r="G76" s="83" t="s">
        <v>19674</v>
      </c>
      <c r="H76" s="85" t="s">
        <v>17520</v>
      </c>
      <c r="I76" s="94">
        <v>43521</v>
      </c>
      <c r="N76" s="66" t="s">
        <v>17542</v>
      </c>
      <c r="O76" s="651">
        <v>0</v>
      </c>
    </row>
    <row r="77" spans="1:15" ht="14.45" hidden="1">
      <c r="A77" s="86">
        <v>43532</v>
      </c>
      <c r="B77" s="87">
        <v>24826</v>
      </c>
      <c r="C77" s="30">
        <v>51287.750999999997</v>
      </c>
      <c r="D77" s="84">
        <v>9932.259</v>
      </c>
      <c r="E77" s="30">
        <f t="shared" si="2"/>
        <v>41355.491999999998</v>
      </c>
      <c r="F77" s="30">
        <f t="shared" si="3"/>
        <v>1.6658137436558447</v>
      </c>
      <c r="G77" s="88" t="s">
        <v>19661</v>
      </c>
      <c r="H77" s="85" t="s">
        <v>17492</v>
      </c>
      <c r="I77" s="96">
        <v>43500</v>
      </c>
      <c r="N77" s="66" t="s">
        <v>17544</v>
      </c>
      <c r="O77" s="651">
        <v>0</v>
      </c>
    </row>
    <row r="78" spans="1:15" ht="14.45" hidden="1">
      <c r="A78" s="86">
        <v>43532</v>
      </c>
      <c r="B78" s="87">
        <v>44016</v>
      </c>
      <c r="C78" s="30">
        <v>57660.959999999999</v>
      </c>
      <c r="D78" s="84">
        <v>0</v>
      </c>
      <c r="E78" s="30">
        <f t="shared" si="2"/>
        <v>57660.959999999999</v>
      </c>
      <c r="F78" s="30">
        <f t="shared" si="3"/>
        <v>1.31</v>
      </c>
      <c r="G78" s="83" t="s">
        <v>19647</v>
      </c>
      <c r="H78" s="85" t="s">
        <v>17522</v>
      </c>
      <c r="I78" s="94">
        <v>43523</v>
      </c>
      <c r="N78" s="66" t="s">
        <v>17546</v>
      </c>
      <c r="O78" s="651">
        <v>0</v>
      </c>
    </row>
    <row r="79" spans="1:15" ht="14.45" hidden="1">
      <c r="A79" s="86">
        <v>43535</v>
      </c>
      <c r="B79" s="87">
        <v>480</v>
      </c>
      <c r="C79" s="30">
        <v>1584</v>
      </c>
      <c r="D79" s="84">
        <v>0</v>
      </c>
      <c r="E79" s="30">
        <f t="shared" si="2"/>
        <v>1584</v>
      </c>
      <c r="F79" s="30">
        <f t="shared" si="3"/>
        <v>3.3</v>
      </c>
      <c r="G79" s="83" t="s">
        <v>19656</v>
      </c>
      <c r="H79" s="85" t="s">
        <v>17514</v>
      </c>
      <c r="I79" s="94">
        <v>43518</v>
      </c>
      <c r="N79" s="66" t="s">
        <v>17547</v>
      </c>
      <c r="O79" s="651">
        <v>0</v>
      </c>
    </row>
    <row r="80" spans="1:15" ht="14.45" hidden="1">
      <c r="A80" s="86">
        <v>43536</v>
      </c>
      <c r="B80" s="87">
        <v>130000</v>
      </c>
      <c r="C80" s="30">
        <v>163800</v>
      </c>
      <c r="D80" s="84">
        <v>0</v>
      </c>
      <c r="E80" s="30">
        <f t="shared" si="2"/>
        <v>163800</v>
      </c>
      <c r="F80" s="30">
        <f t="shared" si="3"/>
        <v>1.26</v>
      </c>
      <c r="G80" s="83" t="s">
        <v>19652</v>
      </c>
      <c r="H80" s="85" t="s">
        <v>17525</v>
      </c>
      <c r="I80" s="94">
        <v>43523</v>
      </c>
      <c r="N80" s="66" t="s">
        <v>17549</v>
      </c>
      <c r="O80" s="651">
        <v>0</v>
      </c>
    </row>
    <row r="81" spans="1:15" ht="14.45" hidden="1">
      <c r="A81" s="86">
        <v>43536</v>
      </c>
      <c r="B81" s="87">
        <v>4680</v>
      </c>
      <c r="C81" s="30">
        <v>9157.3230000000003</v>
      </c>
      <c r="D81" s="84">
        <v>1220.95</v>
      </c>
      <c r="E81" s="30">
        <f t="shared" si="2"/>
        <v>7936.3730000000005</v>
      </c>
      <c r="F81" s="30">
        <f t="shared" si="3"/>
        <v>1.6958061965811966</v>
      </c>
      <c r="G81" s="88" t="s">
        <v>19675</v>
      </c>
      <c r="H81" s="85" t="s">
        <v>17488</v>
      </c>
      <c r="I81" s="96">
        <v>43500</v>
      </c>
      <c r="N81" s="66" t="s">
        <v>17551</v>
      </c>
      <c r="O81" s="651">
        <v>0</v>
      </c>
    </row>
    <row r="82" spans="1:15" ht="14.45" hidden="1">
      <c r="A82" s="86">
        <v>43537</v>
      </c>
      <c r="B82" s="87">
        <v>130000</v>
      </c>
      <c r="C82" s="30">
        <v>163800</v>
      </c>
      <c r="D82" s="84">
        <v>0</v>
      </c>
      <c r="E82" s="30">
        <f t="shared" si="2"/>
        <v>163800</v>
      </c>
      <c r="F82" s="30">
        <f t="shared" si="3"/>
        <v>1.26</v>
      </c>
      <c r="G82" s="83" t="s">
        <v>19652</v>
      </c>
      <c r="H82" s="85" t="s">
        <v>17525</v>
      </c>
      <c r="I82" s="94">
        <v>43523</v>
      </c>
      <c r="N82" s="66" t="s">
        <v>17552</v>
      </c>
      <c r="O82" s="651">
        <v>27825.215</v>
      </c>
    </row>
    <row r="83" spans="1:15" ht="14.45" hidden="1">
      <c r="A83" s="86">
        <v>43543</v>
      </c>
      <c r="B83" s="87">
        <v>146900</v>
      </c>
      <c r="C83" s="30">
        <v>313888.73300000001</v>
      </c>
      <c r="D83" s="84">
        <v>0</v>
      </c>
      <c r="E83" s="30">
        <f t="shared" si="2"/>
        <v>313888.73300000001</v>
      </c>
      <c r="F83" s="30">
        <f t="shared" si="3"/>
        <v>2.1367510755616066</v>
      </c>
      <c r="G83" s="88" t="s">
        <v>19671</v>
      </c>
      <c r="H83" s="85" t="s">
        <v>17538</v>
      </c>
      <c r="I83" s="94">
        <v>43537</v>
      </c>
      <c r="N83" s="66" t="s">
        <v>17555</v>
      </c>
      <c r="O83" s="651">
        <v>0</v>
      </c>
    </row>
    <row r="84" spans="1:15" ht="14.45" hidden="1">
      <c r="A84" s="86">
        <v>43546</v>
      </c>
      <c r="B84" s="87">
        <v>55200</v>
      </c>
      <c r="C84" s="30">
        <v>76176</v>
      </c>
      <c r="D84" s="84">
        <v>0</v>
      </c>
      <c r="E84" s="30">
        <f t="shared" si="2"/>
        <v>76176</v>
      </c>
      <c r="F84" s="30">
        <f t="shared" si="3"/>
        <v>1.38</v>
      </c>
      <c r="G84" s="83" t="s">
        <v>19676</v>
      </c>
      <c r="H84" s="85" t="s">
        <v>17530</v>
      </c>
      <c r="I84" s="94">
        <v>43533</v>
      </c>
      <c r="N84" s="66" t="s">
        <v>17556</v>
      </c>
      <c r="O84" s="651">
        <v>0</v>
      </c>
    </row>
    <row r="85" spans="1:15" ht="14.45" hidden="1">
      <c r="A85" s="86">
        <v>43546</v>
      </c>
      <c r="B85" s="87">
        <v>21600</v>
      </c>
      <c r="C85" s="30">
        <v>30600</v>
      </c>
      <c r="D85" s="84">
        <v>0</v>
      </c>
      <c r="E85" s="30">
        <f t="shared" si="2"/>
        <v>30600</v>
      </c>
      <c r="F85" s="30">
        <f t="shared" si="3"/>
        <v>1.4166666666666667</v>
      </c>
      <c r="G85" s="83" t="s">
        <v>19656</v>
      </c>
      <c r="H85" s="85" t="s">
        <v>17533</v>
      </c>
      <c r="I85" s="94">
        <v>43533</v>
      </c>
      <c r="N85" s="66" t="s">
        <v>17557</v>
      </c>
      <c r="O85" s="651">
        <v>0</v>
      </c>
    </row>
    <row r="86" spans="1:15" ht="14.45" hidden="1">
      <c r="A86" s="86">
        <v>43549</v>
      </c>
      <c r="B86" s="87">
        <v>69216</v>
      </c>
      <c r="C86" s="30">
        <v>121570.74800000001</v>
      </c>
      <c r="D86" s="84">
        <v>23275.891</v>
      </c>
      <c r="E86" s="30">
        <f t="shared" si="2"/>
        <v>98294.857000000004</v>
      </c>
      <c r="F86" s="30">
        <f t="shared" si="3"/>
        <v>1.4201175595238096</v>
      </c>
      <c r="G86" s="88" t="s">
        <v>19657</v>
      </c>
      <c r="H86" s="85" t="s">
        <v>17536</v>
      </c>
      <c r="I86" s="94">
        <v>43536</v>
      </c>
      <c r="N86" s="66" t="s">
        <v>17558</v>
      </c>
      <c r="O86" s="651">
        <v>0</v>
      </c>
    </row>
    <row r="87" spans="1:15" ht="14.45" hidden="1">
      <c r="A87" s="86">
        <v>43549</v>
      </c>
      <c r="B87" s="87">
        <v>22600</v>
      </c>
      <c r="C87" s="30">
        <v>34338</v>
      </c>
      <c r="D87" s="84">
        <v>0</v>
      </c>
      <c r="E87" s="30">
        <f t="shared" si="2"/>
        <v>34338</v>
      </c>
      <c r="F87" s="30">
        <f t="shared" si="3"/>
        <v>1.5193805309734514</v>
      </c>
      <c r="G87" s="83" t="s">
        <v>19674</v>
      </c>
      <c r="H87" s="85" t="s">
        <v>17542</v>
      </c>
      <c r="I87" s="94">
        <v>43539</v>
      </c>
      <c r="N87" s="66" t="s">
        <v>17559</v>
      </c>
      <c r="O87" s="651">
        <v>0</v>
      </c>
    </row>
    <row r="88" spans="1:15" ht="14.45" hidden="1">
      <c r="A88" s="86">
        <v>43549</v>
      </c>
      <c r="B88" s="87">
        <v>20000</v>
      </c>
      <c r="C88" s="30">
        <v>28400</v>
      </c>
      <c r="D88" s="84">
        <v>0</v>
      </c>
      <c r="E88" s="30">
        <f t="shared" si="2"/>
        <v>28400</v>
      </c>
      <c r="F88" s="30">
        <f t="shared" si="3"/>
        <v>1.42</v>
      </c>
      <c r="G88" s="83" t="s">
        <v>19660</v>
      </c>
      <c r="H88" s="85" t="s">
        <v>17544</v>
      </c>
      <c r="I88" s="94">
        <v>43545</v>
      </c>
      <c r="N88" s="66" t="s">
        <v>17561</v>
      </c>
      <c r="O88" s="651">
        <v>9900</v>
      </c>
    </row>
    <row r="89" spans="1:15" ht="14.45" hidden="1">
      <c r="A89" s="86">
        <v>43550</v>
      </c>
      <c r="B89" s="87">
        <v>140000</v>
      </c>
      <c r="C89" s="30">
        <v>176400</v>
      </c>
      <c r="D89" s="84">
        <v>0</v>
      </c>
      <c r="E89" s="30">
        <f t="shared" si="2"/>
        <v>176400</v>
      </c>
      <c r="F89" s="30">
        <f t="shared" si="3"/>
        <v>1.26</v>
      </c>
      <c r="G89" s="83" t="s">
        <v>19652</v>
      </c>
      <c r="H89" s="85" t="s">
        <v>17539</v>
      </c>
      <c r="I89" s="94">
        <v>43539</v>
      </c>
      <c r="N89" s="66" t="s">
        <v>17563</v>
      </c>
      <c r="O89" s="651">
        <v>0</v>
      </c>
    </row>
    <row r="90" spans="1:15" ht="14.45" hidden="1">
      <c r="A90" s="86">
        <v>43550</v>
      </c>
      <c r="B90" s="87">
        <v>15316</v>
      </c>
      <c r="C90" s="30">
        <v>28146.799999999999</v>
      </c>
      <c r="D90" s="84">
        <v>0</v>
      </c>
      <c r="E90" s="30">
        <f t="shared" si="2"/>
        <v>28146.799999999999</v>
      </c>
      <c r="F90" s="30">
        <f t="shared" si="3"/>
        <v>1.8377383128754243</v>
      </c>
      <c r="G90" s="83" t="s">
        <v>19677</v>
      </c>
      <c r="H90" s="85" t="s">
        <v>17547</v>
      </c>
      <c r="I90" s="94">
        <v>43546</v>
      </c>
      <c r="N90" s="66" t="s">
        <v>17564</v>
      </c>
      <c r="O90" s="651">
        <v>0</v>
      </c>
    </row>
    <row r="91" spans="1:15" ht="14.45" hidden="1">
      <c r="A91" s="86">
        <v>43551</v>
      </c>
      <c r="B91" s="87">
        <v>140000</v>
      </c>
      <c r="C91" s="30">
        <v>176400</v>
      </c>
      <c r="D91" s="84">
        <v>0</v>
      </c>
      <c r="E91" s="30">
        <f t="shared" si="2"/>
        <v>176400</v>
      </c>
      <c r="F91" s="30">
        <f t="shared" si="3"/>
        <v>1.26</v>
      </c>
      <c r="G91" s="83" t="s">
        <v>19652</v>
      </c>
      <c r="H91" s="85" t="s">
        <v>17539</v>
      </c>
      <c r="I91" s="94">
        <v>43539</v>
      </c>
      <c r="N91" s="66" t="s">
        <v>17566</v>
      </c>
      <c r="O91" s="651">
        <v>0</v>
      </c>
    </row>
    <row r="92" spans="1:15" ht="14.45" hidden="1">
      <c r="A92" s="86">
        <v>43553</v>
      </c>
      <c r="B92" s="87">
        <v>70844</v>
      </c>
      <c r="C92" s="30">
        <v>102472.88</v>
      </c>
      <c r="D92" s="84">
        <v>0</v>
      </c>
      <c r="E92" s="30">
        <f t="shared" si="2"/>
        <v>102472.88</v>
      </c>
      <c r="F92" s="30">
        <f t="shared" si="3"/>
        <v>1.4464581333634465</v>
      </c>
      <c r="G92" s="83" t="s">
        <v>19647</v>
      </c>
      <c r="H92" s="85" t="s">
        <v>17546</v>
      </c>
      <c r="I92" s="94">
        <v>43545</v>
      </c>
      <c r="N92" s="66" t="s">
        <v>17568</v>
      </c>
      <c r="O92" s="651">
        <v>0</v>
      </c>
    </row>
    <row r="93" spans="1:15" ht="14.45" hidden="1">
      <c r="A93" s="86">
        <v>43554</v>
      </c>
      <c r="B93" s="87">
        <v>90000</v>
      </c>
      <c r="C93" s="30">
        <v>137250</v>
      </c>
      <c r="D93" s="84">
        <v>0</v>
      </c>
      <c r="E93" s="30">
        <f t="shared" si="2"/>
        <v>137250</v>
      </c>
      <c r="F93" s="30">
        <f t="shared" si="3"/>
        <v>1.5249999999999999</v>
      </c>
      <c r="G93" s="83" t="s">
        <v>17167</v>
      </c>
      <c r="H93" s="85" t="s">
        <v>17555</v>
      </c>
      <c r="I93" s="94">
        <v>43550</v>
      </c>
      <c r="N93" s="66" t="s">
        <v>17569</v>
      </c>
      <c r="O93" s="651">
        <v>0</v>
      </c>
    </row>
    <row r="94" spans="1:15" ht="14.45" hidden="1">
      <c r="A94" s="86">
        <v>43554</v>
      </c>
      <c r="B94" s="87">
        <v>84000</v>
      </c>
      <c r="C94" s="30">
        <v>111720</v>
      </c>
      <c r="D94" s="84">
        <v>0</v>
      </c>
      <c r="E94" s="30">
        <f t="shared" si="2"/>
        <v>111720</v>
      </c>
      <c r="F94" s="30">
        <f t="shared" si="3"/>
        <v>1.33</v>
      </c>
      <c r="G94" s="83" t="s">
        <v>19647</v>
      </c>
      <c r="H94" s="85" t="s">
        <v>17546</v>
      </c>
      <c r="I94" s="94">
        <v>43545</v>
      </c>
      <c r="N94" s="66" t="s">
        <v>17570</v>
      </c>
      <c r="O94" s="651">
        <v>0</v>
      </c>
    </row>
    <row r="95" spans="1:15" ht="14.45" hidden="1">
      <c r="A95" s="86">
        <v>43554</v>
      </c>
      <c r="B95" s="87">
        <v>13574</v>
      </c>
      <c r="C95" s="30">
        <v>20607.416000000001</v>
      </c>
      <c r="D95" s="84">
        <v>0</v>
      </c>
      <c r="E95" s="30">
        <f t="shared" si="2"/>
        <v>20607.416000000001</v>
      </c>
      <c r="F95" s="30">
        <f t="shared" si="3"/>
        <v>1.5181535288050685</v>
      </c>
      <c r="G95" s="83" t="s">
        <v>19666</v>
      </c>
      <c r="H95" s="85" t="s">
        <v>17549</v>
      </c>
      <c r="I95" s="94">
        <v>43546</v>
      </c>
      <c r="N95" s="66" t="s">
        <v>17572</v>
      </c>
      <c r="O95" s="651">
        <v>1424.98</v>
      </c>
    </row>
    <row r="96" spans="1:15" ht="14.45" hidden="1">
      <c r="A96" s="86">
        <v>43556</v>
      </c>
      <c r="B96" s="87">
        <v>44016</v>
      </c>
      <c r="C96" s="30">
        <v>62502.720000000001</v>
      </c>
      <c r="D96" s="98">
        <v>0</v>
      </c>
      <c r="E96" s="99">
        <f t="shared" si="2"/>
        <v>62502.720000000001</v>
      </c>
      <c r="F96" s="99">
        <f t="shared" si="3"/>
        <v>1.42</v>
      </c>
      <c r="G96" s="83" t="s">
        <v>19655</v>
      </c>
      <c r="H96" s="85" t="s">
        <v>17551</v>
      </c>
      <c r="I96" s="94">
        <v>43546</v>
      </c>
      <c r="N96" s="66" t="s">
        <v>17574</v>
      </c>
      <c r="O96" s="651">
        <v>0</v>
      </c>
    </row>
    <row r="97" spans="1:15" ht="14.45" hidden="1">
      <c r="A97" s="81">
        <v>43557</v>
      </c>
      <c r="B97" s="82">
        <v>88032</v>
      </c>
      <c r="C97" s="83">
        <v>118843.2</v>
      </c>
      <c r="D97" s="98">
        <v>0</v>
      </c>
      <c r="E97" s="99">
        <f t="shared" si="2"/>
        <v>118843.2</v>
      </c>
      <c r="F97" s="99">
        <f t="shared" si="3"/>
        <v>1.3499999999999999</v>
      </c>
      <c r="G97" s="83" t="s">
        <v>19647</v>
      </c>
      <c r="H97" s="85" t="s">
        <v>17557</v>
      </c>
      <c r="I97" s="94">
        <v>43552</v>
      </c>
      <c r="N97" s="66" t="s">
        <v>17577</v>
      </c>
      <c r="O97" s="651">
        <v>0</v>
      </c>
    </row>
    <row r="98" spans="1:15" ht="14.45" hidden="1">
      <c r="A98" s="81">
        <v>43558</v>
      </c>
      <c r="B98" s="82">
        <v>88032</v>
      </c>
      <c r="C98" s="83">
        <v>118182.96</v>
      </c>
      <c r="D98" s="98">
        <v>0</v>
      </c>
      <c r="E98" s="99">
        <f t="shared" si="2"/>
        <v>118182.96</v>
      </c>
      <c r="F98" s="99">
        <f t="shared" si="3"/>
        <v>1.3425</v>
      </c>
      <c r="G98" s="83" t="s">
        <v>19647</v>
      </c>
      <c r="H98" s="85" t="s">
        <v>17557</v>
      </c>
      <c r="I98" s="94">
        <v>43552</v>
      </c>
      <c r="N98" s="66" t="s">
        <v>17578</v>
      </c>
      <c r="O98" s="651">
        <v>0</v>
      </c>
    </row>
    <row r="99" spans="1:15" ht="14.45" hidden="1">
      <c r="A99" s="81">
        <v>43559</v>
      </c>
      <c r="B99" s="82">
        <v>112000</v>
      </c>
      <c r="C99" s="83">
        <v>141120</v>
      </c>
      <c r="D99" s="98">
        <v>0</v>
      </c>
      <c r="E99" s="99">
        <f t="shared" si="2"/>
        <v>141120</v>
      </c>
      <c r="F99" s="99">
        <f t="shared" si="3"/>
        <v>1.26</v>
      </c>
      <c r="G99" s="83" t="s">
        <v>19656</v>
      </c>
      <c r="H99" s="85" t="s">
        <v>17558</v>
      </c>
      <c r="I99" s="94">
        <v>43552</v>
      </c>
      <c r="N99" s="66" t="s">
        <v>17579</v>
      </c>
      <c r="O99" s="651">
        <v>0</v>
      </c>
    </row>
    <row r="100" spans="1:15" ht="14.45" hidden="1">
      <c r="A100" s="81">
        <v>43560</v>
      </c>
      <c r="B100" s="82">
        <v>112000</v>
      </c>
      <c r="C100" s="83">
        <v>141120</v>
      </c>
      <c r="D100" s="98">
        <v>0</v>
      </c>
      <c r="E100" s="99">
        <f t="shared" si="2"/>
        <v>141120</v>
      </c>
      <c r="F100" s="99">
        <f t="shared" si="3"/>
        <v>1.26</v>
      </c>
      <c r="G100" s="83" t="s">
        <v>19656</v>
      </c>
      <c r="H100" s="85" t="s">
        <v>17558</v>
      </c>
      <c r="I100" s="94">
        <v>43552</v>
      </c>
      <c r="N100" s="66" t="s">
        <v>17581</v>
      </c>
      <c r="O100" s="651">
        <v>0</v>
      </c>
    </row>
    <row r="101" spans="1:15" ht="14.45" hidden="1">
      <c r="A101" s="86">
        <v>43561</v>
      </c>
      <c r="B101" s="87">
        <v>20836</v>
      </c>
      <c r="C101" s="30">
        <v>46337.209000000003</v>
      </c>
      <c r="D101" s="98">
        <v>9871.4629999999997</v>
      </c>
      <c r="E101" s="99">
        <f t="shared" si="2"/>
        <v>36465.745999999999</v>
      </c>
      <c r="F101" s="99">
        <f t="shared" si="3"/>
        <v>1.7501317911307352</v>
      </c>
      <c r="G101" s="88" t="s">
        <v>19661</v>
      </c>
      <c r="H101" s="85" t="s">
        <v>17534</v>
      </c>
      <c r="I101" s="96">
        <v>43533</v>
      </c>
      <c r="N101" s="66" t="s">
        <v>17582</v>
      </c>
      <c r="O101" s="651">
        <v>0</v>
      </c>
    </row>
    <row r="102" spans="1:15" ht="14.45" hidden="1">
      <c r="A102" s="81">
        <v>43563</v>
      </c>
      <c r="B102" s="82">
        <v>112000</v>
      </c>
      <c r="C102" s="83">
        <v>141120</v>
      </c>
      <c r="D102" s="98">
        <v>0</v>
      </c>
      <c r="E102" s="99">
        <f t="shared" si="2"/>
        <v>141120</v>
      </c>
      <c r="F102" s="99">
        <f t="shared" si="3"/>
        <v>1.26</v>
      </c>
      <c r="G102" s="83" t="s">
        <v>19656</v>
      </c>
      <c r="H102" s="85" t="s">
        <v>17558</v>
      </c>
      <c r="I102" s="94">
        <v>43552</v>
      </c>
      <c r="N102" s="66" t="s">
        <v>17584</v>
      </c>
      <c r="O102" s="651">
        <v>0</v>
      </c>
    </row>
    <row r="103" spans="1:15" ht="14.45" hidden="1">
      <c r="A103" s="81">
        <v>43566</v>
      </c>
      <c r="B103" s="82">
        <v>112000</v>
      </c>
      <c r="C103" s="83">
        <v>141120</v>
      </c>
      <c r="D103" s="98">
        <v>0</v>
      </c>
      <c r="E103" s="99">
        <f t="shared" si="2"/>
        <v>141120</v>
      </c>
      <c r="F103" s="99">
        <f t="shared" si="3"/>
        <v>1.26</v>
      </c>
      <c r="G103" s="83" t="s">
        <v>19656</v>
      </c>
      <c r="H103" s="85" t="s">
        <v>17558</v>
      </c>
      <c r="I103" s="94">
        <v>43552</v>
      </c>
      <c r="N103" s="66" t="s">
        <v>17587</v>
      </c>
      <c r="O103" s="651">
        <v>0</v>
      </c>
    </row>
    <row r="104" spans="1:15" ht="14.45" hidden="1">
      <c r="A104" s="86">
        <v>43567</v>
      </c>
      <c r="B104" s="87">
        <v>130000</v>
      </c>
      <c r="C104" s="30">
        <v>222223.37899999999</v>
      </c>
      <c r="D104" s="98">
        <v>27825.215</v>
      </c>
      <c r="E104" s="99">
        <f t="shared" si="2"/>
        <v>194398.16399999999</v>
      </c>
      <c r="F104" s="99">
        <f t="shared" si="3"/>
        <v>1.4953704923076923</v>
      </c>
      <c r="G104" s="88" t="s">
        <v>19678</v>
      </c>
      <c r="H104" s="85" t="s">
        <v>17552</v>
      </c>
      <c r="I104" s="94">
        <v>43546</v>
      </c>
      <c r="N104" s="66" t="s">
        <v>17588</v>
      </c>
      <c r="O104" s="651">
        <v>0</v>
      </c>
    </row>
    <row r="105" spans="1:15" ht="14.45" hidden="1">
      <c r="A105" s="81">
        <v>43568</v>
      </c>
      <c r="B105" s="82">
        <v>112000</v>
      </c>
      <c r="C105" s="83">
        <v>141120</v>
      </c>
      <c r="D105" s="98">
        <v>0</v>
      </c>
      <c r="E105" s="99">
        <f t="shared" si="2"/>
        <v>141120</v>
      </c>
      <c r="F105" s="99">
        <f t="shared" si="3"/>
        <v>1.26</v>
      </c>
      <c r="G105" s="83" t="s">
        <v>19656</v>
      </c>
      <c r="H105" s="85" t="s">
        <v>17558</v>
      </c>
      <c r="I105" s="94">
        <v>43552</v>
      </c>
      <c r="N105" s="66" t="s">
        <v>17590</v>
      </c>
      <c r="O105" s="651">
        <v>0</v>
      </c>
    </row>
    <row r="106" spans="1:15" ht="14.45" hidden="1">
      <c r="A106" s="86">
        <v>43571</v>
      </c>
      <c r="B106" s="87">
        <v>216000</v>
      </c>
      <c r="C106" s="30">
        <v>317165.43599999999</v>
      </c>
      <c r="D106" s="98">
        <v>0</v>
      </c>
      <c r="E106" s="99">
        <f t="shared" si="2"/>
        <v>317165.43599999999</v>
      </c>
      <c r="F106" s="99">
        <f t="shared" si="3"/>
        <v>1.4683584999999999</v>
      </c>
      <c r="G106" s="88" t="s">
        <v>19671</v>
      </c>
      <c r="H106" s="85" t="s">
        <v>17570</v>
      </c>
      <c r="I106" s="94">
        <v>43565</v>
      </c>
      <c r="N106" s="66" t="s">
        <v>17592</v>
      </c>
      <c r="O106" s="651">
        <v>0</v>
      </c>
    </row>
    <row r="107" spans="1:15" ht="14.45" hidden="1">
      <c r="A107" s="86">
        <v>43571</v>
      </c>
      <c r="B107" s="87">
        <v>130000</v>
      </c>
      <c r="C107" s="30">
        <v>169000</v>
      </c>
      <c r="D107" s="98">
        <v>0</v>
      </c>
      <c r="E107" s="99">
        <f t="shared" si="2"/>
        <v>169000</v>
      </c>
      <c r="F107" s="99">
        <f t="shared" si="3"/>
        <v>1.3</v>
      </c>
      <c r="G107" s="83" t="s">
        <v>19652</v>
      </c>
      <c r="H107" s="85" t="s">
        <v>17569</v>
      </c>
      <c r="I107" s="94">
        <v>43565</v>
      </c>
      <c r="N107" s="66" t="s">
        <v>17594</v>
      </c>
      <c r="O107" s="651">
        <v>0</v>
      </c>
    </row>
    <row r="108" spans="1:15" ht="14.45" hidden="1">
      <c r="A108" s="86">
        <v>43572</v>
      </c>
      <c r="B108" s="87">
        <v>22008</v>
      </c>
      <c r="C108" s="30">
        <v>31911.599999999999</v>
      </c>
      <c r="D108" s="98">
        <v>0</v>
      </c>
      <c r="E108" s="99">
        <f t="shared" si="2"/>
        <v>31911.599999999999</v>
      </c>
      <c r="F108" s="99">
        <f t="shared" si="3"/>
        <v>1.45</v>
      </c>
      <c r="G108" s="83" t="s">
        <v>19655</v>
      </c>
      <c r="H108" s="85" t="s">
        <v>17566</v>
      </c>
      <c r="I108" s="94">
        <v>43565</v>
      </c>
      <c r="N108" s="66" t="s">
        <v>17596</v>
      </c>
      <c r="O108" s="651">
        <v>0</v>
      </c>
    </row>
    <row r="109" spans="1:15" ht="14.45" hidden="1">
      <c r="A109" s="86">
        <v>43572</v>
      </c>
      <c r="B109" s="87">
        <v>130000</v>
      </c>
      <c r="C109" s="30">
        <v>169000</v>
      </c>
      <c r="D109" s="98">
        <v>0</v>
      </c>
      <c r="E109" s="99">
        <f t="shared" si="2"/>
        <v>169000</v>
      </c>
      <c r="F109" s="99">
        <f t="shared" si="3"/>
        <v>1.3</v>
      </c>
      <c r="G109" s="83" t="s">
        <v>19652</v>
      </c>
      <c r="H109" s="85" t="s">
        <v>17569</v>
      </c>
      <c r="I109" s="94">
        <v>43565</v>
      </c>
      <c r="N109" s="66" t="s">
        <v>17598</v>
      </c>
      <c r="O109" s="651">
        <v>8951.66</v>
      </c>
    </row>
    <row r="110" spans="1:15" ht="14.45" hidden="1">
      <c r="A110" s="86">
        <v>43574</v>
      </c>
      <c r="B110" s="87">
        <v>102500</v>
      </c>
      <c r="C110" s="30">
        <v>164000</v>
      </c>
      <c r="D110" s="98">
        <v>0</v>
      </c>
      <c r="E110" s="99">
        <f t="shared" si="2"/>
        <v>164000</v>
      </c>
      <c r="F110" s="99">
        <f t="shared" si="3"/>
        <v>1.6</v>
      </c>
      <c r="G110" s="83" t="s">
        <v>19679</v>
      </c>
      <c r="H110" s="85" t="s">
        <v>17574</v>
      </c>
      <c r="I110" s="94">
        <v>43568</v>
      </c>
      <c r="N110" s="66" t="s">
        <v>17601</v>
      </c>
      <c r="O110" s="651">
        <v>0</v>
      </c>
    </row>
    <row r="111" spans="1:15" ht="14.45" hidden="1">
      <c r="A111" s="86">
        <v>43575</v>
      </c>
      <c r="B111" s="87">
        <v>64416</v>
      </c>
      <c r="C111" s="30">
        <v>106269.402</v>
      </c>
      <c r="D111" s="98">
        <v>24424.215</v>
      </c>
      <c r="E111" s="99">
        <f t="shared" si="2"/>
        <v>81845.187000000005</v>
      </c>
      <c r="F111" s="99">
        <f t="shared" si="3"/>
        <v>1.2705723267511178</v>
      </c>
      <c r="G111" s="88" t="s">
        <v>19651</v>
      </c>
      <c r="H111" s="85" t="s">
        <v>17540</v>
      </c>
      <c r="I111" s="94">
        <v>43539</v>
      </c>
      <c r="N111" s="66" t="s">
        <v>17603</v>
      </c>
      <c r="O111" s="651">
        <v>0</v>
      </c>
    </row>
    <row r="112" spans="1:15" ht="14.45" hidden="1">
      <c r="A112" s="86">
        <v>43575</v>
      </c>
      <c r="B112" s="87">
        <v>23200</v>
      </c>
      <c r="C112" s="30">
        <v>35646</v>
      </c>
      <c r="D112" s="98">
        <v>0</v>
      </c>
      <c r="E112" s="99">
        <f t="shared" si="2"/>
        <v>35646</v>
      </c>
      <c r="F112" s="99">
        <f t="shared" si="3"/>
        <v>1.5364655172413793</v>
      </c>
      <c r="G112" s="83" t="s">
        <v>19674</v>
      </c>
      <c r="H112" s="85" t="s">
        <v>17559</v>
      </c>
      <c r="I112" s="94">
        <v>43557</v>
      </c>
      <c r="N112" s="66" t="s">
        <v>17605</v>
      </c>
      <c r="O112" s="651">
        <v>0</v>
      </c>
    </row>
    <row r="113" spans="1:15" ht="14.45" hidden="1">
      <c r="A113" s="86">
        <v>43575</v>
      </c>
      <c r="B113" s="87">
        <v>18100</v>
      </c>
      <c r="C113" s="30">
        <v>66254.707999999999</v>
      </c>
      <c r="D113" s="98">
        <v>1424.98</v>
      </c>
      <c r="E113" s="99">
        <f t="shared" si="2"/>
        <v>64829.727999999996</v>
      </c>
      <c r="F113" s="99">
        <f t="shared" si="3"/>
        <v>3.5817529281767952</v>
      </c>
      <c r="G113" s="88" t="s">
        <v>19653</v>
      </c>
      <c r="H113" s="85" t="s">
        <v>17572</v>
      </c>
      <c r="I113" s="94">
        <v>43566</v>
      </c>
      <c r="N113" s="66" t="s">
        <v>17607</v>
      </c>
      <c r="O113" s="651">
        <v>4538.0550000000003</v>
      </c>
    </row>
    <row r="114" spans="1:15" ht="14.45" hidden="1">
      <c r="A114" s="86">
        <v>43577</v>
      </c>
      <c r="B114" s="87">
        <v>20424</v>
      </c>
      <c r="C114" s="30">
        <v>47021.428</v>
      </c>
      <c r="D114" s="100">
        <v>9900</v>
      </c>
      <c r="E114" s="99">
        <f t="shared" si="2"/>
        <v>37121.428</v>
      </c>
      <c r="F114" s="99">
        <f t="shared" si="3"/>
        <v>1.8175395613004308</v>
      </c>
      <c r="G114" s="88" t="s">
        <v>19661</v>
      </c>
      <c r="H114" s="85" t="s">
        <v>17561</v>
      </c>
      <c r="I114" s="94">
        <v>43557</v>
      </c>
      <c r="N114" s="66" t="s">
        <v>17609</v>
      </c>
      <c r="O114" s="651">
        <v>30060.525000000001</v>
      </c>
    </row>
    <row r="115" spans="1:15" ht="14.45" hidden="1">
      <c r="A115" s="86">
        <v>43577</v>
      </c>
      <c r="B115" s="87">
        <v>20700</v>
      </c>
      <c r="C115" s="30">
        <v>26496</v>
      </c>
      <c r="D115" s="98">
        <v>0</v>
      </c>
      <c r="E115" s="99">
        <f t="shared" si="2"/>
        <v>26496</v>
      </c>
      <c r="F115" s="99">
        <f t="shared" si="3"/>
        <v>1.28</v>
      </c>
      <c r="G115" s="83" t="s">
        <v>19655</v>
      </c>
      <c r="H115" s="85" t="s">
        <v>17577</v>
      </c>
      <c r="I115" s="94">
        <v>43572</v>
      </c>
      <c r="N115" s="66" t="s">
        <v>17610</v>
      </c>
      <c r="O115" s="651">
        <v>10447.904</v>
      </c>
    </row>
    <row r="116" spans="1:15" ht="14.45" hidden="1">
      <c r="A116" s="86">
        <v>43578</v>
      </c>
      <c r="B116" s="87">
        <v>66024</v>
      </c>
      <c r="C116" s="30">
        <v>89132.4</v>
      </c>
      <c r="D116" s="98">
        <v>0</v>
      </c>
      <c r="E116" s="99">
        <f t="shared" si="2"/>
        <v>89132.4</v>
      </c>
      <c r="F116" s="99">
        <f t="shared" si="3"/>
        <v>1.3499999999999999</v>
      </c>
      <c r="G116" s="83" t="s">
        <v>19647</v>
      </c>
      <c r="H116" s="85" t="s">
        <v>17578</v>
      </c>
      <c r="I116" s="94">
        <v>43574</v>
      </c>
      <c r="N116" s="66" t="s">
        <v>17612</v>
      </c>
      <c r="O116" s="651">
        <v>3925.29</v>
      </c>
    </row>
    <row r="117" spans="1:15" ht="14.45" hidden="1">
      <c r="A117" s="86">
        <v>43579</v>
      </c>
      <c r="B117" s="87">
        <v>44016</v>
      </c>
      <c r="C117" s="30">
        <v>59421.599999999999</v>
      </c>
      <c r="D117" s="98">
        <v>0</v>
      </c>
      <c r="E117" s="99">
        <f t="shared" si="2"/>
        <v>59421.599999999999</v>
      </c>
      <c r="F117" s="99">
        <f t="shared" si="3"/>
        <v>1.3499999999999999</v>
      </c>
      <c r="G117" s="83" t="s">
        <v>19647</v>
      </c>
      <c r="H117" s="85" t="s">
        <v>17578</v>
      </c>
      <c r="I117" s="94">
        <v>43574</v>
      </c>
      <c r="N117" s="66" t="s">
        <v>17615</v>
      </c>
      <c r="O117" s="651">
        <v>89467.774999999994</v>
      </c>
    </row>
    <row r="118" spans="1:15" ht="14.45" hidden="1">
      <c r="A118" s="86">
        <v>43580</v>
      </c>
      <c r="B118" s="87">
        <v>50400</v>
      </c>
      <c r="C118" s="30">
        <v>79632</v>
      </c>
      <c r="D118" s="98">
        <v>0</v>
      </c>
      <c r="E118" s="99">
        <f t="shared" si="2"/>
        <v>79632</v>
      </c>
      <c r="F118" s="99">
        <f t="shared" si="3"/>
        <v>1.58</v>
      </c>
      <c r="G118" s="83" t="s">
        <v>19654</v>
      </c>
      <c r="H118" s="85" t="s">
        <v>17556</v>
      </c>
      <c r="I118" s="94">
        <v>43551</v>
      </c>
      <c r="N118" s="66" t="s">
        <v>17616</v>
      </c>
      <c r="O118" s="651">
        <v>0</v>
      </c>
    </row>
    <row r="119" spans="1:15" ht="14.45" hidden="1">
      <c r="A119" s="86">
        <v>43580</v>
      </c>
      <c r="B119" s="87">
        <v>20500</v>
      </c>
      <c r="C119" s="30">
        <v>30135</v>
      </c>
      <c r="D119" s="98">
        <v>0</v>
      </c>
      <c r="E119" s="99">
        <f t="shared" si="2"/>
        <v>30135</v>
      </c>
      <c r="F119" s="99">
        <f t="shared" si="3"/>
        <v>1.47</v>
      </c>
      <c r="G119" s="83" t="s">
        <v>19680</v>
      </c>
      <c r="H119" s="85" t="s">
        <v>17579</v>
      </c>
      <c r="I119" s="94">
        <v>43577</v>
      </c>
      <c r="N119" s="66" t="s">
        <v>17618</v>
      </c>
      <c r="O119" s="651">
        <v>0</v>
      </c>
    </row>
    <row r="120" spans="1:15" ht="14.45" hidden="1">
      <c r="A120" s="86">
        <v>43581</v>
      </c>
      <c r="B120" s="87">
        <v>19016</v>
      </c>
      <c r="C120" s="30">
        <v>31751.8</v>
      </c>
      <c r="D120" s="98">
        <v>0</v>
      </c>
      <c r="E120" s="99">
        <f t="shared" si="2"/>
        <v>31751.8</v>
      </c>
      <c r="F120" s="99">
        <f t="shared" si="3"/>
        <v>1.6697412705090451</v>
      </c>
      <c r="G120" s="83" t="s">
        <v>19681</v>
      </c>
      <c r="H120" s="85" t="s">
        <v>17582</v>
      </c>
      <c r="I120" s="94">
        <v>43577</v>
      </c>
      <c r="N120" s="66" t="s">
        <v>17620</v>
      </c>
      <c r="O120" s="651">
        <v>0</v>
      </c>
    </row>
    <row r="121" spans="1:15" ht="14.45" hidden="1">
      <c r="A121" s="86">
        <v>43582</v>
      </c>
      <c r="B121" s="87">
        <v>18568</v>
      </c>
      <c r="C121" s="30">
        <v>30646.400000000001</v>
      </c>
      <c r="D121" s="98">
        <v>0</v>
      </c>
      <c r="E121" s="99">
        <f t="shared" si="2"/>
        <v>30646.400000000001</v>
      </c>
      <c r="F121" s="99">
        <f t="shared" si="3"/>
        <v>1.6504954760878932</v>
      </c>
      <c r="G121" s="83" t="s">
        <v>19677</v>
      </c>
      <c r="H121" s="85" t="s">
        <v>17564</v>
      </c>
      <c r="I121" s="94">
        <v>43565</v>
      </c>
      <c r="N121" s="66" t="s">
        <v>17621</v>
      </c>
      <c r="O121" s="651">
        <v>1333.4680000000001</v>
      </c>
    </row>
    <row r="122" spans="1:15" ht="14.45" hidden="1">
      <c r="A122" s="86">
        <v>43585</v>
      </c>
      <c r="B122" s="87">
        <v>15048</v>
      </c>
      <c r="C122" s="30">
        <v>26196.400000000001</v>
      </c>
      <c r="D122" s="98">
        <v>0</v>
      </c>
      <c r="E122" s="99">
        <f t="shared" si="2"/>
        <v>26196.400000000001</v>
      </c>
      <c r="F122" s="99">
        <f t="shared" si="3"/>
        <v>1.7408559276980331</v>
      </c>
      <c r="G122" s="83" t="s">
        <v>19677</v>
      </c>
      <c r="H122" s="85" t="s">
        <v>17590</v>
      </c>
      <c r="I122" s="94">
        <v>43581</v>
      </c>
      <c r="N122" s="66" t="s">
        <v>17623</v>
      </c>
      <c r="O122" s="651">
        <v>0</v>
      </c>
    </row>
    <row r="123" spans="1:15" ht="14.45" hidden="1">
      <c r="A123" s="86">
        <v>43588</v>
      </c>
      <c r="B123" s="30">
        <v>280000</v>
      </c>
      <c r="C123" s="30">
        <v>352800</v>
      </c>
      <c r="D123" s="84">
        <v>0</v>
      </c>
      <c r="E123" s="30">
        <f t="shared" si="2"/>
        <v>352800</v>
      </c>
      <c r="F123" s="30">
        <f t="shared" si="3"/>
        <v>1.26</v>
      </c>
      <c r="G123" s="88" t="s">
        <v>19652</v>
      </c>
      <c r="H123" s="85" t="s">
        <v>17568</v>
      </c>
      <c r="I123" s="101">
        <v>43565</v>
      </c>
      <c r="N123" s="66" t="s">
        <v>17625</v>
      </c>
      <c r="O123" s="651">
        <v>0</v>
      </c>
    </row>
    <row r="124" spans="1:15" ht="14.45" hidden="1">
      <c r="A124" s="86">
        <v>43591</v>
      </c>
      <c r="B124" s="30">
        <v>81840</v>
      </c>
      <c r="C124" s="30">
        <v>117789.6</v>
      </c>
      <c r="D124" s="84">
        <v>0</v>
      </c>
      <c r="E124" s="30">
        <f t="shared" si="2"/>
        <v>117789.6</v>
      </c>
      <c r="F124" s="30">
        <f t="shared" si="3"/>
        <v>1.4392668621700881</v>
      </c>
      <c r="G124" s="88" t="s">
        <v>19655</v>
      </c>
      <c r="H124" s="85" t="s">
        <v>17592</v>
      </c>
      <c r="I124" s="94">
        <v>43581</v>
      </c>
      <c r="N124" s="66" t="s">
        <v>17626</v>
      </c>
      <c r="O124" s="651">
        <v>0</v>
      </c>
    </row>
    <row r="125" spans="1:15" ht="14.45" hidden="1">
      <c r="A125" s="86">
        <v>43591</v>
      </c>
      <c r="B125" s="30">
        <v>17500</v>
      </c>
      <c r="C125" s="30">
        <v>25439</v>
      </c>
      <c r="D125" s="84">
        <v>0</v>
      </c>
      <c r="E125" s="30">
        <f t="shared" si="2"/>
        <v>25439</v>
      </c>
      <c r="F125" s="30">
        <f t="shared" si="3"/>
        <v>1.4536571428571428</v>
      </c>
      <c r="G125" s="88" t="s">
        <v>19655</v>
      </c>
      <c r="H125" s="85" t="s">
        <v>17588</v>
      </c>
      <c r="I125" s="94">
        <v>43581</v>
      </c>
      <c r="N125" s="66" t="s">
        <v>17627</v>
      </c>
      <c r="O125" s="651">
        <v>0</v>
      </c>
    </row>
    <row r="126" spans="1:15" ht="14.45" hidden="1">
      <c r="A126" s="86">
        <v>43592</v>
      </c>
      <c r="B126" s="30">
        <v>20000</v>
      </c>
      <c r="C126" s="30">
        <v>28400</v>
      </c>
      <c r="D126" s="84">
        <v>0</v>
      </c>
      <c r="E126" s="30">
        <f t="shared" si="2"/>
        <v>28400</v>
      </c>
      <c r="F126" s="30">
        <f t="shared" si="3"/>
        <v>1.42</v>
      </c>
      <c r="G126" s="88" t="s">
        <v>19682</v>
      </c>
      <c r="H126" s="85" t="s">
        <v>17581</v>
      </c>
      <c r="I126" s="94">
        <v>43577</v>
      </c>
      <c r="N126" s="66" t="s">
        <v>17629</v>
      </c>
      <c r="O126" s="651">
        <v>0</v>
      </c>
    </row>
    <row r="127" spans="1:15" ht="14.45" hidden="1">
      <c r="A127" s="86">
        <v>43594</v>
      </c>
      <c r="B127" s="30">
        <v>21000</v>
      </c>
      <c r="C127" s="30">
        <v>30300</v>
      </c>
      <c r="D127" s="84">
        <v>0</v>
      </c>
      <c r="E127" s="30">
        <f t="shared" si="2"/>
        <v>30300</v>
      </c>
      <c r="F127" s="30">
        <f t="shared" si="3"/>
        <v>1.4428571428571428</v>
      </c>
      <c r="G127" s="83" t="s">
        <v>19656</v>
      </c>
      <c r="H127" s="85" t="s">
        <v>17587</v>
      </c>
      <c r="I127" s="94">
        <v>43580</v>
      </c>
      <c r="N127" s="66" t="s">
        <v>19683</v>
      </c>
      <c r="O127" s="651">
        <v>0</v>
      </c>
    </row>
    <row r="128" spans="1:15" ht="14.45" hidden="1">
      <c r="A128" s="86">
        <v>43595</v>
      </c>
      <c r="B128" s="30">
        <v>36921.599999999999</v>
      </c>
      <c r="C128" s="30">
        <v>59254.656000000003</v>
      </c>
      <c r="D128" s="84">
        <v>0</v>
      </c>
      <c r="E128" s="30">
        <f t="shared" si="2"/>
        <v>59254.656000000003</v>
      </c>
      <c r="F128" s="30">
        <f t="shared" si="3"/>
        <v>1.6048777951118045</v>
      </c>
      <c r="G128" s="88" t="s">
        <v>19684</v>
      </c>
      <c r="H128" s="85" t="s">
        <v>17601</v>
      </c>
      <c r="I128" s="94">
        <v>43589</v>
      </c>
      <c r="N128" s="66" t="s">
        <v>17632</v>
      </c>
      <c r="O128" s="651">
        <v>0</v>
      </c>
    </row>
    <row r="129" spans="1:15" ht="14.45" hidden="1">
      <c r="A129" s="86">
        <v>43595</v>
      </c>
      <c r="B129" s="30">
        <v>127400</v>
      </c>
      <c r="C129" s="30">
        <v>175738</v>
      </c>
      <c r="D129" s="84">
        <v>0</v>
      </c>
      <c r="E129" s="30">
        <f t="shared" si="2"/>
        <v>175738</v>
      </c>
      <c r="F129" s="30">
        <f t="shared" si="3"/>
        <v>1.3794191522762951</v>
      </c>
      <c r="G129" s="88" t="s">
        <v>19656</v>
      </c>
      <c r="H129" s="85" t="s">
        <v>17563</v>
      </c>
      <c r="I129" s="94">
        <v>43557</v>
      </c>
      <c r="N129" s="66" t="s">
        <v>17634</v>
      </c>
      <c r="O129" s="651">
        <v>0</v>
      </c>
    </row>
    <row r="130" spans="1:15" ht="14.45" hidden="1">
      <c r="A130" s="86">
        <v>43233</v>
      </c>
      <c r="B130" s="30">
        <v>27930</v>
      </c>
      <c r="C130" s="30">
        <f>17363.8+2.98</f>
        <v>17366.78</v>
      </c>
      <c r="D130" s="84">
        <v>8951.66</v>
      </c>
      <c r="E130" s="102">
        <f t="shared" si="2"/>
        <v>8415.119999999999</v>
      </c>
      <c r="F130" s="102">
        <f t="shared" si="3"/>
        <v>0.30129323308270672</v>
      </c>
      <c r="G130" s="103" t="s">
        <v>19685</v>
      </c>
      <c r="H130" s="85" t="s">
        <v>17598</v>
      </c>
      <c r="I130" s="94">
        <v>43588</v>
      </c>
      <c r="N130" s="66" t="s">
        <v>17636</v>
      </c>
      <c r="O130" s="651">
        <v>0</v>
      </c>
    </row>
    <row r="131" spans="1:15" ht="14.45" hidden="1">
      <c r="A131" s="86">
        <v>43598</v>
      </c>
      <c r="B131" s="30">
        <v>18140</v>
      </c>
      <c r="C131" s="30">
        <f>10501.36*3.34</f>
        <v>35074.542399999998</v>
      </c>
      <c r="D131" s="84">
        <v>3925.29</v>
      </c>
      <c r="E131" s="102">
        <f t="shared" si="2"/>
        <v>31149.252399999998</v>
      </c>
      <c r="F131" s="102">
        <f t="shared" si="3"/>
        <v>1.7171583461962512</v>
      </c>
      <c r="G131" s="103" t="s">
        <v>19686</v>
      </c>
      <c r="H131" s="85" t="s">
        <v>17612</v>
      </c>
      <c r="I131" s="94">
        <v>43594</v>
      </c>
      <c r="N131" s="66" t="s">
        <v>17637</v>
      </c>
      <c r="O131" s="651">
        <v>0</v>
      </c>
    </row>
    <row r="132" spans="1:15" ht="14.45" hidden="1">
      <c r="A132" s="86">
        <v>43598</v>
      </c>
      <c r="B132" s="30">
        <v>110400</v>
      </c>
      <c r="C132" s="30">
        <v>149040</v>
      </c>
      <c r="D132" s="84">
        <v>0</v>
      </c>
      <c r="E132" s="30">
        <f t="shared" si="2"/>
        <v>149040</v>
      </c>
      <c r="F132" s="30">
        <f t="shared" si="3"/>
        <v>1.35</v>
      </c>
      <c r="G132" s="88" t="s">
        <v>19676</v>
      </c>
      <c r="H132" s="85" t="s">
        <v>17605</v>
      </c>
      <c r="I132" s="94">
        <v>43589</v>
      </c>
      <c r="N132" s="66" t="s">
        <v>17638</v>
      </c>
      <c r="O132" s="651">
        <v>0</v>
      </c>
    </row>
    <row r="133" spans="1:15" ht="14.45" hidden="1">
      <c r="A133" s="86">
        <v>43599</v>
      </c>
      <c r="B133" s="30">
        <v>2400</v>
      </c>
      <c r="C133" s="30">
        <v>3912</v>
      </c>
      <c r="D133" s="84">
        <v>0</v>
      </c>
      <c r="E133" s="30">
        <f t="shared" si="2"/>
        <v>3912</v>
      </c>
      <c r="F133" s="30">
        <f t="shared" si="3"/>
        <v>1.63</v>
      </c>
      <c r="G133" s="88" t="s">
        <v>19687</v>
      </c>
      <c r="H133" s="85" t="s">
        <v>17584</v>
      </c>
      <c r="I133" s="96">
        <v>43578</v>
      </c>
      <c r="N133" s="66" t="s">
        <v>17640</v>
      </c>
      <c r="O133" s="651">
        <v>0</v>
      </c>
    </row>
    <row r="134" spans="1:15" ht="14.45" hidden="1">
      <c r="A134" s="86">
        <v>43602</v>
      </c>
      <c r="B134" s="30">
        <v>176064</v>
      </c>
      <c r="C134" s="30">
        <v>236365.92</v>
      </c>
      <c r="D134" s="84">
        <v>0</v>
      </c>
      <c r="E134" s="30">
        <f t="shared" si="2"/>
        <v>236365.92</v>
      </c>
      <c r="F134" s="30">
        <f t="shared" si="3"/>
        <v>1.3425</v>
      </c>
      <c r="G134" s="88" t="s">
        <v>19647</v>
      </c>
      <c r="H134" s="85" t="s">
        <v>17616</v>
      </c>
      <c r="I134" s="94">
        <v>43596</v>
      </c>
      <c r="N134" s="66" t="s">
        <v>17642</v>
      </c>
      <c r="O134" s="651">
        <v>0</v>
      </c>
    </row>
    <row r="135" spans="1:15" ht="14.45" hidden="1">
      <c r="A135" s="86">
        <v>43603</v>
      </c>
      <c r="B135" s="30">
        <v>63000</v>
      </c>
      <c r="C135" s="30">
        <f>33945*3.34</f>
        <v>113376.29999999999</v>
      </c>
      <c r="D135" s="84">
        <v>30060.525000000001</v>
      </c>
      <c r="E135" s="102">
        <f t="shared" si="2"/>
        <v>83315.774999999994</v>
      </c>
      <c r="F135" s="102">
        <f t="shared" si="3"/>
        <v>1.322472619047619</v>
      </c>
      <c r="G135" s="103" t="s">
        <v>19651</v>
      </c>
      <c r="H135" s="85" t="s">
        <v>17609</v>
      </c>
      <c r="I135" s="94">
        <v>43593</v>
      </c>
      <c r="N135" s="66" t="s">
        <v>17644</v>
      </c>
      <c r="O135" s="651">
        <v>5644.44</v>
      </c>
    </row>
    <row r="136" spans="1:15" ht="14.45" hidden="1">
      <c r="A136" s="86">
        <v>43605</v>
      </c>
      <c r="B136" s="30">
        <v>21600</v>
      </c>
      <c r="C136" s="30">
        <v>31752</v>
      </c>
      <c r="D136" s="84">
        <v>0</v>
      </c>
      <c r="E136" s="30">
        <f t="shared" ref="E136:E199" si="4">(C136-D136)</f>
        <v>31752</v>
      </c>
      <c r="F136" s="30">
        <f t="shared" ref="F136:F199" si="5">(E136/B136)</f>
        <v>1.47</v>
      </c>
      <c r="G136" s="88" t="s">
        <v>19655</v>
      </c>
      <c r="H136" s="85" t="s">
        <v>17603</v>
      </c>
      <c r="I136" s="94">
        <v>43589</v>
      </c>
      <c r="N136" s="66" t="s">
        <v>17646</v>
      </c>
      <c r="O136" s="651">
        <v>0</v>
      </c>
    </row>
    <row r="137" spans="1:15" ht="14.45" hidden="1">
      <c r="A137" s="86">
        <v>43606</v>
      </c>
      <c r="B137" s="30">
        <v>250320</v>
      </c>
      <c r="C137" s="30">
        <f>144382.6*2.98</f>
        <v>430260.14799999999</v>
      </c>
      <c r="D137" s="84">
        <v>89467.774999999994</v>
      </c>
      <c r="E137" s="102">
        <f t="shared" si="4"/>
        <v>340792.37300000002</v>
      </c>
      <c r="F137" s="102">
        <f t="shared" si="5"/>
        <v>1.3614268656120168</v>
      </c>
      <c r="G137" s="103" t="s">
        <v>19662</v>
      </c>
      <c r="H137" s="85" t="s">
        <v>17615</v>
      </c>
      <c r="I137" s="94">
        <v>43594</v>
      </c>
      <c r="N137" s="66" t="s">
        <v>17648</v>
      </c>
      <c r="O137" s="651">
        <v>1300</v>
      </c>
    </row>
    <row r="138" spans="1:15" ht="14.45" hidden="1">
      <c r="A138" s="86">
        <v>43608</v>
      </c>
      <c r="B138" s="30">
        <v>26784</v>
      </c>
      <c r="C138" s="30">
        <f>14212.96*3.34</f>
        <v>47471.286399999997</v>
      </c>
      <c r="D138" s="84">
        <v>10447.904</v>
      </c>
      <c r="E138" s="102">
        <f t="shared" si="4"/>
        <v>37023.382399999995</v>
      </c>
      <c r="F138" s="102">
        <f t="shared" si="5"/>
        <v>1.3822947431302268</v>
      </c>
      <c r="G138" s="103" t="s">
        <v>19661</v>
      </c>
      <c r="H138" s="85" t="s">
        <v>17610</v>
      </c>
      <c r="I138" s="94">
        <v>43593</v>
      </c>
      <c r="N138" s="66" t="s">
        <v>17650</v>
      </c>
      <c r="O138" s="651">
        <v>9857.3009999999995</v>
      </c>
    </row>
    <row r="139" spans="1:15" ht="14.45" hidden="1">
      <c r="A139" s="86">
        <v>43612</v>
      </c>
      <c r="B139" s="30">
        <v>560000</v>
      </c>
      <c r="C139" s="30">
        <v>722400</v>
      </c>
      <c r="D139" s="84">
        <v>0</v>
      </c>
      <c r="E139" s="30">
        <f t="shared" si="4"/>
        <v>722400</v>
      </c>
      <c r="F139" s="30">
        <f t="shared" si="5"/>
        <v>1.29</v>
      </c>
      <c r="G139" s="88" t="s">
        <v>19656</v>
      </c>
      <c r="H139" s="85" t="s">
        <v>17618</v>
      </c>
      <c r="I139" s="94">
        <v>43600</v>
      </c>
      <c r="N139" s="66" t="s">
        <v>17652</v>
      </c>
      <c r="O139" s="651">
        <v>24243.367999999999</v>
      </c>
    </row>
    <row r="140" spans="1:15" ht="14.45" hidden="1">
      <c r="A140" s="86">
        <v>43612</v>
      </c>
      <c r="B140" s="30">
        <v>10250</v>
      </c>
      <c r="C140" s="30">
        <f>9685*2.98</f>
        <v>28861.3</v>
      </c>
      <c r="D140" s="84">
        <v>1333.4680000000001</v>
      </c>
      <c r="E140" s="102">
        <f t="shared" si="4"/>
        <v>27527.831999999999</v>
      </c>
      <c r="F140" s="102">
        <f t="shared" si="5"/>
        <v>2.6856421463414635</v>
      </c>
      <c r="G140" s="103" t="s">
        <v>19672</v>
      </c>
      <c r="H140" s="85" t="s">
        <v>17621</v>
      </c>
      <c r="I140" s="94">
        <v>43606</v>
      </c>
      <c r="N140" s="66" t="s">
        <v>17653</v>
      </c>
      <c r="O140" s="651">
        <v>0</v>
      </c>
    </row>
    <row r="141" spans="1:15" ht="14.45" hidden="1">
      <c r="A141" s="86">
        <v>43612</v>
      </c>
      <c r="B141" s="30">
        <v>151200</v>
      </c>
      <c r="C141" s="30">
        <f>78468*2.98</f>
        <v>233834.63999999998</v>
      </c>
      <c r="D141" s="84">
        <v>0</v>
      </c>
      <c r="E141" s="30">
        <f t="shared" si="4"/>
        <v>233834.63999999998</v>
      </c>
      <c r="F141" s="30">
        <f t="shared" si="5"/>
        <v>1.5465253968253967</v>
      </c>
      <c r="G141" s="88" t="s">
        <v>19688</v>
      </c>
      <c r="H141" s="85" t="s">
        <v>19683</v>
      </c>
      <c r="I141" s="94">
        <v>43609</v>
      </c>
      <c r="N141" s="66" t="s">
        <v>17655</v>
      </c>
      <c r="O141" s="651">
        <v>0</v>
      </c>
    </row>
    <row r="142" spans="1:15" ht="14.45" hidden="1">
      <c r="A142" s="86">
        <v>43613</v>
      </c>
      <c r="B142" s="30">
        <v>28000</v>
      </c>
      <c r="C142" s="30">
        <v>38360</v>
      </c>
      <c r="D142" s="84">
        <v>0</v>
      </c>
      <c r="E142" s="30">
        <f t="shared" si="4"/>
        <v>38360</v>
      </c>
      <c r="F142" s="30">
        <f t="shared" si="5"/>
        <v>1.37</v>
      </c>
      <c r="G142" s="88" t="s">
        <v>19656</v>
      </c>
      <c r="H142" s="85" t="s">
        <v>17596</v>
      </c>
      <c r="I142" s="94">
        <v>43588</v>
      </c>
      <c r="N142" s="66" t="s">
        <v>17657</v>
      </c>
      <c r="O142" s="651">
        <v>0</v>
      </c>
    </row>
    <row r="143" spans="1:15" ht="14.45" hidden="1">
      <c r="A143" s="86">
        <v>43614</v>
      </c>
      <c r="B143" s="30">
        <v>510000</v>
      </c>
      <c r="C143" s="30">
        <f>265200*2.86</f>
        <v>758472</v>
      </c>
      <c r="D143" s="84">
        <v>0</v>
      </c>
      <c r="E143" s="30">
        <f t="shared" si="4"/>
        <v>758472</v>
      </c>
      <c r="F143" s="30">
        <f t="shared" si="5"/>
        <v>1.4872000000000001</v>
      </c>
      <c r="G143" s="88" t="s">
        <v>19689</v>
      </c>
      <c r="H143" s="85" t="s">
        <v>17623</v>
      </c>
      <c r="I143" s="94">
        <v>43606</v>
      </c>
      <c r="N143" s="66" t="s">
        <v>17659</v>
      </c>
      <c r="O143" s="651">
        <v>850</v>
      </c>
    </row>
    <row r="144" spans="1:15" ht="14.45" hidden="1">
      <c r="A144" s="86">
        <v>43615</v>
      </c>
      <c r="B144" s="30">
        <v>26048</v>
      </c>
      <c r="C144" s="30">
        <v>47252.92</v>
      </c>
      <c r="D144" s="84">
        <v>0</v>
      </c>
      <c r="E144" s="30">
        <f t="shared" si="4"/>
        <v>47252.92</v>
      </c>
      <c r="F144" s="30">
        <f t="shared" si="5"/>
        <v>1.8140709459459459</v>
      </c>
      <c r="G144" s="88" t="s">
        <v>19690</v>
      </c>
      <c r="H144" s="85" t="s">
        <v>17625</v>
      </c>
      <c r="I144" s="94">
        <v>43608</v>
      </c>
      <c r="N144" s="66" t="s">
        <v>17660</v>
      </c>
      <c r="O144" s="651">
        <v>0</v>
      </c>
    </row>
    <row r="145" spans="1:15" ht="14.45" hidden="1">
      <c r="A145" s="86">
        <v>43615</v>
      </c>
      <c r="B145" s="30">
        <v>20000</v>
      </c>
      <c r="C145" s="30">
        <v>29600</v>
      </c>
      <c r="D145" s="84">
        <v>0</v>
      </c>
      <c r="E145" s="30">
        <f t="shared" si="4"/>
        <v>29600</v>
      </c>
      <c r="F145" s="30">
        <f t="shared" si="5"/>
        <v>1.48</v>
      </c>
      <c r="G145" s="88" t="s">
        <v>19682</v>
      </c>
      <c r="H145" s="85" t="s">
        <v>17620</v>
      </c>
      <c r="I145" s="94">
        <v>43605</v>
      </c>
      <c r="N145" s="66" t="s">
        <v>17661</v>
      </c>
      <c r="O145" s="651">
        <v>0</v>
      </c>
    </row>
    <row r="146" spans="1:15" ht="14.45" hidden="1">
      <c r="A146" s="86">
        <v>43616</v>
      </c>
      <c r="B146" s="30">
        <v>20176</v>
      </c>
      <c r="C146" s="30">
        <v>31272.428</v>
      </c>
      <c r="D146" s="84">
        <v>0</v>
      </c>
      <c r="E146" s="30">
        <f t="shared" si="4"/>
        <v>31272.428</v>
      </c>
      <c r="F146" s="30">
        <f t="shared" si="5"/>
        <v>1.5499815622521809</v>
      </c>
      <c r="G146" s="88" t="s">
        <v>19691</v>
      </c>
      <c r="H146" s="85" t="s">
        <v>17632</v>
      </c>
      <c r="I146" s="94">
        <v>43610</v>
      </c>
      <c r="N146" s="66" t="s">
        <v>17662</v>
      </c>
      <c r="O146" s="651">
        <v>29286.99</v>
      </c>
    </row>
    <row r="147" spans="1:15" ht="14.45" hidden="1">
      <c r="A147" s="86">
        <v>43616</v>
      </c>
      <c r="B147" s="83">
        <v>21250</v>
      </c>
      <c r="C147" s="30">
        <v>31450</v>
      </c>
      <c r="D147" s="84">
        <v>0</v>
      </c>
      <c r="E147" s="30">
        <f t="shared" si="4"/>
        <v>31450</v>
      </c>
      <c r="F147" s="30">
        <f t="shared" si="5"/>
        <v>1.48</v>
      </c>
      <c r="G147" s="88" t="s">
        <v>19692</v>
      </c>
      <c r="H147" s="85" t="s">
        <v>17627</v>
      </c>
      <c r="I147" s="94">
        <v>43608</v>
      </c>
      <c r="N147" s="66" t="s">
        <v>17663</v>
      </c>
      <c r="O147" s="651">
        <v>77669.34</v>
      </c>
    </row>
    <row r="148" spans="1:15" ht="14.45" hidden="1">
      <c r="A148" s="86">
        <v>43619</v>
      </c>
      <c r="B148" s="87">
        <v>20000</v>
      </c>
      <c r="C148" s="30">
        <v>41174.370000000003</v>
      </c>
      <c r="D148" s="84">
        <v>4538.0550000000003</v>
      </c>
      <c r="E148" s="30">
        <f t="shared" si="4"/>
        <v>36636.315000000002</v>
      </c>
      <c r="F148" s="30">
        <f t="shared" si="5"/>
        <v>1.8318157500000001</v>
      </c>
      <c r="G148" s="88" t="s">
        <v>19693</v>
      </c>
      <c r="H148" s="104" t="s">
        <v>17607</v>
      </c>
      <c r="I148" s="94">
        <v>43589</v>
      </c>
      <c r="N148" s="66" t="s">
        <v>17664</v>
      </c>
      <c r="O148" s="651">
        <v>17342.5</v>
      </c>
    </row>
    <row r="149" spans="1:15" ht="14.45" hidden="1">
      <c r="A149" s="105">
        <v>43624</v>
      </c>
      <c r="B149" s="106">
        <v>8716</v>
      </c>
      <c r="C149" s="107">
        <v>14485.28</v>
      </c>
      <c r="D149" s="84">
        <v>0</v>
      </c>
      <c r="E149" s="30">
        <f t="shared" si="4"/>
        <v>14485.28</v>
      </c>
      <c r="F149" s="30">
        <f t="shared" si="5"/>
        <v>1.6619183111519047</v>
      </c>
      <c r="G149" s="108" t="s">
        <v>19694</v>
      </c>
      <c r="H149" s="109" t="s">
        <v>17634</v>
      </c>
      <c r="I149" s="94">
        <v>43616</v>
      </c>
      <c r="N149" s="66" t="s">
        <v>17665</v>
      </c>
      <c r="O149" s="651">
        <v>17342.5</v>
      </c>
    </row>
    <row r="150" spans="1:15" ht="14.45" hidden="1">
      <c r="A150" s="86">
        <v>43627</v>
      </c>
      <c r="B150" s="82">
        <v>21600</v>
      </c>
      <c r="C150" s="83">
        <v>31752</v>
      </c>
      <c r="D150" s="84">
        <v>0</v>
      </c>
      <c r="E150" s="30">
        <f t="shared" si="4"/>
        <v>31752</v>
      </c>
      <c r="F150" s="30">
        <f t="shared" si="5"/>
        <v>1.47</v>
      </c>
      <c r="G150" s="108" t="s">
        <v>19695</v>
      </c>
      <c r="H150" s="109" t="s">
        <v>17638</v>
      </c>
      <c r="I150" s="94">
        <v>43617</v>
      </c>
      <c r="N150" s="66" t="s">
        <v>17666</v>
      </c>
      <c r="O150" s="651">
        <v>17342.5</v>
      </c>
    </row>
    <row r="151" spans="1:15" ht="14.45" hidden="1">
      <c r="A151" s="86">
        <v>43628</v>
      </c>
      <c r="B151" s="87">
        <v>53328</v>
      </c>
      <c r="C151" s="30">
        <v>79331.28</v>
      </c>
      <c r="D151" s="84">
        <v>0</v>
      </c>
      <c r="E151" s="30">
        <f t="shared" si="4"/>
        <v>79331.28</v>
      </c>
      <c r="F151" s="30">
        <f t="shared" si="5"/>
        <v>1.4876102610261026</v>
      </c>
      <c r="G151" s="88" t="s">
        <v>19695</v>
      </c>
      <c r="H151" s="109" t="s">
        <v>17640</v>
      </c>
      <c r="I151" s="94">
        <v>43619</v>
      </c>
      <c r="N151" s="66" t="s">
        <v>17667</v>
      </c>
      <c r="O151" s="651">
        <v>0</v>
      </c>
    </row>
    <row r="152" spans="1:15" ht="14.45" hidden="1">
      <c r="A152" s="86">
        <v>43634</v>
      </c>
      <c r="B152" s="87">
        <v>560000</v>
      </c>
      <c r="C152" s="30">
        <v>722400</v>
      </c>
      <c r="D152" s="84">
        <v>0</v>
      </c>
      <c r="E152" s="30">
        <f t="shared" si="4"/>
        <v>722400</v>
      </c>
      <c r="F152" s="30">
        <f t="shared" si="5"/>
        <v>1.29</v>
      </c>
      <c r="G152" s="88" t="s">
        <v>19656</v>
      </c>
      <c r="H152" s="109" t="s">
        <v>17636</v>
      </c>
      <c r="I152" s="94">
        <v>43617</v>
      </c>
      <c r="N152" s="66" t="s">
        <v>17669</v>
      </c>
      <c r="O152" s="651">
        <v>0</v>
      </c>
    </row>
    <row r="153" spans="1:15" ht="14.45" hidden="1">
      <c r="A153" s="86">
        <v>43636</v>
      </c>
      <c r="B153" s="87">
        <v>33600</v>
      </c>
      <c r="C153" s="30">
        <v>53088</v>
      </c>
      <c r="D153" s="84">
        <v>0</v>
      </c>
      <c r="E153" s="30">
        <f t="shared" si="4"/>
        <v>53088</v>
      </c>
      <c r="F153" s="30">
        <f t="shared" si="5"/>
        <v>1.58</v>
      </c>
      <c r="G153" s="88" t="s">
        <v>19694</v>
      </c>
      <c r="H153" s="109" t="s">
        <v>17626</v>
      </c>
      <c r="I153" s="94">
        <v>43608</v>
      </c>
      <c r="N153" s="66" t="s">
        <v>17670</v>
      </c>
      <c r="O153" s="651">
        <v>0</v>
      </c>
    </row>
    <row r="154" spans="1:15" ht="14.45" hidden="1">
      <c r="A154" s="86">
        <v>43636</v>
      </c>
      <c r="B154" s="87">
        <v>10204</v>
      </c>
      <c r="C154" s="30">
        <v>16875.056</v>
      </c>
      <c r="D154" s="84">
        <v>0</v>
      </c>
      <c r="E154" s="30">
        <f t="shared" si="4"/>
        <v>16875.056</v>
      </c>
      <c r="F154" s="30">
        <f t="shared" si="5"/>
        <v>1.6537687181497454</v>
      </c>
      <c r="G154" s="88" t="s">
        <v>19694</v>
      </c>
      <c r="H154" s="109" t="s">
        <v>17646</v>
      </c>
      <c r="I154" s="94">
        <v>43629</v>
      </c>
      <c r="N154" s="66" t="s">
        <v>17671</v>
      </c>
      <c r="O154" s="651">
        <v>0</v>
      </c>
    </row>
    <row r="155" spans="1:15" ht="14.45" hidden="1">
      <c r="A155" s="86">
        <v>43637</v>
      </c>
      <c r="B155" s="87">
        <v>20000</v>
      </c>
      <c r="C155" s="30">
        <v>34954.5</v>
      </c>
      <c r="D155" s="84">
        <v>5644.44</v>
      </c>
      <c r="E155" s="30">
        <f t="shared" si="4"/>
        <v>29310.06</v>
      </c>
      <c r="F155" s="30">
        <f t="shared" si="5"/>
        <v>1.465503</v>
      </c>
      <c r="G155" s="88" t="s">
        <v>19696</v>
      </c>
      <c r="H155" s="109" t="s">
        <v>17644</v>
      </c>
      <c r="I155" s="94">
        <v>43626</v>
      </c>
      <c r="N155" s="66" t="s">
        <v>17672</v>
      </c>
      <c r="O155" s="651">
        <v>0</v>
      </c>
    </row>
    <row r="156" spans="1:15" ht="14.45" hidden="1">
      <c r="A156" s="86">
        <v>43637</v>
      </c>
      <c r="B156" s="87">
        <v>26976</v>
      </c>
      <c r="C156" s="30">
        <v>47545.749000000003</v>
      </c>
      <c r="D156" s="84">
        <v>9857.3009999999995</v>
      </c>
      <c r="E156" s="30">
        <f t="shared" si="4"/>
        <v>37688.448000000004</v>
      </c>
      <c r="F156" s="30">
        <f t="shared" si="5"/>
        <v>1.3971103202846977</v>
      </c>
      <c r="G156" s="88" t="s">
        <v>19697</v>
      </c>
      <c r="H156" s="109" t="s">
        <v>17650</v>
      </c>
      <c r="I156" s="94">
        <v>43634</v>
      </c>
      <c r="N156" s="66" t="s">
        <v>17674</v>
      </c>
      <c r="O156" s="651">
        <v>9772</v>
      </c>
    </row>
    <row r="157" spans="1:15" ht="14.45" hidden="1">
      <c r="A157" s="86">
        <v>43640</v>
      </c>
      <c r="B157" s="87">
        <v>66216</v>
      </c>
      <c r="C157" s="30">
        <v>117093.796</v>
      </c>
      <c r="D157" s="84">
        <v>24243.367999999999</v>
      </c>
      <c r="E157" s="30">
        <f t="shared" si="4"/>
        <v>92850.428</v>
      </c>
      <c r="F157" s="30">
        <f t="shared" si="5"/>
        <v>1.4022355321976561</v>
      </c>
      <c r="G157" s="88" t="s">
        <v>19698</v>
      </c>
      <c r="H157" s="109" t="s">
        <v>17652</v>
      </c>
      <c r="I157" s="94">
        <v>43634</v>
      </c>
      <c r="N157" s="66" t="s">
        <v>17676</v>
      </c>
      <c r="O157" s="651">
        <v>0</v>
      </c>
    </row>
    <row r="158" spans="1:15" ht="14.45" hidden="1">
      <c r="A158" s="86">
        <v>43640</v>
      </c>
      <c r="B158" s="87">
        <v>286104</v>
      </c>
      <c r="C158" s="30">
        <v>393503.04</v>
      </c>
      <c r="D158" s="84">
        <v>0</v>
      </c>
      <c r="E158" s="30">
        <f t="shared" si="4"/>
        <v>393503.04</v>
      </c>
      <c r="F158" s="30">
        <f t="shared" si="5"/>
        <v>1.3753846153846152</v>
      </c>
      <c r="G158" s="88" t="s">
        <v>19647</v>
      </c>
      <c r="H158" s="109" t="s">
        <v>17637</v>
      </c>
      <c r="I158" s="94">
        <v>43617</v>
      </c>
      <c r="N158" s="66" t="s">
        <v>17678</v>
      </c>
      <c r="O158" s="651">
        <v>0</v>
      </c>
    </row>
    <row r="159" spans="1:15" ht="14.45" hidden="1">
      <c r="A159" s="86">
        <v>43640</v>
      </c>
      <c r="B159" s="87">
        <v>150000</v>
      </c>
      <c r="C159" s="30">
        <v>223907.85</v>
      </c>
      <c r="D159" s="84">
        <v>0</v>
      </c>
      <c r="E159" s="30">
        <f t="shared" si="4"/>
        <v>223907.85</v>
      </c>
      <c r="F159" s="30">
        <f t="shared" si="5"/>
        <v>1.4927190000000001</v>
      </c>
      <c r="G159" s="88" t="s">
        <v>19699</v>
      </c>
      <c r="H159" s="109" t="s">
        <v>17653</v>
      </c>
      <c r="I159" s="94">
        <v>43635</v>
      </c>
      <c r="N159" s="66" t="s">
        <v>17679</v>
      </c>
      <c r="O159" s="651">
        <v>0</v>
      </c>
    </row>
    <row r="160" spans="1:15" ht="14.45" hidden="1">
      <c r="A160" s="86">
        <v>43641</v>
      </c>
      <c r="B160" s="87">
        <v>65616</v>
      </c>
      <c r="C160" s="30">
        <v>94711.2</v>
      </c>
      <c r="D160" s="84">
        <v>0</v>
      </c>
      <c r="E160" s="30">
        <f t="shared" si="4"/>
        <v>94711.2</v>
      </c>
      <c r="F160" s="30">
        <f t="shared" si="5"/>
        <v>1.4434162399414776</v>
      </c>
      <c r="G160" s="88" t="s">
        <v>19656</v>
      </c>
      <c r="H160" s="109" t="s">
        <v>17594</v>
      </c>
      <c r="I160" s="94">
        <v>43588</v>
      </c>
      <c r="N160" s="66" t="s">
        <v>17680</v>
      </c>
      <c r="O160" s="651">
        <v>0</v>
      </c>
    </row>
    <row r="161" spans="1:15" ht="14.45" hidden="1">
      <c r="A161" s="86">
        <v>43641</v>
      </c>
      <c r="B161" s="87">
        <v>19000</v>
      </c>
      <c r="C161" s="30">
        <v>68288.070000000007</v>
      </c>
      <c r="D161" s="89">
        <v>1300</v>
      </c>
      <c r="E161" s="30">
        <f t="shared" si="4"/>
        <v>66988.070000000007</v>
      </c>
      <c r="F161" s="30">
        <f t="shared" si="5"/>
        <v>3.5256878947368424</v>
      </c>
      <c r="G161" s="88" t="s">
        <v>19700</v>
      </c>
      <c r="H161" s="109" t="s">
        <v>17648</v>
      </c>
      <c r="I161" s="94">
        <v>43629</v>
      </c>
      <c r="N161" s="66" t="s">
        <v>17681</v>
      </c>
      <c r="O161" s="651">
        <v>0</v>
      </c>
    </row>
    <row r="162" spans="1:15" ht="14.45" hidden="1">
      <c r="A162" s="86">
        <v>43642</v>
      </c>
      <c r="B162" s="87">
        <v>330000</v>
      </c>
      <c r="C162" s="30">
        <v>426510</v>
      </c>
      <c r="D162" s="84">
        <v>0</v>
      </c>
      <c r="E162" s="30">
        <f t="shared" si="4"/>
        <v>426510</v>
      </c>
      <c r="F162" s="30">
        <f t="shared" si="5"/>
        <v>1.2924545454545455</v>
      </c>
      <c r="G162" s="88" t="s">
        <v>19695</v>
      </c>
      <c r="H162" s="109" t="s">
        <v>17655</v>
      </c>
      <c r="I162" s="94">
        <v>43637</v>
      </c>
      <c r="N162" s="66" t="s">
        <v>17682</v>
      </c>
      <c r="O162" s="651">
        <v>0</v>
      </c>
    </row>
    <row r="163" spans="1:15" ht="14.45" hidden="1">
      <c r="A163" s="86">
        <v>43643</v>
      </c>
      <c r="B163" s="87">
        <v>5100</v>
      </c>
      <c r="C163" s="30">
        <v>8652</v>
      </c>
      <c r="D163" s="84">
        <v>0</v>
      </c>
      <c r="E163" s="30">
        <f t="shared" si="4"/>
        <v>8652</v>
      </c>
      <c r="F163" s="30">
        <f t="shared" si="5"/>
        <v>1.6964705882352942</v>
      </c>
      <c r="G163" s="88" t="s">
        <v>19694</v>
      </c>
      <c r="H163" s="109" t="s">
        <v>17642</v>
      </c>
      <c r="I163" s="94">
        <v>43626</v>
      </c>
      <c r="N163" s="66" t="s">
        <v>17684</v>
      </c>
      <c r="O163" s="651">
        <v>0</v>
      </c>
    </row>
    <row r="164" spans="1:15" ht="14.45" hidden="1">
      <c r="A164" s="86">
        <v>43647</v>
      </c>
      <c r="B164" s="87">
        <v>59400</v>
      </c>
      <c r="C164" s="30">
        <v>106290.005</v>
      </c>
      <c r="D164" s="84">
        <v>29286.99</v>
      </c>
      <c r="E164" s="30">
        <f t="shared" si="4"/>
        <v>77003.014999999999</v>
      </c>
      <c r="F164" s="30">
        <f t="shared" si="5"/>
        <v>1.2963470538720538</v>
      </c>
      <c r="G164" s="88" t="s">
        <v>19701</v>
      </c>
      <c r="H164" s="104" t="s">
        <v>17662</v>
      </c>
      <c r="I164" s="94">
        <v>43641</v>
      </c>
      <c r="N164" s="66" t="s">
        <v>17686</v>
      </c>
      <c r="O164" s="651">
        <v>14016.883</v>
      </c>
    </row>
    <row r="165" spans="1:15" ht="14.45" hidden="1">
      <c r="A165" s="86">
        <v>43649</v>
      </c>
      <c r="B165" s="82">
        <v>437000</v>
      </c>
      <c r="C165" s="83">
        <v>565215</v>
      </c>
      <c r="D165" s="84">
        <v>0</v>
      </c>
      <c r="E165" s="30">
        <f t="shared" si="4"/>
        <v>565215</v>
      </c>
      <c r="F165" s="30">
        <f t="shared" si="5"/>
        <v>1.2933981693363845</v>
      </c>
      <c r="G165" s="108" t="s">
        <v>19702</v>
      </c>
      <c r="H165" s="109" t="s">
        <v>17660</v>
      </c>
      <c r="I165" s="94">
        <v>43641</v>
      </c>
      <c r="N165" s="66" t="s">
        <v>17688</v>
      </c>
      <c r="O165" s="651">
        <v>0</v>
      </c>
    </row>
    <row r="166" spans="1:15" ht="14.45" hidden="1">
      <c r="A166" s="105">
        <v>43650</v>
      </c>
      <c r="B166" s="87">
        <v>21250</v>
      </c>
      <c r="C166" s="30">
        <v>31450</v>
      </c>
      <c r="D166" s="84">
        <v>0</v>
      </c>
      <c r="E166" s="30">
        <f t="shared" si="4"/>
        <v>31450</v>
      </c>
      <c r="F166" s="30">
        <f t="shared" si="5"/>
        <v>1.48</v>
      </c>
      <c r="G166" s="88" t="s">
        <v>19694</v>
      </c>
      <c r="H166" s="109" t="s">
        <v>17669</v>
      </c>
      <c r="I166" s="94">
        <v>43647</v>
      </c>
      <c r="N166" s="66" t="s">
        <v>17690</v>
      </c>
      <c r="O166" s="651">
        <v>0</v>
      </c>
    </row>
    <row r="167" spans="1:15" ht="14.45" hidden="1">
      <c r="A167" s="86">
        <v>43651</v>
      </c>
      <c r="B167" s="87">
        <v>20000</v>
      </c>
      <c r="C167" s="30">
        <v>32800</v>
      </c>
      <c r="D167" s="84">
        <v>0</v>
      </c>
      <c r="E167" s="30">
        <f t="shared" si="4"/>
        <v>32800</v>
      </c>
      <c r="F167" s="30">
        <f t="shared" si="5"/>
        <v>1.64</v>
      </c>
      <c r="G167" s="88" t="s">
        <v>19703</v>
      </c>
      <c r="H167" s="109" t="s">
        <v>17670</v>
      </c>
      <c r="I167" s="94">
        <v>43647</v>
      </c>
      <c r="N167" s="66" t="s">
        <v>17692</v>
      </c>
      <c r="O167" s="651">
        <v>0</v>
      </c>
    </row>
    <row r="168" spans="1:15" ht="14.45" hidden="1">
      <c r="A168" s="86">
        <v>43655</v>
      </c>
      <c r="B168" s="87">
        <v>204000</v>
      </c>
      <c r="C168" s="30">
        <v>348446.20799999998</v>
      </c>
      <c r="D168" s="84">
        <v>77669.34</v>
      </c>
      <c r="E168" s="30">
        <f t="shared" si="4"/>
        <v>270776.86800000002</v>
      </c>
      <c r="F168" s="30">
        <f t="shared" si="5"/>
        <v>1.3273375882352942</v>
      </c>
      <c r="G168" s="88" t="s">
        <v>19704</v>
      </c>
      <c r="H168" s="109" t="s">
        <v>17663</v>
      </c>
      <c r="I168" s="94">
        <v>43641</v>
      </c>
      <c r="N168" s="66" t="s">
        <v>17694</v>
      </c>
      <c r="O168" s="651">
        <v>0</v>
      </c>
    </row>
    <row r="169" spans="1:15" ht="14.45" hidden="1">
      <c r="A169" s="86">
        <v>43655</v>
      </c>
      <c r="B169" s="87">
        <v>308112</v>
      </c>
      <c r="C169" s="30">
        <v>422553.59999999998</v>
      </c>
      <c r="D169" s="84">
        <v>0</v>
      </c>
      <c r="E169" s="30">
        <f t="shared" si="4"/>
        <v>422553.59999999998</v>
      </c>
      <c r="F169" s="30">
        <f t="shared" si="5"/>
        <v>1.3714285714285714</v>
      </c>
      <c r="G169" s="88" t="s">
        <v>19647</v>
      </c>
      <c r="H169" s="109" t="s">
        <v>17667</v>
      </c>
      <c r="I169" s="94">
        <v>43643</v>
      </c>
      <c r="N169" s="66" t="s">
        <v>17696</v>
      </c>
      <c r="O169" s="651">
        <v>0</v>
      </c>
    </row>
    <row r="170" spans="1:15" ht="14.45" hidden="1">
      <c r="A170" s="105">
        <v>43656</v>
      </c>
      <c r="B170" s="87">
        <v>22008</v>
      </c>
      <c r="C170" s="30">
        <v>31911.599999999999</v>
      </c>
      <c r="D170" s="84">
        <v>0</v>
      </c>
      <c r="E170" s="30">
        <f t="shared" si="4"/>
        <v>31911.599999999999</v>
      </c>
      <c r="F170" s="30">
        <f t="shared" si="5"/>
        <v>1.45</v>
      </c>
      <c r="G170" s="88" t="s">
        <v>19695</v>
      </c>
      <c r="H170" s="109" t="s">
        <v>17671</v>
      </c>
      <c r="I170" s="94">
        <v>43664</v>
      </c>
      <c r="N170" s="66" t="s">
        <v>17697</v>
      </c>
      <c r="O170" s="651">
        <v>96137.88</v>
      </c>
    </row>
    <row r="171" spans="1:15" ht="14.45" hidden="1">
      <c r="A171" s="105">
        <v>43656</v>
      </c>
      <c r="B171" s="87">
        <v>108000</v>
      </c>
      <c r="C171" s="30">
        <v>151004.304</v>
      </c>
      <c r="D171" s="84">
        <v>17342.5</v>
      </c>
      <c r="E171" s="30">
        <f t="shared" si="4"/>
        <v>133661.804</v>
      </c>
      <c r="F171" s="30">
        <f t="shared" si="5"/>
        <v>1.2376092962962963</v>
      </c>
      <c r="G171" s="88" t="s">
        <v>19705</v>
      </c>
      <c r="H171" s="109" t="s">
        <v>17664</v>
      </c>
      <c r="I171" s="94">
        <v>43621</v>
      </c>
      <c r="N171" s="66" t="s">
        <v>17698</v>
      </c>
      <c r="O171" s="651">
        <v>0</v>
      </c>
    </row>
    <row r="172" spans="1:15" ht="14.45" hidden="1">
      <c r="A172" s="105">
        <v>43657</v>
      </c>
      <c r="B172" s="87">
        <v>108000</v>
      </c>
      <c r="C172" s="30">
        <v>151004.304</v>
      </c>
      <c r="D172" s="84">
        <v>17342.5</v>
      </c>
      <c r="E172" s="30">
        <f t="shared" si="4"/>
        <v>133661.804</v>
      </c>
      <c r="F172" s="30">
        <f t="shared" si="5"/>
        <v>1.2376092962962963</v>
      </c>
      <c r="G172" s="88" t="s">
        <v>19705</v>
      </c>
      <c r="H172" s="109" t="s">
        <v>17665</v>
      </c>
      <c r="I172" s="94">
        <v>43621</v>
      </c>
      <c r="N172" s="66" t="s">
        <v>17699</v>
      </c>
      <c r="O172" s="651">
        <v>0</v>
      </c>
    </row>
    <row r="173" spans="1:15" ht="14.45" hidden="1">
      <c r="A173" s="105">
        <v>43658</v>
      </c>
      <c r="B173" s="87">
        <v>108000</v>
      </c>
      <c r="C173" s="30">
        <v>151004.304</v>
      </c>
      <c r="D173" s="84">
        <v>17342.5</v>
      </c>
      <c r="E173" s="30">
        <f t="shared" si="4"/>
        <v>133661.804</v>
      </c>
      <c r="F173" s="30">
        <f t="shared" si="5"/>
        <v>1.2376092962962963</v>
      </c>
      <c r="G173" s="88" t="s">
        <v>19705</v>
      </c>
      <c r="H173" s="109" t="s">
        <v>17666</v>
      </c>
      <c r="I173" s="94">
        <v>43621</v>
      </c>
      <c r="N173" s="66" t="s">
        <v>17701</v>
      </c>
      <c r="O173" s="651">
        <v>0</v>
      </c>
    </row>
    <row r="174" spans="1:15" ht="14.45" hidden="1">
      <c r="A174" s="105">
        <v>43662</v>
      </c>
      <c r="B174" s="110">
        <v>20157.599999999999</v>
      </c>
      <c r="C174" s="30">
        <v>33461.616000000002</v>
      </c>
      <c r="D174" s="84">
        <v>0</v>
      </c>
      <c r="E174" s="30">
        <f t="shared" si="4"/>
        <v>33461.616000000002</v>
      </c>
      <c r="F174" s="30">
        <f t="shared" si="5"/>
        <v>1.6600000000000001</v>
      </c>
      <c r="G174" s="88" t="s">
        <v>19694</v>
      </c>
      <c r="H174" s="109" t="s">
        <v>17629</v>
      </c>
      <c r="I174" s="94">
        <v>43608</v>
      </c>
      <c r="N174" s="66" t="s">
        <v>17703</v>
      </c>
      <c r="O174" s="651">
        <v>0</v>
      </c>
    </row>
    <row r="175" spans="1:15" ht="14.45" hidden="1">
      <c r="A175" s="86">
        <v>43663</v>
      </c>
      <c r="B175" s="110">
        <v>20157.599999999999</v>
      </c>
      <c r="C175" s="30">
        <v>33461.616000000002</v>
      </c>
      <c r="D175" s="84">
        <v>0</v>
      </c>
      <c r="E175" s="30">
        <f t="shared" si="4"/>
        <v>33461.616000000002</v>
      </c>
      <c r="F175" s="30">
        <f t="shared" si="5"/>
        <v>1.6600000000000001</v>
      </c>
      <c r="G175" s="88" t="s">
        <v>19694</v>
      </c>
      <c r="H175" s="109" t="s">
        <v>17680</v>
      </c>
      <c r="I175" s="94">
        <v>43654</v>
      </c>
      <c r="N175" s="66" t="s">
        <v>17705</v>
      </c>
      <c r="O175" s="651">
        <v>3161.9110000000001</v>
      </c>
    </row>
    <row r="176" spans="1:15" ht="14.45" hidden="1">
      <c r="A176" s="86">
        <v>43663</v>
      </c>
      <c r="B176" s="87">
        <v>10784</v>
      </c>
      <c r="C176" s="30">
        <v>17192.759999999998</v>
      </c>
      <c r="D176" s="84">
        <v>0</v>
      </c>
      <c r="E176" s="30">
        <f t="shared" si="4"/>
        <v>17192.759999999998</v>
      </c>
      <c r="F176" s="30">
        <f t="shared" si="5"/>
        <v>1.59428412462908</v>
      </c>
      <c r="G176" s="88" t="s">
        <v>19694</v>
      </c>
      <c r="H176" s="109" t="s">
        <v>17678</v>
      </c>
      <c r="I176" s="94">
        <v>43654</v>
      </c>
      <c r="N176" s="66" t="s">
        <v>17706</v>
      </c>
      <c r="O176" s="651">
        <v>0</v>
      </c>
    </row>
    <row r="177" spans="1:15" ht="14.45" hidden="1">
      <c r="A177" s="86">
        <v>43663</v>
      </c>
      <c r="B177" s="87">
        <v>18000</v>
      </c>
      <c r="C177" s="30">
        <v>29340</v>
      </c>
      <c r="D177" s="84">
        <v>0</v>
      </c>
      <c r="E177" s="30">
        <f t="shared" si="4"/>
        <v>29340</v>
      </c>
      <c r="F177" s="30">
        <f t="shared" si="5"/>
        <v>1.63</v>
      </c>
      <c r="G177" s="88" t="s">
        <v>19695</v>
      </c>
      <c r="H177" s="109" t="s">
        <v>17672</v>
      </c>
      <c r="I177" s="94">
        <v>43650</v>
      </c>
      <c r="N177" s="66" t="s">
        <v>17708</v>
      </c>
      <c r="O177" s="651">
        <v>0</v>
      </c>
    </row>
    <row r="178" spans="1:15" ht="14.45" hidden="1">
      <c r="A178" s="105">
        <v>43664</v>
      </c>
      <c r="B178" s="87">
        <v>50400</v>
      </c>
      <c r="C178" s="30">
        <v>79632</v>
      </c>
      <c r="D178" s="84">
        <v>0</v>
      </c>
      <c r="E178" s="30">
        <f t="shared" si="4"/>
        <v>79632</v>
      </c>
      <c r="F178" s="30">
        <f t="shared" si="5"/>
        <v>1.58</v>
      </c>
      <c r="G178" s="88" t="s">
        <v>19694</v>
      </c>
      <c r="H178" s="109" t="s">
        <v>17679</v>
      </c>
      <c r="I178" s="94">
        <v>43654</v>
      </c>
      <c r="N178" s="66" t="s">
        <v>17709</v>
      </c>
      <c r="O178" s="651">
        <v>0</v>
      </c>
    </row>
    <row r="179" spans="1:15" ht="14.45" hidden="1">
      <c r="A179" s="86">
        <v>43665</v>
      </c>
      <c r="B179" s="87">
        <v>27336</v>
      </c>
      <c r="C179" s="30">
        <v>48460.243000000002</v>
      </c>
      <c r="D179" s="89">
        <v>9772</v>
      </c>
      <c r="E179" s="30">
        <f t="shared" si="4"/>
        <v>38688.243000000002</v>
      </c>
      <c r="F179" s="30">
        <f t="shared" si="5"/>
        <v>1.415285447761194</v>
      </c>
      <c r="G179" s="88" t="s">
        <v>19697</v>
      </c>
      <c r="H179" s="109" t="s">
        <v>17674</v>
      </c>
      <c r="I179" s="94">
        <v>43654</v>
      </c>
      <c r="N179" s="66" t="s">
        <v>17710</v>
      </c>
      <c r="O179" s="651">
        <v>0</v>
      </c>
    </row>
    <row r="180" spans="1:15" ht="14.45" hidden="1">
      <c r="A180" s="105">
        <v>43666</v>
      </c>
      <c r="B180" s="110">
        <v>16934.400000000001</v>
      </c>
      <c r="C180" s="30">
        <v>26577.407999999999</v>
      </c>
      <c r="D180" s="84">
        <v>0</v>
      </c>
      <c r="E180" s="30">
        <f t="shared" si="4"/>
        <v>26577.407999999999</v>
      </c>
      <c r="F180" s="30">
        <f t="shared" si="5"/>
        <v>1.5694331065759635</v>
      </c>
      <c r="G180" s="88" t="s">
        <v>19694</v>
      </c>
      <c r="H180" s="109" t="s">
        <v>17682</v>
      </c>
      <c r="I180" s="94">
        <v>43654</v>
      </c>
      <c r="N180" s="66" t="s">
        <v>17712</v>
      </c>
      <c r="O180" s="651">
        <v>17350</v>
      </c>
    </row>
    <row r="181" spans="1:15" ht="14.45" hidden="1">
      <c r="A181" s="86">
        <v>43669</v>
      </c>
      <c r="B181" s="87">
        <v>264096</v>
      </c>
      <c r="C181" s="30">
        <v>364452.48</v>
      </c>
      <c r="D181" s="84">
        <v>0</v>
      </c>
      <c r="E181" s="30">
        <f t="shared" si="4"/>
        <v>364452.48</v>
      </c>
      <c r="F181" s="30">
        <f t="shared" si="5"/>
        <v>1.38</v>
      </c>
      <c r="G181" s="88" t="s">
        <v>19647</v>
      </c>
      <c r="H181" s="109" t="s">
        <v>17684</v>
      </c>
      <c r="I181" s="94">
        <v>43661</v>
      </c>
      <c r="N181" s="66" t="s">
        <v>17713</v>
      </c>
      <c r="O181" s="651">
        <v>17350</v>
      </c>
    </row>
    <row r="182" spans="1:15" ht="14.45" hidden="1">
      <c r="A182" s="105">
        <v>43670</v>
      </c>
      <c r="B182" s="87">
        <v>22500</v>
      </c>
      <c r="C182" s="30">
        <v>33714</v>
      </c>
      <c r="D182" s="84">
        <v>0</v>
      </c>
      <c r="E182" s="30">
        <f t="shared" si="4"/>
        <v>33714</v>
      </c>
      <c r="F182" s="30">
        <f t="shared" si="5"/>
        <v>1.4984</v>
      </c>
      <c r="G182" s="88" t="s">
        <v>19656</v>
      </c>
      <c r="H182" s="109" t="s">
        <v>17676</v>
      </c>
      <c r="I182" s="94">
        <v>43654</v>
      </c>
      <c r="N182" s="66" t="s">
        <v>17714</v>
      </c>
      <c r="O182" s="651">
        <v>17164.5</v>
      </c>
    </row>
    <row r="183" spans="1:15" ht="14.45" hidden="1">
      <c r="A183" s="105">
        <v>43677</v>
      </c>
      <c r="B183" s="87">
        <v>280000</v>
      </c>
      <c r="C183" s="30">
        <v>361200</v>
      </c>
      <c r="D183" s="84">
        <v>0</v>
      </c>
      <c r="E183" s="30">
        <f t="shared" si="4"/>
        <v>361200</v>
      </c>
      <c r="F183" s="30">
        <f t="shared" si="5"/>
        <v>1.29</v>
      </c>
      <c r="G183" s="88" t="s">
        <v>19656</v>
      </c>
      <c r="H183" s="109" t="s">
        <v>17657</v>
      </c>
      <c r="I183" s="94">
        <v>43637</v>
      </c>
      <c r="N183" s="66" t="s">
        <v>17715</v>
      </c>
      <c r="O183" s="651">
        <v>0</v>
      </c>
    </row>
    <row r="184" spans="1:15" ht="14.45" hidden="1">
      <c r="A184" s="86">
        <v>43677</v>
      </c>
      <c r="B184" s="87">
        <v>43608</v>
      </c>
      <c r="C184" s="30">
        <v>63663.6</v>
      </c>
      <c r="D184" s="84">
        <v>0</v>
      </c>
      <c r="E184" s="30">
        <f t="shared" si="4"/>
        <v>63663.6</v>
      </c>
      <c r="F184" s="30">
        <f t="shared" si="5"/>
        <v>1.4599064391854706</v>
      </c>
      <c r="G184" s="88" t="s">
        <v>19702</v>
      </c>
      <c r="H184" s="109" t="s">
        <v>17692</v>
      </c>
      <c r="I184" s="96">
        <v>43669</v>
      </c>
      <c r="N184" s="66" t="s">
        <v>17717</v>
      </c>
      <c r="O184" s="651">
        <v>9514.2939999999999</v>
      </c>
    </row>
    <row r="185" spans="1:15" ht="14.45" hidden="1">
      <c r="A185" s="86">
        <v>43678</v>
      </c>
      <c r="B185" s="87">
        <v>26000</v>
      </c>
      <c r="C185" s="30">
        <v>37570</v>
      </c>
      <c r="D185" s="84">
        <v>0</v>
      </c>
      <c r="E185" s="30">
        <f t="shared" si="4"/>
        <v>37570</v>
      </c>
      <c r="F185" s="30">
        <f t="shared" si="5"/>
        <v>1.4450000000000001</v>
      </c>
      <c r="G185" s="83" t="s">
        <v>19656</v>
      </c>
      <c r="H185" s="104" t="s">
        <v>17690</v>
      </c>
      <c r="I185" s="94">
        <v>43669</v>
      </c>
      <c r="N185" s="66" t="s">
        <v>17718</v>
      </c>
      <c r="O185" s="651">
        <v>1260.298</v>
      </c>
    </row>
    <row r="186" spans="1:15" ht="14.45" hidden="1">
      <c r="A186" s="86">
        <v>43679</v>
      </c>
      <c r="B186" s="82">
        <v>38400</v>
      </c>
      <c r="C186" s="83">
        <v>71216.180999999997</v>
      </c>
      <c r="D186" s="111">
        <v>14016.883</v>
      </c>
      <c r="E186" s="30">
        <f t="shared" si="4"/>
        <v>57199.297999999995</v>
      </c>
      <c r="F186" s="30">
        <f t="shared" si="5"/>
        <v>1.4895650520833332</v>
      </c>
      <c r="G186" s="108" t="s">
        <v>19706</v>
      </c>
      <c r="H186" s="109" t="s">
        <v>17686</v>
      </c>
      <c r="I186" s="94">
        <v>43669</v>
      </c>
      <c r="N186" s="66" t="s">
        <v>17720</v>
      </c>
      <c r="O186" s="651">
        <v>4203.7950000000001</v>
      </c>
    </row>
    <row r="187" spans="1:15" ht="14.45" hidden="1">
      <c r="A187" s="86">
        <v>43679</v>
      </c>
      <c r="B187" s="82">
        <v>20000</v>
      </c>
      <c r="C187" s="83">
        <v>31600</v>
      </c>
      <c r="D187" s="111">
        <v>0</v>
      </c>
      <c r="E187" s="30">
        <f t="shared" si="4"/>
        <v>31600</v>
      </c>
      <c r="F187" s="30">
        <f t="shared" si="5"/>
        <v>1.58</v>
      </c>
      <c r="G187" s="107" t="s">
        <v>19694</v>
      </c>
      <c r="H187" s="109" t="s">
        <v>17694</v>
      </c>
      <c r="I187" s="94">
        <v>43672</v>
      </c>
      <c r="N187" s="66" t="s">
        <v>17722</v>
      </c>
      <c r="O187" s="651">
        <v>0</v>
      </c>
    </row>
    <row r="188" spans="1:15" ht="14.45" hidden="1">
      <c r="A188" s="86">
        <v>43679</v>
      </c>
      <c r="B188" s="82">
        <v>11750</v>
      </c>
      <c r="C188" s="83">
        <v>45827.277999999998</v>
      </c>
      <c r="D188" s="112">
        <v>850</v>
      </c>
      <c r="E188" s="30">
        <f t="shared" si="4"/>
        <v>44977.277999999998</v>
      </c>
      <c r="F188" s="30">
        <f t="shared" si="5"/>
        <v>3.8278534468085104</v>
      </c>
      <c r="G188" s="108" t="s">
        <v>19707</v>
      </c>
      <c r="H188" s="109" t="s">
        <v>17659</v>
      </c>
      <c r="I188" s="94">
        <v>43637</v>
      </c>
      <c r="N188" s="66" t="s">
        <v>17724</v>
      </c>
      <c r="O188" s="651">
        <v>0</v>
      </c>
    </row>
    <row r="189" spans="1:15" ht="14.45" hidden="1">
      <c r="A189" s="86">
        <v>43684</v>
      </c>
      <c r="B189" s="87">
        <v>242088</v>
      </c>
      <c r="C189" s="30">
        <v>334081.44</v>
      </c>
      <c r="D189" s="111">
        <v>0</v>
      </c>
      <c r="E189" s="30">
        <f t="shared" si="4"/>
        <v>334081.44</v>
      </c>
      <c r="F189" s="30">
        <f t="shared" si="5"/>
        <v>1.3800000000000001</v>
      </c>
      <c r="G189" s="83" t="s">
        <v>19647</v>
      </c>
      <c r="H189" s="109" t="s">
        <v>17696</v>
      </c>
      <c r="I189" s="94">
        <v>43676</v>
      </c>
      <c r="N189" s="66" t="s">
        <v>17725</v>
      </c>
      <c r="O189" s="651">
        <v>0</v>
      </c>
    </row>
    <row r="190" spans="1:15" ht="14.45" hidden="1">
      <c r="A190" s="86">
        <v>43686</v>
      </c>
      <c r="B190" s="87">
        <v>255900</v>
      </c>
      <c r="C190" s="30">
        <v>433784.58199999999</v>
      </c>
      <c r="D190" s="84">
        <v>96137.88</v>
      </c>
      <c r="E190" s="30">
        <f t="shared" si="4"/>
        <v>337646.70199999999</v>
      </c>
      <c r="F190" s="30">
        <f t="shared" si="5"/>
        <v>1.3194478389996092</v>
      </c>
      <c r="G190" s="88" t="s">
        <v>19704</v>
      </c>
      <c r="H190" s="109" t="s">
        <v>17697</v>
      </c>
      <c r="I190" s="94">
        <v>43682</v>
      </c>
      <c r="N190" s="66" t="s">
        <v>17726</v>
      </c>
      <c r="O190" s="651">
        <v>0</v>
      </c>
    </row>
    <row r="191" spans="1:15" ht="14.45" hidden="1">
      <c r="A191" s="86">
        <v>43693</v>
      </c>
      <c r="B191" s="87">
        <v>20157.599999999999</v>
      </c>
      <c r="C191" s="30">
        <v>33461.616000000002</v>
      </c>
      <c r="D191" s="111">
        <v>0</v>
      </c>
      <c r="E191" s="30">
        <f t="shared" si="4"/>
        <v>33461.616000000002</v>
      </c>
      <c r="F191" s="30">
        <f t="shared" si="5"/>
        <v>1.6600000000000001</v>
      </c>
      <c r="G191" s="83" t="s">
        <v>19694</v>
      </c>
      <c r="H191" s="109" t="s">
        <v>17681</v>
      </c>
      <c r="I191" s="94">
        <v>43654</v>
      </c>
      <c r="N191" s="66" t="s">
        <v>17727</v>
      </c>
      <c r="O191" s="651">
        <v>0</v>
      </c>
    </row>
    <row r="192" spans="1:15" ht="14.45" hidden="1">
      <c r="A192" s="86">
        <v>43696</v>
      </c>
      <c r="B192" s="87">
        <v>22008</v>
      </c>
      <c r="C192" s="30">
        <v>33012</v>
      </c>
      <c r="D192" s="84">
        <v>0</v>
      </c>
      <c r="E192" s="30">
        <f t="shared" si="4"/>
        <v>33012</v>
      </c>
      <c r="F192" s="30">
        <f t="shared" si="5"/>
        <v>1.5</v>
      </c>
      <c r="G192" s="83" t="s">
        <v>19708</v>
      </c>
      <c r="H192" s="109" t="s">
        <v>17703</v>
      </c>
      <c r="I192" s="94">
        <v>43685</v>
      </c>
      <c r="N192" s="66" t="s">
        <v>17728</v>
      </c>
      <c r="O192" s="651">
        <v>0</v>
      </c>
    </row>
    <row r="193" spans="1:15" ht="14.45" hidden="1">
      <c r="A193" s="86">
        <v>43697</v>
      </c>
      <c r="B193" s="87">
        <v>57600</v>
      </c>
      <c r="C193" s="30">
        <v>85248</v>
      </c>
      <c r="D193" s="84">
        <v>0</v>
      </c>
      <c r="E193" s="30">
        <f t="shared" si="4"/>
        <v>85248</v>
      </c>
      <c r="F193" s="30">
        <f t="shared" si="5"/>
        <v>1.48</v>
      </c>
      <c r="G193" s="83" t="s">
        <v>19709</v>
      </c>
      <c r="H193" s="109" t="s">
        <v>17661</v>
      </c>
      <c r="I193" s="94">
        <v>43671</v>
      </c>
      <c r="N193" s="66" t="s">
        <v>17729</v>
      </c>
      <c r="O193" s="651">
        <v>0</v>
      </c>
    </row>
    <row r="194" spans="1:15" ht="14.45" hidden="1">
      <c r="A194" s="86">
        <v>43698</v>
      </c>
      <c r="B194" s="87">
        <v>16000</v>
      </c>
      <c r="C194" s="30">
        <v>37055.718000000001</v>
      </c>
      <c r="D194" s="111">
        <v>3161.9110000000001</v>
      </c>
      <c r="E194" s="30">
        <f t="shared" si="4"/>
        <v>33893.807000000001</v>
      </c>
      <c r="F194" s="30">
        <f t="shared" si="5"/>
        <v>2.1183629375000002</v>
      </c>
      <c r="G194" s="88" t="s">
        <v>19710</v>
      </c>
      <c r="H194" s="109" t="s">
        <v>17705</v>
      </c>
      <c r="I194" s="94">
        <v>43685</v>
      </c>
      <c r="N194" s="66" t="s">
        <v>17731</v>
      </c>
      <c r="O194" s="651">
        <v>0</v>
      </c>
    </row>
    <row r="195" spans="1:15" ht="14.45" hidden="1">
      <c r="A195" s="86">
        <v>43699</v>
      </c>
      <c r="B195" s="87">
        <v>22008</v>
      </c>
      <c r="C195" s="30">
        <v>33452.160000000003</v>
      </c>
      <c r="D195" s="111">
        <v>0</v>
      </c>
      <c r="E195" s="30">
        <f t="shared" si="4"/>
        <v>33452.160000000003</v>
      </c>
      <c r="F195" s="30">
        <f t="shared" si="5"/>
        <v>1.5200000000000002</v>
      </c>
      <c r="G195" s="83" t="s">
        <v>19702</v>
      </c>
      <c r="H195" s="109" t="s">
        <v>17706</v>
      </c>
      <c r="I195" s="94">
        <v>43692</v>
      </c>
      <c r="N195" s="66" t="s">
        <v>17732</v>
      </c>
      <c r="O195" s="651">
        <v>0</v>
      </c>
    </row>
    <row r="196" spans="1:15" ht="14.45" hidden="1">
      <c r="A196" s="86">
        <v>43700</v>
      </c>
      <c r="B196" s="87">
        <v>53600</v>
      </c>
      <c r="C196" s="30">
        <v>77527.600000000006</v>
      </c>
      <c r="D196" s="111">
        <v>0</v>
      </c>
      <c r="E196" s="30">
        <f t="shared" si="4"/>
        <v>77527.600000000006</v>
      </c>
      <c r="F196" s="30">
        <f t="shared" si="5"/>
        <v>1.4464104477611941</v>
      </c>
      <c r="G196" s="83" t="s">
        <v>19647</v>
      </c>
      <c r="H196" s="109" t="s">
        <v>17710</v>
      </c>
      <c r="I196" s="94">
        <v>43696</v>
      </c>
      <c r="N196" s="66" t="s">
        <v>17733</v>
      </c>
      <c r="O196" s="651">
        <v>0</v>
      </c>
    </row>
    <row r="197" spans="1:15" ht="14.45" hidden="1">
      <c r="A197" s="86">
        <v>43700</v>
      </c>
      <c r="B197" s="87">
        <v>111000</v>
      </c>
      <c r="C197" s="30">
        <v>158650</v>
      </c>
      <c r="D197" s="111">
        <v>0</v>
      </c>
      <c r="E197" s="30">
        <f t="shared" si="4"/>
        <v>158650</v>
      </c>
      <c r="F197" s="30">
        <f t="shared" si="5"/>
        <v>1.4292792792792792</v>
      </c>
      <c r="G197" s="83" t="s">
        <v>19647</v>
      </c>
      <c r="H197" s="109" t="s">
        <v>17709</v>
      </c>
      <c r="I197" s="94">
        <v>43692</v>
      </c>
      <c r="N197" s="66" t="s">
        <v>17735</v>
      </c>
      <c r="O197" s="651">
        <v>94272.98</v>
      </c>
    </row>
    <row r="198" spans="1:15" ht="14.45" hidden="1">
      <c r="A198" s="86">
        <v>43700</v>
      </c>
      <c r="B198" s="87">
        <v>21019.200000000001</v>
      </c>
      <c r="C198" s="30">
        <v>36482.080000000002</v>
      </c>
      <c r="D198" s="111">
        <v>0</v>
      </c>
      <c r="E198" s="30">
        <f t="shared" si="4"/>
        <v>36482.080000000002</v>
      </c>
      <c r="F198" s="30">
        <f t="shared" si="5"/>
        <v>1.7356550201720331</v>
      </c>
      <c r="G198" s="83" t="s">
        <v>19694</v>
      </c>
      <c r="H198" s="109" t="s">
        <v>17699</v>
      </c>
      <c r="I198" s="94">
        <v>43685</v>
      </c>
      <c r="N198" s="66" t="s">
        <v>17736</v>
      </c>
      <c r="O198" s="651">
        <v>4296.29</v>
      </c>
    </row>
    <row r="199" spans="1:15" ht="14.45" hidden="1">
      <c r="A199" s="86">
        <v>43703</v>
      </c>
      <c r="B199" s="87">
        <v>1680</v>
      </c>
      <c r="C199" s="30">
        <v>5712</v>
      </c>
      <c r="D199" s="111">
        <v>0</v>
      </c>
      <c r="E199" s="30">
        <f t="shared" si="4"/>
        <v>5712</v>
      </c>
      <c r="F199" s="30">
        <f t="shared" si="5"/>
        <v>3.4</v>
      </c>
      <c r="G199" s="83" t="s">
        <v>19656</v>
      </c>
      <c r="H199" s="109" t="s">
        <v>17688</v>
      </c>
      <c r="I199" s="94">
        <v>43669</v>
      </c>
      <c r="N199" s="66" t="s">
        <v>17738</v>
      </c>
      <c r="O199" s="651">
        <v>3858.5419999999999</v>
      </c>
    </row>
    <row r="200" spans="1:15" ht="14.45" hidden="1">
      <c r="A200" s="86">
        <v>43705</v>
      </c>
      <c r="B200" s="87">
        <v>22848</v>
      </c>
      <c r="C200" s="30">
        <v>32297.759999999998</v>
      </c>
      <c r="D200" s="111">
        <v>0</v>
      </c>
      <c r="E200" s="30">
        <f t="shared" ref="E200:E263" si="6">(C200-D200)</f>
        <v>32297.759999999998</v>
      </c>
      <c r="F200" s="30">
        <f t="shared" ref="F200:F263" si="7">(E200/B200)</f>
        <v>1.4135924369747899</v>
      </c>
      <c r="G200" s="83" t="s">
        <v>19694</v>
      </c>
      <c r="H200" s="109" t="s">
        <v>17701</v>
      </c>
      <c r="I200" s="94">
        <v>43685</v>
      </c>
      <c r="N200" s="66" t="s">
        <v>17740</v>
      </c>
      <c r="O200" s="651">
        <v>1200</v>
      </c>
    </row>
    <row r="201" spans="1:15" ht="14.45" hidden="1">
      <c r="A201" s="86">
        <v>43705</v>
      </c>
      <c r="B201" s="87">
        <v>16640</v>
      </c>
      <c r="C201" s="113">
        <v>58144.65</v>
      </c>
      <c r="D201" s="111">
        <v>1260.298</v>
      </c>
      <c r="E201" s="30">
        <f t="shared" si="6"/>
        <v>56884.351999999999</v>
      </c>
      <c r="F201" s="30">
        <f t="shared" si="7"/>
        <v>3.4185307692307694</v>
      </c>
      <c r="G201" s="88" t="s">
        <v>19700</v>
      </c>
      <c r="H201" s="109" t="s">
        <v>17718</v>
      </c>
      <c r="I201" s="94">
        <v>43703</v>
      </c>
      <c r="N201" s="66" t="s">
        <v>17742</v>
      </c>
      <c r="O201" s="651">
        <v>0</v>
      </c>
    </row>
    <row r="202" spans="1:15" ht="14.45" hidden="1">
      <c r="A202" s="86">
        <v>43706</v>
      </c>
      <c r="B202" s="87">
        <v>25848</v>
      </c>
      <c r="C202" s="30">
        <v>45583.534</v>
      </c>
      <c r="D202" s="111">
        <v>9514.2939999999999</v>
      </c>
      <c r="E202" s="30">
        <f t="shared" si="6"/>
        <v>36069.24</v>
      </c>
      <c r="F202" s="30">
        <f t="shared" si="7"/>
        <v>1.3954363974001855</v>
      </c>
      <c r="G202" s="88" t="s">
        <v>19697</v>
      </c>
      <c r="H202" s="109" t="s">
        <v>17717</v>
      </c>
      <c r="I202" s="94">
        <v>43697</v>
      </c>
      <c r="N202" s="66" t="s">
        <v>17744</v>
      </c>
      <c r="O202" s="651">
        <v>0</v>
      </c>
    </row>
    <row r="203" spans="1:15" ht="14.45" hidden="1">
      <c r="A203" s="86">
        <v>43706</v>
      </c>
      <c r="B203" s="87">
        <v>108000</v>
      </c>
      <c r="C203" s="30">
        <v>147477.18599999999</v>
      </c>
      <c r="D203" s="112">
        <v>17350</v>
      </c>
      <c r="E203" s="30">
        <f t="shared" si="6"/>
        <v>130127.18599999999</v>
      </c>
      <c r="F203" s="30">
        <f t="shared" si="7"/>
        <v>1.2048813518518517</v>
      </c>
      <c r="G203" s="88" t="s">
        <v>19705</v>
      </c>
      <c r="H203" s="109" t="s">
        <v>17712</v>
      </c>
      <c r="I203" s="94">
        <v>43697</v>
      </c>
      <c r="N203" s="66" t="s">
        <v>17745</v>
      </c>
      <c r="O203" s="651">
        <v>0</v>
      </c>
    </row>
    <row r="204" spans="1:15" ht="14.45" hidden="1">
      <c r="A204" s="86">
        <v>43706</v>
      </c>
      <c r="B204" s="87">
        <v>20000</v>
      </c>
      <c r="C204" s="30">
        <v>31600</v>
      </c>
      <c r="D204" s="111">
        <v>0</v>
      </c>
      <c r="E204" s="30">
        <f t="shared" si="6"/>
        <v>31600</v>
      </c>
      <c r="F204" s="30">
        <f t="shared" si="7"/>
        <v>1.58</v>
      </c>
      <c r="G204" s="83" t="s">
        <v>19694</v>
      </c>
      <c r="H204" s="109" t="s">
        <v>17708</v>
      </c>
      <c r="I204" s="94">
        <v>43692</v>
      </c>
      <c r="N204" s="66" t="s">
        <v>17747</v>
      </c>
      <c r="O204" s="651">
        <v>0</v>
      </c>
    </row>
    <row r="205" spans="1:15" ht="14.45" hidden="1">
      <c r="A205" s="86">
        <v>43707</v>
      </c>
      <c r="B205" s="87">
        <v>108000</v>
      </c>
      <c r="C205" s="30">
        <v>147477.18599999999</v>
      </c>
      <c r="D205" s="112">
        <v>17350</v>
      </c>
      <c r="E205" s="30">
        <f t="shared" si="6"/>
        <v>130127.18599999999</v>
      </c>
      <c r="F205" s="30">
        <f t="shared" si="7"/>
        <v>1.2048813518518517</v>
      </c>
      <c r="G205" s="88" t="s">
        <v>19705</v>
      </c>
      <c r="H205" s="109" t="s">
        <v>17713</v>
      </c>
      <c r="I205" s="94">
        <v>43697</v>
      </c>
      <c r="N205" s="66" t="s">
        <v>17749</v>
      </c>
      <c r="O205" s="651">
        <v>0</v>
      </c>
    </row>
    <row r="206" spans="1:15" ht="14.45" hidden="1">
      <c r="A206" s="86">
        <v>43707</v>
      </c>
      <c r="B206" s="87">
        <v>211200</v>
      </c>
      <c r="C206" s="30">
        <v>311604.005</v>
      </c>
      <c r="D206" s="111">
        <v>0</v>
      </c>
      <c r="E206" s="30">
        <f t="shared" si="6"/>
        <v>311604.005</v>
      </c>
      <c r="F206" s="30">
        <f t="shared" si="7"/>
        <v>1.4753977509469698</v>
      </c>
      <c r="G206" s="88" t="s">
        <v>19711</v>
      </c>
      <c r="H206" s="109" t="s">
        <v>17698</v>
      </c>
      <c r="I206" s="94">
        <v>43684</v>
      </c>
      <c r="N206" s="66" t="s">
        <v>17750</v>
      </c>
      <c r="O206" s="651">
        <v>0</v>
      </c>
    </row>
    <row r="207" spans="1:15" ht="14.45" hidden="1">
      <c r="A207" s="86">
        <v>43710</v>
      </c>
      <c r="B207" s="87">
        <v>108000</v>
      </c>
      <c r="C207" s="30">
        <v>147159.07199999999</v>
      </c>
      <c r="D207" s="84">
        <v>17164.5</v>
      </c>
      <c r="E207" s="30">
        <f t="shared" si="6"/>
        <v>129994.57199999999</v>
      </c>
      <c r="F207" s="30">
        <f t="shared" si="7"/>
        <v>1.2036534444444442</v>
      </c>
      <c r="G207" s="88" t="s">
        <v>19712</v>
      </c>
      <c r="H207" s="104" t="s">
        <v>17714</v>
      </c>
      <c r="I207" s="94">
        <v>43697</v>
      </c>
      <c r="N207" s="66" t="s">
        <v>17752</v>
      </c>
      <c r="O207" s="651">
        <v>0</v>
      </c>
    </row>
    <row r="208" spans="1:15" ht="14.45" hidden="1">
      <c r="A208" s="86">
        <v>43712</v>
      </c>
      <c r="B208" s="82">
        <v>22008</v>
      </c>
      <c r="C208" s="83">
        <v>33452.160000000003</v>
      </c>
      <c r="D208" s="84">
        <v>0</v>
      </c>
      <c r="E208" s="30">
        <f t="shared" si="6"/>
        <v>33452.160000000003</v>
      </c>
      <c r="F208" s="30">
        <f t="shared" si="7"/>
        <v>1.5200000000000002</v>
      </c>
      <c r="G208" s="108" t="s">
        <v>19702</v>
      </c>
      <c r="H208" s="109" t="s">
        <v>17724</v>
      </c>
      <c r="I208" s="94">
        <v>43705</v>
      </c>
      <c r="N208" s="66" t="s">
        <v>17753</v>
      </c>
      <c r="O208" s="651">
        <v>0</v>
      </c>
    </row>
    <row r="209" spans="1:15" ht="14.45" hidden="1">
      <c r="A209" s="86">
        <v>43712</v>
      </c>
      <c r="B209" s="82">
        <v>19200</v>
      </c>
      <c r="C209" s="83">
        <v>30144</v>
      </c>
      <c r="D209" s="84">
        <v>0</v>
      </c>
      <c r="E209" s="30">
        <f t="shared" si="6"/>
        <v>30144</v>
      </c>
      <c r="F209" s="30">
        <f t="shared" si="7"/>
        <v>1.57</v>
      </c>
      <c r="G209" s="108" t="s">
        <v>19702</v>
      </c>
      <c r="H209" s="109" t="s">
        <v>17725</v>
      </c>
      <c r="I209" s="94">
        <v>43705</v>
      </c>
      <c r="N209" s="66" t="s">
        <v>17755</v>
      </c>
      <c r="O209" s="651">
        <v>15528.32</v>
      </c>
    </row>
    <row r="210" spans="1:15" ht="14.45" hidden="1">
      <c r="A210" s="86">
        <v>43717</v>
      </c>
      <c r="B210" s="82">
        <v>20000</v>
      </c>
      <c r="C210" s="83">
        <v>39699.839999999997</v>
      </c>
      <c r="D210" s="84">
        <v>4203.7950000000001</v>
      </c>
      <c r="E210" s="30">
        <f t="shared" si="6"/>
        <v>35496.044999999998</v>
      </c>
      <c r="F210" s="30">
        <f t="shared" si="7"/>
        <v>1.7748022499999998</v>
      </c>
      <c r="G210" s="108" t="s">
        <v>19713</v>
      </c>
      <c r="H210" s="109" t="s">
        <v>17720</v>
      </c>
      <c r="I210" s="94">
        <v>43703</v>
      </c>
      <c r="N210" s="66" t="s">
        <v>17757</v>
      </c>
      <c r="O210" s="651">
        <v>0</v>
      </c>
    </row>
    <row r="211" spans="1:15" ht="14.45" hidden="1">
      <c r="A211" s="86">
        <v>43718</v>
      </c>
      <c r="B211" s="87">
        <v>110040</v>
      </c>
      <c r="C211" s="30">
        <v>147453.6</v>
      </c>
      <c r="D211" s="84">
        <v>0</v>
      </c>
      <c r="E211" s="30">
        <f t="shared" si="6"/>
        <v>147453.6</v>
      </c>
      <c r="F211" s="30">
        <f t="shared" si="7"/>
        <v>1.34</v>
      </c>
      <c r="G211" s="88" t="s">
        <v>19714</v>
      </c>
      <c r="H211" s="109" t="s">
        <v>17726</v>
      </c>
      <c r="I211" s="94">
        <v>43706</v>
      </c>
      <c r="N211" s="66" t="s">
        <v>17758</v>
      </c>
      <c r="O211" s="651">
        <v>0</v>
      </c>
    </row>
    <row r="212" spans="1:15" ht="14.45" hidden="1">
      <c r="A212" s="86">
        <v>43719</v>
      </c>
      <c r="B212" s="87">
        <v>20700</v>
      </c>
      <c r="C212" s="30">
        <v>26496</v>
      </c>
      <c r="D212" s="84">
        <v>0</v>
      </c>
      <c r="E212" s="30">
        <f t="shared" si="6"/>
        <v>26496</v>
      </c>
      <c r="F212" s="30">
        <f t="shared" si="7"/>
        <v>1.28</v>
      </c>
      <c r="G212" s="88" t="s">
        <v>19695</v>
      </c>
      <c r="H212" s="109" t="s">
        <v>17731</v>
      </c>
      <c r="I212" s="94">
        <v>43714</v>
      </c>
      <c r="N212" s="66" t="s">
        <v>17760</v>
      </c>
      <c r="O212" s="651">
        <v>0</v>
      </c>
    </row>
    <row r="213" spans="1:15" ht="14.45" hidden="1">
      <c r="A213" s="86">
        <v>43719</v>
      </c>
      <c r="B213" s="87">
        <v>23971.200000000001</v>
      </c>
      <c r="C213" s="30">
        <v>40271.616000000002</v>
      </c>
      <c r="D213" s="84">
        <v>0</v>
      </c>
      <c r="E213" s="30">
        <f t="shared" si="6"/>
        <v>40271.616000000002</v>
      </c>
      <c r="F213" s="30">
        <f t="shared" si="7"/>
        <v>1.68</v>
      </c>
      <c r="G213" s="88" t="s">
        <v>19694</v>
      </c>
      <c r="H213" s="109" t="s">
        <v>17722</v>
      </c>
      <c r="I213" s="94">
        <v>43703</v>
      </c>
      <c r="N213" s="66" t="s">
        <v>17761</v>
      </c>
      <c r="O213" s="651">
        <v>0</v>
      </c>
    </row>
    <row r="214" spans="1:15" ht="14.45" hidden="1">
      <c r="A214" s="86">
        <v>43720</v>
      </c>
      <c r="B214" s="87">
        <v>560000</v>
      </c>
      <c r="C214" s="30">
        <v>700000</v>
      </c>
      <c r="D214" s="84">
        <v>0</v>
      </c>
      <c r="E214" s="30">
        <f t="shared" si="6"/>
        <v>700000</v>
      </c>
      <c r="F214" s="30">
        <f t="shared" si="7"/>
        <v>1.25</v>
      </c>
      <c r="G214" s="88" t="s">
        <v>19715</v>
      </c>
      <c r="H214" s="109" t="s">
        <v>17715</v>
      </c>
      <c r="I214" s="94">
        <v>43697</v>
      </c>
      <c r="N214" s="66" t="s">
        <v>17762</v>
      </c>
      <c r="O214" s="651">
        <v>0</v>
      </c>
    </row>
    <row r="215" spans="1:15" ht="14.45" hidden="1">
      <c r="A215" s="86">
        <v>43720</v>
      </c>
      <c r="B215" s="87">
        <v>40000</v>
      </c>
      <c r="C215" s="30">
        <v>63200</v>
      </c>
      <c r="D215" s="84">
        <v>0</v>
      </c>
      <c r="E215" s="30">
        <f t="shared" si="6"/>
        <v>63200</v>
      </c>
      <c r="F215" s="30">
        <f t="shared" si="7"/>
        <v>1.58</v>
      </c>
      <c r="G215" s="88" t="s">
        <v>19694</v>
      </c>
      <c r="H215" s="109" t="s">
        <v>17729</v>
      </c>
      <c r="I215" s="94">
        <v>43712</v>
      </c>
      <c r="N215" s="66" t="s">
        <v>17763</v>
      </c>
      <c r="O215" s="651">
        <v>0</v>
      </c>
    </row>
    <row r="216" spans="1:15" ht="14.45" hidden="1">
      <c r="A216" s="86">
        <v>43726</v>
      </c>
      <c r="B216" s="87">
        <v>280000</v>
      </c>
      <c r="C216" s="30">
        <v>350000</v>
      </c>
      <c r="D216" s="84">
        <v>0</v>
      </c>
      <c r="E216" s="30">
        <f t="shared" si="6"/>
        <v>350000</v>
      </c>
      <c r="F216" s="30">
        <f t="shared" si="7"/>
        <v>1.25</v>
      </c>
      <c r="G216" s="88" t="s">
        <v>19716</v>
      </c>
      <c r="H216" s="109" t="s">
        <v>17733</v>
      </c>
      <c r="I216" s="94">
        <v>43719</v>
      </c>
      <c r="N216" s="66" t="s">
        <v>17764</v>
      </c>
      <c r="O216" s="651">
        <v>0</v>
      </c>
    </row>
    <row r="217" spans="1:15" ht="14.45" hidden="1">
      <c r="A217" s="86">
        <v>43727</v>
      </c>
      <c r="B217" s="87">
        <v>39000</v>
      </c>
      <c r="C217" s="30">
        <v>62400</v>
      </c>
      <c r="D217" s="84">
        <v>0</v>
      </c>
      <c r="E217" s="30">
        <f t="shared" si="6"/>
        <v>62400</v>
      </c>
      <c r="F217" s="30">
        <f t="shared" si="7"/>
        <v>1.6</v>
      </c>
      <c r="G217" s="88" t="s">
        <v>19717</v>
      </c>
      <c r="H217" s="109" t="s">
        <v>17742</v>
      </c>
      <c r="I217" s="94">
        <v>43719</v>
      </c>
      <c r="N217" s="66" t="s">
        <v>17765</v>
      </c>
      <c r="O217" s="651">
        <v>4764.45</v>
      </c>
    </row>
    <row r="218" spans="1:15" ht="14.45" hidden="1">
      <c r="A218" s="86">
        <v>43731</v>
      </c>
      <c r="B218" s="87">
        <v>57600</v>
      </c>
      <c r="C218" s="30">
        <v>88704</v>
      </c>
      <c r="D218" s="84">
        <v>0</v>
      </c>
      <c r="E218" s="30">
        <f t="shared" si="6"/>
        <v>88704</v>
      </c>
      <c r="F218" s="30">
        <f t="shared" si="7"/>
        <v>1.54</v>
      </c>
      <c r="G218" s="88" t="s">
        <v>19715</v>
      </c>
      <c r="H218" s="109" t="s">
        <v>17727</v>
      </c>
      <c r="I218" s="94">
        <v>43712</v>
      </c>
      <c r="N218" s="66" t="s">
        <v>17766</v>
      </c>
      <c r="O218" s="651">
        <v>0</v>
      </c>
    </row>
    <row r="219" spans="1:15" ht="14.45" hidden="1">
      <c r="A219" s="86">
        <v>43732</v>
      </c>
      <c r="B219" s="87">
        <v>18650</v>
      </c>
      <c r="C219" s="30">
        <v>64906.142</v>
      </c>
      <c r="D219" s="89">
        <v>1200</v>
      </c>
      <c r="E219" s="30">
        <f t="shared" si="6"/>
        <v>63706.142</v>
      </c>
      <c r="F219" s="30">
        <f t="shared" si="7"/>
        <v>3.415878927613941</v>
      </c>
      <c r="G219" s="88" t="s">
        <v>19718</v>
      </c>
      <c r="H219" s="109" t="s">
        <v>17740</v>
      </c>
      <c r="I219" s="94">
        <v>43719</v>
      </c>
      <c r="N219" s="66" t="s">
        <v>17767</v>
      </c>
      <c r="O219" s="651">
        <v>17020.86</v>
      </c>
    </row>
    <row r="220" spans="1:15" ht="14.45" hidden="1">
      <c r="A220" s="86">
        <v>43733</v>
      </c>
      <c r="B220" s="87">
        <v>20000</v>
      </c>
      <c r="C220" s="30">
        <v>39346.559999999998</v>
      </c>
      <c r="D220" s="84">
        <v>4296.29</v>
      </c>
      <c r="E220" s="30">
        <f t="shared" si="6"/>
        <v>35050.269999999997</v>
      </c>
      <c r="F220" s="30">
        <f t="shared" si="7"/>
        <v>1.7525134999999998</v>
      </c>
      <c r="G220" s="88" t="s">
        <v>19713</v>
      </c>
      <c r="H220" s="109" t="s">
        <v>17736</v>
      </c>
      <c r="I220" s="94">
        <v>43719</v>
      </c>
      <c r="N220" s="66" t="s">
        <v>17768</v>
      </c>
      <c r="O220" s="651">
        <v>17020.86</v>
      </c>
    </row>
    <row r="221" spans="1:15" ht="14.45" hidden="1">
      <c r="A221" s="86">
        <v>43733</v>
      </c>
      <c r="B221" s="87">
        <v>193440</v>
      </c>
      <c r="C221" s="30">
        <v>344818.14</v>
      </c>
      <c r="D221" s="84">
        <v>94272.98</v>
      </c>
      <c r="E221" s="30">
        <f t="shared" si="6"/>
        <v>250545.16000000003</v>
      </c>
      <c r="F221" s="30">
        <f t="shared" si="7"/>
        <v>1.2952086435070307</v>
      </c>
      <c r="G221" s="88" t="s">
        <v>19719</v>
      </c>
      <c r="H221" s="109" t="s">
        <v>17735</v>
      </c>
      <c r="I221" s="94">
        <v>43719</v>
      </c>
      <c r="N221" s="66" t="s">
        <v>17769</v>
      </c>
      <c r="O221" s="651">
        <v>0</v>
      </c>
    </row>
    <row r="222" spans="1:15" ht="14.45" hidden="1">
      <c r="A222" s="86">
        <v>43733</v>
      </c>
      <c r="B222" s="87">
        <v>180000</v>
      </c>
      <c r="C222" s="30">
        <v>257926.5</v>
      </c>
      <c r="D222" s="84">
        <v>0</v>
      </c>
      <c r="E222" s="30">
        <f t="shared" si="6"/>
        <v>257926.5</v>
      </c>
      <c r="F222" s="30">
        <f t="shared" si="7"/>
        <v>1.432925</v>
      </c>
      <c r="G222" s="88" t="s">
        <v>19720</v>
      </c>
      <c r="H222" s="109" t="s">
        <v>17747</v>
      </c>
      <c r="I222" s="94">
        <v>43731</v>
      </c>
      <c r="N222" s="66" t="s">
        <v>17770</v>
      </c>
      <c r="O222" s="651">
        <v>0</v>
      </c>
    </row>
    <row r="223" spans="1:15" ht="14.45" hidden="1">
      <c r="A223" s="86">
        <v>43736</v>
      </c>
      <c r="B223" s="87">
        <v>44016</v>
      </c>
      <c r="C223" s="30">
        <v>58981.440000000002</v>
      </c>
      <c r="D223" s="84">
        <v>0</v>
      </c>
      <c r="E223" s="30">
        <f t="shared" si="6"/>
        <v>58981.440000000002</v>
      </c>
      <c r="F223" s="30">
        <f t="shared" si="7"/>
        <v>1.34</v>
      </c>
      <c r="G223" s="83" t="s">
        <v>19647</v>
      </c>
      <c r="H223" s="85" t="s">
        <v>17744</v>
      </c>
      <c r="I223" s="94">
        <v>43727</v>
      </c>
      <c r="N223" s="66" t="s">
        <v>17772</v>
      </c>
      <c r="O223" s="651">
        <v>0</v>
      </c>
    </row>
    <row r="224" spans="1:15" ht="14.45" hidden="1">
      <c r="A224" s="86">
        <v>43738</v>
      </c>
      <c r="B224" s="87">
        <v>56000</v>
      </c>
      <c r="C224" s="30">
        <v>77000</v>
      </c>
      <c r="D224" s="84">
        <v>0</v>
      </c>
      <c r="E224" s="30">
        <f t="shared" si="6"/>
        <v>77000</v>
      </c>
      <c r="F224" s="30">
        <f t="shared" si="7"/>
        <v>1.375</v>
      </c>
      <c r="G224" s="88" t="s">
        <v>19647</v>
      </c>
      <c r="H224" s="109" t="s">
        <v>17728</v>
      </c>
      <c r="I224" s="94">
        <v>43712</v>
      </c>
      <c r="N224" s="66" t="s">
        <v>17774</v>
      </c>
      <c r="O224" s="651">
        <v>6889.27</v>
      </c>
    </row>
    <row r="225" spans="1:15" ht="14.45" hidden="1">
      <c r="A225" s="86">
        <v>43738</v>
      </c>
      <c r="B225" s="87">
        <v>21600</v>
      </c>
      <c r="C225" s="30">
        <v>31632</v>
      </c>
      <c r="D225" s="84">
        <v>0</v>
      </c>
      <c r="E225" s="30">
        <f t="shared" si="6"/>
        <v>31632</v>
      </c>
      <c r="F225" s="30">
        <f t="shared" si="7"/>
        <v>1.4644444444444444</v>
      </c>
      <c r="G225" s="88" t="s">
        <v>19695</v>
      </c>
      <c r="H225" s="109" t="s">
        <v>17749</v>
      </c>
      <c r="I225" s="94">
        <v>43731</v>
      </c>
      <c r="N225" s="66" t="s">
        <v>17776</v>
      </c>
      <c r="O225" s="651">
        <v>0</v>
      </c>
    </row>
    <row r="226" spans="1:15" hidden="1">
      <c r="A226" s="114">
        <v>43739</v>
      </c>
      <c r="B226" s="115">
        <v>88032</v>
      </c>
      <c r="C226" s="116">
        <v>117962.88</v>
      </c>
      <c r="D226" s="117">
        <v>0</v>
      </c>
      <c r="E226" s="116">
        <f t="shared" si="6"/>
        <v>117962.88</v>
      </c>
      <c r="F226" s="116">
        <f t="shared" si="7"/>
        <v>1.34</v>
      </c>
      <c r="G226" s="83" t="s">
        <v>19647</v>
      </c>
      <c r="H226" s="85" t="s">
        <v>17744</v>
      </c>
      <c r="I226" s="125">
        <v>43727</v>
      </c>
      <c r="N226" s="66" t="s">
        <v>17778</v>
      </c>
      <c r="O226" s="651">
        <v>0</v>
      </c>
    </row>
    <row r="227" spans="1:15" hidden="1">
      <c r="A227" s="114">
        <v>43740</v>
      </c>
      <c r="B227" s="118">
        <v>56000</v>
      </c>
      <c r="C227" s="116">
        <v>76720</v>
      </c>
      <c r="D227" s="117">
        <v>0</v>
      </c>
      <c r="E227" s="116">
        <f t="shared" si="6"/>
        <v>76720</v>
      </c>
      <c r="F227" s="116">
        <f t="shared" si="7"/>
        <v>1.37</v>
      </c>
      <c r="G227" s="119" t="s">
        <v>19656</v>
      </c>
      <c r="H227" s="85" t="s">
        <v>17732</v>
      </c>
      <c r="I227" s="125">
        <v>43717</v>
      </c>
      <c r="N227" s="66" t="s">
        <v>17780</v>
      </c>
      <c r="O227" s="651">
        <v>1222.5</v>
      </c>
    </row>
    <row r="228" spans="1:15" hidden="1">
      <c r="A228" s="114">
        <v>43745</v>
      </c>
      <c r="B228" s="118">
        <v>280000</v>
      </c>
      <c r="C228" s="116">
        <v>350000</v>
      </c>
      <c r="D228" s="117">
        <v>0</v>
      </c>
      <c r="E228" s="116">
        <f t="shared" si="6"/>
        <v>350000</v>
      </c>
      <c r="F228" s="116">
        <f t="shared" si="7"/>
        <v>1.25</v>
      </c>
      <c r="G228" s="119" t="s">
        <v>19652</v>
      </c>
      <c r="H228" s="85" t="s">
        <v>17752</v>
      </c>
      <c r="I228" s="125">
        <v>43739</v>
      </c>
      <c r="N228" s="66" t="s">
        <v>17782</v>
      </c>
      <c r="O228" s="651">
        <v>0</v>
      </c>
    </row>
    <row r="229" spans="1:15" hidden="1">
      <c r="A229" s="114">
        <v>43748</v>
      </c>
      <c r="B229" s="118">
        <v>66024</v>
      </c>
      <c r="C229" s="116">
        <v>86491.44</v>
      </c>
      <c r="D229" s="117">
        <v>0</v>
      </c>
      <c r="E229" s="116">
        <f t="shared" si="6"/>
        <v>86491.44</v>
      </c>
      <c r="F229" s="116">
        <f t="shared" si="7"/>
        <v>1.31</v>
      </c>
      <c r="G229" s="119" t="s">
        <v>19647</v>
      </c>
      <c r="H229" s="85" t="s">
        <v>17758</v>
      </c>
      <c r="I229" s="125">
        <v>43741</v>
      </c>
      <c r="N229" s="66" t="s">
        <v>17784</v>
      </c>
      <c r="O229" s="651">
        <v>0</v>
      </c>
    </row>
    <row r="230" spans="1:15" hidden="1">
      <c r="A230" s="114">
        <v>43662</v>
      </c>
      <c r="B230" s="118">
        <v>18000</v>
      </c>
      <c r="C230" s="116">
        <v>29160</v>
      </c>
      <c r="D230" s="117">
        <v>0</v>
      </c>
      <c r="E230" s="116">
        <f t="shared" si="6"/>
        <v>29160</v>
      </c>
      <c r="F230" s="116">
        <f t="shared" si="7"/>
        <v>1.62</v>
      </c>
      <c r="G230" s="119" t="s">
        <v>19655</v>
      </c>
      <c r="H230" s="85" t="s">
        <v>17761</v>
      </c>
      <c r="I230" s="125">
        <v>43749</v>
      </c>
      <c r="N230" s="66" t="s">
        <v>17786</v>
      </c>
      <c r="O230" s="651">
        <v>0</v>
      </c>
    </row>
    <row r="231" spans="1:15" hidden="1">
      <c r="A231" s="114">
        <v>43662</v>
      </c>
      <c r="B231" s="118">
        <v>20500</v>
      </c>
      <c r="C231" s="116">
        <v>30340</v>
      </c>
      <c r="D231" s="117">
        <v>0</v>
      </c>
      <c r="E231" s="116">
        <f t="shared" si="6"/>
        <v>30340</v>
      </c>
      <c r="F231" s="116">
        <f t="shared" si="7"/>
        <v>1.48</v>
      </c>
      <c r="G231" s="119" t="s">
        <v>19655</v>
      </c>
      <c r="H231" s="85" t="s">
        <v>17762</v>
      </c>
      <c r="I231" s="125">
        <v>43749</v>
      </c>
      <c r="N231" s="66" t="s">
        <v>17788</v>
      </c>
      <c r="O231" s="651">
        <v>0</v>
      </c>
    </row>
    <row r="232" spans="1:15" hidden="1">
      <c r="A232" s="114">
        <v>43755</v>
      </c>
      <c r="B232" s="118">
        <v>100000</v>
      </c>
      <c r="C232" s="116">
        <v>160000</v>
      </c>
      <c r="D232" s="117">
        <v>0</v>
      </c>
      <c r="E232" s="116">
        <f t="shared" si="6"/>
        <v>160000</v>
      </c>
      <c r="F232" s="116">
        <f t="shared" si="7"/>
        <v>1.6</v>
      </c>
      <c r="G232" s="119" t="s">
        <v>19679</v>
      </c>
      <c r="H232" s="85" t="s">
        <v>17750</v>
      </c>
      <c r="I232" s="125">
        <v>43739</v>
      </c>
      <c r="N232" s="66" t="s">
        <v>17790</v>
      </c>
      <c r="O232" s="651">
        <v>8873.52</v>
      </c>
    </row>
    <row r="233" spans="1:15" hidden="1">
      <c r="A233" s="114">
        <v>43755</v>
      </c>
      <c r="B233" s="118">
        <v>26000</v>
      </c>
      <c r="C233" s="116">
        <v>37570</v>
      </c>
      <c r="D233" s="117">
        <v>0</v>
      </c>
      <c r="E233" s="116">
        <f t="shared" si="6"/>
        <v>37570</v>
      </c>
      <c r="F233" s="116">
        <f t="shared" si="7"/>
        <v>1.4450000000000001</v>
      </c>
      <c r="G233" s="119" t="s">
        <v>19656</v>
      </c>
      <c r="H233" s="85" t="s">
        <v>17757</v>
      </c>
      <c r="I233" s="125">
        <v>43741</v>
      </c>
      <c r="N233" s="66" t="s">
        <v>17792</v>
      </c>
      <c r="O233" s="651">
        <v>19179.32</v>
      </c>
    </row>
    <row r="234" spans="1:15" hidden="1">
      <c r="A234" s="114">
        <v>43756</v>
      </c>
      <c r="B234" s="118">
        <v>20000</v>
      </c>
      <c r="C234" s="120">
        <v>37905.665000000001</v>
      </c>
      <c r="D234" s="117">
        <v>3858.5419999999999</v>
      </c>
      <c r="E234" s="116">
        <f t="shared" si="6"/>
        <v>34047.123</v>
      </c>
      <c r="F234" s="116">
        <f t="shared" si="7"/>
        <v>1.70235615</v>
      </c>
      <c r="G234" s="119" t="s">
        <v>19721</v>
      </c>
      <c r="H234" s="85" t="s">
        <v>17738</v>
      </c>
      <c r="I234" s="125">
        <v>43719</v>
      </c>
      <c r="N234" s="66" t="s">
        <v>17793</v>
      </c>
      <c r="O234" s="651">
        <v>1693.335</v>
      </c>
    </row>
    <row r="235" spans="1:15" hidden="1">
      <c r="A235" s="114">
        <v>43759</v>
      </c>
      <c r="B235" s="118">
        <v>24000</v>
      </c>
      <c r="C235" s="116">
        <v>36213</v>
      </c>
      <c r="D235" s="117">
        <v>0</v>
      </c>
      <c r="E235" s="116">
        <f t="shared" si="6"/>
        <v>36213</v>
      </c>
      <c r="F235" s="116">
        <f t="shared" si="7"/>
        <v>1.508875</v>
      </c>
      <c r="G235" s="119" t="s">
        <v>19656</v>
      </c>
      <c r="H235" s="85" t="s">
        <v>17763</v>
      </c>
      <c r="I235" s="125">
        <v>43749</v>
      </c>
      <c r="N235" s="66" t="s">
        <v>17795</v>
      </c>
      <c r="O235" s="651">
        <v>1440.94</v>
      </c>
    </row>
    <row r="236" spans="1:15" hidden="1">
      <c r="A236" s="114">
        <v>43760</v>
      </c>
      <c r="B236" s="118">
        <v>84000</v>
      </c>
      <c r="C236" s="116">
        <v>116480</v>
      </c>
      <c r="D236" s="117">
        <v>0</v>
      </c>
      <c r="E236" s="116">
        <f t="shared" si="6"/>
        <v>116480</v>
      </c>
      <c r="F236" s="116">
        <f t="shared" si="7"/>
        <v>1.3866666666666667</v>
      </c>
      <c r="G236" s="119" t="s">
        <v>19647</v>
      </c>
      <c r="H236" s="85" t="s">
        <v>17760</v>
      </c>
      <c r="I236" s="125">
        <v>43741</v>
      </c>
      <c r="N236" s="66" t="s">
        <v>17797</v>
      </c>
      <c r="O236" s="651">
        <v>0</v>
      </c>
    </row>
    <row r="237" spans="1:15" hidden="1">
      <c r="A237" s="114">
        <v>43760</v>
      </c>
      <c r="B237" s="115">
        <v>20175.759999999998</v>
      </c>
      <c r="C237" s="116">
        <v>33290.004000000001</v>
      </c>
      <c r="D237" s="117">
        <v>0</v>
      </c>
      <c r="E237" s="116">
        <f t="shared" si="6"/>
        <v>33290.004000000001</v>
      </c>
      <c r="F237" s="116">
        <f t="shared" si="7"/>
        <v>1.6500000000000001</v>
      </c>
      <c r="G237" s="119" t="s">
        <v>17018</v>
      </c>
      <c r="H237" s="85" t="s">
        <v>17745</v>
      </c>
      <c r="I237" s="125">
        <v>43727</v>
      </c>
      <c r="N237" s="66" t="s">
        <v>17799</v>
      </c>
      <c r="O237" s="651">
        <v>0</v>
      </c>
    </row>
    <row r="238" spans="1:15" hidden="1">
      <c r="A238" s="121">
        <v>43761</v>
      </c>
      <c r="B238" s="118">
        <v>82800</v>
      </c>
      <c r="C238" s="116">
        <v>118548</v>
      </c>
      <c r="D238" s="117">
        <v>0</v>
      </c>
      <c r="E238" s="116">
        <f t="shared" si="6"/>
        <v>118548</v>
      </c>
      <c r="F238" s="116">
        <f t="shared" si="7"/>
        <v>1.4317391304347826</v>
      </c>
      <c r="G238" s="119" t="s">
        <v>19655</v>
      </c>
      <c r="H238" s="85" t="s">
        <v>17764</v>
      </c>
      <c r="I238" s="125">
        <v>43752</v>
      </c>
      <c r="N238" s="66" t="s">
        <v>17800</v>
      </c>
      <c r="O238" s="651">
        <v>0</v>
      </c>
    </row>
    <row r="239" spans="1:15" hidden="1">
      <c r="A239" s="114">
        <v>43762</v>
      </c>
      <c r="B239" s="118">
        <v>20000</v>
      </c>
      <c r="C239" s="116">
        <v>31600</v>
      </c>
      <c r="D239" s="117">
        <v>0</v>
      </c>
      <c r="E239" s="116">
        <f t="shared" si="6"/>
        <v>31600</v>
      </c>
      <c r="F239" s="116">
        <f t="shared" si="7"/>
        <v>1.58</v>
      </c>
      <c r="G239" s="119" t="s">
        <v>17018</v>
      </c>
      <c r="H239" s="85" t="s">
        <v>17753</v>
      </c>
      <c r="I239" s="125">
        <v>43739</v>
      </c>
      <c r="N239" s="66" t="s">
        <v>17802</v>
      </c>
      <c r="O239" s="651">
        <v>0</v>
      </c>
    </row>
    <row r="240" spans="1:15" hidden="1">
      <c r="A240" s="114">
        <v>43764</v>
      </c>
      <c r="B240" s="118">
        <v>25300</v>
      </c>
      <c r="C240" s="122">
        <v>49556.038</v>
      </c>
      <c r="D240" s="117">
        <v>4764.45</v>
      </c>
      <c r="E240" s="116">
        <f t="shared" si="6"/>
        <v>44791.588000000003</v>
      </c>
      <c r="F240" s="116">
        <f t="shared" si="7"/>
        <v>1.7704184980237156</v>
      </c>
      <c r="G240" s="119" t="s">
        <v>17210</v>
      </c>
      <c r="H240" s="85" t="s">
        <v>17765</v>
      </c>
      <c r="I240" s="125">
        <v>43755</v>
      </c>
      <c r="N240" s="66" t="s">
        <v>17804</v>
      </c>
      <c r="O240" s="651">
        <v>26318.59</v>
      </c>
    </row>
    <row r="241" spans="1:15" hidden="1">
      <c r="A241" s="114">
        <v>43766</v>
      </c>
      <c r="B241" s="115">
        <v>20175.759999999998</v>
      </c>
      <c r="C241" s="116">
        <v>33290.004000000001</v>
      </c>
      <c r="D241" s="117">
        <v>0</v>
      </c>
      <c r="E241" s="116">
        <f t="shared" si="6"/>
        <v>33290.004000000001</v>
      </c>
      <c r="F241" s="116">
        <f t="shared" si="7"/>
        <v>1.6500000000000001</v>
      </c>
      <c r="G241" s="119" t="s">
        <v>17018</v>
      </c>
      <c r="H241" s="85" t="s">
        <v>17772</v>
      </c>
      <c r="I241" s="125">
        <v>43760</v>
      </c>
      <c r="N241" s="66" t="s">
        <v>17806</v>
      </c>
      <c r="O241" s="651">
        <v>3673.0770000000002</v>
      </c>
    </row>
    <row r="242" spans="1:15" hidden="1">
      <c r="A242" s="114">
        <v>43768</v>
      </c>
      <c r="B242" s="115">
        <v>20000</v>
      </c>
      <c r="C242" s="116">
        <v>30000</v>
      </c>
      <c r="D242" s="117">
        <v>0</v>
      </c>
      <c r="E242" s="116">
        <f t="shared" si="6"/>
        <v>30000</v>
      </c>
      <c r="F242" s="116">
        <f t="shared" si="7"/>
        <v>1.5</v>
      </c>
      <c r="G242" s="119" t="s">
        <v>19656</v>
      </c>
      <c r="H242" s="85" t="s">
        <v>17770</v>
      </c>
      <c r="I242" s="125">
        <v>43760</v>
      </c>
      <c r="N242" s="66" t="s">
        <v>17808</v>
      </c>
      <c r="O242" s="651">
        <v>0</v>
      </c>
    </row>
    <row r="243" spans="1:15" ht="12.95" hidden="1">
      <c r="A243" s="81">
        <v>43770</v>
      </c>
      <c r="B243" s="87">
        <v>108000</v>
      </c>
      <c r="C243" s="30">
        <f>46440*3.15385</f>
        <v>146464.79399999999</v>
      </c>
      <c r="D243" s="117">
        <v>17020.86</v>
      </c>
      <c r="E243" s="116">
        <f t="shared" si="6"/>
        <v>129443.93399999999</v>
      </c>
      <c r="F243" s="116">
        <f t="shared" si="7"/>
        <v>1.1985549444444443</v>
      </c>
      <c r="G243" s="88" t="s">
        <v>19722</v>
      </c>
      <c r="H243" s="85" t="s">
        <v>17767</v>
      </c>
      <c r="I243" s="101">
        <v>43756</v>
      </c>
      <c r="N243" s="66" t="s">
        <v>17810</v>
      </c>
      <c r="O243" s="651">
        <v>0</v>
      </c>
    </row>
    <row r="244" spans="1:15" ht="12.95" hidden="1">
      <c r="A244" s="81">
        <v>43770</v>
      </c>
      <c r="B244" s="87">
        <v>52000</v>
      </c>
      <c r="C244" s="30">
        <f>27650*3.151</f>
        <v>87125.15</v>
      </c>
      <c r="D244" s="117">
        <v>15528.32</v>
      </c>
      <c r="E244" s="116">
        <f t="shared" si="6"/>
        <v>71596.829999999987</v>
      </c>
      <c r="F244" s="116">
        <f t="shared" si="7"/>
        <v>1.3768621153846152</v>
      </c>
      <c r="G244" s="88" t="s">
        <v>17173</v>
      </c>
      <c r="H244" s="85" t="s">
        <v>17755</v>
      </c>
      <c r="I244" s="101">
        <v>43740</v>
      </c>
      <c r="N244" s="66" t="s">
        <v>17811</v>
      </c>
      <c r="O244" s="651">
        <v>1271.08</v>
      </c>
    </row>
    <row r="245" spans="1:15" ht="12.95" hidden="1">
      <c r="A245" s="81">
        <v>43771</v>
      </c>
      <c r="B245" s="87">
        <v>108000</v>
      </c>
      <c r="C245" s="30">
        <f>46440*3.15385</f>
        <v>146464.79399999999</v>
      </c>
      <c r="D245" s="117">
        <v>17020.86</v>
      </c>
      <c r="E245" s="116">
        <f t="shared" si="6"/>
        <v>129443.93399999999</v>
      </c>
      <c r="F245" s="116">
        <f t="shared" si="7"/>
        <v>1.1985549444444443</v>
      </c>
      <c r="G245" s="88" t="s">
        <v>19722</v>
      </c>
      <c r="H245" s="85" t="s">
        <v>17768</v>
      </c>
      <c r="I245" s="101">
        <v>43756</v>
      </c>
      <c r="N245" s="66" t="s">
        <v>17813</v>
      </c>
      <c r="O245" s="651">
        <v>0</v>
      </c>
    </row>
    <row r="246" spans="1:15" ht="12.95" hidden="1">
      <c r="A246" s="81">
        <v>43771</v>
      </c>
      <c r="B246" s="87">
        <v>20000</v>
      </c>
      <c r="C246" s="123">
        <f>12800*2.82555</f>
        <v>36167.039999999994</v>
      </c>
      <c r="D246" s="117">
        <v>1222.5</v>
      </c>
      <c r="E246" s="116">
        <f t="shared" si="6"/>
        <v>34944.539999999994</v>
      </c>
      <c r="F246" s="116">
        <f t="shared" si="7"/>
        <v>1.7472269999999996</v>
      </c>
      <c r="G246" s="88" t="s">
        <v>19723</v>
      </c>
      <c r="H246" s="85" t="s">
        <v>17780</v>
      </c>
      <c r="I246" s="101">
        <v>43766</v>
      </c>
      <c r="N246" s="66" t="s">
        <v>17814</v>
      </c>
      <c r="O246" s="651">
        <v>0</v>
      </c>
    </row>
    <row r="247" spans="1:15" ht="12.95" hidden="1">
      <c r="A247" s="81">
        <v>43773</v>
      </c>
      <c r="B247" s="87">
        <v>21052</v>
      </c>
      <c r="C247" s="83">
        <f>17485.44*2.82745</f>
        <v>49439.20732799999</v>
      </c>
      <c r="D247" s="117">
        <v>6889.27</v>
      </c>
      <c r="E247" s="116">
        <f t="shared" si="6"/>
        <v>42549.937327999985</v>
      </c>
      <c r="F247" s="116">
        <f t="shared" si="7"/>
        <v>2.0211826585597561</v>
      </c>
      <c r="G247" s="88" t="s">
        <v>19724</v>
      </c>
      <c r="H247" s="85" t="s">
        <v>17774</v>
      </c>
      <c r="I247" s="101">
        <v>43762</v>
      </c>
      <c r="N247" s="66" t="s">
        <v>17815</v>
      </c>
      <c r="O247" s="651">
        <v>0</v>
      </c>
    </row>
    <row r="248" spans="1:15" ht="12.95" hidden="1">
      <c r="A248" s="81">
        <v>43774</v>
      </c>
      <c r="B248" s="87">
        <v>108516</v>
      </c>
      <c r="C248" s="123">
        <v>151363.68</v>
      </c>
      <c r="D248" s="117">
        <v>0</v>
      </c>
      <c r="E248" s="116">
        <f t="shared" si="6"/>
        <v>151363.68</v>
      </c>
      <c r="F248" s="116">
        <f t="shared" si="7"/>
        <v>1.3948512661727301</v>
      </c>
      <c r="G248" s="88" t="s">
        <v>19656</v>
      </c>
      <c r="H248" s="85" t="s">
        <v>17776</v>
      </c>
      <c r="I248" s="101">
        <v>43764</v>
      </c>
      <c r="N248" s="66" t="s">
        <v>17816</v>
      </c>
      <c r="O248" s="651">
        <v>0</v>
      </c>
    </row>
    <row r="249" spans="1:15" ht="12.95" hidden="1">
      <c r="A249" s="86">
        <v>43775</v>
      </c>
      <c r="B249" s="124">
        <v>10632.4</v>
      </c>
      <c r="C249" s="30">
        <v>17999.272000000001</v>
      </c>
      <c r="D249" s="117">
        <v>0</v>
      </c>
      <c r="E249" s="116">
        <f t="shared" si="6"/>
        <v>17999.272000000001</v>
      </c>
      <c r="F249" s="116">
        <f t="shared" si="7"/>
        <v>1.6928700951807683</v>
      </c>
      <c r="G249" s="88" t="s">
        <v>19725</v>
      </c>
      <c r="H249" s="85" t="s">
        <v>17778</v>
      </c>
      <c r="I249" s="101">
        <v>43764</v>
      </c>
      <c r="N249" s="66" t="s">
        <v>17817</v>
      </c>
      <c r="O249" s="651">
        <v>0</v>
      </c>
    </row>
    <row r="250" spans="1:15" ht="12.95" hidden="1">
      <c r="A250" s="86">
        <v>43775</v>
      </c>
      <c r="B250" s="87">
        <v>19200</v>
      </c>
      <c r="C250" s="30">
        <v>30144</v>
      </c>
      <c r="D250" s="117">
        <v>0</v>
      </c>
      <c r="E250" s="116">
        <f t="shared" si="6"/>
        <v>30144</v>
      </c>
      <c r="F250" s="116">
        <f t="shared" si="7"/>
        <v>1.57</v>
      </c>
      <c r="G250" s="88" t="s">
        <v>19655</v>
      </c>
      <c r="H250" s="85" t="s">
        <v>17769</v>
      </c>
      <c r="I250" s="101">
        <v>43756</v>
      </c>
      <c r="N250" s="66" t="s">
        <v>17819</v>
      </c>
      <c r="O250" s="651">
        <v>4758.1949999999997</v>
      </c>
    </row>
    <row r="251" spans="1:15" ht="12.95" hidden="1">
      <c r="A251" s="86">
        <v>43776</v>
      </c>
      <c r="B251" s="87">
        <v>20000</v>
      </c>
      <c r="C251" s="30">
        <v>31600</v>
      </c>
      <c r="D251" s="117">
        <v>0</v>
      </c>
      <c r="E251" s="116">
        <f t="shared" si="6"/>
        <v>31600</v>
      </c>
      <c r="F251" s="116">
        <f t="shared" si="7"/>
        <v>1.58</v>
      </c>
      <c r="G251" s="88" t="s">
        <v>19682</v>
      </c>
      <c r="H251" s="85" t="s">
        <v>17784</v>
      </c>
      <c r="I251" s="101">
        <v>43770</v>
      </c>
      <c r="N251" s="66" t="s">
        <v>17821</v>
      </c>
      <c r="O251" s="651">
        <v>0</v>
      </c>
    </row>
    <row r="252" spans="1:15" ht="12.95" hidden="1">
      <c r="A252" s="86">
        <v>43777</v>
      </c>
      <c r="B252" s="87">
        <v>154056</v>
      </c>
      <c r="C252" s="30">
        <v>205114.56</v>
      </c>
      <c r="D252" s="117">
        <v>0</v>
      </c>
      <c r="E252" s="116">
        <f t="shared" si="6"/>
        <v>205114.56</v>
      </c>
      <c r="F252" s="116">
        <f t="shared" si="7"/>
        <v>1.3314285714285714</v>
      </c>
      <c r="G252" s="88" t="s">
        <v>19647</v>
      </c>
      <c r="H252" s="85" t="s">
        <v>17797</v>
      </c>
      <c r="I252" s="126">
        <v>43773</v>
      </c>
      <c r="N252" s="66" t="s">
        <v>17822</v>
      </c>
      <c r="O252" s="651">
        <v>5866.9449999999997</v>
      </c>
    </row>
    <row r="253" spans="1:15" ht="12.95" hidden="1">
      <c r="A253" s="86">
        <v>43780</v>
      </c>
      <c r="B253" s="87">
        <v>76248</v>
      </c>
      <c r="C253" s="30">
        <v>131248.492</v>
      </c>
      <c r="D253" s="117">
        <v>26318.59</v>
      </c>
      <c r="E253" s="116">
        <f t="shared" si="6"/>
        <v>104929.902</v>
      </c>
      <c r="F253" s="116">
        <f t="shared" si="7"/>
        <v>1.3761659584513692</v>
      </c>
      <c r="G253" s="88" t="s">
        <v>19726</v>
      </c>
      <c r="H253" s="85" t="s">
        <v>17804</v>
      </c>
      <c r="I253" s="126">
        <v>43775</v>
      </c>
      <c r="N253" s="66" t="s">
        <v>17824</v>
      </c>
      <c r="O253" s="651">
        <v>24436.01</v>
      </c>
    </row>
    <row r="254" spans="1:15" ht="12.95" hidden="1">
      <c r="A254" s="86">
        <v>43780</v>
      </c>
      <c r="B254" s="87">
        <v>25080</v>
      </c>
      <c r="C254" s="30">
        <v>38032.800000000003</v>
      </c>
      <c r="D254" s="117">
        <v>0</v>
      </c>
      <c r="E254" s="116">
        <f t="shared" si="6"/>
        <v>38032.800000000003</v>
      </c>
      <c r="F254" s="116">
        <f t="shared" si="7"/>
        <v>1.5164593301435407</v>
      </c>
      <c r="G254" s="88" t="s">
        <v>19656</v>
      </c>
      <c r="H254" s="85" t="s">
        <v>17782</v>
      </c>
      <c r="I254" s="126">
        <v>43766</v>
      </c>
      <c r="N254" s="66" t="s">
        <v>17826</v>
      </c>
      <c r="O254" s="651">
        <v>0</v>
      </c>
    </row>
    <row r="255" spans="1:15" ht="12.95" hidden="1">
      <c r="A255" s="86">
        <v>43781</v>
      </c>
      <c r="B255" s="87">
        <v>40800</v>
      </c>
      <c r="C255" s="30">
        <v>70607.14</v>
      </c>
      <c r="D255" s="117">
        <v>19179.32</v>
      </c>
      <c r="E255" s="116">
        <f t="shared" si="6"/>
        <v>51427.82</v>
      </c>
      <c r="F255" s="116">
        <f t="shared" si="7"/>
        <v>1.2604857843137254</v>
      </c>
      <c r="G255" s="88" t="s">
        <v>19651</v>
      </c>
      <c r="H255" s="85" t="s">
        <v>17792</v>
      </c>
      <c r="I255" s="126">
        <v>43771</v>
      </c>
      <c r="N255" s="66" t="s">
        <v>17828</v>
      </c>
      <c r="O255" s="651">
        <v>3947.5259999999998</v>
      </c>
    </row>
    <row r="256" spans="1:15" ht="12.95" hidden="1">
      <c r="A256" s="86">
        <v>43781</v>
      </c>
      <c r="B256" s="87">
        <v>39000</v>
      </c>
      <c r="C256" s="30">
        <v>62400</v>
      </c>
      <c r="D256" s="117">
        <v>0</v>
      </c>
      <c r="E256" s="116">
        <f t="shared" si="6"/>
        <v>62400</v>
      </c>
      <c r="F256" s="116">
        <f t="shared" si="7"/>
        <v>1.6</v>
      </c>
      <c r="G256" s="88" t="s">
        <v>19679</v>
      </c>
      <c r="H256" s="85" t="s">
        <v>17788</v>
      </c>
      <c r="I256" s="126">
        <v>43771</v>
      </c>
      <c r="N256" s="66" t="s">
        <v>17830</v>
      </c>
      <c r="O256" s="651">
        <v>89362.28</v>
      </c>
    </row>
    <row r="257" spans="1:15" ht="12.95" hidden="1">
      <c r="A257" s="86">
        <v>43781</v>
      </c>
      <c r="B257" s="110">
        <v>1906.8</v>
      </c>
      <c r="C257" s="30">
        <v>3432.24</v>
      </c>
      <c r="D257" s="117">
        <v>0</v>
      </c>
      <c r="E257" s="116">
        <f t="shared" si="6"/>
        <v>3432.24</v>
      </c>
      <c r="F257" s="116">
        <f t="shared" si="7"/>
        <v>1.7999999999999998</v>
      </c>
      <c r="G257" s="88" t="s">
        <v>19727</v>
      </c>
      <c r="H257" s="85" t="s">
        <v>17786</v>
      </c>
      <c r="I257" s="126">
        <v>43771</v>
      </c>
      <c r="N257" s="66" t="s">
        <v>17832</v>
      </c>
      <c r="O257" s="651">
        <v>30542.564999999999</v>
      </c>
    </row>
    <row r="258" spans="1:15" ht="12.95" hidden="1">
      <c r="A258" s="86">
        <v>43782</v>
      </c>
      <c r="B258" s="87">
        <v>109000</v>
      </c>
      <c r="C258" s="30">
        <v>140610</v>
      </c>
      <c r="D258" s="117">
        <v>0</v>
      </c>
      <c r="E258" s="116">
        <f t="shared" si="6"/>
        <v>140610</v>
      </c>
      <c r="F258" s="116">
        <f t="shared" si="7"/>
        <v>1.29</v>
      </c>
      <c r="G258" s="88" t="s">
        <v>19656</v>
      </c>
      <c r="H258" s="85" t="s">
        <v>17800</v>
      </c>
      <c r="I258" s="126">
        <v>43775</v>
      </c>
      <c r="N258" s="66" t="s">
        <v>17834</v>
      </c>
      <c r="O258" s="651">
        <v>7226.8050000000003</v>
      </c>
    </row>
    <row r="259" spans="1:15" ht="12.95" hidden="1">
      <c r="A259" s="86">
        <v>43782</v>
      </c>
      <c r="B259" s="82">
        <v>233520</v>
      </c>
      <c r="C259" s="83">
        <v>334542.527</v>
      </c>
      <c r="D259" s="117">
        <v>0</v>
      </c>
      <c r="E259" s="116">
        <f t="shared" si="6"/>
        <v>334542.527</v>
      </c>
      <c r="F259" s="116">
        <f t="shared" si="7"/>
        <v>1.4326076010620075</v>
      </c>
      <c r="G259" s="88" t="s">
        <v>19688</v>
      </c>
      <c r="H259" s="85" t="s">
        <v>17766</v>
      </c>
      <c r="I259" s="96">
        <v>43755</v>
      </c>
      <c r="N259" s="66" t="s">
        <v>17836</v>
      </c>
      <c r="O259" s="651">
        <v>10729.6</v>
      </c>
    </row>
    <row r="260" spans="1:15" ht="12.95" hidden="1">
      <c r="A260" s="86">
        <v>43784</v>
      </c>
      <c r="B260" s="82">
        <v>20000</v>
      </c>
      <c r="C260" s="83">
        <f>13300*2.8584</f>
        <v>38016.720000000001</v>
      </c>
      <c r="D260" s="117">
        <v>3673.0770000000002</v>
      </c>
      <c r="E260" s="116">
        <f t="shared" si="6"/>
        <v>34343.643000000004</v>
      </c>
      <c r="F260" s="116">
        <f t="shared" si="7"/>
        <v>1.7171821500000002</v>
      </c>
      <c r="G260" s="88" t="s">
        <v>19728</v>
      </c>
      <c r="H260" s="85" t="s">
        <v>17806</v>
      </c>
      <c r="I260" s="96">
        <v>43780</v>
      </c>
      <c r="N260" s="66" t="s">
        <v>17838</v>
      </c>
      <c r="O260" s="651">
        <v>0</v>
      </c>
    </row>
    <row r="261" spans="1:15" ht="12.95" hidden="1">
      <c r="A261" s="86">
        <v>43785</v>
      </c>
      <c r="B261" s="82">
        <v>27336</v>
      </c>
      <c r="C261" s="83">
        <v>47249.358999999997</v>
      </c>
      <c r="D261" s="127">
        <v>8873.52</v>
      </c>
      <c r="E261" s="116">
        <f t="shared" si="6"/>
        <v>38375.838999999993</v>
      </c>
      <c r="F261" s="116">
        <f t="shared" si="7"/>
        <v>1.4038571480831137</v>
      </c>
      <c r="G261" s="88" t="s">
        <v>19661</v>
      </c>
      <c r="H261" s="85" t="s">
        <v>17790</v>
      </c>
      <c r="I261" s="96">
        <v>43771</v>
      </c>
      <c r="N261" s="66" t="s">
        <v>17840</v>
      </c>
      <c r="O261" s="651">
        <v>0</v>
      </c>
    </row>
    <row r="262" spans="1:15" ht="12.95" hidden="1">
      <c r="A262" s="86">
        <v>43785</v>
      </c>
      <c r="B262" s="82">
        <v>154056</v>
      </c>
      <c r="C262" s="83">
        <v>205114.56</v>
      </c>
      <c r="D262" s="117">
        <v>0</v>
      </c>
      <c r="E262" s="116">
        <f t="shared" si="6"/>
        <v>205114.56</v>
      </c>
      <c r="F262" s="116">
        <f t="shared" si="7"/>
        <v>1.3314285714285714</v>
      </c>
      <c r="G262" s="88" t="s">
        <v>19647</v>
      </c>
      <c r="H262" s="85" t="s">
        <v>17799</v>
      </c>
      <c r="I262" s="96">
        <v>43773</v>
      </c>
      <c r="N262" s="66" t="s">
        <v>17841</v>
      </c>
      <c r="O262" s="651">
        <v>0</v>
      </c>
    </row>
    <row r="263" spans="1:15" ht="12.95" hidden="1">
      <c r="A263" s="86">
        <v>43787</v>
      </c>
      <c r="B263" s="87">
        <v>43200</v>
      </c>
      <c r="C263" s="30">
        <v>66960</v>
      </c>
      <c r="D263" s="117">
        <v>0</v>
      </c>
      <c r="E263" s="116">
        <f t="shared" si="6"/>
        <v>66960</v>
      </c>
      <c r="F263" s="116">
        <f t="shared" si="7"/>
        <v>1.55</v>
      </c>
      <c r="G263" s="88" t="s">
        <v>19655</v>
      </c>
      <c r="H263" s="85" t="s">
        <v>17802</v>
      </c>
      <c r="I263" s="126">
        <v>43775</v>
      </c>
      <c r="N263" s="66" t="s">
        <v>17842</v>
      </c>
      <c r="O263" s="651">
        <v>0</v>
      </c>
    </row>
    <row r="264" spans="1:15" ht="12.95" hidden="1">
      <c r="A264" s="86">
        <v>43787</v>
      </c>
      <c r="B264" s="82">
        <v>24692</v>
      </c>
      <c r="C264" s="83">
        <v>41354.800000000003</v>
      </c>
      <c r="D264" s="117">
        <v>0</v>
      </c>
      <c r="E264" s="116">
        <f t="shared" ref="E264:E327" si="8">(C264-D264)</f>
        <v>41354.800000000003</v>
      </c>
      <c r="F264" s="116">
        <f t="shared" ref="F264:F327" si="9">(E264/B264)</f>
        <v>1.6748258545277823</v>
      </c>
      <c r="G264" s="88" t="s">
        <v>19681</v>
      </c>
      <c r="H264" s="85" t="s">
        <v>17808</v>
      </c>
      <c r="I264" s="96">
        <v>43782</v>
      </c>
      <c r="N264" s="66" t="s">
        <v>17844</v>
      </c>
      <c r="O264" s="651">
        <v>0</v>
      </c>
    </row>
    <row r="265" spans="1:15" ht="12.95" hidden="1">
      <c r="A265" s="86">
        <v>43788</v>
      </c>
      <c r="B265" s="87">
        <v>14200</v>
      </c>
      <c r="C265" s="30">
        <f>12938*2.85655</f>
        <v>36958.043899999997</v>
      </c>
      <c r="D265" s="117">
        <v>1693.335</v>
      </c>
      <c r="E265" s="116">
        <f t="shared" si="8"/>
        <v>35264.708899999998</v>
      </c>
      <c r="F265" s="116">
        <f t="shared" si="9"/>
        <v>2.483430204225352</v>
      </c>
      <c r="G265" s="88" t="s">
        <v>19672</v>
      </c>
      <c r="H265" s="85" t="s">
        <v>17793</v>
      </c>
      <c r="I265" s="94">
        <v>43771</v>
      </c>
      <c r="N265" s="66" t="s">
        <v>17846</v>
      </c>
      <c r="O265" s="651">
        <v>22764.5</v>
      </c>
    </row>
    <row r="266" spans="1:15" ht="12.95" hidden="1">
      <c r="A266" s="86">
        <v>43788</v>
      </c>
      <c r="B266" s="87">
        <v>18200</v>
      </c>
      <c r="C266" s="30">
        <f>22154*2.85655</f>
        <v>63284.008699999998</v>
      </c>
      <c r="D266" s="127">
        <v>1440.94</v>
      </c>
      <c r="E266" s="116">
        <f t="shared" si="8"/>
        <v>61843.068699999996</v>
      </c>
      <c r="F266" s="116">
        <f t="shared" si="9"/>
        <v>3.3979708076923076</v>
      </c>
      <c r="G266" s="88" t="s">
        <v>19653</v>
      </c>
      <c r="H266" s="85" t="s">
        <v>17795</v>
      </c>
      <c r="I266" s="94">
        <v>43771</v>
      </c>
      <c r="N266" s="66" t="s">
        <v>17848</v>
      </c>
      <c r="O266" s="651">
        <v>0</v>
      </c>
    </row>
    <row r="267" spans="1:15" ht="12.95" hidden="1">
      <c r="A267" s="86">
        <v>43790</v>
      </c>
      <c r="B267" s="87">
        <v>110040</v>
      </c>
      <c r="C267" s="30">
        <v>147453.6</v>
      </c>
      <c r="D267" s="117">
        <v>0</v>
      </c>
      <c r="E267" s="116">
        <f t="shared" si="8"/>
        <v>147453.6</v>
      </c>
      <c r="F267" s="116">
        <f t="shared" si="9"/>
        <v>1.34</v>
      </c>
      <c r="G267" s="88" t="s">
        <v>19647</v>
      </c>
      <c r="H267" s="85" t="s">
        <v>17810</v>
      </c>
      <c r="I267" s="94">
        <v>43782</v>
      </c>
      <c r="N267" s="66" t="s">
        <v>17849</v>
      </c>
      <c r="O267" s="651">
        <v>0</v>
      </c>
    </row>
    <row r="268" spans="1:15" ht="12.95" hidden="1">
      <c r="A268" s="86">
        <v>43791</v>
      </c>
      <c r="B268" s="87">
        <v>77120</v>
      </c>
      <c r="C268" s="30">
        <v>110777.60000000001</v>
      </c>
      <c r="D268" s="117">
        <v>0</v>
      </c>
      <c r="E268" s="116">
        <f t="shared" si="8"/>
        <v>110777.60000000001</v>
      </c>
      <c r="F268" s="116">
        <f t="shared" si="9"/>
        <v>1.4364315352697097</v>
      </c>
      <c r="G268" s="88" t="s">
        <v>19647</v>
      </c>
      <c r="H268" s="85" t="s">
        <v>17815</v>
      </c>
      <c r="I268" s="94">
        <v>43788</v>
      </c>
      <c r="N268" s="66" t="s">
        <v>17850</v>
      </c>
      <c r="O268" s="651">
        <v>0</v>
      </c>
    </row>
    <row r="269" spans="1:15" ht="12.95" hidden="1">
      <c r="A269" s="86">
        <v>43791</v>
      </c>
      <c r="B269" s="87">
        <v>5277</v>
      </c>
      <c r="C269" s="30">
        <v>8825.49</v>
      </c>
      <c r="D269" s="117">
        <v>0</v>
      </c>
      <c r="E269" s="116">
        <f t="shared" si="8"/>
        <v>8825.49</v>
      </c>
      <c r="F269" s="116">
        <f t="shared" si="9"/>
        <v>1.6724445707788516</v>
      </c>
      <c r="G269" s="88" t="s">
        <v>19729</v>
      </c>
      <c r="H269" s="85" t="s">
        <v>17814</v>
      </c>
      <c r="I269" s="94">
        <v>43788</v>
      </c>
      <c r="N269" s="66" t="s">
        <v>17851</v>
      </c>
      <c r="O269" s="651">
        <v>0</v>
      </c>
    </row>
    <row r="270" spans="1:15" ht="12.95" hidden="1">
      <c r="A270" s="86">
        <v>43792</v>
      </c>
      <c r="B270" s="87">
        <v>20000</v>
      </c>
      <c r="C270" s="30">
        <f>12800*2.8489</f>
        <v>36465.919999999998</v>
      </c>
      <c r="D270" s="117">
        <v>1271.08</v>
      </c>
      <c r="E270" s="116">
        <f t="shared" si="8"/>
        <v>35194.839999999997</v>
      </c>
      <c r="F270" s="116">
        <f t="shared" si="9"/>
        <v>1.7597419999999999</v>
      </c>
      <c r="G270" s="88" t="s">
        <v>19730</v>
      </c>
      <c r="H270" s="85" t="s">
        <v>17811</v>
      </c>
      <c r="I270" s="94">
        <v>43782</v>
      </c>
      <c r="N270" s="66" t="s">
        <v>17853</v>
      </c>
      <c r="O270" s="651">
        <v>0</v>
      </c>
    </row>
    <row r="271" spans="1:15" ht="12.95" hidden="1">
      <c r="A271" s="86">
        <v>43792</v>
      </c>
      <c r="B271" s="87">
        <v>300000</v>
      </c>
      <c r="C271" s="83">
        <f>153000*2.85105</f>
        <v>436210.64999999997</v>
      </c>
      <c r="D271" s="117">
        <v>0</v>
      </c>
      <c r="E271" s="116">
        <f t="shared" si="8"/>
        <v>436210.64999999997</v>
      </c>
      <c r="F271" s="116">
        <f t="shared" si="9"/>
        <v>1.4540354999999998</v>
      </c>
      <c r="G271" s="88" t="s">
        <v>19731</v>
      </c>
      <c r="H271" s="85" t="s">
        <v>17813</v>
      </c>
      <c r="I271" s="94">
        <v>43785</v>
      </c>
      <c r="N271" s="66" t="s">
        <v>17855</v>
      </c>
      <c r="O271" s="651">
        <v>3958.06</v>
      </c>
    </row>
    <row r="272" spans="1:15" ht="12.95" hidden="1">
      <c r="A272" s="86">
        <v>43794</v>
      </c>
      <c r="B272" s="87">
        <v>2348</v>
      </c>
      <c r="C272" s="30">
        <v>4761.76</v>
      </c>
      <c r="D272" s="117">
        <v>0</v>
      </c>
      <c r="E272" s="116">
        <f t="shared" si="8"/>
        <v>4761.76</v>
      </c>
      <c r="F272" s="116">
        <f t="shared" si="9"/>
        <v>2.0280068143100514</v>
      </c>
      <c r="G272" s="88" t="s">
        <v>19732</v>
      </c>
      <c r="H272" s="85" t="s">
        <v>17816</v>
      </c>
      <c r="I272" s="94">
        <v>43794</v>
      </c>
      <c r="N272" s="66" t="s">
        <v>17856</v>
      </c>
      <c r="O272" s="651">
        <v>0</v>
      </c>
    </row>
    <row r="273" spans="1:15" ht="12.95" hidden="1">
      <c r="A273" s="86">
        <v>43799</v>
      </c>
      <c r="B273" s="87">
        <v>20150</v>
      </c>
      <c r="C273" s="30">
        <f>13798.72*2.86185</f>
        <v>39489.866832</v>
      </c>
      <c r="D273" s="117">
        <v>4758.1949999999997</v>
      </c>
      <c r="E273" s="116">
        <f t="shared" si="8"/>
        <v>34731.671832</v>
      </c>
      <c r="F273" s="116">
        <f t="shared" si="9"/>
        <v>1.7236561703225806</v>
      </c>
      <c r="G273" s="88" t="s">
        <v>19733</v>
      </c>
      <c r="H273" s="85" t="s">
        <v>17819</v>
      </c>
      <c r="I273" s="94">
        <v>43794</v>
      </c>
      <c r="N273" s="66" t="s">
        <v>17857</v>
      </c>
      <c r="O273" s="651">
        <v>10729.6</v>
      </c>
    </row>
    <row r="274" spans="1:15" ht="12.95" hidden="1">
      <c r="A274" s="86">
        <v>43799</v>
      </c>
      <c r="B274" s="87">
        <v>18000</v>
      </c>
      <c r="C274" s="30">
        <f>10620*3.15235</f>
        <v>33477.957000000002</v>
      </c>
      <c r="D274" s="117">
        <v>5866.9449999999997</v>
      </c>
      <c r="E274" s="116">
        <f t="shared" si="8"/>
        <v>27611.012000000002</v>
      </c>
      <c r="F274" s="116">
        <f t="shared" si="9"/>
        <v>1.5339451111111113</v>
      </c>
      <c r="G274" s="88" t="s">
        <v>19734</v>
      </c>
      <c r="H274" s="85" t="s">
        <v>17822</v>
      </c>
      <c r="I274" s="94">
        <v>43796</v>
      </c>
      <c r="N274" s="66" t="s">
        <v>17859</v>
      </c>
      <c r="O274" s="651">
        <v>41549.184999999998</v>
      </c>
    </row>
    <row r="275" spans="1:15" ht="12.95" hidden="1">
      <c r="A275" s="86">
        <v>43802</v>
      </c>
      <c r="B275" s="87">
        <v>69408</v>
      </c>
      <c r="C275" s="30">
        <f>42432.04*2.86185</f>
        <v>121434.133674</v>
      </c>
      <c r="D275" s="117">
        <v>24436.01</v>
      </c>
      <c r="E275" s="116">
        <f t="shared" si="8"/>
        <v>96998.123674000002</v>
      </c>
      <c r="F275" s="116">
        <f t="shared" si="9"/>
        <v>1.3975063922602582</v>
      </c>
      <c r="G275" s="88" t="s">
        <v>19657</v>
      </c>
      <c r="H275" s="85" t="s">
        <v>17824</v>
      </c>
      <c r="I275" s="101">
        <v>43796</v>
      </c>
      <c r="N275" s="66" t="s">
        <v>17860</v>
      </c>
      <c r="O275" s="651">
        <v>17020.86</v>
      </c>
    </row>
    <row r="276" spans="1:15" ht="12.95" hidden="1">
      <c r="A276" s="81">
        <v>43803</v>
      </c>
      <c r="B276" s="82">
        <v>157765</v>
      </c>
      <c r="C276" s="30">
        <v>219842.95</v>
      </c>
      <c r="D276" s="117">
        <v>0</v>
      </c>
      <c r="E276" s="116">
        <f t="shared" si="8"/>
        <v>219842.95</v>
      </c>
      <c r="F276" s="116">
        <f t="shared" si="9"/>
        <v>1.3934836624092797</v>
      </c>
      <c r="G276" s="88" t="s">
        <v>19647</v>
      </c>
      <c r="H276" s="85" t="s">
        <v>17821</v>
      </c>
      <c r="I276" s="128">
        <v>43794</v>
      </c>
      <c r="N276" s="66" t="s">
        <v>17861</v>
      </c>
      <c r="O276" s="651">
        <v>19901.400000000001</v>
      </c>
    </row>
    <row r="277" spans="1:15" ht="12.95" hidden="1">
      <c r="A277" s="81">
        <v>43804</v>
      </c>
      <c r="B277" s="82">
        <v>23400</v>
      </c>
      <c r="C277" s="30">
        <v>35319</v>
      </c>
      <c r="D277" s="117">
        <v>0</v>
      </c>
      <c r="E277" s="116">
        <f t="shared" si="8"/>
        <v>35319</v>
      </c>
      <c r="F277" s="116">
        <f t="shared" si="9"/>
        <v>1.5093589743589744</v>
      </c>
      <c r="G277" s="88" t="s">
        <v>19656</v>
      </c>
      <c r="H277" s="85" t="s">
        <v>17817</v>
      </c>
      <c r="I277" s="128">
        <v>43794</v>
      </c>
      <c r="N277" s="66" t="s">
        <v>17862</v>
      </c>
      <c r="O277" s="651">
        <v>19306.400000000001</v>
      </c>
    </row>
    <row r="278" spans="1:15" ht="12.95" hidden="1">
      <c r="A278" s="81">
        <v>43805</v>
      </c>
      <c r="B278" s="82">
        <v>278000</v>
      </c>
      <c r="C278" s="30">
        <f>152900*2.8562</f>
        <v>436712.98</v>
      </c>
      <c r="D278" s="117">
        <v>89362.28</v>
      </c>
      <c r="E278" s="116">
        <f t="shared" si="8"/>
        <v>347350.69999999995</v>
      </c>
      <c r="F278" s="116">
        <f t="shared" si="9"/>
        <v>1.2494629496402876</v>
      </c>
      <c r="G278" s="88" t="s">
        <v>19735</v>
      </c>
      <c r="H278" s="85" t="s">
        <v>17830</v>
      </c>
      <c r="I278" s="128">
        <v>43801</v>
      </c>
      <c r="N278" s="66" t="s">
        <v>17863</v>
      </c>
      <c r="O278" s="651">
        <v>19603.900000000001</v>
      </c>
    </row>
    <row r="279" spans="1:15" ht="12.95" hidden="1">
      <c r="A279" s="81">
        <v>43808</v>
      </c>
      <c r="B279" s="82">
        <v>39000</v>
      </c>
      <c r="C279" s="30">
        <v>62400</v>
      </c>
      <c r="D279" s="117">
        <v>0</v>
      </c>
      <c r="E279" s="116">
        <f t="shared" si="8"/>
        <v>62400</v>
      </c>
      <c r="F279" s="116">
        <f t="shared" si="9"/>
        <v>1.6</v>
      </c>
      <c r="G279" s="88" t="s">
        <v>19679</v>
      </c>
      <c r="H279" s="85" t="s">
        <v>17826</v>
      </c>
      <c r="I279" s="128">
        <v>43798</v>
      </c>
      <c r="N279" s="66" t="s">
        <v>17864</v>
      </c>
      <c r="O279" s="651">
        <v>19901.400000000001</v>
      </c>
    </row>
    <row r="280" spans="1:15" ht="12.95" hidden="1">
      <c r="A280" s="81">
        <v>43809</v>
      </c>
      <c r="B280" s="82">
        <v>27120</v>
      </c>
      <c r="C280" s="30">
        <f>15740.8*3.17075</f>
        <v>49910.141599999995</v>
      </c>
      <c r="D280" s="117">
        <v>10729.6</v>
      </c>
      <c r="E280" s="116">
        <f t="shared" si="8"/>
        <v>39180.541599999997</v>
      </c>
      <c r="F280" s="116">
        <f t="shared" si="9"/>
        <v>1.4447102359882005</v>
      </c>
      <c r="G280" s="88" t="s">
        <v>19661</v>
      </c>
      <c r="H280" s="85" t="s">
        <v>17836</v>
      </c>
      <c r="I280" s="128">
        <v>43803</v>
      </c>
      <c r="N280" s="66" t="s">
        <v>17865</v>
      </c>
      <c r="O280" s="651">
        <v>0</v>
      </c>
    </row>
    <row r="281" spans="1:15" ht="12.95" hidden="1">
      <c r="A281" s="86">
        <v>43810</v>
      </c>
      <c r="B281" s="82">
        <v>2328</v>
      </c>
      <c r="C281" s="83">
        <v>4063.92</v>
      </c>
      <c r="D281" s="117">
        <v>0</v>
      </c>
      <c r="E281" s="116">
        <f t="shared" si="8"/>
        <v>4063.92</v>
      </c>
      <c r="F281" s="116">
        <f t="shared" si="9"/>
        <v>1.7456701030927835</v>
      </c>
      <c r="G281" s="88" t="s">
        <v>19736</v>
      </c>
      <c r="H281" s="85" t="s">
        <v>17840</v>
      </c>
      <c r="I281" s="129">
        <v>43804</v>
      </c>
      <c r="N281" s="66" t="s">
        <v>17866</v>
      </c>
      <c r="O281" s="651">
        <v>0</v>
      </c>
    </row>
    <row r="282" spans="1:15" ht="12.95" hidden="1">
      <c r="A282" s="86">
        <v>43810</v>
      </c>
      <c r="B282" s="87">
        <v>300000</v>
      </c>
      <c r="C282" s="83">
        <f>153000*2.8558</f>
        <v>436937.39999999997</v>
      </c>
      <c r="D282" s="117">
        <v>0</v>
      </c>
      <c r="E282" s="116">
        <f t="shared" si="8"/>
        <v>436937.39999999997</v>
      </c>
      <c r="F282" s="116">
        <f t="shared" si="9"/>
        <v>1.4564579999999998</v>
      </c>
      <c r="G282" s="88" t="s">
        <v>19731</v>
      </c>
      <c r="H282" s="85" t="s">
        <v>17841</v>
      </c>
      <c r="I282" s="129">
        <v>43804</v>
      </c>
      <c r="N282" s="66" t="s">
        <v>17868</v>
      </c>
      <c r="O282" s="651">
        <v>0</v>
      </c>
    </row>
    <row r="283" spans="1:15" ht="12.95" hidden="1">
      <c r="A283" s="86">
        <v>43812</v>
      </c>
      <c r="B283" s="82">
        <v>220080</v>
      </c>
      <c r="C283" s="83">
        <v>294907.2</v>
      </c>
      <c r="D283" s="117">
        <v>0</v>
      </c>
      <c r="E283" s="116">
        <f t="shared" si="8"/>
        <v>294907.2</v>
      </c>
      <c r="F283" s="116">
        <f t="shared" si="9"/>
        <v>1.34</v>
      </c>
      <c r="G283" s="88" t="s">
        <v>19647</v>
      </c>
      <c r="H283" s="85" t="s">
        <v>17842</v>
      </c>
      <c r="I283" s="129">
        <v>43805</v>
      </c>
      <c r="N283" s="66" t="s">
        <v>17870</v>
      </c>
      <c r="O283" s="651">
        <v>10688.11</v>
      </c>
    </row>
    <row r="284" spans="1:15" ht="12.95" hidden="1">
      <c r="A284" s="86">
        <v>43812</v>
      </c>
      <c r="B284" s="82">
        <v>26000</v>
      </c>
      <c r="C284" s="83">
        <f>14088*2.8558</f>
        <v>40232.510399999999</v>
      </c>
      <c r="D284" s="117">
        <v>7226.8050000000003</v>
      </c>
      <c r="E284" s="116">
        <f t="shared" si="8"/>
        <v>33005.705399999999</v>
      </c>
      <c r="F284" s="116">
        <f t="shared" si="9"/>
        <v>1.2694502076923075</v>
      </c>
      <c r="G284" s="88" t="s">
        <v>19662</v>
      </c>
      <c r="H284" s="85" t="s">
        <v>17834</v>
      </c>
      <c r="I284" s="129">
        <v>43803</v>
      </c>
      <c r="N284" s="66" t="s">
        <v>17872</v>
      </c>
      <c r="O284" s="651">
        <v>10688.11</v>
      </c>
    </row>
    <row r="285" spans="1:15" ht="12.95" hidden="1">
      <c r="A285" s="86">
        <v>43813</v>
      </c>
      <c r="B285" s="82">
        <v>60000</v>
      </c>
      <c r="C285" s="83">
        <f>33900*3.17075</f>
        <v>107488.425</v>
      </c>
      <c r="D285" s="117">
        <v>30542.564999999999</v>
      </c>
      <c r="E285" s="116">
        <f t="shared" si="8"/>
        <v>76945.86</v>
      </c>
      <c r="F285" s="116">
        <f t="shared" si="9"/>
        <v>1.2824310000000001</v>
      </c>
      <c r="G285" s="88" t="s">
        <v>19651</v>
      </c>
      <c r="H285" s="85" t="s">
        <v>17832</v>
      </c>
      <c r="I285" s="129">
        <v>43803</v>
      </c>
      <c r="N285" s="66" t="s">
        <v>17874</v>
      </c>
      <c r="O285" s="651">
        <v>1688.694</v>
      </c>
    </row>
    <row r="286" spans="1:15" ht="12.95" hidden="1">
      <c r="A286" s="86">
        <v>43815</v>
      </c>
      <c r="B286" s="82">
        <v>26000</v>
      </c>
      <c r="C286" s="83">
        <v>36650</v>
      </c>
      <c r="D286" s="117">
        <v>0</v>
      </c>
      <c r="E286" s="116">
        <f t="shared" si="8"/>
        <v>36650</v>
      </c>
      <c r="F286" s="116">
        <f t="shared" si="9"/>
        <v>1.4096153846153847</v>
      </c>
      <c r="G286" s="88" t="s">
        <v>19647</v>
      </c>
      <c r="H286" s="85" t="s">
        <v>17844</v>
      </c>
      <c r="I286" s="129">
        <v>43805</v>
      </c>
      <c r="N286" s="66" t="s">
        <v>17876</v>
      </c>
      <c r="O286" s="651">
        <v>1032.3399999999999</v>
      </c>
    </row>
    <row r="287" spans="1:15" ht="12.95" hidden="1">
      <c r="A287" s="86">
        <v>43817</v>
      </c>
      <c r="B287" s="82">
        <v>17500</v>
      </c>
      <c r="C287" s="83">
        <f>21400*2.8416</f>
        <v>60810.240000000005</v>
      </c>
      <c r="D287" s="127">
        <v>22764.5</v>
      </c>
      <c r="E287" s="116">
        <f t="shared" si="8"/>
        <v>38045.740000000005</v>
      </c>
      <c r="F287" s="116">
        <f t="shared" si="9"/>
        <v>2.174042285714286</v>
      </c>
      <c r="G287" s="88" t="s">
        <v>19653</v>
      </c>
      <c r="H287" s="85" t="s">
        <v>17846</v>
      </c>
      <c r="I287" s="129">
        <v>43806</v>
      </c>
      <c r="N287" s="66" t="s">
        <v>17877</v>
      </c>
      <c r="O287" s="651">
        <v>0</v>
      </c>
    </row>
    <row r="288" spans="1:15" ht="12.95" hidden="1">
      <c r="A288" s="86">
        <v>43818</v>
      </c>
      <c r="B288" s="87">
        <v>4270</v>
      </c>
      <c r="C288" s="30">
        <v>16771.400000000001</v>
      </c>
      <c r="D288" s="117">
        <v>0</v>
      </c>
      <c r="E288" s="116">
        <f t="shared" si="8"/>
        <v>16771.400000000001</v>
      </c>
      <c r="F288" s="116">
        <f t="shared" si="9"/>
        <v>3.9277283372365344</v>
      </c>
      <c r="G288" s="88" t="s">
        <v>19737</v>
      </c>
      <c r="H288" s="85" t="s">
        <v>17850</v>
      </c>
      <c r="I288" s="130">
        <v>43815</v>
      </c>
      <c r="N288" s="66" t="s">
        <v>17878</v>
      </c>
      <c r="O288" s="651">
        <v>4550.0550000000003</v>
      </c>
    </row>
    <row r="289" spans="1:15" ht="12.95" hidden="1">
      <c r="A289" s="86">
        <v>43818</v>
      </c>
      <c r="B289" s="124">
        <v>24789.599999999999</v>
      </c>
      <c r="C289" s="30">
        <v>43108.008000000002</v>
      </c>
      <c r="D289" s="117">
        <v>0</v>
      </c>
      <c r="E289" s="116">
        <f t="shared" si="8"/>
        <v>43108.008000000002</v>
      </c>
      <c r="F289" s="116">
        <f t="shared" si="9"/>
        <v>1.7389553683802887</v>
      </c>
      <c r="G289" s="88" t="s">
        <v>19738</v>
      </c>
      <c r="H289" s="85" t="s">
        <v>17851</v>
      </c>
      <c r="I289" s="101">
        <v>43815</v>
      </c>
      <c r="N289" s="66" t="s">
        <v>17880</v>
      </c>
      <c r="O289" s="651">
        <v>0</v>
      </c>
    </row>
    <row r="290" spans="1:15" ht="12.95" hidden="1">
      <c r="A290" s="86">
        <v>43822</v>
      </c>
      <c r="B290" s="87">
        <v>18000</v>
      </c>
      <c r="C290" s="30">
        <v>29160</v>
      </c>
      <c r="D290" s="117">
        <v>0</v>
      </c>
      <c r="E290" s="116">
        <f t="shared" si="8"/>
        <v>29160</v>
      </c>
      <c r="F290" s="116">
        <f t="shared" si="9"/>
        <v>1.62</v>
      </c>
      <c r="G290" s="88" t="s">
        <v>19655</v>
      </c>
      <c r="H290" s="85" t="s">
        <v>17853</v>
      </c>
      <c r="I290" s="101">
        <v>43815</v>
      </c>
      <c r="N290" s="66" t="s">
        <v>17882</v>
      </c>
      <c r="O290" s="651">
        <v>0</v>
      </c>
    </row>
    <row r="291" spans="1:15" ht="12.95" hidden="1">
      <c r="A291" s="86">
        <v>43823</v>
      </c>
      <c r="B291" s="124">
        <v>20000</v>
      </c>
      <c r="C291" s="83">
        <f>13300*2.8416</f>
        <v>37793.279999999999</v>
      </c>
      <c r="D291" s="117">
        <v>3947.5259999999998</v>
      </c>
      <c r="E291" s="116">
        <f t="shared" si="8"/>
        <v>33845.754000000001</v>
      </c>
      <c r="F291" s="116">
        <f t="shared" si="9"/>
        <v>1.6922877000000001</v>
      </c>
      <c r="G291" s="88" t="s">
        <v>19739</v>
      </c>
      <c r="H291" s="85" t="s">
        <v>17828</v>
      </c>
      <c r="I291" s="101">
        <v>43801</v>
      </c>
      <c r="N291" s="66" t="s">
        <v>17883</v>
      </c>
      <c r="O291" s="651">
        <v>0</v>
      </c>
    </row>
    <row r="292" spans="1:15" ht="12.95" hidden="1">
      <c r="A292" s="86">
        <v>43823</v>
      </c>
      <c r="B292" s="124">
        <v>27336</v>
      </c>
      <c r="C292" s="83">
        <f>15846.64*3.1659</f>
        <v>50168.877575999999</v>
      </c>
      <c r="D292" s="127">
        <v>10729.6</v>
      </c>
      <c r="E292" s="116">
        <f t="shared" si="8"/>
        <v>39439.277576</v>
      </c>
      <c r="F292" s="116">
        <f t="shared" si="9"/>
        <v>1.4427596420836992</v>
      </c>
      <c r="G292" s="88" t="s">
        <v>19740</v>
      </c>
      <c r="H292" s="85" t="s">
        <v>17857</v>
      </c>
      <c r="I292" s="101">
        <v>43818</v>
      </c>
      <c r="N292" s="66" t="s">
        <v>17885</v>
      </c>
      <c r="O292" s="651">
        <v>0</v>
      </c>
    </row>
    <row r="293" spans="1:15" ht="12.95" hidden="1">
      <c r="A293" s="86">
        <v>43823</v>
      </c>
      <c r="B293" s="124">
        <v>26000</v>
      </c>
      <c r="C293" s="83">
        <v>36800</v>
      </c>
      <c r="D293" s="117">
        <v>0</v>
      </c>
      <c r="E293" s="116">
        <f t="shared" si="8"/>
        <v>36800</v>
      </c>
      <c r="F293" s="116">
        <f t="shared" si="9"/>
        <v>1.4153846153846155</v>
      </c>
      <c r="G293" s="88" t="s">
        <v>19656</v>
      </c>
      <c r="H293" s="85" t="s">
        <v>17856</v>
      </c>
      <c r="I293" s="101">
        <v>43818</v>
      </c>
      <c r="N293" s="66" t="s">
        <v>17886</v>
      </c>
      <c r="O293" s="651">
        <v>0</v>
      </c>
    </row>
    <row r="294" spans="1:15" ht="12.95" hidden="1">
      <c r="A294" s="86">
        <v>43824</v>
      </c>
      <c r="B294" s="124">
        <v>136396</v>
      </c>
      <c r="C294" s="83">
        <f>80948.58*2.83065</f>
        <v>229137.097977</v>
      </c>
      <c r="D294" s="117">
        <v>41549.184999999998</v>
      </c>
      <c r="E294" s="116">
        <f t="shared" si="8"/>
        <v>187587.912977</v>
      </c>
      <c r="F294" s="116">
        <f t="shared" si="9"/>
        <v>1.3753182862913869</v>
      </c>
      <c r="G294" s="88" t="s">
        <v>19662</v>
      </c>
      <c r="H294" s="85" t="s">
        <v>17859</v>
      </c>
      <c r="I294" s="101">
        <v>43819</v>
      </c>
      <c r="N294" s="66" t="s">
        <v>17888</v>
      </c>
      <c r="O294" s="651">
        <v>0</v>
      </c>
    </row>
    <row r="295" spans="1:15" ht="12.95" hidden="1">
      <c r="A295" s="86">
        <v>43827</v>
      </c>
      <c r="B295" s="124">
        <v>274080</v>
      </c>
      <c r="C295" s="83">
        <f>143170.8*2.8469</f>
        <v>407592.95052000001</v>
      </c>
      <c r="D295" s="117">
        <v>0</v>
      </c>
      <c r="E295" s="116">
        <f t="shared" si="8"/>
        <v>407592.95052000001</v>
      </c>
      <c r="F295" s="116">
        <f t="shared" si="9"/>
        <v>1.4871313139229423</v>
      </c>
      <c r="G295" s="88" t="s">
        <v>19688</v>
      </c>
      <c r="H295" s="85" t="s">
        <v>17849</v>
      </c>
      <c r="I295" s="101">
        <v>43815</v>
      </c>
      <c r="N295" s="66" t="s">
        <v>17890</v>
      </c>
      <c r="O295" s="651">
        <v>0</v>
      </c>
    </row>
    <row r="296" spans="1:15" ht="12.95" hidden="1">
      <c r="A296" s="86">
        <v>43826</v>
      </c>
      <c r="B296" s="124">
        <v>12772.4</v>
      </c>
      <c r="C296" s="30">
        <v>22221.752</v>
      </c>
      <c r="D296" s="117">
        <v>0</v>
      </c>
      <c r="E296" s="116">
        <f t="shared" si="8"/>
        <v>22221.752</v>
      </c>
      <c r="F296" s="116">
        <f t="shared" si="9"/>
        <v>1.7398258745419812</v>
      </c>
      <c r="G296" s="88" t="s">
        <v>19666</v>
      </c>
      <c r="H296" s="85" t="s">
        <v>17838</v>
      </c>
      <c r="I296" s="101">
        <v>43804</v>
      </c>
      <c r="N296" s="66" t="s">
        <v>17892</v>
      </c>
      <c r="O296" s="651">
        <v>1414.48</v>
      </c>
    </row>
    <row r="297" spans="1:15" ht="12.95" hidden="1">
      <c r="A297" s="86">
        <v>43827</v>
      </c>
      <c r="B297" s="124">
        <v>108000</v>
      </c>
      <c r="C297" s="30">
        <f>46440*3.1379</f>
        <v>145724.076</v>
      </c>
      <c r="D297" s="127">
        <v>17020.86</v>
      </c>
      <c r="E297" s="116">
        <f t="shared" si="8"/>
        <v>128703.216</v>
      </c>
      <c r="F297" s="116">
        <f t="shared" si="9"/>
        <v>1.1916964444444444</v>
      </c>
      <c r="G297" s="88" t="s">
        <v>19722</v>
      </c>
      <c r="H297" s="85" t="s">
        <v>17860</v>
      </c>
      <c r="I297" s="101">
        <v>43819</v>
      </c>
      <c r="N297" s="66" t="s">
        <v>17894</v>
      </c>
      <c r="O297" s="651">
        <v>0</v>
      </c>
    </row>
    <row r="298" spans="1:15" ht="12.95" hidden="1">
      <c r="A298" s="86">
        <v>43829</v>
      </c>
      <c r="B298" s="124">
        <v>20157.599999999999</v>
      </c>
      <c r="C298" s="30">
        <v>33461.616000000002</v>
      </c>
      <c r="D298" s="117">
        <v>0</v>
      </c>
      <c r="E298" s="116">
        <f t="shared" si="8"/>
        <v>33461.616000000002</v>
      </c>
      <c r="F298" s="116">
        <f t="shared" si="9"/>
        <v>1.6600000000000001</v>
      </c>
      <c r="G298" s="88" t="s">
        <v>19741</v>
      </c>
      <c r="H298" s="85" t="s">
        <v>17848</v>
      </c>
      <c r="I298" s="101">
        <v>43815</v>
      </c>
      <c r="N298" s="66" t="s">
        <v>17895</v>
      </c>
      <c r="O298" s="651">
        <v>101803.71799999999</v>
      </c>
    </row>
    <row r="299" spans="1:15" ht="12.95" hidden="1">
      <c r="A299" s="86">
        <v>43829</v>
      </c>
      <c r="B299" s="124">
        <v>17960</v>
      </c>
      <c r="C299" s="30">
        <f>11333.2*3.13815</f>
        <v>35565.281580000003</v>
      </c>
      <c r="D299" s="117">
        <v>3958.06</v>
      </c>
      <c r="E299" s="116">
        <f t="shared" si="8"/>
        <v>31607.221580000001</v>
      </c>
      <c r="F299" s="116">
        <f t="shared" si="9"/>
        <v>1.7598675712694878</v>
      </c>
      <c r="G299" s="88" t="s">
        <v>19686</v>
      </c>
      <c r="H299" s="85" t="s">
        <v>17855</v>
      </c>
      <c r="I299" s="101">
        <v>43817</v>
      </c>
      <c r="N299" s="66" t="s">
        <v>17896</v>
      </c>
      <c r="O299" s="651">
        <v>15075.425999999999</v>
      </c>
    </row>
    <row r="300" spans="1:15" ht="12.95" hidden="1">
      <c r="A300" s="86">
        <v>43836</v>
      </c>
      <c r="B300" s="87">
        <v>15150</v>
      </c>
      <c r="C300" s="83">
        <v>25447.5</v>
      </c>
      <c r="D300" s="117">
        <v>0</v>
      </c>
      <c r="E300" s="116">
        <f t="shared" si="8"/>
        <v>25447.5</v>
      </c>
      <c r="F300" s="116">
        <f t="shared" si="9"/>
        <v>1.6797029702970296</v>
      </c>
      <c r="G300" s="88" t="s">
        <v>19732</v>
      </c>
      <c r="H300" s="85" t="s">
        <v>17865</v>
      </c>
      <c r="I300" s="101">
        <v>43832</v>
      </c>
      <c r="N300" s="66" t="s">
        <v>17898</v>
      </c>
      <c r="O300" s="651">
        <v>61743.199999999997</v>
      </c>
    </row>
    <row r="301" spans="1:15" ht="12.95" hidden="1">
      <c r="A301" s="86">
        <v>43837</v>
      </c>
      <c r="B301" s="87">
        <v>21600</v>
      </c>
      <c r="C301" s="30">
        <f>13152*3.1332</f>
        <v>41207.846400000002</v>
      </c>
      <c r="D301" s="117">
        <v>10688.11</v>
      </c>
      <c r="E301" s="116">
        <f t="shared" si="8"/>
        <v>30519.736400000002</v>
      </c>
      <c r="F301" s="116">
        <f t="shared" si="9"/>
        <v>1.4129507592592594</v>
      </c>
      <c r="G301" s="88" t="s">
        <v>19661</v>
      </c>
      <c r="H301" s="85" t="s">
        <v>17870</v>
      </c>
      <c r="I301" s="101">
        <v>43832</v>
      </c>
      <c r="N301" s="66" t="s">
        <v>17899</v>
      </c>
      <c r="O301" s="651">
        <v>19306.400000000001</v>
      </c>
    </row>
    <row r="302" spans="1:15" ht="12.95" hidden="1">
      <c r="A302" s="86">
        <v>43837</v>
      </c>
      <c r="B302" s="87">
        <v>21600</v>
      </c>
      <c r="C302" s="30">
        <f>13152*3.1332</f>
        <v>41207.846400000002</v>
      </c>
      <c r="D302" s="117">
        <v>10688.11</v>
      </c>
      <c r="E302" s="116">
        <f t="shared" si="8"/>
        <v>30519.736400000002</v>
      </c>
      <c r="F302" s="116">
        <f t="shared" si="9"/>
        <v>1.4129507592592594</v>
      </c>
      <c r="G302" s="88" t="s">
        <v>19661</v>
      </c>
      <c r="H302" s="85" t="s">
        <v>17872</v>
      </c>
      <c r="I302" s="101">
        <v>43832</v>
      </c>
      <c r="N302" s="66" t="s">
        <v>17900</v>
      </c>
      <c r="O302" s="651">
        <v>19102.019</v>
      </c>
    </row>
    <row r="303" spans="1:15" ht="12.95" hidden="1">
      <c r="A303" s="86">
        <v>43838</v>
      </c>
      <c r="B303" s="87">
        <v>108000</v>
      </c>
      <c r="C303" s="83">
        <f>46440*3.1366</f>
        <v>145663.704</v>
      </c>
      <c r="D303" s="117">
        <v>19901.400000000001</v>
      </c>
      <c r="E303" s="116">
        <f t="shared" si="8"/>
        <v>125762.304</v>
      </c>
      <c r="F303" s="116">
        <f t="shared" si="9"/>
        <v>1.1644657777777778</v>
      </c>
      <c r="G303" s="88" t="s">
        <v>19722</v>
      </c>
      <c r="H303" s="85" t="s">
        <v>17861</v>
      </c>
      <c r="I303" s="101">
        <v>43832</v>
      </c>
      <c r="N303" s="66" t="s">
        <v>17901</v>
      </c>
      <c r="O303" s="651">
        <v>19102.019</v>
      </c>
    </row>
    <row r="304" spans="1:15" ht="12.95" hidden="1">
      <c r="A304" s="86">
        <v>43839</v>
      </c>
      <c r="B304" s="87">
        <v>108000</v>
      </c>
      <c r="C304" s="83">
        <f>46440*3.1344</f>
        <v>145561.53599999999</v>
      </c>
      <c r="D304" s="117">
        <v>19306.400000000001</v>
      </c>
      <c r="E304" s="116">
        <f t="shared" si="8"/>
        <v>126255.136</v>
      </c>
      <c r="F304" s="116">
        <f t="shared" si="9"/>
        <v>1.1690290370370371</v>
      </c>
      <c r="G304" s="88" t="s">
        <v>19722</v>
      </c>
      <c r="H304" s="85" t="s">
        <v>17862</v>
      </c>
      <c r="I304" s="101">
        <v>43832</v>
      </c>
      <c r="N304" s="66" t="s">
        <v>17902</v>
      </c>
      <c r="O304" s="651">
        <v>0</v>
      </c>
    </row>
    <row r="305" spans="1:15" ht="12.95" hidden="1">
      <c r="A305" s="86">
        <v>43840</v>
      </c>
      <c r="B305" s="87">
        <v>108000</v>
      </c>
      <c r="C305" s="83">
        <f>46440*3.13455</f>
        <v>145568.50200000001</v>
      </c>
      <c r="D305" s="117">
        <v>19603.900000000001</v>
      </c>
      <c r="E305" s="116">
        <f t="shared" si="8"/>
        <v>125964.60200000001</v>
      </c>
      <c r="F305" s="116">
        <f t="shared" si="9"/>
        <v>1.1663389074074075</v>
      </c>
      <c r="G305" s="88" t="s">
        <v>19722</v>
      </c>
      <c r="H305" s="85" t="s">
        <v>17863</v>
      </c>
      <c r="I305" s="101">
        <v>43832</v>
      </c>
      <c r="N305" s="66" t="s">
        <v>17903</v>
      </c>
      <c r="O305" s="651">
        <v>4407.3599999999997</v>
      </c>
    </row>
    <row r="306" spans="1:15" ht="12.95" hidden="1">
      <c r="A306" s="86">
        <v>43840</v>
      </c>
      <c r="B306" s="124">
        <v>3600</v>
      </c>
      <c r="C306" s="83">
        <f>2237*2.81975</f>
        <v>6307.7807499999999</v>
      </c>
      <c r="D306" s="117">
        <v>1032.3399999999999</v>
      </c>
      <c r="E306" s="116">
        <f t="shared" si="8"/>
        <v>5275.4407499999998</v>
      </c>
      <c r="F306" s="116">
        <f t="shared" si="9"/>
        <v>1.4654002083333333</v>
      </c>
      <c r="G306" s="88" t="s">
        <v>19742</v>
      </c>
      <c r="H306" s="85" t="s">
        <v>17876</v>
      </c>
      <c r="I306" s="101">
        <v>43832</v>
      </c>
      <c r="N306" s="66" t="s">
        <v>17905</v>
      </c>
      <c r="O306" s="651">
        <v>11809.34</v>
      </c>
    </row>
    <row r="307" spans="1:15" ht="12.95" hidden="1">
      <c r="A307" s="86">
        <v>43841</v>
      </c>
      <c r="B307" s="87">
        <v>108000</v>
      </c>
      <c r="C307" s="83">
        <f>46440*3.13455</f>
        <v>145568.50200000001</v>
      </c>
      <c r="D307" s="117">
        <v>19901.400000000001</v>
      </c>
      <c r="E307" s="116">
        <f t="shared" si="8"/>
        <v>125667.10200000001</v>
      </c>
      <c r="F307" s="116">
        <f t="shared" si="9"/>
        <v>1.1635842777777778</v>
      </c>
      <c r="G307" s="88" t="s">
        <v>19722</v>
      </c>
      <c r="H307" s="85" t="s">
        <v>17864</v>
      </c>
      <c r="I307" s="101">
        <v>43832</v>
      </c>
      <c r="N307" s="66" t="s">
        <v>17907</v>
      </c>
      <c r="O307" s="651">
        <v>1693.335</v>
      </c>
    </row>
    <row r="308" spans="1:15" ht="12.95" hidden="1">
      <c r="A308" s="86">
        <v>43841</v>
      </c>
      <c r="B308" s="87">
        <v>20000</v>
      </c>
      <c r="C308" s="30">
        <f>13800*2.81975</f>
        <v>38912.550000000003</v>
      </c>
      <c r="D308" s="117">
        <v>4550.0550000000003</v>
      </c>
      <c r="E308" s="116">
        <f t="shared" si="8"/>
        <v>34362.495000000003</v>
      </c>
      <c r="F308" s="116">
        <f t="shared" si="9"/>
        <v>1.7181247500000001</v>
      </c>
      <c r="G308" s="88" t="s">
        <v>19743</v>
      </c>
      <c r="H308" s="85" t="s">
        <v>17878</v>
      </c>
      <c r="I308" s="101">
        <v>43832</v>
      </c>
      <c r="N308" s="66" t="s">
        <v>17909</v>
      </c>
      <c r="O308" s="651">
        <v>0</v>
      </c>
    </row>
    <row r="309" spans="1:15" ht="12.95" hidden="1">
      <c r="A309" s="86">
        <v>43843</v>
      </c>
      <c r="B309" s="87">
        <v>19200</v>
      </c>
      <c r="C309" s="30">
        <v>30144</v>
      </c>
      <c r="D309" s="117">
        <v>0</v>
      </c>
      <c r="E309" s="116">
        <f t="shared" si="8"/>
        <v>30144</v>
      </c>
      <c r="F309" s="116">
        <f t="shared" si="9"/>
        <v>1.57</v>
      </c>
      <c r="G309" s="88" t="s">
        <v>19655</v>
      </c>
      <c r="H309" s="85" t="s">
        <v>17877</v>
      </c>
      <c r="I309" s="101">
        <v>43832</v>
      </c>
      <c r="N309" s="66" t="s">
        <v>17910</v>
      </c>
      <c r="O309" s="651">
        <v>0</v>
      </c>
    </row>
    <row r="310" spans="1:15" ht="12.95" hidden="1">
      <c r="A310" s="86">
        <v>43843</v>
      </c>
      <c r="B310" s="87">
        <v>21600</v>
      </c>
      <c r="C310" s="30">
        <v>33480</v>
      </c>
      <c r="D310" s="117">
        <v>0</v>
      </c>
      <c r="E310" s="116">
        <f t="shared" si="8"/>
        <v>33480</v>
      </c>
      <c r="F310" s="116">
        <f t="shared" si="9"/>
        <v>1.55</v>
      </c>
      <c r="G310" s="88" t="s">
        <v>19655</v>
      </c>
      <c r="H310" s="85" t="s">
        <v>17866</v>
      </c>
      <c r="I310" s="101">
        <v>43832</v>
      </c>
      <c r="N310" s="66" t="s">
        <v>17911</v>
      </c>
      <c r="O310" s="651">
        <v>0</v>
      </c>
    </row>
    <row r="311" spans="1:15" ht="12.95" hidden="1">
      <c r="A311" s="86">
        <v>43843</v>
      </c>
      <c r="B311" s="87">
        <v>35250</v>
      </c>
      <c r="C311" s="30">
        <f>41602.5*2.82675</f>
        <v>117599.86687500001</v>
      </c>
      <c r="D311" s="117">
        <v>0</v>
      </c>
      <c r="E311" s="116">
        <f t="shared" si="8"/>
        <v>117599.86687500001</v>
      </c>
      <c r="F311" s="116">
        <f t="shared" si="9"/>
        <v>3.3361664361702128</v>
      </c>
      <c r="G311" s="88" t="s">
        <v>19688</v>
      </c>
      <c r="H311" s="85" t="s">
        <v>17882</v>
      </c>
      <c r="I311" s="101">
        <v>43839</v>
      </c>
      <c r="N311" s="66" t="s">
        <v>17912</v>
      </c>
      <c r="O311" s="651">
        <v>0</v>
      </c>
    </row>
    <row r="312" spans="1:15" ht="12.95" hidden="1">
      <c r="A312" s="86">
        <v>43845</v>
      </c>
      <c r="B312" s="87">
        <v>20345</v>
      </c>
      <c r="C312" s="30">
        <f>24798.35*2.8212</f>
        <v>69961.105020000003</v>
      </c>
      <c r="D312" s="127">
        <v>1688.694</v>
      </c>
      <c r="E312" s="116">
        <f t="shared" si="8"/>
        <v>68272.41102</v>
      </c>
      <c r="F312" s="116">
        <f t="shared" si="9"/>
        <v>3.3557341371344309</v>
      </c>
      <c r="G312" s="88" t="s">
        <v>19653</v>
      </c>
      <c r="H312" s="85" t="s">
        <v>17874</v>
      </c>
      <c r="I312" s="101">
        <v>43832</v>
      </c>
      <c r="N312" s="66" t="s">
        <v>17914</v>
      </c>
      <c r="O312" s="651">
        <v>0</v>
      </c>
    </row>
    <row r="313" spans="1:15" ht="12.95" hidden="1">
      <c r="A313" s="86">
        <v>43846</v>
      </c>
      <c r="B313" s="87">
        <v>33600</v>
      </c>
      <c r="C313" s="30">
        <v>57120</v>
      </c>
      <c r="D313" s="117">
        <v>0</v>
      </c>
      <c r="E313" s="116">
        <f t="shared" si="8"/>
        <v>57120</v>
      </c>
      <c r="F313" s="116">
        <f t="shared" si="9"/>
        <v>1.7</v>
      </c>
      <c r="G313" s="88" t="s">
        <v>19744</v>
      </c>
      <c r="H313" s="85" t="s">
        <v>17886</v>
      </c>
      <c r="I313" s="101">
        <v>43840</v>
      </c>
      <c r="N313" s="66" t="s">
        <v>17915</v>
      </c>
      <c r="O313" s="651">
        <v>0</v>
      </c>
    </row>
    <row r="314" spans="1:15" ht="12.95" hidden="1">
      <c r="A314" s="86">
        <v>43847</v>
      </c>
      <c r="B314" s="87">
        <v>28000</v>
      </c>
      <c r="C314" s="30">
        <v>36400</v>
      </c>
      <c r="D314" s="117">
        <v>0</v>
      </c>
      <c r="E314" s="116">
        <f t="shared" si="8"/>
        <v>36400</v>
      </c>
      <c r="F314" s="116">
        <f t="shared" si="9"/>
        <v>1.3</v>
      </c>
      <c r="G314" s="88" t="s">
        <v>17224</v>
      </c>
      <c r="H314" s="85" t="s">
        <v>17880</v>
      </c>
      <c r="I314" s="101">
        <v>43836</v>
      </c>
      <c r="N314" s="66" t="s">
        <v>17916</v>
      </c>
      <c r="O314" s="651">
        <v>0</v>
      </c>
    </row>
    <row r="315" spans="1:15" ht="12.95" hidden="1">
      <c r="A315" s="86">
        <v>43847</v>
      </c>
      <c r="B315" s="87">
        <v>2752</v>
      </c>
      <c r="C315" s="30">
        <v>5596.2</v>
      </c>
      <c r="D315" s="117">
        <v>0</v>
      </c>
      <c r="E315" s="116">
        <f t="shared" si="8"/>
        <v>5596.2</v>
      </c>
      <c r="F315" s="116">
        <f t="shared" si="9"/>
        <v>2.0335029069767443</v>
      </c>
      <c r="G315" s="88" t="s">
        <v>17227</v>
      </c>
      <c r="H315" s="85" t="s">
        <v>17890</v>
      </c>
      <c r="I315" s="101">
        <v>43845</v>
      </c>
      <c r="N315" s="66" t="s">
        <v>17918</v>
      </c>
      <c r="O315" s="651">
        <v>0</v>
      </c>
    </row>
    <row r="316" spans="1:15" ht="12.95" hidden="1">
      <c r="A316" s="86">
        <v>43851</v>
      </c>
      <c r="B316" s="87">
        <v>280000</v>
      </c>
      <c r="C316" s="30">
        <v>347200</v>
      </c>
      <c r="D316" s="117">
        <v>0</v>
      </c>
      <c r="E316" s="116">
        <f t="shared" si="8"/>
        <v>347200</v>
      </c>
      <c r="F316" s="116">
        <f t="shared" si="9"/>
        <v>1.24</v>
      </c>
      <c r="G316" s="88" t="s">
        <v>19652</v>
      </c>
      <c r="H316" s="85" t="s">
        <v>17883</v>
      </c>
      <c r="I316" s="101">
        <v>43839</v>
      </c>
      <c r="N316" s="66" t="s">
        <v>17919</v>
      </c>
      <c r="O316" s="651">
        <v>0</v>
      </c>
    </row>
    <row r="317" spans="1:15" ht="12.95" hidden="1">
      <c r="A317" s="86">
        <v>43851</v>
      </c>
      <c r="B317" s="87">
        <v>19500</v>
      </c>
      <c r="C317" s="30">
        <v>31590</v>
      </c>
      <c r="D317" s="117">
        <v>0</v>
      </c>
      <c r="E317" s="116">
        <f t="shared" si="8"/>
        <v>31590</v>
      </c>
      <c r="F317" s="116">
        <f t="shared" si="9"/>
        <v>1.62</v>
      </c>
      <c r="G317" s="88" t="s">
        <v>19679</v>
      </c>
      <c r="H317" s="85" t="s">
        <v>17868</v>
      </c>
      <c r="I317" s="101">
        <v>43832</v>
      </c>
      <c r="N317" s="66" t="s">
        <v>17920</v>
      </c>
      <c r="O317" s="651">
        <v>0</v>
      </c>
    </row>
    <row r="318" spans="1:15" ht="12.95" hidden="1">
      <c r="A318" s="86">
        <v>43852</v>
      </c>
      <c r="B318" s="87">
        <v>27780</v>
      </c>
      <c r="C318" s="30">
        <f>15295.6*2.82385</f>
        <v>43192.480060000002</v>
      </c>
      <c r="D318" s="117">
        <v>1414.48</v>
      </c>
      <c r="E318" s="116">
        <f t="shared" si="8"/>
        <v>41778.000059999998</v>
      </c>
      <c r="F318" s="116">
        <f t="shared" si="9"/>
        <v>1.5038876911447083</v>
      </c>
      <c r="G318" s="88" t="s">
        <v>19745</v>
      </c>
      <c r="H318" s="85" t="s">
        <v>17892</v>
      </c>
      <c r="I318" s="101">
        <v>43846</v>
      </c>
      <c r="N318" s="66" t="s">
        <v>17922</v>
      </c>
      <c r="O318" s="651">
        <v>4410.37</v>
      </c>
    </row>
    <row r="319" spans="1:15" ht="12.95" hidden="1">
      <c r="A319" s="86">
        <v>43854</v>
      </c>
      <c r="B319" s="87">
        <v>20000</v>
      </c>
      <c r="C319" s="30">
        <v>31600</v>
      </c>
      <c r="D319" s="117">
        <v>0</v>
      </c>
      <c r="E319" s="116">
        <f t="shared" si="8"/>
        <v>31600</v>
      </c>
      <c r="F319" s="116">
        <f t="shared" si="9"/>
        <v>1.58</v>
      </c>
      <c r="G319" s="88" t="s">
        <v>19746</v>
      </c>
      <c r="H319" s="85" t="s">
        <v>17894</v>
      </c>
      <c r="I319" s="101">
        <v>43850</v>
      </c>
      <c r="N319" s="66" t="s">
        <v>17924</v>
      </c>
      <c r="O319" s="651">
        <v>1456.11</v>
      </c>
    </row>
    <row r="320" spans="1:15" ht="12.95" hidden="1">
      <c r="A320" s="86">
        <v>43858</v>
      </c>
      <c r="B320" s="87">
        <v>244704</v>
      </c>
      <c r="C320" s="30">
        <f>124799.04*2.83045</f>
        <v>353237.44276799995</v>
      </c>
      <c r="D320" s="117">
        <v>0</v>
      </c>
      <c r="E320" s="116">
        <f t="shared" si="8"/>
        <v>353237.44276799995</v>
      </c>
      <c r="F320" s="116">
        <f t="shared" si="9"/>
        <v>1.4435294999999997</v>
      </c>
      <c r="G320" s="88" t="s">
        <v>19731</v>
      </c>
      <c r="H320" s="85" t="s">
        <v>17915</v>
      </c>
      <c r="I320" s="129">
        <v>43853</v>
      </c>
      <c r="N320" s="66" t="s">
        <v>17926</v>
      </c>
      <c r="O320" s="651">
        <v>0</v>
      </c>
    </row>
    <row r="321" spans="1:15" ht="12.95" hidden="1">
      <c r="A321" s="86">
        <v>43858</v>
      </c>
      <c r="B321" s="87">
        <v>20000</v>
      </c>
      <c r="C321" s="30">
        <f>13300*2.82665</f>
        <v>37594.445</v>
      </c>
      <c r="D321" s="117">
        <v>4407.3599999999997</v>
      </c>
      <c r="E321" s="116">
        <f t="shared" si="8"/>
        <v>33187.084999999999</v>
      </c>
      <c r="F321" s="116">
        <f t="shared" si="9"/>
        <v>1.65935425</v>
      </c>
      <c r="G321" s="88" t="s">
        <v>19747</v>
      </c>
      <c r="H321" s="85" t="s">
        <v>17903</v>
      </c>
      <c r="I321" s="101">
        <v>43852</v>
      </c>
      <c r="N321" s="66" t="s">
        <v>17927</v>
      </c>
      <c r="O321" s="651">
        <v>11038.6</v>
      </c>
    </row>
    <row r="322" spans="1:15" ht="12.95" hidden="1">
      <c r="A322" s="86">
        <v>43858</v>
      </c>
      <c r="B322" s="124">
        <v>280000</v>
      </c>
      <c r="C322" s="30">
        <v>347200</v>
      </c>
      <c r="D322" s="117">
        <v>0</v>
      </c>
      <c r="E322" s="116">
        <f t="shared" si="8"/>
        <v>347200</v>
      </c>
      <c r="F322" s="116">
        <f t="shared" si="9"/>
        <v>1.24</v>
      </c>
      <c r="G322" s="88" t="s">
        <v>19652</v>
      </c>
      <c r="H322" s="85" t="s">
        <v>17885</v>
      </c>
      <c r="I322" s="101">
        <v>43839</v>
      </c>
      <c r="N322" s="66" t="s">
        <v>17929</v>
      </c>
      <c r="O322" s="651">
        <v>0</v>
      </c>
    </row>
    <row r="323" spans="1:15" ht="12.95" hidden="1">
      <c r="A323" s="86">
        <v>43859</v>
      </c>
      <c r="B323" s="87">
        <v>22008</v>
      </c>
      <c r="C323" s="30">
        <v>33452.160000000003</v>
      </c>
      <c r="D323" s="117">
        <v>0</v>
      </c>
      <c r="E323" s="116">
        <f t="shared" si="8"/>
        <v>33452.160000000003</v>
      </c>
      <c r="F323" s="116">
        <f t="shared" si="9"/>
        <v>1.5200000000000002</v>
      </c>
      <c r="G323" s="88" t="s">
        <v>19655</v>
      </c>
      <c r="H323" s="85" t="s">
        <v>17910</v>
      </c>
      <c r="I323" s="129">
        <v>43852</v>
      </c>
      <c r="N323" s="66" t="s">
        <v>17931</v>
      </c>
      <c r="O323" s="651">
        <v>0</v>
      </c>
    </row>
    <row r="324" spans="1:15" ht="12.95" hidden="1">
      <c r="A324" s="86">
        <v>43859</v>
      </c>
      <c r="B324" s="87">
        <v>44016</v>
      </c>
      <c r="C324" s="30">
        <v>66904.320000000007</v>
      </c>
      <c r="D324" s="117">
        <v>0</v>
      </c>
      <c r="E324" s="116">
        <f t="shared" si="8"/>
        <v>66904.320000000007</v>
      </c>
      <c r="F324" s="116">
        <f t="shared" si="9"/>
        <v>1.5200000000000002</v>
      </c>
      <c r="G324" s="88" t="s">
        <v>19655</v>
      </c>
      <c r="H324" s="85" t="s">
        <v>17911</v>
      </c>
      <c r="I324" s="129">
        <v>43852</v>
      </c>
      <c r="N324" s="66" t="s">
        <v>17932</v>
      </c>
      <c r="O324" s="651">
        <v>0</v>
      </c>
    </row>
    <row r="325" spans="1:15" ht="12.95" hidden="1">
      <c r="A325" s="86">
        <v>43859</v>
      </c>
      <c r="B325" s="87">
        <v>11500</v>
      </c>
      <c r="C325" s="30">
        <f>10610*2.83225</f>
        <v>30050.172500000001</v>
      </c>
      <c r="D325" s="127">
        <v>1693.335</v>
      </c>
      <c r="E325" s="116">
        <f t="shared" si="8"/>
        <v>28356.837500000001</v>
      </c>
      <c r="F325" s="116">
        <f t="shared" si="9"/>
        <v>2.4658119565217391</v>
      </c>
      <c r="G325" s="88" t="s">
        <v>19672</v>
      </c>
      <c r="H325" s="85" t="s">
        <v>17907</v>
      </c>
      <c r="I325" s="101">
        <v>43852</v>
      </c>
      <c r="N325" s="66" t="s">
        <v>17934</v>
      </c>
      <c r="O325" s="651">
        <v>0</v>
      </c>
    </row>
    <row r="326" spans="1:15" ht="12.95" hidden="1">
      <c r="A326" s="86">
        <v>43860</v>
      </c>
      <c r="B326" s="87">
        <v>76800</v>
      </c>
      <c r="C326" s="30">
        <v>115584</v>
      </c>
      <c r="D326" s="117">
        <v>0</v>
      </c>
      <c r="E326" s="116">
        <f t="shared" si="8"/>
        <v>115584</v>
      </c>
      <c r="F326" s="116">
        <f t="shared" si="9"/>
        <v>1.5049999999999999</v>
      </c>
      <c r="G326" s="88" t="s">
        <v>19664</v>
      </c>
      <c r="H326" s="85" t="s">
        <v>17909</v>
      </c>
      <c r="I326" s="129">
        <v>43852</v>
      </c>
      <c r="N326" s="66" t="s">
        <v>17935</v>
      </c>
      <c r="O326" s="651">
        <v>0</v>
      </c>
    </row>
    <row r="327" spans="1:15" ht="12.95" hidden="1">
      <c r="A327" s="86">
        <v>43860</v>
      </c>
      <c r="B327" s="87">
        <v>154080</v>
      </c>
      <c r="C327" s="30">
        <f>79351.2*2.83215</f>
        <v>224734.50107999999</v>
      </c>
      <c r="D327" s="117">
        <v>0</v>
      </c>
      <c r="E327" s="116">
        <f t="shared" si="8"/>
        <v>224734.50107999999</v>
      </c>
      <c r="F327" s="116">
        <f t="shared" si="9"/>
        <v>1.4585572499999999</v>
      </c>
      <c r="G327" s="88" t="s">
        <v>19688</v>
      </c>
      <c r="H327" s="85" t="s">
        <v>17916</v>
      </c>
      <c r="I327" s="129">
        <v>43853</v>
      </c>
      <c r="N327" s="66" t="s">
        <v>17937</v>
      </c>
      <c r="O327" s="651">
        <v>0</v>
      </c>
    </row>
    <row r="328" spans="1:15" ht="12.95" hidden="1">
      <c r="A328" s="86">
        <v>43861</v>
      </c>
      <c r="B328" s="87">
        <v>47200</v>
      </c>
      <c r="C328" s="30">
        <v>67266</v>
      </c>
      <c r="D328" s="117">
        <v>0</v>
      </c>
      <c r="E328" s="116">
        <f t="shared" ref="E328:E391" si="10">(C328-D328)</f>
        <v>67266</v>
      </c>
      <c r="F328" s="116">
        <f t="shared" ref="F328:F391" si="11">(E328/B328)</f>
        <v>1.4251271186440677</v>
      </c>
      <c r="G328" s="88" t="s">
        <v>19647</v>
      </c>
      <c r="H328" s="85" t="s">
        <v>17912</v>
      </c>
      <c r="I328" s="129">
        <v>43853</v>
      </c>
      <c r="N328" s="66" t="s">
        <v>17938</v>
      </c>
      <c r="O328" s="651">
        <v>0</v>
      </c>
    </row>
    <row r="329" spans="1:15" ht="12.95" hidden="1">
      <c r="A329" s="86">
        <v>43861</v>
      </c>
      <c r="B329" s="87">
        <v>52000</v>
      </c>
      <c r="C329" s="30">
        <f>29215*2.83215</f>
        <v>82741.26225</v>
      </c>
      <c r="D329" s="117">
        <v>15075.425999999999</v>
      </c>
      <c r="E329" s="116">
        <f t="shared" si="10"/>
        <v>67665.836249999993</v>
      </c>
      <c r="F329" s="116">
        <f t="shared" si="11"/>
        <v>1.3012660817307691</v>
      </c>
      <c r="G329" s="88" t="s">
        <v>19662</v>
      </c>
      <c r="H329" s="85" t="s">
        <v>17896</v>
      </c>
      <c r="I329" s="101">
        <v>43852</v>
      </c>
      <c r="N329" s="66" t="s">
        <v>17940</v>
      </c>
      <c r="O329" s="651">
        <v>10269.209999999999</v>
      </c>
    </row>
    <row r="330" spans="1:15" ht="12.95" hidden="1">
      <c r="A330" s="86">
        <v>43861</v>
      </c>
      <c r="B330" s="87">
        <v>108000</v>
      </c>
      <c r="C330" s="30">
        <f>46440*3.1164</f>
        <v>144725.61600000001</v>
      </c>
      <c r="D330" s="127">
        <v>19306.400000000001</v>
      </c>
      <c r="E330" s="116">
        <f t="shared" si="10"/>
        <v>125419.21600000001</v>
      </c>
      <c r="F330" s="116">
        <f t="shared" si="11"/>
        <v>1.1612890370370372</v>
      </c>
      <c r="G330" s="88" t="s">
        <v>19722</v>
      </c>
      <c r="H330" s="85" t="s">
        <v>17899</v>
      </c>
      <c r="I330" s="101">
        <v>43852</v>
      </c>
      <c r="N330" s="66" t="s">
        <v>17942</v>
      </c>
      <c r="O330" s="651">
        <v>0</v>
      </c>
    </row>
    <row r="331" spans="1:15" ht="12.95" hidden="1">
      <c r="A331" s="86">
        <v>43866</v>
      </c>
      <c r="B331" s="87">
        <v>82800</v>
      </c>
      <c r="C331" s="30">
        <v>118440</v>
      </c>
      <c r="D331" s="117">
        <v>0</v>
      </c>
      <c r="E331" s="116">
        <f t="shared" si="10"/>
        <v>118440</v>
      </c>
      <c r="F331" s="116">
        <f t="shared" si="11"/>
        <v>1.4304347826086956</v>
      </c>
      <c r="G331" s="88" t="s">
        <v>19655</v>
      </c>
      <c r="H331" s="85" t="s">
        <v>17914</v>
      </c>
      <c r="I331" s="129">
        <v>43853</v>
      </c>
      <c r="N331" s="66" t="s">
        <v>17943</v>
      </c>
      <c r="O331" s="651">
        <v>4230.9660000000003</v>
      </c>
    </row>
    <row r="332" spans="1:15" ht="12.95" hidden="1">
      <c r="A332" s="86">
        <v>43867</v>
      </c>
      <c r="B332" s="87">
        <v>165594</v>
      </c>
      <c r="C332" s="30">
        <f>98811.47*2.81935</f>
        <v>278584.1179445</v>
      </c>
      <c r="D332" s="117">
        <v>61743.199999999997</v>
      </c>
      <c r="E332" s="116">
        <f t="shared" si="10"/>
        <v>216840.91794449999</v>
      </c>
      <c r="F332" s="116">
        <f t="shared" si="11"/>
        <v>1.3094732776821623</v>
      </c>
      <c r="G332" s="88" t="s">
        <v>19662</v>
      </c>
      <c r="H332" s="85" t="s">
        <v>17898</v>
      </c>
      <c r="I332" s="101">
        <v>43852</v>
      </c>
      <c r="N332" s="66" t="s">
        <v>17945</v>
      </c>
      <c r="O332" s="651">
        <v>4895.0600000000004</v>
      </c>
    </row>
    <row r="333" spans="1:15" ht="12.95" hidden="1">
      <c r="A333" s="86">
        <v>43868</v>
      </c>
      <c r="B333" s="87">
        <v>108000</v>
      </c>
      <c r="C333" s="30">
        <f>46440*3.1198</f>
        <v>144883.51200000002</v>
      </c>
      <c r="D333" s="117">
        <v>19102.019</v>
      </c>
      <c r="E333" s="116">
        <f t="shared" si="10"/>
        <v>125781.49300000002</v>
      </c>
      <c r="F333" s="116">
        <f t="shared" si="11"/>
        <v>1.1646434537037038</v>
      </c>
      <c r="G333" s="88" t="s">
        <v>19722</v>
      </c>
      <c r="H333" s="85" t="s">
        <v>17900</v>
      </c>
      <c r="I333" s="101">
        <v>43852</v>
      </c>
      <c r="N333" s="66" t="s">
        <v>17947</v>
      </c>
      <c r="O333" s="651">
        <v>0</v>
      </c>
    </row>
    <row r="334" spans="1:15" ht="12.95" hidden="1">
      <c r="A334" s="86">
        <v>43869</v>
      </c>
      <c r="B334" s="87">
        <v>26568</v>
      </c>
      <c r="C334" s="30">
        <f>15970.32*3.1178</f>
        <v>49792.263695999995</v>
      </c>
      <c r="D334" s="117">
        <v>11809.34</v>
      </c>
      <c r="E334" s="116">
        <f t="shared" si="10"/>
        <v>37982.923695999998</v>
      </c>
      <c r="F334" s="116">
        <f t="shared" si="11"/>
        <v>1.4296493411623004</v>
      </c>
      <c r="G334" s="88" t="s">
        <v>19661</v>
      </c>
      <c r="H334" s="85" t="s">
        <v>17905</v>
      </c>
      <c r="I334" s="101">
        <v>43852</v>
      </c>
      <c r="N334" s="66" t="s">
        <v>17948</v>
      </c>
      <c r="O334" s="651">
        <v>0</v>
      </c>
    </row>
    <row r="335" spans="1:15" ht="12.95" hidden="1">
      <c r="A335" s="86">
        <v>43869</v>
      </c>
      <c r="B335" s="87">
        <v>108000</v>
      </c>
      <c r="C335" s="30">
        <f>46440*3.1198</f>
        <v>144883.51200000002</v>
      </c>
      <c r="D335" s="117">
        <v>19102.019</v>
      </c>
      <c r="E335" s="116">
        <f t="shared" si="10"/>
        <v>125781.49300000002</v>
      </c>
      <c r="F335" s="116">
        <f t="shared" si="11"/>
        <v>1.1646434537037038</v>
      </c>
      <c r="G335" s="88" t="s">
        <v>19722</v>
      </c>
      <c r="H335" s="85" t="s">
        <v>17901</v>
      </c>
      <c r="I335" s="101">
        <v>43852</v>
      </c>
      <c r="N335" s="66" t="s">
        <v>17950</v>
      </c>
      <c r="O335" s="651">
        <v>0</v>
      </c>
    </row>
    <row r="336" spans="1:15" ht="12.95" hidden="1">
      <c r="A336" s="86">
        <v>43871</v>
      </c>
      <c r="B336" s="87">
        <v>20500</v>
      </c>
      <c r="C336" s="30">
        <v>32595</v>
      </c>
      <c r="D336" s="117">
        <v>0</v>
      </c>
      <c r="E336" s="116">
        <f t="shared" si="10"/>
        <v>32595</v>
      </c>
      <c r="F336" s="116">
        <f t="shared" si="11"/>
        <v>1.59</v>
      </c>
      <c r="G336" s="88" t="s">
        <v>19748</v>
      </c>
      <c r="H336" s="85" t="s">
        <v>17902</v>
      </c>
      <c r="I336" s="101">
        <v>43852</v>
      </c>
      <c r="N336" s="66" t="s">
        <v>17951</v>
      </c>
      <c r="O336" s="651">
        <v>0</v>
      </c>
    </row>
    <row r="337" spans="1:15" ht="12.95" hidden="1">
      <c r="A337" s="86">
        <v>43873</v>
      </c>
      <c r="B337" s="87">
        <v>21600</v>
      </c>
      <c r="C337" s="30">
        <v>33480</v>
      </c>
      <c r="D337" s="117">
        <v>0</v>
      </c>
      <c r="E337" s="116">
        <f t="shared" si="10"/>
        <v>33480</v>
      </c>
      <c r="F337" s="116">
        <f t="shared" si="11"/>
        <v>1.55</v>
      </c>
      <c r="G337" s="88" t="s">
        <v>19655</v>
      </c>
      <c r="H337" s="85" t="s">
        <v>17931</v>
      </c>
      <c r="I337" s="101">
        <v>43868</v>
      </c>
      <c r="N337" s="66" t="s">
        <v>17952</v>
      </c>
      <c r="O337" s="651">
        <v>25337.88</v>
      </c>
    </row>
    <row r="338" spans="1:15" ht="12.95" hidden="1">
      <c r="A338" s="86">
        <v>43873</v>
      </c>
      <c r="B338" s="87">
        <v>20000</v>
      </c>
      <c r="C338" s="30">
        <v>30800</v>
      </c>
      <c r="D338" s="117">
        <v>0</v>
      </c>
      <c r="E338" s="116">
        <f t="shared" si="10"/>
        <v>30800</v>
      </c>
      <c r="F338" s="116">
        <f t="shared" si="11"/>
        <v>1.54</v>
      </c>
      <c r="G338" s="88" t="s">
        <v>19656</v>
      </c>
      <c r="H338" s="85" t="s">
        <v>17919</v>
      </c>
      <c r="I338" s="101">
        <v>43866</v>
      </c>
      <c r="N338" s="66" t="s">
        <v>17953</v>
      </c>
      <c r="O338" s="651">
        <v>0</v>
      </c>
    </row>
    <row r="339" spans="1:15" ht="12.95" hidden="1">
      <c r="A339" s="86">
        <v>43875</v>
      </c>
      <c r="B339" s="87">
        <v>132048</v>
      </c>
      <c r="C339" s="30">
        <v>176944.32</v>
      </c>
      <c r="D339" s="117">
        <v>0</v>
      </c>
      <c r="E339" s="116">
        <f t="shared" si="10"/>
        <v>176944.32</v>
      </c>
      <c r="F339" s="116">
        <f t="shared" si="11"/>
        <v>1.34</v>
      </c>
      <c r="G339" s="88" t="s">
        <v>19647</v>
      </c>
      <c r="H339" s="85" t="s">
        <v>17918</v>
      </c>
      <c r="I339" s="101">
        <v>43866</v>
      </c>
      <c r="N339" s="66" t="s">
        <v>17955</v>
      </c>
      <c r="O339" s="651">
        <v>0</v>
      </c>
    </row>
    <row r="340" spans="1:15" ht="12.95" hidden="1">
      <c r="A340" s="86">
        <v>43878</v>
      </c>
      <c r="B340" s="87">
        <v>106024</v>
      </c>
      <c r="C340" s="30">
        <v>161641.48000000001</v>
      </c>
      <c r="D340" s="117">
        <v>0</v>
      </c>
      <c r="E340" s="116">
        <f t="shared" si="10"/>
        <v>161641.48000000001</v>
      </c>
      <c r="F340" s="116">
        <f t="shared" si="11"/>
        <v>1.5245744359767601</v>
      </c>
      <c r="G340" s="88" t="s">
        <v>19647</v>
      </c>
      <c r="H340" s="85" t="s">
        <v>17929</v>
      </c>
      <c r="I340" s="101">
        <v>43866</v>
      </c>
      <c r="N340" s="66" t="s">
        <v>17957</v>
      </c>
      <c r="O340" s="651">
        <v>0</v>
      </c>
    </row>
    <row r="341" spans="1:15" ht="12.95" hidden="1">
      <c r="A341" s="86">
        <v>43878</v>
      </c>
      <c r="B341" s="87">
        <v>53200</v>
      </c>
      <c r="C341" s="30">
        <f>33937*2.8663</f>
        <v>97273.623099999997</v>
      </c>
      <c r="D341" s="117">
        <v>11038.6</v>
      </c>
      <c r="E341" s="116">
        <f t="shared" si="10"/>
        <v>86235.023099999991</v>
      </c>
      <c r="F341" s="116">
        <f t="shared" si="11"/>
        <v>1.6209590808270675</v>
      </c>
      <c r="G341" s="88" t="s">
        <v>19742</v>
      </c>
      <c r="H341" s="85" t="s">
        <v>17927</v>
      </c>
      <c r="I341" s="101">
        <v>43866</v>
      </c>
      <c r="N341" s="66" t="s">
        <v>17958</v>
      </c>
      <c r="O341" s="651">
        <v>0</v>
      </c>
    </row>
    <row r="342" spans="1:15" ht="12.95" hidden="1">
      <c r="A342" s="86">
        <v>43879</v>
      </c>
      <c r="B342" s="87">
        <v>268800</v>
      </c>
      <c r="C342" s="30">
        <f>139032*2.8663</f>
        <v>398507.4216</v>
      </c>
      <c r="D342" s="117">
        <v>0</v>
      </c>
      <c r="E342" s="116">
        <f t="shared" si="10"/>
        <v>398507.4216</v>
      </c>
      <c r="F342" s="116">
        <f t="shared" si="11"/>
        <v>1.4825424910714287</v>
      </c>
      <c r="G342" s="88" t="s">
        <v>19688</v>
      </c>
      <c r="H342" s="85" t="s">
        <v>17938</v>
      </c>
      <c r="I342" s="101">
        <v>43875</v>
      </c>
      <c r="N342" s="66" t="s">
        <v>17959</v>
      </c>
      <c r="O342" s="651">
        <v>0</v>
      </c>
    </row>
    <row r="343" spans="1:15" ht="12.95" hidden="1">
      <c r="A343" s="86">
        <v>43879</v>
      </c>
      <c r="B343" s="87">
        <v>20000</v>
      </c>
      <c r="C343" s="30">
        <f>13300*2.8663</f>
        <v>38121.79</v>
      </c>
      <c r="D343" s="117">
        <v>4410.37</v>
      </c>
      <c r="E343" s="116">
        <f t="shared" si="10"/>
        <v>33711.42</v>
      </c>
      <c r="F343" s="116">
        <f t="shared" si="11"/>
        <v>1.6855709999999999</v>
      </c>
      <c r="G343" s="88" t="s">
        <v>19749</v>
      </c>
      <c r="H343" s="85" t="s">
        <v>17922</v>
      </c>
      <c r="I343" s="101">
        <v>43866</v>
      </c>
      <c r="N343" s="66" t="s">
        <v>17960</v>
      </c>
      <c r="O343" s="651">
        <v>4915</v>
      </c>
    </row>
    <row r="344" spans="1:15" ht="12.95" hidden="1">
      <c r="A344" s="86">
        <v>43879</v>
      </c>
      <c r="B344" s="87">
        <v>20000</v>
      </c>
      <c r="C344" s="30">
        <v>31600</v>
      </c>
      <c r="D344" s="117">
        <v>0</v>
      </c>
      <c r="E344" s="116">
        <f t="shared" si="10"/>
        <v>31600</v>
      </c>
      <c r="F344" s="116">
        <f t="shared" si="11"/>
        <v>1.58</v>
      </c>
      <c r="G344" s="88" t="s">
        <v>19682</v>
      </c>
      <c r="H344" s="85" t="s">
        <v>17937</v>
      </c>
      <c r="I344" s="101">
        <v>43874</v>
      </c>
      <c r="N344" s="66" t="s">
        <v>17962</v>
      </c>
      <c r="O344" s="651">
        <v>8645.5319999999992</v>
      </c>
    </row>
    <row r="345" spans="1:15" ht="12.95" hidden="1">
      <c r="A345" s="86">
        <v>43879</v>
      </c>
      <c r="B345" s="87">
        <v>39000</v>
      </c>
      <c r="C345" s="30">
        <v>63180</v>
      </c>
      <c r="D345" s="117">
        <v>0</v>
      </c>
      <c r="E345" s="116">
        <f t="shared" si="10"/>
        <v>63180</v>
      </c>
      <c r="F345" s="116">
        <f t="shared" si="11"/>
        <v>1.62</v>
      </c>
      <c r="G345" s="88" t="s">
        <v>19679</v>
      </c>
      <c r="H345" s="85" t="s">
        <v>17920</v>
      </c>
      <c r="I345" s="101">
        <v>43866</v>
      </c>
      <c r="N345" s="66" t="s">
        <v>17964</v>
      </c>
      <c r="O345" s="651">
        <v>0</v>
      </c>
    </row>
    <row r="346" spans="1:15" ht="12.95" hidden="1">
      <c r="A346" s="86">
        <v>43881</v>
      </c>
      <c r="B346" s="87">
        <v>308000</v>
      </c>
      <c r="C346" s="30">
        <v>385000</v>
      </c>
      <c r="D346" s="117">
        <v>0</v>
      </c>
      <c r="E346" s="116">
        <f t="shared" si="10"/>
        <v>385000</v>
      </c>
      <c r="F346" s="116">
        <f t="shared" si="11"/>
        <v>1.25</v>
      </c>
      <c r="G346" s="88" t="s">
        <v>19750</v>
      </c>
      <c r="H346" s="85" t="s">
        <v>17934</v>
      </c>
      <c r="I346" s="101">
        <v>43874</v>
      </c>
      <c r="N346" s="66" t="s">
        <v>17966</v>
      </c>
      <c r="O346" s="651">
        <v>0</v>
      </c>
    </row>
    <row r="347" spans="1:15" ht="12.95" hidden="1">
      <c r="A347" s="86">
        <v>43886</v>
      </c>
      <c r="B347" s="87">
        <v>20000</v>
      </c>
      <c r="C347" s="30">
        <f>13800*2.88845</f>
        <v>39860.61</v>
      </c>
      <c r="D347" s="117">
        <v>4895.0600000000004</v>
      </c>
      <c r="E347" s="116">
        <f t="shared" si="10"/>
        <v>34965.550000000003</v>
      </c>
      <c r="F347" s="116">
        <f t="shared" si="11"/>
        <v>1.7482775000000002</v>
      </c>
      <c r="G347" s="88" t="s">
        <v>19751</v>
      </c>
      <c r="H347" s="85" t="s">
        <v>17945</v>
      </c>
      <c r="I347" s="101">
        <v>43882</v>
      </c>
      <c r="N347" s="66" t="s">
        <v>17967</v>
      </c>
      <c r="O347" s="651">
        <v>0</v>
      </c>
    </row>
    <row r="348" spans="1:15" ht="12.95" hidden="1">
      <c r="A348" s="86">
        <v>43887</v>
      </c>
      <c r="B348" s="87">
        <v>280000</v>
      </c>
      <c r="C348" s="30">
        <v>347200</v>
      </c>
      <c r="D348" s="117">
        <v>0</v>
      </c>
      <c r="E348" s="116">
        <f t="shared" si="10"/>
        <v>347200</v>
      </c>
      <c r="F348" s="116">
        <f t="shared" si="11"/>
        <v>1.24</v>
      </c>
      <c r="G348" s="88" t="s">
        <v>19655</v>
      </c>
      <c r="H348" s="85" t="s">
        <v>17935</v>
      </c>
      <c r="I348" s="101">
        <v>43874</v>
      </c>
      <c r="N348" s="66" t="s">
        <v>17968</v>
      </c>
      <c r="O348" s="651">
        <v>0</v>
      </c>
    </row>
    <row r="349" spans="1:15" ht="12.95" hidden="1">
      <c r="A349" s="86">
        <v>43887</v>
      </c>
      <c r="B349" s="87">
        <v>19540</v>
      </c>
      <c r="C349" s="30">
        <f>23677*2.8516</f>
        <v>67517.333199999994</v>
      </c>
      <c r="D349" s="117">
        <v>1456.11</v>
      </c>
      <c r="E349" s="116">
        <f t="shared" si="10"/>
        <v>66061.223199999993</v>
      </c>
      <c r="F349" s="116">
        <f t="shared" si="11"/>
        <v>3.3808200204708285</v>
      </c>
      <c r="G349" s="88" t="s">
        <v>19653</v>
      </c>
      <c r="H349" s="85" t="s">
        <v>17924</v>
      </c>
      <c r="I349" s="101">
        <v>43866</v>
      </c>
      <c r="N349" s="66" t="s">
        <v>17969</v>
      </c>
      <c r="O349" s="651">
        <v>0</v>
      </c>
    </row>
    <row r="350" spans="1:15" ht="12.95" hidden="1">
      <c r="A350" s="86">
        <v>43889</v>
      </c>
      <c r="B350" s="87">
        <v>278000</v>
      </c>
      <c r="C350" s="30">
        <f>152900*2.8911</f>
        <v>442049.18999999994</v>
      </c>
      <c r="D350" s="127">
        <v>101803.71799999999</v>
      </c>
      <c r="E350" s="116">
        <f t="shared" si="10"/>
        <v>340245.47199999995</v>
      </c>
      <c r="F350" s="116">
        <f t="shared" si="11"/>
        <v>1.2239045755395681</v>
      </c>
      <c r="G350" s="88" t="s">
        <v>19752</v>
      </c>
      <c r="H350" s="85" t="s">
        <v>17895</v>
      </c>
      <c r="I350" s="101">
        <v>43852</v>
      </c>
      <c r="N350" s="66" t="s">
        <v>17970</v>
      </c>
      <c r="O350" s="651">
        <v>4787.34</v>
      </c>
    </row>
    <row r="351" spans="1:15" ht="12.95" hidden="1">
      <c r="A351" s="86">
        <v>43889</v>
      </c>
      <c r="B351" s="87">
        <v>27336</v>
      </c>
      <c r="C351" s="30">
        <f>16346.64*3.14565</f>
        <v>51420.808115999993</v>
      </c>
      <c r="D351" s="117">
        <v>10269.209999999999</v>
      </c>
      <c r="E351" s="116">
        <f t="shared" si="10"/>
        <v>41151.598115999994</v>
      </c>
      <c r="F351" s="116">
        <f t="shared" si="11"/>
        <v>1.5053994043020191</v>
      </c>
      <c r="G351" s="88" t="s">
        <v>19661</v>
      </c>
      <c r="H351" s="85" t="s">
        <v>17940</v>
      </c>
      <c r="I351" s="101">
        <v>43875</v>
      </c>
      <c r="N351" s="66" t="s">
        <v>17972</v>
      </c>
      <c r="O351" s="651">
        <v>10332.09</v>
      </c>
    </row>
    <row r="352" spans="1:15" ht="12.95" hidden="1">
      <c r="A352" s="86">
        <v>43889</v>
      </c>
      <c r="B352" s="87">
        <v>20000</v>
      </c>
      <c r="C352" s="30">
        <f>13300*2.8817</f>
        <v>38326.61</v>
      </c>
      <c r="D352" s="117">
        <v>4230.9660000000003</v>
      </c>
      <c r="E352" s="116">
        <f t="shared" si="10"/>
        <v>34095.644</v>
      </c>
      <c r="F352" s="116">
        <f t="shared" si="11"/>
        <v>1.7047821999999999</v>
      </c>
      <c r="G352" s="88" t="s">
        <v>19753</v>
      </c>
      <c r="H352" s="85" t="s">
        <v>17943</v>
      </c>
      <c r="I352" s="101">
        <v>43882</v>
      </c>
      <c r="N352" s="66" t="s">
        <v>17973</v>
      </c>
      <c r="O352" s="651">
        <v>25499.989000000001</v>
      </c>
    </row>
    <row r="353" spans="1:15" ht="12.95" hidden="1">
      <c r="A353" s="86">
        <v>43890</v>
      </c>
      <c r="B353" s="87">
        <v>50400</v>
      </c>
      <c r="C353" s="30">
        <v>89568</v>
      </c>
      <c r="D353" s="117">
        <v>0</v>
      </c>
      <c r="E353" s="116">
        <f t="shared" si="10"/>
        <v>89568</v>
      </c>
      <c r="F353" s="116">
        <f t="shared" si="11"/>
        <v>1.7771428571428571</v>
      </c>
      <c r="G353" s="88" t="s">
        <v>17227</v>
      </c>
      <c r="H353" s="85" t="s">
        <v>17926</v>
      </c>
      <c r="I353" s="101">
        <v>43866</v>
      </c>
      <c r="N353" s="66" t="s">
        <v>17974</v>
      </c>
      <c r="O353" s="651">
        <v>28678.14</v>
      </c>
    </row>
    <row r="354" spans="1:15" ht="12.95" hidden="1">
      <c r="A354" s="86">
        <v>43894</v>
      </c>
      <c r="B354" s="87">
        <v>308000</v>
      </c>
      <c r="C354" s="30">
        <v>385000</v>
      </c>
      <c r="D354" s="117">
        <v>0</v>
      </c>
      <c r="E354" s="116">
        <f t="shared" si="10"/>
        <v>385000</v>
      </c>
      <c r="F354" s="116">
        <f t="shared" si="11"/>
        <v>1.25</v>
      </c>
      <c r="G354" s="88" t="s">
        <v>19655</v>
      </c>
      <c r="H354" s="85" t="s">
        <v>17951</v>
      </c>
      <c r="I354" s="101">
        <v>43887</v>
      </c>
      <c r="N354" s="66" t="s">
        <v>17975</v>
      </c>
      <c r="O354" s="651">
        <v>8071.6040000000003</v>
      </c>
    </row>
    <row r="355" spans="1:15" ht="12.95" hidden="1">
      <c r="A355" s="86">
        <v>43893</v>
      </c>
      <c r="B355" s="87">
        <v>6396</v>
      </c>
      <c r="C355" s="30">
        <v>11018.4</v>
      </c>
      <c r="D355" s="117">
        <v>0</v>
      </c>
      <c r="E355" s="116">
        <f t="shared" si="10"/>
        <v>11018.4</v>
      </c>
      <c r="F355" s="116">
        <f t="shared" si="11"/>
        <v>1.722701688555347</v>
      </c>
      <c r="G355" s="88" t="s">
        <v>19754</v>
      </c>
      <c r="H355" s="85" t="s">
        <v>17888</v>
      </c>
      <c r="I355" s="101">
        <v>43840</v>
      </c>
      <c r="N355" s="66" t="s">
        <v>17977</v>
      </c>
      <c r="O355" s="651">
        <v>8607.1119999999992</v>
      </c>
    </row>
    <row r="356" spans="1:15" ht="12.95" hidden="1">
      <c r="A356" s="86">
        <v>43895</v>
      </c>
      <c r="B356" s="124">
        <v>114552</v>
      </c>
      <c r="C356" s="30">
        <v>172332.24</v>
      </c>
      <c r="D356" s="117">
        <v>0</v>
      </c>
      <c r="E356" s="116">
        <f t="shared" si="10"/>
        <v>172332.24</v>
      </c>
      <c r="F356" s="116">
        <f t="shared" si="11"/>
        <v>1.5044018437041693</v>
      </c>
      <c r="G356" s="88" t="s">
        <v>19647</v>
      </c>
      <c r="H356" s="85" t="s">
        <v>17948</v>
      </c>
      <c r="I356" s="101">
        <v>43887</v>
      </c>
      <c r="N356" s="66" t="s">
        <v>17979</v>
      </c>
      <c r="O356" s="651">
        <v>46481.4</v>
      </c>
    </row>
    <row r="357" spans="1:15" ht="12.95" hidden="1">
      <c r="A357" s="86">
        <v>43896</v>
      </c>
      <c r="B357" s="87">
        <v>20000</v>
      </c>
      <c r="C357" s="30">
        <f>13800*2.844</f>
        <v>39247.199999999997</v>
      </c>
      <c r="D357" s="117">
        <v>4915</v>
      </c>
      <c r="E357" s="116">
        <f t="shared" si="10"/>
        <v>34332.199999999997</v>
      </c>
      <c r="F357" s="116">
        <f t="shared" si="11"/>
        <v>1.7166099999999997</v>
      </c>
      <c r="G357" s="88" t="s">
        <v>19755</v>
      </c>
      <c r="H357" s="85" t="s">
        <v>17960</v>
      </c>
      <c r="I357" s="101">
        <v>43889</v>
      </c>
      <c r="N357" s="66" t="s">
        <v>17981</v>
      </c>
      <c r="O357" s="651">
        <v>0</v>
      </c>
    </row>
    <row r="358" spans="1:15" ht="12.95" hidden="1">
      <c r="A358" s="86">
        <v>43896</v>
      </c>
      <c r="B358" s="87">
        <v>70600</v>
      </c>
      <c r="C358" s="30">
        <f>42396*2.844</f>
        <v>120574.22399999999</v>
      </c>
      <c r="D358" s="117">
        <v>25337.88</v>
      </c>
      <c r="E358" s="116">
        <f t="shared" si="10"/>
        <v>95236.343999999983</v>
      </c>
      <c r="F358" s="116">
        <f t="shared" si="11"/>
        <v>1.3489567138810197</v>
      </c>
      <c r="G358" s="88" t="s">
        <v>19756</v>
      </c>
      <c r="H358" s="85" t="s">
        <v>17952</v>
      </c>
      <c r="I358" s="101">
        <v>43889</v>
      </c>
      <c r="N358" s="66" t="s">
        <v>17983</v>
      </c>
      <c r="O358" s="651">
        <v>0</v>
      </c>
    </row>
    <row r="359" spans="1:15" ht="12.95" hidden="1">
      <c r="A359" s="86">
        <v>43896</v>
      </c>
      <c r="B359" s="87">
        <v>20430</v>
      </c>
      <c r="C359" s="30">
        <v>33709.5</v>
      </c>
      <c r="D359" s="117">
        <v>0</v>
      </c>
      <c r="E359" s="116">
        <f t="shared" si="10"/>
        <v>33709.5</v>
      </c>
      <c r="F359" s="116">
        <f t="shared" si="11"/>
        <v>1.65</v>
      </c>
      <c r="G359" s="88" t="s">
        <v>19691</v>
      </c>
      <c r="H359" s="85" t="s">
        <v>17955</v>
      </c>
      <c r="I359" s="101">
        <v>43888</v>
      </c>
      <c r="N359" s="66" t="s">
        <v>17984</v>
      </c>
      <c r="O359" s="651">
        <v>1208.58</v>
      </c>
    </row>
    <row r="360" spans="1:15" ht="12.95" hidden="1">
      <c r="A360" s="86">
        <v>43897</v>
      </c>
      <c r="B360" s="87">
        <v>20430</v>
      </c>
      <c r="C360" s="30">
        <v>33709.5</v>
      </c>
      <c r="D360" s="117">
        <v>0</v>
      </c>
      <c r="E360" s="116">
        <f t="shared" si="10"/>
        <v>33709.5</v>
      </c>
      <c r="F360" s="116">
        <f t="shared" si="11"/>
        <v>1.65</v>
      </c>
      <c r="G360" s="88" t="s">
        <v>19691</v>
      </c>
      <c r="H360" s="85" t="s">
        <v>17957</v>
      </c>
      <c r="I360" s="101">
        <v>43888</v>
      </c>
      <c r="N360" s="66" t="s">
        <v>17986</v>
      </c>
      <c r="O360" s="651">
        <v>0</v>
      </c>
    </row>
    <row r="361" spans="1:15" ht="12.95" hidden="1">
      <c r="A361" s="86">
        <v>43901</v>
      </c>
      <c r="B361" s="87">
        <v>19200</v>
      </c>
      <c r="C361" s="30">
        <v>30144</v>
      </c>
      <c r="D361" s="117">
        <v>0</v>
      </c>
      <c r="E361" s="116">
        <f t="shared" si="10"/>
        <v>30144</v>
      </c>
      <c r="F361" s="116">
        <f t="shared" si="11"/>
        <v>1.57</v>
      </c>
      <c r="G361" s="88" t="s">
        <v>19655</v>
      </c>
      <c r="H361" s="85" t="s">
        <v>17942</v>
      </c>
      <c r="I361" s="101">
        <v>43881</v>
      </c>
      <c r="N361" s="66" t="s">
        <v>17988</v>
      </c>
      <c r="O361" s="651">
        <v>1208.58</v>
      </c>
    </row>
    <row r="362" spans="1:15" ht="12.95" hidden="1">
      <c r="A362" s="86">
        <v>43901</v>
      </c>
      <c r="B362" s="87">
        <v>18000</v>
      </c>
      <c r="C362" s="30">
        <v>29160</v>
      </c>
      <c r="D362" s="117">
        <v>0</v>
      </c>
      <c r="E362" s="116">
        <f t="shared" si="10"/>
        <v>29160</v>
      </c>
      <c r="F362" s="116">
        <f t="shared" si="11"/>
        <v>1.62</v>
      </c>
      <c r="G362" s="88" t="s">
        <v>19655</v>
      </c>
      <c r="H362" s="85" t="s">
        <v>17958</v>
      </c>
      <c r="I362" s="101">
        <v>43889</v>
      </c>
      <c r="N362" s="66" t="s">
        <v>17989</v>
      </c>
      <c r="O362" s="651">
        <v>589.1</v>
      </c>
    </row>
    <row r="363" spans="1:15" ht="12.95" hidden="1">
      <c r="A363" s="86">
        <v>43902</v>
      </c>
      <c r="B363" s="87">
        <v>32500</v>
      </c>
      <c r="C363" s="30">
        <v>50050</v>
      </c>
      <c r="D363" s="117">
        <v>0</v>
      </c>
      <c r="E363" s="116">
        <f t="shared" si="10"/>
        <v>50050</v>
      </c>
      <c r="F363" s="116">
        <f t="shared" si="11"/>
        <v>1.54</v>
      </c>
      <c r="G363" s="88" t="s">
        <v>19656</v>
      </c>
      <c r="H363" s="85" t="s">
        <v>17947</v>
      </c>
      <c r="I363" s="101">
        <v>43887</v>
      </c>
      <c r="N363" s="66" t="s">
        <v>17991</v>
      </c>
      <c r="O363" s="651">
        <v>1215.248</v>
      </c>
    </row>
    <row r="364" spans="1:15" ht="12.95" hidden="1">
      <c r="A364" s="86">
        <v>43874</v>
      </c>
      <c r="B364" s="87">
        <v>40000</v>
      </c>
      <c r="C364" s="30">
        <f>26600*2.82785</f>
        <v>75220.810000000012</v>
      </c>
      <c r="D364" s="117">
        <v>8645.5319999999992</v>
      </c>
      <c r="E364" s="116">
        <f t="shared" si="10"/>
        <v>66575.27800000002</v>
      </c>
      <c r="F364" s="116">
        <f t="shared" si="11"/>
        <v>1.6643819500000006</v>
      </c>
      <c r="G364" s="88" t="s">
        <v>19757</v>
      </c>
      <c r="H364" s="85" t="s">
        <v>17962</v>
      </c>
      <c r="I364" s="101">
        <v>43889</v>
      </c>
      <c r="N364" s="66" t="s">
        <v>17993</v>
      </c>
      <c r="O364" s="651">
        <v>1925.03</v>
      </c>
    </row>
    <row r="365" spans="1:15" ht="12.95" hidden="1">
      <c r="A365" s="86">
        <v>43906</v>
      </c>
      <c r="B365" s="87">
        <v>50400</v>
      </c>
      <c r="C365" s="30">
        <v>74592</v>
      </c>
      <c r="D365" s="117">
        <v>0</v>
      </c>
      <c r="E365" s="116">
        <f t="shared" si="10"/>
        <v>74592</v>
      </c>
      <c r="F365" s="116">
        <f t="shared" si="11"/>
        <v>1.48</v>
      </c>
      <c r="G365" s="88" t="s">
        <v>19647</v>
      </c>
      <c r="H365" s="85" t="s">
        <v>17950</v>
      </c>
      <c r="I365" s="101">
        <v>43887</v>
      </c>
      <c r="N365" s="66" t="s">
        <v>17995</v>
      </c>
      <c r="O365" s="651">
        <v>10332.09</v>
      </c>
    </row>
    <row r="366" spans="1:15" ht="12.95" hidden="1">
      <c r="A366" s="86">
        <v>43907</v>
      </c>
      <c r="B366" s="87">
        <v>57600</v>
      </c>
      <c r="C366" s="30">
        <v>90432</v>
      </c>
      <c r="D366" s="117">
        <v>0</v>
      </c>
      <c r="E366" s="116">
        <f t="shared" si="10"/>
        <v>90432</v>
      </c>
      <c r="F366" s="116">
        <f t="shared" si="11"/>
        <v>1.57</v>
      </c>
      <c r="G366" s="88" t="s">
        <v>19647</v>
      </c>
      <c r="H366" s="85" t="s">
        <v>17964</v>
      </c>
      <c r="I366" s="101">
        <v>43901</v>
      </c>
      <c r="N366" s="66" t="s">
        <v>17997</v>
      </c>
      <c r="O366" s="651">
        <v>589.1</v>
      </c>
    </row>
    <row r="367" spans="1:15" ht="12.95" hidden="1">
      <c r="A367" s="86">
        <v>43908</v>
      </c>
      <c r="B367" s="87">
        <v>88008</v>
      </c>
      <c r="C367" s="30">
        <f>52607.92*2.8614</f>
        <v>150532.30228800001</v>
      </c>
      <c r="D367" s="117">
        <v>28678.14</v>
      </c>
      <c r="E367" s="116">
        <f t="shared" si="10"/>
        <v>121854.16228800001</v>
      </c>
      <c r="F367" s="116">
        <f t="shared" si="11"/>
        <v>1.3845805186801201</v>
      </c>
      <c r="G367" s="88" t="s">
        <v>19756</v>
      </c>
      <c r="H367" s="85" t="s">
        <v>17974</v>
      </c>
      <c r="I367" s="101">
        <v>43901</v>
      </c>
      <c r="N367" s="66" t="s">
        <v>17998</v>
      </c>
      <c r="O367" s="651">
        <v>4989.5</v>
      </c>
    </row>
    <row r="368" spans="1:15" ht="12.95" hidden="1">
      <c r="A368" s="86">
        <v>43908</v>
      </c>
      <c r="B368" s="87">
        <v>20500</v>
      </c>
      <c r="C368" s="30">
        <v>30340</v>
      </c>
      <c r="D368" s="117">
        <v>0</v>
      </c>
      <c r="E368" s="116">
        <f t="shared" si="10"/>
        <v>30340</v>
      </c>
      <c r="F368" s="116">
        <f t="shared" si="11"/>
        <v>1.48</v>
      </c>
      <c r="G368" s="88" t="s">
        <v>19655</v>
      </c>
      <c r="H368" s="85" t="s">
        <v>17983</v>
      </c>
      <c r="I368" s="101">
        <v>43902</v>
      </c>
      <c r="N368" s="66" t="s">
        <v>18000</v>
      </c>
      <c r="O368" s="651">
        <v>8316.9979999999996</v>
      </c>
    </row>
    <row r="369" spans="1:15" ht="12.95" hidden="1">
      <c r="A369" s="86">
        <v>43909</v>
      </c>
      <c r="B369" s="87">
        <v>20000</v>
      </c>
      <c r="C369" s="131">
        <f>13800*2.8614</f>
        <v>39487.32</v>
      </c>
      <c r="D369" s="117">
        <v>4787.34</v>
      </c>
      <c r="E369" s="116">
        <f t="shared" si="10"/>
        <v>34699.979999999996</v>
      </c>
      <c r="F369" s="116">
        <f t="shared" si="11"/>
        <v>1.7349989999999997</v>
      </c>
      <c r="G369" s="88" t="s">
        <v>19758</v>
      </c>
      <c r="H369" s="85" t="s">
        <v>17970</v>
      </c>
      <c r="I369" s="101">
        <v>43901</v>
      </c>
      <c r="N369" s="66" t="s">
        <v>18002</v>
      </c>
      <c r="O369" s="651">
        <v>0</v>
      </c>
    </row>
    <row r="370" spans="1:15" ht="12.95" hidden="1">
      <c r="A370" s="86">
        <v>43917</v>
      </c>
      <c r="B370" s="87">
        <v>40000</v>
      </c>
      <c r="C370" s="30">
        <f>26600*2.9089</f>
        <v>77376.740000000005</v>
      </c>
      <c r="D370" s="117">
        <v>8607.1119999999992</v>
      </c>
      <c r="E370" s="116">
        <f t="shared" si="10"/>
        <v>68769.628000000012</v>
      </c>
      <c r="F370" s="116">
        <f t="shared" si="11"/>
        <v>1.7192407000000003</v>
      </c>
      <c r="G370" s="88" t="s">
        <v>19759</v>
      </c>
      <c r="H370" s="85" t="s">
        <v>17977</v>
      </c>
      <c r="I370" s="101">
        <v>43901</v>
      </c>
      <c r="N370" s="66" t="s">
        <v>18003</v>
      </c>
      <c r="O370" s="651">
        <v>5802.0619999999999</v>
      </c>
    </row>
    <row r="371" spans="1:15" ht="12.95" hidden="1">
      <c r="A371" s="86">
        <v>43920</v>
      </c>
      <c r="B371" s="87">
        <v>20460</v>
      </c>
      <c r="C371" s="30">
        <f>10935.9*3.15415</f>
        <v>34493.468985</v>
      </c>
      <c r="D371" s="117">
        <v>1208.58</v>
      </c>
      <c r="E371" s="116">
        <f t="shared" si="10"/>
        <v>33284.888984999998</v>
      </c>
      <c r="F371" s="116">
        <f t="shared" si="11"/>
        <v>1.6268274186217007</v>
      </c>
      <c r="G371" s="88" t="s">
        <v>19686</v>
      </c>
      <c r="H371" s="85" t="s">
        <v>17984</v>
      </c>
      <c r="I371" s="101">
        <v>43909</v>
      </c>
      <c r="N371" s="66" t="s">
        <v>18005</v>
      </c>
      <c r="O371" s="651">
        <v>63575.05</v>
      </c>
    </row>
    <row r="372" spans="1:15" ht="12.95" hidden="1">
      <c r="A372" s="86">
        <v>43920</v>
      </c>
      <c r="B372" s="87">
        <v>20424</v>
      </c>
      <c r="C372" s="30">
        <f>10848.96*3.15415</f>
        <v>34219.247184</v>
      </c>
      <c r="D372" s="117">
        <v>1208.58</v>
      </c>
      <c r="E372" s="116">
        <f t="shared" si="10"/>
        <v>33010.667183999998</v>
      </c>
      <c r="F372" s="116">
        <f t="shared" si="11"/>
        <v>1.6162684676850763</v>
      </c>
      <c r="G372" s="88" t="s">
        <v>19686</v>
      </c>
      <c r="H372" s="85" t="s">
        <v>17988</v>
      </c>
      <c r="I372" s="101">
        <v>43909</v>
      </c>
      <c r="N372" s="66" t="s">
        <v>18007</v>
      </c>
      <c r="O372" s="651">
        <v>14791.286</v>
      </c>
    </row>
    <row r="373" spans="1:15" ht="12.95" hidden="1">
      <c r="A373" s="86">
        <v>43921</v>
      </c>
      <c r="B373" s="87">
        <v>23856</v>
      </c>
      <c r="C373" s="30">
        <v>42954.8</v>
      </c>
      <c r="D373" s="117">
        <v>0</v>
      </c>
      <c r="E373" s="116">
        <f t="shared" si="10"/>
        <v>42954.8</v>
      </c>
      <c r="F373" s="116">
        <f t="shared" si="11"/>
        <v>1.800586854460094</v>
      </c>
      <c r="G373" s="88" t="s">
        <v>19690</v>
      </c>
      <c r="H373" s="85" t="s">
        <v>17953</v>
      </c>
      <c r="I373" s="101">
        <v>43887</v>
      </c>
      <c r="N373" s="66" t="s">
        <v>18008</v>
      </c>
      <c r="O373" s="651">
        <v>0</v>
      </c>
    </row>
    <row r="374" spans="1:15" ht="12.95" hidden="1">
      <c r="A374" s="86">
        <v>43923</v>
      </c>
      <c r="B374" s="87">
        <v>20148</v>
      </c>
      <c r="C374" s="30">
        <f>11178.8*3.1731</f>
        <v>35471.450279999997</v>
      </c>
      <c r="D374" s="117">
        <v>589.1</v>
      </c>
      <c r="E374" s="116">
        <f t="shared" si="10"/>
        <v>34882.350279999999</v>
      </c>
      <c r="F374" s="116">
        <f t="shared" si="11"/>
        <v>1.7313058507047845</v>
      </c>
      <c r="G374" s="88" t="s">
        <v>19760</v>
      </c>
      <c r="H374" s="85" t="s">
        <v>17989</v>
      </c>
      <c r="I374" s="128">
        <v>43917</v>
      </c>
      <c r="N374" s="66" t="s">
        <v>18010</v>
      </c>
      <c r="O374" s="651">
        <v>0</v>
      </c>
    </row>
    <row r="375" spans="1:15" ht="12.95" hidden="1">
      <c r="A375" s="86">
        <v>43927</v>
      </c>
      <c r="B375" s="87">
        <v>280000</v>
      </c>
      <c r="C375" s="30">
        <v>347200</v>
      </c>
      <c r="D375" s="117">
        <v>0</v>
      </c>
      <c r="E375" s="116">
        <f t="shared" si="10"/>
        <v>347200</v>
      </c>
      <c r="F375" s="116">
        <f t="shared" si="11"/>
        <v>1.24</v>
      </c>
      <c r="G375" s="88" t="s">
        <v>19655</v>
      </c>
      <c r="H375" s="85" t="s">
        <v>17959</v>
      </c>
      <c r="I375" s="128">
        <v>43889</v>
      </c>
      <c r="N375" s="66" t="s">
        <v>18011</v>
      </c>
      <c r="O375" s="651">
        <v>19200.067999999999</v>
      </c>
    </row>
    <row r="376" spans="1:15" ht="12.95" hidden="1">
      <c r="A376" s="86">
        <v>43928</v>
      </c>
      <c r="B376" s="87">
        <v>50400</v>
      </c>
      <c r="C376" s="30">
        <v>85680</v>
      </c>
      <c r="D376" s="117">
        <v>0</v>
      </c>
      <c r="E376" s="116">
        <f t="shared" si="10"/>
        <v>85680</v>
      </c>
      <c r="F376" s="116">
        <f t="shared" si="11"/>
        <v>1.7</v>
      </c>
      <c r="G376" s="88" t="s">
        <v>19744</v>
      </c>
      <c r="H376" s="85" t="s">
        <v>17932</v>
      </c>
      <c r="I376" s="128">
        <v>43874</v>
      </c>
      <c r="N376" s="66" t="s">
        <v>18013</v>
      </c>
      <c r="O376" s="651">
        <v>20800.067999999999</v>
      </c>
    </row>
    <row r="377" spans="1:15" ht="12.95" hidden="1">
      <c r="A377" s="81">
        <v>43928</v>
      </c>
      <c r="B377" s="87">
        <v>10500</v>
      </c>
      <c r="C377" s="30">
        <f>10095*2.9184</f>
        <v>29461.248</v>
      </c>
      <c r="D377" s="117">
        <v>1925.03</v>
      </c>
      <c r="E377" s="116">
        <f t="shared" si="10"/>
        <v>27536.218000000001</v>
      </c>
      <c r="F377" s="116">
        <f t="shared" si="11"/>
        <v>2.6224969523809523</v>
      </c>
      <c r="G377" s="88" t="s">
        <v>19672</v>
      </c>
      <c r="H377" s="85" t="s">
        <v>17993</v>
      </c>
      <c r="I377" s="128">
        <v>43923</v>
      </c>
      <c r="N377" s="66" t="s">
        <v>18014</v>
      </c>
      <c r="O377" s="651">
        <v>25953.51</v>
      </c>
    </row>
    <row r="378" spans="1:15" ht="12.95" hidden="1">
      <c r="A378" s="81">
        <v>43932</v>
      </c>
      <c r="B378" s="87">
        <v>16848</v>
      </c>
      <c r="C378" s="30">
        <f>20514.56*2.9184</f>
        <v>59869.691904000007</v>
      </c>
      <c r="D378" s="117">
        <v>1215.248</v>
      </c>
      <c r="E378" s="116">
        <f t="shared" si="10"/>
        <v>58654.443904000007</v>
      </c>
      <c r="F378" s="116">
        <f t="shared" si="11"/>
        <v>3.4813891206077878</v>
      </c>
      <c r="G378" s="88" t="s">
        <v>19653</v>
      </c>
      <c r="H378" s="85" t="s">
        <v>17991</v>
      </c>
      <c r="I378" s="128">
        <v>43923</v>
      </c>
      <c r="N378" s="66" t="s">
        <v>18015</v>
      </c>
      <c r="O378" s="651">
        <v>0</v>
      </c>
    </row>
    <row r="379" spans="1:15" ht="12.95" hidden="1">
      <c r="A379" s="81">
        <v>43938</v>
      </c>
      <c r="B379" s="87">
        <v>27336</v>
      </c>
      <c r="C379" s="30">
        <f>16334.64*3.1566</f>
        <v>51561.924623999999</v>
      </c>
      <c r="D379" s="117">
        <v>10332.09</v>
      </c>
      <c r="E379" s="116">
        <f t="shared" si="10"/>
        <v>41229.834623999996</v>
      </c>
      <c r="F379" s="116">
        <f t="shared" si="11"/>
        <v>1.5082614363476732</v>
      </c>
      <c r="G379" s="88" t="s">
        <v>19661</v>
      </c>
      <c r="H379" s="85" t="s">
        <v>17972</v>
      </c>
      <c r="I379" s="128">
        <v>43901</v>
      </c>
      <c r="N379" s="66" t="s">
        <v>18016</v>
      </c>
      <c r="O379" s="651">
        <v>2301.482</v>
      </c>
    </row>
    <row r="380" spans="1:15" ht="12.95" hidden="1">
      <c r="A380" s="81">
        <v>43938</v>
      </c>
      <c r="B380" s="87">
        <v>27300</v>
      </c>
      <c r="C380" s="30">
        <f>16317*3.1566</f>
        <v>51506.242200000001</v>
      </c>
      <c r="D380" s="117">
        <v>10332.09</v>
      </c>
      <c r="E380" s="116">
        <f t="shared" si="10"/>
        <v>41174.152199999997</v>
      </c>
      <c r="F380" s="116">
        <f t="shared" si="11"/>
        <v>1.5082107032967031</v>
      </c>
      <c r="G380" s="88" t="s">
        <v>19661</v>
      </c>
      <c r="H380" s="85" t="s">
        <v>17995</v>
      </c>
      <c r="I380" s="128">
        <v>43923</v>
      </c>
      <c r="N380" s="66" t="s">
        <v>18018</v>
      </c>
      <c r="O380" s="651">
        <v>0</v>
      </c>
    </row>
    <row r="381" spans="1:15" ht="12.95" hidden="1">
      <c r="A381" s="81">
        <v>43943</v>
      </c>
      <c r="B381" s="87">
        <v>19724</v>
      </c>
      <c r="C381" s="30">
        <f>10971.8*3.1541</f>
        <v>34606.15438</v>
      </c>
      <c r="D381" s="117">
        <v>589.1</v>
      </c>
      <c r="E381" s="116">
        <f t="shared" si="10"/>
        <v>34017.054380000001</v>
      </c>
      <c r="F381" s="116">
        <f t="shared" si="11"/>
        <v>1.72465292942608</v>
      </c>
      <c r="G381" s="88" t="s">
        <v>19760</v>
      </c>
      <c r="H381" s="85" t="s">
        <v>17997</v>
      </c>
      <c r="I381" s="130">
        <v>43932</v>
      </c>
      <c r="N381" s="66" t="s">
        <v>18020</v>
      </c>
      <c r="O381" s="651">
        <v>0</v>
      </c>
    </row>
    <row r="382" spans="1:15" ht="12.95" hidden="1">
      <c r="A382" s="81">
        <v>43943</v>
      </c>
      <c r="B382" s="87">
        <v>20000</v>
      </c>
      <c r="C382" s="30">
        <f>13800*2.9104</f>
        <v>40163.520000000004</v>
      </c>
      <c r="D382" s="117">
        <v>4989.5</v>
      </c>
      <c r="E382" s="116">
        <f t="shared" si="10"/>
        <v>35174.020000000004</v>
      </c>
      <c r="F382" s="116">
        <f t="shared" si="11"/>
        <v>1.7587010000000003</v>
      </c>
      <c r="G382" s="88" t="s">
        <v>19761</v>
      </c>
      <c r="H382" s="85" t="s">
        <v>17998</v>
      </c>
      <c r="I382" s="130">
        <v>43932</v>
      </c>
      <c r="N382" s="66" t="s">
        <v>18021</v>
      </c>
      <c r="O382" s="651">
        <v>0</v>
      </c>
    </row>
    <row r="383" spans="1:15" ht="12.95" hidden="1">
      <c r="A383" s="81">
        <v>43945</v>
      </c>
      <c r="B383" s="87">
        <v>109880</v>
      </c>
      <c r="C383" s="30">
        <v>220510</v>
      </c>
      <c r="D383" s="117">
        <v>0</v>
      </c>
      <c r="E383" s="116">
        <f t="shared" si="10"/>
        <v>220510</v>
      </c>
      <c r="F383" s="116">
        <f t="shared" si="11"/>
        <v>2.0068256279577721</v>
      </c>
      <c r="G383" s="88" t="s">
        <v>17227</v>
      </c>
      <c r="H383" s="85" t="s">
        <v>18002</v>
      </c>
      <c r="I383" s="130">
        <v>43938</v>
      </c>
      <c r="N383" s="66" t="s">
        <v>18023</v>
      </c>
      <c r="O383" s="651">
        <v>0</v>
      </c>
    </row>
    <row r="384" spans="1:15" ht="12.95" hidden="1">
      <c r="A384" s="81">
        <v>43886</v>
      </c>
      <c r="B384" s="87">
        <v>38400</v>
      </c>
      <c r="C384" s="30">
        <v>60288</v>
      </c>
      <c r="D384" s="117">
        <v>0</v>
      </c>
      <c r="E384" s="116">
        <f t="shared" si="10"/>
        <v>60288</v>
      </c>
      <c r="F384" s="116">
        <f t="shared" si="11"/>
        <v>1.57</v>
      </c>
      <c r="G384" s="88" t="s">
        <v>19647</v>
      </c>
      <c r="H384" s="85" t="s">
        <v>18010</v>
      </c>
      <c r="I384" s="130">
        <v>43938</v>
      </c>
      <c r="N384" s="66" t="s">
        <v>18024</v>
      </c>
      <c r="O384" s="651">
        <v>0</v>
      </c>
    </row>
    <row r="385" spans="1:15" ht="12.95" hidden="1">
      <c r="A385" s="81">
        <v>43948</v>
      </c>
      <c r="B385" s="87">
        <v>21600</v>
      </c>
      <c r="C385" s="30">
        <f>13779*2.9232</f>
        <v>40278.772799999999</v>
      </c>
      <c r="D385" s="117">
        <v>5802.0619999999999</v>
      </c>
      <c r="E385" s="116">
        <f t="shared" si="10"/>
        <v>34476.710800000001</v>
      </c>
      <c r="F385" s="116">
        <f t="shared" si="11"/>
        <v>1.5961440185185185</v>
      </c>
      <c r="G385" s="88" t="s">
        <v>19742</v>
      </c>
      <c r="H385" s="85" t="s">
        <v>18003</v>
      </c>
      <c r="I385" s="130">
        <v>43938</v>
      </c>
      <c r="N385" s="66" t="s">
        <v>18025</v>
      </c>
      <c r="O385" s="651">
        <v>0</v>
      </c>
    </row>
    <row r="386" spans="1:15" ht="12.95" hidden="1">
      <c r="A386" s="81">
        <v>43948</v>
      </c>
      <c r="B386" s="87">
        <v>11520</v>
      </c>
      <c r="C386" s="30">
        <f>7133.8*2.9232</f>
        <v>20853.524160000001</v>
      </c>
      <c r="D386" s="117">
        <v>2301.482</v>
      </c>
      <c r="E386" s="116">
        <f t="shared" si="10"/>
        <v>18552.042160000001</v>
      </c>
      <c r="F386" s="116">
        <f t="shared" si="11"/>
        <v>1.610420326388889</v>
      </c>
      <c r="G386" s="88" t="s">
        <v>19742</v>
      </c>
      <c r="H386" s="85" t="s">
        <v>18016</v>
      </c>
      <c r="I386" s="130">
        <v>43941</v>
      </c>
      <c r="N386" s="66" t="s">
        <v>18026</v>
      </c>
      <c r="O386" s="651">
        <v>0</v>
      </c>
    </row>
    <row r="387" spans="1:15" ht="12.95" hidden="1">
      <c r="A387" s="81">
        <v>43948</v>
      </c>
      <c r="B387" s="87">
        <v>18600</v>
      </c>
      <c r="C387" s="30">
        <v>29472</v>
      </c>
      <c r="D387" s="117">
        <v>0</v>
      </c>
      <c r="E387" s="116">
        <f t="shared" si="10"/>
        <v>29472</v>
      </c>
      <c r="F387" s="116">
        <f t="shared" si="11"/>
        <v>1.584516129032258</v>
      </c>
      <c r="G387" s="88" t="s">
        <v>19652</v>
      </c>
      <c r="H387" s="85" t="s">
        <v>17967</v>
      </c>
      <c r="I387" s="130">
        <v>43901</v>
      </c>
      <c r="N387" s="66" t="s">
        <v>18027</v>
      </c>
      <c r="O387" s="651">
        <v>0</v>
      </c>
    </row>
    <row r="388" spans="1:15" ht="12.95" hidden="1">
      <c r="A388" s="81">
        <v>43948</v>
      </c>
      <c r="B388" s="87">
        <v>44016</v>
      </c>
      <c r="C388" s="30">
        <v>66904.320000000007</v>
      </c>
      <c r="D388" s="117">
        <v>0</v>
      </c>
      <c r="E388" s="116">
        <f t="shared" si="10"/>
        <v>66904.320000000007</v>
      </c>
      <c r="F388" s="116">
        <f t="shared" si="11"/>
        <v>1.5200000000000002</v>
      </c>
      <c r="G388" s="88" t="s">
        <v>19655</v>
      </c>
      <c r="H388" s="85" t="s">
        <v>18018</v>
      </c>
      <c r="I388" s="130">
        <v>43944</v>
      </c>
      <c r="N388" s="66" t="s">
        <v>18029</v>
      </c>
      <c r="O388" s="651">
        <v>0</v>
      </c>
    </row>
    <row r="389" spans="1:15" ht="12.95" hidden="1">
      <c r="A389" s="81">
        <v>43950</v>
      </c>
      <c r="B389" s="82">
        <v>20500</v>
      </c>
      <c r="C389" s="30">
        <v>30340</v>
      </c>
      <c r="D389" s="117">
        <v>0</v>
      </c>
      <c r="E389" s="116">
        <f t="shared" si="10"/>
        <v>30340</v>
      </c>
      <c r="F389" s="116">
        <f t="shared" si="11"/>
        <v>1.48</v>
      </c>
      <c r="G389" s="88" t="s">
        <v>19655</v>
      </c>
      <c r="H389" s="85" t="s">
        <v>18020</v>
      </c>
      <c r="I389" s="128">
        <v>43944</v>
      </c>
      <c r="N389" s="66" t="s">
        <v>18030</v>
      </c>
      <c r="O389" s="651">
        <v>0</v>
      </c>
    </row>
    <row r="390" spans="1:15" ht="12.95" hidden="1">
      <c r="A390" s="81">
        <v>43951</v>
      </c>
      <c r="B390" s="82">
        <v>165594</v>
      </c>
      <c r="C390" s="30">
        <f>98811.47*2.9054</f>
        <v>287086.84493800002</v>
      </c>
      <c r="D390" s="117">
        <v>63575.05</v>
      </c>
      <c r="E390" s="116">
        <f t="shared" si="10"/>
        <v>223511.79493800004</v>
      </c>
      <c r="F390" s="116">
        <f t="shared" si="11"/>
        <v>1.3497578108989459</v>
      </c>
      <c r="G390" s="88" t="s">
        <v>19662</v>
      </c>
      <c r="H390" s="85" t="s">
        <v>18005</v>
      </c>
      <c r="I390" s="128">
        <v>43938</v>
      </c>
      <c r="N390" s="66" t="s">
        <v>18031</v>
      </c>
      <c r="O390" s="651">
        <v>4789.09</v>
      </c>
    </row>
    <row r="391" spans="1:15" ht="12.95" hidden="1">
      <c r="A391" s="81">
        <v>43951</v>
      </c>
      <c r="B391" s="87">
        <v>40000</v>
      </c>
      <c r="C391" s="30">
        <f>26600*2.9054</f>
        <v>77283.64</v>
      </c>
      <c r="D391" s="117">
        <v>8316.9979999999996</v>
      </c>
      <c r="E391" s="116">
        <f t="shared" si="10"/>
        <v>68966.641999999993</v>
      </c>
      <c r="F391" s="116">
        <f t="shared" si="11"/>
        <v>1.7241660499999998</v>
      </c>
      <c r="G391" s="88" t="s">
        <v>19762</v>
      </c>
      <c r="H391" s="85" t="s">
        <v>18000</v>
      </c>
      <c r="I391" s="130">
        <v>43936</v>
      </c>
      <c r="N391" s="66" t="s">
        <v>18033</v>
      </c>
      <c r="O391" s="651">
        <v>29972.991999999998</v>
      </c>
    </row>
    <row r="392" spans="1:15" ht="12.95" hidden="1">
      <c r="A392" s="81">
        <v>43953</v>
      </c>
      <c r="B392" s="82">
        <v>52000</v>
      </c>
      <c r="C392" s="30">
        <f>29215*2.9054</f>
        <v>84881.261000000013</v>
      </c>
      <c r="D392" s="117">
        <v>14791.286</v>
      </c>
      <c r="E392" s="116">
        <f t="shared" ref="E392:E455" si="12">(C392-D392)</f>
        <v>70089.975000000006</v>
      </c>
      <c r="F392" s="116">
        <f t="shared" ref="F392:F455" si="13">(E392/B392)</f>
        <v>1.3478841346153847</v>
      </c>
      <c r="G392" s="88" t="s">
        <v>19662</v>
      </c>
      <c r="H392" s="85" t="s">
        <v>18007</v>
      </c>
      <c r="I392" s="101">
        <v>43938</v>
      </c>
      <c r="N392" s="66" t="s">
        <v>18035</v>
      </c>
      <c r="O392" s="651">
        <v>8227.6319999999996</v>
      </c>
    </row>
    <row r="393" spans="1:15" ht="12.95" hidden="1">
      <c r="A393" s="86">
        <v>43953</v>
      </c>
      <c r="B393" s="87">
        <v>112000</v>
      </c>
      <c r="C393" s="30">
        <v>153440</v>
      </c>
      <c r="D393" s="117">
        <v>0</v>
      </c>
      <c r="E393" s="116">
        <f t="shared" si="12"/>
        <v>153440</v>
      </c>
      <c r="F393" s="116">
        <f t="shared" si="13"/>
        <v>1.37</v>
      </c>
      <c r="G393" s="88" t="s">
        <v>19647</v>
      </c>
      <c r="H393" s="85" t="s">
        <v>17986</v>
      </c>
      <c r="I393" s="101">
        <v>43909</v>
      </c>
      <c r="N393" s="66" t="s">
        <v>18037</v>
      </c>
      <c r="O393" s="651">
        <v>0</v>
      </c>
    </row>
    <row r="394" spans="1:15" ht="12.95" hidden="1">
      <c r="A394" s="86">
        <v>43955</v>
      </c>
      <c r="B394" s="87">
        <v>108000</v>
      </c>
      <c r="C394" s="30">
        <f>46440*3.1523</f>
        <v>146392.81200000001</v>
      </c>
      <c r="D394" s="117">
        <v>19200.067999999999</v>
      </c>
      <c r="E394" s="116">
        <f t="shared" si="12"/>
        <v>127192.74400000001</v>
      </c>
      <c r="F394" s="116">
        <f t="shared" si="13"/>
        <v>1.1777105925925926</v>
      </c>
      <c r="G394" s="88" t="s">
        <v>19722</v>
      </c>
      <c r="H394" s="85" t="s">
        <v>18011</v>
      </c>
      <c r="I394" s="101">
        <v>43939</v>
      </c>
      <c r="N394" s="66" t="s">
        <v>18038</v>
      </c>
      <c r="O394" s="651">
        <v>1542.34</v>
      </c>
    </row>
    <row r="395" spans="1:15" ht="12.95" hidden="1">
      <c r="A395" s="86">
        <v>43956</v>
      </c>
      <c r="B395" s="87">
        <v>108000</v>
      </c>
      <c r="C395" s="30">
        <f>45360*3.1523</f>
        <v>142988.32800000001</v>
      </c>
      <c r="D395" s="117">
        <v>20800.067999999999</v>
      </c>
      <c r="E395" s="116">
        <f t="shared" si="12"/>
        <v>122188.26000000001</v>
      </c>
      <c r="F395" s="116">
        <f t="shared" si="13"/>
        <v>1.1313727777777778</v>
      </c>
      <c r="G395" s="88" t="s">
        <v>19722</v>
      </c>
      <c r="H395" s="85" t="s">
        <v>18013</v>
      </c>
      <c r="I395" s="101">
        <v>43939</v>
      </c>
      <c r="N395" s="66" t="s">
        <v>18040</v>
      </c>
      <c r="O395" s="651">
        <v>0</v>
      </c>
    </row>
    <row r="396" spans="1:15" ht="12.95" hidden="1">
      <c r="A396" s="86">
        <v>43957</v>
      </c>
      <c r="B396" s="87">
        <v>135000</v>
      </c>
      <c r="C396" s="30">
        <f>56700*3.1523</f>
        <v>178735.41</v>
      </c>
      <c r="D396" s="117">
        <v>25953.51</v>
      </c>
      <c r="E396" s="116">
        <f t="shared" si="12"/>
        <v>152781.9</v>
      </c>
      <c r="F396" s="116">
        <f t="shared" si="13"/>
        <v>1.1317177777777778</v>
      </c>
      <c r="G396" s="88" t="s">
        <v>19722</v>
      </c>
      <c r="H396" s="85" t="s">
        <v>18014</v>
      </c>
      <c r="I396" s="101">
        <v>43939</v>
      </c>
      <c r="N396" s="66" t="s">
        <v>18042</v>
      </c>
      <c r="O396" s="651">
        <v>0</v>
      </c>
    </row>
    <row r="397" spans="1:15" ht="12.95" hidden="1">
      <c r="A397" s="86">
        <v>43960</v>
      </c>
      <c r="B397" s="87">
        <v>267360</v>
      </c>
      <c r="C397" s="30">
        <f>154500*2.8985</f>
        <v>447818.25</v>
      </c>
      <c r="D397" s="117">
        <v>46481.4</v>
      </c>
      <c r="E397" s="116">
        <f t="shared" si="12"/>
        <v>401336.85</v>
      </c>
      <c r="F397" s="116">
        <f t="shared" si="13"/>
        <v>1.5011103007181328</v>
      </c>
      <c r="G397" s="88" t="s">
        <v>19688</v>
      </c>
      <c r="H397" s="85" t="s">
        <v>17979</v>
      </c>
      <c r="I397" s="101">
        <v>43901</v>
      </c>
      <c r="N397" s="66" t="s">
        <v>18043</v>
      </c>
      <c r="O397" s="651">
        <v>0</v>
      </c>
    </row>
    <row r="398" spans="1:15" ht="12.95" hidden="1">
      <c r="A398" s="86">
        <v>43962</v>
      </c>
      <c r="B398" s="124">
        <v>84000</v>
      </c>
      <c r="C398" s="131">
        <v>105588</v>
      </c>
      <c r="D398" s="117">
        <v>0</v>
      </c>
      <c r="E398" s="116">
        <f t="shared" si="12"/>
        <v>105588</v>
      </c>
      <c r="F398" s="116">
        <f t="shared" si="13"/>
        <v>1.2569999999999999</v>
      </c>
      <c r="G398" s="88" t="s">
        <v>19656</v>
      </c>
      <c r="H398" s="85" t="s">
        <v>17981</v>
      </c>
      <c r="I398" s="143">
        <v>43901</v>
      </c>
      <c r="N398" s="66" t="s">
        <v>18044</v>
      </c>
      <c r="O398" s="651">
        <v>0</v>
      </c>
    </row>
    <row r="399" spans="1:15" ht="12.95" hidden="1">
      <c r="A399" s="86">
        <v>43962</v>
      </c>
      <c r="B399" s="124">
        <v>17004</v>
      </c>
      <c r="C399" s="131">
        <v>25846.080000000002</v>
      </c>
      <c r="D399" s="117">
        <v>0</v>
      </c>
      <c r="E399" s="116">
        <f t="shared" si="12"/>
        <v>25846.080000000002</v>
      </c>
      <c r="F399" s="116">
        <f t="shared" si="13"/>
        <v>1.52</v>
      </c>
      <c r="G399" s="88" t="s">
        <v>19763</v>
      </c>
      <c r="H399" s="85" t="s">
        <v>18015</v>
      </c>
      <c r="I399" s="143">
        <v>43941</v>
      </c>
      <c r="N399" s="66" t="s">
        <v>18045</v>
      </c>
      <c r="O399" s="651">
        <v>10662.09</v>
      </c>
    </row>
    <row r="400" spans="1:15" ht="12.95" hidden="1">
      <c r="A400" s="86">
        <v>43962</v>
      </c>
      <c r="B400" s="124">
        <v>18000</v>
      </c>
      <c r="C400" s="131">
        <v>29160</v>
      </c>
      <c r="D400" s="117">
        <v>0</v>
      </c>
      <c r="E400" s="116">
        <f t="shared" si="12"/>
        <v>29160</v>
      </c>
      <c r="F400" s="116">
        <f t="shared" si="13"/>
        <v>1.62</v>
      </c>
      <c r="G400" s="88" t="s">
        <v>19655</v>
      </c>
      <c r="H400" s="85" t="s">
        <v>18023</v>
      </c>
      <c r="I400" s="143">
        <v>43955</v>
      </c>
      <c r="N400" s="66" t="s">
        <v>18047</v>
      </c>
      <c r="O400" s="651">
        <v>10662.09</v>
      </c>
    </row>
    <row r="401" spans="1:15" ht="12.95" hidden="1">
      <c r="A401" s="86">
        <v>43963</v>
      </c>
      <c r="B401" s="124">
        <v>25440</v>
      </c>
      <c r="C401" s="131">
        <v>42919.199999999997</v>
      </c>
      <c r="D401" s="117">
        <v>0</v>
      </c>
      <c r="E401" s="116">
        <f t="shared" si="12"/>
        <v>42919.199999999997</v>
      </c>
      <c r="F401" s="116">
        <f t="shared" si="13"/>
        <v>1.6870754716981131</v>
      </c>
      <c r="G401" s="88" t="s">
        <v>19764</v>
      </c>
      <c r="H401" s="85" t="s">
        <v>18024</v>
      </c>
      <c r="I401" s="143">
        <v>43957</v>
      </c>
      <c r="N401" s="66" t="s">
        <v>18049</v>
      </c>
      <c r="O401" s="651">
        <v>0</v>
      </c>
    </row>
    <row r="402" spans="1:15" ht="12.95" hidden="1">
      <c r="A402" s="86">
        <v>43964</v>
      </c>
      <c r="B402" s="124">
        <v>88032</v>
      </c>
      <c r="C402" s="131">
        <v>133808.64000000001</v>
      </c>
      <c r="D402" s="117">
        <v>0</v>
      </c>
      <c r="E402" s="116">
        <f t="shared" si="12"/>
        <v>133808.64000000001</v>
      </c>
      <c r="F402" s="116">
        <f t="shared" si="13"/>
        <v>1.5200000000000002</v>
      </c>
      <c r="G402" s="88" t="s">
        <v>19765</v>
      </c>
      <c r="H402" s="85" t="s">
        <v>18029</v>
      </c>
      <c r="I402" s="143">
        <v>43957</v>
      </c>
      <c r="N402" s="66" t="s">
        <v>18050</v>
      </c>
      <c r="O402" s="651">
        <v>0</v>
      </c>
    </row>
    <row r="403" spans="1:15" ht="12.95" hidden="1">
      <c r="A403" s="86">
        <v>43964</v>
      </c>
      <c r="B403" s="124">
        <v>22008</v>
      </c>
      <c r="C403" s="131">
        <v>33452.160000000003</v>
      </c>
      <c r="D403" s="117">
        <v>0</v>
      </c>
      <c r="E403" s="116">
        <f t="shared" si="12"/>
        <v>33452.160000000003</v>
      </c>
      <c r="F403" s="116">
        <f t="shared" si="13"/>
        <v>1.5200000000000002</v>
      </c>
      <c r="G403" s="88" t="s">
        <v>19765</v>
      </c>
      <c r="H403" s="85" t="s">
        <v>18027</v>
      </c>
      <c r="I403" s="143">
        <v>43957</v>
      </c>
      <c r="N403" s="66" t="s">
        <v>18052</v>
      </c>
      <c r="O403" s="651">
        <v>0</v>
      </c>
    </row>
    <row r="404" spans="1:15" ht="12.95" hidden="1">
      <c r="A404" s="86">
        <v>43965</v>
      </c>
      <c r="B404" s="124">
        <v>25440</v>
      </c>
      <c r="C404" s="131">
        <v>42490.6</v>
      </c>
      <c r="D404" s="117">
        <v>0</v>
      </c>
      <c r="E404" s="116">
        <f t="shared" si="12"/>
        <v>42490.6</v>
      </c>
      <c r="F404" s="116">
        <f t="shared" si="13"/>
        <v>1.6702279874213837</v>
      </c>
      <c r="G404" s="88" t="s">
        <v>19764</v>
      </c>
      <c r="H404" s="85" t="s">
        <v>18025</v>
      </c>
      <c r="I404" s="143">
        <v>43957</v>
      </c>
      <c r="N404" s="66" t="s">
        <v>18054</v>
      </c>
      <c r="O404" s="651">
        <v>0</v>
      </c>
    </row>
    <row r="405" spans="1:15" ht="12.95" hidden="1">
      <c r="A405" s="86">
        <v>43965</v>
      </c>
      <c r="B405" s="124">
        <v>25440</v>
      </c>
      <c r="C405" s="131">
        <v>42417.599999999999</v>
      </c>
      <c r="D405" s="117">
        <v>0</v>
      </c>
      <c r="E405" s="116">
        <f t="shared" si="12"/>
        <v>42417.599999999999</v>
      </c>
      <c r="F405" s="116">
        <f t="shared" si="13"/>
        <v>1.6673584905660377</v>
      </c>
      <c r="G405" s="88" t="s">
        <v>19764</v>
      </c>
      <c r="H405" s="85" t="s">
        <v>18026</v>
      </c>
      <c r="I405" s="143">
        <v>43957</v>
      </c>
      <c r="N405" s="66" t="s">
        <v>18055</v>
      </c>
      <c r="O405" s="651">
        <v>0</v>
      </c>
    </row>
    <row r="406" spans="1:15" ht="12.95" hidden="1">
      <c r="A406" s="86">
        <v>43965</v>
      </c>
      <c r="B406" s="87">
        <v>40000</v>
      </c>
      <c r="C406" s="30">
        <v>63200</v>
      </c>
      <c r="D406" s="117">
        <v>0</v>
      </c>
      <c r="E406" s="116">
        <f t="shared" si="12"/>
        <v>63200</v>
      </c>
      <c r="F406" s="116">
        <f t="shared" si="13"/>
        <v>1.58</v>
      </c>
      <c r="G406" s="88" t="s">
        <v>19682</v>
      </c>
      <c r="H406" s="85" t="s">
        <v>18030</v>
      </c>
      <c r="I406" s="101">
        <v>43958</v>
      </c>
      <c r="N406" s="66" t="s">
        <v>18056</v>
      </c>
      <c r="O406" s="651">
        <v>0</v>
      </c>
    </row>
    <row r="407" spans="1:15" ht="12.95" hidden="1">
      <c r="A407" s="86">
        <v>43965</v>
      </c>
      <c r="B407" s="87">
        <v>20000</v>
      </c>
      <c r="C407" s="131">
        <f>13800*2.9097</f>
        <v>40153.86</v>
      </c>
      <c r="D407" s="117">
        <v>4789.09</v>
      </c>
      <c r="E407" s="116">
        <f t="shared" si="12"/>
        <v>35364.770000000004</v>
      </c>
      <c r="F407" s="116">
        <f t="shared" si="13"/>
        <v>1.7682385000000003</v>
      </c>
      <c r="G407" s="88" t="s">
        <v>19766</v>
      </c>
      <c r="H407" s="85" t="s">
        <v>18031</v>
      </c>
      <c r="I407" s="101">
        <v>43959</v>
      </c>
      <c r="N407" s="66" t="s">
        <v>18057</v>
      </c>
      <c r="O407" s="651">
        <v>0</v>
      </c>
    </row>
    <row r="408" spans="1:15" ht="12.95" hidden="1">
      <c r="A408" s="86">
        <v>43966</v>
      </c>
      <c r="B408" s="87">
        <v>70208</v>
      </c>
      <c r="C408" s="30">
        <f>37695.48*3.1547</f>
        <v>118917.93075600002</v>
      </c>
      <c r="D408" s="117">
        <v>25499.989000000001</v>
      </c>
      <c r="E408" s="116">
        <f t="shared" si="12"/>
        <v>93417.941756000015</v>
      </c>
      <c r="F408" s="116">
        <f t="shared" si="13"/>
        <v>1.3305882770624433</v>
      </c>
      <c r="G408" s="88" t="s">
        <v>19651</v>
      </c>
      <c r="H408" s="85" t="s">
        <v>17973</v>
      </c>
      <c r="I408" s="101">
        <v>43901</v>
      </c>
      <c r="N408" s="66" t="s">
        <v>18058</v>
      </c>
      <c r="O408" s="651">
        <v>0</v>
      </c>
    </row>
    <row r="409" spans="1:15" ht="12.95" hidden="1">
      <c r="A409" s="86">
        <v>43967</v>
      </c>
      <c r="B409" s="87">
        <v>26000</v>
      </c>
      <c r="C409" s="30">
        <v>37310</v>
      </c>
      <c r="D409" s="117">
        <v>0</v>
      </c>
      <c r="E409" s="116">
        <f t="shared" si="12"/>
        <v>37310</v>
      </c>
      <c r="F409" s="116">
        <f t="shared" si="13"/>
        <v>1.4350000000000001</v>
      </c>
      <c r="G409" s="88" t="s">
        <v>19656</v>
      </c>
      <c r="H409" s="85" t="s">
        <v>17968</v>
      </c>
      <c r="I409" s="101">
        <v>43901</v>
      </c>
      <c r="N409" s="66" t="s">
        <v>18059</v>
      </c>
      <c r="O409" s="651">
        <v>0</v>
      </c>
    </row>
    <row r="410" spans="1:15" ht="12.95" hidden="1">
      <c r="A410" s="86">
        <v>43967</v>
      </c>
      <c r="B410" s="87">
        <v>41160</v>
      </c>
      <c r="C410" s="30">
        <v>62539.8</v>
      </c>
      <c r="D410" s="117">
        <v>0</v>
      </c>
      <c r="E410" s="116">
        <f t="shared" si="12"/>
        <v>62539.8</v>
      </c>
      <c r="F410" s="116">
        <f t="shared" si="13"/>
        <v>1.5194314868804666</v>
      </c>
      <c r="G410" s="88" t="s">
        <v>19656</v>
      </c>
      <c r="H410" s="85" t="s">
        <v>17969</v>
      </c>
      <c r="I410" s="101">
        <v>43901</v>
      </c>
      <c r="N410" s="66" t="s">
        <v>18061</v>
      </c>
      <c r="O410" s="651">
        <v>9592.7999999999993</v>
      </c>
    </row>
    <row r="411" spans="1:15" ht="12.95" hidden="1">
      <c r="A411" s="86">
        <v>43970</v>
      </c>
      <c r="B411" s="82">
        <v>115632</v>
      </c>
      <c r="C411" s="30">
        <v>173825.04</v>
      </c>
      <c r="D411" s="117">
        <v>0</v>
      </c>
      <c r="E411" s="116">
        <f t="shared" si="12"/>
        <v>173825.04</v>
      </c>
      <c r="F411" s="116">
        <f t="shared" si="13"/>
        <v>1.503260689082607</v>
      </c>
      <c r="G411" s="88" t="s">
        <v>19647</v>
      </c>
      <c r="H411" s="85" t="s">
        <v>18008</v>
      </c>
      <c r="I411" s="101">
        <v>43938</v>
      </c>
      <c r="N411" s="66" t="s">
        <v>18063</v>
      </c>
      <c r="O411" s="651">
        <v>0</v>
      </c>
    </row>
    <row r="412" spans="1:15" ht="12.95" hidden="1">
      <c r="A412" s="86">
        <v>43971</v>
      </c>
      <c r="B412" s="82">
        <v>22008</v>
      </c>
      <c r="C412" s="30">
        <f>15317.57*2.9155</f>
        <v>44658.375335000004</v>
      </c>
      <c r="D412" s="117">
        <v>8071.6040000000003</v>
      </c>
      <c r="E412" s="116">
        <f t="shared" si="12"/>
        <v>36586.771335000005</v>
      </c>
      <c r="F412" s="116">
        <f t="shared" si="13"/>
        <v>1.6624305404852784</v>
      </c>
      <c r="G412" s="88" t="s">
        <v>19767</v>
      </c>
      <c r="H412" s="85" t="s">
        <v>17975</v>
      </c>
      <c r="I412" s="101">
        <v>43901</v>
      </c>
      <c r="N412" s="66" t="s">
        <v>18065</v>
      </c>
      <c r="O412" s="651">
        <v>96741.195000000007</v>
      </c>
    </row>
    <row r="413" spans="1:15" ht="12.95" hidden="1">
      <c r="A413" s="86">
        <v>43972</v>
      </c>
      <c r="B413" s="82">
        <v>88032</v>
      </c>
      <c r="C413" s="30">
        <f>54463.52*2.8941</f>
        <v>157622.87323199998</v>
      </c>
      <c r="D413" s="117">
        <v>29972.991999999998</v>
      </c>
      <c r="E413" s="116">
        <f t="shared" si="12"/>
        <v>127649.88123199999</v>
      </c>
      <c r="F413" s="116">
        <f t="shared" si="13"/>
        <v>1.4500395450745183</v>
      </c>
      <c r="G413" s="88" t="s">
        <v>19726</v>
      </c>
      <c r="H413" s="85" t="s">
        <v>18033</v>
      </c>
      <c r="I413" s="101">
        <v>43959</v>
      </c>
      <c r="N413" s="66" t="s">
        <v>18066</v>
      </c>
      <c r="O413" s="651">
        <v>152021.535</v>
      </c>
    </row>
    <row r="414" spans="1:15" ht="12.95" hidden="1">
      <c r="A414" s="86">
        <v>43973</v>
      </c>
      <c r="B414" s="87">
        <v>110040</v>
      </c>
      <c r="C414" s="30">
        <v>144152.4</v>
      </c>
      <c r="D414" s="117">
        <v>0</v>
      </c>
      <c r="E414" s="116">
        <f t="shared" si="12"/>
        <v>144152.4</v>
      </c>
      <c r="F414" s="116">
        <f t="shared" si="13"/>
        <v>1.31</v>
      </c>
      <c r="G414" s="88" t="s">
        <v>19768</v>
      </c>
      <c r="H414" s="85" t="s">
        <v>17966</v>
      </c>
      <c r="I414" s="101">
        <v>43901</v>
      </c>
      <c r="N414" s="66" t="s">
        <v>18068</v>
      </c>
      <c r="O414" s="651">
        <v>105432.98</v>
      </c>
    </row>
    <row r="415" spans="1:15" ht="12.95" hidden="1">
      <c r="A415" s="86">
        <v>43973</v>
      </c>
      <c r="B415" s="87">
        <v>27300</v>
      </c>
      <c r="C415" s="30">
        <f>16341*3.1659</f>
        <v>51733.971900000004</v>
      </c>
      <c r="D415" s="127">
        <v>10662.09</v>
      </c>
      <c r="E415" s="116">
        <f t="shared" si="12"/>
        <v>41071.881900000008</v>
      </c>
      <c r="F415" s="116">
        <f t="shared" si="13"/>
        <v>1.5044645384615387</v>
      </c>
      <c r="G415" s="88" t="s">
        <v>19661</v>
      </c>
      <c r="H415" s="85" t="s">
        <v>18045</v>
      </c>
      <c r="I415" s="101">
        <v>43969</v>
      </c>
      <c r="N415" s="66" t="s">
        <v>18069</v>
      </c>
      <c r="O415" s="651">
        <v>0</v>
      </c>
    </row>
    <row r="416" spans="1:15" ht="12.95" hidden="1">
      <c r="A416" s="86">
        <v>43973</v>
      </c>
      <c r="B416" s="87">
        <v>27336</v>
      </c>
      <c r="C416" s="30">
        <f>16346.64*3.1659</f>
        <v>51751.827576000003</v>
      </c>
      <c r="D416" s="127">
        <v>10662.09</v>
      </c>
      <c r="E416" s="116">
        <f t="shared" si="12"/>
        <v>41089.737576</v>
      </c>
      <c r="F416" s="116">
        <f t="shared" si="13"/>
        <v>1.5031364345917471</v>
      </c>
      <c r="G416" s="88" t="s">
        <v>19661</v>
      </c>
      <c r="H416" s="85" t="s">
        <v>18047</v>
      </c>
      <c r="I416" s="101">
        <v>43969</v>
      </c>
      <c r="N416" s="66" t="s">
        <v>18070</v>
      </c>
      <c r="O416" s="651">
        <v>0</v>
      </c>
    </row>
    <row r="417" spans="1:15" ht="12.95" hidden="1">
      <c r="A417" s="86">
        <v>43977</v>
      </c>
      <c r="B417" s="87">
        <v>42500</v>
      </c>
      <c r="C417" s="30">
        <v>69275</v>
      </c>
      <c r="D417" s="117">
        <v>0</v>
      </c>
      <c r="E417" s="116">
        <f t="shared" si="12"/>
        <v>69275</v>
      </c>
      <c r="F417" s="116">
        <f t="shared" si="13"/>
        <v>1.63</v>
      </c>
      <c r="G417" s="88" t="s">
        <v>19769</v>
      </c>
      <c r="H417" s="85" t="s">
        <v>18049</v>
      </c>
      <c r="I417" s="101">
        <v>43969</v>
      </c>
      <c r="N417" s="66" t="s">
        <v>18071</v>
      </c>
      <c r="O417" s="651">
        <v>0</v>
      </c>
    </row>
    <row r="418" spans="1:15" ht="12.95" hidden="1">
      <c r="A418" s="86">
        <v>43978</v>
      </c>
      <c r="B418" s="87">
        <v>40000</v>
      </c>
      <c r="C418" s="30">
        <v>64800</v>
      </c>
      <c r="D418" s="117">
        <v>0</v>
      </c>
      <c r="E418" s="116">
        <f t="shared" si="12"/>
        <v>64800</v>
      </c>
      <c r="F418" s="116">
        <f t="shared" si="13"/>
        <v>1.62</v>
      </c>
      <c r="G418" s="88" t="s">
        <v>19679</v>
      </c>
      <c r="H418" s="85" t="s">
        <v>18037</v>
      </c>
      <c r="I418" s="101">
        <v>43965</v>
      </c>
      <c r="N418" s="66" t="s">
        <v>18072</v>
      </c>
      <c r="O418" s="651">
        <v>0</v>
      </c>
    </row>
    <row r="419" spans="1:15" ht="12.95" hidden="1">
      <c r="A419" s="86">
        <v>43978</v>
      </c>
      <c r="B419" s="87">
        <v>22008</v>
      </c>
      <c r="C419" s="30">
        <v>33452.160000000003</v>
      </c>
      <c r="D419" s="117">
        <v>0</v>
      </c>
      <c r="E419" s="116">
        <f t="shared" si="12"/>
        <v>33452.160000000003</v>
      </c>
      <c r="F419" s="116">
        <f t="shared" si="13"/>
        <v>1.5200000000000002</v>
      </c>
      <c r="G419" s="88" t="s">
        <v>19655</v>
      </c>
      <c r="H419" s="85" t="s">
        <v>18042</v>
      </c>
      <c r="I419" s="101">
        <v>43969</v>
      </c>
      <c r="N419" s="66" t="s">
        <v>18074</v>
      </c>
      <c r="O419" s="651">
        <v>0</v>
      </c>
    </row>
    <row r="420" spans="1:15" ht="12.95" hidden="1">
      <c r="A420" s="86">
        <v>43978</v>
      </c>
      <c r="B420" s="87">
        <v>21600</v>
      </c>
      <c r="C420" s="30">
        <v>33264</v>
      </c>
      <c r="D420" s="117">
        <v>0</v>
      </c>
      <c r="E420" s="116">
        <f t="shared" si="12"/>
        <v>33264</v>
      </c>
      <c r="F420" s="116">
        <f t="shared" si="13"/>
        <v>1.54</v>
      </c>
      <c r="G420" s="88" t="s">
        <v>19655</v>
      </c>
      <c r="H420" s="85" t="s">
        <v>18044</v>
      </c>
      <c r="I420" s="101">
        <v>43969</v>
      </c>
      <c r="N420" s="66" t="s">
        <v>18075</v>
      </c>
      <c r="O420" s="651">
        <v>0</v>
      </c>
    </row>
    <row r="421" spans="1:15" ht="12.95" hidden="1">
      <c r="A421" s="86">
        <v>43978</v>
      </c>
      <c r="B421" s="87">
        <v>14982</v>
      </c>
      <c r="C421" s="30">
        <v>26368.32</v>
      </c>
      <c r="D421" s="117">
        <v>0</v>
      </c>
      <c r="E421" s="116">
        <f t="shared" si="12"/>
        <v>26368.32</v>
      </c>
      <c r="F421" s="116">
        <f t="shared" si="13"/>
        <v>1.76</v>
      </c>
      <c r="G421" s="88" t="s">
        <v>19769</v>
      </c>
      <c r="H421" s="85" t="s">
        <v>18043</v>
      </c>
      <c r="I421" s="101">
        <v>43969</v>
      </c>
      <c r="N421" s="66" t="s">
        <v>18076</v>
      </c>
      <c r="O421" s="651">
        <v>10312.09</v>
      </c>
    </row>
    <row r="422" spans="1:15" ht="12.95" hidden="1">
      <c r="A422" s="86">
        <v>43980</v>
      </c>
      <c r="B422" s="87">
        <v>57600</v>
      </c>
      <c r="C422" s="30">
        <v>90432</v>
      </c>
      <c r="D422" s="117">
        <v>0</v>
      </c>
      <c r="E422" s="116">
        <f t="shared" si="12"/>
        <v>90432</v>
      </c>
      <c r="F422" s="116">
        <f t="shared" si="13"/>
        <v>1.57</v>
      </c>
      <c r="G422" s="88" t="s">
        <v>19647</v>
      </c>
      <c r="H422" s="85" t="s">
        <v>18054</v>
      </c>
      <c r="I422" s="101">
        <v>43973</v>
      </c>
      <c r="N422" s="66" t="s">
        <v>18078</v>
      </c>
      <c r="O422" s="651">
        <v>10312.09</v>
      </c>
    </row>
    <row r="423" spans="1:15" ht="12.95" hidden="1">
      <c r="A423" s="86">
        <v>43981</v>
      </c>
      <c r="B423" s="87">
        <v>84000</v>
      </c>
      <c r="C423" s="30">
        <v>116480</v>
      </c>
      <c r="D423" s="117">
        <v>0</v>
      </c>
      <c r="E423" s="116">
        <f t="shared" si="12"/>
        <v>116480</v>
      </c>
      <c r="F423" s="116">
        <f t="shared" si="13"/>
        <v>1.3866666666666667</v>
      </c>
      <c r="G423" s="88" t="s">
        <v>19647</v>
      </c>
      <c r="H423" s="85" t="s">
        <v>18050</v>
      </c>
      <c r="I423" s="101">
        <v>43973</v>
      </c>
      <c r="N423" s="66" t="s">
        <v>18080</v>
      </c>
      <c r="O423" s="651">
        <v>75583.67</v>
      </c>
    </row>
    <row r="424" spans="1:15" ht="12.95" hidden="1">
      <c r="A424" s="132">
        <v>43983</v>
      </c>
      <c r="B424" s="133">
        <v>19800</v>
      </c>
      <c r="C424" s="134">
        <v>29304</v>
      </c>
      <c r="D424" s="117">
        <v>0</v>
      </c>
      <c r="E424" s="135">
        <f t="shared" si="12"/>
        <v>29304</v>
      </c>
      <c r="F424" s="135">
        <f t="shared" si="13"/>
        <v>1.48</v>
      </c>
      <c r="G424" s="136" t="s">
        <v>19647</v>
      </c>
      <c r="H424" s="137" t="s">
        <v>18050</v>
      </c>
      <c r="I424" s="144">
        <v>43973</v>
      </c>
      <c r="N424" s="66" t="s">
        <v>18082</v>
      </c>
      <c r="O424" s="651">
        <v>26047.58</v>
      </c>
    </row>
    <row r="425" spans="1:15" ht="12.95" hidden="1">
      <c r="A425" s="81">
        <v>43983</v>
      </c>
      <c r="B425" s="138">
        <v>75800</v>
      </c>
      <c r="C425" s="139">
        <v>107424</v>
      </c>
      <c r="D425" s="117">
        <v>0</v>
      </c>
      <c r="E425" s="116">
        <f t="shared" si="12"/>
        <v>107424</v>
      </c>
      <c r="F425" s="116">
        <f t="shared" si="13"/>
        <v>1.4172031662269129</v>
      </c>
      <c r="G425" s="88" t="s">
        <v>19647</v>
      </c>
      <c r="H425" s="85" t="s">
        <v>18052</v>
      </c>
      <c r="I425" s="129">
        <v>43973</v>
      </c>
      <c r="N425" s="66" t="s">
        <v>18083</v>
      </c>
      <c r="O425" s="651">
        <v>0</v>
      </c>
    </row>
    <row r="426" spans="1:15" ht="12.95" hidden="1">
      <c r="A426" s="81">
        <v>43983</v>
      </c>
      <c r="B426" s="138">
        <v>16360</v>
      </c>
      <c r="C426" s="139">
        <f>19785.4*2.8672</f>
        <v>56728.698880000004</v>
      </c>
      <c r="D426" s="117">
        <v>1542.34</v>
      </c>
      <c r="E426" s="116">
        <f t="shared" si="12"/>
        <v>55186.358880000007</v>
      </c>
      <c r="F426" s="116">
        <f t="shared" si="13"/>
        <v>3.3732493202933989</v>
      </c>
      <c r="G426" s="88" t="s">
        <v>19653</v>
      </c>
      <c r="H426" s="85" t="s">
        <v>18038</v>
      </c>
      <c r="I426" s="129">
        <v>43965</v>
      </c>
      <c r="N426" s="66" t="s">
        <v>18086</v>
      </c>
      <c r="O426" s="651">
        <v>44081.58</v>
      </c>
    </row>
    <row r="427" spans="1:15" ht="12.95" hidden="1">
      <c r="A427" s="140">
        <v>43985</v>
      </c>
      <c r="B427" s="138">
        <v>280000</v>
      </c>
      <c r="C427" s="139">
        <v>347200</v>
      </c>
      <c r="D427" s="117">
        <v>0</v>
      </c>
      <c r="E427" s="116">
        <f t="shared" si="12"/>
        <v>347200</v>
      </c>
      <c r="F427" s="116">
        <f t="shared" si="13"/>
        <v>1.24</v>
      </c>
      <c r="G427" s="88" t="s">
        <v>19655</v>
      </c>
      <c r="H427" s="85" t="s">
        <v>18057</v>
      </c>
      <c r="I427" s="130">
        <v>43979</v>
      </c>
      <c r="N427" s="66" t="s">
        <v>18087</v>
      </c>
      <c r="O427" s="651">
        <v>0</v>
      </c>
    </row>
    <row r="428" spans="1:15" ht="12.95" hidden="1">
      <c r="A428" s="81">
        <v>43986</v>
      </c>
      <c r="B428" s="138">
        <v>40000</v>
      </c>
      <c r="C428" s="141">
        <f>27200*2.8639</f>
        <v>77898.080000000002</v>
      </c>
      <c r="D428" s="117">
        <v>8227.6319999999996</v>
      </c>
      <c r="E428" s="116">
        <f t="shared" si="12"/>
        <v>69670.448000000004</v>
      </c>
      <c r="F428" s="116">
        <f t="shared" si="13"/>
        <v>1.7417612</v>
      </c>
      <c r="G428" s="88" t="s">
        <v>19770</v>
      </c>
      <c r="H428" s="85" t="s">
        <v>18035</v>
      </c>
      <c r="I428" s="129">
        <v>43960</v>
      </c>
      <c r="N428" s="66" t="s">
        <v>18088</v>
      </c>
      <c r="O428" s="651">
        <v>0</v>
      </c>
    </row>
    <row r="429" spans="1:15" ht="12.95" hidden="1">
      <c r="A429" s="140">
        <v>43987</v>
      </c>
      <c r="B429" s="138">
        <v>41000</v>
      </c>
      <c r="C429" s="142">
        <v>65190</v>
      </c>
      <c r="D429" s="117">
        <v>0</v>
      </c>
      <c r="E429" s="116">
        <f t="shared" si="12"/>
        <v>65190</v>
      </c>
      <c r="F429" s="116">
        <f t="shared" si="13"/>
        <v>1.59</v>
      </c>
      <c r="G429" s="88" t="s">
        <v>19748</v>
      </c>
      <c r="H429" s="85" t="s">
        <v>18021</v>
      </c>
      <c r="I429" s="129">
        <v>43950</v>
      </c>
      <c r="N429" s="66" t="s">
        <v>18090</v>
      </c>
      <c r="O429" s="651">
        <v>0</v>
      </c>
    </row>
    <row r="430" spans="1:15" ht="12.95" hidden="1">
      <c r="A430" s="140">
        <v>43987</v>
      </c>
      <c r="B430" s="138">
        <v>20000</v>
      </c>
      <c r="C430" s="142">
        <v>34800</v>
      </c>
      <c r="D430" s="117">
        <v>0</v>
      </c>
      <c r="E430" s="116">
        <f t="shared" si="12"/>
        <v>34800</v>
      </c>
      <c r="F430" s="116">
        <f t="shared" si="13"/>
        <v>1.74</v>
      </c>
      <c r="G430" s="88" t="s">
        <v>19679</v>
      </c>
      <c r="H430" s="85" t="s">
        <v>18059</v>
      </c>
      <c r="I430" s="129">
        <v>43983</v>
      </c>
      <c r="N430" s="66" t="s">
        <v>18091</v>
      </c>
      <c r="O430" s="651">
        <v>0</v>
      </c>
    </row>
    <row r="431" spans="1:15" ht="12.95" hidden="1">
      <c r="A431" s="140">
        <v>43987</v>
      </c>
      <c r="B431" s="138">
        <v>57600</v>
      </c>
      <c r="C431" s="142">
        <v>90432</v>
      </c>
      <c r="D431" s="117">
        <v>0</v>
      </c>
      <c r="E431" s="116">
        <f t="shared" si="12"/>
        <v>90432</v>
      </c>
      <c r="F431" s="116">
        <f t="shared" si="13"/>
        <v>1.57</v>
      </c>
      <c r="G431" s="88" t="s">
        <v>19656</v>
      </c>
      <c r="H431" s="85" t="s">
        <v>18058</v>
      </c>
      <c r="I431" s="129">
        <v>43983</v>
      </c>
      <c r="N431" s="66" t="s">
        <v>18093</v>
      </c>
      <c r="O431" s="651">
        <v>0</v>
      </c>
    </row>
    <row r="432" spans="1:15" ht="12.95" hidden="1">
      <c r="A432" s="140">
        <v>43990</v>
      </c>
      <c r="B432" s="138">
        <v>78000</v>
      </c>
      <c r="C432" s="142">
        <v>97500</v>
      </c>
      <c r="D432" s="117">
        <v>0</v>
      </c>
      <c r="E432" s="116">
        <f t="shared" si="12"/>
        <v>97500</v>
      </c>
      <c r="F432" s="116">
        <f t="shared" si="13"/>
        <v>1.25</v>
      </c>
      <c r="G432" s="88" t="s">
        <v>19652</v>
      </c>
      <c r="H432" s="85" t="s">
        <v>18040</v>
      </c>
      <c r="I432" s="129">
        <v>43965</v>
      </c>
      <c r="N432" s="66" t="s">
        <v>18095</v>
      </c>
      <c r="O432" s="651">
        <v>0</v>
      </c>
    </row>
    <row r="433" spans="1:15" ht="12.95" hidden="1">
      <c r="A433" s="140">
        <v>43994</v>
      </c>
      <c r="B433" s="138">
        <v>278000</v>
      </c>
      <c r="C433" s="142">
        <f>152900*2.82795</f>
        <v>432393.55499999999</v>
      </c>
      <c r="D433" s="117">
        <v>105432.98</v>
      </c>
      <c r="E433" s="116">
        <f t="shared" si="12"/>
        <v>326960.57500000001</v>
      </c>
      <c r="F433" s="116">
        <f t="shared" si="13"/>
        <v>1.1761171762589928</v>
      </c>
      <c r="G433" s="88" t="s">
        <v>19752</v>
      </c>
      <c r="H433" s="85" t="s">
        <v>18068</v>
      </c>
      <c r="I433" s="129">
        <v>43991</v>
      </c>
      <c r="N433" s="66" t="s">
        <v>18096</v>
      </c>
      <c r="O433" s="651">
        <v>42924.08</v>
      </c>
    </row>
    <row r="434" spans="1:15" ht="12.95" hidden="1">
      <c r="A434" s="140">
        <v>43995</v>
      </c>
      <c r="B434" s="138">
        <v>894960</v>
      </c>
      <c r="C434" s="139">
        <f>520416*2.83785</f>
        <v>1476862.5456000001</v>
      </c>
      <c r="D434" s="117">
        <v>152021.535</v>
      </c>
      <c r="E434" s="116">
        <f t="shared" si="12"/>
        <v>1324841.0106000002</v>
      </c>
      <c r="F434" s="116">
        <f t="shared" si="13"/>
        <v>1.4803354458299813</v>
      </c>
      <c r="G434" s="88" t="s">
        <v>17234</v>
      </c>
      <c r="H434" s="85" t="s">
        <v>18066</v>
      </c>
      <c r="I434" s="130">
        <v>43986</v>
      </c>
      <c r="N434" s="66" t="s">
        <v>18098</v>
      </c>
      <c r="O434" s="651">
        <v>0</v>
      </c>
    </row>
    <row r="435" spans="1:15" ht="12.95" hidden="1">
      <c r="A435" s="140">
        <v>43998</v>
      </c>
      <c r="B435" s="138">
        <v>174300</v>
      </c>
      <c r="C435" s="139">
        <f>106291.8*2.8357</f>
        <v>301411.65726000001</v>
      </c>
      <c r="D435" s="117">
        <v>75583.67</v>
      </c>
      <c r="E435" s="116">
        <f t="shared" si="12"/>
        <v>225827.98726000002</v>
      </c>
      <c r="F435" s="116">
        <f t="shared" si="13"/>
        <v>1.2956281541021228</v>
      </c>
      <c r="G435" s="88" t="s">
        <v>19662</v>
      </c>
      <c r="H435" s="85" t="s">
        <v>18080</v>
      </c>
      <c r="I435" s="129">
        <v>43995</v>
      </c>
      <c r="N435" s="66" t="s">
        <v>18100</v>
      </c>
      <c r="O435" s="651">
        <v>0</v>
      </c>
    </row>
    <row r="436" spans="1:15" ht="12.95" hidden="1">
      <c r="A436" s="140">
        <v>43938</v>
      </c>
      <c r="B436" s="138">
        <v>55404</v>
      </c>
      <c r="C436" s="139">
        <v>79097.52</v>
      </c>
      <c r="D436" s="117">
        <v>0</v>
      </c>
      <c r="E436" s="116">
        <f t="shared" si="12"/>
        <v>79097.52</v>
      </c>
      <c r="F436" s="116">
        <f t="shared" si="13"/>
        <v>1.427649989170457</v>
      </c>
      <c r="G436" s="88" t="s">
        <v>19655</v>
      </c>
      <c r="H436" s="85" t="s">
        <v>18069</v>
      </c>
      <c r="I436" s="129">
        <v>43993</v>
      </c>
      <c r="N436" s="66" t="s">
        <v>18101</v>
      </c>
      <c r="O436" s="651">
        <v>0</v>
      </c>
    </row>
    <row r="437" spans="1:15" ht="12.95" hidden="1">
      <c r="A437" s="140">
        <v>43938</v>
      </c>
      <c r="B437" s="138">
        <v>55404</v>
      </c>
      <c r="C437" s="139">
        <v>84637.92</v>
      </c>
      <c r="D437" s="117">
        <v>0</v>
      </c>
      <c r="E437" s="116">
        <f t="shared" si="12"/>
        <v>84637.92</v>
      </c>
      <c r="F437" s="116">
        <f t="shared" si="13"/>
        <v>1.5276499891704569</v>
      </c>
      <c r="G437" s="88" t="s">
        <v>19655</v>
      </c>
      <c r="H437" s="85" t="s">
        <v>18070</v>
      </c>
      <c r="I437" s="129">
        <v>43994</v>
      </c>
      <c r="N437" s="66" t="s">
        <v>18102</v>
      </c>
      <c r="O437" s="651">
        <v>0</v>
      </c>
    </row>
    <row r="438" spans="1:15" ht="12.95" hidden="1">
      <c r="A438" s="140">
        <v>43938</v>
      </c>
      <c r="B438" s="138">
        <v>19200</v>
      </c>
      <c r="C438" s="139">
        <v>32064</v>
      </c>
      <c r="D438" s="117">
        <v>0</v>
      </c>
      <c r="E438" s="116">
        <f t="shared" si="12"/>
        <v>32064</v>
      </c>
      <c r="F438" s="116">
        <f t="shared" si="13"/>
        <v>1.67</v>
      </c>
      <c r="G438" s="88" t="s">
        <v>19655</v>
      </c>
      <c r="H438" s="85" t="s">
        <v>18072</v>
      </c>
      <c r="I438" s="129">
        <v>43994</v>
      </c>
      <c r="N438" s="66" t="s">
        <v>18103</v>
      </c>
      <c r="O438" s="651">
        <v>0</v>
      </c>
    </row>
    <row r="439" spans="1:15" ht="12.95" hidden="1">
      <c r="A439" s="140">
        <v>43938</v>
      </c>
      <c r="B439" s="138">
        <v>20000</v>
      </c>
      <c r="C439" s="139">
        <v>33000</v>
      </c>
      <c r="D439" s="117">
        <v>0</v>
      </c>
      <c r="E439" s="116">
        <f t="shared" si="12"/>
        <v>33000</v>
      </c>
      <c r="F439" s="116">
        <f t="shared" si="13"/>
        <v>1.65</v>
      </c>
      <c r="G439" s="88" t="s">
        <v>19682</v>
      </c>
      <c r="H439" s="85" t="s">
        <v>18063</v>
      </c>
      <c r="I439" s="129">
        <v>43983</v>
      </c>
      <c r="N439" s="66" t="s">
        <v>18104</v>
      </c>
      <c r="O439" s="651">
        <v>0</v>
      </c>
    </row>
    <row r="440" spans="1:15" ht="12.95" hidden="1">
      <c r="A440" s="140">
        <v>43998</v>
      </c>
      <c r="B440" s="138">
        <v>579600</v>
      </c>
      <c r="C440" s="139">
        <f>357294*2.8268</f>
        <v>1009998.6792</v>
      </c>
      <c r="D440" s="117">
        <v>96741.195000000007</v>
      </c>
      <c r="E440" s="116">
        <f t="shared" si="12"/>
        <v>913257.48420000006</v>
      </c>
      <c r="F440" s="116">
        <f t="shared" si="13"/>
        <v>1.5756685372670809</v>
      </c>
      <c r="G440" s="88" t="s">
        <v>19688</v>
      </c>
      <c r="H440" s="85" t="s">
        <v>18065</v>
      </c>
      <c r="I440" s="129">
        <v>43983</v>
      </c>
      <c r="N440" s="66" t="s">
        <v>18106</v>
      </c>
      <c r="O440" s="651">
        <v>0</v>
      </c>
    </row>
    <row r="441" spans="1:15" ht="12.95" hidden="1">
      <c r="A441" s="140">
        <v>44001</v>
      </c>
      <c r="B441" s="138">
        <v>132000</v>
      </c>
      <c r="C441" s="139">
        <v>165000</v>
      </c>
      <c r="D441" s="117">
        <v>0</v>
      </c>
      <c r="E441" s="116">
        <f t="shared" si="12"/>
        <v>165000</v>
      </c>
      <c r="F441" s="116">
        <f t="shared" si="13"/>
        <v>1.25</v>
      </c>
      <c r="G441" s="88" t="s">
        <v>19655</v>
      </c>
      <c r="H441" s="85" t="s">
        <v>18071</v>
      </c>
      <c r="I441" s="129">
        <v>43994</v>
      </c>
      <c r="N441" s="66" t="s">
        <v>18107</v>
      </c>
      <c r="O441" s="651">
        <v>0</v>
      </c>
    </row>
    <row r="442" spans="1:15" ht="12.95" hidden="1">
      <c r="A442" s="140">
        <v>44001</v>
      </c>
      <c r="B442" s="138">
        <v>27336</v>
      </c>
      <c r="C442" s="139">
        <f>16330.08*3.2036</f>
        <v>52315.044287999997</v>
      </c>
      <c r="D442" s="117">
        <v>10312.09</v>
      </c>
      <c r="E442" s="116">
        <f t="shared" si="12"/>
        <v>42002.954287999994</v>
      </c>
      <c r="F442" s="116">
        <f t="shared" si="13"/>
        <v>1.5365435428738656</v>
      </c>
      <c r="G442" s="88" t="s">
        <v>19661</v>
      </c>
      <c r="H442" s="85" t="s">
        <v>18076</v>
      </c>
      <c r="I442" s="129">
        <v>43995</v>
      </c>
      <c r="N442" s="66" t="s">
        <v>18108</v>
      </c>
      <c r="O442" s="651">
        <v>4996.43</v>
      </c>
    </row>
    <row r="443" spans="1:15" ht="12.95" hidden="1">
      <c r="A443" s="140">
        <v>44001</v>
      </c>
      <c r="B443" s="138">
        <v>27336</v>
      </c>
      <c r="C443" s="139">
        <f>16346.64*3.2036</f>
        <v>52368.095903999994</v>
      </c>
      <c r="D443" s="117">
        <v>10312.09</v>
      </c>
      <c r="E443" s="116">
        <f t="shared" si="12"/>
        <v>42056.005903999991</v>
      </c>
      <c r="F443" s="116">
        <f t="shared" si="13"/>
        <v>1.538484266315481</v>
      </c>
      <c r="G443" s="88" t="s">
        <v>19661</v>
      </c>
      <c r="H443" s="85" t="s">
        <v>18078</v>
      </c>
      <c r="I443" s="129">
        <v>43995</v>
      </c>
      <c r="N443" s="66" t="s">
        <v>18110</v>
      </c>
      <c r="O443" s="651">
        <v>57016.44</v>
      </c>
    </row>
    <row r="444" spans="1:15" ht="12.95" hidden="1">
      <c r="A444" s="140">
        <v>44002</v>
      </c>
      <c r="B444" s="138">
        <v>300000</v>
      </c>
      <c r="C444" s="139">
        <f>170400*2.84955</f>
        <v>485563.31999999995</v>
      </c>
      <c r="D444" s="117">
        <v>44081.58</v>
      </c>
      <c r="E444" s="116">
        <f t="shared" si="12"/>
        <v>441481.73999999993</v>
      </c>
      <c r="F444" s="116">
        <f t="shared" si="13"/>
        <v>1.4716057999999999</v>
      </c>
      <c r="G444" s="88" t="s">
        <v>19771</v>
      </c>
      <c r="H444" s="85" t="s">
        <v>18086</v>
      </c>
      <c r="I444" s="129">
        <v>43997</v>
      </c>
      <c r="N444" s="66" t="s">
        <v>18111</v>
      </c>
      <c r="O444" s="651">
        <v>0</v>
      </c>
    </row>
    <row r="445" spans="1:15" ht="12.95" hidden="1">
      <c r="A445" s="140">
        <v>44002</v>
      </c>
      <c r="B445" s="138">
        <v>110040</v>
      </c>
      <c r="C445" s="139">
        <v>147453.6</v>
      </c>
      <c r="D445" s="117">
        <v>0</v>
      </c>
      <c r="E445" s="116">
        <f t="shared" si="12"/>
        <v>147453.6</v>
      </c>
      <c r="F445" s="116">
        <f t="shared" si="13"/>
        <v>1.34</v>
      </c>
      <c r="G445" s="88" t="s">
        <v>19647</v>
      </c>
      <c r="H445" s="85" t="s">
        <v>18074</v>
      </c>
      <c r="I445" s="129">
        <v>43995</v>
      </c>
      <c r="N445" s="66" t="s">
        <v>18112</v>
      </c>
      <c r="O445" s="651">
        <v>1245.3</v>
      </c>
    </row>
    <row r="446" spans="1:15" ht="12.95" hidden="1">
      <c r="A446" s="81">
        <v>44002</v>
      </c>
      <c r="B446" s="138">
        <v>40000</v>
      </c>
      <c r="C446" s="141">
        <f>28200*2.8639</f>
        <v>80761.98</v>
      </c>
      <c r="D446" s="117">
        <v>9592.7999999999993</v>
      </c>
      <c r="E446" s="116">
        <f t="shared" si="12"/>
        <v>71169.179999999993</v>
      </c>
      <c r="F446" s="116">
        <f t="shared" si="13"/>
        <v>1.7792294999999998</v>
      </c>
      <c r="G446" s="88" t="s">
        <v>19772</v>
      </c>
      <c r="H446" s="85" t="s">
        <v>18061</v>
      </c>
      <c r="I446" s="129">
        <v>43983</v>
      </c>
      <c r="N446" s="66" t="s">
        <v>18114</v>
      </c>
      <c r="O446" s="651">
        <v>0</v>
      </c>
    </row>
    <row r="447" spans="1:15" ht="12.95" hidden="1">
      <c r="A447" s="81">
        <v>44005</v>
      </c>
      <c r="B447" s="138">
        <v>80400</v>
      </c>
      <c r="C447" s="141">
        <f>48062*3.2018</f>
        <v>153884.91159999999</v>
      </c>
      <c r="D447" s="117">
        <v>42924.08</v>
      </c>
      <c r="E447" s="116">
        <f t="shared" si="12"/>
        <v>110960.83159999999</v>
      </c>
      <c r="F447" s="116">
        <f t="shared" si="13"/>
        <v>1.3801098457711443</v>
      </c>
      <c r="G447" s="88" t="s">
        <v>19651</v>
      </c>
      <c r="H447" s="85" t="s">
        <v>18096</v>
      </c>
      <c r="I447" s="129">
        <v>44004</v>
      </c>
      <c r="N447" s="66" t="s">
        <v>18115</v>
      </c>
      <c r="O447" s="651">
        <v>0</v>
      </c>
    </row>
    <row r="448" spans="1:15" ht="12.95" hidden="1">
      <c r="A448" s="81">
        <v>44006</v>
      </c>
      <c r="B448" s="138">
        <v>4540</v>
      </c>
      <c r="C448" s="141">
        <v>8444.4</v>
      </c>
      <c r="D448" s="117">
        <v>0</v>
      </c>
      <c r="E448" s="116">
        <f t="shared" si="12"/>
        <v>8444.4</v>
      </c>
      <c r="F448" s="116">
        <f t="shared" si="13"/>
        <v>1.8599999999999999</v>
      </c>
      <c r="G448" s="88" t="s">
        <v>19773</v>
      </c>
      <c r="H448" s="85" t="s">
        <v>18091</v>
      </c>
      <c r="I448" s="129">
        <v>44002</v>
      </c>
      <c r="N448" s="66" t="s">
        <v>18117</v>
      </c>
      <c r="O448" s="651">
        <v>0</v>
      </c>
    </row>
    <row r="449" spans="1:15" ht="12.95" hidden="1">
      <c r="A449" s="81">
        <v>44006</v>
      </c>
      <c r="B449" s="138">
        <v>44016</v>
      </c>
      <c r="C449" s="141">
        <v>66904.320000000007</v>
      </c>
      <c r="D449" s="117">
        <v>0</v>
      </c>
      <c r="E449" s="116">
        <f t="shared" si="12"/>
        <v>66904.320000000007</v>
      </c>
      <c r="F449" s="116">
        <f t="shared" si="13"/>
        <v>1.5200000000000002</v>
      </c>
      <c r="G449" s="88" t="s">
        <v>19655</v>
      </c>
      <c r="H449" s="85" t="s">
        <v>18090</v>
      </c>
      <c r="I449" s="129">
        <v>43999</v>
      </c>
      <c r="N449" s="66" t="s">
        <v>18118</v>
      </c>
      <c r="O449" s="651">
        <v>0</v>
      </c>
    </row>
    <row r="450" spans="1:15" s="70" customFormat="1" ht="12.95" hidden="1">
      <c r="A450" s="145">
        <v>44006</v>
      </c>
      <c r="B450" s="146">
        <v>83400</v>
      </c>
      <c r="C450" s="147">
        <f>55447*2.85715</f>
        <v>158420.39604999998</v>
      </c>
      <c r="D450" s="148">
        <v>26047.58</v>
      </c>
      <c r="E450" s="148">
        <f t="shared" si="12"/>
        <v>132372.81604999996</v>
      </c>
      <c r="F450" s="148">
        <f t="shared" si="13"/>
        <v>1.5872040293764984</v>
      </c>
      <c r="G450" s="149" t="s">
        <v>19756</v>
      </c>
      <c r="H450" s="150" t="s">
        <v>18082</v>
      </c>
      <c r="I450" s="169">
        <v>43997</v>
      </c>
      <c r="J450" s="170"/>
      <c r="N450" s="171" t="s">
        <v>18119</v>
      </c>
      <c r="O450" s="652">
        <v>0</v>
      </c>
    </row>
    <row r="451" spans="1:15" ht="12.95" hidden="1">
      <c r="A451" s="81">
        <v>44007</v>
      </c>
      <c r="B451" s="138">
        <v>45600</v>
      </c>
      <c r="C451" s="141">
        <v>68388</v>
      </c>
      <c r="D451" s="117">
        <v>0</v>
      </c>
      <c r="E451" s="116">
        <f t="shared" si="12"/>
        <v>68388</v>
      </c>
      <c r="F451" s="116">
        <f t="shared" si="13"/>
        <v>1.4997368421052633</v>
      </c>
      <c r="G451" s="88" t="s">
        <v>19656</v>
      </c>
      <c r="H451" s="85" t="s">
        <v>18093</v>
      </c>
      <c r="I451" s="129">
        <v>44004</v>
      </c>
      <c r="N451" s="66" t="s">
        <v>18120</v>
      </c>
      <c r="O451" s="651">
        <v>0</v>
      </c>
    </row>
    <row r="452" spans="1:15" ht="12.95" hidden="1">
      <c r="A452" s="81">
        <v>44007</v>
      </c>
      <c r="B452" s="138">
        <v>84000</v>
      </c>
      <c r="C452" s="141">
        <v>115080</v>
      </c>
      <c r="D452" s="117">
        <v>0</v>
      </c>
      <c r="E452" s="116">
        <f t="shared" si="12"/>
        <v>115080</v>
      </c>
      <c r="F452" s="116">
        <f t="shared" si="13"/>
        <v>1.37</v>
      </c>
      <c r="G452" s="88" t="s">
        <v>19647</v>
      </c>
      <c r="H452" s="85" t="s">
        <v>18055</v>
      </c>
      <c r="I452" s="129">
        <v>43978</v>
      </c>
      <c r="N452" s="66" t="s">
        <v>18122</v>
      </c>
      <c r="O452" s="651">
        <v>0</v>
      </c>
    </row>
    <row r="453" spans="1:15" ht="12.95" hidden="1">
      <c r="A453" s="81">
        <v>44007</v>
      </c>
      <c r="B453" s="138">
        <v>28000</v>
      </c>
      <c r="C453" s="141">
        <v>38360</v>
      </c>
      <c r="D453" s="117">
        <v>0</v>
      </c>
      <c r="E453" s="116">
        <f t="shared" si="12"/>
        <v>38360</v>
      </c>
      <c r="F453" s="116">
        <f t="shared" si="13"/>
        <v>1.37</v>
      </c>
      <c r="G453" s="88" t="s">
        <v>19647</v>
      </c>
      <c r="H453" s="85" t="s">
        <v>18056</v>
      </c>
      <c r="I453" s="129">
        <v>43978</v>
      </c>
      <c r="N453" s="66" t="s">
        <v>18124</v>
      </c>
      <c r="O453" s="651">
        <v>0</v>
      </c>
    </row>
    <row r="454" spans="1:15" ht="12.95" hidden="1">
      <c r="A454" s="81">
        <v>44008</v>
      </c>
      <c r="B454" s="138">
        <v>24000</v>
      </c>
      <c r="C454" s="141">
        <v>37200</v>
      </c>
      <c r="D454" s="117">
        <v>0</v>
      </c>
      <c r="E454" s="116">
        <f t="shared" si="12"/>
        <v>37200</v>
      </c>
      <c r="F454" s="116">
        <f t="shared" si="13"/>
        <v>1.55</v>
      </c>
      <c r="G454" s="88" t="s">
        <v>19647</v>
      </c>
      <c r="H454" s="85" t="s">
        <v>18095</v>
      </c>
      <c r="I454" s="129">
        <v>44004</v>
      </c>
      <c r="N454" s="66" t="s">
        <v>18125</v>
      </c>
      <c r="O454" s="651">
        <v>0</v>
      </c>
    </row>
    <row r="455" spans="1:15" ht="12.95" hidden="1">
      <c r="A455" s="81">
        <v>44011</v>
      </c>
      <c r="B455" s="138">
        <v>84000</v>
      </c>
      <c r="C455" s="141">
        <v>117600</v>
      </c>
      <c r="D455" s="117">
        <v>0</v>
      </c>
      <c r="E455" s="116">
        <f t="shared" si="12"/>
        <v>117600</v>
      </c>
      <c r="F455" s="116">
        <f t="shared" si="13"/>
        <v>1.4</v>
      </c>
      <c r="G455" s="88" t="s">
        <v>19656</v>
      </c>
      <c r="H455" s="85" t="s">
        <v>18075</v>
      </c>
      <c r="I455" s="129">
        <v>43995</v>
      </c>
      <c r="N455" s="66" t="s">
        <v>18126</v>
      </c>
      <c r="O455" s="651">
        <v>140422.345</v>
      </c>
    </row>
    <row r="456" spans="1:15" ht="12.95" hidden="1">
      <c r="A456" s="81">
        <v>44011</v>
      </c>
      <c r="B456" s="151">
        <v>23400</v>
      </c>
      <c r="C456" s="152">
        <v>38154</v>
      </c>
      <c r="D456" s="117">
        <v>0</v>
      </c>
      <c r="E456" s="116">
        <f t="shared" ref="E456:E519" si="14">(C456-D456)</f>
        <v>38154</v>
      </c>
      <c r="F456" s="116">
        <f t="shared" ref="F456:F519" si="15">(E456/B456)</f>
        <v>1.6305128205128205</v>
      </c>
      <c r="G456" s="88" t="s">
        <v>19663</v>
      </c>
      <c r="H456" s="85" t="s">
        <v>18087</v>
      </c>
      <c r="I456" s="129">
        <v>43997</v>
      </c>
      <c r="N456" s="66" t="s">
        <v>18127</v>
      </c>
      <c r="O456" s="651">
        <v>7900.0720000000001</v>
      </c>
    </row>
    <row r="457" spans="1:15" ht="12.95" hidden="1">
      <c r="A457" s="132">
        <v>44012</v>
      </c>
      <c r="B457" s="133">
        <v>26000</v>
      </c>
      <c r="C457" s="153">
        <f>+(1600+9300+2700)*3.20945</f>
        <v>43648.52</v>
      </c>
      <c r="D457" s="154">
        <v>0</v>
      </c>
      <c r="E457" s="135">
        <f t="shared" si="14"/>
        <v>43648.52</v>
      </c>
      <c r="F457" s="135">
        <f t="shared" si="15"/>
        <v>1.6787892307692307</v>
      </c>
      <c r="G457" s="136" t="s">
        <v>17173</v>
      </c>
      <c r="H457" s="137" t="s">
        <v>18102</v>
      </c>
      <c r="I457" s="144">
        <v>44005</v>
      </c>
      <c r="N457" s="66" t="s">
        <v>18128</v>
      </c>
      <c r="O457" s="651">
        <v>0</v>
      </c>
    </row>
    <row r="458" spans="1:15" ht="12.95" hidden="1">
      <c r="A458" s="132">
        <v>44012</v>
      </c>
      <c r="B458" s="133">
        <f>27600*2</f>
        <v>55200</v>
      </c>
      <c r="C458" s="153">
        <f>+B458*1.25</f>
        <v>69000</v>
      </c>
      <c r="D458" s="117">
        <v>0</v>
      </c>
      <c r="E458" s="135">
        <f t="shared" si="14"/>
        <v>69000</v>
      </c>
      <c r="F458" s="135">
        <f t="shared" si="15"/>
        <v>1.25</v>
      </c>
      <c r="G458" s="136" t="s">
        <v>19655</v>
      </c>
      <c r="H458" s="137" t="s">
        <v>18103</v>
      </c>
      <c r="I458" s="144">
        <v>44012</v>
      </c>
      <c r="N458" s="66" t="s">
        <v>18129</v>
      </c>
      <c r="O458" s="651">
        <v>0</v>
      </c>
    </row>
    <row r="459" spans="1:15" ht="12.95" hidden="1">
      <c r="A459" s="155">
        <v>44013</v>
      </c>
      <c r="B459" s="156">
        <v>26000</v>
      </c>
      <c r="C459" s="157">
        <v>43937.371000000006</v>
      </c>
      <c r="D459" s="117">
        <v>0</v>
      </c>
      <c r="E459" s="158">
        <f t="shared" si="14"/>
        <v>43937.371000000006</v>
      </c>
      <c r="F459" s="158">
        <f t="shared" si="15"/>
        <v>1.6898988846153848</v>
      </c>
      <c r="G459" s="159" t="s">
        <v>17173</v>
      </c>
      <c r="H459" s="160" t="s">
        <v>18102</v>
      </c>
      <c r="I459" s="172">
        <v>44005</v>
      </c>
      <c r="N459" s="66" t="s">
        <v>18130</v>
      </c>
      <c r="O459" s="651">
        <v>0</v>
      </c>
    </row>
    <row r="460" spans="1:15" ht="12.95" hidden="1">
      <c r="A460" s="155">
        <v>44013</v>
      </c>
      <c r="B460" s="156">
        <v>156240</v>
      </c>
      <c r="C460" s="157">
        <v>195300</v>
      </c>
      <c r="D460" s="117">
        <v>0</v>
      </c>
      <c r="E460" s="158">
        <f t="shared" si="14"/>
        <v>195300</v>
      </c>
      <c r="F460" s="158">
        <f t="shared" si="15"/>
        <v>1.25</v>
      </c>
      <c r="G460" s="159" t="s">
        <v>19655</v>
      </c>
      <c r="H460" s="160" t="s">
        <v>18103</v>
      </c>
      <c r="I460" s="172">
        <v>44012</v>
      </c>
      <c r="N460" s="66" t="s">
        <v>18131</v>
      </c>
      <c r="O460" s="651">
        <v>22723.003000000001</v>
      </c>
    </row>
    <row r="461" spans="1:15" ht="12.95" hidden="1">
      <c r="A461" s="81">
        <v>44014</v>
      </c>
      <c r="B461" s="161">
        <v>26000</v>
      </c>
      <c r="C461" s="152">
        <v>41340</v>
      </c>
      <c r="D461" s="117">
        <v>0</v>
      </c>
      <c r="E461" s="116">
        <f t="shared" si="14"/>
        <v>41340</v>
      </c>
      <c r="F461" s="116">
        <f t="shared" si="15"/>
        <v>1.59</v>
      </c>
      <c r="G461" s="88" t="s">
        <v>19679</v>
      </c>
      <c r="H461" s="85" t="s">
        <v>18101</v>
      </c>
      <c r="I461" s="101">
        <v>44012</v>
      </c>
      <c r="N461" s="66" t="s">
        <v>18132</v>
      </c>
      <c r="O461" s="651">
        <v>117639.94</v>
      </c>
    </row>
    <row r="462" spans="1:15" ht="12.95" hidden="1">
      <c r="A462" s="81">
        <v>44014</v>
      </c>
      <c r="B462" s="161">
        <v>102500</v>
      </c>
      <c r="C462" s="152">
        <v>178350</v>
      </c>
      <c r="D462" s="117">
        <v>0</v>
      </c>
      <c r="E462" s="116">
        <f t="shared" si="14"/>
        <v>178350</v>
      </c>
      <c r="F462" s="116">
        <f t="shared" si="15"/>
        <v>1.74</v>
      </c>
      <c r="G462" s="88" t="s">
        <v>19679</v>
      </c>
      <c r="H462" s="85" t="s">
        <v>18100</v>
      </c>
      <c r="I462" s="101">
        <v>44012</v>
      </c>
      <c r="N462" s="66" t="s">
        <v>18134</v>
      </c>
      <c r="O462" s="651">
        <v>22150.38</v>
      </c>
    </row>
    <row r="463" spans="1:15" ht="12.95" hidden="1">
      <c r="A463" s="81">
        <v>44015</v>
      </c>
      <c r="B463" s="161">
        <v>66024</v>
      </c>
      <c r="C463" s="162">
        <v>105638.39999999999</v>
      </c>
      <c r="D463" s="117">
        <v>0</v>
      </c>
      <c r="E463" s="116">
        <f t="shared" si="14"/>
        <v>105638.39999999999</v>
      </c>
      <c r="F463" s="116">
        <f t="shared" si="15"/>
        <v>1.5999999999999999</v>
      </c>
      <c r="G463" s="88" t="s">
        <v>19652</v>
      </c>
      <c r="H463" s="85" t="s">
        <v>18107</v>
      </c>
      <c r="I463" s="101">
        <v>44012</v>
      </c>
      <c r="N463" s="66" t="s">
        <v>18136</v>
      </c>
      <c r="O463" s="651">
        <v>21208.403999999999</v>
      </c>
    </row>
    <row r="464" spans="1:15" ht="12.95" hidden="1">
      <c r="A464" s="81">
        <v>44016</v>
      </c>
      <c r="B464" s="138">
        <v>198300</v>
      </c>
      <c r="C464" s="141">
        <v>247875</v>
      </c>
      <c r="D464" s="117">
        <v>0</v>
      </c>
      <c r="E464" s="116">
        <f t="shared" si="14"/>
        <v>247875</v>
      </c>
      <c r="F464" s="116">
        <f t="shared" si="15"/>
        <v>1.25</v>
      </c>
      <c r="G464" s="88" t="s">
        <v>19655</v>
      </c>
      <c r="H464" s="85" t="s">
        <v>18106</v>
      </c>
      <c r="I464" s="129">
        <v>44012</v>
      </c>
      <c r="N464" s="66" t="s">
        <v>18137</v>
      </c>
      <c r="O464" s="651">
        <v>21208.403999999999</v>
      </c>
    </row>
    <row r="465" spans="1:15" ht="12.95" hidden="1">
      <c r="A465" s="121">
        <v>44019</v>
      </c>
      <c r="B465" s="161">
        <v>5304</v>
      </c>
      <c r="C465" s="152">
        <v>9238.08</v>
      </c>
      <c r="D465" s="117">
        <v>0</v>
      </c>
      <c r="E465" s="116">
        <f t="shared" si="14"/>
        <v>9238.08</v>
      </c>
      <c r="F465" s="116">
        <f t="shared" si="15"/>
        <v>1.7417194570135746</v>
      </c>
      <c r="G465" s="88" t="s">
        <v>19774</v>
      </c>
      <c r="H465" s="85" t="s">
        <v>18083</v>
      </c>
      <c r="I465" s="101">
        <v>44004</v>
      </c>
      <c r="N465" s="66" t="s">
        <v>18138</v>
      </c>
      <c r="O465" s="651">
        <v>0</v>
      </c>
    </row>
    <row r="466" spans="1:15" ht="12.95" hidden="1">
      <c r="A466" s="121">
        <v>44019</v>
      </c>
      <c r="B466" s="161">
        <v>168000</v>
      </c>
      <c r="C466" s="152">
        <v>218400</v>
      </c>
      <c r="D466" s="117">
        <v>0</v>
      </c>
      <c r="E466" s="116">
        <f t="shared" si="14"/>
        <v>218400</v>
      </c>
      <c r="F466" s="116">
        <f t="shared" si="15"/>
        <v>1.3</v>
      </c>
      <c r="G466" s="88" t="s">
        <v>19652</v>
      </c>
      <c r="H466" s="85" t="s">
        <v>18098</v>
      </c>
      <c r="I466" s="101">
        <v>44005</v>
      </c>
      <c r="N466" s="66" t="s">
        <v>18140</v>
      </c>
      <c r="O466" s="651">
        <v>0</v>
      </c>
    </row>
    <row r="467" spans="1:15" ht="12.95" hidden="1">
      <c r="A467" s="121">
        <v>44019</v>
      </c>
      <c r="B467" s="161">
        <v>112000</v>
      </c>
      <c r="C467" s="152">
        <v>145600</v>
      </c>
      <c r="D467" s="117">
        <v>0</v>
      </c>
      <c r="E467" s="116">
        <f t="shared" si="14"/>
        <v>145600</v>
      </c>
      <c r="F467" s="116">
        <f t="shared" si="15"/>
        <v>1.3</v>
      </c>
      <c r="G467" s="88" t="s">
        <v>19652</v>
      </c>
      <c r="H467" s="85" t="s">
        <v>18114</v>
      </c>
      <c r="I467" s="101">
        <v>44016</v>
      </c>
      <c r="N467" s="66" t="s">
        <v>18141</v>
      </c>
      <c r="O467" s="651">
        <v>34099.78</v>
      </c>
    </row>
    <row r="468" spans="1:15" ht="12.95" hidden="1">
      <c r="A468" s="81">
        <v>44019</v>
      </c>
      <c r="B468" s="161">
        <v>444000</v>
      </c>
      <c r="C468" s="152">
        <f>277912*2.84605</f>
        <v>790951.44759999996</v>
      </c>
      <c r="D468" s="117">
        <v>57016.44</v>
      </c>
      <c r="E468" s="116">
        <f t="shared" si="14"/>
        <v>733935.0075999999</v>
      </c>
      <c r="F468" s="116">
        <f t="shared" si="15"/>
        <v>1.6530067738738736</v>
      </c>
      <c r="G468" s="88" t="s">
        <v>19688</v>
      </c>
      <c r="H468" s="85" t="s">
        <v>18110</v>
      </c>
      <c r="I468" s="101">
        <v>44013</v>
      </c>
      <c r="N468" s="66" t="s">
        <v>18143</v>
      </c>
      <c r="O468" s="651">
        <v>0</v>
      </c>
    </row>
    <row r="469" spans="1:15" ht="12.95" hidden="1">
      <c r="A469" s="81">
        <v>44020</v>
      </c>
      <c r="B469" s="161">
        <v>22008</v>
      </c>
      <c r="C469" s="152">
        <v>32791.919999999998</v>
      </c>
      <c r="D469" s="117">
        <v>0</v>
      </c>
      <c r="E469" s="116">
        <f t="shared" si="14"/>
        <v>32791.919999999998</v>
      </c>
      <c r="F469" s="116">
        <f t="shared" si="15"/>
        <v>1.49</v>
      </c>
      <c r="G469" s="88" t="s">
        <v>19647</v>
      </c>
      <c r="H469" s="85" t="s">
        <v>18111</v>
      </c>
      <c r="I469" s="101">
        <v>44016</v>
      </c>
      <c r="N469" s="66" t="s">
        <v>18145</v>
      </c>
      <c r="O469" s="651">
        <v>10277.299999999999</v>
      </c>
    </row>
    <row r="470" spans="1:15" ht="12.95" hidden="1">
      <c r="A470" s="81">
        <v>44021</v>
      </c>
      <c r="B470" s="151">
        <v>24724</v>
      </c>
      <c r="C470" s="152">
        <f>13661.72*3.21095</f>
        <v>43867.099834000001</v>
      </c>
      <c r="D470" s="117">
        <v>1245.3</v>
      </c>
      <c r="E470" s="116">
        <f t="shared" si="14"/>
        <v>42621.799833999998</v>
      </c>
      <c r="F470" s="116">
        <f t="shared" si="15"/>
        <v>1.7239038923313379</v>
      </c>
      <c r="G470" s="88" t="s">
        <v>17231</v>
      </c>
      <c r="H470" s="85" t="s">
        <v>18112</v>
      </c>
      <c r="I470" s="101">
        <v>44016</v>
      </c>
      <c r="N470" s="66" t="s">
        <v>18147</v>
      </c>
      <c r="O470" s="651">
        <v>0</v>
      </c>
    </row>
    <row r="471" spans="1:15" ht="12.95" hidden="1">
      <c r="A471" s="81">
        <v>44022</v>
      </c>
      <c r="B471" s="151">
        <v>18030</v>
      </c>
      <c r="C471" s="152">
        <v>31161</v>
      </c>
      <c r="D471" s="117">
        <v>0</v>
      </c>
      <c r="E471" s="116">
        <f t="shared" si="14"/>
        <v>31161</v>
      </c>
      <c r="F471" s="116">
        <f t="shared" si="15"/>
        <v>1.7282861896838602</v>
      </c>
      <c r="G471" s="88" t="s">
        <v>19655</v>
      </c>
      <c r="H471" s="85" t="s">
        <v>18118</v>
      </c>
      <c r="I471" s="101">
        <v>44019</v>
      </c>
      <c r="N471" s="66" t="s">
        <v>18148</v>
      </c>
      <c r="O471" s="651">
        <v>0</v>
      </c>
    </row>
    <row r="472" spans="1:15" ht="12.95" hidden="1">
      <c r="A472" s="81">
        <v>44025</v>
      </c>
      <c r="B472" s="151">
        <v>20000</v>
      </c>
      <c r="C472" s="152">
        <v>33000</v>
      </c>
      <c r="D472" s="117">
        <v>0</v>
      </c>
      <c r="E472" s="116">
        <f t="shared" si="14"/>
        <v>33000</v>
      </c>
      <c r="F472" s="116">
        <f t="shared" si="15"/>
        <v>1.65</v>
      </c>
      <c r="G472" s="88" t="s">
        <v>19682</v>
      </c>
      <c r="H472" s="85" t="s">
        <v>18104</v>
      </c>
      <c r="I472" s="101">
        <v>44009</v>
      </c>
      <c r="N472" s="66" t="s">
        <v>18149</v>
      </c>
      <c r="O472" s="651">
        <v>0</v>
      </c>
    </row>
    <row r="473" spans="1:15" ht="12.95" hidden="1">
      <c r="A473" s="81">
        <v>44025</v>
      </c>
      <c r="B473" s="151">
        <v>20000</v>
      </c>
      <c r="C473" s="152">
        <v>33000</v>
      </c>
      <c r="D473" s="117">
        <v>0</v>
      </c>
      <c r="E473" s="116">
        <f t="shared" si="14"/>
        <v>33000</v>
      </c>
      <c r="F473" s="116">
        <f t="shared" si="15"/>
        <v>1.65</v>
      </c>
      <c r="G473" s="88" t="s">
        <v>19682</v>
      </c>
      <c r="H473" s="85" t="s">
        <v>18120</v>
      </c>
      <c r="I473" s="101">
        <v>44019</v>
      </c>
      <c r="N473" s="66" t="s">
        <v>18150</v>
      </c>
      <c r="O473" s="651">
        <v>0</v>
      </c>
    </row>
    <row r="474" spans="1:15" ht="12.95" hidden="1">
      <c r="A474" s="81">
        <v>44025</v>
      </c>
      <c r="B474" s="151">
        <v>20000</v>
      </c>
      <c r="C474" s="152">
        <v>33000</v>
      </c>
      <c r="D474" s="117">
        <v>0</v>
      </c>
      <c r="E474" s="116">
        <f t="shared" si="14"/>
        <v>33000</v>
      </c>
      <c r="F474" s="116">
        <f t="shared" si="15"/>
        <v>1.65</v>
      </c>
      <c r="G474" s="88" t="s">
        <v>19682</v>
      </c>
      <c r="H474" s="85" t="s">
        <v>18122</v>
      </c>
      <c r="I474" s="101">
        <v>44019</v>
      </c>
      <c r="N474" s="66" t="s">
        <v>18152</v>
      </c>
      <c r="O474" s="651">
        <v>0</v>
      </c>
    </row>
    <row r="475" spans="1:15" ht="12.95" hidden="1">
      <c r="A475" s="81">
        <v>44027</v>
      </c>
      <c r="B475" s="161">
        <v>56016</v>
      </c>
      <c r="C475" s="152">
        <v>76181.759999999995</v>
      </c>
      <c r="D475" s="117">
        <v>0</v>
      </c>
      <c r="E475" s="116">
        <f t="shared" si="14"/>
        <v>76181.759999999995</v>
      </c>
      <c r="F475" s="116">
        <f t="shared" si="15"/>
        <v>1.3599999999999999</v>
      </c>
      <c r="G475" s="88" t="s">
        <v>19655</v>
      </c>
      <c r="H475" s="85" t="s">
        <v>18115</v>
      </c>
      <c r="I475" s="101">
        <v>44019</v>
      </c>
      <c r="N475" s="66" t="s">
        <v>18153</v>
      </c>
      <c r="O475" s="651">
        <v>5640.18</v>
      </c>
    </row>
    <row r="476" spans="1:15" ht="12.95" hidden="1">
      <c r="A476" s="81">
        <v>44032</v>
      </c>
      <c r="B476" s="161">
        <v>110040</v>
      </c>
      <c r="C476" s="152">
        <v>148333.92000000001</v>
      </c>
      <c r="D476" s="117">
        <v>0</v>
      </c>
      <c r="E476" s="116">
        <f t="shared" si="14"/>
        <v>148333.92000000001</v>
      </c>
      <c r="F476" s="116">
        <f t="shared" si="15"/>
        <v>1.3480000000000001</v>
      </c>
      <c r="G476" s="88" t="s">
        <v>19647</v>
      </c>
      <c r="H476" s="85" t="s">
        <v>18125</v>
      </c>
      <c r="I476" s="101">
        <v>44021</v>
      </c>
      <c r="N476" s="66" t="s">
        <v>18154</v>
      </c>
      <c r="O476" s="651">
        <v>0</v>
      </c>
    </row>
    <row r="477" spans="1:15" ht="12.95" hidden="1">
      <c r="A477" s="81">
        <v>44033</v>
      </c>
      <c r="B477" s="151">
        <v>50400</v>
      </c>
      <c r="C477" s="152">
        <v>78624</v>
      </c>
      <c r="D477" s="117">
        <v>0</v>
      </c>
      <c r="E477" s="116">
        <f t="shared" si="14"/>
        <v>78624</v>
      </c>
      <c r="F477" s="116">
        <f t="shared" si="15"/>
        <v>1.56</v>
      </c>
      <c r="G477" s="88" t="s">
        <v>19744</v>
      </c>
      <c r="H477" s="85" t="s">
        <v>18119</v>
      </c>
      <c r="I477" s="101">
        <v>44019</v>
      </c>
      <c r="N477" s="66" t="s">
        <v>18155</v>
      </c>
      <c r="O477" s="651">
        <v>0</v>
      </c>
    </row>
    <row r="478" spans="1:15" ht="12.95" hidden="1">
      <c r="A478" s="81">
        <v>44033</v>
      </c>
      <c r="B478" s="151">
        <v>280000</v>
      </c>
      <c r="C478" s="152">
        <v>347200</v>
      </c>
      <c r="D478" s="117">
        <v>0</v>
      </c>
      <c r="E478" s="116">
        <f t="shared" si="14"/>
        <v>347200</v>
      </c>
      <c r="F478" s="116">
        <f t="shared" si="15"/>
        <v>1.24</v>
      </c>
      <c r="G478" s="88" t="s">
        <v>19655</v>
      </c>
      <c r="H478" s="85" t="s">
        <v>18128</v>
      </c>
      <c r="I478" s="101">
        <v>44025</v>
      </c>
      <c r="N478" s="66" t="s">
        <v>18157</v>
      </c>
      <c r="O478" s="651">
        <v>10794.536</v>
      </c>
    </row>
    <row r="479" spans="1:15" ht="14.45" hidden="1">
      <c r="A479" s="81">
        <v>44033</v>
      </c>
      <c r="B479" s="161">
        <v>40000</v>
      </c>
      <c r="C479" s="152">
        <f>27200*2.8173</f>
        <v>76630.559999999998</v>
      </c>
      <c r="D479" s="117">
        <v>7900.0720000000001</v>
      </c>
      <c r="E479" s="116">
        <f t="shared" si="14"/>
        <v>68730.487999999998</v>
      </c>
      <c r="F479" s="116">
        <f t="shared" si="15"/>
        <v>1.7182621999999999</v>
      </c>
      <c r="G479" s="88" t="s">
        <v>19775</v>
      </c>
      <c r="H479" s="109" t="s">
        <v>18127</v>
      </c>
      <c r="I479" s="101">
        <v>44023</v>
      </c>
      <c r="N479" s="66" t="s">
        <v>18160</v>
      </c>
      <c r="O479" s="651">
        <v>0</v>
      </c>
    </row>
    <row r="480" spans="1:15" ht="14.45" hidden="1">
      <c r="A480" s="81">
        <v>44034</v>
      </c>
      <c r="B480" s="161">
        <v>57600</v>
      </c>
      <c r="C480" s="152">
        <f>36560*2.8173</f>
        <v>103000.488</v>
      </c>
      <c r="D480" s="117">
        <v>22723.003000000001</v>
      </c>
      <c r="E480" s="116">
        <f t="shared" si="14"/>
        <v>80277.485000000001</v>
      </c>
      <c r="F480" s="116">
        <f t="shared" si="15"/>
        <v>1.3937063368055556</v>
      </c>
      <c r="G480" s="88" t="s">
        <v>19756</v>
      </c>
      <c r="H480" s="109" t="s">
        <v>18131</v>
      </c>
      <c r="I480" s="101">
        <v>44028</v>
      </c>
      <c r="N480" s="66" t="s">
        <v>18161</v>
      </c>
      <c r="O480" s="651">
        <v>0</v>
      </c>
    </row>
    <row r="481" spans="1:15" ht="14.45" hidden="1">
      <c r="A481" s="81">
        <v>44034</v>
      </c>
      <c r="B481" s="161">
        <v>43608</v>
      </c>
      <c r="C481" s="152">
        <v>68916.960000000006</v>
      </c>
      <c r="D481" s="117">
        <v>0</v>
      </c>
      <c r="E481" s="116">
        <f t="shared" si="14"/>
        <v>68916.960000000006</v>
      </c>
      <c r="F481" s="116">
        <f t="shared" si="15"/>
        <v>1.5803742432581178</v>
      </c>
      <c r="G481" s="88" t="s">
        <v>19655</v>
      </c>
      <c r="H481" s="109" t="s">
        <v>18117</v>
      </c>
      <c r="I481" s="101">
        <v>44019</v>
      </c>
      <c r="N481" s="66" t="s">
        <v>18162</v>
      </c>
      <c r="O481" s="651">
        <v>0</v>
      </c>
    </row>
    <row r="482" spans="1:15" ht="14.45" hidden="1">
      <c r="A482" s="81">
        <v>44035</v>
      </c>
      <c r="B482" s="151">
        <v>20157.599999999999</v>
      </c>
      <c r="C482" s="152">
        <v>34771.86</v>
      </c>
      <c r="D482" s="117">
        <v>0</v>
      </c>
      <c r="E482" s="116">
        <f t="shared" si="14"/>
        <v>34771.86</v>
      </c>
      <c r="F482" s="116">
        <f t="shared" si="15"/>
        <v>1.7250000000000001</v>
      </c>
      <c r="G482" s="88" t="s">
        <v>19776</v>
      </c>
      <c r="H482" s="109" t="s">
        <v>18124</v>
      </c>
      <c r="I482" s="101">
        <v>44021</v>
      </c>
      <c r="N482" s="66" t="s">
        <v>18163</v>
      </c>
      <c r="O482" s="651">
        <v>0</v>
      </c>
    </row>
    <row r="483" spans="1:15" ht="14.45" hidden="1">
      <c r="A483" s="81">
        <v>44035</v>
      </c>
      <c r="B483" s="161">
        <v>165600</v>
      </c>
      <c r="C483" s="152">
        <f>100188*2.81555</f>
        <v>282084.32339999999</v>
      </c>
      <c r="D483" s="117">
        <v>22150.38</v>
      </c>
      <c r="E483" s="116">
        <f t="shared" si="14"/>
        <v>259933.94339999999</v>
      </c>
      <c r="F483" s="116">
        <f t="shared" si="15"/>
        <v>1.5696494166666666</v>
      </c>
      <c r="G483" s="88" t="s">
        <v>19777</v>
      </c>
      <c r="H483" s="109" t="s">
        <v>18134</v>
      </c>
      <c r="I483" s="101">
        <v>44028</v>
      </c>
      <c r="N483" s="66" t="s">
        <v>18164</v>
      </c>
      <c r="O483" s="651">
        <v>31060.5</v>
      </c>
    </row>
    <row r="484" spans="1:15" ht="14.45" hidden="1">
      <c r="A484" s="81">
        <v>44036</v>
      </c>
      <c r="B484" s="161">
        <v>290316</v>
      </c>
      <c r="C484" s="152">
        <f>189847.74*2.80275</f>
        <v>532095.75328499998</v>
      </c>
      <c r="D484" s="117">
        <v>140422.345</v>
      </c>
      <c r="E484" s="116">
        <f t="shared" si="14"/>
        <v>391673.40828500001</v>
      </c>
      <c r="F484" s="116">
        <f t="shared" si="15"/>
        <v>1.3491278754357321</v>
      </c>
      <c r="G484" s="88" t="s">
        <v>19662</v>
      </c>
      <c r="H484" s="109" t="s">
        <v>18126</v>
      </c>
      <c r="I484" s="101">
        <v>44023</v>
      </c>
      <c r="N484" s="66" t="s">
        <v>18166</v>
      </c>
      <c r="O484" s="651">
        <v>0</v>
      </c>
    </row>
    <row r="485" spans="1:15" ht="14.45" hidden="1">
      <c r="A485" s="81">
        <v>44036</v>
      </c>
      <c r="B485" s="161">
        <v>108000</v>
      </c>
      <c r="C485" s="152">
        <f>46440*3.23035</f>
        <v>150017.454</v>
      </c>
      <c r="D485" s="117">
        <v>21208.403999999999</v>
      </c>
      <c r="E485" s="116">
        <f t="shared" si="14"/>
        <v>128809.05</v>
      </c>
      <c r="F485" s="116">
        <f t="shared" si="15"/>
        <v>1.1926763888888889</v>
      </c>
      <c r="G485" s="88" t="s">
        <v>19722</v>
      </c>
      <c r="H485" s="109" t="s">
        <v>18136</v>
      </c>
      <c r="I485" s="101">
        <v>44034</v>
      </c>
      <c r="N485" s="66" t="s">
        <v>18167</v>
      </c>
      <c r="O485" s="651">
        <v>20146.34</v>
      </c>
    </row>
    <row r="486" spans="1:15" ht="14.45" hidden="1">
      <c r="A486" s="81">
        <v>44036</v>
      </c>
      <c r="B486" s="161">
        <v>108000</v>
      </c>
      <c r="C486" s="152">
        <f>46440*3.23035</f>
        <v>150017.454</v>
      </c>
      <c r="D486" s="117">
        <v>21208.403999999999</v>
      </c>
      <c r="E486" s="116">
        <f t="shared" si="14"/>
        <v>128809.05</v>
      </c>
      <c r="F486" s="116">
        <f t="shared" si="15"/>
        <v>1.1926763888888889</v>
      </c>
      <c r="G486" s="88" t="s">
        <v>19722</v>
      </c>
      <c r="H486" s="109" t="s">
        <v>18137</v>
      </c>
      <c r="I486" s="101">
        <v>44034</v>
      </c>
      <c r="N486" s="66" t="s">
        <v>18168</v>
      </c>
      <c r="O486" s="651">
        <v>20146.34</v>
      </c>
    </row>
    <row r="487" spans="1:15" ht="14.45" hidden="1">
      <c r="A487" s="81">
        <v>44037</v>
      </c>
      <c r="B487" s="161">
        <v>242088</v>
      </c>
      <c r="C487" s="152">
        <f>158344.56*2.78765</f>
        <v>441409.21268400003</v>
      </c>
      <c r="D487" s="117">
        <v>34099.78</v>
      </c>
      <c r="E487" s="116">
        <f t="shared" si="14"/>
        <v>407309.432684</v>
      </c>
      <c r="F487" s="116">
        <f t="shared" si="15"/>
        <v>1.6824850165394403</v>
      </c>
      <c r="G487" s="88" t="s">
        <v>19688</v>
      </c>
      <c r="H487" s="109" t="s">
        <v>18141</v>
      </c>
      <c r="I487" s="101">
        <v>44035</v>
      </c>
      <c r="N487" s="66" t="s">
        <v>18169</v>
      </c>
      <c r="O487" s="651">
        <v>20146.34</v>
      </c>
    </row>
    <row r="488" spans="1:15" ht="14.45" hidden="1">
      <c r="A488" s="81">
        <v>44040</v>
      </c>
      <c r="B488" s="161">
        <v>154056</v>
      </c>
      <c r="C488" s="152">
        <v>209956.32</v>
      </c>
      <c r="D488" s="117">
        <v>0</v>
      </c>
      <c r="E488" s="116">
        <f t="shared" si="14"/>
        <v>209956.32</v>
      </c>
      <c r="F488" s="116">
        <f t="shared" si="15"/>
        <v>1.362857142857143</v>
      </c>
      <c r="G488" s="88" t="s">
        <v>19647</v>
      </c>
      <c r="H488" s="109" t="s">
        <v>18138</v>
      </c>
      <c r="I488" s="101">
        <v>44034</v>
      </c>
      <c r="N488" s="66" t="s">
        <v>18170</v>
      </c>
      <c r="O488" s="651">
        <v>29640.400000000001</v>
      </c>
    </row>
    <row r="489" spans="1:15" ht="14.45" hidden="1">
      <c r="A489" s="81">
        <v>44041</v>
      </c>
      <c r="B489" s="151">
        <v>25209.52</v>
      </c>
      <c r="C489" s="152">
        <v>59213.826999999997</v>
      </c>
      <c r="D489" s="117">
        <v>0</v>
      </c>
      <c r="E489" s="116">
        <f t="shared" si="14"/>
        <v>59213.826999999997</v>
      </c>
      <c r="F489" s="116">
        <f t="shared" si="15"/>
        <v>2.3488676896664433</v>
      </c>
      <c r="G489" s="88" t="s">
        <v>19690</v>
      </c>
      <c r="H489" s="109" t="s">
        <v>18143</v>
      </c>
      <c r="I489" s="101">
        <v>44035</v>
      </c>
      <c r="N489" s="66" t="s">
        <v>18172</v>
      </c>
      <c r="O489" s="651">
        <v>0</v>
      </c>
    </row>
    <row r="490" spans="1:15" ht="14.45" hidden="1">
      <c r="A490" s="81">
        <v>44042</v>
      </c>
      <c r="B490" s="161">
        <v>135624</v>
      </c>
      <c r="C490" s="152">
        <v>216002.4</v>
      </c>
      <c r="D490" s="117">
        <v>0</v>
      </c>
      <c r="E490" s="116">
        <f t="shared" si="14"/>
        <v>216002.4</v>
      </c>
      <c r="F490" s="116">
        <f t="shared" si="15"/>
        <v>1.5926561670500796</v>
      </c>
      <c r="G490" s="88" t="s">
        <v>19647</v>
      </c>
      <c r="H490" s="109" t="s">
        <v>18140</v>
      </c>
      <c r="I490" s="101">
        <v>44034</v>
      </c>
      <c r="N490" s="66" t="s">
        <v>18173</v>
      </c>
      <c r="O490" s="651">
        <v>0</v>
      </c>
    </row>
    <row r="491" spans="1:15" ht="14.45" hidden="1">
      <c r="A491" s="155">
        <v>44043</v>
      </c>
      <c r="B491" s="163">
        <v>690000</v>
      </c>
      <c r="C491" s="164">
        <f>(389850+32025)*2.7607</f>
        <v>1164670.3125</v>
      </c>
      <c r="D491" s="117">
        <v>117639.94</v>
      </c>
      <c r="E491" s="158">
        <f t="shared" si="14"/>
        <v>1047030.3725000001</v>
      </c>
      <c r="F491" s="158">
        <f t="shared" si="15"/>
        <v>1.5174353224637682</v>
      </c>
      <c r="G491" s="159" t="s">
        <v>17234</v>
      </c>
      <c r="H491" s="165" t="s">
        <v>18132</v>
      </c>
      <c r="I491" s="173">
        <v>44028</v>
      </c>
      <c r="N491" s="66" t="s">
        <v>18174</v>
      </c>
      <c r="O491" s="651">
        <v>0</v>
      </c>
    </row>
    <row r="492" spans="1:15" ht="14.45" hidden="1">
      <c r="A492" s="81">
        <v>44046</v>
      </c>
      <c r="B492" s="87">
        <v>193200</v>
      </c>
      <c r="C492" s="30">
        <v>326107.68699999998</v>
      </c>
      <c r="D492" s="117">
        <v>0</v>
      </c>
      <c r="E492" s="117">
        <f t="shared" si="14"/>
        <v>326107.68699999998</v>
      </c>
      <c r="F492" s="117">
        <f t="shared" si="15"/>
        <v>1.687927986542443</v>
      </c>
      <c r="G492" s="166" t="s">
        <v>17234</v>
      </c>
      <c r="H492" s="109" t="s">
        <v>18132</v>
      </c>
      <c r="I492" s="101">
        <v>44028</v>
      </c>
      <c r="N492" s="66" t="s">
        <v>18175</v>
      </c>
      <c r="O492" s="651">
        <v>0</v>
      </c>
    </row>
    <row r="493" spans="1:15" ht="12.95" hidden="1">
      <c r="A493" s="86">
        <v>44046</v>
      </c>
      <c r="B493" s="87">
        <v>40000</v>
      </c>
      <c r="C493" s="30">
        <v>64000</v>
      </c>
      <c r="D493" s="117">
        <v>0</v>
      </c>
      <c r="E493" s="116">
        <f t="shared" si="14"/>
        <v>64000</v>
      </c>
      <c r="F493" s="116">
        <f t="shared" si="15"/>
        <v>1.6</v>
      </c>
      <c r="G493" s="88" t="s">
        <v>19656</v>
      </c>
      <c r="H493" s="85" t="s">
        <v>18130</v>
      </c>
      <c r="I493" s="101">
        <v>44028</v>
      </c>
      <c r="N493" s="66" t="s">
        <v>18176</v>
      </c>
      <c r="O493" s="651">
        <v>1142.48</v>
      </c>
    </row>
    <row r="494" spans="1:15" ht="12.95" hidden="1">
      <c r="A494" s="86">
        <v>44048</v>
      </c>
      <c r="B494" s="87">
        <v>41500</v>
      </c>
      <c r="C494" s="30">
        <v>65570</v>
      </c>
      <c r="D494" s="117">
        <v>0</v>
      </c>
      <c r="E494" s="116">
        <f t="shared" si="14"/>
        <v>65570</v>
      </c>
      <c r="F494" s="116">
        <f t="shared" si="15"/>
        <v>1.58</v>
      </c>
      <c r="G494" s="88" t="s">
        <v>19778</v>
      </c>
      <c r="H494" s="85" t="s">
        <v>18129</v>
      </c>
      <c r="I494" s="101">
        <v>44025</v>
      </c>
      <c r="N494" s="66" t="s">
        <v>18177</v>
      </c>
      <c r="O494" s="651">
        <v>0</v>
      </c>
    </row>
    <row r="495" spans="1:15" ht="12.95" hidden="1">
      <c r="A495" s="86">
        <v>44051</v>
      </c>
      <c r="B495" s="87">
        <v>20270</v>
      </c>
      <c r="C495" s="30">
        <f>20892*2.7331</f>
        <v>57099.925199999998</v>
      </c>
      <c r="D495" s="117">
        <v>5640.18</v>
      </c>
      <c r="E495" s="116">
        <f t="shared" si="14"/>
        <v>51459.745199999998</v>
      </c>
      <c r="F495" s="116">
        <f t="shared" si="15"/>
        <v>2.5387146127281697</v>
      </c>
      <c r="G495" s="88" t="s">
        <v>17210</v>
      </c>
      <c r="H495" s="85" t="s">
        <v>18153</v>
      </c>
      <c r="I495" s="101">
        <v>44047</v>
      </c>
      <c r="N495" s="66" t="s">
        <v>18179</v>
      </c>
      <c r="O495" s="651">
        <v>0</v>
      </c>
    </row>
    <row r="496" spans="1:15" ht="12.95" hidden="1">
      <c r="A496" s="140">
        <v>44053</v>
      </c>
      <c r="B496" s="87">
        <v>56000</v>
      </c>
      <c r="C496" s="30">
        <v>75040</v>
      </c>
      <c r="D496" s="117">
        <v>0</v>
      </c>
      <c r="E496" s="116">
        <f t="shared" si="14"/>
        <v>75040</v>
      </c>
      <c r="F496" s="116">
        <f t="shared" si="15"/>
        <v>1.34</v>
      </c>
      <c r="G496" s="88" t="s">
        <v>19664</v>
      </c>
      <c r="H496" s="85" t="s">
        <v>18088</v>
      </c>
      <c r="I496" s="128">
        <v>43997</v>
      </c>
      <c r="N496" s="66" t="s">
        <v>18180</v>
      </c>
      <c r="O496" s="651">
        <v>0</v>
      </c>
    </row>
    <row r="497" spans="1:15" ht="12.95" hidden="1">
      <c r="A497" s="140">
        <v>44053</v>
      </c>
      <c r="B497" s="87">
        <v>43404</v>
      </c>
      <c r="C497" s="30">
        <v>70962.48</v>
      </c>
      <c r="D497" s="117">
        <v>0</v>
      </c>
      <c r="E497" s="116">
        <f t="shared" si="14"/>
        <v>70962.48</v>
      </c>
      <c r="F497" s="116">
        <f t="shared" si="15"/>
        <v>1.6349294995852917</v>
      </c>
      <c r="G497" s="88" t="s">
        <v>19778</v>
      </c>
      <c r="H497" s="85" t="s">
        <v>18149</v>
      </c>
      <c r="I497" s="128">
        <v>44042</v>
      </c>
      <c r="N497" s="66" t="s">
        <v>18182</v>
      </c>
      <c r="O497" s="651">
        <v>172590.72</v>
      </c>
    </row>
    <row r="498" spans="1:15" ht="12.95" hidden="1">
      <c r="A498" s="140">
        <v>44061</v>
      </c>
      <c r="B498" s="87">
        <v>246000</v>
      </c>
      <c r="C498" s="30">
        <v>415740</v>
      </c>
      <c r="D498" s="117">
        <v>0</v>
      </c>
      <c r="E498" s="116">
        <f t="shared" si="14"/>
        <v>415740</v>
      </c>
      <c r="F498" s="116">
        <f t="shared" si="15"/>
        <v>1.69</v>
      </c>
      <c r="G498" s="88" t="s">
        <v>19679</v>
      </c>
      <c r="H498" s="85" t="s">
        <v>18150</v>
      </c>
      <c r="I498" s="128">
        <v>44047</v>
      </c>
      <c r="N498" s="66" t="s">
        <v>18183</v>
      </c>
      <c r="O498" s="651">
        <v>101051.515</v>
      </c>
    </row>
    <row r="499" spans="1:15" ht="12.95" hidden="1">
      <c r="A499" s="140">
        <v>44062</v>
      </c>
      <c r="B499" s="82">
        <v>277000</v>
      </c>
      <c r="C499" s="30">
        <v>343480</v>
      </c>
      <c r="D499" s="117">
        <v>0</v>
      </c>
      <c r="E499" s="116">
        <f t="shared" si="14"/>
        <v>343480</v>
      </c>
      <c r="F499" s="116">
        <f t="shared" si="15"/>
        <v>1.24</v>
      </c>
      <c r="G499" s="88" t="s">
        <v>19778</v>
      </c>
      <c r="H499" s="85" t="s">
        <v>18147</v>
      </c>
      <c r="I499" s="128">
        <v>44042</v>
      </c>
      <c r="N499" s="66" t="s">
        <v>18184</v>
      </c>
      <c r="O499" s="651">
        <v>36133.699999999997</v>
      </c>
    </row>
    <row r="500" spans="1:15" ht="12.95" hidden="1">
      <c r="A500" s="140">
        <v>44064</v>
      </c>
      <c r="B500" s="87">
        <v>23426</v>
      </c>
      <c r="C500" s="83">
        <f>18741.12*2.7297</f>
        <v>51157.635263999997</v>
      </c>
      <c r="D500" s="117">
        <v>10794.536</v>
      </c>
      <c r="E500" s="116">
        <f t="shared" si="14"/>
        <v>40363.099263999997</v>
      </c>
      <c r="F500" s="116">
        <f t="shared" si="15"/>
        <v>1.7230043227183469</v>
      </c>
      <c r="G500" s="88" t="s">
        <v>19779</v>
      </c>
      <c r="H500" s="85" t="s">
        <v>18157</v>
      </c>
      <c r="I500" s="129">
        <v>44054</v>
      </c>
      <c r="N500" s="66" t="s">
        <v>18187</v>
      </c>
      <c r="O500" s="651">
        <v>23851.616000000002</v>
      </c>
    </row>
    <row r="501" spans="1:15" ht="12.95" hidden="1">
      <c r="A501" s="140">
        <v>44064</v>
      </c>
      <c r="B501" s="87">
        <v>52000</v>
      </c>
      <c r="C501" s="83">
        <v>72540</v>
      </c>
      <c r="D501" s="117">
        <v>0</v>
      </c>
      <c r="E501" s="116">
        <f t="shared" si="14"/>
        <v>72540</v>
      </c>
      <c r="F501" s="116">
        <f t="shared" si="15"/>
        <v>1.395</v>
      </c>
      <c r="G501" s="88" t="s">
        <v>19647</v>
      </c>
      <c r="H501" s="85" t="s">
        <v>18154</v>
      </c>
      <c r="I501" s="130">
        <v>44053</v>
      </c>
      <c r="N501" s="66" t="s">
        <v>18188</v>
      </c>
      <c r="O501" s="651">
        <v>23851.616000000002</v>
      </c>
    </row>
    <row r="502" spans="1:15" ht="12.95" hidden="1">
      <c r="A502" s="140">
        <v>44064</v>
      </c>
      <c r="B502" s="87">
        <v>20000</v>
      </c>
      <c r="C502" s="83">
        <f>14100*2.73895</f>
        <v>38619.195</v>
      </c>
      <c r="D502" s="117">
        <v>4996.43</v>
      </c>
      <c r="E502" s="116">
        <f t="shared" si="14"/>
        <v>33622.764999999999</v>
      </c>
      <c r="F502" s="116">
        <f t="shared" si="15"/>
        <v>1.6811382500000001</v>
      </c>
      <c r="G502" s="88" t="s">
        <v>19780</v>
      </c>
      <c r="H502" s="85" t="s">
        <v>18108</v>
      </c>
      <c r="I502" s="130">
        <v>44012</v>
      </c>
      <c r="N502" s="66" t="s">
        <v>18189</v>
      </c>
      <c r="O502" s="651">
        <v>6372.34</v>
      </c>
    </row>
    <row r="503" spans="1:15" ht="12.95" hidden="1">
      <c r="A503" s="140">
        <v>44067</v>
      </c>
      <c r="B503" s="87">
        <v>43608</v>
      </c>
      <c r="C503" s="83">
        <v>68916.960000000006</v>
      </c>
      <c r="D503" s="117">
        <v>0</v>
      </c>
      <c r="E503" s="116">
        <f t="shared" si="14"/>
        <v>68916.960000000006</v>
      </c>
      <c r="F503" s="116">
        <f t="shared" si="15"/>
        <v>1.5803742432581178</v>
      </c>
      <c r="G503" s="88" t="s">
        <v>19778</v>
      </c>
      <c r="H503" s="85" t="s">
        <v>18162</v>
      </c>
      <c r="I503" s="130">
        <v>44062</v>
      </c>
      <c r="N503" s="66" t="s">
        <v>18190</v>
      </c>
      <c r="O503" s="651">
        <v>54414.025000000001</v>
      </c>
    </row>
    <row r="504" spans="1:15" ht="12.95" hidden="1">
      <c r="A504" s="140">
        <v>44069</v>
      </c>
      <c r="B504" s="87">
        <v>304200</v>
      </c>
      <c r="C504" s="83">
        <v>380250</v>
      </c>
      <c r="D504" s="117">
        <v>0</v>
      </c>
      <c r="E504" s="116">
        <f t="shared" si="14"/>
        <v>380250</v>
      </c>
      <c r="F504" s="116">
        <f t="shared" si="15"/>
        <v>1.25</v>
      </c>
      <c r="G504" s="88" t="s">
        <v>19778</v>
      </c>
      <c r="H504" s="85" t="s">
        <v>18148</v>
      </c>
      <c r="I504" s="130">
        <v>44042</v>
      </c>
      <c r="N504" s="66" t="s">
        <v>18192</v>
      </c>
      <c r="O504" s="651">
        <v>0</v>
      </c>
    </row>
    <row r="505" spans="1:15" ht="12.95" hidden="1">
      <c r="A505" s="140">
        <v>44069</v>
      </c>
      <c r="B505" s="124">
        <v>198072</v>
      </c>
      <c r="C505" s="83">
        <f>129554.64*2.7371</f>
        <v>354604.005144</v>
      </c>
      <c r="D505" s="117">
        <v>31060.5</v>
      </c>
      <c r="E505" s="116">
        <f t="shared" si="14"/>
        <v>323543.505144</v>
      </c>
      <c r="F505" s="116">
        <f t="shared" si="15"/>
        <v>1.6334641198352113</v>
      </c>
      <c r="G505" s="88" t="s">
        <v>19688</v>
      </c>
      <c r="H505" s="85" t="s">
        <v>18164</v>
      </c>
      <c r="I505" s="130">
        <v>44064</v>
      </c>
      <c r="N505" s="66" t="s">
        <v>18194</v>
      </c>
      <c r="O505" s="651">
        <v>0</v>
      </c>
    </row>
    <row r="506" spans="1:15" ht="12.95" hidden="1">
      <c r="A506" s="140">
        <v>44070</v>
      </c>
      <c r="B506" s="82">
        <v>108000</v>
      </c>
      <c r="C506" s="83">
        <f>47520*3.24185</f>
        <v>154052.712</v>
      </c>
      <c r="D506" s="117">
        <v>20146.34</v>
      </c>
      <c r="E506" s="116">
        <f t="shared" si="14"/>
        <v>133906.372</v>
      </c>
      <c r="F506" s="116">
        <f t="shared" si="15"/>
        <v>1.2398738148148147</v>
      </c>
      <c r="G506" s="88" t="s">
        <v>19722</v>
      </c>
      <c r="H506" s="85" t="s">
        <v>18167</v>
      </c>
      <c r="I506" s="130">
        <v>44064</v>
      </c>
      <c r="N506" s="66" t="s">
        <v>18195</v>
      </c>
      <c r="O506" s="651">
        <v>106891.738</v>
      </c>
    </row>
    <row r="507" spans="1:15" ht="12.95" hidden="1">
      <c r="A507" s="140">
        <v>44071</v>
      </c>
      <c r="B507" s="82">
        <v>108000</v>
      </c>
      <c r="C507" s="83">
        <f>47520*3.24325</f>
        <v>154119.24000000002</v>
      </c>
      <c r="D507" s="117">
        <v>20146.34</v>
      </c>
      <c r="E507" s="116">
        <f t="shared" si="14"/>
        <v>133972.90000000002</v>
      </c>
      <c r="F507" s="116">
        <f t="shared" si="15"/>
        <v>1.2404898148148151</v>
      </c>
      <c r="G507" s="88" t="s">
        <v>19722</v>
      </c>
      <c r="H507" s="85" t="s">
        <v>18168</v>
      </c>
      <c r="I507" s="130">
        <v>44064</v>
      </c>
      <c r="N507" s="66" t="s">
        <v>18197</v>
      </c>
      <c r="O507" s="651">
        <v>109236.45</v>
      </c>
    </row>
    <row r="508" spans="1:15" ht="12.95" hidden="1">
      <c r="A508" s="167">
        <v>44071</v>
      </c>
      <c r="B508" s="87">
        <v>1906.8</v>
      </c>
      <c r="C508" s="30">
        <v>3565.7159999999999</v>
      </c>
      <c r="D508" s="117">
        <v>0</v>
      </c>
      <c r="E508" s="116">
        <f t="shared" si="14"/>
        <v>3565.7159999999999</v>
      </c>
      <c r="F508" s="116">
        <f t="shared" si="15"/>
        <v>1.8699999999999999</v>
      </c>
      <c r="G508" s="88" t="s">
        <v>17018</v>
      </c>
      <c r="H508" s="85" t="s">
        <v>18160</v>
      </c>
      <c r="I508" s="130">
        <v>44058</v>
      </c>
      <c r="N508" s="66" t="s">
        <v>18198</v>
      </c>
      <c r="O508" s="651">
        <v>0</v>
      </c>
    </row>
    <row r="509" spans="1:15" ht="12.95" hidden="1">
      <c r="A509" s="167">
        <v>44071</v>
      </c>
      <c r="B509" s="87">
        <v>264096</v>
      </c>
      <c r="C509" s="30">
        <v>358290.24</v>
      </c>
      <c r="D509" s="117">
        <v>0</v>
      </c>
      <c r="E509" s="116">
        <f t="shared" si="14"/>
        <v>358290.24</v>
      </c>
      <c r="F509" s="116">
        <f t="shared" si="15"/>
        <v>1.3566666666666667</v>
      </c>
      <c r="G509" s="88" t="s">
        <v>19647</v>
      </c>
      <c r="H509" s="85" t="s">
        <v>18166</v>
      </c>
      <c r="I509" s="130">
        <v>44064</v>
      </c>
      <c r="N509" s="66" t="s">
        <v>18200</v>
      </c>
      <c r="O509" s="651">
        <v>0</v>
      </c>
    </row>
    <row r="510" spans="1:15" ht="12.95" hidden="1">
      <c r="A510" s="140">
        <v>44072</v>
      </c>
      <c r="B510" s="82">
        <v>108000</v>
      </c>
      <c r="C510" s="83">
        <f>47520*3.2506</f>
        <v>154468.51199999999</v>
      </c>
      <c r="D510" s="117">
        <v>20146.34</v>
      </c>
      <c r="E510" s="116">
        <f t="shared" si="14"/>
        <v>134322.17199999999</v>
      </c>
      <c r="F510" s="116">
        <f t="shared" si="15"/>
        <v>1.2437238148148146</v>
      </c>
      <c r="G510" s="88" t="s">
        <v>19722</v>
      </c>
      <c r="H510" s="85" t="s">
        <v>18169</v>
      </c>
      <c r="I510" s="130">
        <v>44064</v>
      </c>
      <c r="N510" s="66" t="s">
        <v>18202</v>
      </c>
      <c r="O510" s="651">
        <v>0</v>
      </c>
    </row>
    <row r="511" spans="1:15" ht="12.95" hidden="1">
      <c r="A511" s="81">
        <v>44072</v>
      </c>
      <c r="B511" s="87">
        <v>220080</v>
      </c>
      <c r="C511" s="30">
        <f>145252.8*2.73945</f>
        <v>397912.78295999998</v>
      </c>
      <c r="D511" s="117">
        <v>29640.400000000001</v>
      </c>
      <c r="E511" s="116">
        <f t="shared" si="14"/>
        <v>368272.38295999996</v>
      </c>
      <c r="F511" s="116">
        <f t="shared" si="15"/>
        <v>1.6733568836786621</v>
      </c>
      <c r="G511" s="88" t="s">
        <v>19771</v>
      </c>
      <c r="H511" s="85" t="s">
        <v>18170</v>
      </c>
      <c r="I511" s="130">
        <v>44064</v>
      </c>
      <c r="N511" s="66" t="s">
        <v>18204</v>
      </c>
      <c r="O511" s="651">
        <v>0</v>
      </c>
    </row>
    <row r="512" spans="1:15" ht="12.95" hidden="1">
      <c r="A512" s="168">
        <v>44074</v>
      </c>
      <c r="B512" s="87">
        <v>6330</v>
      </c>
      <c r="C512" s="30">
        <v>11717.7</v>
      </c>
      <c r="D512" s="117">
        <v>0</v>
      </c>
      <c r="E512" s="116">
        <f t="shared" si="14"/>
        <v>11717.7</v>
      </c>
      <c r="F512" s="116">
        <f t="shared" si="15"/>
        <v>1.8511374407582939</v>
      </c>
      <c r="G512" s="88" t="s">
        <v>19729</v>
      </c>
      <c r="H512" s="85" t="s">
        <v>18163</v>
      </c>
      <c r="I512" s="101">
        <v>44064</v>
      </c>
      <c r="N512" s="66" t="s">
        <v>18205</v>
      </c>
      <c r="O512" s="651">
        <v>0</v>
      </c>
    </row>
    <row r="513" spans="1:15" ht="12.95" hidden="1">
      <c r="A513" s="81">
        <v>44075</v>
      </c>
      <c r="B513" s="87">
        <v>48000</v>
      </c>
      <c r="C513" s="30">
        <v>75408</v>
      </c>
      <c r="D513" s="117">
        <v>0</v>
      </c>
      <c r="E513" s="116">
        <f t="shared" si="14"/>
        <v>75408</v>
      </c>
      <c r="F513" s="116">
        <f t="shared" si="15"/>
        <v>1.571</v>
      </c>
      <c r="G513" s="88" t="s">
        <v>19647</v>
      </c>
      <c r="H513" s="85" t="s">
        <v>18155</v>
      </c>
      <c r="I513" s="101">
        <v>44053</v>
      </c>
      <c r="N513" s="66" t="s">
        <v>18206</v>
      </c>
      <c r="O513" s="651">
        <v>0</v>
      </c>
    </row>
    <row r="514" spans="1:15" ht="12.95" hidden="1">
      <c r="A514" s="140">
        <v>44076</v>
      </c>
      <c r="B514" s="87">
        <v>20750</v>
      </c>
      <c r="C514" s="30">
        <v>32785</v>
      </c>
      <c r="D514" s="117">
        <v>0</v>
      </c>
      <c r="E514" s="116">
        <f t="shared" si="14"/>
        <v>32785</v>
      </c>
      <c r="F514" s="116">
        <f t="shared" si="15"/>
        <v>1.58</v>
      </c>
      <c r="G514" s="88" t="s">
        <v>19778</v>
      </c>
      <c r="H514" s="85" t="s">
        <v>18172</v>
      </c>
      <c r="I514" s="130">
        <v>44068</v>
      </c>
      <c r="N514" s="66" t="s">
        <v>18207</v>
      </c>
      <c r="O514" s="651">
        <v>1653.69</v>
      </c>
    </row>
    <row r="515" spans="1:15" ht="12.95" hidden="1">
      <c r="A515" s="140">
        <v>44076</v>
      </c>
      <c r="B515" s="87">
        <v>19200</v>
      </c>
      <c r="C515" s="30">
        <v>32064</v>
      </c>
      <c r="D515" s="117">
        <v>0</v>
      </c>
      <c r="E515" s="116">
        <f t="shared" si="14"/>
        <v>32064</v>
      </c>
      <c r="F515" s="116">
        <f t="shared" si="15"/>
        <v>1.67</v>
      </c>
      <c r="G515" s="88" t="s">
        <v>19778</v>
      </c>
      <c r="H515" s="85" t="s">
        <v>18173</v>
      </c>
      <c r="I515" s="130">
        <v>44068</v>
      </c>
      <c r="N515" s="66" t="s">
        <v>18209</v>
      </c>
      <c r="O515" s="651">
        <v>0</v>
      </c>
    </row>
    <row r="516" spans="1:15" ht="12.95" hidden="1">
      <c r="A516" s="81">
        <v>44077</v>
      </c>
      <c r="B516" s="87">
        <v>33600</v>
      </c>
      <c r="C516" s="83">
        <v>52416</v>
      </c>
      <c r="D516" s="117">
        <v>0</v>
      </c>
      <c r="E516" s="116">
        <f t="shared" si="14"/>
        <v>52416</v>
      </c>
      <c r="F516" s="116">
        <f t="shared" si="15"/>
        <v>1.56</v>
      </c>
      <c r="G516" s="88" t="s">
        <v>17018</v>
      </c>
      <c r="H516" s="85" t="s">
        <v>18161</v>
      </c>
      <c r="I516" s="130">
        <v>44062</v>
      </c>
      <c r="N516" s="66" t="s">
        <v>18211</v>
      </c>
      <c r="O516" s="651">
        <v>2549.66</v>
      </c>
    </row>
    <row r="517" spans="1:15" ht="12.95" hidden="1">
      <c r="A517" s="81">
        <v>44078</v>
      </c>
      <c r="B517" s="87">
        <v>20000</v>
      </c>
      <c r="C517" s="30">
        <v>34750</v>
      </c>
      <c r="D517" s="117">
        <v>0</v>
      </c>
      <c r="E517" s="116">
        <f t="shared" si="14"/>
        <v>34750</v>
      </c>
      <c r="F517" s="116">
        <f t="shared" si="15"/>
        <v>1.7375</v>
      </c>
      <c r="G517" s="88" t="s">
        <v>19679</v>
      </c>
      <c r="H517" s="85" t="s">
        <v>18180</v>
      </c>
      <c r="I517" s="130">
        <v>44075</v>
      </c>
      <c r="N517" s="66" t="s">
        <v>18212</v>
      </c>
      <c r="O517" s="651">
        <v>30050.55</v>
      </c>
    </row>
    <row r="518" spans="1:15" ht="12.95" hidden="1">
      <c r="A518" s="81">
        <v>44082</v>
      </c>
      <c r="B518" s="87">
        <v>137200</v>
      </c>
      <c r="C518" s="30">
        <v>186592</v>
      </c>
      <c r="D518" s="117">
        <v>0</v>
      </c>
      <c r="E518" s="116">
        <f t="shared" si="14"/>
        <v>186592</v>
      </c>
      <c r="F518" s="116">
        <f t="shared" si="15"/>
        <v>1.36</v>
      </c>
      <c r="G518" s="88" t="s">
        <v>19656</v>
      </c>
      <c r="H518" s="85" t="s">
        <v>18175</v>
      </c>
      <c r="I518" s="130">
        <v>44075</v>
      </c>
      <c r="N518" s="66" t="s">
        <v>18214</v>
      </c>
      <c r="O518" s="651">
        <v>0</v>
      </c>
    </row>
    <row r="519" spans="1:15" ht="12.95" hidden="1">
      <c r="A519" s="81">
        <v>44083</v>
      </c>
      <c r="B519" s="87">
        <v>22200</v>
      </c>
      <c r="C519" s="30">
        <v>42289.5</v>
      </c>
      <c r="D519" s="117">
        <v>0</v>
      </c>
      <c r="E519" s="116">
        <f t="shared" si="14"/>
        <v>42289.5</v>
      </c>
      <c r="F519" s="116">
        <f t="shared" si="15"/>
        <v>1.9049324324324324</v>
      </c>
      <c r="G519" s="88" t="s">
        <v>17227</v>
      </c>
      <c r="H519" s="85" t="s">
        <v>18174</v>
      </c>
      <c r="I519" s="130">
        <v>44075</v>
      </c>
      <c r="N519" s="66" t="s">
        <v>18215</v>
      </c>
      <c r="O519" s="651">
        <v>0</v>
      </c>
    </row>
    <row r="520" spans="1:15" ht="12.95" hidden="1">
      <c r="A520" s="81">
        <v>44084</v>
      </c>
      <c r="B520" s="87">
        <v>108000</v>
      </c>
      <c r="C520" s="30">
        <f>47520*3.23945</f>
        <v>153938.66400000002</v>
      </c>
      <c r="D520" s="117">
        <v>23851.616000000002</v>
      </c>
      <c r="E520" s="116">
        <f t="shared" ref="E520:E583" si="16">(C520-D520)</f>
        <v>130087.04800000001</v>
      </c>
      <c r="F520" s="116">
        <f t="shared" ref="F520:F583" si="17">(E520/B520)</f>
        <v>1.2045097037037038</v>
      </c>
      <c r="G520" s="88" t="s">
        <v>19722</v>
      </c>
      <c r="H520" s="85" t="s">
        <v>18187</v>
      </c>
      <c r="I520" s="130">
        <v>44078</v>
      </c>
      <c r="N520" s="66" t="s">
        <v>18216</v>
      </c>
      <c r="O520" s="651">
        <v>0</v>
      </c>
    </row>
    <row r="521" spans="1:15" ht="12.95" hidden="1">
      <c r="A521" s="81">
        <v>44086</v>
      </c>
      <c r="B521" s="87">
        <v>108000</v>
      </c>
      <c r="C521" s="30">
        <f>47520*3.23945</f>
        <v>153938.66400000002</v>
      </c>
      <c r="D521" s="117">
        <v>23851.616000000002</v>
      </c>
      <c r="E521" s="116">
        <f t="shared" si="16"/>
        <v>130087.04800000001</v>
      </c>
      <c r="F521" s="116">
        <f t="shared" si="17"/>
        <v>1.2045097037037038</v>
      </c>
      <c r="G521" s="88" t="s">
        <v>19722</v>
      </c>
      <c r="H521" s="85" t="s">
        <v>18188</v>
      </c>
      <c r="I521" s="130">
        <v>44078</v>
      </c>
      <c r="N521" s="66" t="s">
        <v>18217</v>
      </c>
      <c r="O521" s="651">
        <v>0</v>
      </c>
    </row>
    <row r="522" spans="1:15" ht="12.95" hidden="1">
      <c r="A522" s="81">
        <v>44088</v>
      </c>
      <c r="B522" s="87">
        <v>96000</v>
      </c>
      <c r="C522" s="30">
        <v>156480</v>
      </c>
      <c r="D522" s="117">
        <v>0</v>
      </c>
      <c r="E522" s="116">
        <f t="shared" si="16"/>
        <v>156480</v>
      </c>
      <c r="F522" s="116">
        <f t="shared" si="17"/>
        <v>1.63</v>
      </c>
      <c r="G522" s="88" t="s">
        <v>19664</v>
      </c>
      <c r="H522" s="85" t="s">
        <v>18177</v>
      </c>
      <c r="I522" s="130">
        <v>44075</v>
      </c>
      <c r="N522" s="66" t="s">
        <v>18218</v>
      </c>
      <c r="O522" s="651">
        <v>0</v>
      </c>
    </row>
    <row r="523" spans="1:15" ht="12.95" hidden="1">
      <c r="A523" s="81">
        <v>44089</v>
      </c>
      <c r="B523" s="87">
        <v>280000</v>
      </c>
      <c r="C523" s="30">
        <v>355600</v>
      </c>
      <c r="D523" s="117">
        <v>0</v>
      </c>
      <c r="E523" s="116">
        <f t="shared" si="16"/>
        <v>355600</v>
      </c>
      <c r="F523" s="116">
        <f t="shared" si="17"/>
        <v>1.27</v>
      </c>
      <c r="G523" s="88" t="s">
        <v>19652</v>
      </c>
      <c r="H523" s="85" t="s">
        <v>18152</v>
      </c>
      <c r="I523" s="130">
        <v>44047</v>
      </c>
      <c r="N523" s="66" t="s">
        <v>18219</v>
      </c>
      <c r="O523" s="651">
        <v>0</v>
      </c>
    </row>
    <row r="524" spans="1:15" ht="12.95" hidden="1">
      <c r="A524" s="81">
        <v>44090</v>
      </c>
      <c r="B524" s="82">
        <v>20000</v>
      </c>
      <c r="C524" s="30">
        <f>12200*3.25965</f>
        <v>39767.730000000003</v>
      </c>
      <c r="D524" s="117">
        <v>6372.34</v>
      </c>
      <c r="E524" s="116">
        <f t="shared" si="16"/>
        <v>33395.39</v>
      </c>
      <c r="F524" s="116">
        <f t="shared" si="17"/>
        <v>1.6697694999999999</v>
      </c>
      <c r="G524" s="88" t="s">
        <v>19781</v>
      </c>
      <c r="H524" s="85" t="s">
        <v>18189</v>
      </c>
      <c r="I524" s="128">
        <v>44081</v>
      </c>
      <c r="N524" s="66" t="s">
        <v>18220</v>
      </c>
      <c r="O524" s="651">
        <v>0</v>
      </c>
    </row>
    <row r="525" spans="1:15" ht="12.95" hidden="1">
      <c r="A525" s="81">
        <v>44090</v>
      </c>
      <c r="B525" s="82">
        <v>1000800</v>
      </c>
      <c r="C525" s="30">
        <v>1677784.7679999999</v>
      </c>
      <c r="D525" s="174">
        <v>172590.72</v>
      </c>
      <c r="E525" s="116">
        <f t="shared" si="16"/>
        <v>1505194.048</v>
      </c>
      <c r="F525" s="116">
        <f t="shared" si="17"/>
        <v>1.5039908553157473</v>
      </c>
      <c r="G525" s="88" t="s">
        <v>17234</v>
      </c>
      <c r="H525" s="85" t="s">
        <v>18182</v>
      </c>
      <c r="I525" s="128">
        <v>44075</v>
      </c>
      <c r="N525" s="66" t="s">
        <v>18221</v>
      </c>
      <c r="O525" s="651">
        <v>0</v>
      </c>
    </row>
    <row r="526" spans="1:15" ht="12.95" hidden="1">
      <c r="A526" s="81">
        <v>44091</v>
      </c>
      <c r="B526" s="82">
        <v>106200</v>
      </c>
      <c r="C526" s="30">
        <f>63390*3.2569</f>
        <v>206454.891</v>
      </c>
      <c r="D526" s="117">
        <v>54414.025000000001</v>
      </c>
      <c r="E526" s="116">
        <f t="shared" si="16"/>
        <v>152040.86600000001</v>
      </c>
      <c r="F526" s="116">
        <f t="shared" si="17"/>
        <v>1.4316465725047083</v>
      </c>
      <c r="G526" s="88" t="s">
        <v>19651</v>
      </c>
      <c r="H526" s="85" t="s">
        <v>18190</v>
      </c>
      <c r="I526" s="128">
        <v>44086</v>
      </c>
      <c r="N526" s="66" t="s">
        <v>18222</v>
      </c>
      <c r="O526" s="651">
        <v>0</v>
      </c>
    </row>
    <row r="527" spans="1:15" ht="12.95" hidden="1">
      <c r="A527" s="81">
        <v>44092</v>
      </c>
      <c r="B527" s="87">
        <v>156000</v>
      </c>
      <c r="C527" s="30">
        <v>217620</v>
      </c>
      <c r="D527" s="117">
        <v>0</v>
      </c>
      <c r="E527" s="116">
        <f t="shared" si="16"/>
        <v>217620</v>
      </c>
      <c r="F527" s="116">
        <f t="shared" si="17"/>
        <v>1.395</v>
      </c>
      <c r="G527" s="88" t="s">
        <v>19647</v>
      </c>
      <c r="H527" s="85" t="s">
        <v>18194</v>
      </c>
      <c r="I527" s="130">
        <v>44089</v>
      </c>
      <c r="N527" s="66" t="s">
        <v>18223</v>
      </c>
      <c r="O527" s="651">
        <v>0</v>
      </c>
    </row>
    <row r="528" spans="1:15" ht="12.95" hidden="1">
      <c r="A528" s="81">
        <v>44094</v>
      </c>
      <c r="B528" s="87">
        <v>242088</v>
      </c>
      <c r="C528" s="30">
        <f>157357.2*2.7513</f>
        <v>432936.86436000007</v>
      </c>
      <c r="D528" s="174">
        <v>36133.699999999997</v>
      </c>
      <c r="E528" s="116">
        <f t="shared" si="16"/>
        <v>396803.16436000005</v>
      </c>
      <c r="F528" s="116">
        <f t="shared" si="17"/>
        <v>1.6390864659132218</v>
      </c>
      <c r="G528" s="88" t="s">
        <v>17254</v>
      </c>
      <c r="H528" s="85" t="s">
        <v>18184</v>
      </c>
      <c r="I528" s="130">
        <v>44078</v>
      </c>
      <c r="N528" s="66" t="s">
        <v>18224</v>
      </c>
      <c r="O528" s="651">
        <v>0</v>
      </c>
    </row>
    <row r="529" spans="1:15" ht="12.95" hidden="1">
      <c r="A529" s="81">
        <v>44096</v>
      </c>
      <c r="B529" s="124">
        <v>278000</v>
      </c>
      <c r="C529" s="83">
        <f>168190*2.7446</f>
        <v>461614.27400000003</v>
      </c>
      <c r="D529" s="117">
        <v>106891.738</v>
      </c>
      <c r="E529" s="116">
        <f t="shared" si="16"/>
        <v>354722.53600000002</v>
      </c>
      <c r="F529" s="116">
        <f t="shared" si="17"/>
        <v>1.275980345323741</v>
      </c>
      <c r="G529" s="88" t="s">
        <v>19752</v>
      </c>
      <c r="H529" s="85" t="s">
        <v>18195</v>
      </c>
      <c r="I529" s="130">
        <v>44089</v>
      </c>
      <c r="N529" s="66" t="s">
        <v>18225</v>
      </c>
      <c r="O529" s="651">
        <v>0</v>
      </c>
    </row>
    <row r="530" spans="1:15" ht="12.95" hidden="1">
      <c r="A530" s="81">
        <v>44096</v>
      </c>
      <c r="B530" s="124">
        <v>3588</v>
      </c>
      <c r="C530" s="83">
        <v>5952.6</v>
      </c>
      <c r="D530" s="117">
        <v>0</v>
      </c>
      <c r="E530" s="116">
        <f t="shared" si="16"/>
        <v>5952.6</v>
      </c>
      <c r="F530" s="116">
        <f t="shared" si="17"/>
        <v>1.6590301003344483</v>
      </c>
      <c r="G530" s="88" t="s">
        <v>19754</v>
      </c>
      <c r="H530" s="85" t="s">
        <v>18179</v>
      </c>
      <c r="I530" s="130">
        <v>44075</v>
      </c>
      <c r="N530" s="66" t="s">
        <v>18226</v>
      </c>
      <c r="O530" s="651">
        <v>108790.55</v>
      </c>
    </row>
    <row r="531" spans="1:15" ht="12.95" hidden="1">
      <c r="A531" s="81">
        <v>44096</v>
      </c>
      <c r="B531" s="87">
        <v>579600</v>
      </c>
      <c r="C531" s="83">
        <f>357294*2.7466</f>
        <v>981343.70039999997</v>
      </c>
      <c r="D531" s="117">
        <v>101051.515</v>
      </c>
      <c r="E531" s="116">
        <f t="shared" si="16"/>
        <v>880292.18539999996</v>
      </c>
      <c r="F531" s="116">
        <f t="shared" si="17"/>
        <v>1.5187925904071773</v>
      </c>
      <c r="G531" s="88" t="s">
        <v>19688</v>
      </c>
      <c r="H531" s="85" t="s">
        <v>18183</v>
      </c>
      <c r="I531" s="130">
        <v>44075</v>
      </c>
      <c r="N531" s="66" t="s">
        <v>18228</v>
      </c>
      <c r="O531" s="651">
        <v>3989.011</v>
      </c>
    </row>
    <row r="532" spans="1:15" ht="12.95" hidden="1">
      <c r="A532" s="81">
        <v>44097</v>
      </c>
      <c r="B532" s="124">
        <v>236040</v>
      </c>
      <c r="C532" s="83">
        <f>150837.6*2.7513</f>
        <v>414999.48888000002</v>
      </c>
      <c r="D532" s="117">
        <v>109236.45</v>
      </c>
      <c r="E532" s="116">
        <f t="shared" si="16"/>
        <v>305763.03888000001</v>
      </c>
      <c r="F532" s="116">
        <f t="shared" si="17"/>
        <v>1.2953865399084901</v>
      </c>
      <c r="G532" s="88" t="s">
        <v>19662</v>
      </c>
      <c r="H532" s="85" t="s">
        <v>18197</v>
      </c>
      <c r="I532" s="130">
        <v>44089</v>
      </c>
      <c r="N532" s="66" t="s">
        <v>18230</v>
      </c>
      <c r="O532" s="651">
        <v>1540.826</v>
      </c>
    </row>
    <row r="533" spans="1:15" ht="12.95" hidden="1">
      <c r="A533" s="81">
        <v>44097</v>
      </c>
      <c r="B533" s="124">
        <v>88032</v>
      </c>
      <c r="C533" s="83">
        <v>142611.84</v>
      </c>
      <c r="D533" s="117">
        <v>0</v>
      </c>
      <c r="E533" s="116">
        <f t="shared" si="16"/>
        <v>142611.84</v>
      </c>
      <c r="F533" s="116">
        <f t="shared" si="17"/>
        <v>1.6199999999999999</v>
      </c>
      <c r="G533" s="88" t="s">
        <v>19778</v>
      </c>
      <c r="H533" s="85" t="s">
        <v>18198</v>
      </c>
      <c r="I533" s="130">
        <v>44091</v>
      </c>
      <c r="N533" s="66" t="s">
        <v>18231</v>
      </c>
      <c r="O533" s="651">
        <v>0</v>
      </c>
    </row>
    <row r="534" spans="1:15" ht="12.95" hidden="1">
      <c r="A534" s="81">
        <v>44099</v>
      </c>
      <c r="B534" s="87">
        <v>84000</v>
      </c>
      <c r="C534" s="30">
        <v>115080</v>
      </c>
      <c r="D534" s="117">
        <v>0</v>
      </c>
      <c r="E534" s="116">
        <f t="shared" si="16"/>
        <v>115080</v>
      </c>
      <c r="F534" s="116">
        <f t="shared" si="17"/>
        <v>1.37</v>
      </c>
      <c r="G534" s="88" t="s">
        <v>19647</v>
      </c>
      <c r="H534" s="85" t="s">
        <v>18192</v>
      </c>
      <c r="I534" s="130">
        <v>44089</v>
      </c>
      <c r="N534" s="66" t="s">
        <v>18233</v>
      </c>
      <c r="O534" s="651">
        <v>0</v>
      </c>
    </row>
    <row r="535" spans="1:15" ht="12.95" hidden="1">
      <c r="A535" s="81">
        <v>44102</v>
      </c>
      <c r="B535" s="87">
        <v>22008</v>
      </c>
      <c r="C535" s="30">
        <v>35652.959999999999</v>
      </c>
      <c r="D535" s="117">
        <v>0</v>
      </c>
      <c r="E535" s="116">
        <f t="shared" si="16"/>
        <v>35652.959999999999</v>
      </c>
      <c r="F535" s="116">
        <f t="shared" si="17"/>
        <v>1.6199999999999999</v>
      </c>
      <c r="G535" s="88" t="s">
        <v>19778</v>
      </c>
      <c r="H535" s="85" t="s">
        <v>18200</v>
      </c>
      <c r="I535" s="130">
        <v>44096</v>
      </c>
      <c r="N535" s="66" t="s">
        <v>18235</v>
      </c>
      <c r="O535" s="651">
        <v>0</v>
      </c>
    </row>
    <row r="536" spans="1:15" ht="12.95" hidden="1">
      <c r="A536" s="81">
        <v>44103</v>
      </c>
      <c r="B536" s="87">
        <v>18050</v>
      </c>
      <c r="C536" s="30">
        <f>21921.5*2.7765</f>
        <v>60865.044750000001</v>
      </c>
      <c r="D536" s="117">
        <v>1653.69</v>
      </c>
      <c r="E536" s="116">
        <f t="shared" si="16"/>
        <v>59211.354749999999</v>
      </c>
      <c r="F536" s="116">
        <f t="shared" si="17"/>
        <v>3.280407465373961</v>
      </c>
      <c r="G536" s="88" t="s">
        <v>19653</v>
      </c>
      <c r="H536" s="85" t="s">
        <v>18207</v>
      </c>
      <c r="I536" s="130">
        <v>44099</v>
      </c>
      <c r="N536" s="66" t="s">
        <v>18236</v>
      </c>
      <c r="O536" s="651">
        <v>0</v>
      </c>
    </row>
    <row r="537" spans="1:15" ht="12.95" hidden="1">
      <c r="A537" s="81">
        <v>44104</v>
      </c>
      <c r="B537" s="82">
        <v>20000</v>
      </c>
      <c r="C537" s="175">
        <v>33000</v>
      </c>
      <c r="D537" s="117">
        <v>0</v>
      </c>
      <c r="E537" s="116">
        <f t="shared" si="16"/>
        <v>33000</v>
      </c>
      <c r="F537" s="116">
        <f t="shared" si="17"/>
        <v>1.65</v>
      </c>
      <c r="G537" s="88" t="s">
        <v>19782</v>
      </c>
      <c r="H537" s="85" t="s">
        <v>18202</v>
      </c>
      <c r="I537" s="130">
        <v>44098</v>
      </c>
      <c r="N537" s="66" t="s">
        <v>18237</v>
      </c>
      <c r="O537" s="651">
        <v>0</v>
      </c>
    </row>
    <row r="538" spans="1:15" ht="12.95" hidden="1">
      <c r="A538" s="176">
        <v>44104</v>
      </c>
      <c r="B538" s="177">
        <v>76160</v>
      </c>
      <c r="C538" s="178">
        <v>109906.4</v>
      </c>
      <c r="D538" s="117">
        <v>0</v>
      </c>
      <c r="E538" s="179">
        <f t="shared" si="16"/>
        <v>109906.4</v>
      </c>
      <c r="F538" s="179">
        <f t="shared" si="17"/>
        <v>1.4430987394957981</v>
      </c>
      <c r="G538" s="180" t="s">
        <v>19647</v>
      </c>
      <c r="H538" s="181" t="s">
        <v>18206</v>
      </c>
      <c r="I538" s="186">
        <v>44099</v>
      </c>
      <c r="N538" s="66" t="s">
        <v>18238</v>
      </c>
      <c r="O538" s="651">
        <v>0</v>
      </c>
    </row>
    <row r="539" spans="1:15" ht="12.95" hidden="1">
      <c r="A539" s="168">
        <v>44105</v>
      </c>
      <c r="B539" s="182">
        <v>28000</v>
      </c>
      <c r="C539" s="175">
        <v>40320</v>
      </c>
      <c r="D539" s="116">
        <v>0</v>
      </c>
      <c r="E539" s="116">
        <f t="shared" si="16"/>
        <v>40320</v>
      </c>
      <c r="F539" s="116">
        <f t="shared" si="17"/>
        <v>1.44</v>
      </c>
      <c r="G539" s="88" t="s">
        <v>19647</v>
      </c>
      <c r="H539" s="85" t="s">
        <v>18206</v>
      </c>
      <c r="I539" s="130">
        <v>44099</v>
      </c>
      <c r="N539" s="66" t="s">
        <v>18239</v>
      </c>
      <c r="O539" s="651">
        <v>0</v>
      </c>
    </row>
    <row r="540" spans="1:15" ht="12.95" hidden="1">
      <c r="A540" s="86">
        <v>44109</v>
      </c>
      <c r="B540" s="124">
        <v>42650</v>
      </c>
      <c r="C540" s="30">
        <f>21450*2.7676</f>
        <v>59365.02</v>
      </c>
      <c r="D540" s="116">
        <v>2549.66</v>
      </c>
      <c r="E540" s="116">
        <f t="shared" si="16"/>
        <v>56815.360000000001</v>
      </c>
      <c r="F540" s="116">
        <f t="shared" si="17"/>
        <v>1.3321303634232122</v>
      </c>
      <c r="G540" s="88" t="s">
        <v>17260</v>
      </c>
      <c r="H540" s="183" t="s">
        <v>18211</v>
      </c>
      <c r="I540" s="130">
        <v>44099</v>
      </c>
      <c r="N540" s="66" t="s">
        <v>18240</v>
      </c>
      <c r="O540" s="651">
        <v>10923.7</v>
      </c>
    </row>
    <row r="541" spans="1:15" ht="12.95" hidden="1">
      <c r="A541" s="86">
        <v>44109</v>
      </c>
      <c r="B541" s="124">
        <v>220080</v>
      </c>
      <c r="C541" s="30">
        <f>145252.8*2.76555</f>
        <v>401703.88104000001</v>
      </c>
      <c r="D541" s="116">
        <v>30050.55</v>
      </c>
      <c r="E541" s="116">
        <f t="shared" si="16"/>
        <v>371653.33104000002</v>
      </c>
      <c r="F541" s="116">
        <f t="shared" si="17"/>
        <v>1.6887192431842968</v>
      </c>
      <c r="G541" s="88" t="s">
        <v>19771</v>
      </c>
      <c r="H541" s="85" t="s">
        <v>18212</v>
      </c>
      <c r="I541" s="130">
        <v>44099</v>
      </c>
      <c r="N541" s="66" t="s">
        <v>18242</v>
      </c>
      <c r="O541" s="651">
        <v>24208.18</v>
      </c>
    </row>
    <row r="542" spans="1:15" ht="12.95" hidden="1">
      <c r="A542" s="86">
        <v>44110</v>
      </c>
      <c r="B542" s="124">
        <v>27264</v>
      </c>
      <c r="C542" s="30">
        <f>16275.36*3.2461</f>
        <v>52831.446096000007</v>
      </c>
      <c r="D542" s="116">
        <v>10277.299999999999</v>
      </c>
      <c r="E542" s="116">
        <f t="shared" si="16"/>
        <v>42554.146096000011</v>
      </c>
      <c r="F542" s="116">
        <f t="shared" si="17"/>
        <v>1.5608181519953055</v>
      </c>
      <c r="G542" s="88" t="s">
        <v>19661</v>
      </c>
      <c r="H542" s="85" t="s">
        <v>18145</v>
      </c>
      <c r="I542" s="130">
        <v>44071</v>
      </c>
      <c r="N542" s="66" t="s">
        <v>18244</v>
      </c>
      <c r="O542" s="651">
        <v>11967.438</v>
      </c>
    </row>
    <row r="543" spans="1:15" ht="12.95" hidden="1">
      <c r="A543" s="86">
        <v>44111</v>
      </c>
      <c r="B543" s="124">
        <v>27598</v>
      </c>
      <c r="C543" s="30">
        <f>16859.44*3.2461</f>
        <v>54727.428183999997</v>
      </c>
      <c r="D543" s="116">
        <v>0</v>
      </c>
      <c r="E543" s="116">
        <f t="shared" si="16"/>
        <v>54727.428183999997</v>
      </c>
      <c r="F543" s="116">
        <f t="shared" si="17"/>
        <v>1.9830215299659395</v>
      </c>
      <c r="G543" s="88" t="s">
        <v>17231</v>
      </c>
      <c r="H543" s="85" t="s">
        <v>18214</v>
      </c>
      <c r="I543" s="130">
        <v>44100</v>
      </c>
      <c r="N543" s="66" t="s">
        <v>18246</v>
      </c>
      <c r="O543" s="651">
        <v>0</v>
      </c>
    </row>
    <row r="544" spans="1:15" ht="12.95" hidden="1">
      <c r="A544" s="86">
        <v>44112</v>
      </c>
      <c r="B544" s="124">
        <v>75024</v>
      </c>
      <c r="C544" s="30">
        <v>145317.84</v>
      </c>
      <c r="D544" s="116">
        <v>0</v>
      </c>
      <c r="E544" s="116">
        <f t="shared" si="16"/>
        <v>145317.84</v>
      </c>
      <c r="F544" s="116">
        <f t="shared" si="17"/>
        <v>1.9369513755598209</v>
      </c>
      <c r="G544" s="88" t="s">
        <v>19690</v>
      </c>
      <c r="H544" s="85" t="s">
        <v>18216</v>
      </c>
      <c r="I544" s="130">
        <v>44103</v>
      </c>
      <c r="N544" s="66" t="s">
        <v>18247</v>
      </c>
      <c r="O544" s="651">
        <v>0</v>
      </c>
    </row>
    <row r="545" spans="1:15" ht="12.95" hidden="1">
      <c r="A545" s="86">
        <v>44117</v>
      </c>
      <c r="B545" s="124">
        <v>24480</v>
      </c>
      <c r="C545" s="30">
        <f>14529.2*3.25305</f>
        <v>47264.214060000006</v>
      </c>
      <c r="D545" s="116">
        <v>0</v>
      </c>
      <c r="E545" s="116">
        <f t="shared" si="16"/>
        <v>47264.214060000006</v>
      </c>
      <c r="F545" s="116">
        <f t="shared" si="17"/>
        <v>1.930727698529412</v>
      </c>
      <c r="G545" s="88" t="s">
        <v>17263</v>
      </c>
      <c r="H545" s="85" t="s">
        <v>18215</v>
      </c>
      <c r="I545" s="130">
        <v>44100</v>
      </c>
      <c r="N545" s="66" t="s">
        <v>18249</v>
      </c>
      <c r="O545" s="651">
        <v>0</v>
      </c>
    </row>
    <row r="546" spans="1:15" ht="12.95" hidden="1">
      <c r="A546" s="86">
        <v>44117</v>
      </c>
      <c r="B546" s="124">
        <v>280000</v>
      </c>
      <c r="C546" s="30">
        <v>364000</v>
      </c>
      <c r="D546" s="116">
        <v>0</v>
      </c>
      <c r="E546" s="116">
        <f t="shared" si="16"/>
        <v>364000</v>
      </c>
      <c r="F546" s="116">
        <f t="shared" si="17"/>
        <v>1.3</v>
      </c>
      <c r="G546" s="88" t="s">
        <v>19656</v>
      </c>
      <c r="H546" s="85" t="s">
        <v>18220</v>
      </c>
      <c r="I546" s="130">
        <v>44112</v>
      </c>
      <c r="N546" s="66" t="s">
        <v>18250</v>
      </c>
      <c r="O546" s="651">
        <v>0</v>
      </c>
    </row>
    <row r="547" spans="1:15" ht="12.95" hidden="1">
      <c r="A547" s="86">
        <v>44118</v>
      </c>
      <c r="B547" s="124">
        <v>57600</v>
      </c>
      <c r="C547" s="30">
        <v>93888</v>
      </c>
      <c r="D547" s="116">
        <v>0</v>
      </c>
      <c r="E547" s="116">
        <f t="shared" si="16"/>
        <v>93888</v>
      </c>
      <c r="F547" s="116">
        <f t="shared" si="17"/>
        <v>1.63</v>
      </c>
      <c r="G547" s="88" t="s">
        <v>19656</v>
      </c>
      <c r="H547" s="183" t="s">
        <v>18205</v>
      </c>
      <c r="I547" s="130">
        <v>44099</v>
      </c>
      <c r="N547" s="66" t="s">
        <v>18252</v>
      </c>
      <c r="O547" s="651">
        <v>2559.83</v>
      </c>
    </row>
    <row r="548" spans="1:15" ht="12.95" hidden="1">
      <c r="A548" s="86">
        <v>44118</v>
      </c>
      <c r="B548" s="124">
        <v>107208</v>
      </c>
      <c r="C548" s="123">
        <v>163721.04</v>
      </c>
      <c r="D548" s="116">
        <v>0</v>
      </c>
      <c r="E548" s="116">
        <f t="shared" si="16"/>
        <v>163721.04</v>
      </c>
      <c r="F548" s="116">
        <f t="shared" si="17"/>
        <v>1.5271345421983435</v>
      </c>
      <c r="G548" s="88" t="s">
        <v>19778</v>
      </c>
      <c r="H548" s="85" t="s">
        <v>18219</v>
      </c>
      <c r="I548" s="130">
        <v>44112</v>
      </c>
      <c r="N548" s="66" t="s">
        <v>18254</v>
      </c>
      <c r="O548" s="651">
        <v>7929.76</v>
      </c>
    </row>
    <row r="549" spans="1:15" ht="12.95" hidden="1">
      <c r="A549" s="86">
        <v>44120</v>
      </c>
      <c r="B549" s="124">
        <v>57600</v>
      </c>
      <c r="C549" s="30">
        <v>93888</v>
      </c>
      <c r="D549" s="116">
        <v>0</v>
      </c>
      <c r="E549" s="116">
        <f t="shared" si="16"/>
        <v>93888</v>
      </c>
      <c r="F549" s="116">
        <f t="shared" si="17"/>
        <v>1.63</v>
      </c>
      <c r="G549" s="88" t="s">
        <v>19656</v>
      </c>
      <c r="H549" s="85" t="s">
        <v>18221</v>
      </c>
      <c r="I549" s="130">
        <v>44112</v>
      </c>
      <c r="N549" s="66" t="s">
        <v>18255</v>
      </c>
      <c r="O549" s="651">
        <v>0</v>
      </c>
    </row>
    <row r="550" spans="1:15" ht="12.95" hidden="1">
      <c r="A550" s="86">
        <v>44123</v>
      </c>
      <c r="B550" s="124">
        <v>21540</v>
      </c>
      <c r="C550" s="30">
        <f>14188.2*3.24845</f>
        <v>46089.658290000007</v>
      </c>
      <c r="D550" s="116">
        <v>1142.48</v>
      </c>
      <c r="E550" s="116">
        <f t="shared" si="16"/>
        <v>44947.178290000003</v>
      </c>
      <c r="F550" s="116">
        <f t="shared" si="17"/>
        <v>2.0866842288765088</v>
      </c>
      <c r="G550" s="88" t="s">
        <v>19686</v>
      </c>
      <c r="H550" s="85" t="s">
        <v>18176</v>
      </c>
      <c r="I550" s="130">
        <v>44075</v>
      </c>
      <c r="N550" s="66" t="s">
        <v>18256</v>
      </c>
      <c r="O550" s="651">
        <v>5628.7020000000002</v>
      </c>
    </row>
    <row r="551" spans="1:15" ht="12.95" hidden="1">
      <c r="A551" s="86">
        <v>44123</v>
      </c>
      <c r="B551" s="124">
        <v>17975</v>
      </c>
      <c r="C551" s="30">
        <v>30872</v>
      </c>
      <c r="D551" s="116">
        <v>0</v>
      </c>
      <c r="E551" s="116">
        <f t="shared" si="16"/>
        <v>30872</v>
      </c>
      <c r="F551" s="116">
        <f t="shared" si="17"/>
        <v>1.7174965229485397</v>
      </c>
      <c r="G551" s="88" t="s">
        <v>19778</v>
      </c>
      <c r="H551" s="85" t="s">
        <v>18217</v>
      </c>
      <c r="I551" s="130">
        <v>44106</v>
      </c>
      <c r="N551" s="66" t="s">
        <v>18257</v>
      </c>
      <c r="O551" s="651">
        <v>0</v>
      </c>
    </row>
    <row r="552" spans="1:15" ht="12.95" hidden="1">
      <c r="A552" s="140">
        <v>44124</v>
      </c>
      <c r="B552" s="124">
        <v>20000</v>
      </c>
      <c r="C552" s="30">
        <f>13600*2.76895</f>
        <v>37657.719999999994</v>
      </c>
      <c r="D552" s="116">
        <v>3989.011</v>
      </c>
      <c r="E552" s="116">
        <f t="shared" si="16"/>
        <v>33668.708999999995</v>
      </c>
      <c r="F552" s="116">
        <f t="shared" si="17"/>
        <v>1.6834354499999997</v>
      </c>
      <c r="G552" s="88" t="s">
        <v>19783</v>
      </c>
      <c r="H552" s="85" t="s">
        <v>18228</v>
      </c>
      <c r="I552" s="130">
        <v>44120</v>
      </c>
      <c r="N552" s="66" t="s">
        <v>18259</v>
      </c>
      <c r="O552" s="651">
        <v>4783.0619999999999</v>
      </c>
    </row>
    <row r="553" spans="1:15" ht="12.95" hidden="1">
      <c r="A553" s="86">
        <v>44125</v>
      </c>
      <c r="B553" s="124">
        <v>20157.599999999999</v>
      </c>
      <c r="C553" s="30">
        <v>34771.86</v>
      </c>
      <c r="D553" s="116">
        <v>0</v>
      </c>
      <c r="E553" s="116">
        <f t="shared" si="16"/>
        <v>34771.86</v>
      </c>
      <c r="F553" s="116">
        <f t="shared" si="17"/>
        <v>1.7250000000000001</v>
      </c>
      <c r="G553" s="88" t="s">
        <v>19769</v>
      </c>
      <c r="H553" s="85" t="s">
        <v>18204</v>
      </c>
      <c r="I553" s="130">
        <v>44099</v>
      </c>
      <c r="N553" s="66" t="s">
        <v>18262</v>
      </c>
      <c r="O553" s="651">
        <v>18409.858</v>
      </c>
    </row>
    <row r="554" spans="1:15" ht="12.95" hidden="1">
      <c r="A554" s="86">
        <v>44126</v>
      </c>
      <c r="B554" s="124">
        <v>43200</v>
      </c>
      <c r="C554" s="184">
        <v>70848</v>
      </c>
      <c r="D554" s="116">
        <v>0</v>
      </c>
      <c r="E554" s="116">
        <f t="shared" si="16"/>
        <v>70848</v>
      </c>
      <c r="F554" s="116">
        <f t="shared" si="17"/>
        <v>1.64</v>
      </c>
      <c r="G554" s="88" t="s">
        <v>19778</v>
      </c>
      <c r="H554" s="85" t="s">
        <v>18218</v>
      </c>
      <c r="I554" s="130">
        <v>44112</v>
      </c>
      <c r="N554" s="66" t="s">
        <v>18263</v>
      </c>
      <c r="O554" s="651">
        <v>0</v>
      </c>
    </row>
    <row r="555" spans="1:15" ht="12.95" hidden="1">
      <c r="A555" s="86">
        <v>44126</v>
      </c>
      <c r="B555" s="124">
        <v>27610</v>
      </c>
      <c r="C555" s="30">
        <v>47611.8</v>
      </c>
      <c r="D555" s="116">
        <v>0</v>
      </c>
      <c r="E555" s="116">
        <f t="shared" si="16"/>
        <v>47611.8</v>
      </c>
      <c r="F555" s="116">
        <f t="shared" si="17"/>
        <v>1.7244404201376313</v>
      </c>
      <c r="G555" s="88" t="s">
        <v>17227</v>
      </c>
      <c r="H555" s="85" t="s">
        <v>18222</v>
      </c>
      <c r="I555" s="130">
        <v>44112</v>
      </c>
      <c r="N555" s="66" t="s">
        <v>18264</v>
      </c>
      <c r="O555" s="651">
        <v>24203.643</v>
      </c>
    </row>
    <row r="556" spans="1:15" ht="12.95" hidden="1">
      <c r="A556" s="86">
        <v>44127</v>
      </c>
      <c r="B556" s="124">
        <v>19976</v>
      </c>
      <c r="C556" s="185">
        <v>33759.440000000002</v>
      </c>
      <c r="D556" s="116">
        <v>0</v>
      </c>
      <c r="E556" s="116">
        <f t="shared" si="16"/>
        <v>33759.440000000002</v>
      </c>
      <c r="F556" s="116">
        <f t="shared" si="17"/>
        <v>1.6900000000000002</v>
      </c>
      <c r="G556" s="88" t="s">
        <v>19784</v>
      </c>
      <c r="H556" s="85" t="s">
        <v>18233</v>
      </c>
      <c r="I556" s="130">
        <v>44120</v>
      </c>
      <c r="N556" s="66" t="s">
        <v>18265</v>
      </c>
      <c r="O556" s="651">
        <v>24203.643</v>
      </c>
    </row>
    <row r="557" spans="1:15" ht="12.95" hidden="1">
      <c r="A557" s="86">
        <v>44128</v>
      </c>
      <c r="B557" s="124">
        <v>20000</v>
      </c>
      <c r="C557" s="185">
        <v>33600</v>
      </c>
      <c r="D557" s="116">
        <v>0</v>
      </c>
      <c r="E557" s="116">
        <f t="shared" si="16"/>
        <v>33600</v>
      </c>
      <c r="F557" s="116">
        <f t="shared" si="17"/>
        <v>1.68</v>
      </c>
      <c r="G557" s="88" t="s">
        <v>19785</v>
      </c>
      <c r="H557" s="85" t="s">
        <v>18209</v>
      </c>
      <c r="I557" s="130">
        <v>44099</v>
      </c>
      <c r="N557" s="66" t="s">
        <v>18266</v>
      </c>
      <c r="O557" s="651">
        <v>24203.643</v>
      </c>
    </row>
    <row r="558" spans="1:15" ht="12.95" hidden="1">
      <c r="A558" s="86">
        <v>44130</v>
      </c>
      <c r="B558" s="124">
        <v>24370</v>
      </c>
      <c r="C558" s="185">
        <f>18629.3*2.7478</f>
        <v>51189.590539999997</v>
      </c>
      <c r="D558" s="116">
        <v>1540.826</v>
      </c>
      <c r="E558" s="116">
        <f t="shared" si="16"/>
        <v>49648.764539999996</v>
      </c>
      <c r="F558" s="116">
        <f t="shared" si="17"/>
        <v>2.0372902970865816</v>
      </c>
      <c r="G558" s="88" t="s">
        <v>19786</v>
      </c>
      <c r="H558" s="85" t="s">
        <v>18230</v>
      </c>
      <c r="I558" s="130">
        <v>44120</v>
      </c>
      <c r="N558" s="66" t="s">
        <v>18267</v>
      </c>
      <c r="O558" s="651">
        <v>24203.643</v>
      </c>
    </row>
    <row r="559" spans="1:15" ht="12.95" hidden="1">
      <c r="A559" s="86">
        <v>44130</v>
      </c>
      <c r="B559" s="124">
        <v>260000</v>
      </c>
      <c r="C559" s="185">
        <v>362700</v>
      </c>
      <c r="D559" s="116">
        <v>0</v>
      </c>
      <c r="E559" s="116">
        <f t="shared" si="16"/>
        <v>362700</v>
      </c>
      <c r="F559" s="116">
        <f t="shared" si="17"/>
        <v>1.395</v>
      </c>
      <c r="G559" s="88" t="s">
        <v>19647</v>
      </c>
      <c r="H559" s="85" t="s">
        <v>18235</v>
      </c>
      <c r="I559" s="130">
        <v>44125</v>
      </c>
      <c r="N559" s="66" t="s">
        <v>18268</v>
      </c>
      <c r="O559" s="651">
        <v>0</v>
      </c>
    </row>
    <row r="560" spans="1:15" ht="12.95" hidden="1">
      <c r="A560" s="86">
        <v>44131</v>
      </c>
      <c r="B560" s="124">
        <v>38000</v>
      </c>
      <c r="C560" s="30">
        <v>64140</v>
      </c>
      <c r="D560" s="116">
        <v>0</v>
      </c>
      <c r="E560" s="116">
        <f t="shared" si="16"/>
        <v>64140</v>
      </c>
      <c r="F560" s="116">
        <f t="shared" si="17"/>
        <v>1.6878947368421053</v>
      </c>
      <c r="G560" s="88" t="s">
        <v>19652</v>
      </c>
      <c r="H560" s="85" t="s">
        <v>18223</v>
      </c>
      <c r="I560" s="130">
        <v>44112</v>
      </c>
      <c r="N560" s="66" t="s">
        <v>18269</v>
      </c>
      <c r="O560" s="651">
        <v>0</v>
      </c>
    </row>
    <row r="561" spans="1:15" ht="12.95" hidden="1">
      <c r="A561" s="86">
        <v>44132</v>
      </c>
      <c r="B561" s="124">
        <v>78000</v>
      </c>
      <c r="C561" s="30">
        <v>102960</v>
      </c>
      <c r="D561" s="116">
        <v>0</v>
      </c>
      <c r="E561" s="116">
        <f t="shared" si="16"/>
        <v>102960</v>
      </c>
      <c r="F561" s="116">
        <f t="shared" si="17"/>
        <v>1.32</v>
      </c>
      <c r="G561" s="88" t="s">
        <v>19652</v>
      </c>
      <c r="H561" s="85" t="s">
        <v>18224</v>
      </c>
      <c r="I561" s="130">
        <v>44112</v>
      </c>
      <c r="N561" s="66" t="s">
        <v>18271</v>
      </c>
      <c r="O561" s="651">
        <v>0</v>
      </c>
    </row>
    <row r="562" spans="1:15" ht="12.95" hidden="1">
      <c r="A562" s="86">
        <v>44132</v>
      </c>
      <c r="B562" s="124">
        <v>188460</v>
      </c>
      <c r="C562" s="30">
        <v>235575</v>
      </c>
      <c r="D562" s="116">
        <v>0</v>
      </c>
      <c r="E562" s="116">
        <f t="shared" si="16"/>
        <v>235575</v>
      </c>
      <c r="F562" s="116">
        <f t="shared" si="17"/>
        <v>1.25</v>
      </c>
      <c r="G562" s="88" t="s">
        <v>19778</v>
      </c>
      <c r="H562" s="85" t="s">
        <v>18246</v>
      </c>
      <c r="I562" s="130">
        <v>44130</v>
      </c>
      <c r="N562" s="66" t="s">
        <v>18272</v>
      </c>
      <c r="O562" s="651">
        <v>0</v>
      </c>
    </row>
    <row r="563" spans="1:15" ht="12.95" hidden="1">
      <c r="A563" s="86">
        <v>44133</v>
      </c>
      <c r="B563" s="124">
        <v>138920</v>
      </c>
      <c r="C563" s="30">
        <v>221835.68</v>
      </c>
      <c r="D563" s="116">
        <v>0</v>
      </c>
      <c r="E563" s="116">
        <f t="shared" si="16"/>
        <v>221835.68</v>
      </c>
      <c r="F563" s="116">
        <f t="shared" si="17"/>
        <v>1.5968591995393031</v>
      </c>
      <c r="G563" s="88" t="s">
        <v>19647</v>
      </c>
      <c r="H563" s="85" t="s">
        <v>18237</v>
      </c>
      <c r="I563" s="130">
        <v>44125</v>
      </c>
      <c r="N563" s="66" t="s">
        <v>18273</v>
      </c>
      <c r="O563" s="651">
        <v>0</v>
      </c>
    </row>
    <row r="564" spans="1:15" ht="12.95" hidden="1">
      <c r="A564" s="86">
        <v>44135</v>
      </c>
      <c r="B564" s="124">
        <v>75600</v>
      </c>
      <c r="C564" s="30">
        <v>116220</v>
      </c>
      <c r="D564" s="116">
        <v>0</v>
      </c>
      <c r="E564" s="116">
        <f t="shared" si="16"/>
        <v>116220</v>
      </c>
      <c r="F564" s="116">
        <f t="shared" si="17"/>
        <v>1.5373015873015874</v>
      </c>
      <c r="G564" s="88" t="s">
        <v>19647</v>
      </c>
      <c r="H564" s="85" t="s">
        <v>18236</v>
      </c>
      <c r="I564" s="130">
        <v>44125</v>
      </c>
      <c r="N564" s="66" t="s">
        <v>18274</v>
      </c>
      <c r="O564" s="651">
        <v>0</v>
      </c>
    </row>
    <row r="565" spans="1:15" ht="12.95" hidden="1">
      <c r="A565" s="86">
        <v>44135</v>
      </c>
      <c r="B565" s="124">
        <v>232300</v>
      </c>
      <c r="C565" s="30">
        <v>314808</v>
      </c>
      <c r="D565" s="116">
        <v>0</v>
      </c>
      <c r="E565" s="116">
        <f t="shared" si="16"/>
        <v>314808</v>
      </c>
      <c r="F565" s="116">
        <f t="shared" si="17"/>
        <v>1.3551786482996127</v>
      </c>
      <c r="G565" s="88" t="s">
        <v>19656</v>
      </c>
      <c r="H565" s="85" t="s">
        <v>18239</v>
      </c>
      <c r="I565" s="130">
        <v>44126</v>
      </c>
      <c r="N565" s="66" t="s">
        <v>18275</v>
      </c>
      <c r="O565" s="651">
        <v>0</v>
      </c>
    </row>
    <row r="566" spans="1:15" ht="12.95" hidden="1">
      <c r="A566" s="86">
        <v>44137</v>
      </c>
      <c r="B566" s="87">
        <v>176064</v>
      </c>
      <c r="C566" s="30">
        <v>245609.28</v>
      </c>
      <c r="D566" s="116">
        <v>0</v>
      </c>
      <c r="E566" s="116">
        <f t="shared" si="16"/>
        <v>245609.28</v>
      </c>
      <c r="F566" s="116">
        <f t="shared" si="17"/>
        <v>1.395</v>
      </c>
      <c r="G566" s="88" t="s">
        <v>19647</v>
      </c>
      <c r="H566" s="85" t="s">
        <v>18238</v>
      </c>
      <c r="I566" s="101">
        <v>44125</v>
      </c>
      <c r="N566" s="66" t="s">
        <v>18277</v>
      </c>
      <c r="O566" s="651">
        <v>1783.89</v>
      </c>
    </row>
    <row r="567" spans="1:15" ht="12.95" hidden="1">
      <c r="A567" s="81">
        <v>44139</v>
      </c>
      <c r="B567" s="87">
        <v>19500</v>
      </c>
      <c r="C567" s="30">
        <v>32955</v>
      </c>
      <c r="D567" s="116">
        <v>0</v>
      </c>
      <c r="E567" s="116">
        <f t="shared" si="16"/>
        <v>32955</v>
      </c>
      <c r="F567" s="116">
        <f t="shared" si="17"/>
        <v>1.69</v>
      </c>
      <c r="G567" s="88" t="s">
        <v>19679</v>
      </c>
      <c r="H567" s="85" t="s">
        <v>18225</v>
      </c>
      <c r="I567" s="101">
        <v>44120</v>
      </c>
      <c r="N567" s="66" t="s">
        <v>18279</v>
      </c>
      <c r="O567" s="651">
        <v>0</v>
      </c>
    </row>
    <row r="568" spans="1:15" ht="12.95" hidden="1">
      <c r="A568" s="81">
        <v>44139</v>
      </c>
      <c r="B568" s="87">
        <v>20000</v>
      </c>
      <c r="C568" s="30">
        <v>33000</v>
      </c>
      <c r="D568" s="116">
        <v>0</v>
      </c>
      <c r="E568" s="116">
        <f t="shared" si="16"/>
        <v>33000</v>
      </c>
      <c r="F568" s="116">
        <f t="shared" si="17"/>
        <v>1.65</v>
      </c>
      <c r="G568" s="88" t="s">
        <v>19782</v>
      </c>
      <c r="H568" s="85" t="s">
        <v>18231</v>
      </c>
      <c r="I568" s="101">
        <v>44120</v>
      </c>
      <c r="N568" s="66" t="s">
        <v>18281</v>
      </c>
      <c r="O568" s="651">
        <v>0</v>
      </c>
    </row>
    <row r="569" spans="1:15" ht="12.95" hidden="1">
      <c r="A569" s="81">
        <v>44140</v>
      </c>
      <c r="B569" s="87">
        <v>88032</v>
      </c>
      <c r="C569" s="123">
        <v>142611.84</v>
      </c>
      <c r="D569" s="116">
        <v>0</v>
      </c>
      <c r="E569" s="116">
        <f t="shared" si="16"/>
        <v>142611.84</v>
      </c>
      <c r="F569" s="116">
        <f t="shared" si="17"/>
        <v>1.6199999999999999</v>
      </c>
      <c r="G569" s="88" t="s">
        <v>19778</v>
      </c>
      <c r="H569" s="85" t="s">
        <v>18263</v>
      </c>
      <c r="I569" s="101">
        <v>44137</v>
      </c>
      <c r="N569" s="66" t="s">
        <v>18282</v>
      </c>
      <c r="O569" s="651">
        <v>0</v>
      </c>
    </row>
    <row r="570" spans="1:15" ht="12.95" hidden="1">
      <c r="A570" s="81">
        <v>44141</v>
      </c>
      <c r="B570" s="87">
        <v>108000</v>
      </c>
      <c r="C570" s="83">
        <f>45360*3.2396</f>
        <v>146948.25599999999</v>
      </c>
      <c r="D570" s="116">
        <v>24203.643</v>
      </c>
      <c r="E570" s="116">
        <f t="shared" si="16"/>
        <v>122744.613</v>
      </c>
      <c r="F570" s="116">
        <f t="shared" si="17"/>
        <v>1.1365241944444444</v>
      </c>
      <c r="G570" s="88" t="s">
        <v>19722</v>
      </c>
      <c r="H570" s="85" t="s">
        <v>18264</v>
      </c>
      <c r="I570" s="101">
        <v>44138</v>
      </c>
      <c r="N570" s="66" t="s">
        <v>18284</v>
      </c>
      <c r="O570" s="651">
        <v>11003</v>
      </c>
    </row>
    <row r="571" spans="1:15" ht="12.95" hidden="1">
      <c r="A571" s="81">
        <v>44141</v>
      </c>
      <c r="B571" s="87">
        <v>108000</v>
      </c>
      <c r="C571" s="123">
        <f>45360*3.2396</f>
        <v>146948.25599999999</v>
      </c>
      <c r="D571" s="116">
        <v>24203.643</v>
      </c>
      <c r="E571" s="116">
        <f t="shared" si="16"/>
        <v>122744.613</v>
      </c>
      <c r="F571" s="116">
        <f t="shared" si="17"/>
        <v>1.1365241944444444</v>
      </c>
      <c r="G571" s="88" t="s">
        <v>19722</v>
      </c>
      <c r="H571" s="85" t="s">
        <v>18265</v>
      </c>
      <c r="I571" s="101">
        <v>44138</v>
      </c>
      <c r="N571" s="66" t="s">
        <v>18286</v>
      </c>
      <c r="O571" s="651">
        <v>0</v>
      </c>
    </row>
    <row r="572" spans="1:15" ht="12.95" hidden="1">
      <c r="A572" s="81">
        <v>44142</v>
      </c>
      <c r="B572" s="87">
        <v>108000</v>
      </c>
      <c r="C572" s="83">
        <f>45360*3.2453</f>
        <v>147206.80799999999</v>
      </c>
      <c r="D572" s="116">
        <v>24203.643</v>
      </c>
      <c r="E572" s="116">
        <f t="shared" si="16"/>
        <v>123003.16499999999</v>
      </c>
      <c r="F572" s="116">
        <f t="shared" si="17"/>
        <v>1.1389181944444444</v>
      </c>
      <c r="G572" s="88" t="s">
        <v>19722</v>
      </c>
      <c r="H572" s="85" t="s">
        <v>18266</v>
      </c>
      <c r="I572" s="101">
        <v>44138</v>
      </c>
      <c r="N572" s="66" t="s">
        <v>18287</v>
      </c>
      <c r="O572" s="651">
        <v>0</v>
      </c>
    </row>
    <row r="573" spans="1:15" ht="12.95" hidden="1">
      <c r="A573" s="81">
        <v>44142</v>
      </c>
      <c r="B573" s="87">
        <v>108000</v>
      </c>
      <c r="C573" s="83">
        <f>45360*3.2453</f>
        <v>147206.80799999999</v>
      </c>
      <c r="D573" s="116">
        <v>24203.643</v>
      </c>
      <c r="E573" s="116">
        <f t="shared" si="16"/>
        <v>123003.16499999999</v>
      </c>
      <c r="F573" s="116">
        <f t="shared" si="17"/>
        <v>1.1389181944444444</v>
      </c>
      <c r="G573" s="88" t="s">
        <v>19722</v>
      </c>
      <c r="H573" s="85" t="s">
        <v>18267</v>
      </c>
      <c r="I573" s="101">
        <v>44138</v>
      </c>
      <c r="N573" s="66" t="s">
        <v>18288</v>
      </c>
      <c r="O573" s="651">
        <v>550</v>
      </c>
    </row>
    <row r="574" spans="1:15" ht="12.95" hidden="1">
      <c r="A574" s="86">
        <v>44144</v>
      </c>
      <c r="B574" s="87">
        <v>18320</v>
      </c>
      <c r="C574" s="30">
        <f>12598.28*3.2453</f>
        <v>40885.198084000003</v>
      </c>
      <c r="D574" s="116">
        <v>7929.76</v>
      </c>
      <c r="E574" s="116">
        <f t="shared" si="16"/>
        <v>32955.438084000001</v>
      </c>
      <c r="F574" s="116">
        <f t="shared" si="17"/>
        <v>1.7988776246724891</v>
      </c>
      <c r="G574" s="88" t="s">
        <v>17275</v>
      </c>
      <c r="H574" s="85" t="s">
        <v>18254</v>
      </c>
      <c r="I574" s="101">
        <v>44137</v>
      </c>
      <c r="N574" s="66" t="s">
        <v>18289</v>
      </c>
      <c r="O574" s="651">
        <v>0</v>
      </c>
    </row>
    <row r="575" spans="1:15" ht="12.95" hidden="1">
      <c r="A575" s="86">
        <v>44144</v>
      </c>
      <c r="B575" s="87">
        <v>24360</v>
      </c>
      <c r="C575" s="30">
        <f>18686*2.7603</f>
        <v>51578.965799999998</v>
      </c>
      <c r="D575" s="116">
        <v>5628.7020000000002</v>
      </c>
      <c r="E575" s="116">
        <f t="shared" si="16"/>
        <v>45950.263800000001</v>
      </c>
      <c r="F575" s="116">
        <f t="shared" si="17"/>
        <v>1.8862998275862068</v>
      </c>
      <c r="G575" s="88" t="s">
        <v>17210</v>
      </c>
      <c r="H575" s="85" t="s">
        <v>18256</v>
      </c>
      <c r="I575" s="130">
        <v>44137</v>
      </c>
      <c r="N575" s="66" t="s">
        <v>18290</v>
      </c>
      <c r="O575" s="651">
        <v>0</v>
      </c>
    </row>
    <row r="576" spans="1:15" ht="12.95" hidden="1">
      <c r="A576" s="86">
        <v>44144</v>
      </c>
      <c r="B576" s="87">
        <v>24360</v>
      </c>
      <c r="C576" s="30">
        <f>18483.6*2.7603</f>
        <v>51020.281079999993</v>
      </c>
      <c r="D576" s="116">
        <v>4783.0619999999999</v>
      </c>
      <c r="E576" s="116">
        <f t="shared" si="16"/>
        <v>46237.219079999995</v>
      </c>
      <c r="F576" s="116">
        <f t="shared" si="17"/>
        <v>1.8980796009852214</v>
      </c>
      <c r="G576" s="88" t="s">
        <v>19787</v>
      </c>
      <c r="H576" s="85" t="s">
        <v>18259</v>
      </c>
      <c r="I576" s="130">
        <v>44137</v>
      </c>
      <c r="N576" s="66" t="s">
        <v>18292</v>
      </c>
      <c r="O576" s="651">
        <v>0</v>
      </c>
    </row>
    <row r="577" spans="1:15" ht="12.95" hidden="1">
      <c r="A577" s="86">
        <v>44145</v>
      </c>
      <c r="B577" s="87">
        <v>15360</v>
      </c>
      <c r="C577" s="30">
        <v>26265.599999999999</v>
      </c>
      <c r="D577" s="116">
        <v>0</v>
      </c>
      <c r="E577" s="116">
        <f t="shared" si="16"/>
        <v>26265.599999999999</v>
      </c>
      <c r="F577" s="116">
        <f t="shared" si="17"/>
        <v>1.71</v>
      </c>
      <c r="G577" s="88" t="s">
        <v>19690</v>
      </c>
      <c r="H577" s="85" t="s">
        <v>18257</v>
      </c>
      <c r="I577" s="130">
        <v>44137</v>
      </c>
      <c r="N577" s="66" t="s">
        <v>18293</v>
      </c>
      <c r="O577" s="651">
        <v>0</v>
      </c>
    </row>
    <row r="578" spans="1:15" ht="12.95" hidden="1">
      <c r="A578" s="86">
        <v>44145</v>
      </c>
      <c r="B578" s="87">
        <v>27312</v>
      </c>
      <c r="C578" s="30">
        <f>16349.16*3.2507</f>
        <v>53146.214412000001</v>
      </c>
      <c r="D578" s="116">
        <v>10923.7</v>
      </c>
      <c r="E578" s="116">
        <f t="shared" si="16"/>
        <v>42222.514412000004</v>
      </c>
      <c r="F578" s="116">
        <f t="shared" si="17"/>
        <v>1.5459327186584653</v>
      </c>
      <c r="G578" s="88" t="s">
        <v>19661</v>
      </c>
      <c r="H578" s="85" t="s">
        <v>18240</v>
      </c>
      <c r="I578" s="130">
        <v>44126</v>
      </c>
      <c r="N578" s="66" t="s">
        <v>18294</v>
      </c>
      <c r="O578" s="651">
        <v>11851.13</v>
      </c>
    </row>
    <row r="579" spans="1:15" ht="12.95" hidden="1">
      <c r="A579" s="86">
        <v>44145</v>
      </c>
      <c r="B579" s="87">
        <v>60000</v>
      </c>
      <c r="C579" s="30">
        <f>40800*2.7462</f>
        <v>112044.95999999999</v>
      </c>
      <c r="D579" s="116">
        <v>11967.438</v>
      </c>
      <c r="E579" s="116">
        <f t="shared" si="16"/>
        <v>100077.522</v>
      </c>
      <c r="F579" s="116">
        <f t="shared" si="17"/>
        <v>1.6679587</v>
      </c>
      <c r="G579" s="88" t="s">
        <v>19788</v>
      </c>
      <c r="H579" s="85" t="s">
        <v>18244</v>
      </c>
      <c r="I579" s="130">
        <v>44126</v>
      </c>
      <c r="N579" s="66" t="s">
        <v>18295</v>
      </c>
      <c r="O579" s="651">
        <v>4036.16</v>
      </c>
    </row>
    <row r="580" spans="1:15" ht="12.95" hidden="1">
      <c r="A580" s="86">
        <v>44146</v>
      </c>
      <c r="B580" s="110">
        <v>41500</v>
      </c>
      <c r="C580" s="30">
        <v>65570</v>
      </c>
      <c r="D580" s="116">
        <v>0</v>
      </c>
      <c r="E580" s="116">
        <f t="shared" si="16"/>
        <v>65570</v>
      </c>
      <c r="F580" s="116">
        <f t="shared" si="17"/>
        <v>1.58</v>
      </c>
      <c r="G580" s="88" t="s">
        <v>19778</v>
      </c>
      <c r="H580" s="85" t="s">
        <v>18269</v>
      </c>
      <c r="I580" s="130">
        <v>44139</v>
      </c>
      <c r="N580" s="66" t="s">
        <v>18297</v>
      </c>
      <c r="O580" s="651">
        <v>0</v>
      </c>
    </row>
    <row r="581" spans="1:15" ht="12.95" hidden="1">
      <c r="A581" s="86">
        <v>44146</v>
      </c>
      <c r="B581" s="87">
        <v>19200</v>
      </c>
      <c r="C581" s="30">
        <v>32064</v>
      </c>
      <c r="D581" s="116">
        <v>0</v>
      </c>
      <c r="E581" s="116">
        <f t="shared" si="16"/>
        <v>32064</v>
      </c>
      <c r="F581" s="116">
        <f t="shared" si="17"/>
        <v>1.67</v>
      </c>
      <c r="G581" s="88" t="s">
        <v>19778</v>
      </c>
      <c r="H581" s="85" t="s">
        <v>18250</v>
      </c>
      <c r="I581" s="130">
        <v>44137</v>
      </c>
      <c r="N581" s="66" t="s">
        <v>18298</v>
      </c>
      <c r="O581" s="651">
        <v>0</v>
      </c>
    </row>
    <row r="582" spans="1:15" ht="12.95" hidden="1">
      <c r="A582" s="86">
        <v>44146</v>
      </c>
      <c r="B582" s="82">
        <v>35000</v>
      </c>
      <c r="C582" s="83">
        <f>45325*2.7462</f>
        <v>124471.515</v>
      </c>
      <c r="D582" s="116">
        <v>2559.83</v>
      </c>
      <c r="E582" s="116">
        <f t="shared" si="16"/>
        <v>121911.685</v>
      </c>
      <c r="F582" s="116">
        <f t="shared" si="17"/>
        <v>3.4831910000000001</v>
      </c>
      <c r="G582" s="88" t="s">
        <v>19789</v>
      </c>
      <c r="H582" s="85" t="s">
        <v>18252</v>
      </c>
      <c r="I582" s="129">
        <v>44137</v>
      </c>
      <c r="N582" s="66" t="s">
        <v>18299</v>
      </c>
      <c r="O582" s="651">
        <v>0</v>
      </c>
    </row>
    <row r="583" spans="1:15" ht="12.95" hidden="1">
      <c r="A583" s="86">
        <v>44146</v>
      </c>
      <c r="B583" s="82">
        <v>21728</v>
      </c>
      <c r="C583" s="83">
        <v>44785.279999999999</v>
      </c>
      <c r="D583" s="116">
        <v>0</v>
      </c>
      <c r="E583" s="116">
        <f t="shared" si="16"/>
        <v>44785.279999999999</v>
      </c>
      <c r="F583" s="116">
        <f t="shared" si="17"/>
        <v>2.061178203240059</v>
      </c>
      <c r="G583" s="88" t="s">
        <v>19690</v>
      </c>
      <c r="H583" s="85" t="s">
        <v>18268</v>
      </c>
      <c r="I583" s="129">
        <v>44138</v>
      </c>
      <c r="N583" s="66" t="s">
        <v>18301</v>
      </c>
      <c r="O583" s="651">
        <v>0</v>
      </c>
    </row>
    <row r="584" spans="1:15" ht="12.95" hidden="1">
      <c r="A584" s="86">
        <v>44147</v>
      </c>
      <c r="B584" s="82">
        <v>12036</v>
      </c>
      <c r="C584" s="83">
        <v>21664.799999999999</v>
      </c>
      <c r="D584" s="116">
        <v>0</v>
      </c>
      <c r="E584" s="116">
        <f t="shared" ref="E584:E647" si="18">(C584-D584)</f>
        <v>21664.799999999999</v>
      </c>
      <c r="F584" s="116">
        <f t="shared" ref="F584:F647" si="19">(E584/B584)</f>
        <v>1.8</v>
      </c>
      <c r="G584" s="88" t="s">
        <v>17273</v>
      </c>
      <c r="H584" s="85" t="s">
        <v>18255</v>
      </c>
      <c r="I584" s="129">
        <v>44137</v>
      </c>
      <c r="N584" s="66" t="s">
        <v>18303</v>
      </c>
      <c r="O584" s="651">
        <v>0</v>
      </c>
    </row>
    <row r="585" spans="1:15" ht="12.95" hidden="1">
      <c r="A585" s="86">
        <v>44148</v>
      </c>
      <c r="B585" s="82">
        <v>57600</v>
      </c>
      <c r="C585" s="83">
        <v>93888</v>
      </c>
      <c r="D585" s="116">
        <v>0</v>
      </c>
      <c r="E585" s="116">
        <f t="shared" si="18"/>
        <v>93888</v>
      </c>
      <c r="F585" s="116">
        <f t="shared" si="19"/>
        <v>1.63</v>
      </c>
      <c r="G585" s="88" t="s">
        <v>19656</v>
      </c>
      <c r="H585" s="85" t="s">
        <v>18247</v>
      </c>
      <c r="I585" s="129">
        <v>44137</v>
      </c>
      <c r="N585" s="66" t="s">
        <v>18305</v>
      </c>
      <c r="O585" s="651">
        <v>0</v>
      </c>
    </row>
    <row r="586" spans="1:15" ht="12.95" hidden="1">
      <c r="A586" s="86">
        <v>44149</v>
      </c>
      <c r="B586" s="87">
        <v>82416</v>
      </c>
      <c r="C586" s="30">
        <f>53037.04*2.7481</f>
        <v>145751.08962400001</v>
      </c>
      <c r="D586" s="116">
        <v>24208.18</v>
      </c>
      <c r="E586" s="116">
        <f t="shared" si="18"/>
        <v>121542.90962400002</v>
      </c>
      <c r="F586" s="116">
        <f t="shared" si="19"/>
        <v>1.4747489519510777</v>
      </c>
      <c r="G586" s="88" t="s">
        <v>19790</v>
      </c>
      <c r="H586" s="85" t="s">
        <v>18242</v>
      </c>
      <c r="I586" s="130">
        <v>44126</v>
      </c>
      <c r="N586" s="66" t="s">
        <v>18307</v>
      </c>
      <c r="O586" s="651">
        <v>0</v>
      </c>
    </row>
    <row r="587" spans="1:15" ht="12.95" hidden="1">
      <c r="A587" s="86">
        <v>44152</v>
      </c>
      <c r="B587" s="82">
        <v>231600</v>
      </c>
      <c r="C587" s="83">
        <f>148070*2.74055</f>
        <v>405793.23849999998</v>
      </c>
      <c r="D587" s="116">
        <v>108790.55</v>
      </c>
      <c r="E587" s="116">
        <f t="shared" si="18"/>
        <v>297002.68849999999</v>
      </c>
      <c r="F587" s="116">
        <f t="shared" si="19"/>
        <v>1.2823950280656304</v>
      </c>
      <c r="G587" s="88" t="s">
        <v>19662</v>
      </c>
      <c r="H587" s="85" t="s">
        <v>18226</v>
      </c>
      <c r="I587" s="129">
        <v>44120</v>
      </c>
      <c r="N587" s="66" t="s">
        <v>18308</v>
      </c>
      <c r="O587" s="651">
        <v>0</v>
      </c>
    </row>
    <row r="588" spans="1:15" ht="12.95" hidden="1">
      <c r="A588" s="86">
        <v>44154</v>
      </c>
      <c r="B588" s="87">
        <v>280000</v>
      </c>
      <c r="C588" s="30">
        <v>364000</v>
      </c>
      <c r="D588" s="116">
        <v>0</v>
      </c>
      <c r="E588" s="116">
        <f t="shared" si="18"/>
        <v>364000</v>
      </c>
      <c r="F588" s="116">
        <f t="shared" si="19"/>
        <v>1.3</v>
      </c>
      <c r="G588" s="88" t="s">
        <v>19656</v>
      </c>
      <c r="H588" s="85" t="s">
        <v>18272</v>
      </c>
      <c r="I588" s="101">
        <v>44147</v>
      </c>
      <c r="N588" s="66" t="s">
        <v>18309</v>
      </c>
      <c r="O588" s="651">
        <v>0</v>
      </c>
    </row>
    <row r="589" spans="1:15" ht="12.95" hidden="1">
      <c r="A589" s="86">
        <v>44158</v>
      </c>
      <c r="B589" s="87">
        <v>20000</v>
      </c>
      <c r="C589" s="30">
        <v>33900</v>
      </c>
      <c r="D589" s="116">
        <v>0</v>
      </c>
      <c r="E589" s="116">
        <f t="shared" si="18"/>
        <v>33900</v>
      </c>
      <c r="F589" s="116">
        <f t="shared" si="19"/>
        <v>1.6950000000000001</v>
      </c>
      <c r="G589" s="88" t="s">
        <v>17018</v>
      </c>
      <c r="H589" s="85" t="s">
        <v>18279</v>
      </c>
      <c r="I589" s="101">
        <v>44153</v>
      </c>
      <c r="N589" s="66" t="s">
        <v>18310</v>
      </c>
      <c r="O589" s="651">
        <v>7784.4480000000003</v>
      </c>
    </row>
    <row r="590" spans="1:15" ht="12.95" hidden="1">
      <c r="A590" s="86">
        <v>44158</v>
      </c>
      <c r="B590" s="87">
        <v>15480</v>
      </c>
      <c r="C590" s="30">
        <f>18795.6*2.7515</f>
        <v>51716.093399999998</v>
      </c>
      <c r="D590" s="116">
        <v>1783.89</v>
      </c>
      <c r="E590" s="116">
        <f t="shared" si="18"/>
        <v>49932.203399999999</v>
      </c>
      <c r="F590" s="116">
        <f t="shared" si="19"/>
        <v>3.2255945348837209</v>
      </c>
      <c r="G590" s="88" t="s">
        <v>19653</v>
      </c>
      <c r="H590" s="85" t="s">
        <v>18277</v>
      </c>
      <c r="I590" s="101">
        <v>44147</v>
      </c>
      <c r="N590" s="66" t="s">
        <v>18312</v>
      </c>
      <c r="O590" s="651">
        <v>1412.72</v>
      </c>
    </row>
    <row r="591" spans="1:15" ht="12.95" hidden="1">
      <c r="A591" s="86">
        <v>44158</v>
      </c>
      <c r="B591" s="87">
        <v>19200</v>
      </c>
      <c r="C591" s="30">
        <v>29952</v>
      </c>
      <c r="D591" s="116">
        <v>0</v>
      </c>
      <c r="E591" s="116">
        <f t="shared" si="18"/>
        <v>29952</v>
      </c>
      <c r="F591" s="116">
        <f t="shared" si="19"/>
        <v>1.56</v>
      </c>
      <c r="G591" s="88" t="s">
        <v>19679</v>
      </c>
      <c r="H591" s="85" t="s">
        <v>18275</v>
      </c>
      <c r="I591" s="101">
        <v>44147</v>
      </c>
      <c r="N591" s="66" t="s">
        <v>18314</v>
      </c>
      <c r="O591" s="651">
        <v>0</v>
      </c>
    </row>
    <row r="592" spans="1:15" ht="12.95" hidden="1">
      <c r="A592" s="187">
        <v>44159</v>
      </c>
      <c r="B592" s="188">
        <v>43200</v>
      </c>
      <c r="C592" s="189">
        <v>70848</v>
      </c>
      <c r="D592" s="190">
        <v>0</v>
      </c>
      <c r="E592" s="190">
        <f t="shared" si="18"/>
        <v>70848</v>
      </c>
      <c r="F592" s="190">
        <f t="shared" si="19"/>
        <v>1.64</v>
      </c>
      <c r="G592" s="191" t="s">
        <v>19778</v>
      </c>
      <c r="H592" s="192" t="s">
        <v>18273</v>
      </c>
      <c r="I592" s="195">
        <v>44147</v>
      </c>
      <c r="N592" s="66" t="s">
        <v>18316</v>
      </c>
      <c r="O592" s="651">
        <v>0</v>
      </c>
    </row>
    <row r="593" spans="1:15" ht="12.95" hidden="1">
      <c r="A593" s="187">
        <v>44159</v>
      </c>
      <c r="B593" s="188">
        <v>43060</v>
      </c>
      <c r="C593" s="189">
        <v>70089.2</v>
      </c>
      <c r="D593" s="190">
        <v>0</v>
      </c>
      <c r="E593" s="190">
        <f t="shared" si="18"/>
        <v>70089.2</v>
      </c>
      <c r="F593" s="190">
        <f t="shared" si="19"/>
        <v>1.6277101718532281</v>
      </c>
      <c r="G593" s="193" t="s">
        <v>19778</v>
      </c>
      <c r="H593" s="192" t="s">
        <v>18274</v>
      </c>
      <c r="I593" s="195">
        <v>44147</v>
      </c>
      <c r="N593" s="66" t="s">
        <v>18317</v>
      </c>
      <c r="O593" s="651">
        <v>0</v>
      </c>
    </row>
    <row r="594" spans="1:15" ht="12.95" hidden="1">
      <c r="A594" s="86">
        <v>44159</v>
      </c>
      <c r="B594" s="87">
        <v>19200</v>
      </c>
      <c r="C594" s="83">
        <v>32064</v>
      </c>
      <c r="D594" s="116">
        <v>0</v>
      </c>
      <c r="E594" s="116">
        <f t="shared" si="18"/>
        <v>32064</v>
      </c>
      <c r="F594" s="116">
        <f t="shared" si="19"/>
        <v>1.67</v>
      </c>
      <c r="G594" s="88" t="s">
        <v>19778</v>
      </c>
      <c r="H594" s="85" t="s">
        <v>18281</v>
      </c>
      <c r="I594" s="101">
        <v>44153</v>
      </c>
      <c r="N594" s="66" t="s">
        <v>18318</v>
      </c>
      <c r="O594" s="651">
        <v>0</v>
      </c>
    </row>
    <row r="595" spans="1:15" ht="12.95" hidden="1">
      <c r="A595" s="86">
        <v>44160</v>
      </c>
      <c r="B595" s="87">
        <v>196800</v>
      </c>
      <c r="C595" s="30">
        <v>255840</v>
      </c>
      <c r="D595" s="116">
        <v>0</v>
      </c>
      <c r="E595" s="116">
        <f t="shared" si="18"/>
        <v>255840</v>
      </c>
      <c r="F595" s="116">
        <f t="shared" si="19"/>
        <v>1.3</v>
      </c>
      <c r="G595" s="88" t="s">
        <v>19778</v>
      </c>
      <c r="H595" s="85" t="s">
        <v>18287</v>
      </c>
      <c r="I595" s="101">
        <v>44154</v>
      </c>
      <c r="N595" s="66" t="s">
        <v>18319</v>
      </c>
      <c r="O595" s="651">
        <v>34283.160000000003</v>
      </c>
    </row>
    <row r="596" spans="1:15" ht="12.95" hidden="1">
      <c r="A596" s="86">
        <v>44160</v>
      </c>
      <c r="B596" s="87">
        <v>52000</v>
      </c>
      <c r="C596" s="30">
        <v>76180</v>
      </c>
      <c r="D596" s="116">
        <v>0</v>
      </c>
      <c r="E596" s="116">
        <f t="shared" si="18"/>
        <v>76180</v>
      </c>
      <c r="F596" s="116">
        <f t="shared" si="19"/>
        <v>1.4650000000000001</v>
      </c>
      <c r="G596" s="88" t="s">
        <v>19656</v>
      </c>
      <c r="H596" s="85" t="s">
        <v>18290</v>
      </c>
      <c r="I596" s="101">
        <v>44155</v>
      </c>
      <c r="N596" s="66" t="s">
        <v>18320</v>
      </c>
      <c r="O596" s="651">
        <v>1439.48</v>
      </c>
    </row>
    <row r="597" spans="1:15" ht="12.95" hidden="1">
      <c r="A597" s="86">
        <v>44161</v>
      </c>
      <c r="B597" s="87">
        <v>312000</v>
      </c>
      <c r="C597" s="30">
        <v>435240</v>
      </c>
      <c r="D597" s="116">
        <v>0</v>
      </c>
      <c r="E597" s="116">
        <f t="shared" si="18"/>
        <v>435240</v>
      </c>
      <c r="F597" s="116">
        <f t="shared" si="19"/>
        <v>1.395</v>
      </c>
      <c r="G597" s="88" t="s">
        <v>19647</v>
      </c>
      <c r="H597" s="85" t="s">
        <v>18271</v>
      </c>
      <c r="I597" s="101">
        <v>44147</v>
      </c>
      <c r="N597" s="66" t="s">
        <v>18321</v>
      </c>
      <c r="O597" s="651">
        <v>4458.99</v>
      </c>
    </row>
    <row r="598" spans="1:15" ht="12.95" hidden="1">
      <c r="A598" s="86">
        <v>44161</v>
      </c>
      <c r="B598" s="87">
        <v>122304</v>
      </c>
      <c r="C598" s="30">
        <f>76297.84*2.7352</f>
        <v>208689.85196799997</v>
      </c>
      <c r="D598" s="116">
        <v>18409.858</v>
      </c>
      <c r="E598" s="116">
        <f t="shared" si="18"/>
        <v>190279.99396799997</v>
      </c>
      <c r="F598" s="116">
        <f t="shared" si="19"/>
        <v>1.5557953457613811</v>
      </c>
      <c r="G598" s="194" t="s">
        <v>19688</v>
      </c>
      <c r="H598" s="85" t="s">
        <v>18262</v>
      </c>
      <c r="I598" s="101">
        <v>44137</v>
      </c>
      <c r="N598" s="66" t="s">
        <v>18322</v>
      </c>
      <c r="O598" s="651">
        <v>11428.12</v>
      </c>
    </row>
    <row r="599" spans="1:15" ht="12.95" hidden="1">
      <c r="A599" s="86">
        <v>44163</v>
      </c>
      <c r="B599" s="87">
        <v>185400</v>
      </c>
      <c r="C599" s="30">
        <v>245424</v>
      </c>
      <c r="D599" s="116">
        <v>0</v>
      </c>
      <c r="E599" s="116">
        <f t="shared" si="18"/>
        <v>245424</v>
      </c>
      <c r="F599" s="116">
        <f t="shared" si="19"/>
        <v>1.3237540453074434</v>
      </c>
      <c r="G599" s="88" t="s">
        <v>19656</v>
      </c>
      <c r="H599" s="85" t="s">
        <v>18286</v>
      </c>
      <c r="I599" s="101">
        <v>44154</v>
      </c>
      <c r="N599" s="66" t="s">
        <v>18324</v>
      </c>
      <c r="O599" s="651">
        <v>0</v>
      </c>
    </row>
    <row r="600" spans="1:15" ht="12.95" hidden="1">
      <c r="A600" s="86">
        <v>44163</v>
      </c>
      <c r="B600" s="87">
        <v>27336</v>
      </c>
      <c r="C600" s="30">
        <f>16346.04*3.26005</f>
        <v>53288.907702000004</v>
      </c>
      <c r="D600" s="116">
        <v>11003</v>
      </c>
      <c r="E600" s="116">
        <f t="shared" si="18"/>
        <v>42285.907702000004</v>
      </c>
      <c r="F600" s="116">
        <f t="shared" si="19"/>
        <v>1.5468944871963712</v>
      </c>
      <c r="G600" s="88" t="s">
        <v>19661</v>
      </c>
      <c r="H600" s="85" t="s">
        <v>18284</v>
      </c>
      <c r="I600" s="101">
        <v>44154</v>
      </c>
      <c r="N600" s="66" t="s">
        <v>18326</v>
      </c>
      <c r="O600" s="651">
        <v>0</v>
      </c>
    </row>
    <row r="601" spans="1:15" ht="12.95" hidden="1">
      <c r="A601" s="86">
        <v>44165</v>
      </c>
      <c r="B601" s="87">
        <v>17975</v>
      </c>
      <c r="C601" s="30">
        <v>30872</v>
      </c>
      <c r="D601" s="116">
        <v>0</v>
      </c>
      <c r="E601" s="116">
        <f t="shared" si="18"/>
        <v>30872</v>
      </c>
      <c r="F601" s="116">
        <f t="shared" si="19"/>
        <v>1.7174965229485397</v>
      </c>
      <c r="G601" s="88" t="s">
        <v>19778</v>
      </c>
      <c r="H601" s="85" t="s">
        <v>18289</v>
      </c>
      <c r="I601" s="101">
        <v>44155</v>
      </c>
      <c r="N601" s="66" t="s">
        <v>18327</v>
      </c>
      <c r="O601" s="651">
        <v>0</v>
      </c>
    </row>
    <row r="602" spans="1:15" ht="12.95" hidden="1">
      <c r="A602" s="86">
        <v>44167</v>
      </c>
      <c r="B602" s="124">
        <v>76800</v>
      </c>
      <c r="C602" s="30">
        <v>127488</v>
      </c>
      <c r="D602" s="116">
        <v>0</v>
      </c>
      <c r="E602" s="116">
        <f t="shared" si="18"/>
        <v>127488</v>
      </c>
      <c r="F602" s="116">
        <f t="shared" si="19"/>
        <v>1.66</v>
      </c>
      <c r="G602" s="88" t="s">
        <v>19655</v>
      </c>
      <c r="H602" s="85" t="s">
        <v>18292</v>
      </c>
      <c r="I602" s="101">
        <v>44162</v>
      </c>
      <c r="N602" s="66" t="s">
        <v>18328</v>
      </c>
      <c r="O602" s="651">
        <v>0</v>
      </c>
    </row>
    <row r="603" spans="1:15" ht="12.95" hidden="1">
      <c r="A603" s="81">
        <v>44170</v>
      </c>
      <c r="B603" s="182">
        <v>24868</v>
      </c>
      <c r="C603" s="30">
        <f>15393.44*3.26005</f>
        <v>50183.384072000001</v>
      </c>
      <c r="D603" s="116">
        <v>550</v>
      </c>
      <c r="E603" s="116">
        <f t="shared" si="18"/>
        <v>49633.384072000001</v>
      </c>
      <c r="F603" s="116">
        <f t="shared" si="19"/>
        <v>1.9958735753578898</v>
      </c>
      <c r="G603" s="88" t="s">
        <v>19791</v>
      </c>
      <c r="H603" s="85" t="s">
        <v>18288</v>
      </c>
      <c r="I603" s="128">
        <v>44154</v>
      </c>
      <c r="N603" s="66" t="s">
        <v>18330</v>
      </c>
      <c r="O603" s="651">
        <v>0</v>
      </c>
    </row>
    <row r="604" spans="1:15" ht="12.95" hidden="1">
      <c r="A604" s="81">
        <v>44172</v>
      </c>
      <c r="B604" s="182">
        <v>20000</v>
      </c>
      <c r="C604" s="30">
        <v>32000</v>
      </c>
      <c r="D604" s="116">
        <v>0</v>
      </c>
      <c r="E604" s="116">
        <f t="shared" si="18"/>
        <v>32000</v>
      </c>
      <c r="F604" s="116">
        <f t="shared" si="19"/>
        <v>1.6</v>
      </c>
      <c r="G604" s="88" t="s">
        <v>19656</v>
      </c>
      <c r="H604" s="85" t="s">
        <v>18249</v>
      </c>
      <c r="I604" s="128">
        <v>44137</v>
      </c>
      <c r="N604" s="66" t="s">
        <v>18331</v>
      </c>
      <c r="O604" s="651">
        <v>0</v>
      </c>
    </row>
    <row r="605" spans="1:15" ht="12.95" hidden="1">
      <c r="A605" s="81">
        <v>44173</v>
      </c>
      <c r="B605" s="182">
        <v>20000</v>
      </c>
      <c r="C605" s="30">
        <f>14100*2.70455</f>
        <v>38134.154999999999</v>
      </c>
      <c r="D605" s="116">
        <v>4036.16</v>
      </c>
      <c r="E605" s="116">
        <f t="shared" si="18"/>
        <v>34097.994999999995</v>
      </c>
      <c r="F605" s="116">
        <f t="shared" si="19"/>
        <v>1.7048997499999998</v>
      </c>
      <c r="G605" s="88" t="s">
        <v>19792</v>
      </c>
      <c r="H605" s="85" t="s">
        <v>18295</v>
      </c>
      <c r="I605" s="128">
        <v>44167</v>
      </c>
      <c r="N605" s="66" t="s">
        <v>18332</v>
      </c>
      <c r="O605" s="651">
        <v>0</v>
      </c>
    </row>
    <row r="606" spans="1:15" ht="12.95" hidden="1">
      <c r="A606" s="81">
        <v>44174</v>
      </c>
      <c r="B606" s="182">
        <v>41000</v>
      </c>
      <c r="C606" s="30">
        <v>69700</v>
      </c>
      <c r="D606" s="116">
        <v>0</v>
      </c>
      <c r="E606" s="116">
        <f t="shared" si="18"/>
        <v>69700</v>
      </c>
      <c r="F606" s="116">
        <f t="shared" si="19"/>
        <v>1.7</v>
      </c>
      <c r="G606" s="88" t="s">
        <v>19748</v>
      </c>
      <c r="H606" s="85" t="s">
        <v>18282</v>
      </c>
      <c r="I606" s="128">
        <v>44154</v>
      </c>
      <c r="N606" s="66" t="s">
        <v>18334</v>
      </c>
      <c r="O606" s="651">
        <v>0</v>
      </c>
    </row>
    <row r="607" spans="1:15" ht="12.95" hidden="1">
      <c r="A607" s="81">
        <v>44174</v>
      </c>
      <c r="B607" s="182">
        <v>79008</v>
      </c>
      <c r="C607" s="30">
        <v>119973.12</v>
      </c>
      <c r="D607" s="116">
        <v>0</v>
      </c>
      <c r="E607" s="116">
        <f t="shared" si="18"/>
        <v>119973.12</v>
      </c>
      <c r="F607" s="116">
        <f t="shared" si="19"/>
        <v>1.5184933171324422</v>
      </c>
      <c r="G607" s="88" t="s">
        <v>19655</v>
      </c>
      <c r="H607" s="85" t="s">
        <v>18293</v>
      </c>
      <c r="I607" s="128">
        <v>44162</v>
      </c>
      <c r="N607" s="66" t="s">
        <v>18336</v>
      </c>
      <c r="O607" s="651">
        <v>0</v>
      </c>
    </row>
    <row r="608" spans="1:15" ht="12.95" hidden="1">
      <c r="A608" s="86">
        <v>44174</v>
      </c>
      <c r="B608" s="182">
        <v>44016</v>
      </c>
      <c r="C608" s="83">
        <v>73506.720000000001</v>
      </c>
      <c r="D608" s="116">
        <v>0</v>
      </c>
      <c r="E608" s="116">
        <f t="shared" si="18"/>
        <v>73506.720000000001</v>
      </c>
      <c r="F608" s="116">
        <f t="shared" si="19"/>
        <v>1.67</v>
      </c>
      <c r="G608" s="88" t="s">
        <v>19655</v>
      </c>
      <c r="H608" s="85" t="s">
        <v>18301</v>
      </c>
      <c r="I608" s="129">
        <v>44169</v>
      </c>
      <c r="N608" s="66" t="s">
        <v>18337</v>
      </c>
      <c r="O608" s="651">
        <v>0</v>
      </c>
    </row>
    <row r="609" spans="1:15" ht="12.95" hidden="1">
      <c r="A609" s="86">
        <v>44174</v>
      </c>
      <c r="B609" s="124">
        <v>22800</v>
      </c>
      <c r="C609" s="83">
        <v>33744</v>
      </c>
      <c r="D609" s="116">
        <v>0</v>
      </c>
      <c r="E609" s="116">
        <f t="shared" si="18"/>
        <v>33744</v>
      </c>
      <c r="F609" s="116">
        <f t="shared" si="19"/>
        <v>1.48</v>
      </c>
      <c r="G609" s="88" t="s">
        <v>19656</v>
      </c>
      <c r="H609" s="85" t="s">
        <v>18297</v>
      </c>
      <c r="I609" s="129">
        <v>44167</v>
      </c>
      <c r="N609" s="66" t="s">
        <v>18339</v>
      </c>
      <c r="O609" s="651">
        <v>0</v>
      </c>
    </row>
    <row r="610" spans="1:15" ht="12.95" hidden="1">
      <c r="A610" s="86">
        <v>44176</v>
      </c>
      <c r="B610" s="182">
        <v>25600</v>
      </c>
      <c r="C610" s="83">
        <v>76928</v>
      </c>
      <c r="D610" s="116">
        <v>0</v>
      </c>
      <c r="E610" s="116">
        <f t="shared" si="18"/>
        <v>76928</v>
      </c>
      <c r="F610" s="116">
        <f t="shared" si="19"/>
        <v>3.0049999999999999</v>
      </c>
      <c r="G610" s="88" t="s">
        <v>19690</v>
      </c>
      <c r="H610" s="85" t="s">
        <v>18303</v>
      </c>
      <c r="I610" s="129">
        <v>44169</v>
      </c>
      <c r="N610" s="66" t="s">
        <v>18340</v>
      </c>
      <c r="O610" s="651">
        <v>7059.51</v>
      </c>
    </row>
    <row r="611" spans="1:15" ht="12.95" hidden="1">
      <c r="A611" s="86">
        <v>44176</v>
      </c>
      <c r="B611" s="182">
        <v>79640</v>
      </c>
      <c r="C611" s="83">
        <v>117780.4</v>
      </c>
      <c r="D611" s="116">
        <v>0</v>
      </c>
      <c r="E611" s="116">
        <f t="shared" si="18"/>
        <v>117780.4</v>
      </c>
      <c r="F611" s="116">
        <f t="shared" si="19"/>
        <v>1.4789100954294323</v>
      </c>
      <c r="G611" s="88" t="s">
        <v>19647</v>
      </c>
      <c r="H611" s="85" t="s">
        <v>18298</v>
      </c>
      <c r="I611" s="129">
        <v>44167</v>
      </c>
      <c r="N611" s="66" t="s">
        <v>18341</v>
      </c>
      <c r="O611" s="651">
        <v>11081.8</v>
      </c>
    </row>
    <row r="612" spans="1:15" ht="12.95" hidden="1">
      <c r="A612" s="86">
        <v>44180</v>
      </c>
      <c r="B612" s="182">
        <v>156824</v>
      </c>
      <c r="C612" s="83">
        <v>251675.12</v>
      </c>
      <c r="D612" s="116">
        <v>0</v>
      </c>
      <c r="E612" s="116">
        <f t="shared" si="18"/>
        <v>251675.12</v>
      </c>
      <c r="F612" s="116">
        <f t="shared" si="19"/>
        <v>1.6048252818446156</v>
      </c>
      <c r="G612" s="88" t="s">
        <v>19647</v>
      </c>
      <c r="H612" s="85" t="s">
        <v>18316</v>
      </c>
      <c r="I612" s="129">
        <v>44176</v>
      </c>
      <c r="N612" s="66" t="s">
        <v>18342</v>
      </c>
      <c r="O612" s="651">
        <v>6338.7439999999997</v>
      </c>
    </row>
    <row r="613" spans="1:15" ht="12.95" hidden="1">
      <c r="A613" s="86">
        <v>44181</v>
      </c>
      <c r="B613" s="182">
        <v>20157.599999999999</v>
      </c>
      <c r="C613" s="83">
        <v>34771.86</v>
      </c>
      <c r="D613" s="116">
        <v>0</v>
      </c>
      <c r="E613" s="116">
        <f t="shared" si="18"/>
        <v>34771.86</v>
      </c>
      <c r="F613" s="116">
        <f t="shared" si="19"/>
        <v>1.7250000000000001</v>
      </c>
      <c r="G613" s="88" t="s">
        <v>17018</v>
      </c>
      <c r="H613" s="85" t="s">
        <v>18305</v>
      </c>
      <c r="I613" s="129">
        <v>44169</v>
      </c>
      <c r="N613" s="66" t="s">
        <v>18343</v>
      </c>
      <c r="O613" s="651">
        <v>0</v>
      </c>
    </row>
    <row r="614" spans="1:15" ht="12.95" hidden="1">
      <c r="A614" s="86">
        <v>44181</v>
      </c>
      <c r="B614" s="182">
        <v>131600</v>
      </c>
      <c r="C614" s="83">
        <v>171080</v>
      </c>
      <c r="D614" s="116">
        <v>0</v>
      </c>
      <c r="E614" s="116">
        <f t="shared" si="18"/>
        <v>171080</v>
      </c>
      <c r="F614" s="116">
        <f t="shared" si="19"/>
        <v>1.3</v>
      </c>
      <c r="G614" s="88" t="s">
        <v>19655</v>
      </c>
      <c r="H614" s="85" t="s">
        <v>18307</v>
      </c>
      <c r="I614" s="129">
        <v>44176</v>
      </c>
      <c r="N614" s="66" t="s">
        <v>18344</v>
      </c>
      <c r="O614" s="651">
        <v>0</v>
      </c>
    </row>
    <row r="615" spans="1:15" ht="12.95" hidden="1">
      <c r="A615" s="86">
        <v>44181</v>
      </c>
      <c r="B615" s="124">
        <v>22008</v>
      </c>
      <c r="C615" s="30">
        <v>36753.360000000001</v>
      </c>
      <c r="D615" s="116">
        <v>0</v>
      </c>
      <c r="E615" s="116">
        <f t="shared" si="18"/>
        <v>36753.360000000001</v>
      </c>
      <c r="F615" s="116">
        <f t="shared" si="19"/>
        <v>1.67</v>
      </c>
      <c r="G615" s="88" t="s">
        <v>19655</v>
      </c>
      <c r="H615" s="85" t="s">
        <v>18324</v>
      </c>
      <c r="I615" s="130">
        <v>44176</v>
      </c>
      <c r="N615" s="66" t="s">
        <v>18345</v>
      </c>
      <c r="O615" s="651">
        <v>0</v>
      </c>
    </row>
    <row r="616" spans="1:15" ht="12.95" hidden="1">
      <c r="A616" s="86">
        <v>44184</v>
      </c>
      <c r="B616" s="124">
        <v>146424</v>
      </c>
      <c r="C616" s="30">
        <v>221908.08</v>
      </c>
      <c r="D616" s="116">
        <v>0</v>
      </c>
      <c r="E616" s="116">
        <f t="shared" si="18"/>
        <v>221908.08</v>
      </c>
      <c r="F616" s="116">
        <f t="shared" si="19"/>
        <v>1.5155171283396163</v>
      </c>
      <c r="G616" s="88" t="s">
        <v>19647</v>
      </c>
      <c r="H616" s="85" t="s">
        <v>18317</v>
      </c>
      <c r="I616" s="130">
        <v>44176</v>
      </c>
      <c r="N616" s="66" t="s">
        <v>18346</v>
      </c>
      <c r="O616" s="651">
        <v>0</v>
      </c>
    </row>
    <row r="617" spans="1:15" ht="12.95" hidden="1">
      <c r="A617" s="86">
        <v>44186</v>
      </c>
      <c r="B617" s="124">
        <v>7500</v>
      </c>
      <c r="C617" s="30">
        <f>12320*2.6846</f>
        <v>33074.272000000004</v>
      </c>
      <c r="D617" s="116">
        <v>4458.99</v>
      </c>
      <c r="E617" s="116">
        <f t="shared" si="18"/>
        <v>28615.282000000007</v>
      </c>
      <c r="F617" s="116">
        <f t="shared" si="19"/>
        <v>3.8153709333333343</v>
      </c>
      <c r="G617" s="88" t="s">
        <v>17210</v>
      </c>
      <c r="H617" s="85" t="s">
        <v>18321</v>
      </c>
      <c r="I617" s="101">
        <v>44176</v>
      </c>
      <c r="N617" s="66" t="s">
        <v>18347</v>
      </c>
      <c r="O617" s="651">
        <v>0</v>
      </c>
    </row>
    <row r="618" spans="1:15" ht="12.95" hidden="1">
      <c r="A618" s="86">
        <v>44186</v>
      </c>
      <c r="B618" s="124">
        <v>560000</v>
      </c>
      <c r="C618" s="30">
        <v>736400</v>
      </c>
      <c r="D618" s="116">
        <v>0</v>
      </c>
      <c r="E618" s="116">
        <f t="shared" si="18"/>
        <v>736400</v>
      </c>
      <c r="F618" s="116">
        <f t="shared" si="19"/>
        <v>1.3149999999999999</v>
      </c>
      <c r="G618" s="88" t="s">
        <v>19656</v>
      </c>
      <c r="H618" s="85" t="s">
        <v>18299</v>
      </c>
      <c r="I618" s="101">
        <v>44167</v>
      </c>
      <c r="N618" s="66" t="s">
        <v>18348</v>
      </c>
      <c r="O618" s="651">
        <v>110530.7</v>
      </c>
    </row>
    <row r="619" spans="1:15" ht="12.95" hidden="1">
      <c r="A619" s="86">
        <v>44186</v>
      </c>
      <c r="B619" s="124">
        <v>17720</v>
      </c>
      <c r="C619" s="83">
        <f>21552.4*2.6846</f>
        <v>57859.573040000003</v>
      </c>
      <c r="D619" s="116">
        <v>1412.72</v>
      </c>
      <c r="E619" s="116">
        <f t="shared" si="18"/>
        <v>56446.853040000002</v>
      </c>
      <c r="F619" s="116">
        <f t="shared" si="19"/>
        <v>3.185488320541761</v>
      </c>
      <c r="G619" s="88" t="s">
        <v>19653</v>
      </c>
      <c r="H619" s="85" t="s">
        <v>18312</v>
      </c>
      <c r="I619" s="101">
        <v>44176</v>
      </c>
      <c r="N619" s="66" t="s">
        <v>18349</v>
      </c>
      <c r="O619" s="651">
        <v>0</v>
      </c>
    </row>
    <row r="620" spans="1:15" ht="12.95" hidden="1">
      <c r="A620" s="86">
        <v>44186</v>
      </c>
      <c r="B620" s="124">
        <v>19004</v>
      </c>
      <c r="C620" s="83">
        <f>11657.84*3.2919</f>
        <v>38376.443496</v>
      </c>
      <c r="D620" s="116">
        <v>1439.48</v>
      </c>
      <c r="E620" s="116">
        <f t="shared" si="18"/>
        <v>36936.963495999997</v>
      </c>
      <c r="F620" s="116">
        <f t="shared" si="19"/>
        <v>1.9436415226268153</v>
      </c>
      <c r="G620" s="88" t="s">
        <v>19686</v>
      </c>
      <c r="H620" s="85" t="s">
        <v>18320</v>
      </c>
      <c r="I620" s="101">
        <v>44176</v>
      </c>
      <c r="N620" s="66" t="s">
        <v>18350</v>
      </c>
      <c r="O620" s="651">
        <v>0</v>
      </c>
    </row>
    <row r="621" spans="1:15" ht="12.95" hidden="1">
      <c r="A621" s="86">
        <v>44187</v>
      </c>
      <c r="B621" s="124">
        <v>40000</v>
      </c>
      <c r="C621" s="83">
        <f>27200*2.6846</f>
        <v>73021.12000000001</v>
      </c>
      <c r="D621" s="116">
        <v>7784.4480000000003</v>
      </c>
      <c r="E621" s="116">
        <f t="shared" si="18"/>
        <v>65236.672000000006</v>
      </c>
      <c r="F621" s="116">
        <f t="shared" si="19"/>
        <v>1.6309168000000001</v>
      </c>
      <c r="G621" s="88" t="s">
        <v>19793</v>
      </c>
      <c r="H621" s="85" t="s">
        <v>18310</v>
      </c>
      <c r="I621" s="101">
        <v>44176</v>
      </c>
      <c r="N621" s="66" t="s">
        <v>18351</v>
      </c>
      <c r="O621" s="651">
        <v>0</v>
      </c>
    </row>
    <row r="622" spans="1:15" ht="12.95" hidden="1">
      <c r="A622" s="86">
        <v>44188</v>
      </c>
      <c r="B622" s="124">
        <v>199020</v>
      </c>
      <c r="C622" s="83">
        <v>248775</v>
      </c>
      <c r="D622" s="116">
        <v>0</v>
      </c>
      <c r="E622" s="116">
        <f t="shared" si="18"/>
        <v>248775</v>
      </c>
      <c r="F622" s="116">
        <f t="shared" si="19"/>
        <v>1.25</v>
      </c>
      <c r="G622" s="88" t="s">
        <v>19655</v>
      </c>
      <c r="H622" s="85" t="s">
        <v>18308</v>
      </c>
      <c r="I622" s="101">
        <v>44176</v>
      </c>
      <c r="N622" s="66" t="s">
        <v>18352</v>
      </c>
      <c r="O622" s="651">
        <v>5187.58</v>
      </c>
    </row>
    <row r="623" spans="1:15" ht="12.95" hidden="1">
      <c r="A623" s="86">
        <v>44188</v>
      </c>
      <c r="B623" s="124">
        <v>19200</v>
      </c>
      <c r="C623" s="83">
        <v>33024</v>
      </c>
      <c r="D623" s="116">
        <v>0</v>
      </c>
      <c r="E623" s="116">
        <f t="shared" si="18"/>
        <v>33024</v>
      </c>
      <c r="F623" s="116">
        <f t="shared" si="19"/>
        <v>1.72</v>
      </c>
      <c r="G623" s="88" t="s">
        <v>19655</v>
      </c>
      <c r="H623" s="85" t="s">
        <v>18326</v>
      </c>
      <c r="I623" s="101">
        <v>44180</v>
      </c>
      <c r="N623" s="66" t="s">
        <v>18353</v>
      </c>
      <c r="O623" s="651">
        <v>10645.382</v>
      </c>
    </row>
    <row r="624" spans="1:15" ht="12.95" hidden="1">
      <c r="A624" s="86">
        <v>44189</v>
      </c>
      <c r="B624" s="124">
        <v>68544</v>
      </c>
      <c r="C624" s="30">
        <f>45260.16*3.2883</f>
        <v>148828.98412800001</v>
      </c>
      <c r="D624" s="116">
        <v>34283.160000000003</v>
      </c>
      <c r="E624" s="116">
        <f t="shared" si="18"/>
        <v>114545.82412800001</v>
      </c>
      <c r="F624" s="116">
        <f t="shared" si="19"/>
        <v>1.671128386554622</v>
      </c>
      <c r="G624" s="88" t="s">
        <v>19661</v>
      </c>
      <c r="H624" s="85" t="s">
        <v>18319</v>
      </c>
      <c r="I624" s="101">
        <v>44176</v>
      </c>
      <c r="N624" s="66" t="s">
        <v>18354</v>
      </c>
      <c r="O624" s="651">
        <v>0</v>
      </c>
    </row>
    <row r="625" spans="1:15" ht="12.95" hidden="1">
      <c r="A625" s="86">
        <v>44189</v>
      </c>
      <c r="B625" s="124">
        <v>24645.279999999999</v>
      </c>
      <c r="C625" s="83">
        <v>44756.652999999998</v>
      </c>
      <c r="D625" s="116">
        <v>0</v>
      </c>
      <c r="E625" s="116">
        <f t="shared" si="18"/>
        <v>44756.652999999998</v>
      </c>
      <c r="F625" s="116">
        <f t="shared" si="19"/>
        <v>1.8160334554933033</v>
      </c>
      <c r="G625" s="88" t="s">
        <v>17018</v>
      </c>
      <c r="H625" s="85" t="s">
        <v>18318</v>
      </c>
      <c r="I625" s="101">
        <v>44176</v>
      </c>
      <c r="N625" s="66" t="s">
        <v>18355</v>
      </c>
      <c r="O625" s="651">
        <v>0</v>
      </c>
    </row>
    <row r="626" spans="1:15" ht="12.95" hidden="1">
      <c r="A626" s="86">
        <v>44189</v>
      </c>
      <c r="B626" s="124">
        <v>52850</v>
      </c>
      <c r="C626" s="30">
        <v>91723</v>
      </c>
      <c r="D626" s="116">
        <v>0</v>
      </c>
      <c r="E626" s="116">
        <f t="shared" si="18"/>
        <v>91723</v>
      </c>
      <c r="F626" s="116">
        <f t="shared" si="19"/>
        <v>1.735534531693472</v>
      </c>
      <c r="G626" s="88" t="s">
        <v>17227</v>
      </c>
      <c r="H626" s="85" t="s">
        <v>18314</v>
      </c>
      <c r="I626" s="101">
        <v>44176</v>
      </c>
      <c r="N626" s="66" t="s">
        <v>18356</v>
      </c>
      <c r="O626" s="651">
        <v>0</v>
      </c>
    </row>
    <row r="627" spans="1:15" ht="12.95" hidden="1">
      <c r="A627" s="86">
        <v>44189</v>
      </c>
      <c r="B627" s="124">
        <v>27372</v>
      </c>
      <c r="C627" s="30">
        <f>17929.34*3.2883</f>
        <v>58957.048722</v>
      </c>
      <c r="D627" s="116">
        <v>11428.12</v>
      </c>
      <c r="E627" s="116">
        <f t="shared" si="18"/>
        <v>47528.928721999997</v>
      </c>
      <c r="F627" s="116">
        <f t="shared" si="19"/>
        <v>1.7364068654829752</v>
      </c>
      <c r="G627" s="88" t="s">
        <v>16481</v>
      </c>
      <c r="H627" s="85" t="s">
        <v>18322</v>
      </c>
      <c r="I627" s="101">
        <v>44176</v>
      </c>
      <c r="N627" s="66" t="s">
        <v>18357</v>
      </c>
      <c r="O627" s="651">
        <v>1497.02</v>
      </c>
    </row>
    <row r="628" spans="1:15" ht="12.95" hidden="1">
      <c r="A628" s="86">
        <v>44189</v>
      </c>
      <c r="B628" s="124">
        <v>38400</v>
      </c>
      <c r="C628" s="30">
        <f>26540*2.6932</f>
        <v>71477.528000000006</v>
      </c>
      <c r="D628" s="116">
        <v>11851.13</v>
      </c>
      <c r="E628" s="116">
        <f t="shared" si="18"/>
        <v>59626.398000000008</v>
      </c>
      <c r="F628" s="116">
        <f t="shared" si="19"/>
        <v>1.5527707812500002</v>
      </c>
      <c r="G628" s="88" t="s">
        <v>19790</v>
      </c>
      <c r="H628" s="85" t="s">
        <v>18294</v>
      </c>
      <c r="I628" s="101">
        <v>44162</v>
      </c>
      <c r="N628" s="66" t="s">
        <v>18358</v>
      </c>
      <c r="O628" s="651">
        <v>0</v>
      </c>
    </row>
    <row r="629" spans="1:15" ht="12.95" hidden="1">
      <c r="A629" s="86">
        <v>44193</v>
      </c>
      <c r="B629" s="124">
        <v>45600</v>
      </c>
      <c r="C629" s="30">
        <v>67488</v>
      </c>
      <c r="D629" s="116">
        <v>0</v>
      </c>
      <c r="E629" s="116">
        <f t="shared" si="18"/>
        <v>67488</v>
      </c>
      <c r="F629" s="116">
        <f t="shared" si="19"/>
        <v>1.48</v>
      </c>
      <c r="G629" s="88" t="s">
        <v>19647</v>
      </c>
      <c r="H629" s="85" t="s">
        <v>18332</v>
      </c>
      <c r="I629" s="101">
        <v>44188</v>
      </c>
      <c r="N629" s="66" t="s">
        <v>18359</v>
      </c>
      <c r="O629" s="651">
        <v>11677.806</v>
      </c>
    </row>
    <row r="630" spans="1:15" ht="12.95" hidden="1">
      <c r="A630" s="86">
        <v>44193</v>
      </c>
      <c r="B630" s="124">
        <v>24000</v>
      </c>
      <c r="C630" s="30">
        <v>35900</v>
      </c>
      <c r="D630" s="116">
        <v>0</v>
      </c>
      <c r="E630" s="116">
        <f t="shared" si="18"/>
        <v>35900</v>
      </c>
      <c r="F630" s="116">
        <f t="shared" si="19"/>
        <v>1.4958333333333333</v>
      </c>
      <c r="G630" s="88" t="s">
        <v>19656</v>
      </c>
      <c r="H630" s="85" t="s">
        <v>18331</v>
      </c>
      <c r="I630" s="101">
        <v>44188</v>
      </c>
      <c r="N630" s="66" t="s">
        <v>18360</v>
      </c>
      <c r="O630" s="651">
        <v>0</v>
      </c>
    </row>
    <row r="631" spans="1:15" ht="12.95" hidden="1">
      <c r="A631" s="86">
        <v>44193</v>
      </c>
      <c r="B631" s="124">
        <v>68000</v>
      </c>
      <c r="C631" s="30">
        <v>104400</v>
      </c>
      <c r="D631" s="116">
        <v>0</v>
      </c>
      <c r="E631" s="116">
        <f t="shared" si="18"/>
        <v>104400</v>
      </c>
      <c r="F631" s="116">
        <f t="shared" si="19"/>
        <v>1.5352941176470589</v>
      </c>
      <c r="G631" s="88" t="s">
        <v>19656</v>
      </c>
      <c r="H631" s="85" t="s">
        <v>18330</v>
      </c>
      <c r="I631" s="101">
        <v>44188</v>
      </c>
      <c r="N631" s="66" t="s">
        <v>18361</v>
      </c>
      <c r="O631" s="651">
        <v>21015.42</v>
      </c>
    </row>
    <row r="632" spans="1:15" ht="12.95" hidden="1">
      <c r="A632" s="86">
        <v>44193</v>
      </c>
      <c r="B632" s="124">
        <v>35950</v>
      </c>
      <c r="C632" s="30">
        <v>63541.5</v>
      </c>
      <c r="D632" s="116">
        <v>0</v>
      </c>
      <c r="E632" s="116">
        <f t="shared" si="18"/>
        <v>63541.5</v>
      </c>
      <c r="F632" s="116">
        <f t="shared" si="19"/>
        <v>1.7674965229485395</v>
      </c>
      <c r="G632" s="88" t="s">
        <v>19655</v>
      </c>
      <c r="H632" s="85" t="s">
        <v>18309</v>
      </c>
      <c r="I632" s="101">
        <v>44176</v>
      </c>
      <c r="N632" s="66" t="s">
        <v>18362</v>
      </c>
      <c r="O632" s="651">
        <v>21015.42</v>
      </c>
    </row>
    <row r="633" spans="1:15" ht="12.95" hidden="1">
      <c r="A633" s="86">
        <v>44195</v>
      </c>
      <c r="B633" s="124">
        <v>76800</v>
      </c>
      <c r="C633" s="30">
        <v>129024</v>
      </c>
      <c r="D633" s="116">
        <v>0</v>
      </c>
      <c r="E633" s="116">
        <f t="shared" si="18"/>
        <v>129024</v>
      </c>
      <c r="F633" s="116">
        <f t="shared" si="19"/>
        <v>1.68</v>
      </c>
      <c r="G633" s="88" t="s">
        <v>19656</v>
      </c>
      <c r="H633" s="85" t="s">
        <v>18328</v>
      </c>
      <c r="I633" s="101">
        <v>44188</v>
      </c>
      <c r="N633" s="66" t="s">
        <v>18363</v>
      </c>
      <c r="O633" s="651">
        <v>21015.42</v>
      </c>
    </row>
    <row r="634" spans="1:15" ht="12.95" hidden="1">
      <c r="A634" s="86">
        <v>44195</v>
      </c>
      <c r="B634" s="124">
        <v>21580</v>
      </c>
      <c r="C634" s="30">
        <v>26975</v>
      </c>
      <c r="D634" s="116">
        <v>0</v>
      </c>
      <c r="E634" s="116">
        <f t="shared" si="18"/>
        <v>26975</v>
      </c>
      <c r="F634" s="116">
        <f t="shared" si="19"/>
        <v>1.25</v>
      </c>
      <c r="G634" s="88" t="s">
        <v>19655</v>
      </c>
      <c r="H634" s="85" t="s">
        <v>18327</v>
      </c>
      <c r="I634" s="101">
        <v>44183</v>
      </c>
      <c r="N634" s="66" t="s">
        <v>18364</v>
      </c>
      <c r="O634" s="651">
        <v>0</v>
      </c>
    </row>
    <row r="635" spans="1:15" ht="12.95" hidden="1">
      <c r="A635" s="86">
        <v>44195</v>
      </c>
      <c r="B635" s="124">
        <v>20400</v>
      </c>
      <c r="C635" s="30">
        <v>34476</v>
      </c>
      <c r="D635" s="116">
        <v>0</v>
      </c>
      <c r="E635" s="116">
        <f t="shared" si="18"/>
        <v>34476</v>
      </c>
      <c r="F635" s="116">
        <f t="shared" si="19"/>
        <v>1.69</v>
      </c>
      <c r="G635" s="88" t="s">
        <v>19679</v>
      </c>
      <c r="H635" s="85" t="s">
        <v>18334</v>
      </c>
      <c r="I635" s="101">
        <v>44188</v>
      </c>
      <c r="N635" s="66" t="s">
        <v>18365</v>
      </c>
      <c r="O635" s="651">
        <v>0</v>
      </c>
    </row>
    <row r="636" spans="1:15" ht="12.95" hidden="1">
      <c r="A636" s="86">
        <v>44208</v>
      </c>
      <c r="B636" s="124">
        <v>20000</v>
      </c>
      <c r="C636" s="83">
        <f>14100*2.6897</f>
        <v>37924.770000000004</v>
      </c>
      <c r="D636" s="116">
        <v>5187.58</v>
      </c>
      <c r="E636" s="116">
        <f t="shared" si="18"/>
        <v>32737.190000000002</v>
      </c>
      <c r="F636" s="116">
        <f t="shared" si="19"/>
        <v>1.6368595000000001</v>
      </c>
      <c r="G636" s="88" t="s">
        <v>19794</v>
      </c>
      <c r="H636" s="85" t="s">
        <v>18352</v>
      </c>
      <c r="I636" s="101">
        <v>44203</v>
      </c>
      <c r="J636" s="196">
        <f>3671.8*25%</f>
        <v>917.95</v>
      </c>
      <c r="N636" s="66" t="s">
        <v>18366</v>
      </c>
      <c r="O636" s="651">
        <v>0</v>
      </c>
    </row>
    <row r="637" spans="1:15" ht="12.95" hidden="1">
      <c r="A637" s="86">
        <v>44209</v>
      </c>
      <c r="B637" s="124">
        <v>22008</v>
      </c>
      <c r="C637" s="30">
        <v>36753.360000000001</v>
      </c>
      <c r="D637" s="116">
        <v>0</v>
      </c>
      <c r="E637" s="116">
        <f t="shared" si="18"/>
        <v>36753.360000000001</v>
      </c>
      <c r="F637" s="116">
        <f t="shared" si="19"/>
        <v>1.67</v>
      </c>
      <c r="G637" s="88" t="s">
        <v>19655</v>
      </c>
      <c r="H637" s="85" t="s">
        <v>18350</v>
      </c>
      <c r="I637" s="101">
        <v>44202</v>
      </c>
      <c r="J637" s="196">
        <v>0</v>
      </c>
      <c r="N637" s="66" t="s">
        <v>18367</v>
      </c>
      <c r="O637" s="651">
        <v>0</v>
      </c>
    </row>
    <row r="638" spans="1:15" ht="12.95" hidden="1">
      <c r="A638" s="86">
        <v>44209</v>
      </c>
      <c r="B638" s="124">
        <v>44016</v>
      </c>
      <c r="C638" s="30">
        <v>73506.720000000001</v>
      </c>
      <c r="D638" s="116">
        <v>0</v>
      </c>
      <c r="E638" s="116">
        <f t="shared" si="18"/>
        <v>73506.720000000001</v>
      </c>
      <c r="F638" s="116">
        <f t="shared" si="19"/>
        <v>1.67</v>
      </c>
      <c r="G638" s="88" t="s">
        <v>19655</v>
      </c>
      <c r="H638" s="85" t="s">
        <v>18347</v>
      </c>
      <c r="I638" s="101">
        <v>44202</v>
      </c>
      <c r="J638" s="196">
        <v>0</v>
      </c>
      <c r="N638" s="66" t="s">
        <v>18368</v>
      </c>
      <c r="O638" s="651">
        <v>32957.252</v>
      </c>
    </row>
    <row r="639" spans="1:15" ht="12.95" hidden="1">
      <c r="A639" s="86">
        <v>44211</v>
      </c>
      <c r="B639" s="124">
        <v>10800</v>
      </c>
      <c r="C639" s="83">
        <f>7638*3.2823</f>
        <v>25070.207400000003</v>
      </c>
      <c r="D639" s="116">
        <v>7059.51</v>
      </c>
      <c r="E639" s="116">
        <f t="shared" si="18"/>
        <v>18010.697400000005</v>
      </c>
      <c r="F639" s="116">
        <f t="shared" si="19"/>
        <v>1.6676571666666671</v>
      </c>
      <c r="G639" s="88" t="s">
        <v>19661</v>
      </c>
      <c r="H639" s="85" t="s">
        <v>18340</v>
      </c>
      <c r="I639" s="101">
        <v>44202</v>
      </c>
      <c r="J639" s="196">
        <f>5924.95*40%</f>
        <v>2369.98</v>
      </c>
      <c r="N639" s="66" t="s">
        <v>18369</v>
      </c>
      <c r="O639" s="651">
        <v>131869.9</v>
      </c>
    </row>
    <row r="640" spans="1:15" ht="12.95" hidden="1">
      <c r="A640" s="86">
        <v>44211</v>
      </c>
      <c r="B640" s="124">
        <v>27336</v>
      </c>
      <c r="C640" s="83">
        <f>17910.08*3.2823</f>
        <v>58786.255584000013</v>
      </c>
      <c r="D640" s="116">
        <v>11081.8</v>
      </c>
      <c r="E640" s="116">
        <f t="shared" si="18"/>
        <v>47704.45558400001</v>
      </c>
      <c r="F640" s="116">
        <f t="shared" si="19"/>
        <v>1.7451147052970446</v>
      </c>
      <c r="G640" s="88" t="s">
        <v>19661</v>
      </c>
      <c r="H640" s="85" t="s">
        <v>18341</v>
      </c>
      <c r="I640" s="101">
        <v>44202</v>
      </c>
      <c r="J640" s="196">
        <f>9947.54*40%</f>
        <v>3979.0160000000005</v>
      </c>
      <c r="N640" s="66" t="s">
        <v>18370</v>
      </c>
      <c r="O640" s="651">
        <v>0</v>
      </c>
    </row>
    <row r="641" spans="1:15" ht="12.95" hidden="1">
      <c r="A641" s="86">
        <v>44211</v>
      </c>
      <c r="B641" s="124">
        <v>23426</v>
      </c>
      <c r="C641" s="83">
        <f>18741.12*2.701</f>
        <v>50619.765119999996</v>
      </c>
      <c r="D641" s="116">
        <v>10645.382</v>
      </c>
      <c r="E641" s="116">
        <f t="shared" si="18"/>
        <v>39974.383119999999</v>
      </c>
      <c r="F641" s="116">
        <f t="shared" si="19"/>
        <v>1.7064109587637668</v>
      </c>
      <c r="G641" s="88" t="s">
        <v>19779</v>
      </c>
      <c r="H641" s="85" t="s">
        <v>18353</v>
      </c>
      <c r="I641" s="101">
        <v>44203</v>
      </c>
      <c r="J641" s="196">
        <f>8065.192*25%</f>
        <v>2016.298</v>
      </c>
      <c r="N641" s="66" t="s">
        <v>18371</v>
      </c>
      <c r="O641" s="651">
        <v>0</v>
      </c>
    </row>
    <row r="642" spans="1:15" ht="12.95" hidden="1">
      <c r="A642" s="86">
        <v>44211</v>
      </c>
      <c r="B642" s="124">
        <v>156000</v>
      </c>
      <c r="C642" s="83">
        <v>221520</v>
      </c>
      <c r="D642" s="116">
        <v>0</v>
      </c>
      <c r="E642" s="116">
        <f t="shared" si="18"/>
        <v>221520</v>
      </c>
      <c r="F642" s="116">
        <f t="shared" si="19"/>
        <v>1.42</v>
      </c>
      <c r="G642" s="88" t="s">
        <v>19647</v>
      </c>
      <c r="H642" s="85" t="s">
        <v>18336</v>
      </c>
      <c r="I642" s="101">
        <v>44202</v>
      </c>
      <c r="J642" s="196">
        <v>0</v>
      </c>
      <c r="N642" s="66" t="s">
        <v>18372</v>
      </c>
      <c r="O642" s="651">
        <v>0</v>
      </c>
    </row>
    <row r="643" spans="1:15" ht="12.95" hidden="1">
      <c r="A643" s="86">
        <v>44214</v>
      </c>
      <c r="B643" s="124">
        <v>41500</v>
      </c>
      <c r="C643" s="83">
        <v>67645</v>
      </c>
      <c r="D643" s="116">
        <v>0</v>
      </c>
      <c r="E643" s="116">
        <f t="shared" si="18"/>
        <v>67645</v>
      </c>
      <c r="F643" s="116">
        <f t="shared" si="19"/>
        <v>1.63</v>
      </c>
      <c r="G643" s="88" t="s">
        <v>19655</v>
      </c>
      <c r="H643" s="85" t="s">
        <v>18344</v>
      </c>
      <c r="I643" s="101">
        <v>44202</v>
      </c>
      <c r="J643" s="196">
        <v>0</v>
      </c>
      <c r="N643" s="66" t="s">
        <v>18373</v>
      </c>
      <c r="O643" s="651">
        <v>0</v>
      </c>
    </row>
    <row r="644" spans="1:15" ht="12.95" hidden="1">
      <c r="A644" s="86">
        <v>44214</v>
      </c>
      <c r="B644" s="124">
        <v>140000</v>
      </c>
      <c r="C644" s="30">
        <v>184800</v>
      </c>
      <c r="D644" s="116">
        <v>0</v>
      </c>
      <c r="E644" s="116">
        <f t="shared" si="18"/>
        <v>184800</v>
      </c>
      <c r="F644" s="116">
        <f t="shared" si="19"/>
        <v>1.32</v>
      </c>
      <c r="G644" s="88" t="s">
        <v>19656</v>
      </c>
      <c r="H644" s="85" t="s">
        <v>18354</v>
      </c>
      <c r="I644" s="101">
        <v>44204</v>
      </c>
      <c r="J644" s="196">
        <v>0</v>
      </c>
      <c r="N644" s="66" t="s">
        <v>18374</v>
      </c>
      <c r="O644" s="651">
        <v>0</v>
      </c>
    </row>
    <row r="645" spans="1:15" ht="12.95" hidden="1">
      <c r="A645" s="86">
        <v>44214</v>
      </c>
      <c r="B645" s="124">
        <v>20000</v>
      </c>
      <c r="C645" s="30">
        <v>33200</v>
      </c>
      <c r="D645" s="116">
        <v>0</v>
      </c>
      <c r="E645" s="116">
        <f t="shared" si="18"/>
        <v>33200</v>
      </c>
      <c r="F645" s="116">
        <f t="shared" si="19"/>
        <v>1.66</v>
      </c>
      <c r="G645" s="88" t="s">
        <v>19795</v>
      </c>
      <c r="H645" s="85" t="s">
        <v>18351</v>
      </c>
      <c r="I645" s="101">
        <v>44202</v>
      </c>
      <c r="J645" s="196">
        <v>0</v>
      </c>
      <c r="N645" s="66" t="s">
        <v>18375</v>
      </c>
      <c r="O645" s="651">
        <v>0</v>
      </c>
    </row>
    <row r="646" spans="1:15" ht="12.95" hidden="1">
      <c r="A646" s="86">
        <v>44216</v>
      </c>
      <c r="B646" s="124">
        <v>279120</v>
      </c>
      <c r="C646" s="30">
        <f>185051.8*2.701</f>
        <v>499824.9118</v>
      </c>
      <c r="D646" s="116">
        <v>110530.7</v>
      </c>
      <c r="E646" s="116">
        <f t="shared" si="18"/>
        <v>389294.21179999999</v>
      </c>
      <c r="F646" s="116">
        <f t="shared" si="19"/>
        <v>1.3947198760389796</v>
      </c>
      <c r="G646" s="88" t="s">
        <v>19662</v>
      </c>
      <c r="H646" s="85" t="s">
        <v>18348</v>
      </c>
      <c r="I646" s="101">
        <v>44202</v>
      </c>
      <c r="J646" s="196">
        <f>98637.9*40%</f>
        <v>39455.160000000003</v>
      </c>
      <c r="N646" s="66" t="s">
        <v>18376</v>
      </c>
      <c r="O646" s="651">
        <v>0</v>
      </c>
    </row>
    <row r="647" spans="1:15" ht="12.95" hidden="1">
      <c r="A647" s="86">
        <v>44216</v>
      </c>
      <c r="B647" s="124">
        <v>105372</v>
      </c>
      <c r="C647" s="30">
        <v>165274.20000000001</v>
      </c>
      <c r="D647" s="116">
        <v>0</v>
      </c>
      <c r="E647" s="116">
        <f t="shared" si="18"/>
        <v>165274.20000000001</v>
      </c>
      <c r="F647" s="116">
        <f t="shared" si="19"/>
        <v>1.5684830884865051</v>
      </c>
      <c r="G647" s="88" t="s">
        <v>19655</v>
      </c>
      <c r="H647" s="85" t="s">
        <v>18349</v>
      </c>
      <c r="I647" s="101">
        <v>44202</v>
      </c>
      <c r="J647" s="196">
        <v>0</v>
      </c>
      <c r="N647" s="66" t="s">
        <v>18377</v>
      </c>
      <c r="O647" s="651">
        <v>32960.11</v>
      </c>
    </row>
    <row r="648" spans="1:15" ht="12.95" hidden="1">
      <c r="A648" s="86">
        <v>44216</v>
      </c>
      <c r="B648" s="124">
        <v>41768</v>
      </c>
      <c r="C648" s="30">
        <v>73330.080000000002</v>
      </c>
      <c r="D648" s="116">
        <v>0</v>
      </c>
      <c r="E648" s="116">
        <f t="shared" ref="E648:E711" si="20">(C648-D648)</f>
        <v>73330.080000000002</v>
      </c>
      <c r="F648" s="116">
        <f t="shared" ref="F648:F711" si="21">(E648/B648)</f>
        <v>1.7556521739130435</v>
      </c>
      <c r="G648" s="88" t="s">
        <v>19690</v>
      </c>
      <c r="H648" s="85" t="s">
        <v>18356</v>
      </c>
      <c r="I648" s="101">
        <v>44207</v>
      </c>
      <c r="J648" s="196">
        <v>0</v>
      </c>
      <c r="N648" s="66" t="s">
        <v>18378</v>
      </c>
      <c r="O648" s="651">
        <v>20812.919999999998</v>
      </c>
    </row>
    <row r="649" spans="1:15" ht="12.95" hidden="1">
      <c r="A649" s="86">
        <v>44217</v>
      </c>
      <c r="B649" s="124">
        <v>96000</v>
      </c>
      <c r="C649" s="30">
        <v>161280</v>
      </c>
      <c r="D649" s="116">
        <v>0</v>
      </c>
      <c r="E649" s="116">
        <f t="shared" si="20"/>
        <v>161280</v>
      </c>
      <c r="F649" s="116">
        <f t="shared" si="21"/>
        <v>1.68</v>
      </c>
      <c r="G649" s="88" t="s">
        <v>19656</v>
      </c>
      <c r="H649" s="85" t="s">
        <v>18337</v>
      </c>
      <c r="I649" s="101">
        <v>44202</v>
      </c>
      <c r="J649" s="196">
        <v>0</v>
      </c>
      <c r="N649" s="66" t="s">
        <v>18379</v>
      </c>
      <c r="O649" s="651">
        <v>20336.919999999998</v>
      </c>
    </row>
    <row r="650" spans="1:15" ht="12.95" hidden="1">
      <c r="A650" s="86">
        <v>44217</v>
      </c>
      <c r="B650" s="124">
        <v>19200</v>
      </c>
      <c r="C650" s="30">
        <f>14608*2.7128</f>
        <v>39628.582399999999</v>
      </c>
      <c r="D650" s="116">
        <v>6338.7439999999997</v>
      </c>
      <c r="E650" s="116">
        <f t="shared" si="20"/>
        <v>33289.838400000001</v>
      </c>
      <c r="F650" s="116">
        <f t="shared" si="21"/>
        <v>1.73384575</v>
      </c>
      <c r="G650" s="88" t="s">
        <v>19796</v>
      </c>
      <c r="H650" s="85" t="s">
        <v>18342</v>
      </c>
      <c r="I650" s="101">
        <v>44202</v>
      </c>
      <c r="J650" s="196">
        <f>5233.984*40%</f>
        <v>2093.5936000000002</v>
      </c>
      <c r="N650" s="66" t="s">
        <v>18380</v>
      </c>
      <c r="O650" s="651">
        <v>0</v>
      </c>
    </row>
    <row r="651" spans="1:15" ht="12.95" hidden="1">
      <c r="A651" s="86">
        <v>44217</v>
      </c>
      <c r="B651" s="124">
        <v>140000</v>
      </c>
      <c r="C651" s="30">
        <v>184800</v>
      </c>
      <c r="D651" s="116">
        <v>0</v>
      </c>
      <c r="E651" s="116">
        <f t="shared" si="20"/>
        <v>184800</v>
      </c>
      <c r="F651" s="116">
        <f t="shared" si="21"/>
        <v>1.32</v>
      </c>
      <c r="G651" s="88" t="s">
        <v>19656</v>
      </c>
      <c r="H651" s="85" t="s">
        <v>18355</v>
      </c>
      <c r="I651" s="101">
        <v>44204</v>
      </c>
      <c r="J651" s="196">
        <v>0</v>
      </c>
      <c r="N651" s="66" t="s">
        <v>18382</v>
      </c>
      <c r="O651" s="651">
        <v>0</v>
      </c>
    </row>
    <row r="652" spans="1:15" ht="12.95" hidden="1">
      <c r="A652" s="86">
        <v>44221</v>
      </c>
      <c r="B652" s="124">
        <v>264096</v>
      </c>
      <c r="C652" s="30">
        <v>368413.92</v>
      </c>
      <c r="D652" s="116">
        <v>0</v>
      </c>
      <c r="E652" s="116">
        <f t="shared" si="20"/>
        <v>368413.92</v>
      </c>
      <c r="F652" s="116">
        <f t="shared" si="21"/>
        <v>1.395</v>
      </c>
      <c r="G652" s="88" t="s">
        <v>19647</v>
      </c>
      <c r="H652" s="85" t="s">
        <v>18358</v>
      </c>
      <c r="I652" s="101">
        <v>44209</v>
      </c>
      <c r="J652" s="196">
        <v>0</v>
      </c>
      <c r="N652" s="66" t="s">
        <v>18384</v>
      </c>
      <c r="O652" s="651">
        <v>0</v>
      </c>
    </row>
    <row r="653" spans="1:15" ht="12.95" hidden="1">
      <c r="A653" s="86">
        <v>44222</v>
      </c>
      <c r="B653" s="124">
        <v>35950</v>
      </c>
      <c r="C653" s="30">
        <v>63541.5</v>
      </c>
      <c r="D653" s="116">
        <v>0</v>
      </c>
      <c r="E653" s="116">
        <f t="shared" si="20"/>
        <v>63541.5</v>
      </c>
      <c r="F653" s="116">
        <f t="shared" si="21"/>
        <v>1.7674965229485395</v>
      </c>
      <c r="G653" s="88" t="s">
        <v>19655</v>
      </c>
      <c r="H653" s="85" t="s">
        <v>18346</v>
      </c>
      <c r="I653" s="101">
        <v>44202</v>
      </c>
      <c r="J653" s="196">
        <v>0</v>
      </c>
      <c r="N653" s="66" t="s">
        <v>18385</v>
      </c>
      <c r="O653" s="651">
        <v>0</v>
      </c>
    </row>
    <row r="654" spans="1:15" ht="12.95" hidden="1">
      <c r="A654" s="86">
        <v>44222</v>
      </c>
      <c r="B654" s="124">
        <v>17320</v>
      </c>
      <c r="C654" s="30">
        <f>21020.4*2.7033</f>
        <v>56824.447320000007</v>
      </c>
      <c r="D654" s="116">
        <v>1497.02</v>
      </c>
      <c r="E654" s="116">
        <f t="shared" si="20"/>
        <v>55327.42732000001</v>
      </c>
      <c r="F654" s="116">
        <f t="shared" si="21"/>
        <v>3.1944242101616633</v>
      </c>
      <c r="G654" s="88" t="s">
        <v>19653</v>
      </c>
      <c r="H654" s="85" t="s">
        <v>18357</v>
      </c>
      <c r="I654" s="101">
        <v>44209</v>
      </c>
      <c r="J654" s="196">
        <v>0</v>
      </c>
      <c r="N654" s="66" t="s">
        <v>18386</v>
      </c>
      <c r="O654" s="651">
        <v>0</v>
      </c>
    </row>
    <row r="655" spans="1:15" ht="12.95" hidden="1">
      <c r="A655" s="86">
        <v>44223</v>
      </c>
      <c r="B655" s="124">
        <v>8092</v>
      </c>
      <c r="C655" s="30">
        <f>6362.44*3.2784</f>
        <v>20858.623295999998</v>
      </c>
      <c r="D655" s="116">
        <v>0</v>
      </c>
      <c r="E655" s="116">
        <f t="shared" si="20"/>
        <v>20858.623295999998</v>
      </c>
      <c r="F655" s="116">
        <f t="shared" si="21"/>
        <v>2.5776845397923873</v>
      </c>
      <c r="G655" s="88" t="s">
        <v>17263</v>
      </c>
      <c r="H655" s="85" t="s">
        <v>18360</v>
      </c>
      <c r="I655" s="101">
        <v>44217</v>
      </c>
      <c r="J655" s="196">
        <v>0</v>
      </c>
      <c r="N655" s="66" t="s">
        <v>18387</v>
      </c>
      <c r="O655" s="651">
        <v>11069.2</v>
      </c>
    </row>
    <row r="656" spans="1:15" ht="12.95" hidden="1">
      <c r="A656" s="86">
        <v>44224</v>
      </c>
      <c r="B656" s="124">
        <v>76800</v>
      </c>
      <c r="C656" s="30">
        <v>129024</v>
      </c>
      <c r="D656" s="116">
        <v>0</v>
      </c>
      <c r="E656" s="116">
        <f t="shared" si="20"/>
        <v>129024</v>
      </c>
      <c r="F656" s="116">
        <f t="shared" si="21"/>
        <v>1.68</v>
      </c>
      <c r="G656" s="88" t="s">
        <v>19656</v>
      </c>
      <c r="H656" s="85" t="s">
        <v>18339</v>
      </c>
      <c r="I656" s="101">
        <v>44202</v>
      </c>
      <c r="J656" s="196">
        <v>0</v>
      </c>
      <c r="N656" s="66" t="s">
        <v>18388</v>
      </c>
      <c r="O656" s="651">
        <v>28463.092000000001</v>
      </c>
    </row>
    <row r="657" spans="1:15" ht="12.95" hidden="1">
      <c r="A657" s="86">
        <v>44228</v>
      </c>
      <c r="B657" s="124">
        <v>19200</v>
      </c>
      <c r="C657" s="30">
        <v>33024</v>
      </c>
      <c r="D657" s="116">
        <v>0</v>
      </c>
      <c r="E657" s="116">
        <f t="shared" si="20"/>
        <v>33024</v>
      </c>
      <c r="F657" s="116">
        <f t="shared" si="21"/>
        <v>1.72</v>
      </c>
      <c r="G657" s="88" t="s">
        <v>19655</v>
      </c>
      <c r="H657" s="85" t="s">
        <v>18345</v>
      </c>
      <c r="I657" s="101">
        <v>44202</v>
      </c>
      <c r="J657" s="196">
        <v>0</v>
      </c>
      <c r="N657" s="66" t="s">
        <v>18389</v>
      </c>
      <c r="O657" s="651">
        <v>60484.728000000003</v>
      </c>
    </row>
    <row r="658" spans="1:15" ht="12.95" hidden="1">
      <c r="A658" s="86">
        <v>44228</v>
      </c>
      <c r="B658" s="124">
        <v>20750</v>
      </c>
      <c r="C658" s="30">
        <v>33822.5</v>
      </c>
      <c r="D658" s="116">
        <v>0</v>
      </c>
      <c r="E658" s="116">
        <f t="shared" si="20"/>
        <v>33822.5</v>
      </c>
      <c r="F658" s="116">
        <f t="shared" si="21"/>
        <v>1.63</v>
      </c>
      <c r="G658" s="88" t="s">
        <v>19655</v>
      </c>
      <c r="H658" s="85" t="s">
        <v>18364</v>
      </c>
      <c r="I658" s="129">
        <v>44222</v>
      </c>
      <c r="J658" s="196">
        <v>0</v>
      </c>
      <c r="N658" s="66" t="s">
        <v>18390</v>
      </c>
      <c r="O658" s="651">
        <v>5447.52</v>
      </c>
    </row>
    <row r="659" spans="1:15" ht="12.95" hidden="1">
      <c r="A659" s="86">
        <v>44228</v>
      </c>
      <c r="B659" s="124">
        <v>44016</v>
      </c>
      <c r="C659" s="30">
        <f>26608.4*2.7006</f>
        <v>71858.645040000003</v>
      </c>
      <c r="D659" s="116">
        <v>11677.806</v>
      </c>
      <c r="E659" s="116">
        <f t="shared" si="20"/>
        <v>60180.839040000006</v>
      </c>
      <c r="F659" s="116">
        <f t="shared" si="21"/>
        <v>1.3672491603053436</v>
      </c>
      <c r="G659" s="88" t="s">
        <v>19790</v>
      </c>
      <c r="H659" s="85" t="s">
        <v>18359</v>
      </c>
      <c r="I659" s="101">
        <v>44209</v>
      </c>
      <c r="J659" s="196">
        <f>9895.446*40%</f>
        <v>3958.1784000000002</v>
      </c>
      <c r="N659" s="66" t="s">
        <v>18391</v>
      </c>
      <c r="O659" s="651">
        <v>5447.52</v>
      </c>
    </row>
    <row r="660" spans="1:15" ht="12.95" hidden="1">
      <c r="A660" s="86">
        <v>44230</v>
      </c>
      <c r="B660" s="124">
        <v>108000</v>
      </c>
      <c r="C660" s="30">
        <f>49680*3.2787</f>
        <v>162885.81600000002</v>
      </c>
      <c r="D660" s="116">
        <v>21015.42</v>
      </c>
      <c r="E660" s="116">
        <f t="shared" si="20"/>
        <v>141870.39600000001</v>
      </c>
      <c r="F660" s="116">
        <f t="shared" si="21"/>
        <v>1.3136147777777778</v>
      </c>
      <c r="G660" s="88" t="s">
        <v>19722</v>
      </c>
      <c r="H660" s="85" t="s">
        <v>18362</v>
      </c>
      <c r="I660" s="101">
        <v>44219</v>
      </c>
      <c r="J660" s="196">
        <f>16427.88*40%</f>
        <v>6571.152000000001</v>
      </c>
      <c r="N660" s="66" t="s">
        <v>18392</v>
      </c>
      <c r="O660" s="651">
        <v>0</v>
      </c>
    </row>
    <row r="661" spans="1:15" ht="12.95" hidden="1">
      <c r="A661" s="86">
        <v>44231</v>
      </c>
      <c r="B661" s="124">
        <v>108000</v>
      </c>
      <c r="C661" s="30">
        <f>49680*3.2787</f>
        <v>162885.81600000002</v>
      </c>
      <c r="D661" s="116">
        <v>21015.42</v>
      </c>
      <c r="E661" s="116">
        <f t="shared" si="20"/>
        <v>141870.39600000001</v>
      </c>
      <c r="F661" s="116">
        <f t="shared" si="21"/>
        <v>1.3136147777777778</v>
      </c>
      <c r="G661" s="88" t="s">
        <v>19722</v>
      </c>
      <c r="H661" s="85" t="s">
        <v>18361</v>
      </c>
      <c r="I661" s="101">
        <v>44219</v>
      </c>
      <c r="J661" s="196">
        <f>16427.888*40%</f>
        <v>6571.1552000000001</v>
      </c>
      <c r="N661" s="66" t="s">
        <v>18393</v>
      </c>
      <c r="O661" s="651">
        <v>0</v>
      </c>
    </row>
    <row r="662" spans="1:15" ht="12.95" hidden="1">
      <c r="A662" s="86">
        <v>44232</v>
      </c>
      <c r="B662" s="124">
        <v>108000</v>
      </c>
      <c r="C662" s="30">
        <f>49680*3.2757</f>
        <v>162736.77600000001</v>
      </c>
      <c r="D662" s="116">
        <v>21015.42</v>
      </c>
      <c r="E662" s="116">
        <f t="shared" si="20"/>
        <v>141721.35600000003</v>
      </c>
      <c r="F662" s="116">
        <f t="shared" si="21"/>
        <v>1.3122347777777781</v>
      </c>
      <c r="G662" s="88" t="s">
        <v>19722</v>
      </c>
      <c r="H662" s="85" t="s">
        <v>18363</v>
      </c>
      <c r="I662" s="101">
        <v>44219</v>
      </c>
      <c r="J662" s="196">
        <f>16427.888*40%</f>
        <v>6571.1552000000001</v>
      </c>
      <c r="N662" s="66" t="s">
        <v>18394</v>
      </c>
      <c r="O662" s="651">
        <v>0</v>
      </c>
    </row>
    <row r="663" spans="1:15" ht="12.95" hidden="1">
      <c r="A663" s="86">
        <v>44235</v>
      </c>
      <c r="B663" s="124">
        <v>96000</v>
      </c>
      <c r="C663" s="30">
        <v>161280</v>
      </c>
      <c r="D663" s="116">
        <v>0</v>
      </c>
      <c r="E663" s="116">
        <f t="shared" si="20"/>
        <v>161280</v>
      </c>
      <c r="F663" s="116">
        <f t="shared" si="21"/>
        <v>1.68</v>
      </c>
      <c r="G663" s="88" t="s">
        <v>19656</v>
      </c>
      <c r="H663" s="85" t="s">
        <v>18367</v>
      </c>
      <c r="I663" s="101">
        <v>44229</v>
      </c>
      <c r="J663" s="196">
        <v>0</v>
      </c>
      <c r="N663" s="66" t="s">
        <v>18395</v>
      </c>
      <c r="O663" s="651">
        <v>0</v>
      </c>
    </row>
    <row r="664" spans="1:15" ht="12.95" hidden="1">
      <c r="A664" s="86">
        <v>44237</v>
      </c>
      <c r="B664" s="124">
        <v>104000</v>
      </c>
      <c r="C664" s="30">
        <f>65119*2.72935</f>
        <v>177732.54265000002</v>
      </c>
      <c r="D664" s="116">
        <v>32957.252</v>
      </c>
      <c r="E664" s="116">
        <f t="shared" si="20"/>
        <v>144775.29065000001</v>
      </c>
      <c r="F664" s="116">
        <f t="shared" si="21"/>
        <v>1.3920701024038462</v>
      </c>
      <c r="G664" s="88" t="s">
        <v>19662</v>
      </c>
      <c r="H664" s="85" t="s">
        <v>18368</v>
      </c>
      <c r="I664" s="101">
        <v>44229</v>
      </c>
      <c r="J664" s="196">
        <f>28608.552*40%</f>
        <v>11443.4208</v>
      </c>
      <c r="N664" s="66" t="s">
        <v>18396</v>
      </c>
      <c r="O664" s="651">
        <v>0</v>
      </c>
    </row>
    <row r="665" spans="1:15" ht="12.95" hidden="1">
      <c r="A665" s="86">
        <v>44237</v>
      </c>
      <c r="B665" s="124">
        <v>44016</v>
      </c>
      <c r="C665" s="30">
        <v>73506.720000000001</v>
      </c>
      <c r="D665" s="116">
        <v>0</v>
      </c>
      <c r="E665" s="116">
        <f t="shared" si="20"/>
        <v>73506.720000000001</v>
      </c>
      <c r="F665" s="116">
        <f t="shared" si="21"/>
        <v>1.67</v>
      </c>
      <c r="G665" s="88" t="s">
        <v>19655</v>
      </c>
      <c r="H665" s="85" t="s">
        <v>18373</v>
      </c>
      <c r="I665" s="101">
        <v>44230</v>
      </c>
      <c r="J665" s="196">
        <v>0</v>
      </c>
      <c r="N665" s="66" t="s">
        <v>18397</v>
      </c>
      <c r="O665" s="651">
        <v>0</v>
      </c>
    </row>
    <row r="666" spans="1:15" ht="12.95" hidden="1">
      <c r="A666" s="86">
        <v>44237</v>
      </c>
      <c r="B666" s="124">
        <v>27000</v>
      </c>
      <c r="C666" s="30">
        <v>44100</v>
      </c>
      <c r="D666" s="116">
        <v>0</v>
      </c>
      <c r="E666" s="116">
        <f t="shared" si="20"/>
        <v>44100</v>
      </c>
      <c r="F666" s="116">
        <f t="shared" si="21"/>
        <v>1.6333333333333333</v>
      </c>
      <c r="G666" s="88" t="s">
        <v>19655</v>
      </c>
      <c r="H666" s="85" t="s">
        <v>18376</v>
      </c>
      <c r="I666" s="101">
        <v>44230</v>
      </c>
      <c r="J666" s="196">
        <v>0</v>
      </c>
      <c r="N666" s="66" t="s">
        <v>18399</v>
      </c>
      <c r="O666" s="651">
        <v>9725.4760000000006</v>
      </c>
    </row>
    <row r="667" spans="1:15" ht="12.95" hidden="1">
      <c r="A667" s="86">
        <v>44237</v>
      </c>
      <c r="B667" s="124">
        <v>22008</v>
      </c>
      <c r="C667" s="30">
        <v>36753.360000000001</v>
      </c>
      <c r="D667" s="116">
        <v>0</v>
      </c>
      <c r="E667" s="116">
        <f t="shared" si="20"/>
        <v>36753.360000000001</v>
      </c>
      <c r="F667" s="116">
        <f t="shared" si="21"/>
        <v>1.67</v>
      </c>
      <c r="G667" s="88" t="s">
        <v>19655</v>
      </c>
      <c r="H667" s="85" t="s">
        <v>18343</v>
      </c>
      <c r="I667" s="101">
        <v>44202</v>
      </c>
      <c r="J667" s="196">
        <v>0</v>
      </c>
      <c r="N667" s="66" t="s">
        <v>18400</v>
      </c>
      <c r="O667" s="651">
        <v>0</v>
      </c>
    </row>
    <row r="668" spans="1:15" ht="12.95" hidden="1">
      <c r="A668" s="86">
        <v>44237</v>
      </c>
      <c r="B668" s="124">
        <v>13200</v>
      </c>
      <c r="C668" s="30">
        <v>23744.400000000001</v>
      </c>
      <c r="D668" s="116">
        <v>0</v>
      </c>
      <c r="E668" s="116">
        <f t="shared" si="20"/>
        <v>23744.400000000001</v>
      </c>
      <c r="F668" s="116">
        <f t="shared" si="21"/>
        <v>1.7988181818181819</v>
      </c>
      <c r="G668" s="88" t="s">
        <v>19797</v>
      </c>
      <c r="H668" s="85" t="s">
        <v>18365</v>
      </c>
      <c r="I668" s="101">
        <v>44222</v>
      </c>
      <c r="J668" s="196">
        <v>0</v>
      </c>
      <c r="N668" s="66" t="s">
        <v>18401</v>
      </c>
      <c r="O668" s="651">
        <v>0</v>
      </c>
    </row>
    <row r="669" spans="1:15" ht="12.95" hidden="1">
      <c r="A669" s="86">
        <v>44238</v>
      </c>
      <c r="B669" s="124">
        <v>107016</v>
      </c>
      <c r="C669" s="30">
        <f>71968.8*2.7133</f>
        <v>195272.94503999999</v>
      </c>
      <c r="D669" s="116">
        <v>32960.11</v>
      </c>
      <c r="E669" s="116">
        <f t="shared" si="20"/>
        <v>162312.83503999998</v>
      </c>
      <c r="F669" s="116">
        <f t="shared" si="21"/>
        <v>1.5167155849592582</v>
      </c>
      <c r="G669" s="88" t="s">
        <v>19790</v>
      </c>
      <c r="H669" s="85" t="s">
        <v>18377</v>
      </c>
      <c r="I669" s="101">
        <v>44230</v>
      </c>
      <c r="J669" s="196">
        <f>27346.41*40%</f>
        <v>10938.564</v>
      </c>
      <c r="N669" s="66" t="s">
        <v>18402</v>
      </c>
      <c r="O669" s="651">
        <v>0</v>
      </c>
    </row>
    <row r="670" spans="1:15" ht="12.95" hidden="1">
      <c r="A670" s="86">
        <v>44239</v>
      </c>
      <c r="B670" s="124">
        <v>25702</v>
      </c>
      <c r="C670" s="30">
        <f>15827.29*3.28425</f>
        <v>51980.777182500002</v>
      </c>
      <c r="D670" s="116">
        <v>0</v>
      </c>
      <c r="E670" s="116">
        <f t="shared" si="20"/>
        <v>51980.777182500002</v>
      </c>
      <c r="F670" s="116">
        <f t="shared" si="21"/>
        <v>2.0224409455489845</v>
      </c>
      <c r="G670" s="88" t="s">
        <v>17275</v>
      </c>
      <c r="H670" s="85" t="s">
        <v>18375</v>
      </c>
      <c r="I670" s="101">
        <v>44230</v>
      </c>
      <c r="J670" s="196">
        <v>0</v>
      </c>
      <c r="N670" s="66" t="s">
        <v>18403</v>
      </c>
      <c r="O670" s="651">
        <v>11182.12</v>
      </c>
    </row>
    <row r="671" spans="1:15" ht="12.95" hidden="1">
      <c r="A671" s="86">
        <v>44240</v>
      </c>
      <c r="B671" s="124">
        <v>157520</v>
      </c>
      <c r="C671" s="30">
        <v>265289.12</v>
      </c>
      <c r="D671" s="116">
        <v>0</v>
      </c>
      <c r="E671" s="116">
        <f t="shared" si="20"/>
        <v>265289.12</v>
      </c>
      <c r="F671" s="116">
        <f t="shared" si="21"/>
        <v>1.6841615033011681</v>
      </c>
      <c r="G671" s="88" t="s">
        <v>19647</v>
      </c>
      <c r="H671" s="85" t="s">
        <v>18371</v>
      </c>
      <c r="I671" s="101">
        <v>44229</v>
      </c>
      <c r="J671" s="196">
        <v>0</v>
      </c>
      <c r="N671" s="66" t="s">
        <v>18404</v>
      </c>
      <c r="O671" s="651">
        <v>0</v>
      </c>
    </row>
    <row r="672" spans="1:15" ht="12.95" hidden="1">
      <c r="A672" s="86">
        <v>44240</v>
      </c>
      <c r="B672" s="124">
        <v>108000</v>
      </c>
      <c r="C672" s="30">
        <f>49680*3.28375</f>
        <v>163136.70000000001</v>
      </c>
      <c r="D672" s="116">
        <v>20812.919999999998</v>
      </c>
      <c r="E672" s="116">
        <f t="shared" si="20"/>
        <v>142323.78000000003</v>
      </c>
      <c r="F672" s="116">
        <f t="shared" si="21"/>
        <v>1.3178127777777779</v>
      </c>
      <c r="G672" s="88" t="s">
        <v>19722</v>
      </c>
      <c r="H672" s="85" t="s">
        <v>18378</v>
      </c>
      <c r="I672" s="101">
        <v>44231</v>
      </c>
      <c r="J672" s="196">
        <f>16477.08*40%</f>
        <v>6590.8320000000012</v>
      </c>
      <c r="N672" s="66" t="s">
        <v>18405</v>
      </c>
      <c r="O672" s="651">
        <v>0</v>
      </c>
    </row>
    <row r="673" spans="1:15" ht="12.95" hidden="1">
      <c r="A673" s="86">
        <v>44242</v>
      </c>
      <c r="B673" s="124">
        <v>108000</v>
      </c>
      <c r="C673" s="30">
        <f>49680*3.28375</f>
        <v>163136.70000000001</v>
      </c>
      <c r="D673" s="116">
        <v>20336.919999999998</v>
      </c>
      <c r="E673" s="116">
        <f t="shared" si="20"/>
        <v>142799.78000000003</v>
      </c>
      <c r="F673" s="116">
        <f t="shared" si="21"/>
        <v>1.3222201851851854</v>
      </c>
      <c r="G673" s="88" t="s">
        <v>19722</v>
      </c>
      <c r="H673" s="85" t="s">
        <v>18379</v>
      </c>
      <c r="I673" s="101">
        <v>44231</v>
      </c>
      <c r="J673" s="196">
        <f>16477.08*40%</f>
        <v>6590.8320000000012</v>
      </c>
      <c r="N673" s="66" t="s">
        <v>18406</v>
      </c>
      <c r="O673" s="651">
        <v>0</v>
      </c>
    </row>
    <row r="674" spans="1:15" ht="12.95" hidden="1">
      <c r="A674" s="86">
        <v>44242</v>
      </c>
      <c r="B674" s="124">
        <v>20000</v>
      </c>
      <c r="C674" s="30">
        <v>34000</v>
      </c>
      <c r="D674" s="116">
        <v>0</v>
      </c>
      <c r="E674" s="116">
        <f t="shared" si="20"/>
        <v>34000</v>
      </c>
      <c r="F674" s="116">
        <f t="shared" si="21"/>
        <v>1.7</v>
      </c>
      <c r="G674" s="88" t="s">
        <v>19798</v>
      </c>
      <c r="H674" s="85" t="s">
        <v>18366</v>
      </c>
      <c r="I674" s="101">
        <v>44229</v>
      </c>
      <c r="J674" s="196">
        <v>0</v>
      </c>
      <c r="N674" s="66" t="s">
        <v>18407</v>
      </c>
      <c r="O674" s="651">
        <v>138016</v>
      </c>
    </row>
    <row r="675" spans="1:15" ht="12.95" hidden="1">
      <c r="A675" s="86">
        <v>44242</v>
      </c>
      <c r="B675" s="124">
        <v>26680</v>
      </c>
      <c r="C675" s="30">
        <v>76002</v>
      </c>
      <c r="D675" s="116">
        <v>0</v>
      </c>
      <c r="E675" s="116">
        <f t="shared" si="20"/>
        <v>76002</v>
      </c>
      <c r="F675" s="116">
        <f t="shared" si="21"/>
        <v>2.8486506746626685</v>
      </c>
      <c r="G675" s="88" t="s">
        <v>17282</v>
      </c>
      <c r="H675" s="85" t="s">
        <v>18380</v>
      </c>
      <c r="I675" s="101">
        <v>44235</v>
      </c>
      <c r="J675" s="196">
        <v>0</v>
      </c>
      <c r="N675" s="66" t="s">
        <v>18408</v>
      </c>
      <c r="O675" s="651">
        <v>7630.0640000000003</v>
      </c>
    </row>
    <row r="676" spans="1:15" ht="12.95" hidden="1">
      <c r="A676" s="86">
        <v>44243</v>
      </c>
      <c r="B676" s="124">
        <v>140000</v>
      </c>
      <c r="C676" s="30">
        <v>191800</v>
      </c>
      <c r="D676" s="116">
        <v>0</v>
      </c>
      <c r="E676" s="116">
        <f t="shared" si="20"/>
        <v>191800</v>
      </c>
      <c r="F676" s="116">
        <f t="shared" si="21"/>
        <v>1.37</v>
      </c>
      <c r="G676" s="88" t="s">
        <v>19656</v>
      </c>
      <c r="H676" s="85" t="s">
        <v>18374</v>
      </c>
      <c r="I676" s="101">
        <v>44230</v>
      </c>
      <c r="J676" s="196">
        <v>0</v>
      </c>
      <c r="N676" s="66" t="s">
        <v>18409</v>
      </c>
      <c r="O676" s="651">
        <v>4777.08</v>
      </c>
    </row>
    <row r="677" spans="1:15" ht="12.95" hidden="1">
      <c r="A677" s="86">
        <v>44244</v>
      </c>
      <c r="B677" s="124">
        <v>38000</v>
      </c>
      <c r="C677" s="30">
        <v>66688</v>
      </c>
      <c r="D677" s="116">
        <v>0</v>
      </c>
      <c r="E677" s="116">
        <f t="shared" si="20"/>
        <v>66688</v>
      </c>
      <c r="F677" s="116">
        <f t="shared" si="21"/>
        <v>1.7549473684210526</v>
      </c>
      <c r="G677" s="88" t="s">
        <v>19652</v>
      </c>
      <c r="H677" s="85" t="s">
        <v>18384</v>
      </c>
      <c r="I677" s="101">
        <v>44235</v>
      </c>
      <c r="J677" s="196">
        <v>0</v>
      </c>
      <c r="N677" s="66" t="s">
        <v>18410</v>
      </c>
      <c r="O677" s="651">
        <v>0</v>
      </c>
    </row>
    <row r="678" spans="1:15" ht="12.95" hidden="1">
      <c r="A678" s="86">
        <v>44245</v>
      </c>
      <c r="B678" s="124">
        <v>335904</v>
      </c>
      <c r="C678" s="30">
        <f>221361.48*2.7047</f>
        <v>598716.39495600003</v>
      </c>
      <c r="D678" s="116">
        <v>131869.9</v>
      </c>
      <c r="E678" s="116">
        <f t="shared" si="20"/>
        <v>466846.49495600001</v>
      </c>
      <c r="F678" s="116">
        <f t="shared" si="21"/>
        <v>1.3898211838977803</v>
      </c>
      <c r="G678" s="88" t="s">
        <v>19662</v>
      </c>
      <c r="H678" s="85" t="s">
        <v>18369</v>
      </c>
      <c r="I678" s="101">
        <v>44229</v>
      </c>
      <c r="J678" s="196">
        <f>118400.94*40%</f>
        <v>47360.376000000004</v>
      </c>
      <c r="N678" s="66" t="s">
        <v>18411</v>
      </c>
      <c r="O678" s="651">
        <v>1510.12</v>
      </c>
    </row>
    <row r="679" spans="1:15" ht="12.95" hidden="1">
      <c r="A679" s="86">
        <v>44245</v>
      </c>
      <c r="B679" s="124">
        <v>25800</v>
      </c>
      <c r="C679" s="30">
        <v>45141</v>
      </c>
      <c r="D679" s="116">
        <v>0</v>
      </c>
      <c r="E679" s="116">
        <f t="shared" si="20"/>
        <v>45141</v>
      </c>
      <c r="F679" s="116">
        <f t="shared" si="21"/>
        <v>1.7496511627906977</v>
      </c>
      <c r="G679" s="88" t="s">
        <v>19799</v>
      </c>
      <c r="H679" s="85" t="s">
        <v>18385</v>
      </c>
      <c r="I679" s="101">
        <v>44237</v>
      </c>
      <c r="J679" s="196">
        <v>0</v>
      </c>
      <c r="N679" s="66" t="s">
        <v>18412</v>
      </c>
      <c r="O679" s="651">
        <v>0</v>
      </c>
    </row>
    <row r="680" spans="1:15" ht="12.95" hidden="1">
      <c r="A680" s="86">
        <v>44246</v>
      </c>
      <c r="B680" s="124">
        <v>4540</v>
      </c>
      <c r="C680" s="30">
        <v>8512.5</v>
      </c>
      <c r="D680" s="116">
        <v>0</v>
      </c>
      <c r="E680" s="116">
        <f t="shared" si="20"/>
        <v>8512.5</v>
      </c>
      <c r="F680" s="116">
        <f t="shared" si="21"/>
        <v>1.875</v>
      </c>
      <c r="G680" s="88" t="s">
        <v>19800</v>
      </c>
      <c r="H680" s="85" t="s">
        <v>18386</v>
      </c>
      <c r="I680" s="101">
        <v>44237</v>
      </c>
      <c r="J680" s="196">
        <v>0</v>
      </c>
      <c r="N680" s="66" t="s">
        <v>18413</v>
      </c>
      <c r="O680" s="651">
        <v>0</v>
      </c>
    </row>
    <row r="681" spans="1:15" ht="12.95" hidden="1">
      <c r="A681" s="86">
        <v>44247</v>
      </c>
      <c r="B681" s="124">
        <v>131040</v>
      </c>
      <c r="C681" s="30">
        <v>221208.95999999999</v>
      </c>
      <c r="D681" s="116">
        <v>0</v>
      </c>
      <c r="E681" s="116">
        <f t="shared" si="20"/>
        <v>221208.95999999999</v>
      </c>
      <c r="F681" s="116">
        <f t="shared" si="21"/>
        <v>1.688102564102564</v>
      </c>
      <c r="G681" s="88" t="s">
        <v>19647</v>
      </c>
      <c r="H681" s="85" t="s">
        <v>18370</v>
      </c>
      <c r="I681" s="101">
        <v>44229</v>
      </c>
      <c r="J681" s="196">
        <v>0</v>
      </c>
      <c r="N681" s="66" t="s">
        <v>18414</v>
      </c>
      <c r="O681" s="651">
        <v>0</v>
      </c>
    </row>
    <row r="682" spans="1:15" ht="12.95" hidden="1">
      <c r="A682" s="86">
        <v>44249</v>
      </c>
      <c r="B682" s="124">
        <v>57600</v>
      </c>
      <c r="C682" s="30">
        <v>101376</v>
      </c>
      <c r="D682" s="116">
        <v>0</v>
      </c>
      <c r="E682" s="116">
        <f t="shared" si="20"/>
        <v>101376</v>
      </c>
      <c r="F682" s="116">
        <f t="shared" si="21"/>
        <v>1.76</v>
      </c>
      <c r="G682" s="88" t="s">
        <v>19656</v>
      </c>
      <c r="H682" s="85" t="s">
        <v>18372</v>
      </c>
      <c r="I682" s="101">
        <v>44229</v>
      </c>
      <c r="J682" s="196">
        <v>0</v>
      </c>
      <c r="N682" s="66" t="s">
        <v>18415</v>
      </c>
      <c r="O682" s="651">
        <v>0</v>
      </c>
    </row>
    <row r="683" spans="1:15" ht="12.95" hidden="1">
      <c r="A683" s="86">
        <v>44250</v>
      </c>
      <c r="B683" s="124">
        <v>8330</v>
      </c>
      <c r="C683" s="30">
        <f>13728.85*2.7103</f>
        <v>37209.302155000005</v>
      </c>
      <c r="D683" s="116">
        <v>5447.52</v>
      </c>
      <c r="E683" s="116">
        <f t="shared" si="20"/>
        <v>31761.782155000004</v>
      </c>
      <c r="F683" s="116">
        <f t="shared" si="21"/>
        <v>3.8129390342136862</v>
      </c>
      <c r="G683" s="88" t="s">
        <v>19742</v>
      </c>
      <c r="H683" s="85" t="s">
        <v>18391</v>
      </c>
      <c r="I683" s="101">
        <v>44239</v>
      </c>
      <c r="J683" s="196">
        <f>4373.44*25%</f>
        <v>1093.3599999999999</v>
      </c>
      <c r="N683" s="66" t="s">
        <v>18416</v>
      </c>
      <c r="O683" s="651">
        <v>0</v>
      </c>
    </row>
    <row r="684" spans="1:15" ht="12.95" hidden="1">
      <c r="A684" s="86">
        <v>44250</v>
      </c>
      <c r="B684" s="124">
        <v>26780</v>
      </c>
      <c r="C684" s="30">
        <f>19176.5*2.7103</f>
        <v>51974.067950000004</v>
      </c>
      <c r="D684" s="116">
        <v>5447.52</v>
      </c>
      <c r="E684" s="116">
        <f t="shared" si="20"/>
        <v>46526.547950000007</v>
      </c>
      <c r="F684" s="116">
        <f t="shared" si="21"/>
        <v>1.7373617606422707</v>
      </c>
      <c r="G684" s="88" t="s">
        <v>19742</v>
      </c>
      <c r="H684" s="85" t="s">
        <v>18390</v>
      </c>
      <c r="I684" s="101">
        <v>44239</v>
      </c>
      <c r="J684" s="196">
        <f>4373.44*25%</f>
        <v>1093.3599999999999</v>
      </c>
      <c r="N684" s="66" t="s">
        <v>18417</v>
      </c>
      <c r="O684" s="651">
        <v>0</v>
      </c>
    </row>
    <row r="685" spans="1:15" ht="12.95" hidden="1">
      <c r="A685" s="86">
        <v>44250</v>
      </c>
      <c r="B685" s="124">
        <v>9324</v>
      </c>
      <c r="C685" s="30">
        <v>20991.599999999999</v>
      </c>
      <c r="D685" s="116">
        <v>0</v>
      </c>
      <c r="E685" s="116">
        <f t="shared" si="20"/>
        <v>20991.599999999999</v>
      </c>
      <c r="F685" s="116">
        <f t="shared" si="21"/>
        <v>2.2513513513513512</v>
      </c>
      <c r="G685" s="88" t="s">
        <v>19801</v>
      </c>
      <c r="H685" s="85" t="s">
        <v>18382</v>
      </c>
      <c r="I685" s="101">
        <v>44235</v>
      </c>
      <c r="J685" s="196">
        <v>0</v>
      </c>
      <c r="N685" s="66" t="s">
        <v>18418</v>
      </c>
      <c r="O685" s="651">
        <v>0</v>
      </c>
    </row>
    <row r="686" spans="1:15" ht="12.95" hidden="1">
      <c r="A686" s="86">
        <v>44251</v>
      </c>
      <c r="B686" s="124">
        <v>60440</v>
      </c>
      <c r="C686" s="30">
        <f>48747.4*2.71425</f>
        <v>132312.63045</v>
      </c>
      <c r="D686" s="116">
        <v>28463.092000000001</v>
      </c>
      <c r="E686" s="116">
        <f t="shared" si="20"/>
        <v>103849.53844999999</v>
      </c>
      <c r="F686" s="116">
        <f t="shared" si="21"/>
        <v>1.7182253218067505</v>
      </c>
      <c r="G686" s="88" t="s">
        <v>17260</v>
      </c>
      <c r="H686" s="85" t="s">
        <v>18388</v>
      </c>
      <c r="I686" s="101">
        <v>44239</v>
      </c>
      <c r="J686" s="196">
        <f>25220.052*40%</f>
        <v>10088.0208</v>
      </c>
      <c r="N686" s="66" t="s">
        <v>18419</v>
      </c>
      <c r="O686" s="651">
        <v>0</v>
      </c>
    </row>
    <row r="687" spans="1:15" ht="12.95" hidden="1">
      <c r="A687" s="86">
        <v>44252</v>
      </c>
      <c r="B687" s="124">
        <v>78000</v>
      </c>
      <c r="C687" s="30">
        <v>110760</v>
      </c>
      <c r="D687" s="116">
        <v>0</v>
      </c>
      <c r="E687" s="116">
        <f t="shared" si="20"/>
        <v>110760</v>
      </c>
      <c r="F687" s="116">
        <f t="shared" si="21"/>
        <v>1.42</v>
      </c>
      <c r="G687" s="88" t="s">
        <v>19647</v>
      </c>
      <c r="H687" s="85" t="s">
        <v>18404</v>
      </c>
      <c r="I687" s="101">
        <v>44249</v>
      </c>
      <c r="J687" s="196">
        <v>0</v>
      </c>
      <c r="N687" s="66" t="s">
        <v>18420</v>
      </c>
      <c r="O687" s="651">
        <v>0</v>
      </c>
    </row>
    <row r="688" spans="1:15" ht="12.95" hidden="1">
      <c r="A688" s="86">
        <v>44254</v>
      </c>
      <c r="B688" s="124">
        <v>35940</v>
      </c>
      <c r="C688" s="30">
        <v>63919.8</v>
      </c>
      <c r="D688" s="116">
        <v>0</v>
      </c>
      <c r="E688" s="116">
        <f t="shared" si="20"/>
        <v>63919.8</v>
      </c>
      <c r="F688" s="116">
        <f t="shared" si="21"/>
        <v>1.7785141903171955</v>
      </c>
      <c r="G688" s="88" t="s">
        <v>19655</v>
      </c>
      <c r="H688" s="85" t="s">
        <v>18392</v>
      </c>
      <c r="I688" s="101">
        <v>44245</v>
      </c>
      <c r="J688" s="196">
        <v>0</v>
      </c>
      <c r="N688" s="66" t="s">
        <v>18421</v>
      </c>
      <c r="O688" s="651">
        <v>11208.834999999999</v>
      </c>
    </row>
    <row r="689" spans="1:15" ht="12.95" hidden="1">
      <c r="A689" s="86">
        <v>44256</v>
      </c>
      <c r="B689" s="124">
        <v>27336</v>
      </c>
      <c r="C689" s="30">
        <f>17909.96*3.2935</f>
        <v>58986.453259999995</v>
      </c>
      <c r="D689" s="116">
        <v>11182.12</v>
      </c>
      <c r="E689" s="116">
        <f t="shared" si="20"/>
        <v>47804.333259999992</v>
      </c>
      <c r="F689" s="116">
        <f t="shared" si="21"/>
        <v>1.7487684101551064</v>
      </c>
      <c r="G689" s="88" t="s">
        <v>19661</v>
      </c>
      <c r="H689" s="85" t="s">
        <v>18403</v>
      </c>
      <c r="I689" s="129">
        <v>44249</v>
      </c>
      <c r="J689" s="196">
        <f>10058.04*40%</f>
        <v>4023.2160000000003</v>
      </c>
      <c r="N689" s="66" t="s">
        <v>18422</v>
      </c>
      <c r="O689" s="651">
        <v>0</v>
      </c>
    </row>
    <row r="690" spans="1:15" ht="12.95" hidden="1">
      <c r="A690" s="86">
        <v>44256</v>
      </c>
      <c r="B690" s="124">
        <v>38400</v>
      </c>
      <c r="C690" s="30">
        <v>67296</v>
      </c>
      <c r="D690" s="116">
        <v>0</v>
      </c>
      <c r="E690" s="116">
        <f t="shared" si="20"/>
        <v>67296</v>
      </c>
      <c r="F690" s="116">
        <f t="shared" si="21"/>
        <v>1.7524999999999999</v>
      </c>
      <c r="G690" s="88" t="s">
        <v>19655</v>
      </c>
      <c r="H690" s="85" t="s">
        <v>18393</v>
      </c>
      <c r="I690" s="101">
        <v>44245</v>
      </c>
      <c r="J690" s="196">
        <v>0</v>
      </c>
      <c r="N690" s="66" t="s">
        <v>18423</v>
      </c>
      <c r="O690" s="651">
        <v>0</v>
      </c>
    </row>
    <row r="691" spans="1:15" ht="12.95" hidden="1">
      <c r="A691" s="86">
        <v>44257</v>
      </c>
      <c r="B691" s="124">
        <v>20464</v>
      </c>
      <c r="C691" s="30">
        <f>16495.68*3.2935</f>
        <v>54328.522080000002</v>
      </c>
      <c r="D691" s="116">
        <v>0</v>
      </c>
      <c r="E691" s="116">
        <f t="shared" si="20"/>
        <v>54328.522080000002</v>
      </c>
      <c r="F691" s="116">
        <f t="shared" si="21"/>
        <v>2.6548339562157937</v>
      </c>
      <c r="G691" s="88" t="s">
        <v>17263</v>
      </c>
      <c r="H691" s="85" t="s">
        <v>18402</v>
      </c>
      <c r="I691" s="129">
        <v>44249</v>
      </c>
      <c r="J691" s="196">
        <v>0</v>
      </c>
      <c r="N691" s="66" t="s">
        <v>18424</v>
      </c>
      <c r="O691" s="651">
        <v>0</v>
      </c>
    </row>
    <row r="692" spans="1:15" ht="12.95" hidden="1">
      <c r="A692" s="86">
        <v>44258</v>
      </c>
      <c r="B692" s="124">
        <v>19200</v>
      </c>
      <c r="C692" s="30">
        <v>33024</v>
      </c>
      <c r="D692" s="116">
        <v>0</v>
      </c>
      <c r="E692" s="116">
        <f t="shared" si="20"/>
        <v>33024</v>
      </c>
      <c r="F692" s="116">
        <f t="shared" si="21"/>
        <v>1.72</v>
      </c>
      <c r="G692" s="88" t="s">
        <v>19655</v>
      </c>
      <c r="H692" s="85" t="s">
        <v>18405</v>
      </c>
      <c r="I692" s="101">
        <v>44249</v>
      </c>
      <c r="J692" s="196">
        <v>0</v>
      </c>
      <c r="N692" s="66" t="s">
        <v>18425</v>
      </c>
      <c r="O692" s="651">
        <v>5328.6949999999997</v>
      </c>
    </row>
    <row r="693" spans="1:15" ht="12.95" hidden="1">
      <c r="A693" s="86">
        <v>44258</v>
      </c>
      <c r="B693" s="124">
        <v>40000</v>
      </c>
      <c r="C693" s="30">
        <f>30000*2.7108</f>
        <v>81324</v>
      </c>
      <c r="D693" s="116">
        <v>9725.4760000000006</v>
      </c>
      <c r="E693" s="116">
        <f t="shared" si="20"/>
        <v>71598.524000000005</v>
      </c>
      <c r="F693" s="116">
        <f t="shared" si="21"/>
        <v>1.7899631</v>
      </c>
      <c r="G693" s="88" t="s">
        <v>19802</v>
      </c>
      <c r="H693" s="85" t="s">
        <v>18399</v>
      </c>
      <c r="I693" s="101">
        <v>44249</v>
      </c>
      <c r="J693" s="196">
        <f>7526.016*25%</f>
        <v>1881.5039999999999</v>
      </c>
      <c r="N693" s="66" t="s">
        <v>18426</v>
      </c>
      <c r="O693" s="651">
        <v>0</v>
      </c>
    </row>
    <row r="694" spans="1:15" ht="12.95" hidden="1">
      <c r="A694" s="86">
        <v>44259</v>
      </c>
      <c r="B694" s="124">
        <v>126000</v>
      </c>
      <c r="C694" s="30">
        <f>75100*3.2861</f>
        <v>246786.11</v>
      </c>
      <c r="D694" s="116">
        <v>60484.728000000003</v>
      </c>
      <c r="E694" s="116">
        <f t="shared" si="20"/>
        <v>186301.38199999998</v>
      </c>
      <c r="F694" s="116">
        <f t="shared" si="21"/>
        <v>1.4785823968253966</v>
      </c>
      <c r="G694" s="88" t="s">
        <v>19651</v>
      </c>
      <c r="H694" s="85" t="s">
        <v>18389</v>
      </c>
      <c r="I694" s="101">
        <v>44239</v>
      </c>
      <c r="J694" s="196">
        <f>53739.048*40%</f>
        <v>21495.619200000001</v>
      </c>
      <c r="N694" s="66" t="s">
        <v>18427</v>
      </c>
      <c r="O694" s="651">
        <v>0</v>
      </c>
    </row>
    <row r="695" spans="1:15" ht="12.95" hidden="1">
      <c r="A695" s="86">
        <v>44259</v>
      </c>
      <c r="B695" s="124">
        <v>21600</v>
      </c>
      <c r="C695" s="30">
        <v>36504</v>
      </c>
      <c r="D695" s="116">
        <v>0</v>
      </c>
      <c r="E695" s="116">
        <f t="shared" si="20"/>
        <v>36504</v>
      </c>
      <c r="F695" s="116">
        <f t="shared" si="21"/>
        <v>1.69</v>
      </c>
      <c r="G695" s="88" t="s">
        <v>19655</v>
      </c>
      <c r="H695" s="85" t="s">
        <v>18406</v>
      </c>
      <c r="I695" s="101">
        <v>44251</v>
      </c>
      <c r="J695" s="196">
        <v>0</v>
      </c>
      <c r="N695" s="66" t="s">
        <v>18428</v>
      </c>
      <c r="O695" s="651">
        <v>0</v>
      </c>
    </row>
    <row r="696" spans="1:15" ht="12.95" hidden="1">
      <c r="A696" s="86">
        <v>44260</v>
      </c>
      <c r="B696" s="124">
        <v>22112</v>
      </c>
      <c r="C696" s="30">
        <f>19615.52*3.2861</f>
        <v>64458.560271999995</v>
      </c>
      <c r="D696" s="116">
        <v>11069.2</v>
      </c>
      <c r="E696" s="116">
        <f t="shared" si="20"/>
        <v>53389.360271999991</v>
      </c>
      <c r="F696" s="116">
        <f t="shared" si="21"/>
        <v>2.414497117945007</v>
      </c>
      <c r="G696" s="88" t="s">
        <v>19803</v>
      </c>
      <c r="H696" s="85" t="s">
        <v>18387</v>
      </c>
      <c r="I696" s="101">
        <v>44239</v>
      </c>
      <c r="J696" s="196">
        <f>10011*25%</f>
        <v>2502.75</v>
      </c>
      <c r="N696" s="66" t="s">
        <v>18429</v>
      </c>
      <c r="O696" s="651">
        <v>1388.68</v>
      </c>
    </row>
    <row r="697" spans="1:15" ht="12.95" hidden="1">
      <c r="A697" s="86">
        <v>44263</v>
      </c>
      <c r="B697" s="124">
        <v>24360</v>
      </c>
      <c r="C697" s="30">
        <f>18483.6*2.7244</f>
        <v>50356.719839999998</v>
      </c>
      <c r="D697" s="116">
        <v>4777.08</v>
      </c>
      <c r="E697" s="116">
        <f t="shared" si="20"/>
        <v>45579.639839999996</v>
      </c>
      <c r="F697" s="116">
        <f t="shared" si="21"/>
        <v>1.8710853793103446</v>
      </c>
      <c r="G697" s="88" t="s">
        <v>19787</v>
      </c>
      <c r="H697" s="85" t="s">
        <v>18409</v>
      </c>
      <c r="I697" s="101">
        <v>44252</v>
      </c>
      <c r="J697" s="196">
        <f>3692.52*25%</f>
        <v>923.13</v>
      </c>
      <c r="N697" s="66" t="s">
        <v>18430</v>
      </c>
      <c r="O697" s="651">
        <v>0</v>
      </c>
    </row>
    <row r="698" spans="1:15" ht="12.95" hidden="1">
      <c r="A698" s="86">
        <v>44263</v>
      </c>
      <c r="B698" s="124">
        <v>16800</v>
      </c>
      <c r="C698" s="30">
        <v>22982.400000000001</v>
      </c>
      <c r="D698" s="116">
        <v>0</v>
      </c>
      <c r="E698" s="116">
        <f t="shared" si="20"/>
        <v>22982.400000000001</v>
      </c>
      <c r="F698" s="116">
        <f t="shared" si="21"/>
        <v>1.3680000000000001</v>
      </c>
      <c r="G698" s="88" t="s">
        <v>19744</v>
      </c>
      <c r="H698" s="85" t="s">
        <v>18410</v>
      </c>
      <c r="I698" s="101">
        <v>44256</v>
      </c>
      <c r="J698" s="196">
        <v>0</v>
      </c>
      <c r="N698" s="66" t="s">
        <v>18431</v>
      </c>
      <c r="O698" s="651">
        <v>139365.04</v>
      </c>
    </row>
    <row r="699" spans="1:15" ht="12.95" hidden="1">
      <c r="A699" s="86">
        <v>44264</v>
      </c>
      <c r="B699" s="124">
        <v>22008</v>
      </c>
      <c r="C699" s="30">
        <f>12984.72*3.2897</f>
        <v>42715.833383999998</v>
      </c>
      <c r="D699" s="116">
        <v>7630.0640000000003</v>
      </c>
      <c r="E699" s="116">
        <f t="shared" si="20"/>
        <v>35085.769383999999</v>
      </c>
      <c r="F699" s="116">
        <f t="shared" si="21"/>
        <v>1.5942279800072701</v>
      </c>
      <c r="G699" s="88" t="s">
        <v>19804</v>
      </c>
      <c r="H699" s="85" t="s">
        <v>18408</v>
      </c>
      <c r="I699" s="101">
        <v>44252</v>
      </c>
      <c r="J699" s="196">
        <f>6485.184*40%</f>
        <v>2594.0736000000002</v>
      </c>
      <c r="N699" s="66" t="s">
        <v>18432</v>
      </c>
      <c r="O699" s="651">
        <v>0</v>
      </c>
    </row>
    <row r="700" spans="1:15" ht="12.95" hidden="1">
      <c r="A700" s="86">
        <v>44264</v>
      </c>
      <c r="B700" s="124">
        <v>382752</v>
      </c>
      <c r="C700" s="30">
        <f>196242.58*3.2897</f>
        <v>645579.21542599995</v>
      </c>
      <c r="D700" s="116">
        <v>138016</v>
      </c>
      <c r="E700" s="116">
        <f t="shared" si="20"/>
        <v>507563.21542599995</v>
      </c>
      <c r="F700" s="116">
        <f t="shared" si="21"/>
        <v>1.3260889960757878</v>
      </c>
      <c r="G700" s="88" t="s">
        <v>19804</v>
      </c>
      <c r="H700" s="85" t="s">
        <v>18407</v>
      </c>
      <c r="I700" s="101">
        <v>44252</v>
      </c>
      <c r="J700" s="196">
        <f>122531.28*40%</f>
        <v>49012.512000000002</v>
      </c>
      <c r="N700" s="66" t="s">
        <v>18433</v>
      </c>
      <c r="O700" s="651">
        <v>134894.06</v>
      </c>
    </row>
    <row r="701" spans="1:15" ht="12.95" hidden="1">
      <c r="A701" s="86">
        <v>44264</v>
      </c>
      <c r="B701" s="124">
        <v>18480</v>
      </c>
      <c r="C701" s="30">
        <f>22485.6*2.7244</f>
        <v>61259.768640000002</v>
      </c>
      <c r="D701" s="116">
        <v>1510.12</v>
      </c>
      <c r="E701" s="116">
        <f t="shared" si="20"/>
        <v>59749.648639999999</v>
      </c>
      <c r="F701" s="116">
        <f t="shared" si="21"/>
        <v>3.2332060952380952</v>
      </c>
      <c r="G701" s="88" t="s">
        <v>19653</v>
      </c>
      <c r="H701" s="85" t="s">
        <v>18411</v>
      </c>
      <c r="I701" s="101">
        <v>44256</v>
      </c>
      <c r="J701" s="196">
        <v>0</v>
      </c>
      <c r="N701" s="66" t="s">
        <v>18434</v>
      </c>
      <c r="O701" s="651">
        <v>0</v>
      </c>
    </row>
    <row r="702" spans="1:15" ht="12.95" hidden="1">
      <c r="A702" s="86">
        <v>44265</v>
      </c>
      <c r="B702" s="124">
        <v>38400</v>
      </c>
      <c r="C702" s="30">
        <v>67968</v>
      </c>
      <c r="D702" s="116">
        <v>0</v>
      </c>
      <c r="E702" s="116">
        <f t="shared" si="20"/>
        <v>67968</v>
      </c>
      <c r="F702" s="116">
        <f t="shared" si="21"/>
        <v>1.77</v>
      </c>
      <c r="G702" s="88" t="s">
        <v>19655</v>
      </c>
      <c r="H702" s="85" t="s">
        <v>18395</v>
      </c>
      <c r="I702" s="101">
        <v>44249</v>
      </c>
      <c r="J702" s="196">
        <v>0</v>
      </c>
      <c r="N702" s="66" t="s">
        <v>18435</v>
      </c>
      <c r="O702" s="651">
        <v>25422.6</v>
      </c>
    </row>
    <row r="703" spans="1:15" ht="12.95" hidden="1">
      <c r="A703" s="86">
        <v>44265</v>
      </c>
      <c r="B703" s="124">
        <v>54600</v>
      </c>
      <c r="C703" s="30">
        <v>74256</v>
      </c>
      <c r="D703" s="116">
        <v>0</v>
      </c>
      <c r="E703" s="116">
        <f t="shared" si="20"/>
        <v>74256</v>
      </c>
      <c r="F703" s="116">
        <f t="shared" si="21"/>
        <v>1.36</v>
      </c>
      <c r="G703" s="88" t="s">
        <v>19805</v>
      </c>
      <c r="H703" s="85" t="s">
        <v>18397</v>
      </c>
      <c r="I703" s="101">
        <v>44249</v>
      </c>
      <c r="J703" s="196">
        <v>0</v>
      </c>
      <c r="N703" s="66" t="s">
        <v>18436</v>
      </c>
      <c r="O703" s="651">
        <v>25422.6</v>
      </c>
    </row>
    <row r="704" spans="1:15" ht="12.95" hidden="1">
      <c r="A704" s="86">
        <v>44265</v>
      </c>
      <c r="B704" s="124">
        <v>107940</v>
      </c>
      <c r="C704" s="30">
        <v>172305.96</v>
      </c>
      <c r="D704" s="116">
        <v>0</v>
      </c>
      <c r="E704" s="116">
        <f t="shared" si="20"/>
        <v>172305.96</v>
      </c>
      <c r="F704" s="116">
        <f t="shared" si="21"/>
        <v>1.5963123957754308</v>
      </c>
      <c r="G704" s="88" t="s">
        <v>19655</v>
      </c>
      <c r="H704" s="85" t="s">
        <v>18394</v>
      </c>
      <c r="I704" s="101">
        <v>44249</v>
      </c>
      <c r="J704" s="196">
        <v>0</v>
      </c>
      <c r="N704" s="66" t="s">
        <v>18437</v>
      </c>
      <c r="O704" s="651">
        <v>25422.6</v>
      </c>
    </row>
    <row r="705" spans="1:15" ht="12.95" hidden="1">
      <c r="A705" s="86">
        <v>44267</v>
      </c>
      <c r="B705" s="124">
        <v>10036</v>
      </c>
      <c r="C705" s="30">
        <v>19591</v>
      </c>
      <c r="D705" s="116">
        <v>0</v>
      </c>
      <c r="E705" s="116">
        <f t="shared" si="20"/>
        <v>19591</v>
      </c>
      <c r="F705" s="116">
        <f t="shared" si="21"/>
        <v>1.9520725388601037</v>
      </c>
      <c r="G705" s="88" t="s">
        <v>19806</v>
      </c>
      <c r="H705" s="85" t="s">
        <v>18413</v>
      </c>
      <c r="I705" s="101">
        <v>44263</v>
      </c>
      <c r="J705" s="196">
        <v>0</v>
      </c>
      <c r="N705" s="66" t="s">
        <v>18438</v>
      </c>
      <c r="O705" s="651">
        <v>0</v>
      </c>
    </row>
    <row r="706" spans="1:15" ht="12.95" hidden="1">
      <c r="A706" s="86">
        <v>44268</v>
      </c>
      <c r="B706" s="124">
        <v>280000</v>
      </c>
      <c r="C706" s="30">
        <v>378000</v>
      </c>
      <c r="D706" s="116">
        <v>0</v>
      </c>
      <c r="E706" s="116">
        <f t="shared" si="20"/>
        <v>378000</v>
      </c>
      <c r="F706" s="116">
        <f t="shared" si="21"/>
        <v>1.35</v>
      </c>
      <c r="G706" s="88" t="s">
        <v>19652</v>
      </c>
      <c r="H706" s="85" t="s">
        <v>18396</v>
      </c>
      <c r="I706" s="101">
        <v>44249</v>
      </c>
      <c r="J706" s="196">
        <v>0</v>
      </c>
      <c r="N706" s="66" t="s">
        <v>18439</v>
      </c>
      <c r="O706" s="651">
        <v>0</v>
      </c>
    </row>
    <row r="707" spans="1:15" ht="12.95" hidden="1">
      <c r="A707" s="86">
        <v>44270</v>
      </c>
      <c r="B707" s="124">
        <v>11076</v>
      </c>
      <c r="C707" s="30">
        <v>25574.400000000001</v>
      </c>
      <c r="D707" s="116">
        <v>0</v>
      </c>
      <c r="E707" s="116">
        <f t="shared" si="20"/>
        <v>25574.400000000001</v>
      </c>
      <c r="F707" s="116">
        <f t="shared" si="21"/>
        <v>2.3089924160346698</v>
      </c>
      <c r="G707" s="88" t="s">
        <v>19807</v>
      </c>
      <c r="H707" s="85" t="s">
        <v>18415</v>
      </c>
      <c r="I707" s="101">
        <v>44263</v>
      </c>
      <c r="J707" s="196">
        <v>0</v>
      </c>
      <c r="N707" s="66" t="s">
        <v>18441</v>
      </c>
      <c r="O707" s="651">
        <v>9457.14</v>
      </c>
    </row>
    <row r="708" spans="1:15" ht="12.95" hidden="1">
      <c r="A708" s="86">
        <v>44270</v>
      </c>
      <c r="B708" s="124">
        <v>20000</v>
      </c>
      <c r="C708" s="131">
        <v>35200</v>
      </c>
      <c r="D708" s="116">
        <v>0</v>
      </c>
      <c r="E708" s="116">
        <f t="shared" si="20"/>
        <v>35200</v>
      </c>
      <c r="F708" s="116">
        <f t="shared" si="21"/>
        <v>1.76</v>
      </c>
      <c r="G708" s="88" t="s">
        <v>19808</v>
      </c>
      <c r="H708" s="85" t="s">
        <v>18412</v>
      </c>
      <c r="I708" s="101">
        <v>44260</v>
      </c>
      <c r="J708" s="196">
        <v>0</v>
      </c>
      <c r="N708" s="66" t="s">
        <v>18442</v>
      </c>
      <c r="O708" s="651">
        <v>0</v>
      </c>
    </row>
    <row r="709" spans="1:15" ht="12.95" hidden="1">
      <c r="A709" s="86">
        <v>44271</v>
      </c>
      <c r="B709" s="124">
        <v>27336</v>
      </c>
      <c r="C709" s="30">
        <f>17917.16*3.2808</f>
        <v>58782.618527999999</v>
      </c>
      <c r="D709" s="116">
        <v>11208.834999999999</v>
      </c>
      <c r="E709" s="116">
        <f t="shared" si="20"/>
        <v>47573.783528</v>
      </c>
      <c r="F709" s="116">
        <f t="shared" si="21"/>
        <v>1.7403344866842259</v>
      </c>
      <c r="G709" s="88" t="s">
        <v>19661</v>
      </c>
      <c r="H709" s="85" t="s">
        <v>18421</v>
      </c>
      <c r="I709" s="101">
        <v>44267</v>
      </c>
      <c r="J709" s="196">
        <f>10061.055*40%</f>
        <v>4024.4220000000005</v>
      </c>
      <c r="N709" s="66" t="s">
        <v>18443</v>
      </c>
      <c r="O709" s="651">
        <v>0</v>
      </c>
    </row>
    <row r="710" spans="1:15" ht="12.95" hidden="1">
      <c r="A710" s="86">
        <v>44272</v>
      </c>
      <c r="B710" s="124">
        <v>20750</v>
      </c>
      <c r="C710" s="30">
        <v>33822.5</v>
      </c>
      <c r="D710" s="116">
        <v>0</v>
      </c>
      <c r="E710" s="116">
        <f t="shared" si="20"/>
        <v>33822.5</v>
      </c>
      <c r="F710" s="116">
        <f t="shared" si="21"/>
        <v>1.63</v>
      </c>
      <c r="G710" s="88" t="s">
        <v>19655</v>
      </c>
      <c r="H710" s="85" t="s">
        <v>18417</v>
      </c>
      <c r="I710" s="101">
        <v>44267</v>
      </c>
      <c r="J710" s="196">
        <v>0</v>
      </c>
      <c r="N710" s="66" t="s">
        <v>18444</v>
      </c>
      <c r="O710" s="651">
        <v>0</v>
      </c>
    </row>
    <row r="711" spans="1:15" ht="12.95" hidden="1">
      <c r="A711" s="86">
        <v>44272</v>
      </c>
      <c r="B711" s="124">
        <v>40000</v>
      </c>
      <c r="C711" s="30">
        <v>72000</v>
      </c>
      <c r="D711" s="116">
        <v>0</v>
      </c>
      <c r="E711" s="116">
        <f t="shared" si="20"/>
        <v>72000</v>
      </c>
      <c r="F711" s="116">
        <f t="shared" si="21"/>
        <v>1.8</v>
      </c>
      <c r="G711" s="88" t="s">
        <v>19809</v>
      </c>
      <c r="H711" s="85" t="s">
        <v>18400</v>
      </c>
      <c r="I711" s="101">
        <v>44249</v>
      </c>
      <c r="J711" s="196">
        <v>0</v>
      </c>
      <c r="N711" s="66" t="s">
        <v>18445</v>
      </c>
      <c r="O711" s="651">
        <v>0</v>
      </c>
    </row>
    <row r="712" spans="1:15" ht="12.95" hidden="1">
      <c r="A712" s="86">
        <v>44273</v>
      </c>
      <c r="B712" s="124">
        <v>5460</v>
      </c>
      <c r="C712" s="30">
        <v>14117.4</v>
      </c>
      <c r="D712" s="116">
        <v>0</v>
      </c>
      <c r="E712" s="116">
        <f t="shared" ref="E712:E753" si="22">(C712-D712)</f>
        <v>14117.4</v>
      </c>
      <c r="F712" s="116">
        <f t="shared" ref="F712:F753" si="23">(E712/B712)</f>
        <v>2.5856043956043955</v>
      </c>
      <c r="G712" s="88" t="s">
        <v>19810</v>
      </c>
      <c r="H712" s="85" t="s">
        <v>18416</v>
      </c>
      <c r="I712" s="101">
        <v>44263</v>
      </c>
      <c r="J712" s="196">
        <v>0</v>
      </c>
      <c r="N712" s="66" t="s">
        <v>18446</v>
      </c>
      <c r="O712" s="651">
        <v>7327.6779999999999</v>
      </c>
    </row>
    <row r="713" spans="1:15" ht="12.95" hidden="1">
      <c r="A713" s="86">
        <v>44273</v>
      </c>
      <c r="B713" s="124">
        <v>156000</v>
      </c>
      <c r="C713" s="30">
        <v>221520</v>
      </c>
      <c r="D713" s="116">
        <v>0</v>
      </c>
      <c r="E713" s="116">
        <f t="shared" si="22"/>
        <v>221520</v>
      </c>
      <c r="F713" s="116">
        <f t="shared" si="23"/>
        <v>1.42</v>
      </c>
      <c r="G713" s="88" t="s">
        <v>19647</v>
      </c>
      <c r="H713" s="85" t="s">
        <v>18423</v>
      </c>
      <c r="I713" s="101">
        <v>44267</v>
      </c>
      <c r="J713" s="196">
        <v>0</v>
      </c>
      <c r="N713" s="66" t="s">
        <v>18447</v>
      </c>
      <c r="O713" s="651">
        <v>0</v>
      </c>
    </row>
    <row r="714" spans="1:15" ht="12.95" hidden="1">
      <c r="A714" s="86">
        <v>44274</v>
      </c>
      <c r="B714" s="124">
        <v>23460</v>
      </c>
      <c r="C714" s="30">
        <f>17065*2.75195</f>
        <v>46962.026749999997</v>
      </c>
      <c r="D714" s="116">
        <v>0</v>
      </c>
      <c r="E714" s="116">
        <f t="shared" si="22"/>
        <v>46962.026749999997</v>
      </c>
      <c r="F714" s="116">
        <f t="shared" si="23"/>
        <v>2.0017914215686274</v>
      </c>
      <c r="G714" s="88" t="s">
        <v>19811</v>
      </c>
      <c r="H714" s="85" t="s">
        <v>18418</v>
      </c>
      <c r="I714" s="101">
        <v>44267</v>
      </c>
      <c r="J714" s="196">
        <v>0</v>
      </c>
      <c r="N714" s="66" t="s">
        <v>18448</v>
      </c>
      <c r="O714" s="651">
        <v>0</v>
      </c>
    </row>
    <row r="715" spans="1:15" ht="12.95" hidden="1">
      <c r="A715" s="86">
        <v>44274</v>
      </c>
      <c r="B715" s="124">
        <v>10760</v>
      </c>
      <c r="C715" s="30">
        <v>42312</v>
      </c>
      <c r="D715" s="116">
        <v>0</v>
      </c>
      <c r="E715" s="116">
        <f t="shared" si="22"/>
        <v>42312</v>
      </c>
      <c r="F715" s="116">
        <f t="shared" si="23"/>
        <v>3.9323420074349444</v>
      </c>
      <c r="G715" s="88" t="s">
        <v>19801</v>
      </c>
      <c r="H715" s="85" t="s">
        <v>18414</v>
      </c>
      <c r="I715" s="101">
        <v>44263</v>
      </c>
      <c r="J715" s="196">
        <v>0</v>
      </c>
      <c r="N715" s="66" t="s">
        <v>18449</v>
      </c>
      <c r="O715" s="651">
        <v>0</v>
      </c>
    </row>
    <row r="716" spans="1:15" ht="12.95" hidden="1">
      <c r="A716" s="86">
        <v>44274</v>
      </c>
      <c r="B716" s="124">
        <v>100000</v>
      </c>
      <c r="C716" s="30">
        <v>140000</v>
      </c>
      <c r="D716" s="116">
        <v>0</v>
      </c>
      <c r="E716" s="116">
        <f t="shared" si="22"/>
        <v>140000</v>
      </c>
      <c r="F716" s="116">
        <f t="shared" si="23"/>
        <v>1.4</v>
      </c>
      <c r="G716" s="88" t="s">
        <v>19652</v>
      </c>
      <c r="H716" s="85" t="s">
        <v>18430</v>
      </c>
      <c r="I716" s="101">
        <v>44267</v>
      </c>
      <c r="J716" s="196">
        <v>0</v>
      </c>
      <c r="N716" s="66" t="s">
        <v>18450</v>
      </c>
      <c r="O716" s="651">
        <v>0</v>
      </c>
    </row>
    <row r="717" spans="1:15" ht="12.95" hidden="1">
      <c r="A717" s="86">
        <v>44274</v>
      </c>
      <c r="B717" s="124">
        <v>88032</v>
      </c>
      <c r="C717" s="30">
        <v>149654.39999999999</v>
      </c>
      <c r="D717" s="116">
        <v>0</v>
      </c>
      <c r="E717" s="116">
        <f t="shared" si="22"/>
        <v>149654.39999999999</v>
      </c>
      <c r="F717" s="116">
        <f t="shared" si="23"/>
        <v>1.7</v>
      </c>
      <c r="G717" s="88" t="s">
        <v>19647</v>
      </c>
      <c r="H717" s="85" t="s">
        <v>18420</v>
      </c>
      <c r="I717" s="101">
        <v>44267</v>
      </c>
      <c r="J717" s="196">
        <v>0</v>
      </c>
      <c r="N717" s="66" t="s">
        <v>18451</v>
      </c>
      <c r="O717" s="651">
        <v>0</v>
      </c>
    </row>
    <row r="718" spans="1:15" ht="12.95" hidden="1">
      <c r="A718" s="86">
        <v>44277</v>
      </c>
      <c r="B718" s="124">
        <v>65100</v>
      </c>
      <c r="C718" s="30">
        <f>77902*2.75075</f>
        <v>214288.9265</v>
      </c>
      <c r="D718" s="116">
        <v>0</v>
      </c>
      <c r="E718" s="116">
        <f t="shared" si="22"/>
        <v>214288.9265</v>
      </c>
      <c r="F718" s="116">
        <f t="shared" si="23"/>
        <v>3.2916885791090631</v>
      </c>
      <c r="G718" s="88" t="s">
        <v>19688</v>
      </c>
      <c r="H718" s="85" t="s">
        <v>18428</v>
      </c>
      <c r="I718" s="101">
        <v>44267</v>
      </c>
      <c r="J718" s="196">
        <v>0</v>
      </c>
      <c r="N718" s="66" t="s">
        <v>18452</v>
      </c>
      <c r="O718" s="651">
        <v>5727.33</v>
      </c>
    </row>
    <row r="719" spans="1:15" ht="12.95" hidden="1">
      <c r="A719" s="86">
        <v>44278</v>
      </c>
      <c r="B719" s="124">
        <v>115200</v>
      </c>
      <c r="C719" s="30">
        <v>202176</v>
      </c>
      <c r="D719" s="116">
        <v>0</v>
      </c>
      <c r="E719" s="116">
        <f t="shared" si="22"/>
        <v>202176</v>
      </c>
      <c r="F719" s="116">
        <f t="shared" si="23"/>
        <v>1.7549999999999999</v>
      </c>
      <c r="G719" s="88" t="s">
        <v>19655</v>
      </c>
      <c r="H719" s="85" t="s">
        <v>18427</v>
      </c>
      <c r="I719" s="101">
        <v>44267</v>
      </c>
      <c r="J719" s="196">
        <v>0</v>
      </c>
      <c r="N719" s="66" t="s">
        <v>18453</v>
      </c>
      <c r="O719" s="651">
        <v>34254.86</v>
      </c>
    </row>
    <row r="720" spans="1:15" ht="12.95" hidden="1">
      <c r="A720" s="86">
        <v>44280</v>
      </c>
      <c r="B720" s="124">
        <v>20000</v>
      </c>
      <c r="C720" s="30">
        <f>15200*2.75885</f>
        <v>41934.519999999997</v>
      </c>
      <c r="D720" s="116">
        <v>5328.6949999999997</v>
      </c>
      <c r="E720" s="116">
        <f t="shared" si="22"/>
        <v>36605.824999999997</v>
      </c>
      <c r="F720" s="116">
        <f t="shared" si="23"/>
        <v>1.8302912499999999</v>
      </c>
      <c r="G720" s="88" t="s">
        <v>19812</v>
      </c>
      <c r="H720" s="85" t="s">
        <v>18425</v>
      </c>
      <c r="I720" s="101">
        <v>44267</v>
      </c>
      <c r="J720" s="196">
        <f>4213.715*25%</f>
        <v>1053.42875</v>
      </c>
      <c r="N720" s="66" t="s">
        <v>18454</v>
      </c>
      <c r="O720" s="651">
        <v>89563.24</v>
      </c>
    </row>
    <row r="721" spans="1:15" ht="12.95" hidden="1">
      <c r="A721" s="86">
        <v>44280</v>
      </c>
      <c r="B721" s="124">
        <v>635.6</v>
      </c>
      <c r="C721" s="30">
        <v>1226.7080000000001</v>
      </c>
      <c r="D721" s="116">
        <v>0</v>
      </c>
      <c r="E721" s="116">
        <f t="shared" si="22"/>
        <v>1226.7080000000001</v>
      </c>
      <c r="F721" s="116">
        <f t="shared" si="23"/>
        <v>1.9300000000000002</v>
      </c>
      <c r="G721" s="88" t="s">
        <v>19773</v>
      </c>
      <c r="H721" s="85" t="s">
        <v>18426</v>
      </c>
      <c r="I721" s="101">
        <v>44267</v>
      </c>
      <c r="J721" s="196">
        <v>0</v>
      </c>
      <c r="N721" s="66" t="s">
        <v>18455</v>
      </c>
      <c r="O721" s="651">
        <v>12329.254999999999</v>
      </c>
    </row>
    <row r="722" spans="1:15" ht="12.95" hidden="1">
      <c r="A722" s="86">
        <v>44280</v>
      </c>
      <c r="B722" s="124">
        <v>96000</v>
      </c>
      <c r="C722" s="30">
        <v>164640</v>
      </c>
      <c r="D722" s="116">
        <v>0</v>
      </c>
      <c r="E722" s="116">
        <f t="shared" si="22"/>
        <v>164640</v>
      </c>
      <c r="F722" s="116">
        <f t="shared" si="23"/>
        <v>1.7150000000000001</v>
      </c>
      <c r="G722" s="88" t="s">
        <v>19656</v>
      </c>
      <c r="H722" s="85" t="s">
        <v>18422</v>
      </c>
      <c r="I722" s="101">
        <v>44267</v>
      </c>
      <c r="J722" s="196">
        <v>0</v>
      </c>
      <c r="N722" s="66" t="s">
        <v>18456</v>
      </c>
      <c r="O722" s="651">
        <v>9070.08</v>
      </c>
    </row>
    <row r="723" spans="1:15" ht="12.95" hidden="1">
      <c r="A723" s="86">
        <v>44281</v>
      </c>
      <c r="B723" s="124">
        <v>1000800</v>
      </c>
      <c r="C723" s="30">
        <f>630468*2.75075</f>
        <v>1734259.851</v>
      </c>
      <c r="D723" s="197">
        <v>139365.04</v>
      </c>
      <c r="E723" s="116">
        <f t="shared" si="22"/>
        <v>1594894.811</v>
      </c>
      <c r="F723" s="116">
        <f t="shared" si="23"/>
        <v>1.5936199150679455</v>
      </c>
      <c r="G723" s="88" t="s">
        <v>17234</v>
      </c>
      <c r="H723" s="85" t="s">
        <v>18431</v>
      </c>
      <c r="I723" s="101">
        <v>44272</v>
      </c>
      <c r="J723" s="198">
        <f>98713.44*50%</f>
        <v>49356.72</v>
      </c>
      <c r="N723" s="66" t="s">
        <v>18457</v>
      </c>
      <c r="O723" s="651">
        <v>0</v>
      </c>
    </row>
    <row r="724" spans="1:15" ht="12.95" hidden="1">
      <c r="A724" s="86">
        <v>44286</v>
      </c>
      <c r="B724" s="124">
        <v>335904</v>
      </c>
      <c r="C724" s="30">
        <f>205267.32*2.78275</f>
        <v>571207.63473000005</v>
      </c>
      <c r="D724" s="197">
        <v>134894.06</v>
      </c>
      <c r="E724" s="116">
        <f t="shared" si="22"/>
        <v>436313.57473000005</v>
      </c>
      <c r="F724" s="116">
        <f t="shared" si="23"/>
        <v>1.2989234267231116</v>
      </c>
      <c r="G724" s="88" t="s">
        <v>19662</v>
      </c>
      <c r="H724" s="85" t="s">
        <v>18433</v>
      </c>
      <c r="I724" s="101">
        <v>44280</v>
      </c>
      <c r="J724" s="198">
        <f>120219.3*40%</f>
        <v>48087.72</v>
      </c>
      <c r="N724" s="66" t="s">
        <v>18458</v>
      </c>
      <c r="O724" s="651">
        <v>0</v>
      </c>
    </row>
    <row r="725" spans="1:15" ht="12.95" hidden="1">
      <c r="A725" s="86">
        <v>44287</v>
      </c>
      <c r="B725" s="124">
        <v>15150</v>
      </c>
      <c r="C725" s="30">
        <f>14271*2.7876</f>
        <v>39781.839599999999</v>
      </c>
      <c r="D725" s="116">
        <v>1388.68</v>
      </c>
      <c r="E725" s="116">
        <f t="shared" si="22"/>
        <v>38393.159599999999</v>
      </c>
      <c r="F725" s="116">
        <f t="shared" si="23"/>
        <v>2.5342019537953795</v>
      </c>
      <c r="G725" s="88" t="s">
        <v>19672</v>
      </c>
      <c r="H725" s="85" t="s">
        <v>18429</v>
      </c>
      <c r="I725" s="86">
        <v>44267</v>
      </c>
      <c r="J725" s="196">
        <v>0</v>
      </c>
      <c r="M725" s="75"/>
      <c r="N725" s="66" t="s">
        <v>18459</v>
      </c>
      <c r="O725" s="651">
        <v>0</v>
      </c>
    </row>
    <row r="726" spans="1:15" ht="12.95" hidden="1">
      <c r="A726" s="86">
        <v>44288</v>
      </c>
      <c r="B726" s="124">
        <v>20157.599999999999</v>
      </c>
      <c r="C726" s="30">
        <v>35880.527999999998</v>
      </c>
      <c r="D726" s="116">
        <v>0</v>
      </c>
      <c r="E726" s="116">
        <f t="shared" si="22"/>
        <v>35880.527999999998</v>
      </c>
      <c r="F726" s="116">
        <f t="shared" si="23"/>
        <v>1.78</v>
      </c>
      <c r="G726" s="88" t="s">
        <v>19776</v>
      </c>
      <c r="H726" s="85" t="s">
        <v>18401</v>
      </c>
      <c r="I726" s="86">
        <v>44249</v>
      </c>
      <c r="J726" s="196">
        <v>0</v>
      </c>
      <c r="M726" s="75"/>
      <c r="N726" s="66" t="s">
        <v>18460</v>
      </c>
      <c r="O726" s="651">
        <v>0</v>
      </c>
    </row>
    <row r="727" spans="1:15" ht="12.95" hidden="1">
      <c r="A727" s="86">
        <v>44289</v>
      </c>
      <c r="B727" s="124">
        <v>40000</v>
      </c>
      <c r="C727" s="30">
        <f>30000*2.78765</f>
        <v>83629.5</v>
      </c>
      <c r="D727" s="116">
        <v>9457.14</v>
      </c>
      <c r="E727" s="116">
        <f t="shared" si="22"/>
        <v>74172.36</v>
      </c>
      <c r="F727" s="116">
        <f t="shared" si="23"/>
        <v>1.854309</v>
      </c>
      <c r="G727" s="88" t="s">
        <v>19813</v>
      </c>
      <c r="H727" s="85" t="s">
        <v>18441</v>
      </c>
      <c r="I727" s="86">
        <v>44284</v>
      </c>
      <c r="J727" s="196">
        <f>7237.12*25%</f>
        <v>1809.28</v>
      </c>
      <c r="M727" s="75"/>
      <c r="N727" s="66" t="s">
        <v>18461</v>
      </c>
      <c r="O727" s="651">
        <v>0</v>
      </c>
    </row>
    <row r="728" spans="1:15" ht="12.95" hidden="1">
      <c r="A728" s="86">
        <v>44291</v>
      </c>
      <c r="B728" s="124">
        <v>20157.599999999999</v>
      </c>
      <c r="C728" s="30">
        <v>35880.527999999998</v>
      </c>
      <c r="D728" s="116">
        <v>0</v>
      </c>
      <c r="E728" s="116">
        <f t="shared" si="22"/>
        <v>35880.527999999998</v>
      </c>
      <c r="F728" s="116">
        <f t="shared" si="23"/>
        <v>1.78</v>
      </c>
      <c r="G728" s="88" t="s">
        <v>19776</v>
      </c>
      <c r="H728" s="85" t="s">
        <v>18442</v>
      </c>
      <c r="I728" s="86">
        <v>44249</v>
      </c>
      <c r="J728" s="196">
        <v>0</v>
      </c>
      <c r="M728" s="75"/>
      <c r="N728" s="66" t="s">
        <v>18462</v>
      </c>
      <c r="O728" s="651">
        <v>0</v>
      </c>
    </row>
    <row r="729" spans="1:15" ht="12.95" hidden="1">
      <c r="A729" s="81">
        <v>44292</v>
      </c>
      <c r="B729" s="124">
        <v>88032</v>
      </c>
      <c r="C729" s="30">
        <v>124125.12</v>
      </c>
      <c r="D729" s="116">
        <v>0</v>
      </c>
      <c r="E729" s="116">
        <f t="shared" si="22"/>
        <v>124125.12</v>
      </c>
      <c r="F729" s="116">
        <f t="shared" si="23"/>
        <v>1.41</v>
      </c>
      <c r="G729" s="88" t="s">
        <v>19647</v>
      </c>
      <c r="H729" s="85" t="s">
        <v>18434</v>
      </c>
      <c r="I729" s="86">
        <v>44282</v>
      </c>
      <c r="J729" s="196">
        <v>0</v>
      </c>
      <c r="M729" s="75"/>
      <c r="N729" s="66" t="s">
        <v>18463</v>
      </c>
      <c r="O729" s="651">
        <v>0</v>
      </c>
    </row>
    <row r="730" spans="1:15" ht="12.95" hidden="1">
      <c r="A730" s="81">
        <v>44293</v>
      </c>
      <c r="B730" s="124">
        <v>38150</v>
      </c>
      <c r="C730" s="30">
        <v>68450.5</v>
      </c>
      <c r="D730" s="116">
        <v>0</v>
      </c>
      <c r="E730" s="116">
        <f t="shared" si="22"/>
        <v>68450.5</v>
      </c>
      <c r="F730" s="116">
        <f t="shared" si="23"/>
        <v>1.7942463958060288</v>
      </c>
      <c r="G730" s="88" t="s">
        <v>19754</v>
      </c>
      <c r="H730" s="85" t="s">
        <v>18443</v>
      </c>
      <c r="I730" s="86">
        <v>44285</v>
      </c>
      <c r="J730" s="196">
        <v>0</v>
      </c>
      <c r="M730" s="75"/>
      <c r="N730" s="66" t="s">
        <v>18464</v>
      </c>
      <c r="O730" s="651">
        <v>0</v>
      </c>
    </row>
    <row r="731" spans="1:15" ht="12.95" hidden="1">
      <c r="A731" s="81">
        <v>44293</v>
      </c>
      <c r="B731" s="124">
        <v>47208</v>
      </c>
      <c r="C731" s="30">
        <v>77669.759999999995</v>
      </c>
      <c r="D731" s="116">
        <v>0</v>
      </c>
      <c r="E731" s="116">
        <f t="shared" si="22"/>
        <v>77669.759999999995</v>
      </c>
      <c r="F731" s="116">
        <f t="shared" si="23"/>
        <v>1.6452669039145906</v>
      </c>
      <c r="G731" s="88" t="s">
        <v>19655</v>
      </c>
      <c r="H731" s="85" t="s">
        <v>18444</v>
      </c>
      <c r="I731" s="86">
        <v>44288</v>
      </c>
      <c r="J731" s="196">
        <v>0</v>
      </c>
      <c r="M731" s="75"/>
      <c r="N731" s="66" t="s">
        <v>18465</v>
      </c>
      <c r="O731" s="651">
        <v>0</v>
      </c>
    </row>
    <row r="732" spans="1:15" ht="12.95" hidden="1">
      <c r="A732" s="81">
        <v>44293</v>
      </c>
      <c r="B732" s="124">
        <v>24000</v>
      </c>
      <c r="C732" s="30">
        <f>14179.1*3.2804</f>
        <v>46513.119640000004</v>
      </c>
      <c r="D732" s="116">
        <v>0</v>
      </c>
      <c r="E732" s="116">
        <f t="shared" si="22"/>
        <v>46513.119640000004</v>
      </c>
      <c r="F732" s="116">
        <f t="shared" si="23"/>
        <v>1.9380466516666668</v>
      </c>
      <c r="G732" s="88" t="s">
        <v>17292</v>
      </c>
      <c r="H732" s="85" t="s">
        <v>18439</v>
      </c>
      <c r="I732" s="81">
        <v>44282</v>
      </c>
      <c r="J732" s="196">
        <v>0</v>
      </c>
      <c r="M732" s="75"/>
      <c r="N732" s="66" t="s">
        <v>18466</v>
      </c>
      <c r="O732" s="651">
        <v>0</v>
      </c>
    </row>
    <row r="733" spans="1:15" ht="12.95" hidden="1">
      <c r="A733" s="81">
        <v>44296</v>
      </c>
      <c r="B733" s="124">
        <v>280000</v>
      </c>
      <c r="C733" s="30">
        <v>383600</v>
      </c>
      <c r="D733" s="116">
        <v>0</v>
      </c>
      <c r="E733" s="116">
        <f t="shared" si="22"/>
        <v>383600</v>
      </c>
      <c r="F733" s="116">
        <f t="shared" si="23"/>
        <v>1.37</v>
      </c>
      <c r="G733" s="88" t="s">
        <v>19656</v>
      </c>
      <c r="H733" s="85" t="s">
        <v>18438</v>
      </c>
      <c r="I733" s="81">
        <v>44282</v>
      </c>
      <c r="J733" s="196">
        <v>0</v>
      </c>
      <c r="M733" s="75"/>
      <c r="N733" s="66" t="s">
        <v>18467</v>
      </c>
      <c r="O733" s="651">
        <v>0</v>
      </c>
    </row>
    <row r="734" spans="1:15" ht="12.95" hidden="1">
      <c r="A734" s="81">
        <v>44298</v>
      </c>
      <c r="B734" s="124">
        <v>20000</v>
      </c>
      <c r="C734" s="30">
        <f>13200*3.28885</f>
        <v>43412.82</v>
      </c>
      <c r="D734" s="116">
        <v>7327.6779999999999</v>
      </c>
      <c r="E734" s="116">
        <f t="shared" si="22"/>
        <v>36085.142</v>
      </c>
      <c r="F734" s="116">
        <f t="shared" si="23"/>
        <v>1.8042571000000001</v>
      </c>
      <c r="G734" s="88" t="s">
        <v>19781</v>
      </c>
      <c r="H734" s="85" t="s">
        <v>18446</v>
      </c>
      <c r="I734" s="81">
        <v>44291</v>
      </c>
      <c r="J734" s="196">
        <f>6233.598*40%</f>
        <v>2493.4392000000003</v>
      </c>
      <c r="M734" s="75"/>
      <c r="N734" s="66" t="s">
        <v>18468</v>
      </c>
      <c r="O734" s="651">
        <v>0</v>
      </c>
    </row>
    <row r="735" spans="1:15" ht="12.95" hidden="1">
      <c r="A735" s="81">
        <v>44298</v>
      </c>
      <c r="B735" s="124">
        <v>23652</v>
      </c>
      <c r="C735" s="30">
        <f>17054.84*3.28885</f>
        <v>56090.810534000004</v>
      </c>
      <c r="D735" s="116">
        <v>0</v>
      </c>
      <c r="E735" s="116">
        <f t="shared" si="22"/>
        <v>56090.810534000004</v>
      </c>
      <c r="F735" s="116">
        <f t="shared" si="23"/>
        <v>2.3715039123118555</v>
      </c>
      <c r="G735" s="88" t="s">
        <v>17231</v>
      </c>
      <c r="H735" s="85" t="s">
        <v>18419</v>
      </c>
      <c r="I735" s="81">
        <v>44267</v>
      </c>
      <c r="J735" s="196">
        <v>0</v>
      </c>
      <c r="M735" s="75"/>
      <c r="N735" s="66" t="s">
        <v>18469</v>
      </c>
      <c r="O735" s="651">
        <v>0</v>
      </c>
    </row>
    <row r="736" spans="1:15" ht="12.95" hidden="1">
      <c r="A736" s="81">
        <v>44300</v>
      </c>
      <c r="B736" s="124">
        <v>20750</v>
      </c>
      <c r="C736" s="30">
        <v>33822.5</v>
      </c>
      <c r="D736" s="116">
        <v>0</v>
      </c>
      <c r="E736" s="116">
        <f t="shared" si="22"/>
        <v>33822.5</v>
      </c>
      <c r="F736" s="116">
        <f t="shared" si="23"/>
        <v>1.63</v>
      </c>
      <c r="G736" s="88" t="s">
        <v>19655</v>
      </c>
      <c r="H736" s="85" t="s">
        <v>18447</v>
      </c>
      <c r="I736" s="81">
        <v>44294</v>
      </c>
      <c r="J736" s="196">
        <v>0</v>
      </c>
      <c r="M736" s="75"/>
      <c r="N736" s="66" t="s">
        <v>18470</v>
      </c>
      <c r="O736" s="651">
        <v>0</v>
      </c>
    </row>
    <row r="737" spans="1:15" ht="12.95" hidden="1">
      <c r="A737" s="81">
        <v>44300</v>
      </c>
      <c r="B737" s="124">
        <v>149800</v>
      </c>
      <c r="C737" s="30">
        <v>190520</v>
      </c>
      <c r="D737" s="116">
        <v>0</v>
      </c>
      <c r="E737" s="116">
        <f t="shared" si="22"/>
        <v>190520</v>
      </c>
      <c r="F737" s="116">
        <f t="shared" si="23"/>
        <v>1.2718291054739652</v>
      </c>
      <c r="G737" s="88" t="s">
        <v>19655</v>
      </c>
      <c r="H737" s="85" t="s">
        <v>18448</v>
      </c>
      <c r="I737" s="81">
        <v>44294</v>
      </c>
      <c r="J737" s="196">
        <v>0</v>
      </c>
      <c r="M737" s="75"/>
      <c r="N737" s="66" t="s">
        <v>18471</v>
      </c>
      <c r="O737" s="651">
        <v>40964.71</v>
      </c>
    </row>
    <row r="738" spans="1:15" ht="12.95" hidden="1">
      <c r="A738" s="81">
        <v>44300</v>
      </c>
      <c r="B738" s="124">
        <v>19200</v>
      </c>
      <c r="C738" s="30">
        <v>24000</v>
      </c>
      <c r="D738" s="116">
        <v>0</v>
      </c>
      <c r="E738" s="116">
        <f t="shared" si="22"/>
        <v>24000</v>
      </c>
      <c r="F738" s="116">
        <f t="shared" si="23"/>
        <v>1.25</v>
      </c>
      <c r="G738" s="88" t="s">
        <v>19655</v>
      </c>
      <c r="H738" s="85" t="s">
        <v>18449</v>
      </c>
      <c r="I738" s="81">
        <v>44294</v>
      </c>
      <c r="J738" s="196">
        <v>0</v>
      </c>
      <c r="M738" s="75"/>
      <c r="N738" s="66" t="s">
        <v>18472</v>
      </c>
      <c r="O738" s="651">
        <v>0</v>
      </c>
    </row>
    <row r="739" spans="1:15" ht="12.95" hidden="1">
      <c r="A739" s="81">
        <v>44301</v>
      </c>
      <c r="B739" s="124">
        <v>4808</v>
      </c>
      <c r="C739" s="30">
        <v>13194.32</v>
      </c>
      <c r="D739" s="116">
        <v>0</v>
      </c>
      <c r="E739" s="116">
        <f t="shared" si="22"/>
        <v>13194.32</v>
      </c>
      <c r="F739" s="116">
        <f t="shared" si="23"/>
        <v>2.7442429284525791</v>
      </c>
      <c r="G739" s="88" t="s">
        <v>17018</v>
      </c>
      <c r="H739" s="85" t="s">
        <v>18450</v>
      </c>
      <c r="I739" s="81">
        <v>44299</v>
      </c>
      <c r="J739" s="196">
        <v>0</v>
      </c>
      <c r="M739" s="75"/>
      <c r="N739" s="66" t="s">
        <v>18473</v>
      </c>
      <c r="O739" s="651">
        <v>27633.706999999999</v>
      </c>
    </row>
    <row r="740" spans="1:15" ht="12.95" hidden="1">
      <c r="A740" s="81">
        <v>44301</v>
      </c>
      <c r="B740" s="182">
        <v>57600</v>
      </c>
      <c r="C740" s="30">
        <v>99072</v>
      </c>
      <c r="D740" s="116">
        <v>0</v>
      </c>
      <c r="E740" s="116">
        <f t="shared" si="22"/>
        <v>99072</v>
      </c>
      <c r="F740" s="116">
        <f t="shared" si="23"/>
        <v>1.72</v>
      </c>
      <c r="G740" s="88" t="s">
        <v>19805</v>
      </c>
      <c r="H740" s="85" t="s">
        <v>18432</v>
      </c>
      <c r="I740" s="86">
        <v>44272</v>
      </c>
      <c r="J740" s="196">
        <v>0</v>
      </c>
      <c r="M740" s="75"/>
      <c r="N740" s="66" t="s">
        <v>18474</v>
      </c>
      <c r="O740" s="651">
        <v>12500.71</v>
      </c>
    </row>
    <row r="741" spans="1:15" ht="12.95" hidden="1">
      <c r="A741" s="81">
        <v>44302</v>
      </c>
      <c r="B741" s="182">
        <v>108000</v>
      </c>
      <c r="C741" s="30">
        <f>49680*3.2971</f>
        <v>163799.92799999999</v>
      </c>
      <c r="D741" s="116">
        <v>25422.6</v>
      </c>
      <c r="E741" s="116">
        <f t="shared" si="22"/>
        <v>138377.32799999998</v>
      </c>
      <c r="F741" s="116">
        <f t="shared" si="23"/>
        <v>1.2812715555555554</v>
      </c>
      <c r="G741" s="88" t="s">
        <v>19722</v>
      </c>
      <c r="H741" s="85" t="s">
        <v>18435</v>
      </c>
      <c r="I741" s="86">
        <v>44282</v>
      </c>
      <c r="J741" s="196">
        <f>20885.76*40%</f>
        <v>8354.3040000000001</v>
      </c>
      <c r="M741" s="75"/>
      <c r="N741" s="66" t="s">
        <v>18475</v>
      </c>
      <c r="O741" s="651">
        <v>7526.6490000000003</v>
      </c>
    </row>
    <row r="742" spans="1:15" ht="12.95" hidden="1">
      <c r="A742" s="81">
        <v>44303</v>
      </c>
      <c r="B742" s="182">
        <v>108000</v>
      </c>
      <c r="C742" s="30">
        <f>49680*3.29915</f>
        <v>163901.772</v>
      </c>
      <c r="D742" s="116">
        <v>25422.6</v>
      </c>
      <c r="E742" s="116">
        <f t="shared" si="22"/>
        <v>138479.17199999999</v>
      </c>
      <c r="F742" s="116">
        <f t="shared" si="23"/>
        <v>1.2822145555555555</v>
      </c>
      <c r="G742" s="88" t="s">
        <v>19722</v>
      </c>
      <c r="H742" s="85" t="s">
        <v>18436</v>
      </c>
      <c r="I742" s="86">
        <v>44282</v>
      </c>
      <c r="J742" s="196">
        <f>20885.76*40%</f>
        <v>8354.3040000000001</v>
      </c>
      <c r="M742" s="75"/>
      <c r="N742" s="66" t="s">
        <v>18476</v>
      </c>
      <c r="O742" s="651">
        <v>0</v>
      </c>
    </row>
    <row r="743" spans="1:15" ht="12.95" hidden="1">
      <c r="A743" s="81">
        <v>44305</v>
      </c>
      <c r="B743" s="182">
        <v>108000</v>
      </c>
      <c r="C743" s="30">
        <f>49680*3.30055</f>
        <v>163971.32399999999</v>
      </c>
      <c r="D743" s="116">
        <v>25422.6</v>
      </c>
      <c r="E743" s="116">
        <f t="shared" si="22"/>
        <v>138548.72399999999</v>
      </c>
      <c r="F743" s="116">
        <f t="shared" si="23"/>
        <v>1.2828585555555554</v>
      </c>
      <c r="G743" s="88" t="s">
        <v>19722</v>
      </c>
      <c r="H743" s="85" t="s">
        <v>18437</v>
      </c>
      <c r="I743" s="86">
        <v>44282</v>
      </c>
      <c r="J743" s="196">
        <f>20885.76*40%</f>
        <v>8354.3040000000001</v>
      </c>
      <c r="M743" s="75"/>
      <c r="N743" s="66" t="s">
        <v>18477</v>
      </c>
      <c r="O743" s="651">
        <v>0</v>
      </c>
    </row>
    <row r="744" spans="1:15" ht="12.95" hidden="1">
      <c r="A744" s="81">
        <v>44308</v>
      </c>
      <c r="B744" s="182">
        <v>82800</v>
      </c>
      <c r="C744" s="30">
        <v>135072</v>
      </c>
      <c r="D744" s="116">
        <v>0</v>
      </c>
      <c r="E744" s="116">
        <f t="shared" si="22"/>
        <v>135072</v>
      </c>
      <c r="F744" s="116">
        <f t="shared" si="23"/>
        <v>1.6313043478260869</v>
      </c>
      <c r="G744" s="88" t="s">
        <v>19655</v>
      </c>
      <c r="H744" s="85" t="s">
        <v>18460</v>
      </c>
      <c r="I744" s="86">
        <v>44302</v>
      </c>
      <c r="J744" s="196">
        <v>0</v>
      </c>
      <c r="M744" s="75"/>
      <c r="N744" s="66" t="s">
        <v>18478</v>
      </c>
      <c r="O744" s="651">
        <v>1515.77</v>
      </c>
    </row>
    <row r="745" spans="1:15" ht="12.95" hidden="1">
      <c r="A745" s="81">
        <v>44308</v>
      </c>
      <c r="B745" s="182">
        <v>43608</v>
      </c>
      <c r="C745" s="30">
        <v>75657.84</v>
      </c>
      <c r="D745" s="116">
        <v>0</v>
      </c>
      <c r="E745" s="116">
        <f t="shared" si="22"/>
        <v>75657.84</v>
      </c>
      <c r="F745" s="116">
        <f t="shared" si="23"/>
        <v>1.7349532195927353</v>
      </c>
      <c r="G745" s="88" t="s">
        <v>19655</v>
      </c>
      <c r="H745" s="85" t="s">
        <v>18445</v>
      </c>
      <c r="I745" s="199">
        <v>44291</v>
      </c>
      <c r="J745" s="196">
        <v>0</v>
      </c>
      <c r="M745" s="75"/>
      <c r="N745" s="66" t="s">
        <v>18479</v>
      </c>
      <c r="O745" s="651">
        <v>9464.35</v>
      </c>
    </row>
    <row r="746" spans="1:15" ht="12.95" hidden="1">
      <c r="A746" s="81">
        <v>44309</v>
      </c>
      <c r="B746" s="182">
        <v>112208</v>
      </c>
      <c r="C746" s="30">
        <v>185778.88</v>
      </c>
      <c r="D746" s="116">
        <v>0</v>
      </c>
      <c r="E746" s="116">
        <f t="shared" si="22"/>
        <v>185778.88</v>
      </c>
      <c r="F746" s="116">
        <f t="shared" si="23"/>
        <v>1.6556651932126052</v>
      </c>
      <c r="G746" s="88" t="s">
        <v>19647</v>
      </c>
      <c r="H746" s="85" t="s">
        <v>18458</v>
      </c>
      <c r="I746" s="199">
        <v>44303</v>
      </c>
      <c r="J746" s="196">
        <v>0</v>
      </c>
      <c r="M746" s="75"/>
      <c r="N746" s="66" t="s">
        <v>18480</v>
      </c>
      <c r="O746" s="651">
        <v>0</v>
      </c>
    </row>
    <row r="747" spans="1:15" ht="12.95" hidden="1">
      <c r="A747" s="81">
        <v>44309</v>
      </c>
      <c r="B747" s="182">
        <v>5960</v>
      </c>
      <c r="C747" s="30">
        <v>15125.6</v>
      </c>
      <c r="D747" s="116">
        <v>0</v>
      </c>
      <c r="E747" s="116">
        <f t="shared" si="22"/>
        <v>15125.6</v>
      </c>
      <c r="F747" s="116">
        <f t="shared" si="23"/>
        <v>2.5378523489932885</v>
      </c>
      <c r="G747" s="88" t="s">
        <v>17018</v>
      </c>
      <c r="H747" s="85" t="s">
        <v>18463</v>
      </c>
      <c r="I747" s="199">
        <v>44303</v>
      </c>
      <c r="J747" s="196">
        <v>0</v>
      </c>
      <c r="M747" s="75"/>
      <c r="N747" s="66" t="s">
        <v>18481</v>
      </c>
      <c r="O747" s="651">
        <v>0</v>
      </c>
    </row>
    <row r="748" spans="1:15" ht="12.95" hidden="1">
      <c r="A748" s="81">
        <v>44310</v>
      </c>
      <c r="B748" s="182">
        <v>40000</v>
      </c>
      <c r="C748" s="30">
        <f>30000*2.7465</f>
        <v>82395</v>
      </c>
      <c r="D748" s="116">
        <v>9070.08</v>
      </c>
      <c r="E748" s="116">
        <f t="shared" si="22"/>
        <v>73324.92</v>
      </c>
      <c r="F748" s="116">
        <f t="shared" si="23"/>
        <v>1.8331230000000001</v>
      </c>
      <c r="G748" s="88" t="s">
        <v>19814</v>
      </c>
      <c r="H748" s="85" t="s">
        <v>18456</v>
      </c>
      <c r="I748" s="86">
        <v>44303</v>
      </c>
      <c r="J748" s="196">
        <f>6880.62*25%</f>
        <v>1720.155</v>
      </c>
      <c r="M748" s="75"/>
      <c r="N748" s="66" t="s">
        <v>18482</v>
      </c>
      <c r="O748" s="651">
        <v>0</v>
      </c>
    </row>
    <row r="749" spans="1:15" ht="12.95" hidden="1">
      <c r="A749" s="81">
        <v>44310</v>
      </c>
      <c r="B749" s="182">
        <v>48600</v>
      </c>
      <c r="C749" s="30">
        <v>77028</v>
      </c>
      <c r="D749" s="116">
        <v>0</v>
      </c>
      <c r="E749" s="116">
        <f t="shared" si="22"/>
        <v>77028</v>
      </c>
      <c r="F749" s="116">
        <f t="shared" si="23"/>
        <v>1.5849382716049383</v>
      </c>
      <c r="G749" s="88" t="s">
        <v>19656</v>
      </c>
      <c r="H749" s="85" t="s">
        <v>18459</v>
      </c>
      <c r="I749" s="86">
        <v>44303</v>
      </c>
      <c r="J749" s="196">
        <v>0</v>
      </c>
      <c r="M749" s="75"/>
      <c r="N749" s="66" t="s">
        <v>18483</v>
      </c>
      <c r="O749" s="651">
        <v>0</v>
      </c>
    </row>
    <row r="750" spans="1:15" ht="12.95" hidden="1">
      <c r="A750" s="81">
        <v>44312</v>
      </c>
      <c r="B750" s="182">
        <v>24120</v>
      </c>
      <c r="C750" s="30">
        <f>18025*2.74125</f>
        <v>49411.03125</v>
      </c>
      <c r="D750" s="116">
        <v>5727.33</v>
      </c>
      <c r="E750" s="116">
        <f t="shared" si="22"/>
        <v>43683.701249999998</v>
      </c>
      <c r="F750" s="116">
        <f t="shared" si="23"/>
        <v>1.811098725124378</v>
      </c>
      <c r="G750" s="88" t="s">
        <v>19811</v>
      </c>
      <c r="H750" s="85" t="s">
        <v>18452</v>
      </c>
      <c r="I750" s="86">
        <v>44303</v>
      </c>
      <c r="J750" s="196">
        <f>4615.05*25%</f>
        <v>1153.7625</v>
      </c>
      <c r="M750" s="75"/>
      <c r="N750" s="66" t="s">
        <v>18484</v>
      </c>
      <c r="O750" s="651">
        <v>0</v>
      </c>
    </row>
    <row r="751" spans="1:15" ht="12.95" hidden="1">
      <c r="A751" s="81">
        <v>44312</v>
      </c>
      <c r="B751" s="182">
        <v>27336</v>
      </c>
      <c r="C751" s="30">
        <f>19290.2*3.3053</f>
        <v>63759.89806</v>
      </c>
      <c r="D751" s="116">
        <v>12329.254999999999</v>
      </c>
      <c r="E751" s="116">
        <f t="shared" si="22"/>
        <v>51430.643060000002</v>
      </c>
      <c r="F751" s="116">
        <f t="shared" si="23"/>
        <v>1.8814253387474393</v>
      </c>
      <c r="G751" s="88" t="s">
        <v>19661</v>
      </c>
      <c r="H751" s="85" t="s">
        <v>18455</v>
      </c>
      <c r="I751" s="86">
        <v>44303</v>
      </c>
      <c r="J751" s="196">
        <f>11154.975*25%</f>
        <v>2788.7437500000001</v>
      </c>
      <c r="M751" s="75"/>
      <c r="N751" s="66" t="s">
        <v>18485</v>
      </c>
      <c r="O751" s="651">
        <v>0</v>
      </c>
    </row>
    <row r="752" spans="1:15" ht="12.95" hidden="1">
      <c r="A752" s="81">
        <v>44312</v>
      </c>
      <c r="B752" s="182">
        <v>10758</v>
      </c>
      <c r="C752" s="30">
        <v>23536.2</v>
      </c>
      <c r="D752" s="116">
        <v>0</v>
      </c>
      <c r="E752" s="116">
        <f t="shared" si="22"/>
        <v>23536.2</v>
      </c>
      <c r="F752" s="116">
        <f t="shared" si="23"/>
        <v>2.1877858337981038</v>
      </c>
      <c r="G752" s="88" t="s">
        <v>17294</v>
      </c>
      <c r="H752" s="85" t="s">
        <v>18462</v>
      </c>
      <c r="I752" s="86">
        <v>44303</v>
      </c>
      <c r="J752" s="196">
        <v>0</v>
      </c>
      <c r="M752" s="75"/>
      <c r="N752" s="66" t="s">
        <v>18486</v>
      </c>
      <c r="O752" s="651">
        <v>0</v>
      </c>
    </row>
    <row r="753" spans="1:15" ht="12.95" hidden="1">
      <c r="A753" s="81">
        <v>44313</v>
      </c>
      <c r="B753" s="182">
        <v>104000</v>
      </c>
      <c r="C753" s="30">
        <f>76045*2.74125</f>
        <v>208458.35625000001</v>
      </c>
      <c r="D753" s="116">
        <v>34254.86</v>
      </c>
      <c r="E753" s="116">
        <f t="shared" si="22"/>
        <v>174203.49625000003</v>
      </c>
      <c r="F753" s="116">
        <f t="shared" si="23"/>
        <v>1.6750336177884617</v>
      </c>
      <c r="G753" s="88" t="s">
        <v>19662</v>
      </c>
      <c r="H753" s="85" t="s">
        <v>18453</v>
      </c>
      <c r="I753" s="86">
        <v>44303</v>
      </c>
      <c r="J753" s="196">
        <f>29840.82*40%</f>
        <v>11936.328000000001</v>
      </c>
      <c r="M753" s="75"/>
      <c r="N753" s="66" t="s">
        <v>18487</v>
      </c>
      <c r="O753" s="651">
        <v>0</v>
      </c>
    </row>
    <row r="754" spans="1:15" ht="12.95" hidden="1">
      <c r="A754" s="81">
        <v>44314</v>
      </c>
      <c r="B754" s="182">
        <v>75240</v>
      </c>
      <c r="C754" s="30">
        <v>120232.8</v>
      </c>
      <c r="D754" s="116">
        <v>0</v>
      </c>
      <c r="E754" s="116">
        <f>(C754-D754)</f>
        <v>120232.8</v>
      </c>
      <c r="F754" s="116">
        <f>(E754/B754)</f>
        <v>1.5979904306220096</v>
      </c>
      <c r="G754" s="88" t="s">
        <v>19647</v>
      </c>
      <c r="H754" s="85" t="s">
        <v>18451</v>
      </c>
      <c r="I754" s="86">
        <v>44301</v>
      </c>
      <c r="J754" s="196">
        <v>0</v>
      </c>
      <c r="M754" s="75"/>
      <c r="N754" s="66" t="s">
        <v>18488</v>
      </c>
      <c r="O754" s="651">
        <v>0</v>
      </c>
    </row>
    <row r="755" spans="1:15" ht="12.95" hidden="1">
      <c r="A755" s="81">
        <v>44314</v>
      </c>
      <c r="B755" s="182">
        <v>223936</v>
      </c>
      <c r="C755" s="30">
        <f>139050.32*2.74125</f>
        <v>381171.68969999999</v>
      </c>
      <c r="D755" s="116">
        <v>89563.24</v>
      </c>
      <c r="E755" s="116">
        <f>(C755-D755)</f>
        <v>291608.4497</v>
      </c>
      <c r="F755" s="116">
        <f>(E755/B755)</f>
        <v>1.3021954920155758</v>
      </c>
      <c r="G755" s="88" t="s">
        <v>19662</v>
      </c>
      <c r="H755" s="85" t="s">
        <v>18454</v>
      </c>
      <c r="I755" s="86">
        <v>44303</v>
      </c>
      <c r="J755" s="196">
        <f>80625.4*40%</f>
        <v>32250.16</v>
      </c>
      <c r="M755" s="75"/>
      <c r="N755" s="66" t="s">
        <v>18489</v>
      </c>
      <c r="O755" s="651">
        <v>42260.601999999999</v>
      </c>
    </row>
    <row r="756" spans="1:15" ht="12.95" hidden="1">
      <c r="A756" s="81">
        <v>44315</v>
      </c>
      <c r="B756" s="182">
        <v>33600</v>
      </c>
      <c r="C756" s="30">
        <v>58060.800000000003</v>
      </c>
      <c r="D756" s="116">
        <v>0</v>
      </c>
      <c r="E756" s="116">
        <f>(C756-D756)</f>
        <v>58060.800000000003</v>
      </c>
      <c r="F756" s="116">
        <f>(E756/B756)</f>
        <v>1.728</v>
      </c>
      <c r="G756" s="88" t="s">
        <v>17018</v>
      </c>
      <c r="H756" s="85" t="s">
        <v>18465</v>
      </c>
      <c r="I756" s="86">
        <v>44306</v>
      </c>
      <c r="J756" s="196">
        <v>0</v>
      </c>
      <c r="M756" s="75"/>
      <c r="N756" s="66" t="s">
        <v>18490</v>
      </c>
      <c r="O756" s="651">
        <v>11882.88</v>
      </c>
    </row>
    <row r="757" spans="1:15" ht="12.95" hidden="1">
      <c r="A757" s="81">
        <v>44319</v>
      </c>
      <c r="B757" s="182">
        <v>44010</v>
      </c>
      <c r="C757" s="30">
        <v>78354.899999999994</v>
      </c>
      <c r="D757" s="116">
        <v>0</v>
      </c>
      <c r="E757" s="116">
        <f>(C757-D757)</f>
        <v>78354.899999999994</v>
      </c>
      <c r="F757" s="116">
        <f>(E757/B757)</f>
        <v>1.7803885480572597</v>
      </c>
      <c r="G757" s="88" t="s">
        <v>19655</v>
      </c>
      <c r="H757" s="85" t="s">
        <v>18464</v>
      </c>
      <c r="I757" s="86">
        <v>44306</v>
      </c>
      <c r="J757" s="196">
        <v>0</v>
      </c>
      <c r="L757" s="75"/>
      <c r="N757" s="66" t="s">
        <v>18491</v>
      </c>
      <c r="O757" s="651">
        <v>0</v>
      </c>
    </row>
    <row r="758" spans="1:15" ht="12.95" hidden="1">
      <c r="A758" s="86">
        <v>44322</v>
      </c>
      <c r="B758" s="124">
        <v>25732</v>
      </c>
      <c r="C758" s="30">
        <f>14854.84*3.3058</f>
        <v>49107.130072</v>
      </c>
      <c r="D758" s="116">
        <v>0</v>
      </c>
      <c r="E758" s="116">
        <f t="shared" ref="E758:E821" si="24">(C758-D758)</f>
        <v>49107.130072</v>
      </c>
      <c r="F758" s="116">
        <f t="shared" ref="F758:F821" si="25">(E758/B758)</f>
        <v>1.9084070446137105</v>
      </c>
      <c r="G758" s="88" t="s">
        <v>17275</v>
      </c>
      <c r="H758" s="85" t="s">
        <v>18467</v>
      </c>
      <c r="I758" s="86">
        <v>44316</v>
      </c>
      <c r="J758" s="196">
        <v>0</v>
      </c>
      <c r="N758" s="66" t="s">
        <v>18492</v>
      </c>
      <c r="O758" s="651">
        <v>0</v>
      </c>
    </row>
    <row r="759" spans="1:15" ht="12.95" hidden="1">
      <c r="A759" s="86">
        <v>44323</v>
      </c>
      <c r="B759" s="124">
        <v>24856</v>
      </c>
      <c r="C759" s="30">
        <f>17150.72*3.30275</f>
        <v>56644.540480000003</v>
      </c>
      <c r="D759" s="116">
        <v>0</v>
      </c>
      <c r="E759" s="116">
        <f t="shared" si="24"/>
        <v>56644.540480000003</v>
      </c>
      <c r="F759" s="116">
        <f t="shared" si="25"/>
        <v>2.2789081300289671</v>
      </c>
      <c r="G759" s="88" t="s">
        <v>19686</v>
      </c>
      <c r="H759" s="85" t="s">
        <v>18457</v>
      </c>
      <c r="I759" s="86">
        <v>44303</v>
      </c>
      <c r="J759" s="196">
        <v>0</v>
      </c>
      <c r="N759" s="66" t="s">
        <v>18493</v>
      </c>
      <c r="O759" s="651">
        <v>0</v>
      </c>
    </row>
    <row r="760" spans="1:15" ht="12.95" hidden="1">
      <c r="A760" s="86">
        <v>44326</v>
      </c>
      <c r="B760" s="124">
        <v>199400</v>
      </c>
      <c r="C760" s="30">
        <v>259220</v>
      </c>
      <c r="D760" s="116">
        <v>0</v>
      </c>
      <c r="E760" s="116">
        <f t="shared" si="24"/>
        <v>259220</v>
      </c>
      <c r="F760" s="116">
        <f t="shared" si="25"/>
        <v>1.3</v>
      </c>
      <c r="G760" s="88" t="s">
        <v>19655</v>
      </c>
      <c r="H760" s="85" t="s">
        <v>18469</v>
      </c>
      <c r="I760" s="86">
        <v>44320</v>
      </c>
      <c r="J760" s="196">
        <v>0</v>
      </c>
      <c r="N760" s="66" t="s">
        <v>18494</v>
      </c>
      <c r="O760" s="651">
        <v>0</v>
      </c>
    </row>
    <row r="761" spans="1:15" ht="12.95" hidden="1">
      <c r="A761" s="86">
        <v>44327</v>
      </c>
      <c r="B761" s="124">
        <v>280000</v>
      </c>
      <c r="C761" s="30">
        <v>378000</v>
      </c>
      <c r="D761" s="116">
        <v>0</v>
      </c>
      <c r="E761" s="116">
        <f t="shared" si="24"/>
        <v>378000</v>
      </c>
      <c r="F761" s="116">
        <f t="shared" si="25"/>
        <v>1.35</v>
      </c>
      <c r="G761" s="88" t="s">
        <v>19652</v>
      </c>
      <c r="H761" s="85" t="s">
        <v>18461</v>
      </c>
      <c r="I761" s="86">
        <v>44303</v>
      </c>
      <c r="J761" s="196">
        <v>0</v>
      </c>
      <c r="N761" s="66" t="s">
        <v>18495</v>
      </c>
      <c r="O761" s="651">
        <v>0</v>
      </c>
    </row>
    <row r="762" spans="1:15" ht="12.95" hidden="1">
      <c r="A762" s="86">
        <v>44334</v>
      </c>
      <c r="B762" s="124">
        <v>20000</v>
      </c>
      <c r="C762" s="131">
        <v>35200</v>
      </c>
      <c r="D762" s="116">
        <v>0</v>
      </c>
      <c r="E762" s="116">
        <f t="shared" si="24"/>
        <v>35200</v>
      </c>
      <c r="F762" s="116">
        <f t="shared" si="25"/>
        <v>1.76</v>
      </c>
      <c r="G762" s="88" t="s">
        <v>17018</v>
      </c>
      <c r="H762" s="85" t="s">
        <v>18472</v>
      </c>
      <c r="I762" s="86">
        <v>44321</v>
      </c>
      <c r="J762" s="196">
        <v>0</v>
      </c>
      <c r="N762" s="66" t="s">
        <v>18496</v>
      </c>
      <c r="O762" s="651">
        <v>0</v>
      </c>
    </row>
    <row r="763" spans="1:15" ht="12.95" hidden="1">
      <c r="A763" s="86">
        <v>44334</v>
      </c>
      <c r="B763" s="124">
        <v>110040</v>
      </c>
      <c r="C763" s="131">
        <v>155156.4</v>
      </c>
      <c r="D763" s="116">
        <v>0</v>
      </c>
      <c r="E763" s="116">
        <f t="shared" si="24"/>
        <v>155156.4</v>
      </c>
      <c r="F763" s="116">
        <f t="shared" si="25"/>
        <v>1.41</v>
      </c>
      <c r="G763" s="88" t="s">
        <v>19647</v>
      </c>
      <c r="H763" s="85" t="s">
        <v>18477</v>
      </c>
      <c r="I763" s="200">
        <v>44321</v>
      </c>
      <c r="J763" s="196">
        <v>0</v>
      </c>
      <c r="N763" s="66" t="s">
        <v>18497</v>
      </c>
      <c r="O763" s="651">
        <v>0</v>
      </c>
    </row>
    <row r="764" spans="1:15" ht="12.95" hidden="1">
      <c r="A764" s="86">
        <v>44335</v>
      </c>
      <c r="B764" s="124">
        <v>76800</v>
      </c>
      <c r="C764" s="131">
        <v>131328</v>
      </c>
      <c r="D764" s="116">
        <v>0</v>
      </c>
      <c r="E764" s="116">
        <f t="shared" si="24"/>
        <v>131328</v>
      </c>
      <c r="F764" s="116">
        <f t="shared" si="25"/>
        <v>1.71</v>
      </c>
      <c r="G764" s="88" t="s">
        <v>19655</v>
      </c>
      <c r="H764" s="85" t="s">
        <v>18466</v>
      </c>
      <c r="I764" s="200">
        <v>44313</v>
      </c>
      <c r="J764" s="196">
        <v>0</v>
      </c>
      <c r="N764" s="66" t="s">
        <v>18498</v>
      </c>
      <c r="O764" s="651">
        <v>0</v>
      </c>
    </row>
    <row r="765" spans="1:15" ht="12.95" hidden="1">
      <c r="A765" s="86">
        <v>44336</v>
      </c>
      <c r="B765" s="124">
        <v>27336</v>
      </c>
      <c r="C765" s="131">
        <f>19307.24*3.3168</f>
        <v>64038.253632000007</v>
      </c>
      <c r="D765" s="116">
        <v>12500.71</v>
      </c>
      <c r="E765" s="116">
        <f t="shared" si="24"/>
        <v>51537.543632000008</v>
      </c>
      <c r="F765" s="116">
        <f t="shared" si="25"/>
        <v>1.8853359537606089</v>
      </c>
      <c r="G765" s="88" t="s">
        <v>19661</v>
      </c>
      <c r="H765" s="85" t="s">
        <v>18474</v>
      </c>
      <c r="I765" s="200">
        <v>44321</v>
      </c>
      <c r="J765" s="196">
        <f>11326.35*40%</f>
        <v>4530.54</v>
      </c>
      <c r="N765" s="66" t="s">
        <v>18499</v>
      </c>
      <c r="O765" s="651">
        <v>0</v>
      </c>
    </row>
    <row r="766" spans="1:15" ht="12.95" hidden="1">
      <c r="A766" s="86">
        <v>44337</v>
      </c>
      <c r="B766" s="124">
        <v>20340</v>
      </c>
      <c r="C766" s="131">
        <v>38274.400000000001</v>
      </c>
      <c r="D766" s="116">
        <v>0</v>
      </c>
      <c r="E766" s="116">
        <f t="shared" si="24"/>
        <v>38274.400000000001</v>
      </c>
      <c r="F766" s="116">
        <f t="shared" si="25"/>
        <v>1.8817305801376598</v>
      </c>
      <c r="G766" s="88" t="s">
        <v>17227</v>
      </c>
      <c r="H766" s="85" t="s">
        <v>18468</v>
      </c>
      <c r="I766" s="200">
        <v>44320</v>
      </c>
      <c r="J766" s="196">
        <v>0</v>
      </c>
      <c r="N766" s="66" t="s">
        <v>18500</v>
      </c>
      <c r="O766" s="651">
        <v>0</v>
      </c>
    </row>
    <row r="767" spans="1:15" ht="12.95" hidden="1">
      <c r="A767" s="86">
        <v>44338</v>
      </c>
      <c r="B767" s="124">
        <v>231240</v>
      </c>
      <c r="C767" s="131">
        <v>385620</v>
      </c>
      <c r="D767" s="116">
        <v>0</v>
      </c>
      <c r="E767" s="116">
        <f t="shared" si="24"/>
        <v>385620</v>
      </c>
      <c r="F767" s="116">
        <f t="shared" si="25"/>
        <v>1.667618059159315</v>
      </c>
      <c r="G767" s="88" t="s">
        <v>19647</v>
      </c>
      <c r="H767" s="85" t="s">
        <v>18424</v>
      </c>
      <c r="I767" s="200">
        <v>44267</v>
      </c>
      <c r="J767" s="196">
        <v>0</v>
      </c>
      <c r="N767" s="66" t="s">
        <v>18501</v>
      </c>
      <c r="O767" s="651">
        <v>4633.93</v>
      </c>
    </row>
    <row r="768" spans="1:15" ht="12.95" hidden="1">
      <c r="A768" s="86">
        <v>44340</v>
      </c>
      <c r="B768" s="124">
        <v>130000</v>
      </c>
      <c r="C768" s="30">
        <f>184600</f>
        <v>184600</v>
      </c>
      <c r="D768" s="116">
        <v>0</v>
      </c>
      <c r="E768" s="116">
        <f t="shared" si="24"/>
        <v>184600</v>
      </c>
      <c r="F768" s="116">
        <f t="shared" si="25"/>
        <v>1.42</v>
      </c>
      <c r="G768" s="88" t="s">
        <v>19647</v>
      </c>
      <c r="H768" s="85" t="s">
        <v>18486</v>
      </c>
      <c r="I768" s="86">
        <v>44334</v>
      </c>
      <c r="J768" s="196">
        <v>0</v>
      </c>
      <c r="N768" s="66" t="s">
        <v>18502</v>
      </c>
      <c r="O768" s="651">
        <v>0</v>
      </c>
    </row>
    <row r="769" spans="1:15" ht="12.95" hidden="1">
      <c r="A769" s="86">
        <v>44341</v>
      </c>
      <c r="B769" s="124">
        <v>21000</v>
      </c>
      <c r="C769" s="131">
        <f>25530*2.7197</f>
        <v>69433.941000000006</v>
      </c>
      <c r="D769" s="116">
        <v>1515.77</v>
      </c>
      <c r="E769" s="116">
        <f t="shared" si="24"/>
        <v>67918.171000000002</v>
      </c>
      <c r="F769" s="116">
        <f t="shared" si="25"/>
        <v>3.2341986190476191</v>
      </c>
      <c r="G769" s="88" t="s">
        <v>19653</v>
      </c>
      <c r="H769" s="85" t="s">
        <v>18478</v>
      </c>
      <c r="I769" s="200">
        <v>44333</v>
      </c>
      <c r="J769" s="196">
        <v>0</v>
      </c>
      <c r="N769" s="66" t="s">
        <v>18503</v>
      </c>
      <c r="O769" s="651">
        <v>5944.33</v>
      </c>
    </row>
    <row r="770" spans="1:15" ht="12.95" hidden="1">
      <c r="A770" s="86">
        <v>44342</v>
      </c>
      <c r="B770" s="124">
        <v>20000</v>
      </c>
      <c r="C770" s="30">
        <v>35200</v>
      </c>
      <c r="D770" s="116">
        <v>0</v>
      </c>
      <c r="E770" s="116">
        <f t="shared" si="24"/>
        <v>35200</v>
      </c>
      <c r="F770" s="116">
        <f t="shared" si="25"/>
        <v>1.76</v>
      </c>
      <c r="G770" s="88" t="s">
        <v>19815</v>
      </c>
      <c r="H770" s="85" t="s">
        <v>18484</v>
      </c>
      <c r="I770" s="86">
        <v>44334</v>
      </c>
      <c r="J770" s="196">
        <v>0</v>
      </c>
      <c r="N770" s="66" t="s">
        <v>18504</v>
      </c>
      <c r="O770" s="651">
        <v>0</v>
      </c>
    </row>
    <row r="771" spans="1:15" ht="12.95" hidden="1">
      <c r="A771" s="86">
        <v>44342</v>
      </c>
      <c r="B771" s="124">
        <v>25184</v>
      </c>
      <c r="C771" s="30">
        <f>15782.38*3.3221</f>
        <v>52430.644597999992</v>
      </c>
      <c r="D771" s="116">
        <v>0</v>
      </c>
      <c r="E771" s="116">
        <f t="shared" si="24"/>
        <v>52430.644597999992</v>
      </c>
      <c r="F771" s="116">
        <f t="shared" si="25"/>
        <v>2.0819029780019056</v>
      </c>
      <c r="G771" s="88" t="s">
        <v>17292</v>
      </c>
      <c r="H771" s="85" t="s">
        <v>18470</v>
      </c>
      <c r="I771" s="86">
        <v>44321</v>
      </c>
      <c r="J771" s="196">
        <v>0</v>
      </c>
      <c r="N771" s="66" t="s">
        <v>18505</v>
      </c>
      <c r="O771" s="651">
        <v>52044.84</v>
      </c>
    </row>
    <row r="772" spans="1:15" ht="12.95" hidden="1">
      <c r="A772" s="86">
        <v>44342</v>
      </c>
      <c r="B772" s="124">
        <v>41000</v>
      </c>
      <c r="C772" s="30">
        <v>73390</v>
      </c>
      <c r="D772" s="116">
        <v>0</v>
      </c>
      <c r="E772" s="116">
        <f t="shared" si="24"/>
        <v>73390</v>
      </c>
      <c r="F772" s="116">
        <f t="shared" si="25"/>
        <v>1.79</v>
      </c>
      <c r="G772" s="88" t="s">
        <v>19680</v>
      </c>
      <c r="H772" s="85" t="s">
        <v>18481</v>
      </c>
      <c r="I772" s="86">
        <v>44333</v>
      </c>
      <c r="J772" s="196">
        <v>0</v>
      </c>
      <c r="N772" s="66" t="s">
        <v>18506</v>
      </c>
      <c r="O772" s="651">
        <v>25396.34</v>
      </c>
    </row>
    <row r="773" spans="1:15" ht="12.95" hidden="1">
      <c r="A773" s="86">
        <v>44343</v>
      </c>
      <c r="B773" s="124">
        <v>305600</v>
      </c>
      <c r="C773" s="30">
        <v>397280</v>
      </c>
      <c r="D773" s="116">
        <v>0</v>
      </c>
      <c r="E773" s="116">
        <f t="shared" si="24"/>
        <v>397280</v>
      </c>
      <c r="F773" s="116">
        <f t="shared" si="25"/>
        <v>1.3</v>
      </c>
      <c r="G773" s="88" t="s">
        <v>19655</v>
      </c>
      <c r="H773" s="85" t="s">
        <v>18487</v>
      </c>
      <c r="I773" s="214">
        <v>44335</v>
      </c>
      <c r="J773" s="196">
        <v>0</v>
      </c>
      <c r="N773" s="66" t="s">
        <v>18507</v>
      </c>
      <c r="O773" s="651">
        <v>25396.34</v>
      </c>
    </row>
    <row r="774" spans="1:15" ht="12.95" hidden="1">
      <c r="A774" s="86">
        <v>44343</v>
      </c>
      <c r="B774" s="124">
        <v>22008</v>
      </c>
      <c r="C774" s="30">
        <f>13204*3.3273</f>
        <v>43933.669200000004</v>
      </c>
      <c r="D774" s="116">
        <v>7526.6490000000003</v>
      </c>
      <c r="E774" s="116">
        <f t="shared" si="24"/>
        <v>36407.020200000006</v>
      </c>
      <c r="F774" s="116">
        <f t="shared" si="25"/>
        <v>1.6542630043620505</v>
      </c>
      <c r="G774" s="88" t="s">
        <v>19651</v>
      </c>
      <c r="H774" s="85" t="s">
        <v>18475</v>
      </c>
      <c r="I774" s="86">
        <v>44321</v>
      </c>
      <c r="J774" s="196">
        <f>5809.44*40%</f>
        <v>2323.7759999999998</v>
      </c>
      <c r="N774" s="66" t="s">
        <v>18508</v>
      </c>
      <c r="O774" s="651">
        <v>25198.84</v>
      </c>
    </row>
    <row r="775" spans="1:15" ht="12.95" hidden="1">
      <c r="A775" s="86">
        <v>44343</v>
      </c>
      <c r="B775" s="124">
        <v>43200</v>
      </c>
      <c r="C775" s="30">
        <v>73008</v>
      </c>
      <c r="D775" s="116">
        <v>0</v>
      </c>
      <c r="E775" s="116">
        <f t="shared" si="24"/>
        <v>73008</v>
      </c>
      <c r="F775" s="116">
        <f t="shared" si="25"/>
        <v>1.69</v>
      </c>
      <c r="G775" s="88" t="s">
        <v>19655</v>
      </c>
      <c r="H775" s="85" t="s">
        <v>18483</v>
      </c>
      <c r="I775" s="86">
        <v>44334</v>
      </c>
      <c r="J775" s="196">
        <v>0</v>
      </c>
      <c r="N775" s="66" t="s">
        <v>18509</v>
      </c>
      <c r="O775" s="651">
        <v>25396.34</v>
      </c>
    </row>
    <row r="776" spans="1:15" ht="12.95" hidden="1">
      <c r="A776" s="86">
        <v>44343</v>
      </c>
      <c r="B776" s="124">
        <v>40000</v>
      </c>
      <c r="C776" s="30">
        <f>2.7233*30400</f>
        <v>82788.320000000007</v>
      </c>
      <c r="D776" s="116">
        <v>9464.35</v>
      </c>
      <c r="E776" s="116">
        <f t="shared" si="24"/>
        <v>73323.97</v>
      </c>
      <c r="F776" s="116">
        <f t="shared" si="25"/>
        <v>1.8330992500000001</v>
      </c>
      <c r="G776" s="88" t="s">
        <v>19659</v>
      </c>
      <c r="H776" s="85" t="s">
        <v>18479</v>
      </c>
      <c r="I776" s="86">
        <v>44333</v>
      </c>
      <c r="J776" s="196">
        <f>6867.49*25%</f>
        <v>1716.8724999999999</v>
      </c>
      <c r="N776" s="66" t="s">
        <v>18510</v>
      </c>
      <c r="O776" s="651">
        <v>0</v>
      </c>
    </row>
    <row r="777" spans="1:15" ht="12.95" hidden="1">
      <c r="A777" s="86">
        <v>44343</v>
      </c>
      <c r="B777" s="124">
        <v>65986</v>
      </c>
      <c r="C777" s="30">
        <f>50505.21*2.7197</f>
        <v>137359.01963699999</v>
      </c>
      <c r="D777" s="116">
        <v>27633.706999999999</v>
      </c>
      <c r="E777" s="116">
        <f t="shared" si="24"/>
        <v>109725.312637</v>
      </c>
      <c r="F777" s="116">
        <f t="shared" si="25"/>
        <v>1.662857464265147</v>
      </c>
      <c r="G777" s="88" t="s">
        <v>19726</v>
      </c>
      <c r="H777" s="85" t="s">
        <v>18473</v>
      </c>
      <c r="I777" s="86">
        <v>44321</v>
      </c>
      <c r="J777" s="196">
        <f>24185.067*40%</f>
        <v>9674.0267999999996</v>
      </c>
      <c r="N777" s="66" t="s">
        <v>18511</v>
      </c>
      <c r="O777" s="651">
        <v>4612.93</v>
      </c>
    </row>
    <row r="778" spans="1:15" ht="12.95" hidden="1">
      <c r="A778" s="86">
        <v>44343</v>
      </c>
      <c r="B778" s="124">
        <v>28000</v>
      </c>
      <c r="C778" s="30">
        <v>44240</v>
      </c>
      <c r="D778" s="116">
        <v>0</v>
      </c>
      <c r="E778" s="116">
        <f t="shared" si="24"/>
        <v>44240</v>
      </c>
      <c r="F778" s="116">
        <f t="shared" si="25"/>
        <v>1.58</v>
      </c>
      <c r="G778" s="88" t="s">
        <v>19647</v>
      </c>
      <c r="H778" s="85" t="s">
        <v>18476</v>
      </c>
      <c r="I778" s="86">
        <v>44321</v>
      </c>
      <c r="J778" s="196">
        <v>0</v>
      </c>
      <c r="N778" s="66" t="s">
        <v>18512</v>
      </c>
      <c r="O778" s="651">
        <v>0</v>
      </c>
    </row>
    <row r="779" spans="1:15" ht="12.95" hidden="1">
      <c r="A779" s="86">
        <v>44343</v>
      </c>
      <c r="B779" s="182">
        <v>123624</v>
      </c>
      <c r="C779" s="30">
        <v>211144.32000000001</v>
      </c>
      <c r="D779" s="116">
        <v>0</v>
      </c>
      <c r="E779" s="116">
        <f t="shared" si="24"/>
        <v>211144.32000000001</v>
      </c>
      <c r="F779" s="116">
        <f t="shared" si="25"/>
        <v>1.7079557367501457</v>
      </c>
      <c r="G779" s="88" t="s">
        <v>19656</v>
      </c>
      <c r="H779" s="85" t="s">
        <v>18480</v>
      </c>
      <c r="I779" s="86">
        <v>44333</v>
      </c>
      <c r="J779" s="196">
        <v>0</v>
      </c>
      <c r="N779" s="66" t="s">
        <v>18513</v>
      </c>
      <c r="O779" s="651">
        <v>0</v>
      </c>
    </row>
    <row r="780" spans="1:15" ht="12.95" hidden="1">
      <c r="A780" s="86">
        <v>44345</v>
      </c>
      <c r="B780" s="124">
        <v>307200</v>
      </c>
      <c r="C780" s="30">
        <f>214333.76*2.7176</f>
        <v>582473.42617600004</v>
      </c>
      <c r="D780" s="197">
        <v>42260.601999999999</v>
      </c>
      <c r="E780" s="116">
        <f t="shared" si="24"/>
        <v>540212.82417600008</v>
      </c>
      <c r="F780" s="116">
        <f t="shared" si="25"/>
        <v>1.7585052870312503</v>
      </c>
      <c r="G780" s="88" t="s">
        <v>19777</v>
      </c>
      <c r="H780" s="85" t="s">
        <v>18489</v>
      </c>
      <c r="I780" s="86">
        <v>44338</v>
      </c>
      <c r="J780" s="198">
        <f>29903.72*50%</f>
        <v>14951.86</v>
      </c>
      <c r="N780" s="66" t="s">
        <v>18514</v>
      </c>
      <c r="O780" s="651">
        <v>41528.504000000001</v>
      </c>
    </row>
    <row r="781" spans="1:15" ht="12.95" hidden="1">
      <c r="A781" s="86">
        <v>44347</v>
      </c>
      <c r="B781" s="124">
        <v>280000</v>
      </c>
      <c r="C781" s="30">
        <v>378000</v>
      </c>
      <c r="D781" s="116">
        <v>0</v>
      </c>
      <c r="E781" s="116">
        <f t="shared" si="24"/>
        <v>378000</v>
      </c>
      <c r="F781" s="116">
        <f t="shared" si="25"/>
        <v>1.35</v>
      </c>
      <c r="G781" s="88" t="s">
        <v>19652</v>
      </c>
      <c r="H781" s="85" t="s">
        <v>18482</v>
      </c>
      <c r="I781" s="86">
        <v>44334</v>
      </c>
      <c r="J781" s="196">
        <v>0</v>
      </c>
      <c r="N781" s="66" t="s">
        <v>18515</v>
      </c>
      <c r="O781" s="651">
        <v>112566.7</v>
      </c>
    </row>
    <row r="782" spans="1:15" ht="12.95" hidden="1">
      <c r="A782" s="132">
        <v>44347</v>
      </c>
      <c r="B782" s="201">
        <v>66024</v>
      </c>
      <c r="C782" s="202">
        <v>93093.84</v>
      </c>
      <c r="D782" s="135">
        <v>0</v>
      </c>
      <c r="E782" s="135">
        <f t="shared" si="24"/>
        <v>93093.84</v>
      </c>
      <c r="F782" s="135">
        <f t="shared" si="25"/>
        <v>1.41</v>
      </c>
      <c r="G782" s="136" t="s">
        <v>19647</v>
      </c>
      <c r="H782" s="137" t="s">
        <v>18485</v>
      </c>
      <c r="I782" s="215">
        <v>44334</v>
      </c>
      <c r="J782" s="135">
        <v>0</v>
      </c>
      <c r="N782" s="66" t="s">
        <v>18516</v>
      </c>
      <c r="O782" s="651">
        <v>0</v>
      </c>
    </row>
    <row r="783" spans="1:15" ht="12.95" hidden="1">
      <c r="A783" s="132">
        <v>44348</v>
      </c>
      <c r="B783" s="201">
        <v>66024</v>
      </c>
      <c r="C783" s="202">
        <v>93093.84</v>
      </c>
      <c r="D783" s="135">
        <v>0</v>
      </c>
      <c r="E783" s="135">
        <f t="shared" si="24"/>
        <v>93093.84</v>
      </c>
      <c r="F783" s="135">
        <f t="shared" si="25"/>
        <v>1.41</v>
      </c>
      <c r="G783" s="136" t="s">
        <v>19647</v>
      </c>
      <c r="H783" s="283" t="s">
        <v>18485</v>
      </c>
      <c r="I783" s="216">
        <v>44334</v>
      </c>
      <c r="J783" s="135">
        <v>0</v>
      </c>
      <c r="M783" s="75"/>
      <c r="N783" s="66" t="s">
        <v>18517</v>
      </c>
      <c r="O783" s="651">
        <v>0</v>
      </c>
    </row>
    <row r="784" spans="1:15" ht="12.95" hidden="1">
      <c r="A784" s="86">
        <v>44355</v>
      </c>
      <c r="B784" s="124">
        <v>20750</v>
      </c>
      <c r="C784" s="30">
        <v>36312.5</v>
      </c>
      <c r="D784" s="116">
        <v>0</v>
      </c>
      <c r="E784" s="116">
        <f t="shared" si="24"/>
        <v>36312.5</v>
      </c>
      <c r="F784" s="116">
        <f t="shared" si="25"/>
        <v>1.75</v>
      </c>
      <c r="G784" s="88" t="s">
        <v>19655</v>
      </c>
      <c r="H784" s="85" t="s">
        <v>18492</v>
      </c>
      <c r="I784" s="81">
        <v>44350</v>
      </c>
      <c r="J784" s="116">
        <v>0</v>
      </c>
      <c r="M784" s="75"/>
      <c r="N784" s="66" t="s">
        <v>18518</v>
      </c>
      <c r="O784" s="651">
        <v>0</v>
      </c>
    </row>
    <row r="785" spans="1:15" ht="12.95" hidden="1">
      <c r="A785" s="86">
        <v>44355</v>
      </c>
      <c r="B785" s="124">
        <v>38400</v>
      </c>
      <c r="C785" s="30">
        <v>67200</v>
      </c>
      <c r="D785" s="116">
        <v>0</v>
      </c>
      <c r="E785" s="116">
        <f t="shared" si="24"/>
        <v>67200</v>
      </c>
      <c r="F785" s="116">
        <f t="shared" si="25"/>
        <v>1.75</v>
      </c>
      <c r="G785" s="88" t="s">
        <v>19655</v>
      </c>
      <c r="H785" s="85" t="s">
        <v>18491</v>
      </c>
      <c r="I785" s="81">
        <v>44350</v>
      </c>
      <c r="J785" s="116">
        <v>0</v>
      </c>
      <c r="M785" s="75"/>
      <c r="N785" s="66" t="s">
        <v>18519</v>
      </c>
      <c r="O785" s="651">
        <v>0</v>
      </c>
    </row>
    <row r="786" spans="1:15" ht="12.95" hidden="1">
      <c r="A786" s="86">
        <v>44359</v>
      </c>
      <c r="B786" s="124">
        <v>112000</v>
      </c>
      <c r="C786" s="30">
        <v>168000</v>
      </c>
      <c r="D786" s="116">
        <v>0</v>
      </c>
      <c r="E786" s="116">
        <f t="shared" si="24"/>
        <v>168000</v>
      </c>
      <c r="F786" s="116">
        <f t="shared" si="25"/>
        <v>1.5</v>
      </c>
      <c r="G786" s="88" t="s">
        <v>19656</v>
      </c>
      <c r="H786" s="85" t="s">
        <v>18497</v>
      </c>
      <c r="I786" s="81">
        <v>44351</v>
      </c>
      <c r="J786" s="116">
        <v>0</v>
      </c>
      <c r="M786" s="75"/>
      <c r="N786" s="66" t="s">
        <v>18520</v>
      </c>
      <c r="O786" s="651">
        <v>0</v>
      </c>
    </row>
    <row r="787" spans="1:15" ht="12.95" hidden="1">
      <c r="A787" s="86">
        <v>44361</v>
      </c>
      <c r="B787" s="124">
        <v>280200</v>
      </c>
      <c r="C787" s="30">
        <v>423816</v>
      </c>
      <c r="D787" s="116">
        <v>0</v>
      </c>
      <c r="E787" s="116">
        <f t="shared" si="24"/>
        <v>423816</v>
      </c>
      <c r="F787" s="116">
        <f t="shared" si="25"/>
        <v>1.5125481798715203</v>
      </c>
      <c r="G787" s="88" t="s">
        <v>19655</v>
      </c>
      <c r="H787" s="85" t="s">
        <v>18499</v>
      </c>
      <c r="I787" s="81">
        <v>44351</v>
      </c>
      <c r="J787" s="116">
        <v>0</v>
      </c>
      <c r="M787" s="75"/>
      <c r="N787" s="66" t="s">
        <v>18521</v>
      </c>
      <c r="O787" s="651">
        <v>0</v>
      </c>
    </row>
    <row r="788" spans="1:15" ht="12.95" hidden="1">
      <c r="A788" s="86">
        <v>44361</v>
      </c>
      <c r="B788" s="124">
        <v>21600</v>
      </c>
      <c r="C788" s="30">
        <v>36504</v>
      </c>
      <c r="D788" s="116">
        <v>0</v>
      </c>
      <c r="E788" s="116">
        <f t="shared" si="24"/>
        <v>36504</v>
      </c>
      <c r="F788" s="116">
        <f t="shared" si="25"/>
        <v>1.69</v>
      </c>
      <c r="G788" s="88" t="s">
        <v>19655</v>
      </c>
      <c r="H788" s="85" t="s">
        <v>18493</v>
      </c>
      <c r="I788" s="81">
        <v>44350</v>
      </c>
      <c r="J788" s="116">
        <v>0</v>
      </c>
      <c r="N788" s="66" t="s">
        <v>18522</v>
      </c>
      <c r="O788" s="651">
        <v>0</v>
      </c>
    </row>
    <row r="789" spans="1:15" ht="12.95" hidden="1">
      <c r="A789" s="86">
        <v>44361</v>
      </c>
      <c r="B789" s="124">
        <v>20000</v>
      </c>
      <c r="C789" s="30">
        <v>35800</v>
      </c>
      <c r="D789" s="116">
        <v>0</v>
      </c>
      <c r="E789" s="116">
        <f t="shared" si="24"/>
        <v>35800</v>
      </c>
      <c r="F789" s="116">
        <f t="shared" si="25"/>
        <v>1.79</v>
      </c>
      <c r="G789" s="88" t="s">
        <v>19816</v>
      </c>
      <c r="H789" s="85" t="s">
        <v>18495</v>
      </c>
      <c r="I789" s="81">
        <v>44351</v>
      </c>
      <c r="J789" s="116">
        <v>0</v>
      </c>
      <c r="N789" s="66" t="s">
        <v>18523</v>
      </c>
      <c r="O789" s="651">
        <v>0</v>
      </c>
    </row>
    <row r="790" spans="1:15" ht="12.95" hidden="1">
      <c r="A790" s="86">
        <v>44362</v>
      </c>
      <c r="B790" s="124">
        <v>23044</v>
      </c>
      <c r="C790" s="30">
        <f>25516.25*2.72785</f>
        <v>69604.502562499998</v>
      </c>
      <c r="D790" s="116">
        <v>5944.33</v>
      </c>
      <c r="E790" s="116">
        <f t="shared" si="24"/>
        <v>63660.172562499996</v>
      </c>
      <c r="F790" s="116">
        <f t="shared" si="25"/>
        <v>2.7625487138734592</v>
      </c>
      <c r="G790" s="88" t="s">
        <v>17210</v>
      </c>
      <c r="H790" s="85" t="s">
        <v>18503</v>
      </c>
      <c r="I790" s="81">
        <v>44355</v>
      </c>
      <c r="J790" s="116">
        <f>4870.25*25%</f>
        <v>1217.5625</v>
      </c>
      <c r="N790" s="66" t="s">
        <v>18524</v>
      </c>
      <c r="O790" s="651">
        <v>0</v>
      </c>
    </row>
    <row r="791" spans="1:15" ht="12.95" hidden="1">
      <c r="A791" s="86">
        <v>44363</v>
      </c>
      <c r="B791" s="124">
        <v>130000</v>
      </c>
      <c r="C791" s="30">
        <f>90740*2.7354</f>
        <v>248210.196</v>
      </c>
      <c r="D791" s="116">
        <v>40964.71</v>
      </c>
      <c r="E791" s="116">
        <f t="shared" si="24"/>
        <v>207245.486</v>
      </c>
      <c r="F791" s="116">
        <f t="shared" si="25"/>
        <v>1.5941960461538462</v>
      </c>
      <c r="G791" s="88" t="s">
        <v>19817</v>
      </c>
      <c r="H791" s="85" t="s">
        <v>18471</v>
      </c>
      <c r="I791" s="81">
        <v>44321</v>
      </c>
      <c r="J791" s="116">
        <f>35163.61*40%</f>
        <v>14065.444000000001</v>
      </c>
      <c r="N791" s="66" t="s">
        <v>18525</v>
      </c>
      <c r="O791" s="651">
        <v>9700.36</v>
      </c>
    </row>
    <row r="792" spans="1:15" ht="12.95" hidden="1">
      <c r="A792" s="86">
        <v>44363</v>
      </c>
      <c r="B792" s="124">
        <v>20157.599999999999</v>
      </c>
      <c r="C792" s="30">
        <v>38249.046000000002</v>
      </c>
      <c r="D792" s="116">
        <v>0</v>
      </c>
      <c r="E792" s="116">
        <f t="shared" si="24"/>
        <v>38249.046000000002</v>
      </c>
      <c r="F792" s="116">
        <f t="shared" si="25"/>
        <v>1.8975000000000002</v>
      </c>
      <c r="G792" s="88" t="s">
        <v>19769</v>
      </c>
      <c r="H792" s="85" t="s">
        <v>18488</v>
      </c>
      <c r="I792" s="81">
        <v>44336</v>
      </c>
      <c r="J792" s="116">
        <v>0</v>
      </c>
      <c r="N792" s="66" t="s">
        <v>18526</v>
      </c>
      <c r="O792" s="651">
        <v>0</v>
      </c>
    </row>
    <row r="793" spans="1:15" ht="12.95" hidden="1">
      <c r="A793" s="203">
        <v>44364</v>
      </c>
      <c r="B793" s="204">
        <v>108000</v>
      </c>
      <c r="C793" s="205">
        <f>52380*3.3211</f>
        <v>173959.21799999999</v>
      </c>
      <c r="D793" s="206">
        <v>25396.34</v>
      </c>
      <c r="E793" s="207">
        <f t="shared" si="24"/>
        <v>148562.878</v>
      </c>
      <c r="F793" s="207">
        <f t="shared" si="25"/>
        <v>1.3755822037037038</v>
      </c>
      <c r="G793" s="208" t="s">
        <v>19722</v>
      </c>
      <c r="H793" s="209" t="s">
        <v>18506</v>
      </c>
      <c r="I793" s="217">
        <v>44355</v>
      </c>
      <c r="J793" s="206">
        <f>20508.12*40%</f>
        <v>8203.2479999999996</v>
      </c>
      <c r="N793" s="66" t="s">
        <v>18527</v>
      </c>
      <c r="O793" s="651">
        <v>2879.37</v>
      </c>
    </row>
    <row r="794" spans="1:15" ht="14.45" hidden="1">
      <c r="A794" s="203">
        <v>44365</v>
      </c>
      <c r="B794" s="204">
        <v>108000</v>
      </c>
      <c r="C794" s="210">
        <f>52380*3.31925</f>
        <v>173862.315</v>
      </c>
      <c r="D794" s="206">
        <v>25396.34</v>
      </c>
      <c r="E794" s="207">
        <f t="shared" si="24"/>
        <v>148465.97500000001</v>
      </c>
      <c r="F794" s="207">
        <f t="shared" si="25"/>
        <v>1.3746849537037038</v>
      </c>
      <c r="G794" s="208" t="s">
        <v>19722</v>
      </c>
      <c r="H794" s="211" t="s">
        <v>18507</v>
      </c>
      <c r="I794" s="217">
        <v>44355</v>
      </c>
      <c r="J794" s="206">
        <f>20508.12*40%</f>
        <v>8203.2479999999996</v>
      </c>
      <c r="N794" s="66" t="s">
        <v>18528</v>
      </c>
      <c r="O794" s="651">
        <v>0</v>
      </c>
    </row>
    <row r="795" spans="1:15" ht="14.45" hidden="1">
      <c r="A795" s="203">
        <v>44366</v>
      </c>
      <c r="B795" s="204">
        <v>108000</v>
      </c>
      <c r="C795" s="210">
        <f>52380*3.30335</f>
        <v>173029.473</v>
      </c>
      <c r="D795" s="206">
        <v>25198.84</v>
      </c>
      <c r="E795" s="207">
        <f t="shared" si="24"/>
        <v>147830.633</v>
      </c>
      <c r="F795" s="207">
        <f t="shared" si="25"/>
        <v>1.3688021574074074</v>
      </c>
      <c r="G795" s="208" t="s">
        <v>19722</v>
      </c>
      <c r="H795" s="211" t="s">
        <v>18508</v>
      </c>
      <c r="I795" s="217">
        <v>44355</v>
      </c>
      <c r="J795" s="206">
        <f>20508.12*40%</f>
        <v>8203.2479999999996</v>
      </c>
      <c r="N795" s="66" t="s">
        <v>18529</v>
      </c>
      <c r="O795" s="651">
        <v>0</v>
      </c>
    </row>
    <row r="796" spans="1:15" ht="14.45" hidden="1">
      <c r="A796" s="203">
        <v>44368</v>
      </c>
      <c r="B796" s="204">
        <v>108000</v>
      </c>
      <c r="C796" s="210">
        <f>52380*3.30335</f>
        <v>173029.473</v>
      </c>
      <c r="D796" s="206">
        <v>25396.34</v>
      </c>
      <c r="E796" s="207">
        <f t="shared" si="24"/>
        <v>147633.133</v>
      </c>
      <c r="F796" s="207">
        <f t="shared" si="25"/>
        <v>1.3669734537037037</v>
      </c>
      <c r="G796" s="208" t="s">
        <v>19722</v>
      </c>
      <c r="H796" s="211" t="s">
        <v>18509</v>
      </c>
      <c r="I796" s="217">
        <v>44355</v>
      </c>
      <c r="J796" s="206">
        <f>20508.12*40%</f>
        <v>8203.2479999999996</v>
      </c>
      <c r="N796" s="66" t="s">
        <v>18530</v>
      </c>
      <c r="O796" s="651">
        <v>1681.72</v>
      </c>
    </row>
    <row r="797" spans="1:15" ht="14.45" hidden="1">
      <c r="A797" s="86">
        <v>44368</v>
      </c>
      <c r="B797" s="124">
        <v>38070</v>
      </c>
      <c r="C797" s="30">
        <v>69368.100000000006</v>
      </c>
      <c r="D797" s="116">
        <v>0</v>
      </c>
      <c r="E797" s="116">
        <f t="shared" si="24"/>
        <v>69368.100000000006</v>
      </c>
      <c r="F797" s="116">
        <f t="shared" si="25"/>
        <v>1.822119779353822</v>
      </c>
      <c r="G797" s="88" t="s">
        <v>19652</v>
      </c>
      <c r="H797" s="109" t="s">
        <v>18502</v>
      </c>
      <c r="I797" s="81">
        <v>44355</v>
      </c>
      <c r="J797" s="116">
        <v>0</v>
      </c>
      <c r="N797" s="66" t="s">
        <v>18531</v>
      </c>
      <c r="O797" s="651">
        <v>0</v>
      </c>
    </row>
    <row r="798" spans="1:15" ht="14.45" hidden="1">
      <c r="A798" s="86">
        <v>44368</v>
      </c>
      <c r="B798" s="124">
        <v>52500</v>
      </c>
      <c r="C798" s="30">
        <f>61750*2.7687</f>
        <v>170967.22500000001</v>
      </c>
      <c r="D798" s="116">
        <v>0</v>
      </c>
      <c r="E798" s="116">
        <f t="shared" si="24"/>
        <v>170967.22500000001</v>
      </c>
      <c r="F798" s="116">
        <f t="shared" si="25"/>
        <v>3.2565185714285714</v>
      </c>
      <c r="G798" s="88" t="s">
        <v>19688</v>
      </c>
      <c r="H798" s="109" t="s">
        <v>18510</v>
      </c>
      <c r="I798" s="81">
        <v>44355</v>
      </c>
      <c r="J798" s="116">
        <v>0</v>
      </c>
      <c r="N798" s="66" t="s">
        <v>18532</v>
      </c>
      <c r="O798" s="651">
        <v>0</v>
      </c>
    </row>
    <row r="799" spans="1:15" ht="14.45" hidden="1">
      <c r="A799" s="86">
        <v>44369</v>
      </c>
      <c r="B799" s="124">
        <v>260456</v>
      </c>
      <c r="C799" s="30">
        <v>448740.88</v>
      </c>
      <c r="D799" s="116">
        <v>0</v>
      </c>
      <c r="E799" s="116">
        <f t="shared" si="24"/>
        <v>448740.88</v>
      </c>
      <c r="F799" s="116">
        <f t="shared" si="25"/>
        <v>1.7229047516663083</v>
      </c>
      <c r="G799" s="88" t="s">
        <v>19656</v>
      </c>
      <c r="H799" s="109" t="s">
        <v>18498</v>
      </c>
      <c r="I799" s="81">
        <v>44351</v>
      </c>
      <c r="J799" s="116">
        <v>0</v>
      </c>
      <c r="N799" s="66" t="s">
        <v>18533</v>
      </c>
      <c r="O799" s="651">
        <v>2616.9949999999999</v>
      </c>
    </row>
    <row r="800" spans="1:15" ht="14.45" hidden="1">
      <c r="A800" s="86">
        <v>44370</v>
      </c>
      <c r="B800" s="124">
        <v>131040</v>
      </c>
      <c r="C800" s="30">
        <f>98773.4*2.7687</f>
        <v>273473.91258</v>
      </c>
      <c r="D800" s="116">
        <v>52044.84</v>
      </c>
      <c r="E800" s="116">
        <f t="shared" si="24"/>
        <v>221429.07258000001</v>
      </c>
      <c r="F800" s="116">
        <f t="shared" si="25"/>
        <v>1.6897822999084249</v>
      </c>
      <c r="G800" s="88" t="s">
        <v>17805</v>
      </c>
      <c r="H800" s="109" t="s">
        <v>18505</v>
      </c>
      <c r="I800" s="81">
        <v>44355</v>
      </c>
      <c r="J800" s="116">
        <f>45117.36*40%</f>
        <v>18046.944</v>
      </c>
      <c r="N800" s="66" t="s">
        <v>18534</v>
      </c>
      <c r="O800" s="651">
        <v>25396.34</v>
      </c>
    </row>
    <row r="801" spans="1:15" ht="14.45" hidden="1">
      <c r="A801" s="86">
        <v>44370</v>
      </c>
      <c r="B801" s="124">
        <v>20000</v>
      </c>
      <c r="C801" s="30">
        <f>14800*2.7687</f>
        <v>40976.76</v>
      </c>
      <c r="D801" s="116">
        <v>4633.93</v>
      </c>
      <c r="E801" s="116">
        <f t="shared" si="24"/>
        <v>36342.83</v>
      </c>
      <c r="F801" s="116">
        <f t="shared" si="25"/>
        <v>1.8171415000000002</v>
      </c>
      <c r="G801" s="282" t="s">
        <v>19818</v>
      </c>
      <c r="H801" s="109" t="s">
        <v>18501</v>
      </c>
      <c r="I801" s="81">
        <v>44355</v>
      </c>
      <c r="J801" s="116">
        <f>3478.44*25%</f>
        <v>869.61</v>
      </c>
      <c r="N801" s="66" t="s">
        <v>18535</v>
      </c>
      <c r="O801" s="651">
        <v>25396.34</v>
      </c>
    </row>
    <row r="802" spans="1:15" ht="14.45" hidden="1">
      <c r="A802" s="86">
        <v>44371</v>
      </c>
      <c r="B802" s="124">
        <v>96000</v>
      </c>
      <c r="C802" s="30">
        <v>170880</v>
      </c>
      <c r="D802" s="116">
        <v>0</v>
      </c>
      <c r="E802" s="116">
        <f t="shared" si="24"/>
        <v>170880</v>
      </c>
      <c r="F802" s="116">
        <f t="shared" si="25"/>
        <v>1.78</v>
      </c>
      <c r="G802" s="88" t="s">
        <v>19656</v>
      </c>
      <c r="H802" s="109" t="s">
        <v>18496</v>
      </c>
      <c r="I802" s="81">
        <v>44351</v>
      </c>
      <c r="J802" s="116">
        <v>0</v>
      </c>
      <c r="N802" s="66" t="s">
        <v>18536</v>
      </c>
      <c r="O802" s="651">
        <v>32505.1</v>
      </c>
    </row>
    <row r="803" spans="1:15" ht="14.45" hidden="1">
      <c r="A803" s="86">
        <v>44371</v>
      </c>
      <c r="B803" s="124">
        <v>19200</v>
      </c>
      <c r="C803" s="30">
        <v>33984</v>
      </c>
      <c r="D803" s="116">
        <v>0</v>
      </c>
      <c r="E803" s="116">
        <f t="shared" si="24"/>
        <v>33984</v>
      </c>
      <c r="F803" s="116">
        <f t="shared" si="25"/>
        <v>1.77</v>
      </c>
      <c r="G803" s="88" t="s">
        <v>19655</v>
      </c>
      <c r="H803" s="109" t="s">
        <v>18494</v>
      </c>
      <c r="I803" s="81">
        <v>44351</v>
      </c>
      <c r="J803" s="116">
        <v>0</v>
      </c>
      <c r="N803" s="66" t="s">
        <v>18537</v>
      </c>
      <c r="O803" s="651">
        <v>31791.1</v>
      </c>
    </row>
    <row r="804" spans="1:15" ht="14.45" hidden="1">
      <c r="A804" s="86">
        <v>44371</v>
      </c>
      <c r="B804" s="124">
        <v>9468</v>
      </c>
      <c r="C804" s="30">
        <v>17989.2</v>
      </c>
      <c r="D804" s="116">
        <v>0</v>
      </c>
      <c r="E804" s="116">
        <f t="shared" si="24"/>
        <v>17989.2</v>
      </c>
      <c r="F804" s="116">
        <f t="shared" si="25"/>
        <v>1.9000000000000001</v>
      </c>
      <c r="G804" s="88" t="s">
        <v>17294</v>
      </c>
      <c r="H804" s="109" t="s">
        <v>18513</v>
      </c>
      <c r="I804" s="81">
        <v>44351</v>
      </c>
      <c r="J804" s="116">
        <v>0</v>
      </c>
      <c r="N804" s="66" t="s">
        <v>18538</v>
      </c>
      <c r="O804" s="651">
        <v>67497.5</v>
      </c>
    </row>
    <row r="805" spans="1:15" ht="14.45" hidden="1">
      <c r="A805" s="86">
        <v>44372</v>
      </c>
      <c r="B805" s="124">
        <v>40000</v>
      </c>
      <c r="C805" s="30">
        <v>72400</v>
      </c>
      <c r="D805" s="116">
        <v>0</v>
      </c>
      <c r="E805" s="116">
        <f t="shared" si="24"/>
        <v>72400</v>
      </c>
      <c r="F805" s="116">
        <f t="shared" si="25"/>
        <v>1.81</v>
      </c>
      <c r="G805" s="88" t="s">
        <v>17018</v>
      </c>
      <c r="H805" s="109" t="s">
        <v>18504</v>
      </c>
      <c r="I805" s="81">
        <v>44355</v>
      </c>
      <c r="J805" s="116">
        <v>0</v>
      </c>
      <c r="N805" s="66" t="s">
        <v>18539</v>
      </c>
      <c r="O805" s="651">
        <v>12098.19</v>
      </c>
    </row>
    <row r="806" spans="1:15" ht="14.45" hidden="1">
      <c r="A806" s="86">
        <v>44372</v>
      </c>
      <c r="B806" s="124">
        <v>20000</v>
      </c>
      <c r="C806" s="30">
        <f>14800*2.77365</f>
        <v>41050.019999999997</v>
      </c>
      <c r="D806" s="116">
        <v>4612.93</v>
      </c>
      <c r="E806" s="116">
        <f t="shared" si="24"/>
        <v>36437.089999999997</v>
      </c>
      <c r="F806" s="116">
        <f t="shared" si="25"/>
        <v>1.8218544999999999</v>
      </c>
      <c r="G806" s="282" t="s">
        <v>19819</v>
      </c>
      <c r="H806" s="109" t="s">
        <v>18511</v>
      </c>
      <c r="I806" s="81">
        <v>44357</v>
      </c>
      <c r="J806" s="116">
        <f>3478.44*25%</f>
        <v>869.61</v>
      </c>
      <c r="N806" s="66" t="s">
        <v>18540</v>
      </c>
      <c r="O806" s="651">
        <v>0</v>
      </c>
    </row>
    <row r="807" spans="1:15" ht="14.45" hidden="1">
      <c r="A807" s="86">
        <v>44373</v>
      </c>
      <c r="B807" s="124">
        <v>102600</v>
      </c>
      <c r="C807" s="30">
        <f>79379*2.76765</f>
        <v>219693.28935000001</v>
      </c>
      <c r="D807" s="116">
        <v>41528.504000000001</v>
      </c>
      <c r="E807" s="116">
        <f t="shared" si="24"/>
        <v>178164.78535000002</v>
      </c>
      <c r="F807" s="116">
        <f t="shared" si="25"/>
        <v>1.7364988825536065</v>
      </c>
      <c r="G807" s="282" t="s">
        <v>19790</v>
      </c>
      <c r="H807" s="109" t="s">
        <v>18514</v>
      </c>
      <c r="I807" s="81">
        <v>44365</v>
      </c>
      <c r="J807" s="116">
        <f>35935.404*40%</f>
        <v>14374.161600000001</v>
      </c>
      <c r="N807" s="66" t="s">
        <v>18541</v>
      </c>
      <c r="O807" s="651">
        <v>0</v>
      </c>
    </row>
    <row r="808" spans="1:15" ht="14.45" hidden="1">
      <c r="A808" s="86">
        <v>44375</v>
      </c>
      <c r="B808" s="124">
        <v>130000</v>
      </c>
      <c r="C808" s="30">
        <v>201500</v>
      </c>
      <c r="D808" s="116">
        <v>0</v>
      </c>
      <c r="E808" s="116">
        <f t="shared" si="24"/>
        <v>201500</v>
      </c>
      <c r="F808" s="116">
        <f t="shared" si="25"/>
        <v>1.55</v>
      </c>
      <c r="G808" s="88" t="s">
        <v>19647</v>
      </c>
      <c r="H808" s="109" t="s">
        <v>18512</v>
      </c>
      <c r="I808" s="81">
        <v>44362</v>
      </c>
      <c r="J808" s="116">
        <v>0</v>
      </c>
      <c r="N808" s="66" t="s">
        <v>18542</v>
      </c>
      <c r="O808" s="651">
        <v>0</v>
      </c>
    </row>
    <row r="809" spans="1:15" ht="14.45" hidden="1">
      <c r="A809" s="86">
        <v>44375</v>
      </c>
      <c r="B809" s="124">
        <v>76800</v>
      </c>
      <c r="C809" s="30">
        <v>134400</v>
      </c>
      <c r="D809" s="116">
        <v>0</v>
      </c>
      <c r="E809" s="116">
        <f t="shared" si="24"/>
        <v>134400</v>
      </c>
      <c r="F809" s="116">
        <f t="shared" si="25"/>
        <v>1.75</v>
      </c>
      <c r="G809" s="88" t="s">
        <v>19655</v>
      </c>
      <c r="H809" s="109" t="s">
        <v>18500</v>
      </c>
      <c r="I809" s="81">
        <v>44355</v>
      </c>
      <c r="J809" s="116">
        <v>0</v>
      </c>
      <c r="N809" s="66" t="s">
        <v>18543</v>
      </c>
      <c r="O809" s="651">
        <v>0</v>
      </c>
    </row>
    <row r="810" spans="1:15" ht="14.45" hidden="1">
      <c r="A810" s="86">
        <v>44376</v>
      </c>
      <c r="B810" s="124">
        <v>27336</v>
      </c>
      <c r="C810" s="30">
        <f>19287.56*3.3047</f>
        <v>63739.599532</v>
      </c>
      <c r="D810" s="116">
        <v>11882.88</v>
      </c>
      <c r="E810" s="116">
        <f t="shared" si="24"/>
        <v>51856.719532000003</v>
      </c>
      <c r="F810" s="116">
        <f t="shared" si="25"/>
        <v>1.8970119817091016</v>
      </c>
      <c r="G810" s="88" t="s">
        <v>19661</v>
      </c>
      <c r="H810" s="109" t="s">
        <v>18490</v>
      </c>
      <c r="I810" s="81">
        <v>44341</v>
      </c>
      <c r="J810" s="116">
        <f>10322.2*40%</f>
        <v>4128.88</v>
      </c>
      <c r="N810" s="66" t="s">
        <v>18544</v>
      </c>
      <c r="O810" s="651">
        <v>0</v>
      </c>
    </row>
    <row r="811" spans="1:15" ht="12.95" hidden="1">
      <c r="A811" s="86">
        <v>44377</v>
      </c>
      <c r="B811" s="124">
        <v>261800</v>
      </c>
      <c r="C811" s="30">
        <v>370504</v>
      </c>
      <c r="D811" s="116">
        <v>0</v>
      </c>
      <c r="E811" s="116">
        <f t="shared" si="24"/>
        <v>370504</v>
      </c>
      <c r="F811" s="116">
        <f t="shared" si="25"/>
        <v>1.4152177234530177</v>
      </c>
      <c r="G811" s="212" t="s">
        <v>19655</v>
      </c>
      <c r="H811" s="104" t="s">
        <v>18516</v>
      </c>
      <c r="I811" s="86">
        <v>44365</v>
      </c>
      <c r="J811" s="116">
        <v>0</v>
      </c>
      <c r="N811" s="66" t="s">
        <v>18545</v>
      </c>
      <c r="O811" s="651">
        <v>0</v>
      </c>
    </row>
    <row r="812" spans="1:15" ht="14.45" hidden="1">
      <c r="A812" s="86">
        <v>44377</v>
      </c>
      <c r="B812" s="124">
        <v>274200</v>
      </c>
      <c r="C812" s="30">
        <f>187873*2.76645</f>
        <v>519741.26084999996</v>
      </c>
      <c r="D812" s="116">
        <v>112566.7</v>
      </c>
      <c r="E812" s="116">
        <f t="shared" si="24"/>
        <v>407174.56084999995</v>
      </c>
      <c r="F812" s="116">
        <f t="shared" si="25"/>
        <v>1.4849546347556526</v>
      </c>
      <c r="G812" s="88" t="s">
        <v>19662</v>
      </c>
      <c r="H812" s="109" t="s">
        <v>18515</v>
      </c>
      <c r="I812" s="86">
        <v>44365</v>
      </c>
      <c r="J812" s="116">
        <f>100991.4*40%</f>
        <v>40396.559999999998</v>
      </c>
      <c r="N812" s="66" t="s">
        <v>18546</v>
      </c>
      <c r="O812" s="651">
        <v>0</v>
      </c>
    </row>
    <row r="813" spans="1:15" ht="14.45" hidden="1">
      <c r="A813" s="86">
        <v>44382</v>
      </c>
      <c r="B813" s="124">
        <v>280000</v>
      </c>
      <c r="C813" s="30">
        <v>378000</v>
      </c>
      <c r="D813" s="116">
        <v>0</v>
      </c>
      <c r="E813" s="116">
        <f t="shared" si="24"/>
        <v>378000</v>
      </c>
      <c r="F813" s="116">
        <f t="shared" si="25"/>
        <v>1.35</v>
      </c>
      <c r="G813" s="88" t="s">
        <v>19652</v>
      </c>
      <c r="H813" s="284" t="s">
        <v>18518</v>
      </c>
      <c r="I813" s="81">
        <v>44378</v>
      </c>
      <c r="J813" s="116">
        <v>0</v>
      </c>
      <c r="N813" s="66" t="s">
        <v>18547</v>
      </c>
      <c r="O813" s="651">
        <v>11195.18</v>
      </c>
    </row>
    <row r="814" spans="1:15" ht="12.95" hidden="1">
      <c r="A814" s="86">
        <v>44383</v>
      </c>
      <c r="B814" s="124">
        <v>7436</v>
      </c>
      <c r="C814" s="30">
        <v>16296.4</v>
      </c>
      <c r="D814" s="116">
        <v>0</v>
      </c>
      <c r="E814" s="116">
        <f t="shared" si="24"/>
        <v>16296.4</v>
      </c>
      <c r="F814" s="116">
        <f t="shared" si="25"/>
        <v>2.1915545992469068</v>
      </c>
      <c r="G814" s="88" t="s">
        <v>17273</v>
      </c>
      <c r="H814" s="285" t="s">
        <v>18517</v>
      </c>
      <c r="I814" s="81">
        <v>44370</v>
      </c>
      <c r="J814" s="116">
        <v>0</v>
      </c>
      <c r="N814" s="66" t="s">
        <v>18548</v>
      </c>
      <c r="O814" s="651">
        <v>0</v>
      </c>
    </row>
    <row r="815" spans="1:15" ht="12.95" hidden="1">
      <c r="A815" s="86">
        <v>44387</v>
      </c>
      <c r="B815" s="124">
        <v>96000</v>
      </c>
      <c r="C815" s="30">
        <v>170880</v>
      </c>
      <c r="D815" s="116">
        <v>0</v>
      </c>
      <c r="E815" s="116">
        <f t="shared" si="24"/>
        <v>170880</v>
      </c>
      <c r="F815" s="116">
        <f t="shared" si="25"/>
        <v>1.78</v>
      </c>
      <c r="G815" s="88" t="s">
        <v>19656</v>
      </c>
      <c r="H815" s="285" t="s">
        <v>18524</v>
      </c>
      <c r="I815" s="81">
        <v>44384</v>
      </c>
      <c r="J815" s="116">
        <v>0</v>
      </c>
      <c r="N815" s="66" t="s">
        <v>18549</v>
      </c>
      <c r="O815" s="651">
        <v>0</v>
      </c>
    </row>
    <row r="816" spans="1:15" ht="12.95" hidden="1">
      <c r="A816" s="86">
        <v>44389</v>
      </c>
      <c r="B816" s="124">
        <v>60000</v>
      </c>
      <c r="C816" s="30">
        <v>103800</v>
      </c>
      <c r="D816" s="116">
        <v>0</v>
      </c>
      <c r="E816" s="116">
        <f t="shared" si="24"/>
        <v>103800</v>
      </c>
      <c r="F816" s="116">
        <f t="shared" si="25"/>
        <v>1.73</v>
      </c>
      <c r="G816" s="88" t="s">
        <v>19656</v>
      </c>
      <c r="H816" s="285" t="s">
        <v>18522</v>
      </c>
      <c r="I816" s="81">
        <v>44382</v>
      </c>
      <c r="J816" s="116">
        <v>0</v>
      </c>
      <c r="N816" s="66" t="s">
        <v>18550</v>
      </c>
      <c r="O816" s="651">
        <v>0</v>
      </c>
    </row>
    <row r="817" spans="1:15" ht="12.95" hidden="1">
      <c r="A817" s="86">
        <v>44389</v>
      </c>
      <c r="B817" s="124">
        <v>56000</v>
      </c>
      <c r="C817" s="30">
        <v>100240</v>
      </c>
      <c r="D817" s="116">
        <v>0</v>
      </c>
      <c r="E817" s="116">
        <f t="shared" si="24"/>
        <v>100240</v>
      </c>
      <c r="F817" s="116">
        <f t="shared" si="25"/>
        <v>1.79</v>
      </c>
      <c r="G817" s="88" t="s">
        <v>19655</v>
      </c>
      <c r="H817" s="285" t="s">
        <v>18520</v>
      </c>
      <c r="I817" s="81">
        <v>44377</v>
      </c>
      <c r="J817" s="116">
        <v>0</v>
      </c>
      <c r="N817" s="66" t="s">
        <v>18551</v>
      </c>
      <c r="O817" s="651">
        <v>12010.24</v>
      </c>
    </row>
    <row r="818" spans="1:15" ht="12.95" hidden="1">
      <c r="A818" s="86">
        <v>44389</v>
      </c>
      <c r="B818" s="124">
        <v>22008</v>
      </c>
      <c r="C818" s="30">
        <v>38954.160000000003</v>
      </c>
      <c r="D818" s="116">
        <v>0</v>
      </c>
      <c r="E818" s="116">
        <f t="shared" si="24"/>
        <v>38954.160000000003</v>
      </c>
      <c r="F818" s="116">
        <f t="shared" si="25"/>
        <v>1.7700000000000002</v>
      </c>
      <c r="G818" s="88" t="s">
        <v>19655</v>
      </c>
      <c r="H818" s="285" t="s">
        <v>18523</v>
      </c>
      <c r="I818" s="81">
        <v>44383</v>
      </c>
      <c r="J818" s="116">
        <v>0</v>
      </c>
      <c r="N818" s="66" t="s">
        <v>18552</v>
      </c>
      <c r="O818" s="651">
        <v>0</v>
      </c>
    </row>
    <row r="819" spans="1:15" ht="12.95" hidden="1">
      <c r="A819" s="86">
        <v>44390</v>
      </c>
      <c r="B819" s="124">
        <v>3000</v>
      </c>
      <c r="C819" s="30">
        <v>5700</v>
      </c>
      <c r="D819" s="116">
        <v>0</v>
      </c>
      <c r="E819" s="116">
        <f t="shared" si="24"/>
        <v>5700</v>
      </c>
      <c r="F819" s="116">
        <f t="shared" si="25"/>
        <v>1.9</v>
      </c>
      <c r="G819" s="88" t="s">
        <v>19820</v>
      </c>
      <c r="H819" s="285" t="s">
        <v>18521</v>
      </c>
      <c r="I819" s="81">
        <v>44379</v>
      </c>
      <c r="J819" s="116">
        <v>0</v>
      </c>
      <c r="N819" s="66" t="s">
        <v>18553</v>
      </c>
      <c r="O819" s="651">
        <v>0</v>
      </c>
    </row>
    <row r="820" spans="1:15" ht="12.95" hidden="1">
      <c r="A820" s="86">
        <v>44392</v>
      </c>
      <c r="B820" s="124">
        <v>130000</v>
      </c>
      <c r="C820" s="213">
        <v>202800</v>
      </c>
      <c r="D820" s="116">
        <v>0</v>
      </c>
      <c r="E820" s="116">
        <f t="shared" si="24"/>
        <v>202800</v>
      </c>
      <c r="F820" s="116">
        <f t="shared" si="25"/>
        <v>1.56</v>
      </c>
      <c r="G820" s="88" t="s">
        <v>19647</v>
      </c>
      <c r="H820" s="285" t="s">
        <v>18531</v>
      </c>
      <c r="I820" s="168">
        <v>44386</v>
      </c>
      <c r="J820" s="116">
        <v>0</v>
      </c>
      <c r="N820" s="66" t="s">
        <v>18554</v>
      </c>
      <c r="O820" s="651">
        <v>0</v>
      </c>
    </row>
    <row r="821" spans="1:15" ht="12.95" hidden="1">
      <c r="A821" s="86">
        <v>44392</v>
      </c>
      <c r="B821" s="124">
        <v>18500</v>
      </c>
      <c r="C821" s="131">
        <f>22415*2.77945</f>
        <v>62301.371750000006</v>
      </c>
      <c r="D821" s="116">
        <v>1681.72</v>
      </c>
      <c r="E821" s="116">
        <f t="shared" si="24"/>
        <v>60619.651750000005</v>
      </c>
      <c r="F821" s="116">
        <f t="shared" si="25"/>
        <v>3.2767379324324328</v>
      </c>
      <c r="G821" s="88" t="s">
        <v>19653</v>
      </c>
      <c r="H821" s="285" t="s">
        <v>18530</v>
      </c>
      <c r="I821" s="218">
        <v>44386</v>
      </c>
      <c r="J821" s="116">
        <v>0</v>
      </c>
      <c r="N821" s="66" t="s">
        <v>18555</v>
      </c>
      <c r="O821" s="651">
        <v>0</v>
      </c>
    </row>
    <row r="822" spans="1:15" ht="12.95" hidden="1">
      <c r="A822" s="86">
        <v>44393</v>
      </c>
      <c r="B822" s="124">
        <v>27500</v>
      </c>
      <c r="C822" s="30">
        <f>40375*2.78755</f>
        <v>112547.33125</v>
      </c>
      <c r="D822" s="116">
        <v>2879.37</v>
      </c>
      <c r="E822" s="116">
        <f t="shared" ref="E822:E885" si="26">(C822-D822)</f>
        <v>109667.96125000001</v>
      </c>
      <c r="F822" s="116">
        <f t="shared" ref="F822:F885" si="27">(E822/B822)</f>
        <v>3.9879258636363639</v>
      </c>
      <c r="G822" s="88" t="s">
        <v>19789</v>
      </c>
      <c r="H822" s="285" t="s">
        <v>18527</v>
      </c>
      <c r="I822" s="81">
        <v>44386</v>
      </c>
      <c r="J822" s="116">
        <v>0</v>
      </c>
      <c r="N822" s="66" t="s">
        <v>18556</v>
      </c>
      <c r="O822" s="651">
        <v>0</v>
      </c>
    </row>
    <row r="823" spans="1:15" ht="12.95" hidden="1">
      <c r="A823" s="86">
        <v>44394</v>
      </c>
      <c r="B823" s="124">
        <v>176064</v>
      </c>
      <c r="C823" s="30">
        <v>269598</v>
      </c>
      <c r="D823" s="116">
        <v>0</v>
      </c>
      <c r="E823" s="116">
        <f t="shared" si="26"/>
        <v>269598</v>
      </c>
      <c r="F823" s="116">
        <f t="shared" si="27"/>
        <v>1.53125</v>
      </c>
      <c r="G823" s="88" t="s">
        <v>19647</v>
      </c>
      <c r="H823" s="285" t="s">
        <v>18532</v>
      </c>
      <c r="I823" s="81">
        <v>44390</v>
      </c>
      <c r="J823" s="116">
        <v>0</v>
      </c>
      <c r="N823" s="66" t="s">
        <v>18557</v>
      </c>
      <c r="O823" s="651">
        <v>67904</v>
      </c>
    </row>
    <row r="824" spans="1:15" ht="12.95" hidden="1">
      <c r="A824" s="86">
        <v>44399</v>
      </c>
      <c r="B824" s="124">
        <v>96000</v>
      </c>
      <c r="C824" s="30">
        <v>170880</v>
      </c>
      <c r="D824" s="116">
        <v>0</v>
      </c>
      <c r="E824" s="116">
        <f t="shared" si="26"/>
        <v>170880</v>
      </c>
      <c r="F824" s="116">
        <f t="shared" si="27"/>
        <v>1.78</v>
      </c>
      <c r="G824" s="88" t="s">
        <v>19656</v>
      </c>
      <c r="H824" s="285" t="s">
        <v>18519</v>
      </c>
      <c r="I824" s="81">
        <v>44378</v>
      </c>
      <c r="J824" s="116">
        <v>0</v>
      </c>
      <c r="N824" s="66" t="s">
        <v>18558</v>
      </c>
      <c r="O824" s="651">
        <v>1696.62</v>
      </c>
    </row>
    <row r="825" spans="1:15" ht="12.95" hidden="1">
      <c r="A825" s="86">
        <v>44400</v>
      </c>
      <c r="B825" s="124">
        <v>40000</v>
      </c>
      <c r="C825" s="30">
        <f>29600*2.79005</f>
        <v>82585.48</v>
      </c>
      <c r="D825" s="116">
        <v>9700.36</v>
      </c>
      <c r="E825" s="116">
        <f t="shared" si="26"/>
        <v>72885.119999999995</v>
      </c>
      <c r="F825" s="116">
        <f t="shared" si="27"/>
        <v>1.822128</v>
      </c>
      <c r="G825" s="88" t="s">
        <v>19659</v>
      </c>
      <c r="H825" s="285" t="s">
        <v>18525</v>
      </c>
      <c r="I825" s="81">
        <v>44386</v>
      </c>
      <c r="J825" s="116">
        <f>7391.8*25%</f>
        <v>1847.95</v>
      </c>
      <c r="N825" s="66" t="s">
        <v>18559</v>
      </c>
      <c r="O825" s="651">
        <v>17646.66</v>
      </c>
    </row>
    <row r="826" spans="1:15" ht="12.95" hidden="1">
      <c r="A826" s="86">
        <v>44405</v>
      </c>
      <c r="B826" s="124">
        <v>20000</v>
      </c>
      <c r="C826" s="30">
        <v>35800</v>
      </c>
      <c r="D826" s="116">
        <v>0</v>
      </c>
      <c r="E826" s="116">
        <f t="shared" si="26"/>
        <v>35800</v>
      </c>
      <c r="F826" s="116">
        <f t="shared" si="27"/>
        <v>1.79</v>
      </c>
      <c r="G826" s="282" t="s">
        <v>19821</v>
      </c>
      <c r="H826" s="285" t="s">
        <v>18529</v>
      </c>
      <c r="I826" s="81">
        <v>44386</v>
      </c>
      <c r="J826" s="116">
        <v>0</v>
      </c>
      <c r="N826" s="66" t="s">
        <v>18560</v>
      </c>
      <c r="O826" s="651">
        <v>0</v>
      </c>
    </row>
    <row r="827" spans="1:15" ht="12.95" hidden="1">
      <c r="A827" s="86">
        <v>44405</v>
      </c>
      <c r="B827" s="124">
        <v>27336</v>
      </c>
      <c r="C827" s="30">
        <f>19256*3.2855</f>
        <v>63265.587999999996</v>
      </c>
      <c r="D827" s="116">
        <v>12098.19</v>
      </c>
      <c r="E827" s="116">
        <f t="shared" si="26"/>
        <v>51167.397999999994</v>
      </c>
      <c r="F827" s="116">
        <f t="shared" si="27"/>
        <v>1.8717953614281531</v>
      </c>
      <c r="G827" s="88" t="s">
        <v>19661</v>
      </c>
      <c r="H827" s="285" t="s">
        <v>18539</v>
      </c>
      <c r="I827" s="81">
        <v>44394</v>
      </c>
      <c r="J827" s="116">
        <f>10344.1*40%</f>
        <v>4137.6400000000003</v>
      </c>
      <c r="N827" s="66" t="s">
        <v>18561</v>
      </c>
      <c r="O827" s="651">
        <v>30791.72</v>
      </c>
    </row>
    <row r="828" spans="1:15" ht="12.95" hidden="1">
      <c r="A828" s="86">
        <v>44406</v>
      </c>
      <c r="B828" s="124">
        <v>41500</v>
      </c>
      <c r="C828" s="30">
        <v>72625</v>
      </c>
      <c r="D828" s="116">
        <v>0</v>
      </c>
      <c r="E828" s="116">
        <f t="shared" si="26"/>
        <v>72625</v>
      </c>
      <c r="F828" s="116">
        <f t="shared" si="27"/>
        <v>1.75</v>
      </c>
      <c r="G828" s="88" t="s">
        <v>19655</v>
      </c>
      <c r="H828" s="285" t="s">
        <v>18543</v>
      </c>
      <c r="I828" s="81">
        <v>44399</v>
      </c>
      <c r="J828" s="116">
        <v>0</v>
      </c>
      <c r="N828" s="66" t="s">
        <v>18562</v>
      </c>
      <c r="O828" s="651">
        <v>0</v>
      </c>
    </row>
    <row r="829" spans="1:15" ht="12.95" hidden="1">
      <c r="A829" s="86">
        <v>44406</v>
      </c>
      <c r="B829" s="124">
        <v>38400</v>
      </c>
      <c r="C829" s="30">
        <v>70080</v>
      </c>
      <c r="D829" s="116">
        <v>0</v>
      </c>
      <c r="E829" s="116">
        <f t="shared" si="26"/>
        <v>70080</v>
      </c>
      <c r="F829" s="116">
        <f t="shared" si="27"/>
        <v>1.825</v>
      </c>
      <c r="G829" s="88" t="s">
        <v>19655</v>
      </c>
      <c r="H829" s="285" t="s">
        <v>18542</v>
      </c>
      <c r="I829" s="81">
        <v>44399</v>
      </c>
      <c r="J829" s="116">
        <v>0</v>
      </c>
      <c r="N829" s="66" t="s">
        <v>18563</v>
      </c>
      <c r="O829" s="651">
        <v>12123.165000000001</v>
      </c>
    </row>
    <row r="830" spans="1:15" ht="12.95" hidden="1">
      <c r="A830" s="86">
        <v>44406</v>
      </c>
      <c r="B830" s="124">
        <v>82000</v>
      </c>
      <c r="C830" s="30">
        <v>127400</v>
      </c>
      <c r="D830" s="116">
        <v>0</v>
      </c>
      <c r="E830" s="116">
        <f t="shared" si="26"/>
        <v>127400</v>
      </c>
      <c r="F830" s="116">
        <f t="shared" si="27"/>
        <v>1.5536585365853659</v>
      </c>
      <c r="G830" s="88" t="s">
        <v>19656</v>
      </c>
      <c r="H830" s="285" t="s">
        <v>18526</v>
      </c>
      <c r="I830" s="81">
        <v>44386</v>
      </c>
      <c r="J830" s="116">
        <v>0</v>
      </c>
      <c r="N830" s="66" t="s">
        <v>18564</v>
      </c>
      <c r="O830" s="651">
        <v>1761.12</v>
      </c>
    </row>
    <row r="831" spans="1:15" ht="12.95" hidden="1">
      <c r="A831" s="86">
        <v>44407</v>
      </c>
      <c r="B831" s="124">
        <v>108000</v>
      </c>
      <c r="C831" s="30">
        <f>52380*3.2853</f>
        <v>172084.014</v>
      </c>
      <c r="D831" s="197">
        <v>25396.34</v>
      </c>
      <c r="E831" s="116">
        <f t="shared" si="26"/>
        <v>146687.674</v>
      </c>
      <c r="F831" s="116">
        <f t="shared" si="27"/>
        <v>1.3582192037037037</v>
      </c>
      <c r="G831" s="88" t="s">
        <v>19722</v>
      </c>
      <c r="H831" s="285" t="s">
        <v>18534</v>
      </c>
      <c r="I831" s="81">
        <v>44394</v>
      </c>
      <c r="J831" s="197">
        <f>20508.12*40%</f>
        <v>8203.2479999999996</v>
      </c>
      <c r="N831" s="66" t="s">
        <v>18565</v>
      </c>
      <c r="O831" s="651">
        <v>0</v>
      </c>
    </row>
    <row r="832" spans="1:15" ht="12.95" hidden="1">
      <c r="A832" s="86">
        <v>44408</v>
      </c>
      <c r="B832" s="124">
        <v>108000</v>
      </c>
      <c r="C832" s="30">
        <f>52380*3.2966</f>
        <v>172675.908</v>
      </c>
      <c r="D832" s="197">
        <v>25396.34</v>
      </c>
      <c r="E832" s="116">
        <f t="shared" si="26"/>
        <v>147279.568</v>
      </c>
      <c r="F832" s="116">
        <f t="shared" si="27"/>
        <v>1.3636997037037037</v>
      </c>
      <c r="G832" s="88" t="s">
        <v>19722</v>
      </c>
      <c r="H832" s="285" t="s">
        <v>18535</v>
      </c>
      <c r="I832" s="81">
        <v>44394</v>
      </c>
      <c r="J832" s="197">
        <f>20508.12*40%</f>
        <v>8203.2479999999996</v>
      </c>
      <c r="N832" s="66" t="s">
        <v>18567</v>
      </c>
      <c r="O832" s="651">
        <v>0</v>
      </c>
    </row>
    <row r="833" spans="1:15" ht="12.95" hidden="1">
      <c r="A833" s="86">
        <v>44408</v>
      </c>
      <c r="B833" s="124">
        <v>158796</v>
      </c>
      <c r="C833" s="30">
        <f>109238.86*2.77475</f>
        <v>303110.52678499999</v>
      </c>
      <c r="D833" s="116">
        <v>67497.5</v>
      </c>
      <c r="E833" s="116">
        <f t="shared" si="26"/>
        <v>235613.02678499999</v>
      </c>
      <c r="F833" s="116">
        <f t="shared" si="27"/>
        <v>1.4837466106514017</v>
      </c>
      <c r="G833" s="88" t="s">
        <v>19662</v>
      </c>
      <c r="H833" s="285" t="s">
        <v>18538</v>
      </c>
      <c r="I833" s="81">
        <v>44394</v>
      </c>
      <c r="J833" s="116">
        <f>60565.32*40%</f>
        <v>24226.128000000001</v>
      </c>
      <c r="N833" s="66" t="s">
        <v>18569</v>
      </c>
      <c r="O833" s="651">
        <v>0</v>
      </c>
    </row>
    <row r="834" spans="1:15" ht="12.95" hidden="1">
      <c r="A834" s="86">
        <v>44410</v>
      </c>
      <c r="B834" s="124">
        <v>108000</v>
      </c>
      <c r="C834" s="30">
        <f>52380*3.2966</f>
        <v>172675.908</v>
      </c>
      <c r="D834" s="116">
        <v>32505.1</v>
      </c>
      <c r="E834" s="116">
        <f t="shared" si="26"/>
        <v>140170.80799999999</v>
      </c>
      <c r="F834" s="116">
        <f t="shared" si="27"/>
        <v>1.2978778518518517</v>
      </c>
      <c r="G834" s="88" t="s">
        <v>19722</v>
      </c>
      <c r="H834" s="285" t="s">
        <v>18536</v>
      </c>
      <c r="I834" s="81">
        <v>44394</v>
      </c>
      <c r="J834" s="116">
        <f>25530.44*40%</f>
        <v>10212.175999999999</v>
      </c>
      <c r="M834" s="75"/>
      <c r="N834" s="66" t="s">
        <v>18570</v>
      </c>
      <c r="O834" s="651">
        <v>0</v>
      </c>
    </row>
    <row r="835" spans="1:15" ht="12.95" hidden="1">
      <c r="A835" s="86">
        <v>44411</v>
      </c>
      <c r="B835" s="124">
        <v>108000</v>
      </c>
      <c r="C835" s="30">
        <f>52380*3.2966</f>
        <v>172675.908</v>
      </c>
      <c r="D835" s="116">
        <v>31791.1</v>
      </c>
      <c r="E835" s="116">
        <f t="shared" si="26"/>
        <v>140884.80799999999</v>
      </c>
      <c r="F835" s="116">
        <f t="shared" si="27"/>
        <v>1.3044889629629628</v>
      </c>
      <c r="G835" s="88" t="s">
        <v>19722</v>
      </c>
      <c r="H835" s="85" t="s">
        <v>18537</v>
      </c>
      <c r="I835" s="81">
        <v>44394</v>
      </c>
      <c r="J835" s="116">
        <f>25530.44*40%</f>
        <v>10212.175999999999</v>
      </c>
      <c r="M835" s="75"/>
      <c r="N835" s="66" t="s">
        <v>18571</v>
      </c>
      <c r="O835" s="651">
        <v>0</v>
      </c>
    </row>
    <row r="836" spans="1:15" ht="12.95" hidden="1">
      <c r="A836" s="86">
        <v>44411</v>
      </c>
      <c r="B836" s="124">
        <v>11950</v>
      </c>
      <c r="C836" s="30">
        <f>9686.5*2.77105</f>
        <v>26841.775824999997</v>
      </c>
      <c r="D836" s="116">
        <v>2616.9949999999999</v>
      </c>
      <c r="E836" s="116">
        <f t="shared" si="26"/>
        <v>24224.780824999998</v>
      </c>
      <c r="F836" s="116">
        <f t="shared" si="27"/>
        <v>2.0271783117154811</v>
      </c>
      <c r="G836" s="88" t="s">
        <v>17210</v>
      </c>
      <c r="H836" s="85" t="s">
        <v>18533</v>
      </c>
      <c r="I836" s="86">
        <v>44394</v>
      </c>
      <c r="J836" s="116">
        <f>2174.895*25%</f>
        <v>543.72375</v>
      </c>
      <c r="M836" s="75"/>
      <c r="N836" s="66" t="s">
        <v>18572</v>
      </c>
      <c r="O836" s="651">
        <v>0</v>
      </c>
    </row>
    <row r="837" spans="1:15" ht="12.95" hidden="1">
      <c r="A837" s="86">
        <v>44412</v>
      </c>
      <c r="B837" s="124">
        <v>6848</v>
      </c>
      <c r="C837" s="30">
        <v>14651.92</v>
      </c>
      <c r="D837" s="116">
        <v>0</v>
      </c>
      <c r="E837" s="116">
        <f t="shared" si="26"/>
        <v>14651.92</v>
      </c>
      <c r="F837" s="116">
        <f t="shared" si="27"/>
        <v>2.1395911214953269</v>
      </c>
      <c r="G837" s="282" t="s">
        <v>19822</v>
      </c>
      <c r="H837" s="85" t="s">
        <v>18528</v>
      </c>
      <c r="I837" s="86">
        <v>44386</v>
      </c>
      <c r="J837" s="116">
        <v>0</v>
      </c>
      <c r="M837" s="75"/>
      <c r="N837" s="66" t="s">
        <v>18573</v>
      </c>
      <c r="O837" s="651">
        <v>0</v>
      </c>
    </row>
    <row r="838" spans="1:15" ht="12.95" hidden="1">
      <c r="A838" s="140">
        <v>44414</v>
      </c>
      <c r="B838" s="124">
        <v>42100</v>
      </c>
      <c r="C838" s="30">
        <v>74973</v>
      </c>
      <c r="D838" s="116">
        <v>0</v>
      </c>
      <c r="E838" s="116">
        <f t="shared" si="26"/>
        <v>74973</v>
      </c>
      <c r="F838" s="116">
        <f t="shared" si="27"/>
        <v>1.78083135391924</v>
      </c>
      <c r="G838" s="88" t="s">
        <v>19655</v>
      </c>
      <c r="H838" s="85" t="s">
        <v>18545</v>
      </c>
      <c r="I838" s="220">
        <v>44403</v>
      </c>
      <c r="J838" s="116">
        <v>0</v>
      </c>
      <c r="M838" s="75"/>
      <c r="N838" s="66" t="s">
        <v>18574</v>
      </c>
      <c r="O838" s="651">
        <v>0</v>
      </c>
    </row>
    <row r="839" spans="1:15" ht="12.95" hidden="1">
      <c r="A839" s="140">
        <v>44414</v>
      </c>
      <c r="B839" s="124">
        <v>55416</v>
      </c>
      <c r="C839" s="30">
        <v>86448.960000000006</v>
      </c>
      <c r="D839" s="116">
        <v>0</v>
      </c>
      <c r="E839" s="116">
        <f t="shared" si="26"/>
        <v>86448.960000000006</v>
      </c>
      <c r="F839" s="116">
        <f t="shared" si="27"/>
        <v>1.56</v>
      </c>
      <c r="G839" s="88" t="s">
        <v>19655</v>
      </c>
      <c r="H839" s="85" t="s">
        <v>18544</v>
      </c>
      <c r="I839" s="220">
        <v>44399</v>
      </c>
      <c r="J839" s="116">
        <v>0</v>
      </c>
      <c r="M839" s="75"/>
      <c r="N839" s="66" t="s">
        <v>18575</v>
      </c>
      <c r="O839" s="651">
        <v>0</v>
      </c>
    </row>
    <row r="840" spans="1:15" ht="12.95" hidden="1">
      <c r="A840" s="140">
        <v>44415</v>
      </c>
      <c r="B840" s="182">
        <v>154056</v>
      </c>
      <c r="C840" s="30">
        <v>236145.84</v>
      </c>
      <c r="D840" s="116">
        <v>0</v>
      </c>
      <c r="E840" s="116">
        <f t="shared" si="26"/>
        <v>236145.84</v>
      </c>
      <c r="F840" s="116">
        <f t="shared" si="27"/>
        <v>1.5328571428571429</v>
      </c>
      <c r="G840" s="88" t="s">
        <v>19647</v>
      </c>
      <c r="H840" s="85" t="s">
        <v>18541</v>
      </c>
      <c r="I840" s="220">
        <v>44394</v>
      </c>
      <c r="J840" s="116">
        <v>0</v>
      </c>
      <c r="M840" s="75"/>
      <c r="N840" s="66" t="s">
        <v>18576</v>
      </c>
      <c r="O840" s="651">
        <v>0</v>
      </c>
    </row>
    <row r="841" spans="1:15" ht="12.95" hidden="1">
      <c r="A841" s="140">
        <v>44424</v>
      </c>
      <c r="B841" s="124">
        <v>20000</v>
      </c>
      <c r="C841" s="83">
        <v>35600</v>
      </c>
      <c r="D841" s="116">
        <v>0</v>
      </c>
      <c r="E841" s="116">
        <f t="shared" si="26"/>
        <v>35600</v>
      </c>
      <c r="F841" s="116">
        <f t="shared" si="27"/>
        <v>1.78</v>
      </c>
      <c r="G841" s="88" t="s">
        <v>19823</v>
      </c>
      <c r="H841" s="85" t="s">
        <v>18546</v>
      </c>
      <c r="I841" s="81">
        <v>44417</v>
      </c>
      <c r="J841" s="116">
        <v>0</v>
      </c>
      <c r="N841" s="66" t="s">
        <v>18577</v>
      </c>
      <c r="O841" s="651">
        <v>0</v>
      </c>
    </row>
    <row r="842" spans="1:15" ht="12.95" hidden="1">
      <c r="A842" s="140">
        <v>44425</v>
      </c>
      <c r="B842" s="124">
        <v>23640</v>
      </c>
      <c r="C842" s="83">
        <v>40759.199999999997</v>
      </c>
      <c r="D842" s="116">
        <v>0</v>
      </c>
      <c r="E842" s="116">
        <f t="shared" si="26"/>
        <v>40759.199999999997</v>
      </c>
      <c r="F842" s="116">
        <f t="shared" si="27"/>
        <v>1.7241624365482233</v>
      </c>
      <c r="G842" s="88" t="s">
        <v>19647</v>
      </c>
      <c r="H842" s="85" t="s">
        <v>18550</v>
      </c>
      <c r="I842" s="140">
        <v>44420</v>
      </c>
      <c r="J842" s="116">
        <v>0</v>
      </c>
      <c r="N842" s="66" t="s">
        <v>18578</v>
      </c>
      <c r="O842" s="651">
        <v>0</v>
      </c>
    </row>
    <row r="843" spans="1:15" ht="12.95" hidden="1">
      <c r="A843" s="140">
        <v>44425</v>
      </c>
      <c r="B843" s="124">
        <v>280000</v>
      </c>
      <c r="C843" s="83">
        <v>378000</v>
      </c>
      <c r="D843" s="116">
        <v>0</v>
      </c>
      <c r="E843" s="116">
        <f t="shared" si="26"/>
        <v>378000</v>
      </c>
      <c r="F843" s="116">
        <f t="shared" si="27"/>
        <v>1.35</v>
      </c>
      <c r="G843" s="88" t="s">
        <v>19652</v>
      </c>
      <c r="H843" s="85" t="s">
        <v>18549</v>
      </c>
      <c r="I843" s="140">
        <v>44417</v>
      </c>
      <c r="J843" s="116">
        <v>0</v>
      </c>
      <c r="N843" s="66" t="s">
        <v>18579</v>
      </c>
      <c r="O843" s="651">
        <v>0</v>
      </c>
    </row>
    <row r="844" spans="1:15" ht="12.95" hidden="1">
      <c r="A844" s="140">
        <v>44425</v>
      </c>
      <c r="B844" s="124">
        <v>19600</v>
      </c>
      <c r="C844" s="83">
        <f>18156*2.79865</f>
        <v>50812.289399999994</v>
      </c>
      <c r="D844" s="116">
        <v>11195.18</v>
      </c>
      <c r="E844" s="116">
        <f t="shared" si="26"/>
        <v>39617.109399999994</v>
      </c>
      <c r="F844" s="116">
        <f t="shared" si="27"/>
        <v>2.0212810918367343</v>
      </c>
      <c r="G844" s="88" t="s">
        <v>17260</v>
      </c>
      <c r="H844" s="85" t="s">
        <v>18547</v>
      </c>
      <c r="I844" s="140">
        <v>44417</v>
      </c>
      <c r="J844" s="116">
        <f>9737.6*40%</f>
        <v>3895.0400000000004</v>
      </c>
      <c r="N844" s="66" t="s">
        <v>18580</v>
      </c>
      <c r="O844" s="651">
        <v>0</v>
      </c>
    </row>
    <row r="845" spans="1:15" ht="12.95" hidden="1">
      <c r="A845" s="86">
        <v>44433</v>
      </c>
      <c r="B845" s="124">
        <v>27336</v>
      </c>
      <c r="C845" s="30">
        <f>19281.56*3.2801</f>
        <v>63245.444956000007</v>
      </c>
      <c r="D845" s="116">
        <v>12010.24</v>
      </c>
      <c r="E845" s="116">
        <f t="shared" si="26"/>
        <v>51235.204956000009</v>
      </c>
      <c r="F845" s="116">
        <f t="shared" si="27"/>
        <v>1.874275861720808</v>
      </c>
      <c r="G845" s="88" t="s">
        <v>19661</v>
      </c>
      <c r="H845" s="85" t="s">
        <v>18551</v>
      </c>
      <c r="I845" s="81">
        <v>44426</v>
      </c>
      <c r="J845" s="116">
        <f>10453.6*40%</f>
        <v>4181.4400000000005</v>
      </c>
      <c r="N845" s="66" t="s">
        <v>18581</v>
      </c>
      <c r="O845" s="651">
        <v>0</v>
      </c>
    </row>
    <row r="846" spans="1:15" ht="12.95" hidden="1">
      <c r="A846" s="140">
        <v>44434</v>
      </c>
      <c r="B846" s="124">
        <v>50700</v>
      </c>
      <c r="C846" s="83">
        <v>84708</v>
      </c>
      <c r="D846" s="116">
        <v>0</v>
      </c>
      <c r="E846" s="116">
        <f t="shared" si="26"/>
        <v>84708</v>
      </c>
      <c r="F846" s="116">
        <f t="shared" si="27"/>
        <v>1.6707692307692308</v>
      </c>
      <c r="G846" s="88" t="s">
        <v>19655</v>
      </c>
      <c r="H846" s="85" t="s">
        <v>18552</v>
      </c>
      <c r="I846" s="140">
        <v>44426</v>
      </c>
      <c r="J846" s="116">
        <v>0</v>
      </c>
      <c r="N846" s="66" t="s">
        <v>18582</v>
      </c>
      <c r="O846" s="651">
        <v>10715.82</v>
      </c>
    </row>
    <row r="847" spans="1:15" ht="12.95" hidden="1">
      <c r="A847" s="140">
        <v>44435</v>
      </c>
      <c r="B847" s="182">
        <v>57600</v>
      </c>
      <c r="C847" s="83">
        <v>102528</v>
      </c>
      <c r="D847" s="116">
        <v>0</v>
      </c>
      <c r="E847" s="116">
        <f t="shared" si="26"/>
        <v>102528</v>
      </c>
      <c r="F847" s="116">
        <f t="shared" si="27"/>
        <v>1.78</v>
      </c>
      <c r="G847" s="88" t="s">
        <v>19656</v>
      </c>
      <c r="H847" s="285" t="s">
        <v>18555</v>
      </c>
      <c r="I847" s="140">
        <v>44428</v>
      </c>
      <c r="J847" s="116">
        <v>0</v>
      </c>
      <c r="N847" s="66" t="s">
        <v>18583</v>
      </c>
      <c r="O847" s="651">
        <v>0</v>
      </c>
    </row>
    <row r="848" spans="1:15" ht="12.95" hidden="1">
      <c r="A848" s="140">
        <v>44436</v>
      </c>
      <c r="B848" s="182">
        <v>88032</v>
      </c>
      <c r="C848" s="83">
        <v>136449.60000000001</v>
      </c>
      <c r="D848" s="116">
        <v>0</v>
      </c>
      <c r="E848" s="116">
        <f t="shared" si="26"/>
        <v>136449.60000000001</v>
      </c>
      <c r="F848" s="116">
        <f t="shared" si="27"/>
        <v>1.55</v>
      </c>
      <c r="G848" s="88" t="s">
        <v>19647</v>
      </c>
      <c r="H848" s="285" t="s">
        <v>18554</v>
      </c>
      <c r="I848" s="140">
        <v>44428</v>
      </c>
      <c r="J848" s="116">
        <v>0</v>
      </c>
      <c r="N848" s="66" t="s">
        <v>18584</v>
      </c>
      <c r="O848" s="651">
        <v>12224.985000000001</v>
      </c>
    </row>
    <row r="849" spans="1:15" ht="12.95" hidden="1">
      <c r="A849" s="167">
        <v>44438</v>
      </c>
      <c r="B849" s="124">
        <v>19200</v>
      </c>
      <c r="C849" s="30">
        <v>33984</v>
      </c>
      <c r="D849" s="116">
        <v>0</v>
      </c>
      <c r="E849" s="116">
        <f t="shared" si="26"/>
        <v>33984</v>
      </c>
      <c r="F849" s="116">
        <f t="shared" si="27"/>
        <v>1.77</v>
      </c>
      <c r="G849" s="88" t="s">
        <v>19655</v>
      </c>
      <c r="H849" s="285" t="s">
        <v>18548</v>
      </c>
      <c r="I849" s="140">
        <v>44417</v>
      </c>
      <c r="J849" s="116">
        <v>0</v>
      </c>
      <c r="N849" s="66" t="s">
        <v>18585</v>
      </c>
      <c r="O849" s="651">
        <v>55822.525000000001</v>
      </c>
    </row>
    <row r="850" spans="1:15" ht="12.95" hidden="1">
      <c r="A850" s="140">
        <v>44439</v>
      </c>
      <c r="B850" s="182">
        <v>159720</v>
      </c>
      <c r="C850" s="83">
        <v>305688.56400000001</v>
      </c>
      <c r="D850" s="116">
        <v>67904</v>
      </c>
      <c r="E850" s="116">
        <f t="shared" si="26"/>
        <v>237784.56400000001</v>
      </c>
      <c r="F850" s="116">
        <f t="shared" si="27"/>
        <v>1.4887588529927374</v>
      </c>
      <c r="G850" s="88" t="s">
        <v>19662</v>
      </c>
      <c r="H850" s="285" t="s">
        <v>18557</v>
      </c>
      <c r="I850" s="140">
        <v>44428</v>
      </c>
      <c r="J850" s="116">
        <f>60927.12*40%</f>
        <v>24370.848000000002</v>
      </c>
      <c r="N850" s="66" t="s">
        <v>18586</v>
      </c>
      <c r="O850" s="651">
        <v>36801.96</v>
      </c>
    </row>
    <row r="851" spans="1:15" ht="12.95" hidden="1">
      <c r="A851" s="81">
        <v>44439</v>
      </c>
      <c r="B851" s="124">
        <v>131472</v>
      </c>
      <c r="C851" s="30">
        <v>224368.56</v>
      </c>
      <c r="D851" s="116">
        <v>0</v>
      </c>
      <c r="E851" s="116">
        <f t="shared" si="26"/>
        <v>224368.56</v>
      </c>
      <c r="F851" s="116">
        <f t="shared" si="27"/>
        <v>1.7065881708652793</v>
      </c>
      <c r="G851" s="88" t="s">
        <v>19647</v>
      </c>
      <c r="H851" s="285" t="s">
        <v>18540</v>
      </c>
      <c r="I851" s="140">
        <v>44394</v>
      </c>
      <c r="J851" s="116">
        <v>0</v>
      </c>
      <c r="N851" s="66" t="s">
        <v>18587</v>
      </c>
      <c r="O851" s="651">
        <v>36801.96</v>
      </c>
    </row>
    <row r="852" spans="1:15" ht="12.95" hidden="1">
      <c r="A852" s="167">
        <v>44440</v>
      </c>
      <c r="B852" s="124">
        <v>28000</v>
      </c>
      <c r="C852" s="30">
        <v>43120</v>
      </c>
      <c r="D852" s="116">
        <v>0</v>
      </c>
      <c r="E852" s="116">
        <f t="shared" si="26"/>
        <v>43120</v>
      </c>
      <c r="F852" s="116">
        <f t="shared" si="27"/>
        <v>1.54</v>
      </c>
      <c r="G852" s="88" t="s">
        <v>19647</v>
      </c>
      <c r="H852" s="285" t="s">
        <v>18556</v>
      </c>
      <c r="I852" s="140">
        <v>44428</v>
      </c>
      <c r="J852" s="116">
        <v>0</v>
      </c>
      <c r="N852" s="66" t="s">
        <v>18588</v>
      </c>
      <c r="O852" s="651">
        <v>36801.96</v>
      </c>
    </row>
    <row r="853" spans="1:15" ht="12.95" hidden="1">
      <c r="A853" s="140">
        <v>44441</v>
      </c>
      <c r="B853" s="124">
        <v>18500</v>
      </c>
      <c r="C853" s="30">
        <f>22475*2.78885</f>
        <v>62679.403749999998</v>
      </c>
      <c r="D853" s="116">
        <v>1696.62</v>
      </c>
      <c r="E853" s="116">
        <f t="shared" si="26"/>
        <v>60982.783749999995</v>
      </c>
      <c r="F853" s="116">
        <f t="shared" si="27"/>
        <v>3.2963666891891887</v>
      </c>
      <c r="G853" s="88" t="s">
        <v>19653</v>
      </c>
      <c r="H853" s="85" t="s">
        <v>18558</v>
      </c>
      <c r="I853" s="140">
        <v>44433</v>
      </c>
      <c r="J853" s="116">
        <v>0</v>
      </c>
      <c r="N853" s="66" t="s">
        <v>18589</v>
      </c>
      <c r="O853" s="651">
        <v>36801.96</v>
      </c>
    </row>
    <row r="854" spans="1:15" ht="12.95" hidden="1">
      <c r="A854" s="140">
        <v>44447</v>
      </c>
      <c r="B854" s="124">
        <v>20000</v>
      </c>
      <c r="C854" s="30">
        <v>35800</v>
      </c>
      <c r="D854" s="116">
        <v>0</v>
      </c>
      <c r="E854" s="116">
        <f t="shared" si="26"/>
        <v>35800</v>
      </c>
      <c r="F854" s="116">
        <f t="shared" si="27"/>
        <v>1.79</v>
      </c>
      <c r="G854" s="282" t="s">
        <v>19821</v>
      </c>
      <c r="H854" s="285" t="s">
        <v>18562</v>
      </c>
      <c r="I854" s="140">
        <v>44440</v>
      </c>
      <c r="J854" s="116">
        <v>0</v>
      </c>
      <c r="N854" s="66" t="s">
        <v>18590</v>
      </c>
      <c r="O854" s="651">
        <v>0</v>
      </c>
    </row>
    <row r="855" spans="1:15" ht="12.95" hidden="1">
      <c r="A855" s="81">
        <v>44448</v>
      </c>
      <c r="B855" s="124">
        <v>76800</v>
      </c>
      <c r="C855" s="83">
        <f>62576*2.78285</f>
        <v>174139.62159999998</v>
      </c>
      <c r="D855" s="116">
        <v>30791.72</v>
      </c>
      <c r="E855" s="116">
        <f t="shared" si="26"/>
        <v>143347.90159999998</v>
      </c>
      <c r="F855" s="116">
        <f t="shared" si="27"/>
        <v>1.8665091354166665</v>
      </c>
      <c r="G855" s="282" t="s">
        <v>19796</v>
      </c>
      <c r="H855" s="285" t="s">
        <v>18561</v>
      </c>
      <c r="I855" s="140">
        <v>44434</v>
      </c>
      <c r="J855" s="116">
        <f>26192.4*40%</f>
        <v>10476.960000000001</v>
      </c>
      <c r="N855" s="66" t="s">
        <v>18591</v>
      </c>
      <c r="O855" s="651">
        <v>16032.17</v>
      </c>
    </row>
    <row r="856" spans="1:15" ht="12.95" hidden="1">
      <c r="A856" s="81">
        <v>44452</v>
      </c>
      <c r="B856" s="124">
        <v>50700</v>
      </c>
      <c r="C856" s="30">
        <v>84708</v>
      </c>
      <c r="D856" s="116">
        <v>0</v>
      </c>
      <c r="E856" s="116">
        <f t="shared" si="26"/>
        <v>84708</v>
      </c>
      <c r="F856" s="116">
        <f t="shared" si="27"/>
        <v>1.6707692307692308</v>
      </c>
      <c r="G856" s="88" t="s">
        <v>19655</v>
      </c>
      <c r="H856" s="285" t="s">
        <v>18569</v>
      </c>
      <c r="I856" s="140">
        <v>44467</v>
      </c>
      <c r="J856" s="116">
        <v>0</v>
      </c>
      <c r="N856" s="66" t="s">
        <v>18592</v>
      </c>
      <c r="O856" s="651">
        <v>67904</v>
      </c>
    </row>
    <row r="857" spans="1:15" ht="12.95" hidden="1">
      <c r="A857" s="81">
        <v>44453</v>
      </c>
      <c r="B857" s="124">
        <v>20750</v>
      </c>
      <c r="C857" s="30">
        <v>36312.5</v>
      </c>
      <c r="D857" s="116">
        <v>0</v>
      </c>
      <c r="E857" s="116">
        <f t="shared" si="26"/>
        <v>36312.5</v>
      </c>
      <c r="F857" s="116">
        <f t="shared" si="27"/>
        <v>1.75</v>
      </c>
      <c r="G857" s="88" t="s">
        <v>19655</v>
      </c>
      <c r="H857" s="285" t="s">
        <v>18570</v>
      </c>
      <c r="I857" s="140">
        <v>44448</v>
      </c>
      <c r="J857" s="116">
        <v>0</v>
      </c>
      <c r="N857" s="66" t="s">
        <v>18593</v>
      </c>
      <c r="O857" s="651">
        <v>0</v>
      </c>
    </row>
    <row r="858" spans="1:15" ht="12.95" hidden="1">
      <c r="A858" s="81">
        <v>44455</v>
      </c>
      <c r="B858" s="124">
        <v>20000</v>
      </c>
      <c r="C858" s="30">
        <f>24200*2.79435</f>
        <v>67623.27</v>
      </c>
      <c r="D858" s="116">
        <v>1761.12</v>
      </c>
      <c r="E858" s="116">
        <f t="shared" si="26"/>
        <v>65862.150000000009</v>
      </c>
      <c r="F858" s="116">
        <f t="shared" si="27"/>
        <v>3.2931075000000005</v>
      </c>
      <c r="G858" s="88" t="s">
        <v>19653</v>
      </c>
      <c r="H858" s="285" t="s">
        <v>18564</v>
      </c>
      <c r="I858" s="140">
        <v>44446</v>
      </c>
      <c r="J858" s="116">
        <v>0</v>
      </c>
      <c r="N858" s="66" t="s">
        <v>18594</v>
      </c>
      <c r="O858" s="651">
        <v>41313.97</v>
      </c>
    </row>
    <row r="859" spans="1:15" ht="12.95" hidden="1">
      <c r="A859" s="81">
        <v>44456</v>
      </c>
      <c r="B859" s="124">
        <v>44016</v>
      </c>
      <c r="C859" s="30">
        <v>77908.320000000007</v>
      </c>
      <c r="D859" s="116">
        <v>0</v>
      </c>
      <c r="E859" s="116">
        <f t="shared" si="26"/>
        <v>77908.320000000007</v>
      </c>
      <c r="F859" s="116">
        <f t="shared" si="27"/>
        <v>1.7700000000000002</v>
      </c>
      <c r="G859" s="88" t="s">
        <v>19824</v>
      </c>
      <c r="H859" s="285" t="s">
        <v>18560</v>
      </c>
      <c r="I859" s="140">
        <v>44433</v>
      </c>
      <c r="J859" s="116">
        <v>0</v>
      </c>
      <c r="N859" s="66" t="s">
        <v>18595</v>
      </c>
      <c r="O859" s="651">
        <v>0</v>
      </c>
    </row>
    <row r="860" spans="1:15" ht="12.95" hidden="1">
      <c r="A860" s="81">
        <v>44364</v>
      </c>
      <c r="B860" s="124">
        <v>280000</v>
      </c>
      <c r="C860" s="30">
        <v>428400</v>
      </c>
      <c r="D860" s="116">
        <v>0</v>
      </c>
      <c r="E860" s="116">
        <f t="shared" si="26"/>
        <v>428400</v>
      </c>
      <c r="F860" s="116">
        <f t="shared" si="27"/>
        <v>1.53</v>
      </c>
      <c r="G860" s="88" t="s">
        <v>19652</v>
      </c>
      <c r="H860" s="285" t="s">
        <v>18571</v>
      </c>
      <c r="I860" s="140">
        <v>44452</v>
      </c>
      <c r="J860" s="116">
        <v>0</v>
      </c>
      <c r="N860" s="66" t="s">
        <v>18596</v>
      </c>
      <c r="O860" s="651">
        <v>0</v>
      </c>
    </row>
    <row r="861" spans="1:15" ht="12.95" hidden="1">
      <c r="A861" s="81">
        <v>44460</v>
      </c>
      <c r="B861" s="124">
        <v>60000</v>
      </c>
      <c r="C861" s="83">
        <f>62637.5*2.79545</f>
        <v>175099.99937500001</v>
      </c>
      <c r="D861" s="116">
        <v>0</v>
      </c>
      <c r="E861" s="116">
        <f t="shared" si="26"/>
        <v>175099.99937500001</v>
      </c>
      <c r="F861" s="116">
        <f t="shared" si="27"/>
        <v>2.9183333229166668</v>
      </c>
      <c r="G861" s="88" t="s">
        <v>19688</v>
      </c>
      <c r="H861" s="285" t="s">
        <v>18553</v>
      </c>
      <c r="I861" s="140">
        <v>44427</v>
      </c>
      <c r="J861" s="116">
        <v>0</v>
      </c>
      <c r="N861" s="66" t="s">
        <v>18597</v>
      </c>
      <c r="O861" s="651">
        <v>0</v>
      </c>
    </row>
    <row r="862" spans="1:15" ht="12.95" hidden="1">
      <c r="A862" s="81">
        <v>44462</v>
      </c>
      <c r="B862" s="124">
        <v>28000</v>
      </c>
      <c r="C862" s="83">
        <v>43120</v>
      </c>
      <c r="D862" s="116">
        <v>0</v>
      </c>
      <c r="E862" s="116">
        <f t="shared" si="26"/>
        <v>43120</v>
      </c>
      <c r="F862" s="116">
        <f t="shared" si="27"/>
        <v>1.54</v>
      </c>
      <c r="G862" s="88" t="s">
        <v>19647</v>
      </c>
      <c r="H862" s="285" t="s">
        <v>18573</v>
      </c>
      <c r="I862" s="140">
        <v>44459</v>
      </c>
      <c r="J862" s="116">
        <v>0</v>
      </c>
      <c r="N862" s="66" t="s">
        <v>18598</v>
      </c>
      <c r="O862" s="651">
        <v>1659.414</v>
      </c>
    </row>
    <row r="863" spans="1:15" ht="12.95" hidden="1">
      <c r="A863" s="81">
        <v>44462</v>
      </c>
      <c r="B863" s="124">
        <v>28000</v>
      </c>
      <c r="C863" s="83">
        <v>43120</v>
      </c>
      <c r="D863" s="116">
        <v>0</v>
      </c>
      <c r="E863" s="116">
        <f t="shared" si="26"/>
        <v>43120</v>
      </c>
      <c r="F863" s="116">
        <f t="shared" si="27"/>
        <v>1.54</v>
      </c>
      <c r="G863" s="88" t="s">
        <v>19647</v>
      </c>
      <c r="H863" s="285" t="s">
        <v>18574</v>
      </c>
      <c r="I863" s="140">
        <v>44459</v>
      </c>
      <c r="J863" s="116">
        <v>0</v>
      </c>
      <c r="N863" s="66" t="s">
        <v>18599</v>
      </c>
      <c r="O863" s="651">
        <v>12601.28</v>
      </c>
    </row>
    <row r="864" spans="1:15" ht="12.95" hidden="1">
      <c r="A864" s="81">
        <v>44462</v>
      </c>
      <c r="B864" s="124">
        <v>23426.400000000001</v>
      </c>
      <c r="C864" s="83">
        <f>22372.21*2.79545</f>
        <v>62540.394444500002</v>
      </c>
      <c r="D864" s="116">
        <v>17646.66</v>
      </c>
      <c r="E864" s="116">
        <f t="shared" si="26"/>
        <v>44893.734444500005</v>
      </c>
      <c r="F864" s="116">
        <f t="shared" si="27"/>
        <v>1.91637359750111</v>
      </c>
      <c r="G864" s="88" t="s">
        <v>18159</v>
      </c>
      <c r="H864" s="285" t="s">
        <v>18559</v>
      </c>
      <c r="I864" s="140">
        <v>44433</v>
      </c>
      <c r="J864" s="116">
        <f>16222.08*25%</f>
        <v>4055.52</v>
      </c>
      <c r="N864" s="66" t="s">
        <v>18600</v>
      </c>
      <c r="O864" s="651">
        <v>0</v>
      </c>
    </row>
    <row r="865" spans="1:15" ht="12.95" hidden="1">
      <c r="A865" s="81">
        <v>44464</v>
      </c>
      <c r="B865" s="124">
        <v>280000</v>
      </c>
      <c r="C865" s="30">
        <v>428400</v>
      </c>
      <c r="D865" s="116">
        <v>0</v>
      </c>
      <c r="E865" s="116">
        <f t="shared" si="26"/>
        <v>428400</v>
      </c>
      <c r="F865" s="116">
        <f t="shared" si="27"/>
        <v>1.53</v>
      </c>
      <c r="G865" s="88" t="s">
        <v>19652</v>
      </c>
      <c r="H865" s="285" t="s">
        <v>18572</v>
      </c>
      <c r="I865" s="140">
        <v>44457</v>
      </c>
      <c r="J865" s="116">
        <v>0</v>
      </c>
      <c r="N865" s="66" t="s">
        <v>18601</v>
      </c>
      <c r="O865" s="651">
        <v>0</v>
      </c>
    </row>
    <row r="866" spans="1:15" ht="12.95" hidden="1">
      <c r="A866" s="81">
        <v>44467</v>
      </c>
      <c r="B866" s="124">
        <v>27336</v>
      </c>
      <c r="C866" s="83">
        <f>19273.64*3.28975</f>
        <v>63405.457190000001</v>
      </c>
      <c r="D866" s="116">
        <v>12123.165000000001</v>
      </c>
      <c r="E866" s="116">
        <f t="shared" si="26"/>
        <v>51282.29219</v>
      </c>
      <c r="F866" s="116">
        <f t="shared" si="27"/>
        <v>1.875998397351478</v>
      </c>
      <c r="G866" s="88" t="s">
        <v>19661</v>
      </c>
      <c r="H866" s="285" t="s">
        <v>18563</v>
      </c>
      <c r="I866" s="140">
        <v>44446</v>
      </c>
      <c r="J866" s="116">
        <f>10508.35*40%</f>
        <v>4203.34</v>
      </c>
      <c r="N866" s="66" t="s">
        <v>18602</v>
      </c>
      <c r="O866" s="651">
        <v>0</v>
      </c>
    </row>
    <row r="867" spans="1:15" ht="12.95" hidden="1">
      <c r="A867" s="81">
        <v>44467</v>
      </c>
      <c r="B867" s="124">
        <v>15096</v>
      </c>
      <c r="C867" s="83">
        <v>49333.599999999999</v>
      </c>
      <c r="D867" s="116">
        <v>0</v>
      </c>
      <c r="E867" s="116">
        <f t="shared" si="26"/>
        <v>49333.599999999999</v>
      </c>
      <c r="F867" s="116">
        <f t="shared" si="27"/>
        <v>3.2679915209326973</v>
      </c>
      <c r="G867" s="88" t="s">
        <v>19825</v>
      </c>
      <c r="H867" s="285" t="s">
        <v>18565</v>
      </c>
      <c r="I867" s="140">
        <v>44446</v>
      </c>
      <c r="J867" s="116">
        <v>0</v>
      </c>
      <c r="N867" s="66" t="s">
        <v>18603</v>
      </c>
      <c r="O867" s="651">
        <v>0</v>
      </c>
    </row>
    <row r="868" spans="1:15" ht="12.95" hidden="1">
      <c r="A868" s="81">
        <v>44468</v>
      </c>
      <c r="B868" s="124">
        <v>21600</v>
      </c>
      <c r="C868" s="30">
        <v>41256</v>
      </c>
      <c r="D868" s="116">
        <v>0</v>
      </c>
      <c r="E868" s="116">
        <f t="shared" si="26"/>
        <v>41256</v>
      </c>
      <c r="F868" s="116">
        <f t="shared" si="27"/>
        <v>1.91</v>
      </c>
      <c r="G868" s="88" t="s">
        <v>19826</v>
      </c>
      <c r="H868" s="285" t="s">
        <v>18567</v>
      </c>
      <c r="I868" s="140">
        <v>44446</v>
      </c>
      <c r="J868" s="116">
        <v>0</v>
      </c>
      <c r="N868" s="66" t="s">
        <v>18604</v>
      </c>
      <c r="O868" s="651">
        <v>10108.355</v>
      </c>
    </row>
    <row r="869" spans="1:15" ht="12.95" hidden="1">
      <c r="A869" s="81">
        <v>44468</v>
      </c>
      <c r="B869" s="124">
        <v>44016</v>
      </c>
      <c r="C869" s="83">
        <v>68224.800000000003</v>
      </c>
      <c r="D869" s="116">
        <v>0</v>
      </c>
      <c r="E869" s="116">
        <f t="shared" si="26"/>
        <v>68224.800000000003</v>
      </c>
      <c r="F869" s="116">
        <f t="shared" si="27"/>
        <v>1.55</v>
      </c>
      <c r="G869" s="88" t="s">
        <v>19647</v>
      </c>
      <c r="H869" s="285" t="s">
        <v>18575</v>
      </c>
      <c r="I869" s="140">
        <v>44460</v>
      </c>
      <c r="J869" s="116">
        <v>0</v>
      </c>
      <c r="N869" s="66" t="s">
        <v>18605</v>
      </c>
      <c r="O869" s="651">
        <v>0</v>
      </c>
    </row>
    <row r="870" spans="1:15" ht="12.95" hidden="1">
      <c r="A870" s="168">
        <v>44473</v>
      </c>
      <c r="B870" s="182">
        <v>77200</v>
      </c>
      <c r="C870" s="175">
        <v>167732</v>
      </c>
      <c r="D870" s="116">
        <v>0</v>
      </c>
      <c r="E870" s="116">
        <f t="shared" si="26"/>
        <v>167732</v>
      </c>
      <c r="F870" s="116">
        <f t="shared" si="27"/>
        <v>2.1726943005181347</v>
      </c>
      <c r="G870" s="88" t="s">
        <v>17227</v>
      </c>
      <c r="H870" s="285" t="s">
        <v>18576</v>
      </c>
      <c r="I870" s="140">
        <v>44463</v>
      </c>
      <c r="J870" s="116">
        <v>0</v>
      </c>
      <c r="M870" s="75"/>
      <c r="N870" s="66" t="s">
        <v>18606</v>
      </c>
      <c r="O870" s="651">
        <v>41313.97</v>
      </c>
    </row>
    <row r="871" spans="1:15" ht="12.95" hidden="1">
      <c r="A871" s="86">
        <v>44480</v>
      </c>
      <c r="B871" s="124">
        <v>41000</v>
      </c>
      <c r="C871" s="30">
        <v>76260</v>
      </c>
      <c r="D871" s="116">
        <v>0</v>
      </c>
      <c r="E871" s="116">
        <f t="shared" si="26"/>
        <v>76260</v>
      </c>
      <c r="F871" s="116">
        <f t="shared" si="27"/>
        <v>1.86</v>
      </c>
      <c r="G871" s="88" t="s">
        <v>17018</v>
      </c>
      <c r="H871" s="285" t="s">
        <v>18579</v>
      </c>
      <c r="I871" s="140">
        <v>44474</v>
      </c>
      <c r="J871" s="116">
        <v>0</v>
      </c>
      <c r="M871" s="75"/>
      <c r="N871" s="66" t="s">
        <v>18607</v>
      </c>
      <c r="O871" s="651">
        <v>0</v>
      </c>
    </row>
    <row r="872" spans="1:15" ht="12.95" hidden="1">
      <c r="A872" s="86">
        <v>44480</v>
      </c>
      <c r="B872" s="124">
        <v>21600</v>
      </c>
      <c r="C872" s="30">
        <v>38664</v>
      </c>
      <c r="D872" s="116">
        <v>0</v>
      </c>
      <c r="E872" s="116">
        <f t="shared" si="26"/>
        <v>38664</v>
      </c>
      <c r="F872" s="116">
        <f t="shared" si="27"/>
        <v>1.79</v>
      </c>
      <c r="G872" s="88" t="s">
        <v>19655</v>
      </c>
      <c r="H872" s="285" t="s">
        <v>18581</v>
      </c>
      <c r="I872" s="140">
        <v>44474</v>
      </c>
      <c r="J872" s="116">
        <v>0</v>
      </c>
      <c r="M872" s="75"/>
      <c r="N872" s="66" t="s">
        <v>18608</v>
      </c>
      <c r="O872" s="651">
        <v>0</v>
      </c>
    </row>
    <row r="873" spans="1:15" ht="12.95" hidden="1">
      <c r="A873" s="86">
        <v>44482</v>
      </c>
      <c r="B873" s="124">
        <v>66024</v>
      </c>
      <c r="C873" s="30">
        <v>116862.48</v>
      </c>
      <c r="D873" s="116">
        <v>0</v>
      </c>
      <c r="E873" s="116">
        <f t="shared" si="26"/>
        <v>116862.48</v>
      </c>
      <c r="F873" s="116">
        <f t="shared" si="27"/>
        <v>1.77</v>
      </c>
      <c r="G873" s="88" t="s">
        <v>19655</v>
      </c>
      <c r="H873" s="285" t="s">
        <v>18577</v>
      </c>
      <c r="I873" s="140">
        <v>44467</v>
      </c>
      <c r="J873" s="116">
        <v>0</v>
      </c>
      <c r="M873" s="75"/>
      <c r="N873" s="66" t="s">
        <v>18609</v>
      </c>
      <c r="O873" s="651">
        <v>0</v>
      </c>
    </row>
    <row r="874" spans="1:15" ht="12.95" hidden="1">
      <c r="A874" s="86">
        <v>44482</v>
      </c>
      <c r="B874" s="124">
        <v>19200</v>
      </c>
      <c r="C874" s="30">
        <v>34944</v>
      </c>
      <c r="D874" s="116">
        <v>0</v>
      </c>
      <c r="E874" s="116">
        <f t="shared" si="26"/>
        <v>34944</v>
      </c>
      <c r="F874" s="116">
        <f t="shared" si="27"/>
        <v>1.82</v>
      </c>
      <c r="G874" s="88" t="s">
        <v>19655</v>
      </c>
      <c r="H874" s="285" t="s">
        <v>18583</v>
      </c>
      <c r="I874" s="140">
        <v>44476</v>
      </c>
      <c r="J874" s="116">
        <v>0</v>
      </c>
      <c r="M874" s="75"/>
      <c r="N874" s="66" t="s">
        <v>18610</v>
      </c>
      <c r="O874" s="651">
        <v>0</v>
      </c>
    </row>
    <row r="875" spans="1:15" ht="12.95" hidden="1">
      <c r="A875" s="86">
        <v>44485</v>
      </c>
      <c r="B875" s="124">
        <v>560000</v>
      </c>
      <c r="C875" s="30">
        <v>856800</v>
      </c>
      <c r="D875" s="116">
        <v>0</v>
      </c>
      <c r="E875" s="116">
        <f t="shared" si="26"/>
        <v>856800</v>
      </c>
      <c r="F875" s="116">
        <f t="shared" si="27"/>
        <v>1.53</v>
      </c>
      <c r="G875" s="88" t="s">
        <v>19652</v>
      </c>
      <c r="H875" s="285" t="s">
        <v>18580</v>
      </c>
      <c r="I875" s="140">
        <v>44474</v>
      </c>
      <c r="J875" s="116">
        <v>0</v>
      </c>
      <c r="M875" s="75"/>
      <c r="N875" s="66" t="s">
        <v>18611</v>
      </c>
      <c r="O875" s="651">
        <v>12532.495000000001</v>
      </c>
    </row>
    <row r="876" spans="1:15" ht="12.95" hidden="1">
      <c r="A876" s="86">
        <v>44489</v>
      </c>
      <c r="B876" s="124">
        <v>40000</v>
      </c>
      <c r="C876" s="30">
        <v>110975.2</v>
      </c>
      <c r="D876" s="116">
        <v>10715.82</v>
      </c>
      <c r="E876" s="116">
        <f t="shared" si="26"/>
        <v>100259.38</v>
      </c>
      <c r="F876" s="116">
        <f t="shared" si="27"/>
        <v>2.5064845</v>
      </c>
      <c r="G876" s="88" t="s">
        <v>19659</v>
      </c>
      <c r="H876" s="285" t="s">
        <v>18582</v>
      </c>
      <c r="I876" s="140">
        <v>44475</v>
      </c>
      <c r="J876" s="116">
        <f>8378.1*25%</f>
        <v>2094.5250000000001</v>
      </c>
      <c r="M876" s="75"/>
      <c r="N876" s="66" t="s">
        <v>18612</v>
      </c>
      <c r="O876" s="651">
        <v>12532.495000000001</v>
      </c>
    </row>
    <row r="877" spans="1:15" ht="12.95" hidden="1">
      <c r="A877" s="86">
        <v>44490</v>
      </c>
      <c r="B877" s="124">
        <v>27336</v>
      </c>
      <c r="C877" s="30">
        <v>95178.486999999994</v>
      </c>
      <c r="D877" s="116">
        <v>12224.985000000001</v>
      </c>
      <c r="E877" s="116">
        <f t="shared" si="26"/>
        <v>82953.501999999993</v>
      </c>
      <c r="F877" s="116">
        <f t="shared" si="27"/>
        <v>3.0345881621305235</v>
      </c>
      <c r="G877" s="88" t="s">
        <v>19661</v>
      </c>
      <c r="H877" s="285" t="s">
        <v>18584</v>
      </c>
      <c r="I877" s="140">
        <v>44481</v>
      </c>
      <c r="J877" s="116">
        <f>10631.52*40%</f>
        <v>4252.6080000000002</v>
      </c>
      <c r="M877" s="75"/>
      <c r="N877" s="66" t="s">
        <v>18613</v>
      </c>
      <c r="O877" s="651">
        <v>9675.2049999999999</v>
      </c>
    </row>
    <row r="878" spans="1:15" ht="12.95" hidden="1">
      <c r="A878" s="86">
        <v>44491</v>
      </c>
      <c r="B878" s="124">
        <v>120480</v>
      </c>
      <c r="C878" s="30">
        <v>223321.18599999999</v>
      </c>
      <c r="D878" s="116">
        <v>55822.525000000001</v>
      </c>
      <c r="E878" s="116">
        <f t="shared" si="26"/>
        <v>167498.66099999999</v>
      </c>
      <c r="F878" s="116">
        <f t="shared" si="27"/>
        <v>1.3902611304780876</v>
      </c>
      <c r="G878" s="88" t="s">
        <v>19804</v>
      </c>
      <c r="H878" s="285" t="s">
        <v>18585</v>
      </c>
      <c r="I878" s="140">
        <v>44481</v>
      </c>
      <c r="J878" s="116">
        <f>49608.125*40%</f>
        <v>19843.25</v>
      </c>
      <c r="M878" s="75"/>
      <c r="N878" s="66" t="s">
        <v>18614</v>
      </c>
      <c r="O878" s="651">
        <v>0</v>
      </c>
    </row>
    <row r="879" spans="1:15" ht="12.95" hidden="1">
      <c r="A879" s="86">
        <v>44492</v>
      </c>
      <c r="B879" s="124">
        <v>54000</v>
      </c>
      <c r="C879" s="123">
        <v>108000</v>
      </c>
      <c r="D879" s="116">
        <v>0</v>
      </c>
      <c r="E879" s="116">
        <f t="shared" si="26"/>
        <v>108000</v>
      </c>
      <c r="F879" s="116">
        <f t="shared" si="27"/>
        <v>2</v>
      </c>
      <c r="G879" s="88" t="s">
        <v>19655</v>
      </c>
      <c r="H879" s="285" t="s">
        <v>18578</v>
      </c>
      <c r="I879" s="140">
        <v>44467</v>
      </c>
      <c r="J879" s="116">
        <v>0</v>
      </c>
      <c r="M879" s="75"/>
      <c r="N879" s="66" t="s">
        <v>18615</v>
      </c>
      <c r="O879" s="651">
        <v>1558.32</v>
      </c>
    </row>
    <row r="880" spans="1:15" ht="12.95" hidden="1">
      <c r="A880" s="86">
        <v>44495</v>
      </c>
      <c r="B880" s="124">
        <v>25856.639999999999</v>
      </c>
      <c r="C880" s="30">
        <v>52044.491999999998</v>
      </c>
      <c r="D880" s="116">
        <v>0</v>
      </c>
      <c r="E880" s="116">
        <f t="shared" si="26"/>
        <v>52044.491999999998</v>
      </c>
      <c r="F880" s="116">
        <f t="shared" si="27"/>
        <v>2.0128095529813619</v>
      </c>
      <c r="G880" s="88" t="s">
        <v>17018</v>
      </c>
      <c r="H880" s="285" t="s">
        <v>18595</v>
      </c>
      <c r="I880" s="140">
        <v>44489</v>
      </c>
      <c r="J880" s="116">
        <v>0</v>
      </c>
      <c r="N880" s="66" t="s">
        <v>18616</v>
      </c>
      <c r="O880" s="651">
        <v>0</v>
      </c>
    </row>
    <row r="881" spans="1:15" ht="12.95" hidden="1">
      <c r="A881" s="86">
        <v>44496</v>
      </c>
      <c r="B881" s="124">
        <v>108000</v>
      </c>
      <c r="C881" s="30">
        <v>175415.736</v>
      </c>
      <c r="D881" s="116">
        <v>36801.96</v>
      </c>
      <c r="E881" s="116">
        <f t="shared" si="26"/>
        <v>138613.77600000001</v>
      </c>
      <c r="F881" s="116">
        <f t="shared" si="27"/>
        <v>1.283460888888889</v>
      </c>
      <c r="G881" s="88" t="s">
        <v>19722</v>
      </c>
      <c r="H881" s="285" t="s">
        <v>18586</v>
      </c>
      <c r="I881" s="140">
        <v>44482</v>
      </c>
      <c r="J881" s="116">
        <f>31558.56*40%</f>
        <v>12623.424000000001</v>
      </c>
      <c r="N881" s="66" t="s">
        <v>18617</v>
      </c>
      <c r="O881" s="651">
        <v>69410.59</v>
      </c>
    </row>
    <row r="882" spans="1:15" ht="14.45" hidden="1">
      <c r="A882" s="105">
        <v>44497</v>
      </c>
      <c r="B882" s="219">
        <v>140000</v>
      </c>
      <c r="C882" s="107">
        <v>255283.35</v>
      </c>
      <c r="D882" s="119">
        <v>41313.97</v>
      </c>
      <c r="E882" s="116">
        <f t="shared" si="26"/>
        <v>213969.38</v>
      </c>
      <c r="F882" s="116">
        <f t="shared" si="27"/>
        <v>1.5283527142857143</v>
      </c>
      <c r="G882" s="88" t="s">
        <v>19804</v>
      </c>
      <c r="H882" s="285" t="s">
        <v>18594</v>
      </c>
      <c r="I882" s="140">
        <v>44488</v>
      </c>
      <c r="J882" s="119">
        <f>35511.72*40%</f>
        <v>14204.688000000002</v>
      </c>
      <c r="N882" s="66" t="s">
        <v>18618</v>
      </c>
      <c r="O882" s="651">
        <v>0</v>
      </c>
    </row>
    <row r="883" spans="1:15" ht="12.95" hidden="1">
      <c r="A883" s="140">
        <v>44497</v>
      </c>
      <c r="B883" s="124">
        <v>108000</v>
      </c>
      <c r="C883" s="30">
        <v>175415.736</v>
      </c>
      <c r="D883" s="116">
        <v>36801.96</v>
      </c>
      <c r="E883" s="116">
        <f t="shared" si="26"/>
        <v>138613.77600000001</v>
      </c>
      <c r="F883" s="116">
        <f t="shared" si="27"/>
        <v>1.283460888888889</v>
      </c>
      <c r="G883" s="88" t="s">
        <v>19722</v>
      </c>
      <c r="H883" s="285" t="s">
        <v>18587</v>
      </c>
      <c r="I883" s="140">
        <v>44482</v>
      </c>
      <c r="J883" s="116">
        <f>31558.56*40%</f>
        <v>12623.424000000001</v>
      </c>
      <c r="N883" s="66" t="s">
        <v>18619</v>
      </c>
      <c r="O883" s="651">
        <v>0</v>
      </c>
    </row>
    <row r="884" spans="1:15" ht="12.95" hidden="1">
      <c r="A884" s="86">
        <v>44497</v>
      </c>
      <c r="B884" s="124">
        <v>66024</v>
      </c>
      <c r="C884" s="30">
        <v>102337.2</v>
      </c>
      <c r="D884" s="116">
        <v>0</v>
      </c>
      <c r="E884" s="116">
        <f t="shared" si="26"/>
        <v>102337.2</v>
      </c>
      <c r="F884" s="116">
        <f t="shared" si="27"/>
        <v>1.55</v>
      </c>
      <c r="G884" s="88" t="s">
        <v>19647</v>
      </c>
      <c r="H884" s="285" t="s">
        <v>18593</v>
      </c>
      <c r="I884" s="140">
        <v>44488</v>
      </c>
      <c r="J884" s="116">
        <v>0</v>
      </c>
      <c r="N884" s="66" t="s">
        <v>18620</v>
      </c>
      <c r="O884" s="651">
        <v>47617.34</v>
      </c>
    </row>
    <row r="885" spans="1:15" ht="12.95" hidden="1">
      <c r="A885" s="86">
        <v>44498</v>
      </c>
      <c r="B885" s="124">
        <v>108000</v>
      </c>
      <c r="C885" s="184">
        <v>175415.736</v>
      </c>
      <c r="D885" s="116">
        <v>36801.96</v>
      </c>
      <c r="E885" s="116">
        <f t="shared" si="26"/>
        <v>138613.77600000001</v>
      </c>
      <c r="F885" s="116">
        <f t="shared" si="27"/>
        <v>1.283460888888889</v>
      </c>
      <c r="G885" s="88" t="s">
        <v>19722</v>
      </c>
      <c r="H885" s="285" t="s">
        <v>18588</v>
      </c>
      <c r="I885" s="140">
        <v>44482</v>
      </c>
      <c r="J885" s="116">
        <f>31558.56*40%</f>
        <v>12623.424000000001</v>
      </c>
      <c r="N885" s="66" t="s">
        <v>18622</v>
      </c>
      <c r="O885" s="651">
        <v>0</v>
      </c>
    </row>
    <row r="886" spans="1:15" ht="14.45" hidden="1">
      <c r="A886" s="105">
        <v>44498</v>
      </c>
      <c r="B886" s="219">
        <v>60000</v>
      </c>
      <c r="C886" s="107">
        <v>165695.46</v>
      </c>
      <c r="D886" s="119">
        <v>16032.17</v>
      </c>
      <c r="E886" s="116">
        <f t="shared" ref="E886:E949" si="28">(C886-D886)</f>
        <v>149663.28999999998</v>
      </c>
      <c r="F886" s="116">
        <f t="shared" ref="F886:F949" si="29">(E886/B886)</f>
        <v>2.4943881666666665</v>
      </c>
      <c r="G886" s="88" t="s">
        <v>19659</v>
      </c>
      <c r="H886" s="285" t="s">
        <v>18591</v>
      </c>
      <c r="I886" s="140">
        <v>44488</v>
      </c>
      <c r="J886" s="119">
        <f>12528*25%</f>
        <v>3132</v>
      </c>
      <c r="N886" s="66" t="s">
        <v>18623</v>
      </c>
      <c r="O886" s="651">
        <v>0</v>
      </c>
    </row>
    <row r="887" spans="1:15" ht="12.95" hidden="1">
      <c r="A887" s="86">
        <v>44499</v>
      </c>
      <c r="B887" s="124">
        <v>108000</v>
      </c>
      <c r="C887" s="185">
        <v>175415.736</v>
      </c>
      <c r="D887" s="116">
        <v>36801.96</v>
      </c>
      <c r="E887" s="116">
        <f t="shared" si="28"/>
        <v>138613.77600000001</v>
      </c>
      <c r="F887" s="116">
        <f t="shared" si="29"/>
        <v>1.283460888888889</v>
      </c>
      <c r="G887" s="282" t="s">
        <v>19722</v>
      </c>
      <c r="H887" s="285" t="s">
        <v>18589</v>
      </c>
      <c r="I887" s="140">
        <v>44482</v>
      </c>
      <c r="J887" s="116">
        <f>31558.56*40%</f>
        <v>12623.424000000001</v>
      </c>
      <c r="N887" s="66" t="s">
        <v>18624</v>
      </c>
      <c r="O887" s="651">
        <v>12435.084999999999</v>
      </c>
    </row>
    <row r="888" spans="1:15" ht="14.45" hidden="1">
      <c r="A888" s="105">
        <v>44501</v>
      </c>
      <c r="B888" s="219">
        <v>24716</v>
      </c>
      <c r="C888" s="107">
        <f>14806.76*3.2803</f>
        <v>48570.614827999998</v>
      </c>
      <c r="D888" s="116">
        <v>0</v>
      </c>
      <c r="E888" s="116">
        <f t="shared" si="28"/>
        <v>48570.614827999998</v>
      </c>
      <c r="F888" s="116">
        <f t="shared" si="29"/>
        <v>1.965148682149215</v>
      </c>
      <c r="G888" s="88" t="s">
        <v>19827</v>
      </c>
      <c r="H888" s="85" t="s">
        <v>18590</v>
      </c>
      <c r="I888" s="105">
        <v>44488</v>
      </c>
      <c r="J888" s="116">
        <v>0</v>
      </c>
      <c r="M888" s="75"/>
      <c r="N888" s="66" t="s">
        <v>18625</v>
      </c>
      <c r="O888" s="651">
        <v>0</v>
      </c>
    </row>
    <row r="889" spans="1:15" ht="14.45" hidden="1">
      <c r="A889" s="81">
        <v>44504</v>
      </c>
      <c r="B889" s="219">
        <v>27336</v>
      </c>
      <c r="C889" s="107">
        <f>19293.56*3.2815</f>
        <v>63311.817139999999</v>
      </c>
      <c r="D889" s="116">
        <v>12601.28</v>
      </c>
      <c r="E889" s="116">
        <f t="shared" si="28"/>
        <v>50710.53714</v>
      </c>
      <c r="F889" s="116">
        <f t="shared" si="29"/>
        <v>1.8550825702370501</v>
      </c>
      <c r="G889" s="88" t="s">
        <v>19661</v>
      </c>
      <c r="H889" s="85" t="s">
        <v>18599</v>
      </c>
      <c r="I889" s="105">
        <v>44498</v>
      </c>
      <c r="J889" s="116">
        <f>10716.16*40%</f>
        <v>4286.4639999999999</v>
      </c>
      <c r="M889" s="75"/>
      <c r="N889" s="66" t="s">
        <v>18626</v>
      </c>
      <c r="O889" s="651">
        <v>0</v>
      </c>
    </row>
    <row r="890" spans="1:15" ht="12.95" hidden="1">
      <c r="A890" s="81">
        <v>44506</v>
      </c>
      <c r="B890" s="124">
        <v>54000</v>
      </c>
      <c r="C890" s="30">
        <v>108000</v>
      </c>
      <c r="D890" s="116">
        <v>0</v>
      </c>
      <c r="E890" s="116">
        <f t="shared" si="28"/>
        <v>108000</v>
      </c>
      <c r="F890" s="116">
        <f t="shared" si="29"/>
        <v>2</v>
      </c>
      <c r="G890" s="88" t="s">
        <v>19655</v>
      </c>
      <c r="H890" s="85" t="s">
        <v>18597</v>
      </c>
      <c r="I890" s="86">
        <v>44492</v>
      </c>
      <c r="J890" s="116">
        <v>0</v>
      </c>
      <c r="M890" s="75"/>
      <c r="N890" s="66" t="s">
        <v>18627</v>
      </c>
      <c r="O890" s="651">
        <v>0</v>
      </c>
    </row>
    <row r="891" spans="1:15" ht="12.95" hidden="1">
      <c r="A891" s="81">
        <v>44508</v>
      </c>
      <c r="B891" s="124">
        <v>11200</v>
      </c>
      <c r="C891" s="123">
        <v>61040</v>
      </c>
      <c r="D891" s="116">
        <v>0</v>
      </c>
      <c r="E891" s="116">
        <f t="shared" si="28"/>
        <v>61040</v>
      </c>
      <c r="F891" s="116">
        <f t="shared" si="29"/>
        <v>5.45</v>
      </c>
      <c r="G891" s="88" t="s">
        <v>17282</v>
      </c>
      <c r="H891" s="85" t="s">
        <v>18600</v>
      </c>
      <c r="I891" s="86">
        <v>44502</v>
      </c>
      <c r="J891" s="116">
        <v>0</v>
      </c>
      <c r="N891" s="66" t="s">
        <v>18628</v>
      </c>
      <c r="O891" s="651">
        <v>22383.272000000001</v>
      </c>
    </row>
    <row r="892" spans="1:15" ht="14.45" hidden="1">
      <c r="A892" s="81">
        <v>44511</v>
      </c>
      <c r="B892" s="219">
        <v>20160</v>
      </c>
      <c r="C892" s="123">
        <f>24515.2*2.8346</f>
        <v>69490.785920000009</v>
      </c>
      <c r="D892" s="116">
        <v>1659.414</v>
      </c>
      <c r="E892" s="116">
        <f t="shared" si="28"/>
        <v>67831.371920000005</v>
      </c>
      <c r="F892" s="116">
        <f t="shared" si="29"/>
        <v>3.3646513849206352</v>
      </c>
      <c r="G892" s="88" t="s">
        <v>19653</v>
      </c>
      <c r="H892" s="85" t="s">
        <v>18598</v>
      </c>
      <c r="I892" s="105">
        <v>44498</v>
      </c>
      <c r="J892" s="116">
        <v>0</v>
      </c>
      <c r="N892" s="66" t="s">
        <v>18629</v>
      </c>
      <c r="O892" s="651">
        <v>0</v>
      </c>
    </row>
    <row r="893" spans="1:15" ht="12.95" hidden="1">
      <c r="A893" s="81">
        <v>44515</v>
      </c>
      <c r="B893" s="124">
        <v>280000</v>
      </c>
      <c r="C893" s="83">
        <v>501200</v>
      </c>
      <c r="D893" s="116">
        <v>0</v>
      </c>
      <c r="E893" s="116">
        <f t="shared" si="28"/>
        <v>501200</v>
      </c>
      <c r="F893" s="116">
        <f t="shared" si="29"/>
        <v>1.79</v>
      </c>
      <c r="G893" s="88" t="s">
        <v>19656</v>
      </c>
      <c r="H893" s="85" t="s">
        <v>18602</v>
      </c>
      <c r="I893" s="86">
        <v>44509</v>
      </c>
      <c r="J893" s="116">
        <v>0</v>
      </c>
      <c r="N893" s="66" t="s">
        <v>18630</v>
      </c>
      <c r="O893" s="651">
        <v>30151.53</v>
      </c>
    </row>
    <row r="894" spans="1:15" ht="14.45" hidden="1">
      <c r="A894" s="81">
        <v>44516</v>
      </c>
      <c r="B894" s="219">
        <v>25200</v>
      </c>
      <c r="C894" s="123">
        <f>20540*3.2685</f>
        <v>67134.990000000005</v>
      </c>
      <c r="D894" s="116">
        <v>10108.355</v>
      </c>
      <c r="E894" s="116">
        <f t="shared" si="28"/>
        <v>57026.635000000009</v>
      </c>
      <c r="F894" s="116">
        <f t="shared" si="29"/>
        <v>2.2629617063492069</v>
      </c>
      <c r="G894" s="88" t="s">
        <v>19651</v>
      </c>
      <c r="H894" s="85" t="s">
        <v>18604</v>
      </c>
      <c r="I894" s="105">
        <v>44509</v>
      </c>
      <c r="J894" s="116">
        <f>8563.7*40%</f>
        <v>3425.4800000000005</v>
      </c>
      <c r="N894" s="66" t="s">
        <v>18632</v>
      </c>
      <c r="O894" s="651">
        <v>0</v>
      </c>
    </row>
    <row r="895" spans="1:15" ht="12.95" hidden="1">
      <c r="A895" s="81">
        <v>44517</v>
      </c>
      <c r="B895" s="124">
        <v>20000</v>
      </c>
      <c r="C895" s="83">
        <v>62000</v>
      </c>
      <c r="D895" s="116">
        <v>0</v>
      </c>
      <c r="E895" s="116">
        <f t="shared" si="28"/>
        <v>62000</v>
      </c>
      <c r="F895" s="116">
        <f t="shared" si="29"/>
        <v>3.1</v>
      </c>
      <c r="G895" s="88" t="s">
        <v>17018</v>
      </c>
      <c r="H895" s="85" t="s">
        <v>18605</v>
      </c>
      <c r="I895" s="86">
        <v>44509</v>
      </c>
      <c r="J895" s="116">
        <v>0</v>
      </c>
      <c r="N895" s="66" t="s">
        <v>18633</v>
      </c>
      <c r="O895" s="651">
        <v>0</v>
      </c>
    </row>
    <row r="896" spans="1:15" ht="14.45" hidden="1">
      <c r="A896" s="81">
        <v>44517</v>
      </c>
      <c r="B896" s="219">
        <v>158796</v>
      </c>
      <c r="C896" s="83">
        <f>109269.86*2.8553</f>
        <v>311998.23125800001</v>
      </c>
      <c r="D896" s="116">
        <v>67904</v>
      </c>
      <c r="E896" s="116">
        <f t="shared" si="28"/>
        <v>244094.23125800001</v>
      </c>
      <c r="F896" s="116">
        <f t="shared" si="29"/>
        <v>1.5371560445981007</v>
      </c>
      <c r="G896" s="88" t="s">
        <v>19662</v>
      </c>
      <c r="H896" s="85" t="s">
        <v>18592</v>
      </c>
      <c r="I896" s="105">
        <v>44519</v>
      </c>
      <c r="J896" s="116">
        <f>60927.12*40%</f>
        <v>24370.848000000002</v>
      </c>
      <c r="N896" s="66" t="s">
        <v>19828</v>
      </c>
      <c r="O896" s="651">
        <v>0</v>
      </c>
    </row>
    <row r="897" spans="1:15" ht="12.95" hidden="1">
      <c r="A897" s="86">
        <v>44518</v>
      </c>
      <c r="B897" s="124">
        <v>167424</v>
      </c>
      <c r="C897" s="30">
        <v>390707.6</v>
      </c>
      <c r="D897" s="116">
        <v>0</v>
      </c>
      <c r="E897" s="116">
        <f t="shared" si="28"/>
        <v>390707.6</v>
      </c>
      <c r="F897" s="116">
        <f t="shared" si="29"/>
        <v>2.3336415328746174</v>
      </c>
      <c r="G897" s="88" t="s">
        <v>19647</v>
      </c>
      <c r="H897" s="85" t="s">
        <v>18603</v>
      </c>
      <c r="I897" s="86">
        <v>44509</v>
      </c>
      <c r="J897" s="116">
        <v>0</v>
      </c>
      <c r="N897" s="66" t="s">
        <v>18634</v>
      </c>
      <c r="O897" s="651">
        <v>5236.8500000000004</v>
      </c>
    </row>
    <row r="898" spans="1:15" ht="12.95" hidden="1">
      <c r="A898" s="86">
        <v>44522</v>
      </c>
      <c r="B898" s="124">
        <v>38400</v>
      </c>
      <c r="C898" s="30">
        <v>68736</v>
      </c>
      <c r="D898" s="116">
        <v>0</v>
      </c>
      <c r="E898" s="116">
        <f t="shared" si="28"/>
        <v>68736</v>
      </c>
      <c r="F898" s="116">
        <f t="shared" si="29"/>
        <v>1.79</v>
      </c>
      <c r="G898" s="88" t="s">
        <v>19655</v>
      </c>
      <c r="H898" s="85" t="s">
        <v>18607</v>
      </c>
      <c r="I898" s="140">
        <v>44515</v>
      </c>
      <c r="J898" s="116">
        <v>0</v>
      </c>
      <c r="N898" s="66" t="s">
        <v>18635</v>
      </c>
      <c r="O898" s="651">
        <v>0</v>
      </c>
    </row>
    <row r="899" spans="1:15" ht="12.95" hidden="1">
      <c r="A899" s="86">
        <v>44527</v>
      </c>
      <c r="B899" s="124">
        <v>60000</v>
      </c>
      <c r="C899" s="30">
        <v>186000</v>
      </c>
      <c r="D899" s="116">
        <v>0</v>
      </c>
      <c r="E899" s="116">
        <f t="shared" si="28"/>
        <v>186000</v>
      </c>
      <c r="F899" s="116">
        <f t="shared" si="29"/>
        <v>3.1</v>
      </c>
      <c r="G899" s="88" t="s">
        <v>17018</v>
      </c>
      <c r="H899" s="85" t="s">
        <v>18608</v>
      </c>
      <c r="I899" s="140">
        <v>44515</v>
      </c>
      <c r="J899" s="116">
        <v>0</v>
      </c>
      <c r="N899" s="66" t="s">
        <v>18636</v>
      </c>
      <c r="O899" s="651">
        <v>0</v>
      </c>
    </row>
    <row r="900" spans="1:15" ht="12.95" hidden="1">
      <c r="A900" s="86">
        <v>44529</v>
      </c>
      <c r="B900" s="124">
        <v>110040</v>
      </c>
      <c r="C900" s="30">
        <v>170562</v>
      </c>
      <c r="D900" s="116">
        <v>0</v>
      </c>
      <c r="E900" s="116">
        <f t="shared" si="28"/>
        <v>170562</v>
      </c>
      <c r="F900" s="116">
        <f t="shared" si="29"/>
        <v>1.55</v>
      </c>
      <c r="G900" s="88" t="s">
        <v>19647</v>
      </c>
      <c r="H900" s="85" t="s">
        <v>18614</v>
      </c>
      <c r="I900" s="140">
        <v>44523</v>
      </c>
      <c r="J900" s="116">
        <v>0</v>
      </c>
      <c r="N900" s="66" t="s">
        <v>18637</v>
      </c>
      <c r="O900" s="651">
        <v>0</v>
      </c>
    </row>
    <row r="901" spans="1:15" ht="12.95" hidden="1">
      <c r="A901" s="86">
        <v>44529</v>
      </c>
      <c r="B901" s="124">
        <v>21600</v>
      </c>
      <c r="C901" s="30">
        <f>23654*3.2467</f>
        <v>76797.441800000001</v>
      </c>
      <c r="D901" s="116">
        <v>12532.495000000001</v>
      </c>
      <c r="E901" s="116">
        <f t="shared" si="28"/>
        <v>64264.946799999998</v>
      </c>
      <c r="F901" s="116">
        <f t="shared" si="29"/>
        <v>2.9752290185185184</v>
      </c>
      <c r="G901" s="88" t="s">
        <v>19661</v>
      </c>
      <c r="H901" s="85" t="s">
        <v>18611</v>
      </c>
      <c r="I901" s="140">
        <v>44523</v>
      </c>
      <c r="J901" s="116">
        <f>10867.04*40%</f>
        <v>4346.8160000000007</v>
      </c>
      <c r="N901" s="66" t="s">
        <v>18638</v>
      </c>
      <c r="O901" s="651">
        <v>0</v>
      </c>
    </row>
    <row r="902" spans="1:15" ht="12.95" hidden="1">
      <c r="A902" s="86">
        <v>44529</v>
      </c>
      <c r="B902" s="124">
        <v>21600</v>
      </c>
      <c r="C902" s="30">
        <f>23654*3.2467</f>
        <v>76797.441800000001</v>
      </c>
      <c r="D902" s="116">
        <v>12532.495000000001</v>
      </c>
      <c r="E902" s="116">
        <f t="shared" si="28"/>
        <v>64264.946799999998</v>
      </c>
      <c r="F902" s="116">
        <f t="shared" si="29"/>
        <v>2.9752290185185184</v>
      </c>
      <c r="G902" s="88" t="s">
        <v>19661</v>
      </c>
      <c r="H902" s="85" t="s">
        <v>18612</v>
      </c>
      <c r="I902" s="140">
        <v>44523</v>
      </c>
      <c r="J902" s="116">
        <f>10867.04*40%</f>
        <v>4346.8160000000007</v>
      </c>
      <c r="N902" s="66" t="s">
        <v>18639</v>
      </c>
      <c r="O902" s="651">
        <v>52693.824999999997</v>
      </c>
    </row>
    <row r="903" spans="1:15" ht="12.95" hidden="1">
      <c r="A903" s="86">
        <v>44530</v>
      </c>
      <c r="B903" s="124">
        <v>10800</v>
      </c>
      <c r="C903" s="30">
        <f>12482*3.2467</f>
        <v>40525.309399999998</v>
      </c>
      <c r="D903" s="116">
        <v>9675.2049999999999</v>
      </c>
      <c r="E903" s="116">
        <f t="shared" si="28"/>
        <v>30850.104399999997</v>
      </c>
      <c r="F903" s="116">
        <f t="shared" si="29"/>
        <v>2.8564911481481476</v>
      </c>
      <c r="G903" s="88" t="s">
        <v>19661</v>
      </c>
      <c r="H903" s="85" t="s">
        <v>18613</v>
      </c>
      <c r="I903" s="140">
        <v>44523</v>
      </c>
      <c r="J903" s="116">
        <f>8120.75*40%</f>
        <v>3248.3</v>
      </c>
      <c r="N903" s="66" t="s">
        <v>18640</v>
      </c>
      <c r="O903" s="651">
        <v>0</v>
      </c>
    </row>
    <row r="904" spans="1:15" ht="12.95" hidden="1">
      <c r="A904" s="221">
        <v>44530</v>
      </c>
      <c r="B904" s="222">
        <v>139200</v>
      </c>
      <c r="C904" s="223">
        <f>75168*3.2467</f>
        <v>244047.94560000001</v>
      </c>
      <c r="D904" s="154">
        <v>41313.97</v>
      </c>
      <c r="E904" s="117">
        <f t="shared" si="28"/>
        <v>202733.97560000001</v>
      </c>
      <c r="F904" s="117">
        <f t="shared" si="29"/>
        <v>1.4564222385057473</v>
      </c>
      <c r="G904" s="166" t="s">
        <v>19804</v>
      </c>
      <c r="H904" s="286" t="s">
        <v>18606</v>
      </c>
      <c r="I904" s="226">
        <v>44512</v>
      </c>
      <c r="J904" s="154">
        <f>35511.72*40%</f>
        <v>14204.688000000002</v>
      </c>
      <c r="N904" s="66" t="s">
        <v>18641</v>
      </c>
      <c r="O904" s="651">
        <v>0</v>
      </c>
    </row>
    <row r="905" spans="1:15" ht="12.95" hidden="1">
      <c r="A905" s="86">
        <v>44537</v>
      </c>
      <c r="B905" s="124">
        <v>5600</v>
      </c>
      <c r="C905" s="30">
        <v>30576</v>
      </c>
      <c r="D905" s="116">
        <v>0</v>
      </c>
      <c r="E905" s="116">
        <f t="shared" si="28"/>
        <v>30576</v>
      </c>
      <c r="F905" s="116">
        <f t="shared" si="29"/>
        <v>5.46</v>
      </c>
      <c r="G905" s="88" t="s">
        <v>19801</v>
      </c>
      <c r="H905" s="285" t="s">
        <v>18609</v>
      </c>
      <c r="I905" s="86">
        <v>44515</v>
      </c>
      <c r="J905" s="116">
        <v>0</v>
      </c>
      <c r="N905" s="66" t="s">
        <v>18642</v>
      </c>
      <c r="O905" s="651">
        <v>0</v>
      </c>
    </row>
    <row r="906" spans="1:15" ht="12.95" hidden="1">
      <c r="A906" s="81">
        <v>44537</v>
      </c>
      <c r="B906" s="182">
        <v>19500</v>
      </c>
      <c r="C906" s="30">
        <f>27975*2.8779</f>
        <v>80509.252500000002</v>
      </c>
      <c r="D906" s="116">
        <v>1558.32</v>
      </c>
      <c r="E906" s="116">
        <f t="shared" si="28"/>
        <v>78950.932499999995</v>
      </c>
      <c r="F906" s="116">
        <f t="shared" si="29"/>
        <v>4.0487657692307693</v>
      </c>
      <c r="G906" s="88" t="s">
        <v>19653</v>
      </c>
      <c r="H906" s="285" t="s">
        <v>18615</v>
      </c>
      <c r="I906" s="220">
        <v>44525</v>
      </c>
      <c r="J906" s="116">
        <v>0</v>
      </c>
      <c r="N906" s="66" t="s">
        <v>18643</v>
      </c>
      <c r="O906" s="651">
        <v>0</v>
      </c>
    </row>
    <row r="907" spans="1:15" ht="12.95" hidden="1">
      <c r="A907" s="81">
        <v>44539</v>
      </c>
      <c r="B907" s="182">
        <v>158796</v>
      </c>
      <c r="C907" s="30">
        <f>109269.86*2.8783</f>
        <v>314511.43803799996</v>
      </c>
      <c r="D907" s="116">
        <v>69410.59</v>
      </c>
      <c r="E907" s="116">
        <f t="shared" si="28"/>
        <v>245100.84803799997</v>
      </c>
      <c r="F907" s="116">
        <f t="shared" si="29"/>
        <v>1.5434951008715583</v>
      </c>
      <c r="G907" s="88" t="s">
        <v>19662</v>
      </c>
      <c r="H907" s="285" t="s">
        <v>18617</v>
      </c>
      <c r="I907" s="220">
        <v>44530</v>
      </c>
      <c r="J907" s="116">
        <f>61307.01*40%</f>
        <v>24522.804000000004</v>
      </c>
      <c r="N907" s="66" t="s">
        <v>18644</v>
      </c>
      <c r="O907" s="651">
        <v>0</v>
      </c>
    </row>
    <row r="908" spans="1:15" ht="12.95" hidden="1">
      <c r="A908" s="81">
        <v>44539</v>
      </c>
      <c r="B908" s="182">
        <v>23395.84</v>
      </c>
      <c r="C908" s="30">
        <v>34363.523000000001</v>
      </c>
      <c r="D908" s="116">
        <v>0</v>
      </c>
      <c r="E908" s="116">
        <f t="shared" si="28"/>
        <v>34363.523000000001</v>
      </c>
      <c r="F908" s="116">
        <f t="shared" si="29"/>
        <v>1.46878774175238</v>
      </c>
      <c r="G908" s="88" t="s">
        <v>17018</v>
      </c>
      <c r="H908" s="285" t="s">
        <v>18616</v>
      </c>
      <c r="I908" s="220">
        <v>44525</v>
      </c>
      <c r="J908" s="116">
        <v>0</v>
      </c>
      <c r="N908" s="66" t="s">
        <v>18645</v>
      </c>
      <c r="O908" s="651">
        <v>8310.1</v>
      </c>
    </row>
    <row r="909" spans="1:15" ht="12.95" hidden="1">
      <c r="A909" s="81">
        <v>44543</v>
      </c>
      <c r="B909" s="182">
        <v>40464</v>
      </c>
      <c r="C909" s="30">
        <f>51733.6*3.25275</f>
        <v>168276.46739999999</v>
      </c>
      <c r="D909" s="116">
        <f>37712.803+9904.537</f>
        <v>47617.34</v>
      </c>
      <c r="E909" s="116">
        <f t="shared" si="28"/>
        <v>120659.1274</v>
      </c>
      <c r="F909" s="116">
        <f t="shared" si="29"/>
        <v>2.9818882809410834</v>
      </c>
      <c r="G909" s="88" t="s">
        <v>17303</v>
      </c>
      <c r="H909" s="285" t="s">
        <v>18620</v>
      </c>
      <c r="I909" s="220">
        <v>44531</v>
      </c>
      <c r="J909" s="116">
        <f>(8631.05*2)*25%</f>
        <v>4315.5249999999996</v>
      </c>
      <c r="N909" s="66" t="s">
        <v>18646</v>
      </c>
      <c r="O909" s="651">
        <v>13020.504999999999</v>
      </c>
    </row>
    <row r="910" spans="1:15" ht="12.95" hidden="1">
      <c r="A910" s="81">
        <v>44543</v>
      </c>
      <c r="B910" s="182">
        <v>19200</v>
      </c>
      <c r="C910" s="30">
        <v>34944</v>
      </c>
      <c r="D910" s="116">
        <v>0</v>
      </c>
      <c r="E910" s="116">
        <f t="shared" si="28"/>
        <v>34944</v>
      </c>
      <c r="F910" s="116">
        <f t="shared" si="29"/>
        <v>1.82</v>
      </c>
      <c r="G910" s="88" t="s">
        <v>19655</v>
      </c>
      <c r="H910" s="285" t="s">
        <v>18626</v>
      </c>
      <c r="I910" s="220">
        <v>44537</v>
      </c>
      <c r="J910" s="116">
        <v>0</v>
      </c>
      <c r="N910" s="66" t="s">
        <v>18647</v>
      </c>
      <c r="O910" s="651">
        <v>0</v>
      </c>
    </row>
    <row r="911" spans="1:15" ht="12.95" hidden="1">
      <c r="A911" s="86">
        <v>44545</v>
      </c>
      <c r="B911" s="182">
        <v>19200</v>
      </c>
      <c r="C911" s="83">
        <v>34368</v>
      </c>
      <c r="D911" s="116">
        <v>0</v>
      </c>
      <c r="E911" s="116">
        <f t="shared" si="28"/>
        <v>34368</v>
      </c>
      <c r="F911" s="116">
        <f t="shared" si="29"/>
        <v>1.79</v>
      </c>
      <c r="G911" s="88" t="s">
        <v>19655</v>
      </c>
      <c r="H911" s="285" t="s">
        <v>18623</v>
      </c>
      <c r="I911" s="81">
        <v>44534</v>
      </c>
      <c r="J911" s="116">
        <v>0</v>
      </c>
      <c r="N911" s="66" t="s">
        <v>18648</v>
      </c>
      <c r="O911" s="651">
        <v>0</v>
      </c>
    </row>
    <row r="912" spans="1:15" ht="12.95" hidden="1">
      <c r="A912" s="86">
        <v>44545</v>
      </c>
      <c r="B912" s="124">
        <v>19200</v>
      </c>
      <c r="C912" s="83">
        <v>34944</v>
      </c>
      <c r="D912" s="116">
        <v>0</v>
      </c>
      <c r="E912" s="116">
        <f t="shared" si="28"/>
        <v>34944</v>
      </c>
      <c r="F912" s="116">
        <f t="shared" si="29"/>
        <v>1.82</v>
      </c>
      <c r="G912" s="88" t="s">
        <v>19655</v>
      </c>
      <c r="H912" s="285" t="s">
        <v>18622</v>
      </c>
      <c r="I912" s="81">
        <v>44533</v>
      </c>
      <c r="J912" s="116">
        <v>0</v>
      </c>
      <c r="N912" s="66" t="s">
        <v>18649</v>
      </c>
      <c r="O912" s="651">
        <v>0</v>
      </c>
    </row>
    <row r="913" spans="1:15" ht="12.95" hidden="1">
      <c r="A913" s="86">
        <v>44546</v>
      </c>
      <c r="B913" s="124">
        <v>56000</v>
      </c>
      <c r="C913" s="30">
        <v>103530</v>
      </c>
      <c r="D913" s="116">
        <v>0</v>
      </c>
      <c r="E913" s="116">
        <f t="shared" si="28"/>
        <v>103530</v>
      </c>
      <c r="F913" s="116">
        <f t="shared" si="29"/>
        <v>1.8487499999999999</v>
      </c>
      <c r="G913" s="88" t="s">
        <v>19647</v>
      </c>
      <c r="H913" s="285" t="s">
        <v>18618</v>
      </c>
      <c r="I913" s="140">
        <v>44531</v>
      </c>
      <c r="J913" s="116">
        <v>0</v>
      </c>
      <c r="N913" s="66" t="s">
        <v>18650</v>
      </c>
      <c r="O913" s="651">
        <v>34260.029000000002</v>
      </c>
    </row>
    <row r="914" spans="1:15" ht="12.95" hidden="1">
      <c r="A914" s="86">
        <v>44550</v>
      </c>
      <c r="B914" s="124">
        <v>5600</v>
      </c>
      <c r="C914" s="30">
        <v>28448</v>
      </c>
      <c r="D914" s="116">
        <v>0</v>
      </c>
      <c r="E914" s="116">
        <f t="shared" si="28"/>
        <v>28448</v>
      </c>
      <c r="F914" s="116">
        <f t="shared" si="29"/>
        <v>5.08</v>
      </c>
      <c r="G914" s="88" t="s">
        <v>17018</v>
      </c>
      <c r="H914" s="285" t="s">
        <v>18610</v>
      </c>
      <c r="I914" s="140">
        <v>44519</v>
      </c>
      <c r="J914" s="116">
        <v>0</v>
      </c>
      <c r="N914" s="66" t="s">
        <v>18651</v>
      </c>
      <c r="O914" s="651">
        <v>34260.029000000002</v>
      </c>
    </row>
    <row r="915" spans="1:15" ht="12.95" hidden="1">
      <c r="A915" s="86">
        <v>44551</v>
      </c>
      <c r="B915" s="124">
        <v>48600</v>
      </c>
      <c r="C915" s="30">
        <f>43983*2.8787</f>
        <v>126613.8621</v>
      </c>
      <c r="D915" s="116">
        <v>22383.272000000001</v>
      </c>
      <c r="E915" s="116">
        <f t="shared" si="28"/>
        <v>104230.5901</v>
      </c>
      <c r="F915" s="116">
        <f t="shared" si="29"/>
        <v>2.1446623477366256</v>
      </c>
      <c r="G915" s="88" t="s">
        <v>17260</v>
      </c>
      <c r="H915" s="285" t="s">
        <v>18628</v>
      </c>
      <c r="I915" s="140">
        <v>44543</v>
      </c>
      <c r="J915" s="116">
        <f>20248.372*40%</f>
        <v>8099.3487999999998</v>
      </c>
      <c r="N915" s="66" t="s">
        <v>18652</v>
      </c>
      <c r="O915" s="651">
        <v>34260.029000000002</v>
      </c>
    </row>
    <row r="916" spans="1:15" ht="12.95" hidden="1">
      <c r="A916" s="86">
        <v>44551</v>
      </c>
      <c r="B916" s="124">
        <v>27336</v>
      </c>
      <c r="C916" s="30">
        <f>28983.44*3.2541</f>
        <v>94315.012104000009</v>
      </c>
      <c r="D916" s="116">
        <v>12435.084999999999</v>
      </c>
      <c r="E916" s="116">
        <f t="shared" si="28"/>
        <v>81879.927104000002</v>
      </c>
      <c r="F916" s="116">
        <f t="shared" si="29"/>
        <v>2.9953148633304068</v>
      </c>
      <c r="G916" s="88" t="s">
        <v>19661</v>
      </c>
      <c r="H916" s="285" t="s">
        <v>18624</v>
      </c>
      <c r="I916" s="86">
        <v>44537</v>
      </c>
      <c r="J916" s="116">
        <f>10852.32*40%</f>
        <v>4340.9279999999999</v>
      </c>
      <c r="N916" s="66" t="s">
        <v>18653</v>
      </c>
      <c r="O916" s="651">
        <v>34260.029000000002</v>
      </c>
    </row>
    <row r="917" spans="1:15" ht="12.95" hidden="1">
      <c r="A917" s="86">
        <v>44552</v>
      </c>
      <c r="B917" s="124">
        <v>61000</v>
      </c>
      <c r="C917" s="30">
        <f>107602.55*2.8854</f>
        <v>310476.39777000004</v>
      </c>
      <c r="D917" s="116">
        <v>0</v>
      </c>
      <c r="E917" s="116">
        <f t="shared" si="28"/>
        <v>310476.39777000004</v>
      </c>
      <c r="F917" s="116">
        <f t="shared" si="29"/>
        <v>5.0897770126229513</v>
      </c>
      <c r="G917" s="88" t="s">
        <v>19688</v>
      </c>
      <c r="H917" s="285" t="s">
        <v>18627</v>
      </c>
      <c r="I917" s="86">
        <v>44543</v>
      </c>
      <c r="J917" s="116">
        <v>0</v>
      </c>
      <c r="N917" s="66" t="s">
        <v>18654</v>
      </c>
      <c r="O917" s="651">
        <v>0</v>
      </c>
    </row>
    <row r="918" spans="1:15" ht="12.95" hidden="1">
      <c r="A918" s="86">
        <v>44553</v>
      </c>
      <c r="B918" s="124">
        <v>280000</v>
      </c>
      <c r="C918" s="30">
        <v>501200</v>
      </c>
      <c r="D918" s="116">
        <v>0</v>
      </c>
      <c r="E918" s="116">
        <f t="shared" si="28"/>
        <v>501200</v>
      </c>
      <c r="F918" s="116">
        <f t="shared" si="29"/>
        <v>1.79</v>
      </c>
      <c r="G918" s="88" t="s">
        <v>19652</v>
      </c>
      <c r="H918" s="285" t="s">
        <v>18629</v>
      </c>
      <c r="I918" s="86">
        <v>44543</v>
      </c>
      <c r="J918" s="116">
        <v>0</v>
      </c>
      <c r="N918" s="66" t="s">
        <v>18655</v>
      </c>
      <c r="O918" s="651">
        <v>0</v>
      </c>
    </row>
    <row r="919" spans="1:15" ht="12.95" hidden="1">
      <c r="A919" s="86">
        <v>44555</v>
      </c>
      <c r="B919" s="124">
        <v>100176</v>
      </c>
      <c r="C919" s="30">
        <v>231998.4</v>
      </c>
      <c r="D919" s="116">
        <v>0</v>
      </c>
      <c r="E919" s="116">
        <f t="shared" si="28"/>
        <v>231998.4</v>
      </c>
      <c r="F919" s="116">
        <f t="shared" si="29"/>
        <v>2.3159080019166267</v>
      </c>
      <c r="G919" s="88" t="s">
        <v>19647</v>
      </c>
      <c r="H919" s="285" t="s">
        <v>18619</v>
      </c>
      <c r="I919" s="86">
        <v>44531</v>
      </c>
      <c r="J919" s="116">
        <v>0</v>
      </c>
      <c r="N919" s="66" t="s">
        <v>18656</v>
      </c>
      <c r="O919" s="651">
        <v>0</v>
      </c>
    </row>
    <row r="920" spans="1:15" ht="12.95" hidden="1">
      <c r="A920" s="86">
        <v>44555</v>
      </c>
      <c r="B920" s="124">
        <v>280000</v>
      </c>
      <c r="C920" s="30">
        <v>501200</v>
      </c>
      <c r="D920" s="116">
        <v>0</v>
      </c>
      <c r="E920" s="116">
        <f t="shared" si="28"/>
        <v>501200</v>
      </c>
      <c r="F920" s="116">
        <f t="shared" si="29"/>
        <v>1.79</v>
      </c>
      <c r="G920" s="88" t="s">
        <v>19652</v>
      </c>
      <c r="H920" s="285" t="s">
        <v>18632</v>
      </c>
      <c r="I920" s="86">
        <v>44545</v>
      </c>
      <c r="J920" s="116">
        <v>0</v>
      </c>
      <c r="N920" s="66" t="s">
        <v>18657</v>
      </c>
      <c r="O920" s="651">
        <v>0</v>
      </c>
    </row>
    <row r="921" spans="1:15" ht="12.95" hidden="1">
      <c r="A921" s="86">
        <v>44555</v>
      </c>
      <c r="B921" s="124">
        <v>9732</v>
      </c>
      <c r="C921" s="30">
        <f>11221*2.8838</f>
        <v>32359.1198</v>
      </c>
      <c r="D921" s="116">
        <v>5236.8500000000004</v>
      </c>
      <c r="E921" s="116">
        <f t="shared" si="28"/>
        <v>27122.269800000002</v>
      </c>
      <c r="F921" s="116">
        <f t="shared" si="29"/>
        <v>2.786916337854501</v>
      </c>
      <c r="G921" s="88" t="s">
        <v>17210</v>
      </c>
      <c r="H921" s="285" t="s">
        <v>18634</v>
      </c>
      <c r="I921" s="86">
        <v>44546</v>
      </c>
      <c r="J921" s="116">
        <f>3943.35*25%</f>
        <v>985.83749999999998</v>
      </c>
      <c r="N921" s="66" t="s">
        <v>18658</v>
      </c>
      <c r="O921" s="651">
        <v>0</v>
      </c>
    </row>
    <row r="922" spans="1:15" ht="12.95" hidden="1">
      <c r="A922" s="86">
        <v>44557</v>
      </c>
      <c r="B922" s="124">
        <v>280000</v>
      </c>
      <c r="C922" s="30">
        <v>501200</v>
      </c>
      <c r="D922" s="116">
        <v>0</v>
      </c>
      <c r="E922" s="116">
        <f t="shared" si="28"/>
        <v>501200</v>
      </c>
      <c r="F922" s="116">
        <f t="shared" si="29"/>
        <v>1.79</v>
      </c>
      <c r="G922" s="88" t="s">
        <v>19652</v>
      </c>
      <c r="H922" s="285" t="s">
        <v>18633</v>
      </c>
      <c r="I922" s="86">
        <v>44545</v>
      </c>
      <c r="J922" s="116">
        <v>0</v>
      </c>
      <c r="N922" s="66" t="s">
        <v>18659</v>
      </c>
      <c r="O922" s="651">
        <v>0</v>
      </c>
    </row>
    <row r="923" spans="1:15" ht="12.95" hidden="1">
      <c r="A923" s="86">
        <v>44557</v>
      </c>
      <c r="B923" s="124">
        <v>41500</v>
      </c>
      <c r="C923" s="30">
        <v>68475</v>
      </c>
      <c r="D923" s="116">
        <v>0</v>
      </c>
      <c r="E923" s="116">
        <f t="shared" si="28"/>
        <v>68475</v>
      </c>
      <c r="F923" s="116">
        <f t="shared" si="29"/>
        <v>1.65</v>
      </c>
      <c r="G923" s="88" t="s">
        <v>19655</v>
      </c>
      <c r="H923" s="285" t="s">
        <v>18596</v>
      </c>
      <c r="I923" s="86">
        <v>44490</v>
      </c>
      <c r="J923" s="116">
        <v>0</v>
      </c>
      <c r="N923" s="66" t="s">
        <v>18660</v>
      </c>
      <c r="O923" s="651">
        <v>8023.07</v>
      </c>
    </row>
    <row r="924" spans="1:15" ht="12.95" hidden="1">
      <c r="A924" s="86">
        <v>44557</v>
      </c>
      <c r="B924" s="124">
        <v>11000</v>
      </c>
      <c r="C924" s="30">
        <v>43431.6</v>
      </c>
      <c r="D924" s="116">
        <v>0</v>
      </c>
      <c r="E924" s="116">
        <f t="shared" si="28"/>
        <v>43431.6</v>
      </c>
      <c r="F924" s="116">
        <f t="shared" si="29"/>
        <v>3.9483272727272727</v>
      </c>
      <c r="G924" s="88" t="s">
        <v>19801</v>
      </c>
      <c r="H924" s="285" t="s">
        <v>18601</v>
      </c>
      <c r="I924" s="86">
        <v>44502</v>
      </c>
      <c r="J924" s="116">
        <v>0</v>
      </c>
      <c r="N924" s="66" t="s">
        <v>18661</v>
      </c>
      <c r="O924" s="651">
        <v>0</v>
      </c>
    </row>
    <row r="925" spans="1:15" ht="12.95" hidden="1">
      <c r="A925" s="86">
        <v>44559</v>
      </c>
      <c r="B925" s="124">
        <v>96000</v>
      </c>
      <c r="C925" s="30">
        <f>83712*3.255</f>
        <v>272482.56</v>
      </c>
      <c r="D925" s="116">
        <v>30151.53</v>
      </c>
      <c r="E925" s="116">
        <f t="shared" si="28"/>
        <v>242331.03</v>
      </c>
      <c r="F925" s="116">
        <f t="shared" si="29"/>
        <v>2.5242815625000001</v>
      </c>
      <c r="G925" s="88" t="s">
        <v>19829</v>
      </c>
      <c r="H925" s="285" t="s">
        <v>18630</v>
      </c>
      <c r="I925" s="86">
        <v>44544</v>
      </c>
      <c r="J925" s="116">
        <f>22916.4*40%</f>
        <v>9166.5600000000013</v>
      </c>
      <c r="N925" s="66" t="s">
        <v>18662</v>
      </c>
      <c r="O925" s="651">
        <v>0</v>
      </c>
    </row>
    <row r="926" spans="1:15" ht="12.95" hidden="1">
      <c r="A926" s="86">
        <v>44559</v>
      </c>
      <c r="B926" s="124">
        <v>154056</v>
      </c>
      <c r="C926" s="83">
        <v>281922.48</v>
      </c>
      <c r="D926" s="116">
        <v>0</v>
      </c>
      <c r="E926" s="116">
        <f t="shared" si="28"/>
        <v>281922.48</v>
      </c>
      <c r="F926" s="116">
        <f t="shared" si="29"/>
        <v>1.8299999999999998</v>
      </c>
      <c r="G926" s="88" t="s">
        <v>19647</v>
      </c>
      <c r="H926" s="285" t="s">
        <v>18625</v>
      </c>
      <c r="I926" s="86">
        <v>44537</v>
      </c>
      <c r="J926" s="116">
        <v>0</v>
      </c>
      <c r="N926" s="66" t="s">
        <v>18663</v>
      </c>
      <c r="O926" s="651">
        <v>11828.85</v>
      </c>
    </row>
    <row r="927" spans="1:15" ht="12.95" hidden="1">
      <c r="A927" s="86">
        <v>44567</v>
      </c>
      <c r="B927" s="124">
        <v>41000</v>
      </c>
      <c r="C927" s="30">
        <v>125460</v>
      </c>
      <c r="D927" s="116">
        <v>0</v>
      </c>
      <c r="E927" s="116">
        <f t="shared" si="28"/>
        <v>125460</v>
      </c>
      <c r="F927" s="116">
        <f t="shared" si="29"/>
        <v>3.06</v>
      </c>
      <c r="G927" s="88" t="s">
        <v>19679</v>
      </c>
      <c r="H927" s="85" t="s">
        <v>19828</v>
      </c>
      <c r="I927" s="81">
        <v>44546</v>
      </c>
      <c r="J927" s="116">
        <v>0</v>
      </c>
      <c r="N927" s="66" t="s">
        <v>18664</v>
      </c>
      <c r="O927" s="651">
        <v>144254.82</v>
      </c>
    </row>
    <row r="928" spans="1:15" ht="12.95" hidden="1">
      <c r="A928" s="86">
        <v>44569</v>
      </c>
      <c r="B928" s="124">
        <v>2504</v>
      </c>
      <c r="C928" s="30">
        <v>8811.6</v>
      </c>
      <c r="D928" s="116">
        <v>0</v>
      </c>
      <c r="E928" s="116">
        <f t="shared" si="28"/>
        <v>8811.6</v>
      </c>
      <c r="F928" s="116">
        <f t="shared" si="29"/>
        <v>3.5190095846645368</v>
      </c>
      <c r="G928" s="88" t="s">
        <v>17018</v>
      </c>
      <c r="H928" s="85" t="s">
        <v>18635</v>
      </c>
      <c r="I928" s="81">
        <v>44565</v>
      </c>
      <c r="J928" s="116">
        <v>0</v>
      </c>
      <c r="N928" s="66" t="s">
        <v>18665</v>
      </c>
      <c r="O928" s="651">
        <v>32226.115000000002</v>
      </c>
    </row>
    <row r="929" spans="1:15" ht="12.95" hidden="1">
      <c r="A929" s="86">
        <v>44214</v>
      </c>
      <c r="B929" s="124">
        <v>20750</v>
      </c>
      <c r="C929" s="30">
        <v>36312.5</v>
      </c>
      <c r="D929" s="116">
        <v>0</v>
      </c>
      <c r="E929" s="116">
        <f t="shared" si="28"/>
        <v>36312.5</v>
      </c>
      <c r="F929" s="116">
        <f t="shared" si="29"/>
        <v>1.75</v>
      </c>
      <c r="G929" s="88" t="s">
        <v>19655</v>
      </c>
      <c r="H929" s="85" t="s">
        <v>18637</v>
      </c>
      <c r="I929" s="86">
        <v>44566</v>
      </c>
      <c r="J929" s="116">
        <v>0</v>
      </c>
      <c r="N929" s="66" t="s">
        <v>18666</v>
      </c>
      <c r="O929" s="651">
        <v>12825.475</v>
      </c>
    </row>
    <row r="930" spans="1:15" ht="12.95" hidden="1">
      <c r="A930" s="86">
        <v>44579</v>
      </c>
      <c r="B930" s="124">
        <v>43608</v>
      </c>
      <c r="C930" s="30">
        <v>73257.36</v>
      </c>
      <c r="D930" s="116">
        <v>0</v>
      </c>
      <c r="E930" s="116">
        <f t="shared" si="28"/>
        <v>73257.36</v>
      </c>
      <c r="F930" s="116">
        <f t="shared" si="29"/>
        <v>1.6799064391854706</v>
      </c>
      <c r="G930" s="282" t="s">
        <v>19655</v>
      </c>
      <c r="H930" s="85" t="s">
        <v>18638</v>
      </c>
      <c r="I930" s="86">
        <v>44568</v>
      </c>
      <c r="J930" s="116">
        <v>0</v>
      </c>
      <c r="N930" s="66" t="s">
        <v>18667</v>
      </c>
      <c r="O930" s="651">
        <v>0</v>
      </c>
    </row>
    <row r="931" spans="1:15" ht="12.95" hidden="1">
      <c r="A931" s="140">
        <v>44580</v>
      </c>
      <c r="B931" s="124">
        <v>13440</v>
      </c>
      <c r="C931" s="30">
        <v>73920</v>
      </c>
      <c r="D931" s="116">
        <v>0</v>
      </c>
      <c r="E931" s="116">
        <f t="shared" si="28"/>
        <v>73920</v>
      </c>
      <c r="F931" s="116">
        <f t="shared" si="29"/>
        <v>5.5</v>
      </c>
      <c r="G931" s="88" t="s">
        <v>17282</v>
      </c>
      <c r="H931" s="85" t="s">
        <v>18636</v>
      </c>
      <c r="I931" s="220">
        <v>44565</v>
      </c>
      <c r="J931" s="116">
        <v>0</v>
      </c>
      <c r="N931" s="66" t="s">
        <v>18668</v>
      </c>
      <c r="O931" s="651">
        <v>0</v>
      </c>
    </row>
    <row r="932" spans="1:15" ht="12.95" hidden="1">
      <c r="A932" s="140">
        <v>44585</v>
      </c>
      <c r="B932" s="124">
        <v>210000</v>
      </c>
      <c r="C932" s="30">
        <v>494704.77</v>
      </c>
      <c r="D932" s="116">
        <v>0</v>
      </c>
      <c r="E932" s="116">
        <f t="shared" si="28"/>
        <v>494704.77</v>
      </c>
      <c r="F932" s="116">
        <f t="shared" si="29"/>
        <v>2.355737</v>
      </c>
      <c r="G932" s="88" t="s">
        <v>19830</v>
      </c>
      <c r="H932" s="85" t="s">
        <v>18644</v>
      </c>
      <c r="I932" s="220">
        <v>44574</v>
      </c>
      <c r="J932" s="116">
        <v>0</v>
      </c>
      <c r="N932" s="66" t="s">
        <v>18669</v>
      </c>
      <c r="O932" s="651">
        <v>0</v>
      </c>
    </row>
    <row r="933" spans="1:15" ht="12.95" hidden="1">
      <c r="A933" s="140">
        <v>44585</v>
      </c>
      <c r="B933" s="182">
        <v>20000</v>
      </c>
      <c r="C933" s="30">
        <v>61000</v>
      </c>
      <c r="D933" s="116">
        <v>0</v>
      </c>
      <c r="E933" s="116">
        <f t="shared" si="28"/>
        <v>61000</v>
      </c>
      <c r="F933" s="116">
        <f t="shared" si="29"/>
        <v>3.05</v>
      </c>
      <c r="G933" s="88" t="s">
        <v>17018</v>
      </c>
      <c r="H933" s="85" t="s">
        <v>18641</v>
      </c>
      <c r="I933" s="220">
        <v>44573</v>
      </c>
      <c r="J933" s="116">
        <v>0</v>
      </c>
      <c r="N933" s="66" t="s">
        <v>18670</v>
      </c>
      <c r="O933" s="651">
        <v>0</v>
      </c>
    </row>
    <row r="934" spans="1:15" ht="12.95" hidden="1">
      <c r="A934" s="140">
        <v>44588</v>
      </c>
      <c r="B934" s="124">
        <v>20400</v>
      </c>
      <c r="C934" s="83">
        <v>46200</v>
      </c>
      <c r="D934" s="116">
        <v>0</v>
      </c>
      <c r="E934" s="116">
        <f t="shared" si="28"/>
        <v>46200</v>
      </c>
      <c r="F934" s="116">
        <f t="shared" si="29"/>
        <v>2.2647058823529411</v>
      </c>
      <c r="G934" s="88" t="s">
        <v>19656</v>
      </c>
      <c r="H934" s="85" t="s">
        <v>18640</v>
      </c>
      <c r="I934" s="81">
        <v>44572</v>
      </c>
      <c r="J934" s="116">
        <v>0</v>
      </c>
      <c r="N934" s="66" t="s">
        <v>18671</v>
      </c>
      <c r="O934" s="651">
        <v>0</v>
      </c>
    </row>
    <row r="935" spans="1:15" ht="12.95" hidden="1">
      <c r="A935" s="140">
        <v>44589</v>
      </c>
      <c r="B935" s="124">
        <v>108000</v>
      </c>
      <c r="C935" s="83">
        <v>204165.68400000001</v>
      </c>
      <c r="D935" s="119">
        <v>34260.029000000002</v>
      </c>
      <c r="E935" s="116">
        <f t="shared" si="28"/>
        <v>169905.655</v>
      </c>
      <c r="F935" s="116">
        <f t="shared" si="29"/>
        <v>1.5732005092592591</v>
      </c>
      <c r="G935" s="88" t="s">
        <v>19722</v>
      </c>
      <c r="H935" s="85" t="s">
        <v>18650</v>
      </c>
      <c r="I935" s="140">
        <v>44585</v>
      </c>
      <c r="J935" s="119">
        <f>29619.86*35%</f>
        <v>10366.950999999999</v>
      </c>
      <c r="N935" s="66" t="s">
        <v>18672</v>
      </c>
      <c r="O935" s="651">
        <v>8538.0249999999996</v>
      </c>
    </row>
    <row r="936" spans="1:15" ht="12.95" hidden="1">
      <c r="A936" s="140">
        <v>44590</v>
      </c>
      <c r="B936" s="124">
        <v>108000</v>
      </c>
      <c r="C936" s="83">
        <v>204165.68400000001</v>
      </c>
      <c r="D936" s="119">
        <v>34260.029000000002</v>
      </c>
      <c r="E936" s="116">
        <f t="shared" si="28"/>
        <v>169905.655</v>
      </c>
      <c r="F936" s="116">
        <f t="shared" si="29"/>
        <v>1.5732005092592591</v>
      </c>
      <c r="G936" s="88" t="s">
        <v>19722</v>
      </c>
      <c r="H936" s="85" t="s">
        <v>18651</v>
      </c>
      <c r="I936" s="140">
        <v>44585</v>
      </c>
      <c r="J936" s="119">
        <f>29619.86*35%</f>
        <v>10366.950999999999</v>
      </c>
      <c r="N936" s="66" t="s">
        <v>18673</v>
      </c>
      <c r="O936" s="651">
        <v>0</v>
      </c>
    </row>
    <row r="937" spans="1:15" ht="12.95" hidden="1">
      <c r="A937" s="140">
        <v>44590</v>
      </c>
      <c r="B937" s="124">
        <v>280000</v>
      </c>
      <c r="C937" s="83">
        <v>501200</v>
      </c>
      <c r="D937" s="116">
        <v>0</v>
      </c>
      <c r="E937" s="116">
        <f t="shared" si="28"/>
        <v>501200</v>
      </c>
      <c r="F937" s="116">
        <f t="shared" si="29"/>
        <v>1.79</v>
      </c>
      <c r="G937" s="88" t="s">
        <v>19652</v>
      </c>
      <c r="H937" s="85" t="s">
        <v>18642</v>
      </c>
      <c r="I937" s="140">
        <v>44574</v>
      </c>
      <c r="J937" s="116">
        <v>0</v>
      </c>
      <c r="N937" s="66" t="s">
        <v>18674</v>
      </c>
      <c r="O937" s="651">
        <v>39023.928</v>
      </c>
    </row>
    <row r="938" spans="1:15" ht="12.95" hidden="1">
      <c r="A938" s="86">
        <v>44590</v>
      </c>
      <c r="B938" s="124">
        <v>108000</v>
      </c>
      <c r="C938" s="30">
        <v>203335.70400000003</v>
      </c>
      <c r="D938" s="119">
        <v>34260.029000000002</v>
      </c>
      <c r="E938" s="116">
        <f t="shared" si="28"/>
        <v>169075.67500000002</v>
      </c>
      <c r="F938" s="116">
        <f t="shared" si="29"/>
        <v>1.5655155092592594</v>
      </c>
      <c r="G938" s="88" t="s">
        <v>19722</v>
      </c>
      <c r="H938" s="85" t="s">
        <v>18652</v>
      </c>
      <c r="I938" s="81">
        <v>44585</v>
      </c>
      <c r="J938" s="119">
        <f>29619.86*35%</f>
        <v>10366.950999999999</v>
      </c>
      <c r="N938" s="66" t="s">
        <v>18675</v>
      </c>
      <c r="O938" s="651">
        <v>61576.89</v>
      </c>
    </row>
    <row r="939" spans="1:15" ht="12.95" hidden="1">
      <c r="A939" s="140">
        <v>44592</v>
      </c>
      <c r="B939" s="124">
        <v>110540</v>
      </c>
      <c r="C939" s="83">
        <v>320114.68919999996</v>
      </c>
      <c r="D939" s="116">
        <v>52693.824999999997</v>
      </c>
      <c r="E939" s="116">
        <f t="shared" si="28"/>
        <v>267420.86419999995</v>
      </c>
      <c r="F939" s="116">
        <f t="shared" si="29"/>
        <v>2.4192225818708155</v>
      </c>
      <c r="G939" s="88" t="s">
        <v>19790</v>
      </c>
      <c r="H939" s="85" t="s">
        <v>18639</v>
      </c>
      <c r="I939" s="140">
        <v>44571</v>
      </c>
      <c r="J939" s="116">
        <f>45507*35%</f>
        <v>15927.449999999999</v>
      </c>
      <c r="N939" s="66" t="s">
        <v>18676</v>
      </c>
      <c r="O939" s="651">
        <v>1600.92</v>
      </c>
    </row>
    <row r="940" spans="1:15" ht="12.95" hidden="1">
      <c r="A940" s="140">
        <v>44592</v>
      </c>
      <c r="B940" s="182">
        <v>108000</v>
      </c>
      <c r="C940" s="83">
        <v>203335.70400000003</v>
      </c>
      <c r="D940" s="119">
        <v>34260.029000000002</v>
      </c>
      <c r="E940" s="116">
        <f t="shared" si="28"/>
        <v>169075.67500000002</v>
      </c>
      <c r="F940" s="116">
        <f t="shared" si="29"/>
        <v>1.5655155092592594</v>
      </c>
      <c r="G940" s="88" t="s">
        <v>19722</v>
      </c>
      <c r="H940" s="285" t="s">
        <v>18653</v>
      </c>
      <c r="I940" s="140">
        <v>44585</v>
      </c>
      <c r="J940" s="119">
        <f>29619.86*35%</f>
        <v>10366.950999999999</v>
      </c>
      <c r="N940" s="66" t="s">
        <v>18677</v>
      </c>
      <c r="O940" s="651">
        <v>9512.4500000000007</v>
      </c>
    </row>
    <row r="941" spans="1:15" ht="12.95" hidden="1">
      <c r="A941" s="140">
        <v>44592</v>
      </c>
      <c r="B941" s="182">
        <v>168000</v>
      </c>
      <c r="C941" s="83">
        <v>300720</v>
      </c>
      <c r="D941" s="116">
        <v>0</v>
      </c>
      <c r="E941" s="116">
        <f t="shared" si="28"/>
        <v>300720</v>
      </c>
      <c r="F941" s="116">
        <f t="shared" si="29"/>
        <v>1.79</v>
      </c>
      <c r="G941" s="88" t="s">
        <v>19652</v>
      </c>
      <c r="H941" s="285" t="s">
        <v>18643</v>
      </c>
      <c r="I941" s="140">
        <v>44574</v>
      </c>
      <c r="J941" s="116">
        <v>0</v>
      </c>
      <c r="N941" s="66" t="s">
        <v>18678</v>
      </c>
      <c r="O941" s="651">
        <v>13797.38</v>
      </c>
    </row>
    <row r="942" spans="1:15" ht="12.95" hidden="1">
      <c r="A942" s="167">
        <v>44592</v>
      </c>
      <c r="B942" s="124">
        <v>460800</v>
      </c>
      <c r="C942" s="30">
        <v>1081672.7039999999</v>
      </c>
      <c r="D942" s="116">
        <v>0</v>
      </c>
      <c r="E942" s="116">
        <f t="shared" si="28"/>
        <v>1081672.7039999999</v>
      </c>
      <c r="F942" s="116">
        <f t="shared" si="29"/>
        <v>2.3473799999999998</v>
      </c>
      <c r="G942" s="88" t="s">
        <v>17308</v>
      </c>
      <c r="H942" s="285" t="s">
        <v>18654</v>
      </c>
      <c r="I942" s="140">
        <v>44586</v>
      </c>
      <c r="J942" s="116">
        <v>0</v>
      </c>
      <c r="N942" s="66" t="s">
        <v>18679</v>
      </c>
      <c r="O942" s="651">
        <v>37330.36</v>
      </c>
    </row>
    <row r="943" spans="1:15" ht="12.95" hidden="1">
      <c r="A943" s="203">
        <v>44593</v>
      </c>
      <c r="B943" s="224">
        <v>112000</v>
      </c>
      <c r="C943" s="210">
        <v>200480</v>
      </c>
      <c r="D943" s="207">
        <v>0</v>
      </c>
      <c r="E943" s="207">
        <f t="shared" si="28"/>
        <v>200480</v>
      </c>
      <c r="F943" s="207">
        <f t="shared" si="29"/>
        <v>1.79</v>
      </c>
      <c r="G943" s="225" t="s">
        <v>19652</v>
      </c>
      <c r="H943" s="287" t="s">
        <v>18643</v>
      </c>
      <c r="I943" s="203">
        <v>44574</v>
      </c>
      <c r="J943" s="207">
        <v>0</v>
      </c>
      <c r="N943" s="66" t="s">
        <v>18680</v>
      </c>
      <c r="O943" s="651">
        <v>37330.36</v>
      </c>
    </row>
    <row r="944" spans="1:15" ht="12.95" hidden="1">
      <c r="A944" s="86">
        <v>44593</v>
      </c>
      <c r="B944" s="124">
        <v>110040</v>
      </c>
      <c r="C944" s="30">
        <v>201373.2</v>
      </c>
      <c r="D944" s="116">
        <v>0</v>
      </c>
      <c r="E944" s="116">
        <f t="shared" si="28"/>
        <v>201373.2</v>
      </c>
      <c r="F944" s="116">
        <f t="shared" si="29"/>
        <v>1.83</v>
      </c>
      <c r="G944" s="88" t="s">
        <v>19647</v>
      </c>
      <c r="H944" s="285" t="s">
        <v>18648</v>
      </c>
      <c r="I944" s="86">
        <v>44585</v>
      </c>
      <c r="J944" s="116">
        <v>0</v>
      </c>
      <c r="N944" s="66" t="s">
        <v>18681</v>
      </c>
      <c r="O944" s="651">
        <v>37330.36</v>
      </c>
    </row>
    <row r="945" spans="1:15" ht="12.95" hidden="1">
      <c r="A945" s="86">
        <v>44594</v>
      </c>
      <c r="B945" s="124">
        <v>40000</v>
      </c>
      <c r="C945" s="30">
        <f>45800*2.8945</f>
        <v>132568.1</v>
      </c>
      <c r="D945" s="116">
        <v>8310.1</v>
      </c>
      <c r="E945" s="116">
        <f t="shared" si="28"/>
        <v>124258</v>
      </c>
      <c r="F945" s="116">
        <f t="shared" si="29"/>
        <v>3.1064500000000002</v>
      </c>
      <c r="G945" s="88" t="s">
        <v>19659</v>
      </c>
      <c r="H945" s="85" t="s">
        <v>18645</v>
      </c>
      <c r="I945" s="81">
        <v>44582</v>
      </c>
      <c r="J945" s="116">
        <f>6174*20%</f>
        <v>1234.8000000000002</v>
      </c>
      <c r="N945" s="66" t="s">
        <v>18682</v>
      </c>
      <c r="O945" s="651">
        <v>37330.36</v>
      </c>
    </row>
    <row r="946" spans="1:15" ht="12.95" hidden="1">
      <c r="A946" s="86">
        <v>44600</v>
      </c>
      <c r="B946" s="124">
        <v>41000</v>
      </c>
      <c r="C946" s="30">
        <v>124640</v>
      </c>
      <c r="D946" s="116">
        <v>0</v>
      </c>
      <c r="E946" s="116">
        <f t="shared" si="28"/>
        <v>124640</v>
      </c>
      <c r="F946" s="116">
        <f t="shared" si="29"/>
        <v>3.04</v>
      </c>
      <c r="G946" s="88" t="s">
        <v>19679</v>
      </c>
      <c r="H946" s="85" t="s">
        <v>18657</v>
      </c>
      <c r="I946" s="86">
        <v>44595</v>
      </c>
      <c r="J946" s="116">
        <v>0</v>
      </c>
      <c r="N946" s="66" t="s">
        <v>18683</v>
      </c>
      <c r="O946" s="651">
        <v>37330.36</v>
      </c>
    </row>
    <row r="947" spans="1:15" ht="12.95" hidden="1">
      <c r="A947" s="86">
        <v>44601</v>
      </c>
      <c r="B947" s="124">
        <v>20000</v>
      </c>
      <c r="C947" s="30">
        <v>61000</v>
      </c>
      <c r="D947" s="116">
        <v>0</v>
      </c>
      <c r="E947" s="116">
        <f t="shared" si="28"/>
        <v>61000</v>
      </c>
      <c r="F947" s="116">
        <f t="shared" si="29"/>
        <v>3.05</v>
      </c>
      <c r="G947" s="88" t="s">
        <v>17018</v>
      </c>
      <c r="H947" s="285" t="s">
        <v>18655</v>
      </c>
      <c r="I947" s="86">
        <v>44585</v>
      </c>
      <c r="J947" s="116">
        <v>0</v>
      </c>
      <c r="N947" s="66" t="s">
        <v>18684</v>
      </c>
      <c r="O947" s="651">
        <v>0</v>
      </c>
    </row>
    <row r="948" spans="1:15" ht="12.95" hidden="1">
      <c r="A948" s="86">
        <v>44602</v>
      </c>
      <c r="B948" s="124">
        <v>56000</v>
      </c>
      <c r="C948" s="30">
        <v>102480</v>
      </c>
      <c r="D948" s="116">
        <v>0</v>
      </c>
      <c r="E948" s="116">
        <f t="shared" si="28"/>
        <v>102480</v>
      </c>
      <c r="F948" s="116">
        <f t="shared" si="29"/>
        <v>1.83</v>
      </c>
      <c r="G948" s="88" t="s">
        <v>19647</v>
      </c>
      <c r="H948" s="285" t="s">
        <v>18649</v>
      </c>
      <c r="I948" s="86">
        <v>44585</v>
      </c>
      <c r="J948" s="116">
        <v>0</v>
      </c>
      <c r="N948" s="66" t="s">
        <v>18685</v>
      </c>
      <c r="O948" s="651">
        <v>10969.75</v>
      </c>
    </row>
    <row r="949" spans="1:15" ht="12.95" hidden="1">
      <c r="A949" s="86">
        <v>44606</v>
      </c>
      <c r="B949" s="124">
        <v>27336</v>
      </c>
      <c r="C949" s="30">
        <f>29045.84*3.2827</f>
        <v>95348.778967999999</v>
      </c>
      <c r="D949" s="116">
        <v>13020.504999999999</v>
      </c>
      <c r="E949" s="116">
        <f t="shared" si="28"/>
        <v>82328.273967999994</v>
      </c>
      <c r="F949" s="116">
        <f t="shared" si="29"/>
        <v>3.0117161972490485</v>
      </c>
      <c r="G949" s="88" t="s">
        <v>19661</v>
      </c>
      <c r="H949" s="285" t="s">
        <v>18646</v>
      </c>
      <c r="I949" s="86">
        <v>44582</v>
      </c>
      <c r="J949" s="116">
        <f>11177.46*35%</f>
        <v>3912.1109999999994</v>
      </c>
      <c r="N949" s="66" t="s">
        <v>18687</v>
      </c>
      <c r="O949" s="651">
        <v>25164.54</v>
      </c>
    </row>
    <row r="950" spans="1:15" ht="12.95" hidden="1">
      <c r="A950" s="86">
        <v>44606</v>
      </c>
      <c r="B950" s="124">
        <v>43200</v>
      </c>
      <c r="C950" s="30">
        <v>77328</v>
      </c>
      <c r="D950" s="116">
        <v>0</v>
      </c>
      <c r="E950" s="116">
        <f t="shared" ref="E950:E1013" si="30">(C950-D950)</f>
        <v>77328</v>
      </c>
      <c r="F950" s="116">
        <f t="shared" ref="F950:F1013" si="31">(E950/B950)</f>
        <v>1.79</v>
      </c>
      <c r="G950" s="88" t="s">
        <v>19655</v>
      </c>
      <c r="H950" s="285" t="s">
        <v>18659</v>
      </c>
      <c r="I950" s="86">
        <v>44600</v>
      </c>
      <c r="J950" s="116">
        <v>0</v>
      </c>
      <c r="N950" s="66" t="s">
        <v>18688</v>
      </c>
      <c r="O950" s="651">
        <v>14196.74</v>
      </c>
    </row>
    <row r="951" spans="1:15" ht="12.95" hidden="1">
      <c r="A951" s="86">
        <v>44608</v>
      </c>
      <c r="B951" s="124">
        <v>40000</v>
      </c>
      <c r="C951" s="30">
        <f>45800*2.87935</f>
        <v>131874.23000000001</v>
      </c>
      <c r="D951" s="116">
        <v>8023.07</v>
      </c>
      <c r="E951" s="116">
        <f t="shared" si="30"/>
        <v>123851.16</v>
      </c>
      <c r="F951" s="116">
        <f t="shared" si="31"/>
        <v>3.096279</v>
      </c>
      <c r="G951" s="88" t="s">
        <v>19659</v>
      </c>
      <c r="H951" s="285" t="s">
        <v>18660</v>
      </c>
      <c r="I951" s="86">
        <v>44602</v>
      </c>
      <c r="J951" s="116">
        <f>4973.67*20%</f>
        <v>994.73400000000004</v>
      </c>
      <c r="N951" s="66" t="s">
        <v>18689</v>
      </c>
      <c r="O951" s="651">
        <v>0</v>
      </c>
    </row>
    <row r="952" spans="1:15" ht="12.95" hidden="1">
      <c r="A952" s="86">
        <v>44609</v>
      </c>
      <c r="B952" s="124">
        <v>3813.6</v>
      </c>
      <c r="C952" s="30">
        <v>12394.2</v>
      </c>
      <c r="D952" s="116">
        <v>0</v>
      </c>
      <c r="E952" s="116">
        <f t="shared" si="30"/>
        <v>12394.2</v>
      </c>
      <c r="F952" s="116">
        <f t="shared" si="31"/>
        <v>3.2500000000000004</v>
      </c>
      <c r="G952" s="88" t="s">
        <v>17018</v>
      </c>
      <c r="H952" s="285" t="s">
        <v>18658</v>
      </c>
      <c r="I952" s="86">
        <v>44597</v>
      </c>
      <c r="J952" s="116">
        <v>0</v>
      </c>
      <c r="N952" s="66" t="s">
        <v>18690</v>
      </c>
      <c r="O952" s="651">
        <v>0</v>
      </c>
    </row>
    <row r="953" spans="1:15" ht="12.95" hidden="1">
      <c r="A953" s="86">
        <v>44613</v>
      </c>
      <c r="B953" s="124">
        <v>25000</v>
      </c>
      <c r="C953" s="30">
        <f>46425*2.8797</f>
        <v>133690.07250000001</v>
      </c>
      <c r="D953" s="116">
        <v>0</v>
      </c>
      <c r="E953" s="116">
        <f t="shared" si="30"/>
        <v>133690.07250000001</v>
      </c>
      <c r="F953" s="116">
        <f t="shared" si="31"/>
        <v>5.3476029</v>
      </c>
      <c r="G953" s="88" t="s">
        <v>17308</v>
      </c>
      <c r="H953" s="285" t="s">
        <v>18662</v>
      </c>
      <c r="I953" s="86">
        <v>44608</v>
      </c>
      <c r="J953" s="116">
        <v>0</v>
      </c>
      <c r="N953" s="66" t="s">
        <v>18691</v>
      </c>
      <c r="O953" s="651">
        <v>0</v>
      </c>
    </row>
    <row r="954" spans="1:15" ht="12.95" hidden="1">
      <c r="A954" s="86">
        <v>44615</v>
      </c>
      <c r="B954" s="124">
        <v>23426.400000000001</v>
      </c>
      <c r="C954" s="30">
        <f>28814.47*2.8786</f>
        <v>82945.333341999998</v>
      </c>
      <c r="D954" s="116">
        <v>39023.928</v>
      </c>
      <c r="E954" s="116">
        <f t="shared" si="30"/>
        <v>43921.405341999998</v>
      </c>
      <c r="F954" s="116">
        <f t="shared" si="31"/>
        <v>1.8748678986954888</v>
      </c>
      <c r="G954" s="88" t="s">
        <v>19779</v>
      </c>
      <c r="H954" s="285" t="s">
        <v>18674</v>
      </c>
      <c r="I954" s="86">
        <v>44613</v>
      </c>
      <c r="J954" s="116">
        <f>37831.878*20%</f>
        <v>7566.3755999999994</v>
      </c>
      <c r="N954" s="66" t="s">
        <v>18692</v>
      </c>
      <c r="O954" s="651">
        <v>0</v>
      </c>
    </row>
    <row r="955" spans="1:15" ht="12.95" hidden="1">
      <c r="A955" s="86">
        <v>44615</v>
      </c>
      <c r="B955" s="124">
        <v>27336</v>
      </c>
      <c r="C955" s="29">
        <f>29018.12*3.2744</f>
        <v>95016.932128</v>
      </c>
      <c r="D955" s="116">
        <v>12825.475</v>
      </c>
      <c r="E955" s="116">
        <f t="shared" si="30"/>
        <v>82191.457127999995</v>
      </c>
      <c r="F955" s="116">
        <f t="shared" si="31"/>
        <v>3.006711191395961</v>
      </c>
      <c r="G955" s="88" t="s">
        <v>19661</v>
      </c>
      <c r="H955" s="285" t="s">
        <v>18666</v>
      </c>
      <c r="I955" s="86">
        <v>44610</v>
      </c>
      <c r="J955" s="116">
        <f>11245.5*35%</f>
        <v>3935.9249999999997</v>
      </c>
      <c r="N955" s="66" t="s">
        <v>18693</v>
      </c>
      <c r="O955" s="651">
        <v>0</v>
      </c>
    </row>
    <row r="956" spans="1:15" ht="12.95" hidden="1">
      <c r="A956" s="86">
        <v>44615</v>
      </c>
      <c r="B956" s="124">
        <v>23430</v>
      </c>
      <c r="C956" s="30">
        <f>22473.5*2.8786</f>
        <v>64692.217100000002</v>
      </c>
      <c r="D956" s="116">
        <v>11828.85</v>
      </c>
      <c r="E956" s="116">
        <f t="shared" si="30"/>
        <v>52863.367100000003</v>
      </c>
      <c r="F956" s="116">
        <f t="shared" si="31"/>
        <v>2.2562256551429791</v>
      </c>
      <c r="G956" s="88" t="s">
        <v>19790</v>
      </c>
      <c r="H956" s="285" t="s">
        <v>18663</v>
      </c>
      <c r="I956" s="86">
        <v>44610</v>
      </c>
      <c r="J956" s="116">
        <f>10353*35%</f>
        <v>3623.5499999999997</v>
      </c>
      <c r="N956" s="66" t="s">
        <v>18694</v>
      </c>
      <c r="O956" s="651">
        <v>0</v>
      </c>
    </row>
    <row r="957" spans="1:15" ht="12.95" hidden="1">
      <c r="A957" s="86">
        <v>44616</v>
      </c>
      <c r="B957" s="124">
        <v>112800</v>
      </c>
      <c r="C957" s="30">
        <v>248880</v>
      </c>
      <c r="D957" s="116">
        <v>0</v>
      </c>
      <c r="E957" s="116">
        <f t="shared" si="30"/>
        <v>248880</v>
      </c>
      <c r="F957" s="116">
        <f t="shared" si="31"/>
        <v>2.2063829787234042</v>
      </c>
      <c r="G957" s="88" t="s">
        <v>19655</v>
      </c>
      <c r="H957" s="285" t="s">
        <v>18667</v>
      </c>
      <c r="I957" s="86">
        <v>44610</v>
      </c>
      <c r="J957" s="116">
        <v>0</v>
      </c>
      <c r="N957" s="66" t="s">
        <v>18695</v>
      </c>
      <c r="O957" s="651">
        <v>0</v>
      </c>
    </row>
    <row r="958" spans="1:15" ht="12.95" hidden="1">
      <c r="A958" s="86">
        <v>44617</v>
      </c>
      <c r="B958" s="124">
        <v>115200</v>
      </c>
      <c r="C958" s="30">
        <f>100512*3.2681</f>
        <v>328483.2672</v>
      </c>
      <c r="D958" s="116">
        <v>61576.89</v>
      </c>
      <c r="E958" s="116">
        <f t="shared" si="30"/>
        <v>266906.37719999999</v>
      </c>
      <c r="F958" s="116">
        <f t="shared" si="31"/>
        <v>2.3168956354166665</v>
      </c>
      <c r="G958" s="88" t="s">
        <v>19831</v>
      </c>
      <c r="H958" s="285" t="s">
        <v>18675</v>
      </c>
      <c r="I958" s="86">
        <v>44613</v>
      </c>
      <c r="J958" s="116">
        <f>52639.8*35%</f>
        <v>18423.93</v>
      </c>
      <c r="N958" s="66" t="s">
        <v>18696</v>
      </c>
      <c r="O958" s="651">
        <v>0</v>
      </c>
    </row>
    <row r="959" spans="1:15" ht="12.95" hidden="1">
      <c r="A959" s="86">
        <v>44617</v>
      </c>
      <c r="B959" s="124">
        <v>112000</v>
      </c>
      <c r="C959" s="30">
        <v>219520</v>
      </c>
      <c r="D959" s="116">
        <v>0</v>
      </c>
      <c r="E959" s="116">
        <f t="shared" si="30"/>
        <v>219520</v>
      </c>
      <c r="F959" s="116">
        <f t="shared" si="31"/>
        <v>1.96</v>
      </c>
      <c r="G959" s="88" t="s">
        <v>19647</v>
      </c>
      <c r="H959" s="285" t="s">
        <v>18647</v>
      </c>
      <c r="I959" s="86">
        <v>44582</v>
      </c>
      <c r="J959" s="116">
        <v>0</v>
      </c>
      <c r="N959" s="66" t="s">
        <v>18697</v>
      </c>
      <c r="O959" s="651">
        <v>0</v>
      </c>
    </row>
    <row r="960" spans="1:15" ht="12.95" hidden="1">
      <c r="A960" s="86">
        <v>44618</v>
      </c>
      <c r="B960" s="124">
        <v>280000</v>
      </c>
      <c r="C960" s="30">
        <v>501200</v>
      </c>
      <c r="D960" s="116">
        <v>0</v>
      </c>
      <c r="E960" s="116">
        <f t="shared" si="30"/>
        <v>501200</v>
      </c>
      <c r="F960" s="116">
        <f t="shared" si="31"/>
        <v>1.79</v>
      </c>
      <c r="G960" s="88" t="s">
        <v>19652</v>
      </c>
      <c r="H960" s="285" t="s">
        <v>18668</v>
      </c>
      <c r="I960" s="86">
        <v>44613</v>
      </c>
      <c r="J960" s="116">
        <v>0</v>
      </c>
      <c r="N960" s="66" t="s">
        <v>18698</v>
      </c>
      <c r="O960" s="651">
        <v>38989.745000000003</v>
      </c>
    </row>
    <row r="961" spans="1:15" ht="12.95" hidden="1">
      <c r="A961" s="203">
        <v>44620</v>
      </c>
      <c r="B961" s="204">
        <v>66024</v>
      </c>
      <c r="C961" s="210">
        <v>120823.92</v>
      </c>
      <c r="D961" s="207">
        <v>0</v>
      </c>
      <c r="E961" s="207">
        <f t="shared" si="30"/>
        <v>120823.92</v>
      </c>
      <c r="F961" s="207">
        <f t="shared" si="31"/>
        <v>1.83</v>
      </c>
      <c r="G961" s="208" t="s">
        <v>19647</v>
      </c>
      <c r="H961" s="287" t="s">
        <v>18671</v>
      </c>
      <c r="I961" s="203">
        <v>44613</v>
      </c>
      <c r="J961" s="207">
        <v>0</v>
      </c>
      <c r="N961" s="66" t="s">
        <v>18699</v>
      </c>
      <c r="O961" s="651">
        <v>0</v>
      </c>
    </row>
    <row r="962" spans="1:15" ht="12.95" hidden="1">
      <c r="A962" s="86">
        <v>44620</v>
      </c>
      <c r="B962" s="124">
        <v>314160</v>
      </c>
      <c r="C962" s="30">
        <f>300902.4*2.8885</f>
        <v>869156.58240000007</v>
      </c>
      <c r="D962" s="119">
        <v>144254.82</v>
      </c>
      <c r="E962" s="116">
        <f t="shared" si="30"/>
        <v>724901.76240000012</v>
      </c>
      <c r="F962" s="116">
        <f t="shared" si="31"/>
        <v>2.3074285790679911</v>
      </c>
      <c r="G962" s="282" t="s">
        <v>19662</v>
      </c>
      <c r="H962" s="285" t="s">
        <v>18664</v>
      </c>
      <c r="I962" s="86">
        <v>44610</v>
      </c>
      <c r="J962" s="119">
        <f>122614.02*35%</f>
        <v>42914.906999999999</v>
      </c>
      <c r="N962" s="66" t="s">
        <v>18701</v>
      </c>
      <c r="O962" s="651">
        <v>0</v>
      </c>
    </row>
    <row r="963" spans="1:15" ht="12.95" hidden="1">
      <c r="A963" s="86">
        <v>44620</v>
      </c>
      <c r="B963" s="124">
        <v>64800</v>
      </c>
      <c r="C963" s="30">
        <f>53136*3.25915</f>
        <v>173178.19440000001</v>
      </c>
      <c r="D963" s="119">
        <v>32226.115000000002</v>
      </c>
      <c r="E963" s="116">
        <f t="shared" si="30"/>
        <v>140952.07940000002</v>
      </c>
      <c r="F963" s="116">
        <f t="shared" si="31"/>
        <v>2.1751864104938274</v>
      </c>
      <c r="G963" s="88" t="s">
        <v>19651</v>
      </c>
      <c r="H963" s="285" t="s">
        <v>18665</v>
      </c>
      <c r="I963" s="86">
        <v>44610</v>
      </c>
      <c r="J963" s="119">
        <f>26364.15*35%</f>
        <v>9227.4524999999994</v>
      </c>
      <c r="N963" s="66" t="s">
        <v>18702</v>
      </c>
      <c r="O963" s="651">
        <v>0</v>
      </c>
    </row>
    <row r="964" spans="1:15" ht="12.95" hidden="1">
      <c r="A964" s="203">
        <v>44621</v>
      </c>
      <c r="B964" s="224">
        <v>110040</v>
      </c>
      <c r="C964" s="210">
        <v>201373.2</v>
      </c>
      <c r="D964" s="207">
        <v>0</v>
      </c>
      <c r="E964" s="207">
        <f t="shared" si="30"/>
        <v>201373.2</v>
      </c>
      <c r="F964" s="207">
        <f t="shared" si="31"/>
        <v>1.83</v>
      </c>
      <c r="G964" s="225" t="s">
        <v>19647</v>
      </c>
      <c r="H964" s="287" t="s">
        <v>18671</v>
      </c>
      <c r="I964" s="203">
        <v>44613</v>
      </c>
      <c r="J964" s="207">
        <v>0</v>
      </c>
      <c r="N964" s="66" t="s">
        <v>18703</v>
      </c>
      <c r="O964" s="651">
        <v>0</v>
      </c>
    </row>
    <row r="965" spans="1:15" ht="12.95" hidden="1">
      <c r="A965" s="86">
        <v>44627</v>
      </c>
      <c r="B965" s="124">
        <v>19800</v>
      </c>
      <c r="C965" s="30">
        <v>88215.119179999994</v>
      </c>
      <c r="D965" s="116">
        <v>1600.92</v>
      </c>
      <c r="E965" s="116">
        <f t="shared" si="30"/>
        <v>86614.199179999996</v>
      </c>
      <c r="F965" s="116">
        <f t="shared" si="31"/>
        <v>4.3744545040404041</v>
      </c>
      <c r="G965" s="88" t="s">
        <v>19653</v>
      </c>
      <c r="H965" s="285" t="s">
        <v>18676</v>
      </c>
      <c r="I965" s="86">
        <v>44615</v>
      </c>
      <c r="J965" s="116">
        <v>0</v>
      </c>
      <c r="N965" s="66" t="s">
        <v>18705</v>
      </c>
      <c r="O965" s="651">
        <v>1586.87</v>
      </c>
    </row>
    <row r="966" spans="1:15" ht="12.95" hidden="1">
      <c r="A966" s="86">
        <v>44632</v>
      </c>
      <c r="B966" s="124">
        <v>108000</v>
      </c>
      <c r="C966" s="30">
        <v>220102.59600000002</v>
      </c>
      <c r="D966" s="116">
        <v>37330.36</v>
      </c>
      <c r="E966" s="116">
        <f t="shared" si="30"/>
        <v>182772.23600000003</v>
      </c>
      <c r="F966" s="116">
        <f t="shared" si="31"/>
        <v>1.6923355185185189</v>
      </c>
      <c r="G966" s="88" t="s">
        <v>19722</v>
      </c>
      <c r="H966" s="85" t="s">
        <v>18679</v>
      </c>
      <c r="I966" s="81">
        <v>44628</v>
      </c>
      <c r="J966" s="116">
        <f>32331.06*35%</f>
        <v>11315.870999999999</v>
      </c>
      <c r="N966" s="66" t="s">
        <v>18706</v>
      </c>
      <c r="O966" s="651">
        <v>0</v>
      </c>
    </row>
    <row r="967" spans="1:15" ht="12.95" hidden="1">
      <c r="A967" s="86">
        <v>44634</v>
      </c>
      <c r="B967" s="124">
        <v>46909</v>
      </c>
      <c r="C967" s="30">
        <v>178875.84996749999</v>
      </c>
      <c r="D967" s="116">
        <v>9512.4500000000007</v>
      </c>
      <c r="E967" s="116">
        <f t="shared" si="30"/>
        <v>169363.39996749998</v>
      </c>
      <c r="F967" s="116">
        <f t="shared" si="31"/>
        <v>3.6104670738557627</v>
      </c>
      <c r="G967" s="88" t="s">
        <v>17312</v>
      </c>
      <c r="H967" s="85" t="s">
        <v>18677</v>
      </c>
      <c r="I967" s="81">
        <v>44621</v>
      </c>
      <c r="J967" s="116">
        <f>6993.6*20%</f>
        <v>1398.7200000000003</v>
      </c>
      <c r="N967" s="66" t="s">
        <v>18707</v>
      </c>
      <c r="O967" s="651">
        <v>0</v>
      </c>
    </row>
    <row r="968" spans="1:15" ht="12.95" hidden="1">
      <c r="A968" s="86">
        <v>44634</v>
      </c>
      <c r="B968" s="124">
        <v>113232</v>
      </c>
      <c r="C968" s="30">
        <v>277260.24</v>
      </c>
      <c r="D968" s="116">
        <v>0</v>
      </c>
      <c r="E968" s="116">
        <f t="shared" si="30"/>
        <v>277260.24</v>
      </c>
      <c r="F968" s="116">
        <f t="shared" si="31"/>
        <v>2.4486032217041118</v>
      </c>
      <c r="G968" s="88" t="s">
        <v>19647</v>
      </c>
      <c r="H968" s="85" t="s">
        <v>18673</v>
      </c>
      <c r="I968" s="81">
        <v>44613</v>
      </c>
      <c r="J968" s="116">
        <v>0</v>
      </c>
      <c r="N968" s="66" t="s">
        <v>18708</v>
      </c>
      <c r="O968" s="651">
        <v>14493.065000000001</v>
      </c>
    </row>
    <row r="969" spans="1:15" ht="12.95" hidden="1">
      <c r="A969" s="86">
        <v>44635</v>
      </c>
      <c r="B969" s="124">
        <v>25674</v>
      </c>
      <c r="C969" s="30">
        <v>84142.862895000013</v>
      </c>
      <c r="D969" s="116">
        <v>0</v>
      </c>
      <c r="E969" s="116">
        <f t="shared" si="30"/>
        <v>84142.862895000013</v>
      </c>
      <c r="F969" s="116">
        <f t="shared" si="31"/>
        <v>3.2773569718392155</v>
      </c>
      <c r="G969" s="88" t="s">
        <v>19686</v>
      </c>
      <c r="H969" s="85" t="s">
        <v>18656</v>
      </c>
      <c r="I969" s="81">
        <v>44595</v>
      </c>
      <c r="J969" s="116">
        <v>0</v>
      </c>
      <c r="N969" s="66" t="s">
        <v>18709</v>
      </c>
      <c r="O969" s="651">
        <v>14493.065000000001</v>
      </c>
    </row>
    <row r="970" spans="1:15" ht="12.95" hidden="1">
      <c r="A970" s="86">
        <v>44635</v>
      </c>
      <c r="B970" s="124">
        <v>108000</v>
      </c>
      <c r="C970" s="30">
        <v>220102.59600000002</v>
      </c>
      <c r="D970" s="116">
        <v>37330.36</v>
      </c>
      <c r="E970" s="116">
        <f t="shared" si="30"/>
        <v>182772.23600000003</v>
      </c>
      <c r="F970" s="116">
        <f t="shared" si="31"/>
        <v>1.6923355185185189</v>
      </c>
      <c r="G970" s="88" t="s">
        <v>19722</v>
      </c>
      <c r="H970" s="285" t="s">
        <v>18680</v>
      </c>
      <c r="I970" s="81">
        <v>44628</v>
      </c>
      <c r="J970" s="116">
        <f>32331.06*35%</f>
        <v>11315.870999999999</v>
      </c>
      <c r="N970" s="66" t="s">
        <v>18710</v>
      </c>
      <c r="O970" s="651">
        <v>14493.065000000001</v>
      </c>
    </row>
    <row r="971" spans="1:15" ht="12.95" hidden="1">
      <c r="A971" s="86">
        <v>44635</v>
      </c>
      <c r="B971" s="124">
        <v>108000</v>
      </c>
      <c r="C971" s="30">
        <v>220742.17199999999</v>
      </c>
      <c r="D971" s="116">
        <v>37330.36</v>
      </c>
      <c r="E971" s="116">
        <f t="shared" si="30"/>
        <v>183411.81199999998</v>
      </c>
      <c r="F971" s="116">
        <f t="shared" si="31"/>
        <v>1.6982575185185182</v>
      </c>
      <c r="G971" s="88" t="s">
        <v>19722</v>
      </c>
      <c r="H971" s="85" t="s">
        <v>18681</v>
      </c>
      <c r="I971" s="81">
        <v>44628</v>
      </c>
      <c r="J971" s="116">
        <f>32331.06*35%</f>
        <v>11315.870999999999</v>
      </c>
      <c r="N971" s="66" t="s">
        <v>18711</v>
      </c>
      <c r="O971" s="651">
        <v>0</v>
      </c>
    </row>
    <row r="972" spans="1:15" ht="12.95" hidden="1">
      <c r="A972" s="86">
        <v>44636</v>
      </c>
      <c r="B972" s="124">
        <v>108000</v>
      </c>
      <c r="C972" s="30">
        <v>220480.21799999999</v>
      </c>
      <c r="D972" s="116">
        <v>37330.36</v>
      </c>
      <c r="E972" s="116">
        <f t="shared" si="30"/>
        <v>183149.85800000001</v>
      </c>
      <c r="F972" s="116">
        <f t="shared" si="31"/>
        <v>1.6958320185185185</v>
      </c>
      <c r="G972" s="88" t="s">
        <v>19722</v>
      </c>
      <c r="H972" s="85" t="s">
        <v>18682</v>
      </c>
      <c r="I972" s="81">
        <v>44628</v>
      </c>
      <c r="J972" s="116">
        <f>32331.06*35%</f>
        <v>11315.870999999999</v>
      </c>
      <c r="N972" s="66" t="s">
        <v>18712</v>
      </c>
      <c r="O972" s="651">
        <v>0</v>
      </c>
    </row>
    <row r="973" spans="1:15" ht="12.95" hidden="1">
      <c r="A973" s="86">
        <v>44636</v>
      </c>
      <c r="B973" s="124">
        <v>280000</v>
      </c>
      <c r="C973" s="30">
        <v>501200</v>
      </c>
      <c r="D973" s="116">
        <v>0</v>
      </c>
      <c r="E973" s="116">
        <f t="shared" si="30"/>
        <v>501200</v>
      </c>
      <c r="F973" s="116">
        <f t="shared" si="31"/>
        <v>1.79</v>
      </c>
      <c r="G973" s="88" t="s">
        <v>19652</v>
      </c>
      <c r="H973" s="85" t="s">
        <v>18669</v>
      </c>
      <c r="I973" s="81">
        <v>44613</v>
      </c>
      <c r="J973" s="116">
        <v>0</v>
      </c>
      <c r="N973" s="66" t="s">
        <v>18713</v>
      </c>
      <c r="O973" s="651">
        <v>0</v>
      </c>
    </row>
    <row r="974" spans="1:15" ht="12.95" hidden="1">
      <c r="A974" s="86">
        <v>44637</v>
      </c>
      <c r="B974" s="124">
        <v>108000</v>
      </c>
      <c r="C974" s="30">
        <v>221119.79399999999</v>
      </c>
      <c r="D974" s="116">
        <v>37330.36</v>
      </c>
      <c r="E974" s="116">
        <f t="shared" si="30"/>
        <v>183789.43400000001</v>
      </c>
      <c r="F974" s="116">
        <f t="shared" si="31"/>
        <v>1.7017540185185185</v>
      </c>
      <c r="G974" s="88" t="s">
        <v>19722</v>
      </c>
      <c r="H974" s="85" t="s">
        <v>18683</v>
      </c>
      <c r="I974" s="81">
        <v>44628</v>
      </c>
      <c r="J974" s="116">
        <f>32331.06*35%</f>
        <v>11315.870999999999</v>
      </c>
      <c r="N974" s="66" t="s">
        <v>18714</v>
      </c>
      <c r="O974" s="651">
        <v>5236.8500000000004</v>
      </c>
    </row>
    <row r="975" spans="1:15" ht="12.95" hidden="1">
      <c r="A975" s="86">
        <v>44637</v>
      </c>
      <c r="B975" s="124">
        <v>20500</v>
      </c>
      <c r="C975" s="30">
        <v>64575</v>
      </c>
      <c r="D975" s="116">
        <v>0</v>
      </c>
      <c r="E975" s="116">
        <f t="shared" si="30"/>
        <v>64575</v>
      </c>
      <c r="F975" s="116">
        <f t="shared" si="31"/>
        <v>3.15</v>
      </c>
      <c r="G975" s="88" t="s">
        <v>17018</v>
      </c>
      <c r="H975" s="85" t="s">
        <v>18684</v>
      </c>
      <c r="I975" s="81">
        <v>44630</v>
      </c>
      <c r="J975" s="116">
        <v>0</v>
      </c>
      <c r="N975" s="66" t="s">
        <v>18715</v>
      </c>
      <c r="O975" s="651">
        <v>0</v>
      </c>
    </row>
    <row r="976" spans="1:15" ht="12.95" hidden="1">
      <c r="A976" s="86">
        <v>44641</v>
      </c>
      <c r="B976" s="124">
        <v>21600</v>
      </c>
      <c r="C976" s="30">
        <v>77060.001199999999</v>
      </c>
      <c r="D976" s="116">
        <v>13797.38</v>
      </c>
      <c r="E976" s="116">
        <f t="shared" si="30"/>
        <v>63262.621200000001</v>
      </c>
      <c r="F976" s="116">
        <f t="shared" si="31"/>
        <v>2.9288250555555555</v>
      </c>
      <c r="G976" s="88" t="s">
        <v>19661</v>
      </c>
      <c r="H976" s="85" t="s">
        <v>18678</v>
      </c>
      <c r="I976" s="86">
        <v>44627</v>
      </c>
      <c r="J976" s="116">
        <f>12414.8*35%</f>
        <v>4345.1799999999994</v>
      </c>
      <c r="N976" s="66" t="s">
        <v>18716</v>
      </c>
      <c r="O976" s="651">
        <v>0</v>
      </c>
    </row>
    <row r="977" spans="1:15" ht="12.95" hidden="1">
      <c r="A977" s="86">
        <v>44643</v>
      </c>
      <c r="B977" s="124">
        <v>110040</v>
      </c>
      <c r="C977" s="30">
        <v>269598</v>
      </c>
      <c r="D977" s="116">
        <v>0</v>
      </c>
      <c r="E977" s="116">
        <f t="shared" si="30"/>
        <v>269598</v>
      </c>
      <c r="F977" s="116">
        <f t="shared" si="31"/>
        <v>2.4500000000000002</v>
      </c>
      <c r="G977" s="88" t="s">
        <v>19805</v>
      </c>
      <c r="H977" s="285" t="s">
        <v>18689</v>
      </c>
      <c r="I977" s="86">
        <v>44635</v>
      </c>
      <c r="J977" s="116">
        <v>0</v>
      </c>
      <c r="N977" s="66" t="s">
        <v>18717</v>
      </c>
      <c r="O977" s="651">
        <v>0</v>
      </c>
    </row>
    <row r="978" spans="1:15" ht="12.95" hidden="1">
      <c r="A978" s="86">
        <v>44643</v>
      </c>
      <c r="B978" s="124">
        <v>17952</v>
      </c>
      <c r="C978" s="30">
        <v>87090.115999999995</v>
      </c>
      <c r="D978" s="116">
        <v>25164.54</v>
      </c>
      <c r="E978" s="116">
        <f t="shared" si="30"/>
        <v>61925.575999999994</v>
      </c>
      <c r="F978" s="116">
        <f t="shared" si="31"/>
        <v>3.4495084670231724</v>
      </c>
      <c r="G978" s="88" t="s">
        <v>17275</v>
      </c>
      <c r="H978" s="285" t="s">
        <v>18687</v>
      </c>
      <c r="I978" s="86">
        <v>44630</v>
      </c>
      <c r="J978" s="116">
        <f>9780*20%</f>
        <v>1956</v>
      </c>
      <c r="N978" s="66" t="s">
        <v>18718</v>
      </c>
      <c r="O978" s="651">
        <v>0</v>
      </c>
    </row>
    <row r="979" spans="1:15" ht="12.95" hidden="1">
      <c r="A979" s="86">
        <v>44644</v>
      </c>
      <c r="B979" s="124">
        <v>27336</v>
      </c>
      <c r="C979" s="30">
        <v>94371.683440000008</v>
      </c>
      <c r="D979" s="116">
        <v>14196.74</v>
      </c>
      <c r="E979" s="116">
        <f t="shared" si="30"/>
        <v>80174.943440000003</v>
      </c>
      <c r="F979" s="116">
        <f t="shared" si="31"/>
        <v>2.9329434972197834</v>
      </c>
      <c r="G979" s="88" t="s">
        <v>19661</v>
      </c>
      <c r="H979" s="285" t="s">
        <v>18688</v>
      </c>
      <c r="I979" s="86">
        <v>44630</v>
      </c>
      <c r="J979" s="116">
        <f>12398.4*35%</f>
        <v>4339.4399999999996</v>
      </c>
      <c r="N979" s="66" t="s">
        <v>18720</v>
      </c>
      <c r="O979" s="651">
        <v>0</v>
      </c>
    </row>
    <row r="980" spans="1:15" ht="12.95" hidden="1">
      <c r="A980" s="86">
        <v>44645</v>
      </c>
      <c r="B980" s="124">
        <v>8076</v>
      </c>
      <c r="C980" s="30">
        <v>28196.799999999999</v>
      </c>
      <c r="D980" s="116">
        <v>0</v>
      </c>
      <c r="E980" s="116">
        <f t="shared" si="30"/>
        <v>28196.799999999999</v>
      </c>
      <c r="F980" s="116">
        <f t="shared" si="31"/>
        <v>3.491431401684002</v>
      </c>
      <c r="G980" s="88" t="s">
        <v>17273</v>
      </c>
      <c r="H980" s="285" t="s">
        <v>18693</v>
      </c>
      <c r="I980" s="86">
        <v>44638</v>
      </c>
      <c r="J980" s="116">
        <v>0</v>
      </c>
      <c r="N980" s="66" t="s">
        <v>18721</v>
      </c>
      <c r="O980" s="651">
        <v>1300.8019999999999</v>
      </c>
    </row>
    <row r="981" spans="1:15" ht="12.95" hidden="1">
      <c r="A981" s="86">
        <v>44648</v>
      </c>
      <c r="B981" s="124">
        <v>1120</v>
      </c>
      <c r="C981" s="30">
        <v>5936</v>
      </c>
      <c r="D981" s="116">
        <v>0</v>
      </c>
      <c r="E981" s="116">
        <f t="shared" si="30"/>
        <v>5936</v>
      </c>
      <c r="F981" s="116">
        <f t="shared" si="31"/>
        <v>5.3</v>
      </c>
      <c r="G981" s="88" t="s">
        <v>19801</v>
      </c>
      <c r="H981" s="285" t="s">
        <v>18690</v>
      </c>
      <c r="I981" s="86">
        <v>44635</v>
      </c>
      <c r="J981" s="116">
        <v>0</v>
      </c>
      <c r="N981" s="66" t="s">
        <v>18723</v>
      </c>
      <c r="O981" s="651">
        <v>0</v>
      </c>
    </row>
    <row r="982" spans="1:15" ht="12.95" hidden="1">
      <c r="A982" s="86">
        <v>44648</v>
      </c>
      <c r="B982" s="124">
        <v>65616</v>
      </c>
      <c r="C982" s="30">
        <v>148704</v>
      </c>
      <c r="D982" s="116">
        <v>0</v>
      </c>
      <c r="E982" s="116">
        <f t="shared" si="30"/>
        <v>148704</v>
      </c>
      <c r="F982" s="116">
        <f t="shared" si="31"/>
        <v>2.2662765179224578</v>
      </c>
      <c r="G982" s="88" t="s">
        <v>19655</v>
      </c>
      <c r="H982" s="285" t="s">
        <v>18694</v>
      </c>
      <c r="I982" s="86">
        <v>44638</v>
      </c>
      <c r="J982" s="116">
        <v>0</v>
      </c>
      <c r="N982" s="66" t="s">
        <v>18724</v>
      </c>
      <c r="O982" s="651">
        <v>15794.94</v>
      </c>
    </row>
    <row r="983" spans="1:15" ht="12.95" hidden="1">
      <c r="A983" s="86">
        <v>44648</v>
      </c>
      <c r="B983" s="124">
        <v>20000</v>
      </c>
      <c r="C983" s="30">
        <v>61000</v>
      </c>
      <c r="D983" s="116">
        <v>0</v>
      </c>
      <c r="E983" s="116">
        <f t="shared" si="30"/>
        <v>61000</v>
      </c>
      <c r="F983" s="116">
        <f t="shared" si="31"/>
        <v>3.05</v>
      </c>
      <c r="G983" s="88" t="s">
        <v>17018</v>
      </c>
      <c r="H983" s="285" t="s">
        <v>18697</v>
      </c>
      <c r="I983" s="86">
        <v>44639</v>
      </c>
      <c r="J983" s="116">
        <v>0</v>
      </c>
      <c r="N983" s="66" t="s">
        <v>18725</v>
      </c>
      <c r="O983" s="651">
        <v>15794.94</v>
      </c>
    </row>
    <row r="984" spans="1:15" ht="12.95" hidden="1">
      <c r="A984" s="86">
        <v>44648</v>
      </c>
      <c r="B984" s="124">
        <v>315360</v>
      </c>
      <c r="C984" s="30">
        <v>815609.65500000003</v>
      </c>
      <c r="D984" s="116">
        <v>0</v>
      </c>
      <c r="E984" s="116">
        <f t="shared" si="30"/>
        <v>815609.65500000003</v>
      </c>
      <c r="F984" s="116">
        <f t="shared" si="31"/>
        <v>2.5862812500000003</v>
      </c>
      <c r="G984" s="88" t="s">
        <v>19830</v>
      </c>
      <c r="H984" s="285" t="s">
        <v>18695</v>
      </c>
      <c r="I984" s="86">
        <v>44638</v>
      </c>
      <c r="J984" s="116">
        <v>0</v>
      </c>
      <c r="N984" s="66" t="s">
        <v>18726</v>
      </c>
      <c r="O984" s="651">
        <v>15766.4</v>
      </c>
    </row>
    <row r="985" spans="1:15" ht="12.95" hidden="1">
      <c r="A985" s="86">
        <v>44648</v>
      </c>
      <c r="B985" s="124">
        <v>460800</v>
      </c>
      <c r="C985" s="30">
        <v>1144088.064</v>
      </c>
      <c r="D985" s="116">
        <v>0</v>
      </c>
      <c r="E985" s="116">
        <f t="shared" si="30"/>
        <v>1144088.064</v>
      </c>
      <c r="F985" s="116">
        <f t="shared" si="31"/>
        <v>2.4828299999999999</v>
      </c>
      <c r="G985" s="88" t="s">
        <v>19688</v>
      </c>
      <c r="H985" s="285" t="s">
        <v>18696</v>
      </c>
      <c r="I985" s="86">
        <v>44639</v>
      </c>
      <c r="J985" s="116">
        <v>0</v>
      </c>
      <c r="N985" s="66" t="s">
        <v>18727</v>
      </c>
      <c r="O985" s="651">
        <v>0</v>
      </c>
    </row>
    <row r="986" spans="1:15" ht="12.95" hidden="1">
      <c r="A986" s="86">
        <v>44649</v>
      </c>
      <c r="B986" s="124">
        <v>76800</v>
      </c>
      <c r="C986" s="30">
        <v>217766.7072</v>
      </c>
      <c r="D986" s="116">
        <v>38989.745000000003</v>
      </c>
      <c r="E986" s="116">
        <f t="shared" si="30"/>
        <v>178776.96220000001</v>
      </c>
      <c r="F986" s="116">
        <f t="shared" si="31"/>
        <v>2.3278250286458335</v>
      </c>
      <c r="G986" s="88" t="s">
        <v>19831</v>
      </c>
      <c r="H986" s="285" t="s">
        <v>18698</v>
      </c>
      <c r="I986" s="86">
        <v>44643</v>
      </c>
      <c r="J986" s="116">
        <f>34507.8*35%</f>
        <v>12077.73</v>
      </c>
      <c r="N986" s="66" t="s">
        <v>18728</v>
      </c>
      <c r="O986" s="651">
        <v>0</v>
      </c>
    </row>
    <row r="987" spans="1:15" ht="12.95" hidden="1">
      <c r="A987" s="86">
        <v>44649</v>
      </c>
      <c r="B987" s="124">
        <v>120960</v>
      </c>
      <c r="C987" s="30">
        <v>298303.99200000003</v>
      </c>
      <c r="D987" s="116">
        <v>0</v>
      </c>
      <c r="E987" s="116">
        <f t="shared" si="30"/>
        <v>298303.99200000003</v>
      </c>
      <c r="F987" s="116">
        <f t="shared" si="31"/>
        <v>2.4661375000000003</v>
      </c>
      <c r="G987" s="88" t="s">
        <v>19832</v>
      </c>
      <c r="H987" s="285" t="s">
        <v>18699</v>
      </c>
      <c r="I987" s="86">
        <v>44643</v>
      </c>
      <c r="J987" s="116">
        <v>0</v>
      </c>
      <c r="N987" s="66" t="s">
        <v>18729</v>
      </c>
      <c r="O987" s="651">
        <v>0</v>
      </c>
    </row>
    <row r="988" spans="1:15" ht="12.95" hidden="1">
      <c r="A988" s="86">
        <v>44651</v>
      </c>
      <c r="B988" s="124">
        <v>239656</v>
      </c>
      <c r="C988" s="30">
        <v>593788</v>
      </c>
      <c r="D988" s="116">
        <v>0</v>
      </c>
      <c r="E988" s="116">
        <f t="shared" si="30"/>
        <v>593788</v>
      </c>
      <c r="F988" s="116">
        <f t="shared" si="31"/>
        <v>2.4776679907867942</v>
      </c>
      <c r="G988" s="88" t="s">
        <v>19647</v>
      </c>
      <c r="H988" s="285" t="s">
        <v>18692</v>
      </c>
      <c r="I988" s="86">
        <v>44635</v>
      </c>
      <c r="J988" s="116">
        <v>0</v>
      </c>
      <c r="N988" s="66" t="s">
        <v>18730</v>
      </c>
      <c r="O988" s="651">
        <v>34837.184999999998</v>
      </c>
    </row>
    <row r="989" spans="1:15" ht="12.95" hidden="1">
      <c r="A989" s="86">
        <v>44655</v>
      </c>
      <c r="B989" s="124">
        <v>110040</v>
      </c>
      <c r="C989" s="30">
        <v>201373.2</v>
      </c>
      <c r="D989" s="116">
        <v>0</v>
      </c>
      <c r="E989" s="116">
        <f t="shared" si="30"/>
        <v>201373.2</v>
      </c>
      <c r="F989" s="116">
        <f t="shared" si="31"/>
        <v>1.83</v>
      </c>
      <c r="G989" s="88" t="s">
        <v>19647</v>
      </c>
      <c r="H989" s="285" t="s">
        <v>18702</v>
      </c>
      <c r="I989" s="86">
        <v>44649</v>
      </c>
      <c r="J989" s="116">
        <v>0</v>
      </c>
      <c r="N989" s="66" t="s">
        <v>18731</v>
      </c>
      <c r="O989" s="651">
        <v>145592.04</v>
      </c>
    </row>
    <row r="990" spans="1:15" ht="12.95" hidden="1">
      <c r="A990" s="86">
        <v>44658</v>
      </c>
      <c r="B990" s="124">
        <v>20000</v>
      </c>
      <c r="C990" s="30">
        <f>22900*2.9569</f>
        <v>67713.009999999995</v>
      </c>
      <c r="D990" s="116">
        <v>8538.0249999999996</v>
      </c>
      <c r="E990" s="116">
        <f t="shared" si="30"/>
        <v>59174.984999999993</v>
      </c>
      <c r="F990" s="116">
        <f t="shared" si="31"/>
        <v>2.9587492499999999</v>
      </c>
      <c r="G990" s="88" t="s">
        <v>19659</v>
      </c>
      <c r="H990" s="285" t="s">
        <v>18672</v>
      </c>
      <c r="I990" s="86">
        <v>44613</v>
      </c>
      <c r="J990" s="116">
        <f>7371.075*20%</f>
        <v>1474.2150000000001</v>
      </c>
      <c r="N990" s="66" t="s">
        <v>18732</v>
      </c>
      <c r="O990" s="651">
        <v>0</v>
      </c>
    </row>
    <row r="991" spans="1:15" ht="12.95" hidden="1">
      <c r="A991" s="86">
        <v>44659</v>
      </c>
      <c r="B991" s="124">
        <v>107640</v>
      </c>
      <c r="C991" s="30">
        <v>218153.60000000001</v>
      </c>
      <c r="D991" s="116">
        <v>0</v>
      </c>
      <c r="E991" s="116">
        <f t="shared" si="30"/>
        <v>218153.60000000001</v>
      </c>
      <c r="F991" s="116">
        <f t="shared" si="31"/>
        <v>2.0266963953920478</v>
      </c>
      <c r="G991" s="88" t="s">
        <v>19647</v>
      </c>
      <c r="H991" s="285" t="s">
        <v>18691</v>
      </c>
      <c r="I991" s="86">
        <v>44635</v>
      </c>
      <c r="J991" s="116">
        <v>0</v>
      </c>
      <c r="N991" s="66" t="s">
        <v>18733</v>
      </c>
      <c r="O991" s="651">
        <v>64819.285000000003</v>
      </c>
    </row>
    <row r="992" spans="1:15" ht="12.95" hidden="1">
      <c r="A992" s="81">
        <v>44664</v>
      </c>
      <c r="B992" s="124">
        <v>275088</v>
      </c>
      <c r="C992" s="30">
        <v>561162</v>
      </c>
      <c r="D992" s="116">
        <v>0</v>
      </c>
      <c r="E992" s="116">
        <f t="shared" si="30"/>
        <v>561162</v>
      </c>
      <c r="F992" s="116">
        <f t="shared" si="31"/>
        <v>2.0399363112894782</v>
      </c>
      <c r="G992" s="88" t="s">
        <v>19833</v>
      </c>
      <c r="H992" s="285" t="s">
        <v>18703</v>
      </c>
      <c r="I992" s="86">
        <v>44649</v>
      </c>
      <c r="J992" s="116">
        <v>0</v>
      </c>
      <c r="N992" s="66" t="s">
        <v>18734</v>
      </c>
      <c r="O992" s="651">
        <v>22016.935000000001</v>
      </c>
    </row>
    <row r="993" spans="1:15" ht="12.95" hidden="1">
      <c r="A993" s="86">
        <v>44665</v>
      </c>
      <c r="B993" s="124">
        <v>42350</v>
      </c>
      <c r="C993" s="30">
        <v>97872.5</v>
      </c>
      <c r="D993" s="116">
        <v>0</v>
      </c>
      <c r="E993" s="116">
        <f t="shared" si="30"/>
        <v>97872.5</v>
      </c>
      <c r="F993" s="116">
        <f t="shared" si="31"/>
        <v>2.3110389610389612</v>
      </c>
      <c r="G993" s="88" t="s">
        <v>19655</v>
      </c>
      <c r="H993" s="285" t="s">
        <v>18717</v>
      </c>
      <c r="I993" s="86">
        <v>44658</v>
      </c>
      <c r="J993" s="116">
        <v>0</v>
      </c>
      <c r="N993" s="66" t="s">
        <v>18735</v>
      </c>
      <c r="O993" s="651">
        <v>0</v>
      </c>
    </row>
    <row r="994" spans="1:15" ht="12.95" hidden="1">
      <c r="A994" s="81">
        <v>44667</v>
      </c>
      <c r="B994" s="124">
        <v>12750</v>
      </c>
      <c r="C994" s="30">
        <f>22290*2.98145</f>
        <v>66456.520499999999</v>
      </c>
      <c r="D994" s="116">
        <v>0</v>
      </c>
      <c r="E994" s="116">
        <f t="shared" si="30"/>
        <v>66456.520499999999</v>
      </c>
      <c r="F994" s="116">
        <f t="shared" si="31"/>
        <v>5.2122761176470584</v>
      </c>
      <c r="G994" s="88" t="s">
        <v>19834</v>
      </c>
      <c r="H994" s="285" t="s">
        <v>18718</v>
      </c>
      <c r="I994" s="86">
        <v>44660</v>
      </c>
      <c r="J994" s="116">
        <v>0</v>
      </c>
      <c r="N994" s="66" t="s">
        <v>18736</v>
      </c>
      <c r="O994" s="651">
        <v>0</v>
      </c>
    </row>
    <row r="995" spans="1:15" ht="12.95" hidden="1">
      <c r="A995" s="81">
        <v>44669</v>
      </c>
      <c r="B995" s="124">
        <v>20480</v>
      </c>
      <c r="C995" s="30">
        <f>31172.56*3.00015</f>
        <v>93522.355884000004</v>
      </c>
      <c r="D995" s="116">
        <v>1586.87</v>
      </c>
      <c r="E995" s="116">
        <f t="shared" si="30"/>
        <v>91935.485884000009</v>
      </c>
      <c r="F995" s="116">
        <f t="shared" si="31"/>
        <v>4.4890373966796879</v>
      </c>
      <c r="G995" s="88" t="s">
        <v>19653</v>
      </c>
      <c r="H995" s="285" t="s">
        <v>18705</v>
      </c>
      <c r="I995" s="86">
        <v>44658</v>
      </c>
      <c r="J995" s="116">
        <v>0</v>
      </c>
      <c r="N995" s="66" t="s">
        <v>18737</v>
      </c>
      <c r="O995" s="651">
        <v>0</v>
      </c>
    </row>
    <row r="996" spans="1:15" ht="12.95" hidden="1">
      <c r="A996" s="81">
        <v>44669</v>
      </c>
      <c r="B996" s="124">
        <v>44016</v>
      </c>
      <c r="C996" s="30">
        <v>124125.12</v>
      </c>
      <c r="D996" s="116">
        <v>0</v>
      </c>
      <c r="E996" s="116">
        <f t="shared" si="30"/>
        <v>124125.12</v>
      </c>
      <c r="F996" s="116">
        <f t="shared" si="31"/>
        <v>2.82</v>
      </c>
      <c r="G996" s="88" t="s">
        <v>19655</v>
      </c>
      <c r="H996" s="285" t="s">
        <v>18711</v>
      </c>
      <c r="I996" s="81">
        <v>44658</v>
      </c>
      <c r="J996" s="116">
        <v>0</v>
      </c>
      <c r="N996" s="66" t="s">
        <v>18738</v>
      </c>
      <c r="O996" s="651">
        <v>1586.87</v>
      </c>
    </row>
    <row r="997" spans="1:15" ht="12.95" hidden="1">
      <c r="A997" s="81">
        <v>44669</v>
      </c>
      <c r="B997" s="124">
        <v>12000</v>
      </c>
      <c r="C997" s="30">
        <f>15252.8*3.00015</f>
        <v>45760.687919999997</v>
      </c>
      <c r="D997" s="116">
        <v>5236.8500000000004</v>
      </c>
      <c r="E997" s="116">
        <f t="shared" si="30"/>
        <v>40523.837919999998</v>
      </c>
      <c r="F997" s="116">
        <f t="shared" si="31"/>
        <v>3.3769864933333333</v>
      </c>
      <c r="G997" s="88" t="s">
        <v>19811</v>
      </c>
      <c r="H997" s="285" t="s">
        <v>18714</v>
      </c>
      <c r="I997" s="81">
        <v>44658</v>
      </c>
      <c r="J997" s="116">
        <f>3943.35*20%</f>
        <v>788.67000000000007</v>
      </c>
      <c r="N997" s="66" t="s">
        <v>18739</v>
      </c>
      <c r="O997" s="651">
        <v>0</v>
      </c>
    </row>
    <row r="998" spans="1:15" ht="12.95" hidden="1">
      <c r="A998" s="81">
        <v>44671</v>
      </c>
      <c r="B998" s="124">
        <v>41000</v>
      </c>
      <c r="C998" s="30">
        <v>138170</v>
      </c>
      <c r="D998" s="116">
        <v>0</v>
      </c>
      <c r="E998" s="116">
        <f t="shared" si="30"/>
        <v>138170</v>
      </c>
      <c r="F998" s="116">
        <f t="shared" si="31"/>
        <v>3.37</v>
      </c>
      <c r="G998" s="88" t="s">
        <v>17018</v>
      </c>
      <c r="H998" s="285" t="s">
        <v>18715</v>
      </c>
      <c r="I998" s="81">
        <v>44658</v>
      </c>
      <c r="J998" s="116">
        <v>0</v>
      </c>
      <c r="N998" s="66" t="s">
        <v>18740</v>
      </c>
      <c r="O998" s="651">
        <v>96887.4</v>
      </c>
    </row>
    <row r="999" spans="1:15" ht="12.95" hidden="1">
      <c r="A999" s="81">
        <v>44672</v>
      </c>
      <c r="B999" s="124">
        <v>280000</v>
      </c>
      <c r="C999" s="30">
        <v>501200</v>
      </c>
      <c r="D999" s="116">
        <v>0</v>
      </c>
      <c r="E999" s="116">
        <f t="shared" si="30"/>
        <v>501200</v>
      </c>
      <c r="F999" s="116">
        <f t="shared" si="31"/>
        <v>1.79</v>
      </c>
      <c r="G999" s="88" t="s">
        <v>19652</v>
      </c>
      <c r="H999" s="285" t="s">
        <v>18712</v>
      </c>
      <c r="I999" s="81">
        <v>44658</v>
      </c>
      <c r="J999" s="116">
        <v>0</v>
      </c>
      <c r="N999" s="66" t="s">
        <v>18741</v>
      </c>
      <c r="O999" s="651">
        <v>15828.64</v>
      </c>
    </row>
    <row r="1000" spans="1:15" ht="12.95" hidden="1">
      <c r="A1000" s="81">
        <v>44672</v>
      </c>
      <c r="B1000" s="124">
        <v>112000</v>
      </c>
      <c r="C1000" s="30">
        <v>217280</v>
      </c>
      <c r="D1000" s="116">
        <v>0</v>
      </c>
      <c r="E1000" s="116">
        <f t="shared" si="30"/>
        <v>217280</v>
      </c>
      <c r="F1000" s="116">
        <f t="shared" si="31"/>
        <v>1.94</v>
      </c>
      <c r="G1000" s="88" t="s">
        <v>19647</v>
      </c>
      <c r="H1000" s="285" t="s">
        <v>18720</v>
      </c>
      <c r="I1000" s="81">
        <v>44663</v>
      </c>
      <c r="J1000" s="116">
        <v>0</v>
      </c>
      <c r="N1000" s="66" t="s">
        <v>18742</v>
      </c>
      <c r="O1000" s="651">
        <v>15828.64</v>
      </c>
    </row>
    <row r="1001" spans="1:15" ht="12.95" hidden="1">
      <c r="A1001" s="81">
        <v>44672</v>
      </c>
      <c r="B1001" s="124">
        <v>24244.799999999999</v>
      </c>
      <c r="C1001" s="30">
        <v>76266.12</v>
      </c>
      <c r="D1001" s="116">
        <v>0</v>
      </c>
      <c r="E1001" s="116">
        <f t="shared" si="30"/>
        <v>76266.12</v>
      </c>
      <c r="F1001" s="116">
        <f t="shared" si="31"/>
        <v>3.1456691744209064</v>
      </c>
      <c r="G1001" s="88" t="s">
        <v>17018</v>
      </c>
      <c r="H1001" s="285" t="s">
        <v>18706</v>
      </c>
      <c r="I1001" s="81">
        <v>44658</v>
      </c>
      <c r="J1001" s="116">
        <v>0</v>
      </c>
      <c r="N1001" s="66" t="s">
        <v>18743</v>
      </c>
      <c r="O1001" s="651">
        <v>0</v>
      </c>
    </row>
    <row r="1002" spans="1:15" ht="12.95" hidden="1">
      <c r="A1002" s="81">
        <v>44672</v>
      </c>
      <c r="B1002" s="124">
        <v>11930</v>
      </c>
      <c r="C1002" s="83">
        <v>41045</v>
      </c>
      <c r="D1002" s="116">
        <v>0</v>
      </c>
      <c r="E1002" s="116">
        <f t="shared" si="30"/>
        <v>41045</v>
      </c>
      <c r="F1002" s="116">
        <f t="shared" si="31"/>
        <v>3.4404861693210393</v>
      </c>
      <c r="G1002" s="88" t="s">
        <v>17018</v>
      </c>
      <c r="H1002" s="285" t="s">
        <v>18670</v>
      </c>
      <c r="I1002" s="81">
        <v>44613</v>
      </c>
      <c r="J1002" s="116">
        <v>0</v>
      </c>
      <c r="N1002" s="66" t="s">
        <v>18744</v>
      </c>
      <c r="O1002" s="651">
        <v>0</v>
      </c>
    </row>
    <row r="1003" spans="1:15" ht="12.95" hidden="1">
      <c r="A1003" s="81">
        <v>44672</v>
      </c>
      <c r="B1003" s="124">
        <v>19200</v>
      </c>
      <c r="C1003" s="30">
        <f>21124*3.2474</f>
        <v>68598.07759999999</v>
      </c>
      <c r="D1003" s="116">
        <v>10969.75</v>
      </c>
      <c r="E1003" s="116">
        <f t="shared" si="30"/>
        <v>57628.32759999999</v>
      </c>
      <c r="F1003" s="116">
        <f t="shared" si="31"/>
        <v>3.0014753958333329</v>
      </c>
      <c r="G1003" s="88" t="s">
        <v>19835</v>
      </c>
      <c r="H1003" s="285" t="s">
        <v>18685</v>
      </c>
      <c r="I1003" s="81">
        <v>44630</v>
      </c>
      <c r="J1003" s="116">
        <f>9852.8*35%</f>
        <v>3448.4799999999996</v>
      </c>
      <c r="N1003" s="66" t="s">
        <v>18745</v>
      </c>
      <c r="O1003" s="651">
        <v>28999.91</v>
      </c>
    </row>
    <row r="1004" spans="1:15" ht="12.95" hidden="1">
      <c r="A1004" s="81">
        <v>44673</v>
      </c>
      <c r="B1004" s="124">
        <v>27336</v>
      </c>
      <c r="C1004" s="227">
        <f>29350.72*3.25945</f>
        <v>95667.204304000014</v>
      </c>
      <c r="D1004" s="227">
        <v>14493.065000000001</v>
      </c>
      <c r="E1004" s="116">
        <f t="shared" si="30"/>
        <v>81174.139304000011</v>
      </c>
      <c r="F1004" s="116">
        <f t="shared" si="31"/>
        <v>2.9694958773778173</v>
      </c>
      <c r="G1004" s="88" t="s">
        <v>19661</v>
      </c>
      <c r="H1004" s="285" t="s">
        <v>18708</v>
      </c>
      <c r="I1004" s="81">
        <v>44658</v>
      </c>
      <c r="J1004" s="116">
        <f>12694.85*35%</f>
        <v>4443.1975000000002</v>
      </c>
      <c r="N1004" s="66" t="s">
        <v>18746</v>
      </c>
      <c r="O1004" s="651">
        <v>10313.995999999999</v>
      </c>
    </row>
    <row r="1005" spans="1:15" ht="12.95" hidden="1">
      <c r="A1005" s="81">
        <v>44673</v>
      </c>
      <c r="B1005" s="124">
        <v>27336</v>
      </c>
      <c r="C1005" s="227">
        <f>29350.72*3.25945</f>
        <v>95667.204304000014</v>
      </c>
      <c r="D1005" s="227">
        <v>14493.065000000001</v>
      </c>
      <c r="E1005" s="116">
        <f t="shared" si="30"/>
        <v>81174.139304000011</v>
      </c>
      <c r="F1005" s="116">
        <f t="shared" si="31"/>
        <v>2.9694958773778173</v>
      </c>
      <c r="G1005" s="88" t="s">
        <v>19661</v>
      </c>
      <c r="H1005" s="285" t="s">
        <v>18709</v>
      </c>
      <c r="I1005" s="81">
        <v>44658</v>
      </c>
      <c r="J1005" s="116">
        <f>12694.85*35%</f>
        <v>4443.1975000000002</v>
      </c>
      <c r="N1005" s="66" t="s">
        <v>18748</v>
      </c>
      <c r="O1005" s="651">
        <v>0</v>
      </c>
    </row>
    <row r="1006" spans="1:15" ht="12.95" hidden="1">
      <c r="A1006" s="81">
        <v>44673</v>
      </c>
      <c r="B1006" s="124">
        <v>27336</v>
      </c>
      <c r="C1006" s="227">
        <f>29347.84*3.25945</f>
        <v>95657.817088000011</v>
      </c>
      <c r="D1006" s="227">
        <v>14493.065000000001</v>
      </c>
      <c r="E1006" s="116">
        <f t="shared" si="30"/>
        <v>81164.752088000008</v>
      </c>
      <c r="F1006" s="116">
        <f t="shared" si="31"/>
        <v>2.9691524761486687</v>
      </c>
      <c r="G1006" s="88" t="s">
        <v>19661</v>
      </c>
      <c r="H1006" s="285" t="s">
        <v>18710</v>
      </c>
      <c r="I1006" s="81">
        <v>44658</v>
      </c>
      <c r="J1006" s="116">
        <f>12694.85*35%</f>
        <v>4443.1975000000002</v>
      </c>
      <c r="N1006" s="66" t="s">
        <v>18749</v>
      </c>
      <c r="O1006" s="651">
        <v>0</v>
      </c>
    </row>
    <row r="1007" spans="1:15" ht="12.95" hidden="1">
      <c r="A1007" s="81">
        <v>44674</v>
      </c>
      <c r="B1007" s="182">
        <v>140000</v>
      </c>
      <c r="C1007" s="30">
        <v>250600</v>
      </c>
      <c r="D1007" s="116">
        <v>0</v>
      </c>
      <c r="E1007" s="116">
        <f t="shared" si="30"/>
        <v>250600</v>
      </c>
      <c r="F1007" s="116">
        <f t="shared" si="31"/>
        <v>1.79</v>
      </c>
      <c r="G1007" s="88" t="s">
        <v>19652</v>
      </c>
      <c r="H1007" s="285" t="s">
        <v>18713</v>
      </c>
      <c r="I1007" s="86">
        <v>44658</v>
      </c>
      <c r="J1007" s="116">
        <v>0</v>
      </c>
      <c r="N1007" s="66" t="s">
        <v>18750</v>
      </c>
      <c r="O1007" s="651">
        <v>0</v>
      </c>
    </row>
    <row r="1008" spans="1:15" ht="14.45" hidden="1">
      <c r="A1008" s="81">
        <v>44676</v>
      </c>
      <c r="B1008" s="182">
        <v>27336</v>
      </c>
      <c r="C1008" s="30">
        <f>29350.84*3.24855</f>
        <v>95347.671281999996</v>
      </c>
      <c r="D1008" s="228">
        <v>15794.94</v>
      </c>
      <c r="E1008" s="116">
        <f t="shared" si="30"/>
        <v>79552.731281999993</v>
      </c>
      <c r="F1008" s="116">
        <f t="shared" si="31"/>
        <v>2.9101818584284458</v>
      </c>
      <c r="G1008" s="229" t="s">
        <v>19661</v>
      </c>
      <c r="H1008" s="288" t="s">
        <v>18724</v>
      </c>
      <c r="I1008" s="230">
        <v>44669</v>
      </c>
      <c r="J1008" s="119">
        <f>13901.8*35%</f>
        <v>4865.6299999999992</v>
      </c>
      <c r="N1008" s="66" t="s">
        <v>18751</v>
      </c>
      <c r="O1008" s="651">
        <v>0</v>
      </c>
    </row>
    <row r="1009" spans="1:15" ht="14.45" hidden="1">
      <c r="A1009" s="81">
        <v>44676</v>
      </c>
      <c r="B1009" s="182">
        <v>27336</v>
      </c>
      <c r="C1009" s="30">
        <f>29341.84*3.24855</f>
        <v>95318.43433199999</v>
      </c>
      <c r="D1009" s="228">
        <v>15794.94</v>
      </c>
      <c r="E1009" s="116">
        <f t="shared" si="30"/>
        <v>79523.494331999987</v>
      </c>
      <c r="F1009" s="116">
        <f t="shared" si="31"/>
        <v>2.9091123182616325</v>
      </c>
      <c r="G1009" s="229" t="s">
        <v>19661</v>
      </c>
      <c r="H1009" s="288" t="s">
        <v>18725</v>
      </c>
      <c r="I1009" s="230">
        <v>44669</v>
      </c>
      <c r="J1009" s="119">
        <f>13901.8*35%</f>
        <v>4865.6299999999992</v>
      </c>
      <c r="N1009" s="66" t="s">
        <v>18752</v>
      </c>
      <c r="O1009" s="651">
        <v>22525.161</v>
      </c>
    </row>
    <row r="1010" spans="1:15" ht="14.45" hidden="1">
      <c r="A1010" s="81">
        <v>44676</v>
      </c>
      <c r="B1010" s="182">
        <v>27336</v>
      </c>
      <c r="C1010" s="30">
        <f>29335.84*3.24855</f>
        <v>95298.943031999996</v>
      </c>
      <c r="D1010" s="228">
        <v>15766.4</v>
      </c>
      <c r="E1010" s="116">
        <f t="shared" si="30"/>
        <v>79532.543032000001</v>
      </c>
      <c r="F1010" s="116">
        <f t="shared" si="31"/>
        <v>2.9094433359672229</v>
      </c>
      <c r="G1010" s="229" t="s">
        <v>19661</v>
      </c>
      <c r="H1010" s="288" t="s">
        <v>18726</v>
      </c>
      <c r="I1010" s="230">
        <v>44669</v>
      </c>
      <c r="J1010" s="119">
        <f>13901.8*35%</f>
        <v>4865.6299999999992</v>
      </c>
      <c r="N1010" s="66" t="s">
        <v>18753</v>
      </c>
      <c r="O1010" s="651">
        <v>0</v>
      </c>
    </row>
    <row r="1011" spans="1:15" ht="12.95" hidden="1">
      <c r="A1011" s="81">
        <v>44676</v>
      </c>
      <c r="B1011" s="182">
        <v>18924</v>
      </c>
      <c r="C1011" s="83">
        <f>20437.92*3.24855</f>
        <v>66393.605015999987</v>
      </c>
      <c r="D1011" s="116">
        <v>0</v>
      </c>
      <c r="E1011" s="116">
        <f t="shared" si="30"/>
        <v>66393.605015999987</v>
      </c>
      <c r="F1011" s="116">
        <f t="shared" si="31"/>
        <v>3.5084339999999994</v>
      </c>
      <c r="G1011" s="88" t="s">
        <v>19686</v>
      </c>
      <c r="H1011" s="285" t="s">
        <v>18723</v>
      </c>
      <c r="I1011" s="86">
        <v>44669</v>
      </c>
      <c r="J1011" s="116">
        <v>0</v>
      </c>
      <c r="N1011" s="66" t="s">
        <v>18754</v>
      </c>
      <c r="O1011" s="651">
        <v>0</v>
      </c>
    </row>
    <row r="1012" spans="1:15" ht="12.95" hidden="1">
      <c r="A1012" s="81">
        <v>44676</v>
      </c>
      <c r="B1012" s="182">
        <v>40000</v>
      </c>
      <c r="C1012" s="30">
        <v>130600</v>
      </c>
      <c r="D1012" s="116">
        <v>0</v>
      </c>
      <c r="E1012" s="116">
        <f t="shared" si="30"/>
        <v>130600</v>
      </c>
      <c r="F1012" s="116">
        <f t="shared" si="31"/>
        <v>3.2650000000000001</v>
      </c>
      <c r="G1012" s="88" t="s">
        <v>17018</v>
      </c>
      <c r="H1012" s="285" t="s">
        <v>18728</v>
      </c>
      <c r="I1012" s="199">
        <v>44670</v>
      </c>
      <c r="J1012" s="116">
        <v>0</v>
      </c>
      <c r="N1012" s="66" t="s">
        <v>18755</v>
      </c>
      <c r="O1012" s="651">
        <v>189325.75200000001</v>
      </c>
    </row>
    <row r="1013" spans="1:15" ht="12.95" hidden="1">
      <c r="A1013" s="81">
        <v>44677</v>
      </c>
      <c r="B1013" s="182">
        <v>20000</v>
      </c>
      <c r="C1013" s="30">
        <v>60000</v>
      </c>
      <c r="D1013" s="116">
        <v>0</v>
      </c>
      <c r="E1013" s="116">
        <f t="shared" si="30"/>
        <v>60000</v>
      </c>
      <c r="F1013" s="116">
        <f t="shared" si="31"/>
        <v>3</v>
      </c>
      <c r="G1013" s="88" t="s">
        <v>17018</v>
      </c>
      <c r="H1013" s="285" t="s">
        <v>18727</v>
      </c>
      <c r="I1013" s="199">
        <v>44670</v>
      </c>
      <c r="J1013" s="116">
        <v>0</v>
      </c>
      <c r="N1013" s="66" t="s">
        <v>18756</v>
      </c>
      <c r="O1013" s="651"/>
    </row>
    <row r="1014" spans="1:15" ht="12.95" hidden="1">
      <c r="A1014" s="81">
        <v>44677</v>
      </c>
      <c r="B1014" s="182">
        <v>23460</v>
      </c>
      <c r="C1014" s="30">
        <f>25644*3.24855</f>
        <v>83305.816200000001</v>
      </c>
      <c r="D1014" s="116">
        <v>0</v>
      </c>
      <c r="E1014" s="116">
        <f t="shared" ref="E1014:E1077" si="32">(C1014-D1014)</f>
        <v>83305.816200000001</v>
      </c>
      <c r="F1014" s="116">
        <f t="shared" ref="F1014:F1077" si="33">(E1014/B1014)</f>
        <v>3.5509725575447573</v>
      </c>
      <c r="G1014" s="88" t="s">
        <v>19686</v>
      </c>
      <c r="H1014" s="285" t="s">
        <v>18661</v>
      </c>
      <c r="I1014" s="199">
        <v>44602</v>
      </c>
      <c r="J1014" s="116">
        <v>0</v>
      </c>
      <c r="N1014" s="66" t="s">
        <v>18757</v>
      </c>
      <c r="O1014" s="651">
        <v>0</v>
      </c>
    </row>
    <row r="1015" spans="1:15" ht="12.95" hidden="1">
      <c r="A1015" s="81">
        <v>44677</v>
      </c>
      <c r="B1015" s="182">
        <v>26644</v>
      </c>
      <c r="C1015" s="30">
        <f>26585.16*3.24855</f>
        <v>86363.221517999991</v>
      </c>
      <c r="D1015" s="116">
        <v>0</v>
      </c>
      <c r="E1015" s="116">
        <f t="shared" si="32"/>
        <v>86363.221517999991</v>
      </c>
      <c r="F1015" s="116">
        <f t="shared" si="33"/>
        <v>3.241375976505029</v>
      </c>
      <c r="G1015" s="88" t="s">
        <v>19686</v>
      </c>
      <c r="H1015" s="285" t="s">
        <v>18707</v>
      </c>
      <c r="I1015" s="86">
        <v>44658</v>
      </c>
      <c r="J1015" s="116">
        <v>0</v>
      </c>
      <c r="N1015" s="66" t="s">
        <v>18758</v>
      </c>
      <c r="O1015" s="651">
        <v>0</v>
      </c>
    </row>
    <row r="1016" spans="1:15" ht="14.45" hidden="1">
      <c r="A1016" s="81">
        <v>44678</v>
      </c>
      <c r="B1016" s="182">
        <v>323352</v>
      </c>
      <c r="C1016" s="107">
        <f>309441.48*3.0197</f>
        <v>934420.43715599994</v>
      </c>
      <c r="D1016" s="119">
        <v>145592.04</v>
      </c>
      <c r="E1016" s="116">
        <f t="shared" si="32"/>
        <v>788828.3971559999</v>
      </c>
      <c r="F1016" s="116">
        <f t="shared" si="33"/>
        <v>2.439534616009797</v>
      </c>
      <c r="G1016" s="229" t="s">
        <v>19662</v>
      </c>
      <c r="H1016" s="288" t="s">
        <v>18731</v>
      </c>
      <c r="I1016" s="230">
        <v>44670</v>
      </c>
      <c r="J1016" s="119">
        <f>130771.14*35%</f>
        <v>45769.898999999998</v>
      </c>
      <c r="N1016" s="66" t="s">
        <v>18759</v>
      </c>
      <c r="O1016" s="651">
        <v>71889.81</v>
      </c>
    </row>
    <row r="1017" spans="1:15" ht="12.95" hidden="1">
      <c r="A1017" s="81">
        <v>44679</v>
      </c>
      <c r="B1017" s="182">
        <v>176064</v>
      </c>
      <c r="C1017" s="30">
        <v>333421.2</v>
      </c>
      <c r="D1017" s="116">
        <v>0</v>
      </c>
      <c r="E1017" s="116">
        <f t="shared" si="32"/>
        <v>333421.2</v>
      </c>
      <c r="F1017" s="116">
        <f t="shared" si="33"/>
        <v>1.89375</v>
      </c>
      <c r="G1017" s="88" t="s">
        <v>19647</v>
      </c>
      <c r="H1017" s="285" t="s">
        <v>18732</v>
      </c>
      <c r="I1017" s="86">
        <v>44670</v>
      </c>
      <c r="J1017" s="116">
        <v>0</v>
      </c>
      <c r="N1017" s="66" t="s">
        <v>18760</v>
      </c>
      <c r="O1017" s="651">
        <v>189325.75200000001</v>
      </c>
    </row>
    <row r="1018" spans="1:15" ht="12.95" hidden="1">
      <c r="A1018" s="81">
        <v>44679</v>
      </c>
      <c r="B1018" s="182">
        <v>17500</v>
      </c>
      <c r="C1018" s="30">
        <v>57137.5</v>
      </c>
      <c r="D1018" s="116">
        <v>0</v>
      </c>
      <c r="E1018" s="116">
        <f t="shared" si="32"/>
        <v>57137.5</v>
      </c>
      <c r="F1018" s="116">
        <f t="shared" si="33"/>
        <v>3.2650000000000001</v>
      </c>
      <c r="G1018" s="88" t="s">
        <v>17018</v>
      </c>
      <c r="H1018" s="285" t="s">
        <v>18737</v>
      </c>
      <c r="I1018" s="86">
        <v>44674</v>
      </c>
      <c r="J1018" s="116">
        <v>0</v>
      </c>
      <c r="N1018" s="66" t="s">
        <v>18761</v>
      </c>
      <c r="O1018" s="651">
        <v>30086.837</v>
      </c>
    </row>
    <row r="1019" spans="1:15" ht="12.95" hidden="1">
      <c r="A1019" s="81">
        <v>44680</v>
      </c>
      <c r="B1019" s="182">
        <v>39000</v>
      </c>
      <c r="C1019" s="30">
        <v>87930</v>
      </c>
      <c r="D1019" s="116">
        <v>0</v>
      </c>
      <c r="E1019" s="116">
        <f t="shared" si="32"/>
        <v>87930</v>
      </c>
      <c r="F1019" s="116">
        <f t="shared" si="33"/>
        <v>2.2546153846153847</v>
      </c>
      <c r="G1019" s="88" t="s">
        <v>19656</v>
      </c>
      <c r="H1019" s="285" t="s">
        <v>18729</v>
      </c>
      <c r="I1019" s="86">
        <v>44670</v>
      </c>
      <c r="J1019" s="116">
        <v>0</v>
      </c>
      <c r="N1019" s="66" t="s">
        <v>18762</v>
      </c>
      <c r="O1019" s="651">
        <v>0</v>
      </c>
    </row>
    <row r="1020" spans="1:15" ht="12.95" hidden="1">
      <c r="A1020" s="81">
        <v>44680</v>
      </c>
      <c r="B1020" s="182">
        <v>40000</v>
      </c>
      <c r="C1020" s="30">
        <f>45800*3.04385</f>
        <v>139408.32999999999</v>
      </c>
      <c r="D1020" s="119">
        <v>22016.935000000001</v>
      </c>
      <c r="E1020" s="116">
        <f t="shared" si="32"/>
        <v>117391.39499999999</v>
      </c>
      <c r="F1020" s="116">
        <f t="shared" si="33"/>
        <v>2.9347848749999996</v>
      </c>
      <c r="G1020" s="229" t="s">
        <v>19659</v>
      </c>
      <c r="H1020" s="288" t="s">
        <v>18734</v>
      </c>
      <c r="I1020" s="230">
        <v>44671</v>
      </c>
      <c r="J1020" s="119">
        <f>15996.08*20%</f>
        <v>3199.2160000000003</v>
      </c>
      <c r="N1020" s="66" t="s">
        <v>18763</v>
      </c>
      <c r="O1020" s="651">
        <v>0</v>
      </c>
    </row>
    <row r="1021" spans="1:15" ht="12.95" hidden="1">
      <c r="A1021" s="81">
        <v>44680</v>
      </c>
      <c r="B1021" s="182">
        <v>67004</v>
      </c>
      <c r="C1021" s="83">
        <f>64035.64*3.23835</f>
        <v>207369.81479400001</v>
      </c>
      <c r="D1021" s="119">
        <v>34837.184999999998</v>
      </c>
      <c r="E1021" s="116">
        <f t="shared" si="32"/>
        <v>172532.62979400001</v>
      </c>
      <c r="F1021" s="116">
        <f t="shared" si="33"/>
        <v>2.5749601485582954</v>
      </c>
      <c r="G1021" s="229" t="s">
        <v>19651</v>
      </c>
      <c r="H1021" s="288" t="s">
        <v>18730</v>
      </c>
      <c r="I1021" s="231">
        <v>44670</v>
      </c>
      <c r="J1021" s="119">
        <f>30386.355*35%</f>
        <v>10635.224249999999</v>
      </c>
      <c r="N1021" s="66" t="s">
        <v>18764</v>
      </c>
      <c r="O1021" s="651">
        <v>0</v>
      </c>
    </row>
    <row r="1022" spans="1:15" ht="14.45" hidden="1">
      <c r="A1022" s="81">
        <v>44680</v>
      </c>
      <c r="B1022" s="182">
        <v>136560</v>
      </c>
      <c r="C1022" s="107">
        <f>133828.8*3.24855</f>
        <v>434749.54823999992</v>
      </c>
      <c r="D1022" s="119">
        <v>64819.285000000003</v>
      </c>
      <c r="E1022" s="116">
        <f t="shared" si="32"/>
        <v>369930.26323999988</v>
      </c>
      <c r="F1022" s="116">
        <f t="shared" si="33"/>
        <v>2.7089210840656115</v>
      </c>
      <c r="G1022" s="229" t="s">
        <v>19804</v>
      </c>
      <c r="H1022" s="288" t="s">
        <v>18733</v>
      </c>
      <c r="I1022" s="230">
        <v>44670</v>
      </c>
      <c r="J1022" s="119">
        <f>59428.635*35%</f>
        <v>20800.022249999998</v>
      </c>
      <c r="N1022" s="66" t="s">
        <v>18765</v>
      </c>
      <c r="O1022" s="651">
        <v>0</v>
      </c>
    </row>
    <row r="1023" spans="1:15" ht="12.95" hidden="1">
      <c r="A1023" s="81">
        <v>44680</v>
      </c>
      <c r="B1023" s="182">
        <v>518400</v>
      </c>
      <c r="C1023" s="30">
        <f>503884.8*3.04385</f>
        <v>1533749.7484799998</v>
      </c>
      <c r="D1023" s="116">
        <v>0</v>
      </c>
      <c r="E1023" s="116">
        <f t="shared" si="32"/>
        <v>1533749.7484799998</v>
      </c>
      <c r="F1023" s="116">
        <f t="shared" si="33"/>
        <v>2.9586221999999998</v>
      </c>
      <c r="G1023" s="88" t="s">
        <v>19830</v>
      </c>
      <c r="H1023" s="285" t="s">
        <v>18735</v>
      </c>
      <c r="I1023" s="86">
        <v>44674</v>
      </c>
      <c r="J1023" s="116">
        <v>0</v>
      </c>
      <c r="N1023" s="66" t="s">
        <v>18766</v>
      </c>
      <c r="O1023" s="651">
        <v>0</v>
      </c>
    </row>
    <row r="1024" spans="1:15" ht="12.95" hidden="1">
      <c r="A1024" s="81">
        <v>44688</v>
      </c>
      <c r="B1024" s="182">
        <v>21600</v>
      </c>
      <c r="C1024" s="30">
        <f>24516*3.0568</f>
        <v>74940.508799999996</v>
      </c>
      <c r="D1024" s="116">
        <v>1300.8019999999999</v>
      </c>
      <c r="E1024" s="116">
        <f t="shared" si="32"/>
        <v>73639.7068</v>
      </c>
      <c r="F1024" s="116">
        <f t="shared" si="33"/>
        <v>3.4092456851851853</v>
      </c>
      <c r="G1024" s="88" t="s">
        <v>19836</v>
      </c>
      <c r="H1024" s="85" t="s">
        <v>18721</v>
      </c>
      <c r="I1024" s="86">
        <v>44665</v>
      </c>
      <c r="J1024" s="116">
        <v>0</v>
      </c>
      <c r="N1024" s="66" t="s">
        <v>18767</v>
      </c>
      <c r="O1024" s="651">
        <v>0</v>
      </c>
    </row>
    <row r="1025" spans="1:15" ht="12.95" hidden="1">
      <c r="A1025" s="86">
        <v>44690</v>
      </c>
      <c r="B1025" s="124">
        <v>20000</v>
      </c>
      <c r="C1025" s="30">
        <v>65300</v>
      </c>
      <c r="D1025" s="116">
        <v>0</v>
      </c>
      <c r="E1025" s="116">
        <f t="shared" si="32"/>
        <v>65300</v>
      </c>
      <c r="F1025" s="116">
        <f t="shared" si="33"/>
        <v>3.2650000000000001</v>
      </c>
      <c r="G1025" s="88" t="s">
        <v>17018</v>
      </c>
      <c r="H1025" s="85" t="s">
        <v>18716</v>
      </c>
      <c r="I1025" s="86">
        <v>44658</v>
      </c>
      <c r="J1025" s="116">
        <v>0</v>
      </c>
      <c r="N1025" s="66" t="s">
        <v>18768</v>
      </c>
      <c r="O1025" s="651">
        <v>36981.629999999997</v>
      </c>
    </row>
    <row r="1026" spans="1:15" ht="12.95" hidden="1">
      <c r="A1026" s="86">
        <v>44692</v>
      </c>
      <c r="B1026" s="124">
        <v>105120</v>
      </c>
      <c r="C1026" s="30">
        <f>119311.2*3.0703</f>
        <v>366321.17735999997</v>
      </c>
      <c r="D1026" s="116">
        <v>0</v>
      </c>
      <c r="E1026" s="116">
        <f t="shared" si="32"/>
        <v>366321.17735999997</v>
      </c>
      <c r="F1026" s="116">
        <f t="shared" si="33"/>
        <v>3.4847904999999999</v>
      </c>
      <c r="G1026" s="88" t="s">
        <v>19688</v>
      </c>
      <c r="H1026" s="289" t="s">
        <v>18739</v>
      </c>
      <c r="I1026" s="244">
        <v>44686</v>
      </c>
      <c r="J1026" s="116">
        <v>0</v>
      </c>
      <c r="N1026" s="66" t="s">
        <v>18769</v>
      </c>
      <c r="O1026" s="651">
        <v>1612.8430000000001</v>
      </c>
    </row>
    <row r="1027" spans="1:15" ht="12.95" hidden="1">
      <c r="A1027" s="86">
        <v>44693</v>
      </c>
      <c r="B1027" s="124">
        <v>381600</v>
      </c>
      <c r="C1027" s="30">
        <f>371106*3.0603</f>
        <v>1135695.6917999999</v>
      </c>
      <c r="D1027" s="116">
        <v>0</v>
      </c>
      <c r="E1027" s="116">
        <f t="shared" si="32"/>
        <v>1135695.6917999999</v>
      </c>
      <c r="F1027" s="116">
        <f t="shared" si="33"/>
        <v>2.9761417499999996</v>
      </c>
      <c r="G1027" s="88" t="s">
        <v>19830</v>
      </c>
      <c r="H1027" s="289" t="s">
        <v>18736</v>
      </c>
      <c r="I1027" s="245">
        <v>44674</v>
      </c>
      <c r="J1027" s="116">
        <v>0</v>
      </c>
      <c r="N1027" s="66" t="s">
        <v>18770</v>
      </c>
      <c r="O1027" s="651">
        <v>0</v>
      </c>
    </row>
    <row r="1028" spans="1:15" ht="12.95" hidden="1">
      <c r="A1028" s="86">
        <v>44695</v>
      </c>
      <c r="B1028" s="124">
        <v>66024</v>
      </c>
      <c r="C1028" s="30">
        <v>130947.6</v>
      </c>
      <c r="D1028" s="116">
        <v>0</v>
      </c>
      <c r="E1028" s="116">
        <f t="shared" si="32"/>
        <v>130947.6</v>
      </c>
      <c r="F1028" s="116">
        <f t="shared" si="33"/>
        <v>1.9833333333333334</v>
      </c>
      <c r="G1028" s="88" t="s">
        <v>19647</v>
      </c>
      <c r="H1028" s="289" t="s">
        <v>18744</v>
      </c>
      <c r="I1028" s="245">
        <v>44691</v>
      </c>
      <c r="J1028" s="116">
        <v>0</v>
      </c>
      <c r="N1028" s="66" t="s">
        <v>18771</v>
      </c>
      <c r="O1028" s="651">
        <v>0</v>
      </c>
    </row>
    <row r="1029" spans="1:15" ht="12.95" hidden="1">
      <c r="A1029" s="86">
        <v>44698</v>
      </c>
      <c r="B1029" s="124">
        <v>7336</v>
      </c>
      <c r="C1029" s="131">
        <v>26742.799999999999</v>
      </c>
      <c r="D1029" s="116">
        <v>0</v>
      </c>
      <c r="E1029" s="116">
        <f t="shared" si="32"/>
        <v>26742.799999999999</v>
      </c>
      <c r="F1029" s="116">
        <f t="shared" si="33"/>
        <v>3.645419847328244</v>
      </c>
      <c r="G1029" s="88" t="s">
        <v>17318</v>
      </c>
      <c r="H1029" s="289" t="s">
        <v>18701</v>
      </c>
      <c r="I1029" s="245">
        <v>44648</v>
      </c>
      <c r="J1029" s="116">
        <v>0</v>
      </c>
      <c r="N1029" s="66" t="s">
        <v>18772</v>
      </c>
      <c r="O1029" s="651">
        <v>0</v>
      </c>
    </row>
    <row r="1030" spans="1:15" ht="12.95" hidden="1">
      <c r="A1030" s="86">
        <v>44699</v>
      </c>
      <c r="B1030" s="124">
        <v>20480</v>
      </c>
      <c r="C1030" s="131">
        <f>31181.56*3.0824</f>
        <v>96114.040544000003</v>
      </c>
      <c r="D1030" s="116">
        <v>1586.87</v>
      </c>
      <c r="E1030" s="116">
        <f t="shared" si="32"/>
        <v>94527.170544000008</v>
      </c>
      <c r="F1030" s="116">
        <f t="shared" si="33"/>
        <v>4.61558449921875</v>
      </c>
      <c r="G1030" s="88" t="s">
        <v>19653</v>
      </c>
      <c r="H1030" s="289" t="s">
        <v>18738</v>
      </c>
      <c r="I1030" s="246">
        <v>44685</v>
      </c>
      <c r="J1030" s="116">
        <v>0</v>
      </c>
      <c r="N1030" s="66" t="s">
        <v>18773</v>
      </c>
      <c r="O1030" s="651">
        <v>0</v>
      </c>
    </row>
    <row r="1031" spans="1:15" ht="12.95" hidden="1">
      <c r="A1031" s="86">
        <v>44699</v>
      </c>
      <c r="B1031" s="124">
        <v>278400</v>
      </c>
      <c r="C1031" s="131">
        <f>243600*3.21355</f>
        <v>782820.78</v>
      </c>
      <c r="D1031" s="116">
        <v>96887.4</v>
      </c>
      <c r="E1031" s="116">
        <f t="shared" si="32"/>
        <v>685933.38</v>
      </c>
      <c r="F1031" s="116">
        <f t="shared" si="33"/>
        <v>2.4638411637931035</v>
      </c>
      <c r="G1031" s="88" t="s">
        <v>19804</v>
      </c>
      <c r="H1031" s="289" t="s">
        <v>18740</v>
      </c>
      <c r="I1031" s="246">
        <v>44691</v>
      </c>
      <c r="J1031" s="116">
        <f>85632.85*35%</f>
        <v>29971.497500000001</v>
      </c>
      <c r="N1031" s="66" t="s">
        <v>18774</v>
      </c>
      <c r="O1031" s="651">
        <v>21713.936000000002</v>
      </c>
    </row>
    <row r="1032" spans="1:15" ht="12.95" hidden="1">
      <c r="A1032" s="86">
        <v>44699</v>
      </c>
      <c r="B1032" s="124">
        <v>41400</v>
      </c>
      <c r="C1032" s="131">
        <f>47621*3.0824</f>
        <v>146786.97039999999</v>
      </c>
      <c r="D1032" s="116">
        <v>28999.91</v>
      </c>
      <c r="E1032" s="116">
        <f t="shared" si="32"/>
        <v>117787.06039999999</v>
      </c>
      <c r="F1032" s="116">
        <f t="shared" si="33"/>
        <v>2.8450980772946859</v>
      </c>
      <c r="G1032" s="88" t="s">
        <v>19837</v>
      </c>
      <c r="H1032" s="289" t="s">
        <v>18745</v>
      </c>
      <c r="I1032" s="246">
        <v>44693</v>
      </c>
      <c r="J1032" s="116">
        <f>26801.36*35%</f>
        <v>9380.4759999999987</v>
      </c>
      <c r="N1032" s="66" t="s">
        <v>18775</v>
      </c>
      <c r="O1032" s="651">
        <v>0</v>
      </c>
    </row>
    <row r="1033" spans="1:15" ht="12.95" hidden="1">
      <c r="A1033" s="86">
        <v>44700</v>
      </c>
      <c r="B1033" s="124">
        <v>27336</v>
      </c>
      <c r="C1033" s="131">
        <f>29350.72*3.21555</f>
        <v>94378.707695999998</v>
      </c>
      <c r="D1033" s="116">
        <v>15828.64</v>
      </c>
      <c r="E1033" s="116">
        <f t="shared" si="32"/>
        <v>78550.067695999998</v>
      </c>
      <c r="F1033" s="116">
        <f t="shared" si="33"/>
        <v>2.8735026227685103</v>
      </c>
      <c r="G1033" s="88" t="s">
        <v>19661</v>
      </c>
      <c r="H1033" s="289" t="s">
        <v>18741</v>
      </c>
      <c r="I1033" s="246">
        <v>44691</v>
      </c>
      <c r="J1033" s="116">
        <f>13901.8*35%</f>
        <v>4865.6299999999992</v>
      </c>
      <c r="N1033" s="66" t="s">
        <v>18776</v>
      </c>
      <c r="O1033" s="651">
        <v>0</v>
      </c>
    </row>
    <row r="1034" spans="1:15" ht="12.95" hidden="1">
      <c r="A1034" s="86">
        <v>44700</v>
      </c>
      <c r="B1034" s="124">
        <v>27336</v>
      </c>
      <c r="C1034" s="131">
        <f>29350.84*3.21555</f>
        <v>94379.093561999995</v>
      </c>
      <c r="D1034" s="116">
        <v>15828.64</v>
      </c>
      <c r="E1034" s="116">
        <f t="shared" si="32"/>
        <v>78550.453561999995</v>
      </c>
      <c r="F1034" s="116">
        <f t="shared" si="33"/>
        <v>2.8735167384401521</v>
      </c>
      <c r="G1034" s="88" t="s">
        <v>19661</v>
      </c>
      <c r="H1034" s="289" t="s">
        <v>18742</v>
      </c>
      <c r="I1034" s="246">
        <v>44691</v>
      </c>
      <c r="J1034" s="116">
        <f>13901.8*35%</f>
        <v>4865.6299999999992</v>
      </c>
      <c r="N1034" s="66" t="s">
        <v>18777</v>
      </c>
      <c r="O1034" s="651">
        <v>114152.2</v>
      </c>
    </row>
    <row r="1035" spans="1:15" ht="12.95" hidden="1">
      <c r="A1035" s="86">
        <v>44700</v>
      </c>
      <c r="B1035" s="124">
        <v>53400</v>
      </c>
      <c r="C1035" s="131">
        <v>145632</v>
      </c>
      <c r="D1035" s="116">
        <v>0</v>
      </c>
      <c r="E1035" s="116">
        <f t="shared" si="32"/>
        <v>145632</v>
      </c>
      <c r="F1035" s="116">
        <f t="shared" si="33"/>
        <v>2.7271910112359552</v>
      </c>
      <c r="G1035" s="88" t="s">
        <v>19655</v>
      </c>
      <c r="H1035" s="289" t="s">
        <v>18750</v>
      </c>
      <c r="I1035" s="246">
        <v>44695</v>
      </c>
      <c r="J1035" s="116">
        <v>0</v>
      </c>
      <c r="N1035" s="66" t="s">
        <v>18778</v>
      </c>
      <c r="O1035" s="651">
        <v>0</v>
      </c>
    </row>
    <row r="1036" spans="1:15" ht="12.95" hidden="1">
      <c r="A1036" s="86">
        <v>44701</v>
      </c>
      <c r="B1036" s="124">
        <v>44016</v>
      </c>
      <c r="C1036" s="131">
        <v>124125.12</v>
      </c>
      <c r="D1036" s="116">
        <v>0</v>
      </c>
      <c r="E1036" s="116">
        <f t="shared" si="32"/>
        <v>124125.12</v>
      </c>
      <c r="F1036" s="116">
        <f t="shared" si="33"/>
        <v>2.82</v>
      </c>
      <c r="G1036" s="88" t="s">
        <v>19655</v>
      </c>
      <c r="H1036" s="289" t="s">
        <v>18743</v>
      </c>
      <c r="I1036" s="246">
        <v>44691</v>
      </c>
      <c r="J1036" s="116">
        <v>0</v>
      </c>
      <c r="N1036" s="66" t="s">
        <v>18779</v>
      </c>
      <c r="O1036" s="651">
        <v>6189.6850000000004</v>
      </c>
    </row>
    <row r="1037" spans="1:15" ht="12.95" hidden="1">
      <c r="A1037" s="86">
        <v>44701</v>
      </c>
      <c r="B1037" s="124">
        <v>88032</v>
      </c>
      <c r="C1037" s="131">
        <v>171662.4</v>
      </c>
      <c r="D1037" s="116">
        <v>0</v>
      </c>
      <c r="E1037" s="116">
        <f t="shared" si="32"/>
        <v>171662.4</v>
      </c>
      <c r="F1037" s="116">
        <f t="shared" si="33"/>
        <v>1.95</v>
      </c>
      <c r="G1037" s="88" t="s">
        <v>19647</v>
      </c>
      <c r="H1037" s="289" t="s">
        <v>18748</v>
      </c>
      <c r="I1037" s="246">
        <v>44693</v>
      </c>
      <c r="J1037" s="116">
        <v>0</v>
      </c>
      <c r="N1037" s="66" t="s">
        <v>18780</v>
      </c>
      <c r="O1037" s="651">
        <v>0</v>
      </c>
    </row>
    <row r="1038" spans="1:15" ht="12.95" hidden="1">
      <c r="A1038" s="86">
        <v>44701</v>
      </c>
      <c r="B1038" s="124">
        <v>460800</v>
      </c>
      <c r="C1038" s="131">
        <f>412416*3.0824</f>
        <v>1271231.0784</v>
      </c>
      <c r="D1038" s="116">
        <v>0</v>
      </c>
      <c r="E1038" s="116">
        <f t="shared" si="32"/>
        <v>1271231.0784</v>
      </c>
      <c r="F1038" s="116">
        <f t="shared" si="33"/>
        <v>2.7587480000000002</v>
      </c>
      <c r="G1038" s="88" t="s">
        <v>19688</v>
      </c>
      <c r="H1038" s="289" t="s">
        <v>18751</v>
      </c>
      <c r="I1038" s="246">
        <v>44695</v>
      </c>
      <c r="J1038" s="116">
        <v>0</v>
      </c>
      <c r="N1038" s="66" t="s">
        <v>18781</v>
      </c>
      <c r="O1038" s="651">
        <v>18837.629000000001</v>
      </c>
    </row>
    <row r="1039" spans="1:15" ht="14.45" hidden="1">
      <c r="A1039" s="232">
        <v>44704</v>
      </c>
      <c r="B1039" s="233">
        <v>18600</v>
      </c>
      <c r="C1039" s="234">
        <f>18538*3.22615</f>
        <v>59806.368699999999</v>
      </c>
      <c r="D1039" s="119">
        <v>10313.995999999999</v>
      </c>
      <c r="E1039" s="116">
        <f t="shared" si="32"/>
        <v>49492.3727</v>
      </c>
      <c r="F1039" s="116">
        <f t="shared" si="33"/>
        <v>2.6608802526881719</v>
      </c>
      <c r="G1039" s="88" t="s">
        <v>19838</v>
      </c>
      <c r="H1039" s="290" t="s">
        <v>18746</v>
      </c>
      <c r="I1039" s="247">
        <v>44693</v>
      </c>
      <c r="J1039" s="119">
        <f>9176.961*35%</f>
        <v>3211.9363499999995</v>
      </c>
      <c r="N1039" s="66" t="s">
        <v>18783</v>
      </c>
      <c r="O1039" s="651">
        <v>0</v>
      </c>
    </row>
    <row r="1040" spans="1:15" ht="12.95" hidden="1">
      <c r="A1040" s="86">
        <v>44704</v>
      </c>
      <c r="B1040" s="124">
        <v>19200</v>
      </c>
      <c r="C1040" s="131">
        <v>55392</v>
      </c>
      <c r="D1040" s="116">
        <v>0</v>
      </c>
      <c r="E1040" s="116">
        <f t="shared" si="32"/>
        <v>55392</v>
      </c>
      <c r="F1040" s="116">
        <f t="shared" si="33"/>
        <v>2.8849999999999998</v>
      </c>
      <c r="G1040" s="88" t="s">
        <v>19655</v>
      </c>
      <c r="H1040" s="289" t="s">
        <v>18757</v>
      </c>
      <c r="I1040" s="246">
        <v>44700</v>
      </c>
      <c r="J1040" s="116">
        <v>0</v>
      </c>
      <c r="N1040" s="66" t="s">
        <v>18784</v>
      </c>
      <c r="O1040" s="651">
        <v>0</v>
      </c>
    </row>
    <row r="1041" spans="1:15" ht="12.95" hidden="1">
      <c r="A1041" s="86">
        <v>44704</v>
      </c>
      <c r="B1041" s="124">
        <v>20000</v>
      </c>
      <c r="C1041" s="131">
        <v>65300</v>
      </c>
      <c r="D1041" s="116">
        <v>0</v>
      </c>
      <c r="E1041" s="116">
        <f t="shared" si="32"/>
        <v>65300</v>
      </c>
      <c r="F1041" s="116">
        <f t="shared" si="33"/>
        <v>3.2650000000000001</v>
      </c>
      <c r="G1041" s="88" t="s">
        <v>17018</v>
      </c>
      <c r="H1041" s="289" t="s">
        <v>18753</v>
      </c>
      <c r="I1041" s="246">
        <v>44698</v>
      </c>
      <c r="J1041" s="116">
        <v>0</v>
      </c>
      <c r="N1041" s="66" t="s">
        <v>18785</v>
      </c>
      <c r="O1041" s="651">
        <v>21007.85</v>
      </c>
    </row>
    <row r="1042" spans="1:15" ht="14.45" hidden="1">
      <c r="A1042" s="232">
        <v>44705</v>
      </c>
      <c r="B1042" s="233">
        <v>55700</v>
      </c>
      <c r="C1042" s="234">
        <f>61522.5*3.042</f>
        <v>187151.44499999998</v>
      </c>
      <c r="D1042" s="119">
        <v>22525.161</v>
      </c>
      <c r="E1042" s="116">
        <f t="shared" si="32"/>
        <v>164626.28399999999</v>
      </c>
      <c r="F1042" s="116">
        <f t="shared" si="33"/>
        <v>2.955588581687612</v>
      </c>
      <c r="G1042" s="88" t="s">
        <v>19839</v>
      </c>
      <c r="H1042" s="290" t="s">
        <v>18752</v>
      </c>
      <c r="I1042" s="247">
        <v>44697</v>
      </c>
      <c r="J1042" s="119">
        <f>19533.448*35%</f>
        <v>6836.7067999999999</v>
      </c>
      <c r="N1042" s="66" t="s">
        <v>18786</v>
      </c>
      <c r="O1042" s="651">
        <v>63764.195</v>
      </c>
    </row>
    <row r="1043" spans="1:15" ht="12.95" hidden="1">
      <c r="A1043" s="86">
        <v>44705</v>
      </c>
      <c r="B1043" s="124">
        <v>84000</v>
      </c>
      <c r="C1043" s="131">
        <v>295000.99200000003</v>
      </c>
      <c r="D1043" s="197"/>
      <c r="E1043" s="116">
        <f t="shared" si="32"/>
        <v>295000.99200000003</v>
      </c>
      <c r="F1043" s="116">
        <f t="shared" si="33"/>
        <v>3.5119165714285718</v>
      </c>
      <c r="G1043" s="88" t="s">
        <v>19790</v>
      </c>
      <c r="H1043" s="289" t="s">
        <v>18756</v>
      </c>
      <c r="I1043" s="246">
        <v>44699</v>
      </c>
      <c r="J1043" s="197"/>
      <c r="N1043" s="66" t="s">
        <v>18787</v>
      </c>
      <c r="O1043" s="651">
        <v>0</v>
      </c>
    </row>
    <row r="1044" spans="1:15" ht="12.95" hidden="1">
      <c r="A1044" s="86">
        <v>44707</v>
      </c>
      <c r="B1044" s="124">
        <v>188900</v>
      </c>
      <c r="C1044" s="30">
        <v>636040</v>
      </c>
      <c r="D1044" s="116">
        <v>0</v>
      </c>
      <c r="E1044" s="116">
        <f t="shared" si="32"/>
        <v>636040</v>
      </c>
      <c r="F1044" s="116">
        <f t="shared" si="33"/>
        <v>3.3670725251455798</v>
      </c>
      <c r="G1044" s="88" t="s">
        <v>17227</v>
      </c>
      <c r="H1044" s="289" t="s">
        <v>18749</v>
      </c>
      <c r="I1044" s="245">
        <v>44694</v>
      </c>
      <c r="J1044" s="116">
        <v>0</v>
      </c>
      <c r="N1044" s="66" t="s">
        <v>18788</v>
      </c>
      <c r="O1044" s="651">
        <v>0</v>
      </c>
    </row>
    <row r="1045" spans="1:15" ht="12.95" hidden="1">
      <c r="A1045" s="86">
        <v>44711</v>
      </c>
      <c r="B1045" s="124">
        <v>20000</v>
      </c>
      <c r="C1045" s="131">
        <v>65300</v>
      </c>
      <c r="D1045" s="116">
        <v>0</v>
      </c>
      <c r="E1045" s="116">
        <f t="shared" si="32"/>
        <v>65300</v>
      </c>
      <c r="F1045" s="116">
        <f t="shared" si="33"/>
        <v>3.2650000000000001</v>
      </c>
      <c r="G1045" s="88" t="s">
        <v>17018</v>
      </c>
      <c r="H1045" s="289" t="s">
        <v>18758</v>
      </c>
      <c r="I1045" s="246">
        <v>44707</v>
      </c>
      <c r="J1045" s="116">
        <v>0</v>
      </c>
      <c r="N1045" s="66" t="s">
        <v>18789</v>
      </c>
      <c r="O1045" s="651">
        <v>0</v>
      </c>
    </row>
    <row r="1046" spans="1:15" ht="12.95" hidden="1">
      <c r="A1046" s="86">
        <v>44712</v>
      </c>
      <c r="B1046" s="124">
        <v>336000</v>
      </c>
      <c r="C1046" s="30">
        <v>601440</v>
      </c>
      <c r="D1046" s="116">
        <v>0</v>
      </c>
      <c r="E1046" s="116">
        <f t="shared" si="32"/>
        <v>601440</v>
      </c>
      <c r="F1046" s="116">
        <f t="shared" si="33"/>
        <v>1.79</v>
      </c>
      <c r="G1046" s="88" t="s">
        <v>19652</v>
      </c>
      <c r="H1046" s="289" t="s">
        <v>18754</v>
      </c>
      <c r="I1046" s="245">
        <v>44699</v>
      </c>
      <c r="J1046" s="116">
        <v>0</v>
      </c>
      <c r="N1046" s="66" t="s">
        <v>18790</v>
      </c>
      <c r="O1046" s="651">
        <v>102760.266</v>
      </c>
    </row>
    <row r="1047" spans="1:15" ht="12.95" hidden="1">
      <c r="A1047" s="86">
        <v>44712</v>
      </c>
      <c r="B1047" s="124">
        <v>445344</v>
      </c>
      <c r="C1047" s="30">
        <f>506504.56*3.028</f>
        <v>1533695.8076800001</v>
      </c>
      <c r="D1047" s="119">
        <v>189325.75200000001</v>
      </c>
      <c r="E1047" s="116">
        <f t="shared" si="32"/>
        <v>1344370.05568</v>
      </c>
      <c r="F1047" s="116">
        <f t="shared" si="33"/>
        <v>3.0187227304735216</v>
      </c>
      <c r="G1047" s="88" t="s">
        <v>19662</v>
      </c>
      <c r="H1047" s="289" t="s">
        <v>18755</v>
      </c>
      <c r="I1047" s="245">
        <v>44699</v>
      </c>
      <c r="J1047" s="119">
        <f>166994.8*35%</f>
        <v>58448.179999999993</v>
      </c>
      <c r="N1047" s="66" t="s">
        <v>18791</v>
      </c>
      <c r="O1047" s="651">
        <v>21046.858</v>
      </c>
    </row>
    <row r="1048" spans="1:15" ht="12.95" hidden="1">
      <c r="A1048" s="216">
        <v>44713</v>
      </c>
      <c r="B1048" s="201">
        <v>84000</v>
      </c>
      <c r="C1048" s="202">
        <v>150360</v>
      </c>
      <c r="D1048" s="135">
        <v>0</v>
      </c>
      <c r="E1048" s="135">
        <f t="shared" si="32"/>
        <v>150360</v>
      </c>
      <c r="F1048" s="135">
        <f t="shared" si="33"/>
        <v>1.79</v>
      </c>
      <c r="G1048" s="136" t="s">
        <v>19652</v>
      </c>
      <c r="H1048" s="283" t="s">
        <v>18754</v>
      </c>
      <c r="I1048" s="216">
        <v>44699</v>
      </c>
      <c r="J1048" s="135">
        <v>0</v>
      </c>
      <c r="N1048" s="66" t="s">
        <v>18792</v>
      </c>
      <c r="O1048" s="651">
        <v>0</v>
      </c>
    </row>
    <row r="1049" spans="1:15" ht="12.95" hidden="1">
      <c r="A1049" s="86">
        <v>44723</v>
      </c>
      <c r="B1049" s="124">
        <v>44016</v>
      </c>
      <c r="C1049" s="30">
        <v>124125.12</v>
      </c>
      <c r="D1049" s="116">
        <v>0</v>
      </c>
      <c r="E1049" s="116">
        <f t="shared" si="32"/>
        <v>124125.12</v>
      </c>
      <c r="F1049" s="116">
        <f t="shared" si="33"/>
        <v>2.82</v>
      </c>
      <c r="G1049" s="88" t="s">
        <v>19655</v>
      </c>
      <c r="H1049" s="285" t="s">
        <v>18765</v>
      </c>
      <c r="I1049" s="86">
        <v>44718</v>
      </c>
      <c r="J1049" s="116">
        <v>0</v>
      </c>
      <c r="N1049" s="66" t="s">
        <v>18793</v>
      </c>
      <c r="O1049" s="651">
        <v>0</v>
      </c>
    </row>
    <row r="1050" spans="1:15" ht="12.95" hidden="1">
      <c r="A1050" s="86">
        <v>44723</v>
      </c>
      <c r="B1050" s="124">
        <v>44016</v>
      </c>
      <c r="C1050" s="30">
        <v>124125.12</v>
      </c>
      <c r="D1050" s="116">
        <v>0</v>
      </c>
      <c r="E1050" s="116">
        <f t="shared" si="32"/>
        <v>124125.12</v>
      </c>
      <c r="F1050" s="116">
        <f t="shared" si="33"/>
        <v>2.82</v>
      </c>
      <c r="G1050" s="88" t="s">
        <v>19655</v>
      </c>
      <c r="H1050" s="285" t="s">
        <v>18766</v>
      </c>
      <c r="I1050" s="86">
        <v>44718</v>
      </c>
      <c r="J1050" s="116">
        <v>0</v>
      </c>
      <c r="N1050" s="66" t="s">
        <v>18795</v>
      </c>
      <c r="O1050" s="651">
        <v>132439.9</v>
      </c>
    </row>
    <row r="1051" spans="1:15" ht="12.95" hidden="1">
      <c r="A1051" s="86">
        <v>44725</v>
      </c>
      <c r="B1051" s="124">
        <v>61500</v>
      </c>
      <c r="C1051" s="30">
        <v>198337.5</v>
      </c>
      <c r="D1051" s="116">
        <v>0</v>
      </c>
      <c r="E1051" s="116">
        <f t="shared" si="32"/>
        <v>198337.5</v>
      </c>
      <c r="F1051" s="116">
        <f t="shared" si="33"/>
        <v>3.2250000000000001</v>
      </c>
      <c r="G1051" s="88" t="s">
        <v>19679</v>
      </c>
      <c r="H1051" s="285" t="s">
        <v>18771</v>
      </c>
      <c r="I1051" s="86">
        <v>44721</v>
      </c>
      <c r="J1051" s="116">
        <v>0</v>
      </c>
      <c r="N1051" s="66" t="s">
        <v>18796</v>
      </c>
      <c r="O1051" s="651">
        <v>21773.895</v>
      </c>
    </row>
    <row r="1052" spans="1:15" ht="12.95" hidden="1">
      <c r="A1052" s="235">
        <v>44727</v>
      </c>
      <c r="B1052" s="236">
        <v>195686</v>
      </c>
      <c r="C1052" s="237">
        <v>618259.19500800001</v>
      </c>
      <c r="D1052" s="238">
        <v>71889.81</v>
      </c>
      <c r="E1052" s="239">
        <f t="shared" si="32"/>
        <v>546369.38500800007</v>
      </c>
      <c r="F1052" s="239">
        <f t="shared" si="33"/>
        <v>2.7920719162740313</v>
      </c>
      <c r="G1052" s="240" t="s">
        <v>19804</v>
      </c>
      <c r="H1052" s="291" t="s">
        <v>18759</v>
      </c>
      <c r="I1052" s="235">
        <v>44718</v>
      </c>
      <c r="J1052" s="238">
        <f>63120.96*35%</f>
        <v>22092.335999999999</v>
      </c>
      <c r="N1052" s="66" t="s">
        <v>18797</v>
      </c>
      <c r="O1052" s="651">
        <v>68321.490000000005</v>
      </c>
    </row>
    <row r="1053" spans="1:15" ht="12.95" hidden="1">
      <c r="A1053" s="86">
        <v>44727</v>
      </c>
      <c r="B1053" s="124">
        <v>3520</v>
      </c>
      <c r="C1053" s="30">
        <v>17952</v>
      </c>
      <c r="D1053" s="116">
        <v>0</v>
      </c>
      <c r="E1053" s="116">
        <f t="shared" si="32"/>
        <v>17952</v>
      </c>
      <c r="F1053" s="116">
        <f t="shared" si="33"/>
        <v>5.0999999999999996</v>
      </c>
      <c r="G1053" s="88" t="s">
        <v>17018</v>
      </c>
      <c r="H1053" s="285" t="s">
        <v>18764</v>
      </c>
      <c r="I1053" s="86">
        <v>44718</v>
      </c>
      <c r="J1053" s="116">
        <v>0</v>
      </c>
      <c r="N1053" s="66" t="s">
        <v>18798</v>
      </c>
      <c r="O1053" s="651">
        <v>0</v>
      </c>
    </row>
    <row r="1054" spans="1:15" ht="12.95" hidden="1">
      <c r="A1054" s="235">
        <v>44727</v>
      </c>
      <c r="B1054" s="236">
        <v>19900</v>
      </c>
      <c r="C1054" s="237">
        <v>93338.476599999995</v>
      </c>
      <c r="D1054" s="241">
        <v>1612.8430000000001</v>
      </c>
      <c r="E1054" s="239">
        <f t="shared" si="32"/>
        <v>91725.633600000001</v>
      </c>
      <c r="F1054" s="239">
        <f t="shared" si="33"/>
        <v>4.6093283216080403</v>
      </c>
      <c r="G1054" s="240" t="s">
        <v>19653</v>
      </c>
      <c r="H1054" s="291" t="s">
        <v>18769</v>
      </c>
      <c r="I1054" s="248">
        <v>44721</v>
      </c>
      <c r="J1054" s="239">
        <v>0</v>
      </c>
      <c r="N1054" s="66" t="s">
        <v>18799</v>
      </c>
      <c r="O1054" s="651">
        <v>33202.074999999997</v>
      </c>
    </row>
    <row r="1055" spans="1:15" ht="12.95" hidden="1">
      <c r="A1055" s="235">
        <v>44728</v>
      </c>
      <c r="B1055" s="236">
        <v>48000</v>
      </c>
      <c r="C1055" s="237">
        <v>166434.973</v>
      </c>
      <c r="D1055" s="241">
        <v>30086.837</v>
      </c>
      <c r="E1055" s="239">
        <f t="shared" si="32"/>
        <v>136348.136</v>
      </c>
      <c r="F1055" s="239">
        <f t="shared" si="33"/>
        <v>2.8405861666666667</v>
      </c>
      <c r="G1055" s="240" t="s">
        <v>19837</v>
      </c>
      <c r="H1055" s="291" t="s">
        <v>18761</v>
      </c>
      <c r="I1055" s="248">
        <v>44718</v>
      </c>
      <c r="J1055" s="241">
        <f>27882.69*35%</f>
        <v>9758.941499999999</v>
      </c>
      <c r="N1055" s="66" t="s">
        <v>18800</v>
      </c>
      <c r="O1055" s="651">
        <v>60332.544999999998</v>
      </c>
    </row>
    <row r="1056" spans="1:15" ht="12.95" hidden="1">
      <c r="A1056" s="235">
        <v>44729</v>
      </c>
      <c r="B1056" s="236">
        <v>67608</v>
      </c>
      <c r="C1056" s="237">
        <v>218902.45788000003</v>
      </c>
      <c r="D1056" s="238">
        <v>36981.629999999997</v>
      </c>
      <c r="E1056" s="239">
        <f t="shared" si="32"/>
        <v>181920.82788000003</v>
      </c>
      <c r="F1056" s="239">
        <f t="shared" si="33"/>
        <v>2.690818067092652</v>
      </c>
      <c r="G1056" s="240" t="s">
        <v>19651</v>
      </c>
      <c r="H1056" s="291" t="s">
        <v>18768</v>
      </c>
      <c r="I1056" s="235">
        <v>44719</v>
      </c>
      <c r="J1056" s="238">
        <f>32273.3*35%</f>
        <v>11295.654999999999</v>
      </c>
      <c r="N1056" s="66" t="s">
        <v>18801</v>
      </c>
      <c r="O1056" s="651">
        <v>0</v>
      </c>
    </row>
    <row r="1057" spans="1:15" ht="12.95" hidden="1">
      <c r="A1057" s="235">
        <v>44730</v>
      </c>
      <c r="B1057" s="236">
        <v>445344</v>
      </c>
      <c r="C1057" s="237">
        <v>1546510.373048</v>
      </c>
      <c r="D1057" s="241">
        <v>189325.75200000001</v>
      </c>
      <c r="E1057" s="239">
        <f t="shared" si="32"/>
        <v>1357184.6210479999</v>
      </c>
      <c r="F1057" s="239">
        <f t="shared" si="33"/>
        <v>3.0474972628978945</v>
      </c>
      <c r="G1057" s="240" t="s">
        <v>19662</v>
      </c>
      <c r="H1057" s="291" t="s">
        <v>18760</v>
      </c>
      <c r="I1057" s="248">
        <v>44718</v>
      </c>
      <c r="J1057" s="241">
        <f>166994.8*35%</f>
        <v>58448.179999999993</v>
      </c>
      <c r="N1057" s="66" t="s">
        <v>18802</v>
      </c>
      <c r="O1057" s="651">
        <v>0</v>
      </c>
    </row>
    <row r="1058" spans="1:15" ht="14.45" hidden="1">
      <c r="A1058" s="86">
        <v>44732</v>
      </c>
      <c r="B1058" s="124">
        <v>242088</v>
      </c>
      <c r="C1058" s="30">
        <v>593335.68000000005</v>
      </c>
      <c r="D1058" s="116">
        <v>0</v>
      </c>
      <c r="E1058" s="116">
        <f t="shared" si="32"/>
        <v>593335.68000000005</v>
      </c>
      <c r="F1058" s="116">
        <f t="shared" si="33"/>
        <v>2.4509090909090911</v>
      </c>
      <c r="G1058" s="88" t="s">
        <v>19647</v>
      </c>
      <c r="H1058" s="284" t="s">
        <v>18772</v>
      </c>
      <c r="I1058" s="86">
        <v>44722</v>
      </c>
      <c r="J1058" s="116">
        <v>0</v>
      </c>
      <c r="N1058" s="66" t="s">
        <v>18803</v>
      </c>
      <c r="O1058" s="651">
        <v>0</v>
      </c>
    </row>
    <row r="1059" spans="1:15" ht="14.45" hidden="1">
      <c r="A1059" s="86">
        <v>44732</v>
      </c>
      <c r="B1059" s="124">
        <v>53640</v>
      </c>
      <c r="C1059" s="30">
        <v>146094</v>
      </c>
      <c r="D1059" s="116">
        <v>0</v>
      </c>
      <c r="E1059" s="116">
        <f t="shared" si="32"/>
        <v>146094</v>
      </c>
      <c r="F1059" s="116">
        <f t="shared" si="33"/>
        <v>2.7236017897091722</v>
      </c>
      <c r="G1059" s="88" t="s">
        <v>19655</v>
      </c>
      <c r="H1059" s="284" t="s">
        <v>18775</v>
      </c>
      <c r="I1059" s="86">
        <v>44726</v>
      </c>
      <c r="J1059" s="116">
        <v>0</v>
      </c>
      <c r="N1059" s="66" t="s">
        <v>18804</v>
      </c>
      <c r="O1059" s="651">
        <v>1620.645</v>
      </c>
    </row>
    <row r="1060" spans="1:15" ht="14.45" hidden="1">
      <c r="A1060" s="86">
        <v>44732</v>
      </c>
      <c r="B1060" s="124">
        <v>28200</v>
      </c>
      <c r="C1060" s="30">
        <v>77148</v>
      </c>
      <c r="D1060" s="116">
        <v>0</v>
      </c>
      <c r="E1060" s="116">
        <f t="shared" si="32"/>
        <v>77148</v>
      </c>
      <c r="F1060" s="116">
        <f t="shared" si="33"/>
        <v>2.7357446808510639</v>
      </c>
      <c r="G1060" s="88" t="s">
        <v>19655</v>
      </c>
      <c r="H1060" s="284" t="s">
        <v>18776</v>
      </c>
      <c r="I1060" s="86">
        <v>44726</v>
      </c>
      <c r="J1060" s="116">
        <v>0</v>
      </c>
      <c r="N1060" s="66" t="s">
        <v>18805</v>
      </c>
      <c r="O1060" s="651">
        <v>0</v>
      </c>
    </row>
    <row r="1061" spans="1:15" ht="14.45" hidden="1">
      <c r="A1061" s="86">
        <v>44732</v>
      </c>
      <c r="B1061" s="124">
        <v>20000</v>
      </c>
      <c r="C1061" s="30">
        <v>56000</v>
      </c>
      <c r="D1061" s="116">
        <v>0</v>
      </c>
      <c r="E1061" s="116">
        <f t="shared" si="32"/>
        <v>56000</v>
      </c>
      <c r="F1061" s="116">
        <f t="shared" si="33"/>
        <v>2.8</v>
      </c>
      <c r="G1061" s="88" t="s">
        <v>19805</v>
      </c>
      <c r="H1061" s="284" t="s">
        <v>18770</v>
      </c>
      <c r="I1061" s="86">
        <v>44721</v>
      </c>
      <c r="J1061" s="116">
        <v>0</v>
      </c>
      <c r="N1061" s="66" t="s">
        <v>18806</v>
      </c>
      <c r="O1061" s="651">
        <v>31087.599999999999</v>
      </c>
    </row>
    <row r="1062" spans="1:15" ht="14.45" hidden="1">
      <c r="A1062" s="86">
        <v>44732</v>
      </c>
      <c r="B1062" s="124">
        <v>30912</v>
      </c>
      <c r="C1062" s="30">
        <v>97532.491392000011</v>
      </c>
      <c r="D1062" s="116">
        <v>0</v>
      </c>
      <c r="E1062" s="116">
        <f t="shared" si="32"/>
        <v>97532.491392000011</v>
      </c>
      <c r="F1062" s="116">
        <f t="shared" si="33"/>
        <v>3.1551660000000004</v>
      </c>
      <c r="G1062" s="88" t="s">
        <v>19840</v>
      </c>
      <c r="H1062" s="284" t="s">
        <v>18778</v>
      </c>
      <c r="I1062" s="86">
        <v>44729</v>
      </c>
      <c r="J1062" s="116">
        <v>0</v>
      </c>
      <c r="N1062" s="66" t="s">
        <v>18807</v>
      </c>
      <c r="O1062" s="651">
        <v>0</v>
      </c>
    </row>
    <row r="1063" spans="1:15" ht="14.45" hidden="1">
      <c r="A1063" s="86">
        <v>44733</v>
      </c>
      <c r="B1063" s="124">
        <v>499200</v>
      </c>
      <c r="C1063" s="30">
        <v>1549810.5792</v>
      </c>
      <c r="D1063" s="116">
        <v>0</v>
      </c>
      <c r="E1063" s="119">
        <f t="shared" si="32"/>
        <v>1549810.5792</v>
      </c>
      <c r="F1063" s="119">
        <f t="shared" si="33"/>
        <v>3.1045885000000002</v>
      </c>
      <c r="G1063" s="88" t="s">
        <v>19688</v>
      </c>
      <c r="H1063" s="284" t="s">
        <v>18773</v>
      </c>
      <c r="I1063" s="86">
        <v>44725</v>
      </c>
      <c r="J1063" s="116">
        <v>0</v>
      </c>
      <c r="N1063" s="66" t="s">
        <v>18808</v>
      </c>
      <c r="O1063" s="651">
        <v>0</v>
      </c>
    </row>
    <row r="1064" spans="1:15" ht="14.45" hidden="1">
      <c r="A1064" s="235">
        <v>44734</v>
      </c>
      <c r="B1064" s="236">
        <v>300000</v>
      </c>
      <c r="C1064" s="237">
        <v>855817.80900000001</v>
      </c>
      <c r="D1064" s="238">
        <v>114152.2</v>
      </c>
      <c r="E1064" s="239">
        <f t="shared" si="32"/>
        <v>741665.60900000005</v>
      </c>
      <c r="F1064" s="239">
        <f t="shared" si="33"/>
        <v>2.4722186966666668</v>
      </c>
      <c r="G1064" s="240" t="s">
        <v>19804</v>
      </c>
      <c r="H1064" s="292" t="s">
        <v>18777</v>
      </c>
      <c r="I1064" s="235">
        <v>44727</v>
      </c>
      <c r="J1064" s="238">
        <f>101990.35*35%</f>
        <v>35696.622499999998</v>
      </c>
      <c r="N1064" s="66" t="s">
        <v>18809</v>
      </c>
      <c r="O1064" s="651">
        <v>0</v>
      </c>
    </row>
    <row r="1065" spans="1:15" ht="14.45" hidden="1">
      <c r="A1065" s="86">
        <v>44736</v>
      </c>
      <c r="B1065" s="124">
        <v>109800</v>
      </c>
      <c r="C1065" s="30">
        <v>290438</v>
      </c>
      <c r="D1065" s="116">
        <v>0</v>
      </c>
      <c r="E1065" s="116">
        <f t="shared" si="32"/>
        <v>290438</v>
      </c>
      <c r="F1065" s="116">
        <f t="shared" si="33"/>
        <v>2.6451548269581058</v>
      </c>
      <c r="G1065" s="88" t="s">
        <v>19647</v>
      </c>
      <c r="H1065" s="284" t="s">
        <v>18767</v>
      </c>
      <c r="I1065" s="86">
        <v>44719</v>
      </c>
      <c r="J1065" s="116">
        <v>0</v>
      </c>
      <c r="N1065" s="66" t="s">
        <v>18810</v>
      </c>
      <c r="O1065" s="651">
        <v>0</v>
      </c>
    </row>
    <row r="1066" spans="1:15" ht="14.45" hidden="1">
      <c r="A1066" s="86">
        <v>44737</v>
      </c>
      <c r="B1066" s="124">
        <v>280000</v>
      </c>
      <c r="C1066" s="30">
        <v>624400</v>
      </c>
      <c r="D1066" s="116">
        <v>0</v>
      </c>
      <c r="E1066" s="119">
        <f t="shared" si="32"/>
        <v>624400</v>
      </c>
      <c r="F1066" s="119">
        <f t="shared" si="33"/>
        <v>2.23</v>
      </c>
      <c r="G1066" s="88" t="s">
        <v>19652</v>
      </c>
      <c r="H1066" s="284" t="s">
        <v>18762</v>
      </c>
      <c r="I1066" s="86">
        <v>44718</v>
      </c>
      <c r="J1066" s="116">
        <v>0</v>
      </c>
      <c r="N1066" s="66" t="s">
        <v>18811</v>
      </c>
      <c r="O1066" s="651">
        <v>0</v>
      </c>
    </row>
    <row r="1067" spans="1:15" ht="14.45" hidden="1">
      <c r="A1067" s="235">
        <v>44737</v>
      </c>
      <c r="B1067" s="236">
        <v>40000</v>
      </c>
      <c r="C1067" s="237">
        <v>156151.58000000002</v>
      </c>
      <c r="D1067" s="241">
        <v>21713.936000000002</v>
      </c>
      <c r="E1067" s="239">
        <f t="shared" si="32"/>
        <v>134437.64400000003</v>
      </c>
      <c r="F1067" s="239">
        <f t="shared" si="33"/>
        <v>3.3609411000000007</v>
      </c>
      <c r="G1067" s="240" t="s">
        <v>19659</v>
      </c>
      <c r="H1067" s="292" t="s">
        <v>18774</v>
      </c>
      <c r="I1067" s="248">
        <v>44726</v>
      </c>
      <c r="J1067" s="241">
        <f>15996.08*20%</f>
        <v>3199.2160000000003</v>
      </c>
      <c r="N1067" s="66" t="s">
        <v>18812</v>
      </c>
      <c r="O1067" s="651">
        <v>32051.081999999999</v>
      </c>
    </row>
    <row r="1068" spans="1:15" ht="12.95" hidden="1">
      <c r="A1068" s="86">
        <v>44741</v>
      </c>
      <c r="B1068" s="87">
        <v>4400</v>
      </c>
      <c r="C1068" s="30">
        <v>23892</v>
      </c>
      <c r="D1068" s="116">
        <v>0</v>
      </c>
      <c r="E1068" s="116">
        <f t="shared" si="32"/>
        <v>23892</v>
      </c>
      <c r="F1068" s="116">
        <f t="shared" si="33"/>
        <v>5.43</v>
      </c>
      <c r="G1068" s="212" t="s">
        <v>17018</v>
      </c>
      <c r="H1068" s="293" t="s">
        <v>18763</v>
      </c>
      <c r="I1068" s="214">
        <v>44718</v>
      </c>
      <c r="J1068" s="116">
        <v>0</v>
      </c>
      <c r="N1068" s="66" t="s">
        <v>18813</v>
      </c>
      <c r="O1068" s="651">
        <v>0</v>
      </c>
    </row>
    <row r="1069" spans="1:15" ht="12.95" hidden="1">
      <c r="A1069" s="235">
        <v>44742</v>
      </c>
      <c r="B1069" s="242">
        <v>8930</v>
      </c>
      <c r="C1069" s="237">
        <v>39480.550000000003</v>
      </c>
      <c r="D1069" s="241">
        <v>6189.6850000000004</v>
      </c>
      <c r="E1069" s="239">
        <f t="shared" si="32"/>
        <v>33290.865000000005</v>
      </c>
      <c r="F1069" s="239">
        <f t="shared" si="33"/>
        <v>3.7279804031354988</v>
      </c>
      <c r="G1069" s="240" t="s">
        <v>19742</v>
      </c>
      <c r="H1069" s="294" t="s">
        <v>18779</v>
      </c>
      <c r="I1069" s="249">
        <v>44732</v>
      </c>
      <c r="J1069" s="241">
        <f>4893.35*20%</f>
        <v>978.67000000000007</v>
      </c>
      <c r="N1069" s="66" t="s">
        <v>18814</v>
      </c>
      <c r="O1069" s="651">
        <v>0</v>
      </c>
    </row>
    <row r="1070" spans="1:15" ht="12.95" hidden="1">
      <c r="A1070" s="86">
        <v>44746</v>
      </c>
      <c r="B1070" s="124">
        <v>136000</v>
      </c>
      <c r="C1070" s="30">
        <v>350880</v>
      </c>
      <c r="D1070" s="116">
        <v>0</v>
      </c>
      <c r="E1070" s="116">
        <f t="shared" si="32"/>
        <v>350880</v>
      </c>
      <c r="F1070" s="116">
        <f t="shared" si="33"/>
        <v>2.58</v>
      </c>
      <c r="G1070" s="88" t="s">
        <v>19655</v>
      </c>
      <c r="H1070" s="285" t="s">
        <v>18783</v>
      </c>
      <c r="I1070" s="86">
        <v>44740</v>
      </c>
      <c r="J1070" s="116">
        <v>0</v>
      </c>
      <c r="N1070" s="66" t="s">
        <v>18815</v>
      </c>
      <c r="O1070" s="651">
        <v>0</v>
      </c>
    </row>
    <row r="1071" spans="1:15" ht="12.95" hidden="1">
      <c r="A1071" s="86">
        <v>44749</v>
      </c>
      <c r="B1071" s="124">
        <v>19815</v>
      </c>
      <c r="C1071" s="30">
        <f>34902.25*3.0615</f>
        <v>106853.238375</v>
      </c>
      <c r="D1071" s="116">
        <v>18837.629000000001</v>
      </c>
      <c r="E1071" s="116">
        <f t="shared" si="32"/>
        <v>88015.609375</v>
      </c>
      <c r="F1071" s="116">
        <f t="shared" si="33"/>
        <v>4.4418677453949025</v>
      </c>
      <c r="G1071" s="88" t="s">
        <v>19841</v>
      </c>
      <c r="H1071" s="285" t="s">
        <v>18781</v>
      </c>
      <c r="I1071" s="86">
        <v>44737</v>
      </c>
      <c r="J1071" s="116">
        <f>17696.679*35%</f>
        <v>6193.8376499999995</v>
      </c>
      <c r="N1071" s="66" t="s">
        <v>18816</v>
      </c>
      <c r="O1071" s="651">
        <v>0</v>
      </c>
    </row>
    <row r="1072" spans="1:15" ht="12.95" hidden="1">
      <c r="A1072" s="653">
        <v>44749</v>
      </c>
      <c r="B1072" s="654">
        <v>40000</v>
      </c>
      <c r="C1072" s="655">
        <f>50800*3.0955</f>
        <v>157251.4</v>
      </c>
      <c r="D1072" s="198">
        <v>21007.85</v>
      </c>
      <c r="E1072" s="196">
        <f t="shared" si="32"/>
        <v>136243.54999999999</v>
      </c>
      <c r="F1072" s="196">
        <f t="shared" si="33"/>
        <v>3.4060887499999999</v>
      </c>
      <c r="G1072" s="656" t="s">
        <v>19659</v>
      </c>
      <c r="H1072" s="657" t="s">
        <v>18785</v>
      </c>
      <c r="I1072" s="653">
        <v>44746</v>
      </c>
      <c r="J1072" s="198">
        <f>15363.6*20%</f>
        <v>3072.7200000000003</v>
      </c>
      <c r="N1072" s="66" t="s">
        <v>18817</v>
      </c>
      <c r="O1072" s="651">
        <v>0</v>
      </c>
    </row>
    <row r="1073" spans="1:15" ht="12.95" hidden="1">
      <c r="A1073" s="653">
        <v>44756</v>
      </c>
      <c r="B1073" s="654">
        <v>130000</v>
      </c>
      <c r="C1073" s="655">
        <f>134550*3.16085</f>
        <v>425292.36749999999</v>
      </c>
      <c r="D1073" s="198">
        <v>63764.195</v>
      </c>
      <c r="E1073" s="196">
        <f t="shared" si="32"/>
        <v>361528.17249999999</v>
      </c>
      <c r="F1073" s="196">
        <f t="shared" si="33"/>
        <v>2.7809859423076921</v>
      </c>
      <c r="G1073" s="656" t="s">
        <v>19842</v>
      </c>
      <c r="H1073" s="657" t="s">
        <v>18786</v>
      </c>
      <c r="I1073" s="653">
        <v>44746</v>
      </c>
      <c r="J1073" s="198">
        <f>56297.5*35%</f>
        <v>19704.125</v>
      </c>
      <c r="N1073" s="66" t="s">
        <v>18818</v>
      </c>
      <c r="O1073" s="651">
        <v>0</v>
      </c>
    </row>
    <row r="1074" spans="1:15" ht="12.95" hidden="1">
      <c r="A1074" s="86">
        <v>44756</v>
      </c>
      <c r="B1074" s="124">
        <v>280000</v>
      </c>
      <c r="C1074" s="30">
        <v>624400</v>
      </c>
      <c r="D1074" s="116">
        <v>0</v>
      </c>
      <c r="E1074" s="116">
        <f t="shared" si="32"/>
        <v>624400</v>
      </c>
      <c r="F1074" s="116">
        <f t="shared" si="33"/>
        <v>2.23</v>
      </c>
      <c r="G1074" s="88" t="s">
        <v>19652</v>
      </c>
      <c r="H1074" s="285" t="s">
        <v>18784</v>
      </c>
      <c r="I1074" s="86">
        <v>44746</v>
      </c>
      <c r="J1074" s="116">
        <v>0</v>
      </c>
      <c r="N1074" s="66" t="s">
        <v>18819</v>
      </c>
      <c r="O1074" s="651">
        <v>0</v>
      </c>
    </row>
    <row r="1075" spans="1:15" ht="12.95" hidden="1">
      <c r="A1075" s="86">
        <v>44762</v>
      </c>
      <c r="B1075" s="124">
        <v>41000</v>
      </c>
      <c r="C1075" s="30">
        <v>132225</v>
      </c>
      <c r="D1075" s="116">
        <v>0</v>
      </c>
      <c r="E1075" s="116">
        <f t="shared" si="32"/>
        <v>132225</v>
      </c>
      <c r="F1075" s="116">
        <f t="shared" si="33"/>
        <v>3.2250000000000001</v>
      </c>
      <c r="G1075" s="88" t="s">
        <v>19679</v>
      </c>
      <c r="H1075" s="285" t="s">
        <v>18787</v>
      </c>
      <c r="I1075" s="86">
        <v>44754</v>
      </c>
      <c r="J1075" s="116">
        <v>0</v>
      </c>
      <c r="N1075" s="66" t="s">
        <v>18820</v>
      </c>
      <c r="O1075" s="651">
        <v>1571.7650000000001</v>
      </c>
    </row>
    <row r="1076" spans="1:15" ht="12.95" hidden="1">
      <c r="A1076" s="86">
        <v>44762</v>
      </c>
      <c r="B1076" s="124">
        <v>20000</v>
      </c>
      <c r="C1076" s="30">
        <v>64600</v>
      </c>
      <c r="D1076" s="116">
        <v>0</v>
      </c>
      <c r="E1076" s="116">
        <f t="shared" si="32"/>
        <v>64600</v>
      </c>
      <c r="F1076" s="116">
        <f t="shared" si="33"/>
        <v>3.23</v>
      </c>
      <c r="G1076" s="88" t="s">
        <v>17018</v>
      </c>
      <c r="H1076" s="285" t="s">
        <v>18788</v>
      </c>
      <c r="I1076" s="86">
        <v>44754</v>
      </c>
      <c r="J1076" s="116">
        <v>0</v>
      </c>
      <c r="N1076" s="66" t="s">
        <v>18821</v>
      </c>
      <c r="O1076" s="651">
        <v>0</v>
      </c>
    </row>
    <row r="1077" spans="1:15" ht="12.95" hidden="1">
      <c r="A1077" s="86">
        <v>44765</v>
      </c>
      <c r="B1077" s="124">
        <v>154440</v>
      </c>
      <c r="C1077" s="213">
        <v>430584</v>
      </c>
      <c r="D1077" s="116">
        <v>0</v>
      </c>
      <c r="E1077" s="116">
        <f t="shared" si="32"/>
        <v>430584</v>
      </c>
      <c r="F1077" s="116">
        <f t="shared" si="33"/>
        <v>2.7880341880341879</v>
      </c>
      <c r="G1077" s="88" t="s">
        <v>19647</v>
      </c>
      <c r="H1077" s="285" t="s">
        <v>18780</v>
      </c>
      <c r="I1077" s="250">
        <v>44733</v>
      </c>
      <c r="J1077" s="116">
        <v>0</v>
      </c>
      <c r="N1077" s="66" t="s">
        <v>18822</v>
      </c>
      <c r="O1077" s="651">
        <v>0</v>
      </c>
    </row>
    <row r="1078" spans="1:15" ht="12.95" hidden="1">
      <c r="A1078" s="86">
        <v>44768</v>
      </c>
      <c r="B1078" s="124">
        <v>20000</v>
      </c>
      <c r="C1078" s="243">
        <v>64600</v>
      </c>
      <c r="D1078" s="116">
        <v>0</v>
      </c>
      <c r="E1078" s="116">
        <f t="shared" ref="E1078:E1100" si="34">(C1078-D1078)</f>
        <v>64600</v>
      </c>
      <c r="F1078" s="116">
        <f t="shared" ref="F1078:F1100" si="35">(E1078/B1078)</f>
        <v>3.23</v>
      </c>
      <c r="G1078" s="88" t="s">
        <v>17018</v>
      </c>
      <c r="H1078" s="285" t="s">
        <v>18789</v>
      </c>
      <c r="I1078" s="251">
        <v>44754</v>
      </c>
      <c r="J1078" s="116">
        <v>0</v>
      </c>
      <c r="N1078" s="66" t="s">
        <v>18823</v>
      </c>
      <c r="O1078" s="651">
        <v>0</v>
      </c>
    </row>
    <row r="1079" spans="1:15" ht="12.95" hidden="1">
      <c r="A1079" s="86">
        <v>44770</v>
      </c>
      <c r="B1079" s="124">
        <v>78050</v>
      </c>
      <c r="C1079" s="30">
        <f>82738*3.1353</f>
        <v>259408.45139999999</v>
      </c>
      <c r="D1079" s="116">
        <v>21773.895</v>
      </c>
      <c r="E1079" s="116">
        <f t="shared" si="34"/>
        <v>237634.5564</v>
      </c>
      <c r="F1079" s="116">
        <f t="shared" si="35"/>
        <v>3.0446451812940425</v>
      </c>
      <c r="G1079" s="88" t="s">
        <v>19790</v>
      </c>
      <c r="H1079" s="285" t="s">
        <v>18796</v>
      </c>
      <c r="I1079" s="86">
        <v>44761</v>
      </c>
      <c r="J1079" s="116">
        <f>18409.545*35%</f>
        <v>6443.3407499999994</v>
      </c>
      <c r="N1079" s="66" t="s">
        <v>18824</v>
      </c>
      <c r="O1079" s="651">
        <v>1500.3030000000001</v>
      </c>
    </row>
    <row r="1080" spans="1:15" ht="12.95" hidden="1">
      <c r="A1080" s="86">
        <v>44771</v>
      </c>
      <c r="B1080" s="124">
        <v>40000</v>
      </c>
      <c r="C1080" s="30">
        <f>3.14825*50800</f>
        <v>159931.1</v>
      </c>
      <c r="D1080" s="116">
        <v>21046.858</v>
      </c>
      <c r="E1080" s="116">
        <f t="shared" si="34"/>
        <v>138884.242</v>
      </c>
      <c r="F1080" s="116">
        <f t="shared" si="35"/>
        <v>3.4721060499999998</v>
      </c>
      <c r="G1080" s="88" t="s">
        <v>19721</v>
      </c>
      <c r="H1080" s="285" t="s">
        <v>18791</v>
      </c>
      <c r="I1080" s="86">
        <v>44755</v>
      </c>
      <c r="J1080" s="116">
        <f>15424.96*20%</f>
        <v>3084.9920000000002</v>
      </c>
      <c r="N1080" s="66" t="s">
        <v>18825</v>
      </c>
      <c r="O1080" s="651">
        <v>0</v>
      </c>
    </row>
    <row r="1081" spans="1:15" ht="12.95" hidden="1">
      <c r="A1081" s="86">
        <v>44771</v>
      </c>
      <c r="B1081" s="124">
        <v>100003</v>
      </c>
      <c r="C1081" s="30">
        <v>258008.25599999999</v>
      </c>
      <c r="D1081" s="116">
        <v>0</v>
      </c>
      <c r="E1081" s="116">
        <f t="shared" si="34"/>
        <v>258008.25599999999</v>
      </c>
      <c r="F1081" s="116">
        <f t="shared" si="35"/>
        <v>2.5800051598452045</v>
      </c>
      <c r="G1081" s="88" t="s">
        <v>18794</v>
      </c>
      <c r="H1081" s="285" t="s">
        <v>18793</v>
      </c>
      <c r="I1081" s="86">
        <v>44761</v>
      </c>
      <c r="J1081" s="116">
        <v>0</v>
      </c>
      <c r="N1081" s="66" t="s">
        <v>18826</v>
      </c>
      <c r="O1081" s="651">
        <v>0</v>
      </c>
    </row>
    <row r="1082" spans="1:15" ht="12.95" hidden="1">
      <c r="A1082" s="653">
        <v>44771</v>
      </c>
      <c r="B1082" s="654">
        <v>279086</v>
      </c>
      <c r="C1082" s="655">
        <v>841263.49800000002</v>
      </c>
      <c r="D1082" s="658">
        <v>132439.9</v>
      </c>
      <c r="E1082" s="196">
        <f t="shared" si="34"/>
        <v>708823.598</v>
      </c>
      <c r="F1082" s="196">
        <f t="shared" si="35"/>
        <v>2.5398034942634169</v>
      </c>
      <c r="G1082" s="656" t="s">
        <v>19804</v>
      </c>
      <c r="H1082" s="657" t="s">
        <v>18795</v>
      </c>
      <c r="I1082" s="653">
        <v>44761</v>
      </c>
      <c r="J1082" s="658">
        <f>119684.315*35%</f>
        <v>41889.510249999999</v>
      </c>
      <c r="N1082" s="66" t="s">
        <v>18827</v>
      </c>
      <c r="O1082" s="651">
        <v>0</v>
      </c>
    </row>
    <row r="1083" spans="1:15" ht="12.95" hidden="1">
      <c r="A1083" s="298">
        <v>44774</v>
      </c>
      <c r="B1083" s="299">
        <v>83520</v>
      </c>
      <c r="C1083" s="300">
        <f>73080*3.19545</f>
        <v>233523.486</v>
      </c>
      <c r="D1083" s="116">
        <v>33202.074999999997</v>
      </c>
      <c r="E1083" s="116">
        <f t="shared" si="34"/>
        <v>200321.41100000002</v>
      </c>
      <c r="F1083" s="116">
        <f t="shared" si="35"/>
        <v>2.3984843271072798</v>
      </c>
      <c r="G1083" s="119" t="s">
        <v>19804</v>
      </c>
      <c r="H1083" s="301" t="s">
        <v>18799</v>
      </c>
      <c r="I1083" s="302">
        <v>44764</v>
      </c>
      <c r="J1083" s="116">
        <f>29665.575*35%</f>
        <v>10382.95125</v>
      </c>
      <c r="N1083" s="66" t="s">
        <v>18828</v>
      </c>
      <c r="O1083" s="651">
        <v>37201.432000000001</v>
      </c>
    </row>
    <row r="1084" spans="1:15" ht="12.95" hidden="1">
      <c r="A1084" s="298">
        <v>44775</v>
      </c>
      <c r="B1084" s="299">
        <v>56000</v>
      </c>
      <c r="C1084" s="300">
        <v>153552</v>
      </c>
      <c r="D1084" s="116">
        <v>0</v>
      </c>
      <c r="E1084" s="116">
        <f t="shared" si="34"/>
        <v>153552</v>
      </c>
      <c r="F1084" s="116">
        <f t="shared" si="35"/>
        <v>2.742</v>
      </c>
      <c r="G1084" s="303" t="s">
        <v>19655</v>
      </c>
      <c r="H1084" s="304" t="s">
        <v>18792</v>
      </c>
      <c r="I1084" s="302">
        <v>44755</v>
      </c>
      <c r="J1084" s="116">
        <v>0</v>
      </c>
      <c r="N1084" s="66" t="s">
        <v>18829</v>
      </c>
      <c r="O1084" s="651">
        <v>37201.432000000001</v>
      </c>
    </row>
    <row r="1085" spans="1:15" ht="12.95" hidden="1">
      <c r="A1085" s="298">
        <v>44776</v>
      </c>
      <c r="B1085" s="299">
        <v>141400</v>
      </c>
      <c r="C1085" s="300">
        <f>170684*3.124</f>
        <v>533216.81599999999</v>
      </c>
      <c r="D1085" s="116">
        <v>68321.490000000005</v>
      </c>
      <c r="E1085" s="116">
        <f t="shared" si="34"/>
        <v>464895.326</v>
      </c>
      <c r="F1085" s="116">
        <f t="shared" si="35"/>
        <v>3.2878028712871288</v>
      </c>
      <c r="G1085" s="303" t="s">
        <v>19790</v>
      </c>
      <c r="H1085" s="304" t="s">
        <v>18797</v>
      </c>
      <c r="I1085" s="302">
        <v>44761</v>
      </c>
      <c r="J1085" s="116">
        <f>61248.15*35%</f>
        <v>21436.852500000001</v>
      </c>
      <c r="N1085" s="66" t="s">
        <v>18830</v>
      </c>
      <c r="O1085" s="651">
        <v>37201.432000000001</v>
      </c>
    </row>
    <row r="1086" spans="1:15" ht="12.95" hidden="1">
      <c r="A1086" s="298">
        <v>44783</v>
      </c>
      <c r="B1086" s="299">
        <v>140000</v>
      </c>
      <c r="C1086" s="300">
        <v>344400</v>
      </c>
      <c r="D1086" s="116">
        <v>0</v>
      </c>
      <c r="E1086" s="116">
        <f t="shared" si="34"/>
        <v>344400</v>
      </c>
      <c r="F1086" s="116">
        <f t="shared" si="35"/>
        <v>2.46</v>
      </c>
      <c r="G1086" s="119" t="s">
        <v>19656</v>
      </c>
      <c r="H1086" s="301" t="s">
        <v>18801</v>
      </c>
      <c r="I1086" s="302">
        <v>44774</v>
      </c>
      <c r="J1086" s="116">
        <v>0</v>
      </c>
      <c r="N1086" s="66" t="s">
        <v>18831</v>
      </c>
      <c r="O1086" s="651">
        <v>0</v>
      </c>
    </row>
    <row r="1087" spans="1:15" ht="12.95" hidden="1">
      <c r="A1087" s="298">
        <v>44785</v>
      </c>
      <c r="B1087" s="299">
        <v>280000</v>
      </c>
      <c r="C1087" s="300">
        <v>624400</v>
      </c>
      <c r="D1087" s="116">
        <v>0</v>
      </c>
      <c r="E1087" s="116">
        <f t="shared" si="34"/>
        <v>624400</v>
      </c>
      <c r="F1087" s="116">
        <f t="shared" si="35"/>
        <v>2.23</v>
      </c>
      <c r="G1087" s="303" t="s">
        <v>19652</v>
      </c>
      <c r="H1087" s="304" t="s">
        <v>18798</v>
      </c>
      <c r="I1087" s="302">
        <v>44763</v>
      </c>
      <c r="J1087" s="116">
        <v>0</v>
      </c>
      <c r="N1087" s="66" t="s">
        <v>18832</v>
      </c>
      <c r="O1087" s="651">
        <v>0</v>
      </c>
    </row>
    <row r="1088" spans="1:15" ht="12.95" hidden="1">
      <c r="A1088" s="298">
        <v>44788</v>
      </c>
      <c r="B1088" s="299">
        <v>195686</v>
      </c>
      <c r="C1088" s="300">
        <f>189815.81*3.19535</f>
        <v>606527.94848349993</v>
      </c>
      <c r="D1088" s="116">
        <v>102760.266</v>
      </c>
      <c r="E1088" s="116">
        <f t="shared" si="34"/>
        <v>503767.68248349993</v>
      </c>
      <c r="F1088" s="116">
        <f t="shared" si="35"/>
        <v>2.5743675198200173</v>
      </c>
      <c r="G1088" s="119" t="s">
        <v>19804</v>
      </c>
      <c r="H1088" s="304" t="s">
        <v>18790</v>
      </c>
      <c r="I1088" s="302">
        <v>44755</v>
      </c>
      <c r="J1088" s="116">
        <f>93439.416*35%</f>
        <v>32703.795599999998</v>
      </c>
      <c r="N1088" s="66" t="s">
        <v>18834</v>
      </c>
      <c r="O1088" s="651">
        <v>0</v>
      </c>
    </row>
    <row r="1089" spans="1:15" ht="12.95" hidden="1">
      <c r="A1089" s="298">
        <v>44788</v>
      </c>
      <c r="B1089" s="300">
        <v>50962.879999999997</v>
      </c>
      <c r="C1089" s="300">
        <f>83103.68*2.44895</f>
        <v>203516.75713599997</v>
      </c>
      <c r="D1089" s="116">
        <v>60332.544999999998</v>
      </c>
      <c r="E1089" s="116">
        <f t="shared" si="34"/>
        <v>143184.21213599999</v>
      </c>
      <c r="F1089" s="116">
        <f t="shared" si="35"/>
        <v>2.8095785037266339</v>
      </c>
      <c r="G1089" s="119" t="s">
        <v>17305</v>
      </c>
      <c r="H1089" s="301" t="s">
        <v>18800</v>
      </c>
      <c r="I1089" s="302">
        <v>44770</v>
      </c>
      <c r="J1089" s="116">
        <f>57084.6*20%</f>
        <v>11416.92</v>
      </c>
      <c r="N1089" s="66" t="s">
        <v>18836</v>
      </c>
      <c r="O1089" s="651">
        <v>46203</v>
      </c>
    </row>
    <row r="1090" spans="1:15" ht="12.95" hidden="1">
      <c r="A1090" s="298">
        <v>44788</v>
      </c>
      <c r="B1090" s="299">
        <v>20000</v>
      </c>
      <c r="C1090" s="300">
        <v>64600</v>
      </c>
      <c r="D1090" s="116">
        <v>0</v>
      </c>
      <c r="E1090" s="116">
        <f t="shared" si="34"/>
        <v>64600</v>
      </c>
      <c r="F1090" s="116">
        <f t="shared" si="35"/>
        <v>3.23</v>
      </c>
      <c r="G1090" s="119" t="s">
        <v>17018</v>
      </c>
      <c r="H1090" s="301" t="s">
        <v>18803</v>
      </c>
      <c r="I1090" s="302">
        <v>44782</v>
      </c>
      <c r="J1090" s="116">
        <v>0</v>
      </c>
      <c r="N1090" s="66" t="s">
        <v>18837</v>
      </c>
      <c r="O1090" s="651">
        <v>0</v>
      </c>
    </row>
    <row r="1091" spans="1:15" ht="12.95" hidden="1">
      <c r="A1091" s="298">
        <v>44790</v>
      </c>
      <c r="B1091" s="299">
        <v>19200</v>
      </c>
      <c r="C1091" s="300">
        <v>55392</v>
      </c>
      <c r="D1091" s="116">
        <v>0</v>
      </c>
      <c r="E1091" s="116">
        <f t="shared" si="34"/>
        <v>55392</v>
      </c>
      <c r="F1091" s="116">
        <f t="shared" si="35"/>
        <v>2.8849999999999998</v>
      </c>
      <c r="G1091" s="303" t="s">
        <v>19655</v>
      </c>
      <c r="H1091" s="304" t="s">
        <v>18802</v>
      </c>
      <c r="I1091" s="302">
        <v>44778</v>
      </c>
      <c r="J1091" s="116">
        <v>0</v>
      </c>
      <c r="N1091" s="66" t="s">
        <v>18838</v>
      </c>
      <c r="O1091" s="651">
        <v>0</v>
      </c>
    </row>
    <row r="1092" spans="1:15" ht="12.95" hidden="1">
      <c r="A1092" s="298">
        <v>44795</v>
      </c>
      <c r="B1092" s="299">
        <v>20800</v>
      </c>
      <c r="C1092" s="300">
        <f>33305.6*3.17155</f>
        <v>105630.37568</v>
      </c>
      <c r="D1092" s="116">
        <v>1620.645</v>
      </c>
      <c r="E1092" s="116">
        <f t="shared" si="34"/>
        <v>104009.73067999999</v>
      </c>
      <c r="F1092" s="116">
        <f t="shared" si="35"/>
        <v>5.0004678211538458</v>
      </c>
      <c r="G1092" s="119" t="s">
        <v>19653</v>
      </c>
      <c r="H1092" s="301" t="s">
        <v>18804</v>
      </c>
      <c r="I1092" s="302">
        <v>44782</v>
      </c>
      <c r="J1092" s="116">
        <v>0</v>
      </c>
      <c r="N1092" s="66" t="s">
        <v>18839</v>
      </c>
      <c r="O1092" s="651">
        <v>0</v>
      </c>
    </row>
    <row r="1093" spans="1:15" ht="12.95" hidden="1">
      <c r="A1093" s="298">
        <v>44795</v>
      </c>
      <c r="B1093" s="299">
        <v>20000</v>
      </c>
      <c r="C1093" s="300">
        <v>64600</v>
      </c>
      <c r="D1093" s="116">
        <v>0</v>
      </c>
      <c r="E1093" s="116">
        <f t="shared" si="34"/>
        <v>64600</v>
      </c>
      <c r="F1093" s="116">
        <f t="shared" si="35"/>
        <v>3.23</v>
      </c>
      <c r="G1093" s="119" t="s">
        <v>17018</v>
      </c>
      <c r="H1093" s="301" t="s">
        <v>18807</v>
      </c>
      <c r="I1093" s="302">
        <v>44792</v>
      </c>
      <c r="J1093" s="116">
        <v>0</v>
      </c>
      <c r="N1093" s="66" t="s">
        <v>18840</v>
      </c>
      <c r="O1093" s="651">
        <v>0</v>
      </c>
    </row>
    <row r="1094" spans="1:15" ht="12.95" hidden="1">
      <c r="A1094" s="298">
        <v>44797</v>
      </c>
      <c r="B1094" s="299">
        <v>66024</v>
      </c>
      <c r="C1094" s="300">
        <v>186187.68</v>
      </c>
      <c r="D1094" s="116">
        <v>0</v>
      </c>
      <c r="E1094" s="116">
        <f t="shared" si="34"/>
        <v>186187.68</v>
      </c>
      <c r="F1094" s="116">
        <f t="shared" si="35"/>
        <v>2.82</v>
      </c>
      <c r="G1094" s="119" t="s">
        <v>19655</v>
      </c>
      <c r="H1094" s="301" t="s">
        <v>18805</v>
      </c>
      <c r="I1094" s="302">
        <v>44784</v>
      </c>
      <c r="J1094" s="116">
        <v>0</v>
      </c>
      <c r="N1094" s="66" t="s">
        <v>18841</v>
      </c>
      <c r="O1094" s="651">
        <v>1550.3030000000001</v>
      </c>
    </row>
    <row r="1095" spans="1:15" ht="12.95" hidden="1">
      <c r="A1095" s="298">
        <v>44799</v>
      </c>
      <c r="B1095" s="300">
        <v>26236.48</v>
      </c>
      <c r="C1095" s="300">
        <f>46038.6*2.4651</f>
        <v>113489.75285999999</v>
      </c>
      <c r="D1095" s="116">
        <v>31087.599999999999</v>
      </c>
      <c r="E1095" s="116">
        <f t="shared" si="34"/>
        <v>82402.152860000002</v>
      </c>
      <c r="F1095" s="116">
        <f t="shared" si="35"/>
        <v>3.1407472671638881</v>
      </c>
      <c r="G1095" s="119" t="s">
        <v>17305</v>
      </c>
      <c r="H1095" s="301" t="s">
        <v>18806</v>
      </c>
      <c r="I1095" s="302">
        <v>44791</v>
      </c>
      <c r="J1095" s="116">
        <f>29209.6*20%</f>
        <v>5841.92</v>
      </c>
      <c r="N1095" s="66" t="s">
        <v>18842</v>
      </c>
      <c r="O1095" s="651">
        <v>6636.08</v>
      </c>
    </row>
    <row r="1096" spans="1:15" ht="12.95" hidden="1">
      <c r="A1096" s="298">
        <v>44800</v>
      </c>
      <c r="B1096" s="299">
        <v>40536</v>
      </c>
      <c r="C1096" s="300">
        <f>52036.24*3.19125</f>
        <v>166060.65090000001</v>
      </c>
      <c r="D1096" s="116">
        <v>32051.081999999999</v>
      </c>
      <c r="E1096" s="116">
        <f t="shared" si="34"/>
        <v>134009.56890000001</v>
      </c>
      <c r="F1096" s="116">
        <f t="shared" si="35"/>
        <v>3.3059396314387213</v>
      </c>
      <c r="G1096" s="119" t="s">
        <v>19839</v>
      </c>
      <c r="H1096" s="301" t="s">
        <v>18812</v>
      </c>
      <c r="I1096" s="302">
        <v>44796</v>
      </c>
      <c r="J1096" s="116">
        <f>29853.187*35%</f>
        <v>10448.615449999999</v>
      </c>
      <c r="N1096" s="66" t="s">
        <v>18843</v>
      </c>
      <c r="O1096" s="651">
        <v>0</v>
      </c>
    </row>
    <row r="1097" spans="1:15" ht="12.95" hidden="1">
      <c r="A1097" s="298">
        <v>44802</v>
      </c>
      <c r="B1097" s="299">
        <v>140000</v>
      </c>
      <c r="C1097" s="300">
        <v>344400</v>
      </c>
      <c r="D1097" s="116">
        <v>0</v>
      </c>
      <c r="E1097" s="116">
        <f t="shared" si="34"/>
        <v>344400</v>
      </c>
      <c r="F1097" s="116">
        <f t="shared" si="35"/>
        <v>2.46</v>
      </c>
      <c r="G1097" s="119" t="s">
        <v>19656</v>
      </c>
      <c r="H1097" s="301" t="s">
        <v>18813</v>
      </c>
      <c r="I1097" s="302">
        <v>44796</v>
      </c>
      <c r="J1097" s="116">
        <v>0</v>
      </c>
      <c r="N1097" s="66" t="s">
        <v>18844</v>
      </c>
      <c r="O1097" s="651">
        <v>0</v>
      </c>
    </row>
    <row r="1098" spans="1:15" ht="12.95" hidden="1">
      <c r="A1098" s="298">
        <v>44803</v>
      </c>
      <c r="B1098" s="299">
        <v>27000</v>
      </c>
      <c r="C1098" s="300">
        <f>40185*3.19815</f>
        <v>128517.65775</v>
      </c>
      <c r="D1098" s="116">
        <v>0</v>
      </c>
      <c r="E1098" s="116">
        <f t="shared" si="34"/>
        <v>128517.65775</v>
      </c>
      <c r="F1098" s="116">
        <f t="shared" si="35"/>
        <v>4.7599132500000003</v>
      </c>
      <c r="G1098" s="119" t="s">
        <v>19688</v>
      </c>
      <c r="H1098" s="301" t="s">
        <v>18816</v>
      </c>
      <c r="I1098" s="302">
        <v>44796</v>
      </c>
      <c r="J1098" s="116">
        <v>0</v>
      </c>
      <c r="N1098" s="66" t="s">
        <v>18845</v>
      </c>
      <c r="O1098" s="651">
        <v>0</v>
      </c>
    </row>
    <row r="1099" spans="1:15" ht="12.95" hidden="1">
      <c r="A1099" s="298">
        <v>44803</v>
      </c>
      <c r="B1099" s="299">
        <v>41000</v>
      </c>
      <c r="C1099" s="300">
        <v>91430</v>
      </c>
      <c r="D1099" s="116">
        <v>0</v>
      </c>
      <c r="E1099" s="116">
        <f t="shared" si="34"/>
        <v>91430</v>
      </c>
      <c r="F1099" s="116">
        <f t="shared" si="35"/>
        <v>2.23</v>
      </c>
      <c r="G1099" s="119" t="s">
        <v>17018</v>
      </c>
      <c r="H1099" s="301" t="s">
        <v>18808</v>
      </c>
      <c r="I1099" s="302">
        <v>44792</v>
      </c>
      <c r="J1099" s="116">
        <v>0</v>
      </c>
      <c r="N1099" s="66" t="s">
        <v>18846</v>
      </c>
      <c r="O1099" s="651">
        <v>0</v>
      </c>
    </row>
    <row r="1100" spans="1:15" ht="12.95" hidden="1">
      <c r="A1100" s="298">
        <v>44804</v>
      </c>
      <c r="B1100" s="299">
        <v>53640</v>
      </c>
      <c r="C1100" s="300">
        <v>146094</v>
      </c>
      <c r="D1100" s="116">
        <v>0</v>
      </c>
      <c r="E1100" s="116">
        <f t="shared" si="34"/>
        <v>146094</v>
      </c>
      <c r="F1100" s="116">
        <f t="shared" si="35"/>
        <v>2.7236017897091722</v>
      </c>
      <c r="G1100" s="119" t="s">
        <v>19655</v>
      </c>
      <c r="H1100" s="301" t="s">
        <v>18810</v>
      </c>
      <c r="I1100" s="302">
        <v>44795</v>
      </c>
      <c r="J1100" s="116">
        <v>0</v>
      </c>
      <c r="N1100" s="66" t="s">
        <v>18847</v>
      </c>
      <c r="O1100" s="651">
        <v>0</v>
      </c>
    </row>
    <row r="1101" spans="1:15" ht="14.45" hidden="1">
      <c r="A1101" s="305">
        <v>44809</v>
      </c>
      <c r="B1101" s="306">
        <v>82040</v>
      </c>
      <c r="C1101" s="307">
        <v>213353.8</v>
      </c>
      <c r="D1101" s="308">
        <v>0</v>
      </c>
      <c r="E1101" s="308">
        <v>213353.8</v>
      </c>
      <c r="F1101" s="308">
        <v>2.6006070209653824</v>
      </c>
      <c r="G1101" s="309" t="s">
        <v>19647</v>
      </c>
      <c r="H1101" s="310" t="s">
        <v>18809</v>
      </c>
      <c r="I1101" s="311">
        <v>44792</v>
      </c>
      <c r="J1101" s="308">
        <v>0</v>
      </c>
      <c r="N1101" s="66" t="s">
        <v>18848</v>
      </c>
      <c r="O1101" s="651">
        <v>0</v>
      </c>
    </row>
    <row r="1102" spans="1:15" ht="14.45" hidden="1">
      <c r="A1102" s="305">
        <v>44816</v>
      </c>
      <c r="B1102" s="306">
        <v>54840</v>
      </c>
      <c r="C1102" s="307">
        <v>149742</v>
      </c>
      <c r="D1102" s="308">
        <v>0</v>
      </c>
      <c r="E1102" s="308">
        <v>149742</v>
      </c>
      <c r="F1102" s="308">
        <v>2.7305251641137858</v>
      </c>
      <c r="G1102" s="309" t="s">
        <v>19655</v>
      </c>
      <c r="H1102" s="310" t="s">
        <v>18818</v>
      </c>
      <c r="I1102" s="311">
        <v>44809</v>
      </c>
      <c r="J1102" s="308">
        <v>0</v>
      </c>
      <c r="N1102" s="66" t="s">
        <v>18849</v>
      </c>
      <c r="O1102" s="651">
        <v>1550.3030000000001</v>
      </c>
    </row>
    <row r="1103" spans="1:15" ht="14.45" hidden="1">
      <c r="A1103" s="305">
        <v>44816</v>
      </c>
      <c r="B1103" s="306">
        <v>12000</v>
      </c>
      <c r="C1103" s="307">
        <v>39000</v>
      </c>
      <c r="D1103" s="308">
        <v>0</v>
      </c>
      <c r="E1103" s="308">
        <v>39000</v>
      </c>
      <c r="F1103" s="308">
        <v>3.25</v>
      </c>
      <c r="G1103" s="309" t="s">
        <v>19687</v>
      </c>
      <c r="H1103" s="310" t="s">
        <v>18811</v>
      </c>
      <c r="I1103" s="311">
        <v>44796</v>
      </c>
      <c r="J1103" s="308">
        <v>0</v>
      </c>
      <c r="N1103" s="66" t="s">
        <v>18850</v>
      </c>
      <c r="O1103" s="651">
        <v>0</v>
      </c>
    </row>
    <row r="1104" spans="1:15" ht="14.45" hidden="1">
      <c r="A1104" s="305">
        <v>44818</v>
      </c>
      <c r="B1104" s="306">
        <v>20000</v>
      </c>
      <c r="C1104" s="307">
        <v>64600</v>
      </c>
      <c r="D1104" s="308">
        <v>0</v>
      </c>
      <c r="E1104" s="308">
        <v>64600</v>
      </c>
      <c r="F1104" s="308">
        <v>3.23</v>
      </c>
      <c r="G1104" s="309" t="s">
        <v>17018</v>
      </c>
      <c r="H1104" s="310" t="s">
        <v>18819</v>
      </c>
      <c r="I1104" s="311">
        <v>44812</v>
      </c>
      <c r="J1104" s="308">
        <v>0</v>
      </c>
      <c r="N1104" s="66" t="s">
        <v>18851</v>
      </c>
      <c r="O1104" s="651">
        <v>0</v>
      </c>
    </row>
    <row r="1105" spans="1:15" ht="14.45" hidden="1">
      <c r="A1105" s="305">
        <v>44823</v>
      </c>
      <c r="B1105" s="306">
        <v>20500</v>
      </c>
      <c r="C1105" s="307">
        <v>71773.257249999995</v>
      </c>
      <c r="D1105" s="308">
        <v>1571.7650000000001</v>
      </c>
      <c r="E1105" s="308">
        <v>70201.492249999996</v>
      </c>
      <c r="F1105" s="308">
        <v>3.4244630365853657</v>
      </c>
      <c r="G1105" s="309" t="s">
        <v>19659</v>
      </c>
      <c r="H1105" s="310" t="s">
        <v>18820</v>
      </c>
      <c r="I1105" s="311">
        <v>44816</v>
      </c>
      <c r="J1105" s="308">
        <v>0</v>
      </c>
      <c r="N1105" s="66" t="s">
        <v>18852</v>
      </c>
      <c r="O1105" s="651">
        <v>0</v>
      </c>
    </row>
    <row r="1106" spans="1:15" ht="14.45" hidden="1">
      <c r="A1106" s="305">
        <v>44823</v>
      </c>
      <c r="B1106" s="306">
        <v>61500</v>
      </c>
      <c r="C1106" s="307">
        <v>195365</v>
      </c>
      <c r="D1106" s="308">
        <v>0</v>
      </c>
      <c r="E1106" s="308">
        <v>195365</v>
      </c>
      <c r="F1106" s="308">
        <v>3.1766666666666667</v>
      </c>
      <c r="G1106" s="309" t="s">
        <v>17018</v>
      </c>
      <c r="H1106" s="310" t="s">
        <v>18817</v>
      </c>
      <c r="I1106" s="311">
        <v>44805</v>
      </c>
      <c r="J1106" s="308">
        <v>0</v>
      </c>
      <c r="N1106" s="66" t="s">
        <v>18853</v>
      </c>
      <c r="O1106" s="651">
        <v>0</v>
      </c>
    </row>
    <row r="1107" spans="1:15" ht="14.45" hidden="1">
      <c r="A1107" s="305">
        <v>44824</v>
      </c>
      <c r="B1107" s="306">
        <v>57600</v>
      </c>
      <c r="C1107" s="307">
        <v>161280</v>
      </c>
      <c r="D1107" s="308">
        <v>0</v>
      </c>
      <c r="E1107" s="308">
        <v>161280</v>
      </c>
      <c r="F1107" s="308">
        <v>2.8</v>
      </c>
      <c r="G1107" s="312" t="s">
        <v>19647</v>
      </c>
      <c r="H1107" s="313" t="s">
        <v>18822</v>
      </c>
      <c r="I1107" s="311">
        <v>44816</v>
      </c>
      <c r="J1107" s="308">
        <v>0</v>
      </c>
      <c r="N1107" s="66" t="s">
        <v>18854</v>
      </c>
      <c r="O1107" s="651">
        <v>0</v>
      </c>
    </row>
    <row r="1108" spans="1:15" ht="14.45" hidden="1">
      <c r="A1108" s="305">
        <v>44827</v>
      </c>
      <c r="B1108" s="306">
        <v>352128</v>
      </c>
      <c r="C1108" s="307">
        <v>879219.6</v>
      </c>
      <c r="D1108" s="308">
        <v>0</v>
      </c>
      <c r="E1108" s="308">
        <v>879219.6</v>
      </c>
      <c r="F1108" s="308">
        <v>2.4968749999999997</v>
      </c>
      <c r="G1108" s="309" t="s">
        <v>19647</v>
      </c>
      <c r="H1108" s="310" t="s">
        <v>18821</v>
      </c>
      <c r="I1108" s="311">
        <v>44816</v>
      </c>
      <c r="J1108" s="308">
        <v>0</v>
      </c>
      <c r="N1108" s="66" t="s">
        <v>18855</v>
      </c>
      <c r="O1108" s="651">
        <v>0</v>
      </c>
    </row>
    <row r="1109" spans="1:15" ht="14.45" hidden="1">
      <c r="A1109" s="305">
        <v>44827</v>
      </c>
      <c r="B1109" s="306">
        <v>20500</v>
      </c>
      <c r="C1109" s="307">
        <v>65069.321624999997</v>
      </c>
      <c r="D1109" s="308">
        <v>1500.3030000000001</v>
      </c>
      <c r="E1109" s="308">
        <v>63569.018624999997</v>
      </c>
      <c r="F1109" s="308">
        <v>3.1009277378048781</v>
      </c>
      <c r="G1109" s="309" t="s">
        <v>19659</v>
      </c>
      <c r="H1109" s="310" t="s">
        <v>18824</v>
      </c>
      <c r="I1109" s="311">
        <v>44816</v>
      </c>
      <c r="J1109" s="308">
        <v>0</v>
      </c>
      <c r="N1109" s="66" t="s">
        <v>18856</v>
      </c>
      <c r="O1109" s="651">
        <v>108842.144</v>
      </c>
    </row>
    <row r="1110" spans="1:15" ht="14.45" hidden="1">
      <c r="A1110" s="305">
        <v>44832</v>
      </c>
      <c r="B1110" s="306">
        <v>20000</v>
      </c>
      <c r="C1110" s="307">
        <v>64600</v>
      </c>
      <c r="D1110" s="308">
        <v>0</v>
      </c>
      <c r="E1110" s="308">
        <v>64600</v>
      </c>
      <c r="F1110" s="308">
        <v>3.23</v>
      </c>
      <c r="G1110" s="309" t="s">
        <v>17018</v>
      </c>
      <c r="H1110" s="310" t="s">
        <v>18825</v>
      </c>
      <c r="I1110" s="311">
        <v>44826</v>
      </c>
      <c r="J1110" s="308">
        <v>0</v>
      </c>
      <c r="N1110" s="66" t="s">
        <v>18857</v>
      </c>
      <c r="O1110" s="651">
        <v>0</v>
      </c>
    </row>
    <row r="1111" spans="1:15" ht="14.45" hidden="1">
      <c r="A1111" s="305">
        <v>44832</v>
      </c>
      <c r="B1111" s="306">
        <v>108000</v>
      </c>
      <c r="C1111" s="307">
        <v>251789.39099999997</v>
      </c>
      <c r="D1111" s="308">
        <v>37201.432000000001</v>
      </c>
      <c r="E1111" s="308">
        <v>214587.95899999997</v>
      </c>
      <c r="F1111" s="308">
        <v>1.986925546296296</v>
      </c>
      <c r="G1111" s="309" t="s">
        <v>19722</v>
      </c>
      <c r="H1111" s="310" t="s">
        <v>18828</v>
      </c>
      <c r="I1111" s="311">
        <v>44830</v>
      </c>
      <c r="J1111" s="308">
        <v>11321.8462</v>
      </c>
      <c r="N1111" s="66" t="s">
        <v>18858</v>
      </c>
      <c r="O1111" s="651">
        <v>0</v>
      </c>
    </row>
    <row r="1112" spans="1:15" ht="14.45" hidden="1">
      <c r="A1112" s="305">
        <v>44833</v>
      </c>
      <c r="B1112" s="306">
        <v>108000</v>
      </c>
      <c r="C1112" s="314">
        <v>250963.83900000001</v>
      </c>
      <c r="D1112" s="308">
        <v>37201.432000000001</v>
      </c>
      <c r="E1112" s="308">
        <v>213762.40700000001</v>
      </c>
      <c r="F1112" s="308">
        <v>1.9792815462962963</v>
      </c>
      <c r="G1112" s="309" t="s">
        <v>19722</v>
      </c>
      <c r="H1112" s="310" t="s">
        <v>18829</v>
      </c>
      <c r="I1112" s="311">
        <v>44830</v>
      </c>
      <c r="J1112" s="308">
        <v>11321.8462</v>
      </c>
      <c r="N1112" s="66" t="s">
        <v>18859</v>
      </c>
      <c r="O1112" s="651">
        <v>19048.759999999998</v>
      </c>
    </row>
    <row r="1113" spans="1:15" ht="14.45" hidden="1">
      <c r="A1113" s="305">
        <v>44833</v>
      </c>
      <c r="B1113" s="306">
        <v>27960</v>
      </c>
      <c r="C1113" s="307">
        <v>76890</v>
      </c>
      <c r="D1113" s="308">
        <v>0</v>
      </c>
      <c r="E1113" s="308">
        <v>76890</v>
      </c>
      <c r="F1113" s="308">
        <v>2.75</v>
      </c>
      <c r="G1113" s="309" t="s">
        <v>18794</v>
      </c>
      <c r="H1113" s="310" t="s">
        <v>18826</v>
      </c>
      <c r="I1113" s="311">
        <v>44826</v>
      </c>
      <c r="J1113" s="308">
        <v>0</v>
      </c>
      <c r="N1113" s="66" t="s">
        <v>18860</v>
      </c>
      <c r="O1113" s="651">
        <v>1793.56</v>
      </c>
    </row>
    <row r="1114" spans="1:15" ht="14.45" hidden="1">
      <c r="A1114" s="305">
        <v>44834</v>
      </c>
      <c r="B1114" s="306">
        <v>108000</v>
      </c>
      <c r="C1114" s="307">
        <v>251682.228</v>
      </c>
      <c r="D1114" s="308">
        <v>37201.432000000001</v>
      </c>
      <c r="E1114" s="308">
        <v>214480.796</v>
      </c>
      <c r="F1114" s="308">
        <v>1.9859332962962963</v>
      </c>
      <c r="G1114" s="309" t="s">
        <v>19722</v>
      </c>
      <c r="H1114" s="310" t="s">
        <v>18830</v>
      </c>
      <c r="I1114" s="311">
        <v>44830</v>
      </c>
      <c r="J1114" s="308">
        <v>11321.8462</v>
      </c>
      <c r="N1114" s="66" t="s">
        <v>18861</v>
      </c>
      <c r="O1114" s="651">
        <v>1650.3530000000001</v>
      </c>
    </row>
    <row r="1115" spans="1:15" ht="14.45" hidden="1">
      <c r="A1115" s="305">
        <v>44834</v>
      </c>
      <c r="B1115" s="306">
        <v>20750</v>
      </c>
      <c r="C1115" s="307">
        <v>57788.75</v>
      </c>
      <c r="D1115" s="308">
        <v>0</v>
      </c>
      <c r="E1115" s="308">
        <v>57788.75</v>
      </c>
      <c r="F1115" s="308">
        <v>2.7850000000000001</v>
      </c>
      <c r="G1115" s="309" t="s">
        <v>19656</v>
      </c>
      <c r="H1115" s="310" t="s">
        <v>18814</v>
      </c>
      <c r="I1115" s="311">
        <v>44796</v>
      </c>
      <c r="J1115" s="308">
        <v>0</v>
      </c>
      <c r="N1115" s="66" t="s">
        <v>18862</v>
      </c>
      <c r="O1115" s="651">
        <v>14723.07</v>
      </c>
    </row>
    <row r="1116" spans="1:15" ht="14.45" hidden="1">
      <c r="A1116" s="305">
        <v>44834</v>
      </c>
      <c r="B1116" s="306">
        <v>302400</v>
      </c>
      <c r="C1116" s="314">
        <v>895093.41599999997</v>
      </c>
      <c r="D1116" s="308">
        <v>0</v>
      </c>
      <c r="E1116" s="308">
        <v>895093.41599999997</v>
      </c>
      <c r="F1116" s="308">
        <v>2.959965</v>
      </c>
      <c r="G1116" s="312" t="s">
        <v>19688</v>
      </c>
      <c r="H1116" s="313" t="s">
        <v>18827</v>
      </c>
      <c r="I1116" s="311">
        <v>44826</v>
      </c>
      <c r="J1116" s="308">
        <v>0</v>
      </c>
      <c r="N1116" s="66" t="s">
        <v>18863</v>
      </c>
      <c r="O1116" s="651">
        <v>14696.77</v>
      </c>
    </row>
    <row r="1117" spans="1:15" ht="14.45" hidden="1">
      <c r="A1117" s="305">
        <v>44834</v>
      </c>
      <c r="B1117" s="306">
        <v>150000</v>
      </c>
      <c r="C1117" s="307">
        <v>393000</v>
      </c>
      <c r="D1117" s="308">
        <v>0</v>
      </c>
      <c r="E1117" s="308">
        <v>393000</v>
      </c>
      <c r="F1117" s="308">
        <v>2.62</v>
      </c>
      <c r="G1117" s="309" t="s">
        <v>18794</v>
      </c>
      <c r="H1117" s="310" t="s">
        <v>18823</v>
      </c>
      <c r="I1117" s="311">
        <v>44816</v>
      </c>
      <c r="J1117" s="308">
        <v>0</v>
      </c>
      <c r="N1117" s="66" t="s">
        <v>18864</v>
      </c>
      <c r="O1117" s="651">
        <v>0</v>
      </c>
    </row>
    <row r="1118" spans="1:15" ht="14.45" hidden="1">
      <c r="A1118" s="86">
        <v>44838</v>
      </c>
      <c r="B1118" s="87">
        <v>55987</v>
      </c>
      <c r="C1118" s="30">
        <v>170760.95999999999</v>
      </c>
      <c r="D1118" s="116">
        <v>0</v>
      </c>
      <c r="E1118" s="116">
        <f t="shared" ref="E1118:E1181" si="36">(C1118-D1118)</f>
        <v>170760.95999999999</v>
      </c>
      <c r="F1118" s="116">
        <f t="shared" ref="F1118:F1181" si="37">(E1118/B1118)</f>
        <v>3.0500108953864289</v>
      </c>
      <c r="G1118" s="88" t="s">
        <v>17227</v>
      </c>
      <c r="H1118" s="284" t="s">
        <v>18831</v>
      </c>
      <c r="I1118" s="214">
        <v>44830</v>
      </c>
      <c r="J1118" s="116">
        <v>0</v>
      </c>
      <c r="N1118" s="66" t="s">
        <v>18865</v>
      </c>
      <c r="O1118" s="651">
        <v>0</v>
      </c>
    </row>
    <row r="1119" spans="1:15" ht="12.95" hidden="1">
      <c r="A1119" s="86">
        <v>44839</v>
      </c>
      <c r="B1119" s="87">
        <v>35004</v>
      </c>
      <c r="C1119" s="30">
        <f>34303.92*3.22815</f>
        <v>110738.19934799999</v>
      </c>
      <c r="D1119" s="116">
        <v>0</v>
      </c>
      <c r="E1119" s="116">
        <f t="shared" si="36"/>
        <v>110738.19934799999</v>
      </c>
      <c r="F1119" s="116">
        <f t="shared" si="37"/>
        <v>3.1635869999999997</v>
      </c>
      <c r="G1119" s="212" t="s">
        <v>19843</v>
      </c>
      <c r="H1119" s="293" t="s">
        <v>18834</v>
      </c>
      <c r="I1119" s="214">
        <v>44838</v>
      </c>
      <c r="J1119" s="116">
        <v>0</v>
      </c>
      <c r="N1119" s="66" t="s">
        <v>18866</v>
      </c>
      <c r="O1119" s="651">
        <v>13987.35</v>
      </c>
    </row>
    <row r="1120" spans="1:15" ht="14.45" hidden="1">
      <c r="A1120" s="86">
        <v>44847</v>
      </c>
      <c r="B1120" s="87">
        <v>308112</v>
      </c>
      <c r="C1120" s="30">
        <v>708657.6</v>
      </c>
      <c r="D1120" s="116">
        <v>0</v>
      </c>
      <c r="E1120" s="116">
        <f t="shared" si="36"/>
        <v>708657.6</v>
      </c>
      <c r="F1120" s="116">
        <f t="shared" si="37"/>
        <v>2.2999999999999998</v>
      </c>
      <c r="G1120" s="88" t="s">
        <v>19647</v>
      </c>
      <c r="H1120" s="284" t="s">
        <v>18837</v>
      </c>
      <c r="I1120" s="214">
        <v>44841</v>
      </c>
      <c r="J1120" s="116">
        <v>0</v>
      </c>
      <c r="N1120" s="66" t="s">
        <v>18867</v>
      </c>
      <c r="O1120" s="651">
        <v>76831.539999999994</v>
      </c>
    </row>
    <row r="1121" spans="1:15" ht="14.45" hidden="1">
      <c r="A1121" s="653">
        <v>44847</v>
      </c>
      <c r="B1121" s="659">
        <v>63360</v>
      </c>
      <c r="C1121" s="655">
        <f>66857.2*3.2698</f>
        <v>218609.67256000001</v>
      </c>
      <c r="D1121" s="196">
        <v>46203</v>
      </c>
      <c r="E1121" s="196">
        <f t="shared" si="36"/>
        <v>172406.67256000001</v>
      </c>
      <c r="F1121" s="196">
        <f t="shared" si="37"/>
        <v>2.7210649078282829</v>
      </c>
      <c r="G1121" s="656" t="s">
        <v>17330</v>
      </c>
      <c r="H1121" s="660" t="s">
        <v>18836</v>
      </c>
      <c r="I1121" s="661">
        <v>44840</v>
      </c>
      <c r="J1121" s="196">
        <f>41241.9*35%</f>
        <v>14434.664999999999</v>
      </c>
      <c r="N1121" s="66" t="s">
        <v>18868</v>
      </c>
      <c r="O1121" s="651">
        <v>0</v>
      </c>
    </row>
    <row r="1122" spans="1:15" ht="12.95" hidden="1">
      <c r="A1122" s="86">
        <v>44851</v>
      </c>
      <c r="B1122" s="87">
        <v>120067</v>
      </c>
      <c r="C1122" s="30">
        <v>288161.28000000003</v>
      </c>
      <c r="D1122" s="116">
        <v>0</v>
      </c>
      <c r="E1122" s="116">
        <f t="shared" si="36"/>
        <v>288161.28000000003</v>
      </c>
      <c r="F1122" s="116">
        <f t="shared" si="37"/>
        <v>2.4000039977679131</v>
      </c>
      <c r="G1122" s="212" t="s">
        <v>18794</v>
      </c>
      <c r="H1122" s="293" t="s">
        <v>18815</v>
      </c>
      <c r="I1122" s="214">
        <v>44796</v>
      </c>
      <c r="J1122" s="116">
        <v>0</v>
      </c>
      <c r="N1122" s="66" t="s">
        <v>18869</v>
      </c>
      <c r="O1122" s="651">
        <v>0</v>
      </c>
    </row>
    <row r="1123" spans="1:15" ht="12.95" hidden="1">
      <c r="A1123" s="86">
        <v>44851</v>
      </c>
      <c r="B1123" s="87">
        <v>21600</v>
      </c>
      <c r="C1123" s="30">
        <v>57672</v>
      </c>
      <c r="D1123" s="116">
        <v>0</v>
      </c>
      <c r="E1123" s="116">
        <f t="shared" si="36"/>
        <v>57672</v>
      </c>
      <c r="F1123" s="116">
        <f t="shared" si="37"/>
        <v>2.67</v>
      </c>
      <c r="G1123" s="212" t="s">
        <v>19655</v>
      </c>
      <c r="H1123" s="293" t="s">
        <v>18840</v>
      </c>
      <c r="I1123" s="214">
        <v>44845</v>
      </c>
      <c r="J1123" s="116">
        <v>0</v>
      </c>
      <c r="N1123" s="66" t="s">
        <v>18870</v>
      </c>
      <c r="O1123" s="651">
        <v>37017.599999999999</v>
      </c>
    </row>
    <row r="1124" spans="1:15" ht="12.95" hidden="1">
      <c r="A1124" s="86">
        <v>44853</v>
      </c>
      <c r="B1124" s="87">
        <v>19200</v>
      </c>
      <c r="C1124" s="30">
        <v>51840</v>
      </c>
      <c r="D1124" s="116">
        <v>0</v>
      </c>
      <c r="E1124" s="116">
        <f t="shared" si="36"/>
        <v>51840</v>
      </c>
      <c r="F1124" s="116">
        <f t="shared" si="37"/>
        <v>2.7</v>
      </c>
      <c r="G1124" s="212" t="s">
        <v>19656</v>
      </c>
      <c r="H1124" s="293" t="s">
        <v>18839</v>
      </c>
      <c r="I1124" s="214">
        <v>44844</v>
      </c>
      <c r="J1124" s="116">
        <v>0</v>
      </c>
      <c r="N1124" s="66" t="s">
        <v>18871</v>
      </c>
      <c r="O1124" s="651">
        <v>0</v>
      </c>
    </row>
    <row r="1125" spans="1:15" ht="12.95" hidden="1">
      <c r="A1125" s="86">
        <v>44853</v>
      </c>
      <c r="B1125" s="87">
        <v>26000</v>
      </c>
      <c r="C1125" s="30">
        <v>61620</v>
      </c>
      <c r="D1125" s="116">
        <v>0</v>
      </c>
      <c r="E1125" s="116">
        <f t="shared" si="36"/>
        <v>61620</v>
      </c>
      <c r="F1125" s="116">
        <f t="shared" si="37"/>
        <v>2.37</v>
      </c>
      <c r="G1125" s="212" t="s">
        <v>19656</v>
      </c>
      <c r="H1125" s="293" t="s">
        <v>18847</v>
      </c>
      <c r="I1125" s="214">
        <v>44848</v>
      </c>
      <c r="J1125" s="116">
        <v>0</v>
      </c>
      <c r="N1125" s="66" t="s">
        <v>18872</v>
      </c>
      <c r="O1125" s="651">
        <v>0</v>
      </c>
    </row>
    <row r="1126" spans="1:15" ht="12.95" hidden="1">
      <c r="A1126" s="653">
        <v>44853</v>
      </c>
      <c r="B1126" s="659">
        <v>20150</v>
      </c>
      <c r="C1126" s="655">
        <f>19122.35*3.261</f>
        <v>62357.983349999995</v>
      </c>
      <c r="D1126" s="196">
        <v>1550.3030000000001</v>
      </c>
      <c r="E1126" s="196">
        <f t="shared" si="36"/>
        <v>60807.680349999995</v>
      </c>
      <c r="F1126" s="196">
        <f t="shared" si="37"/>
        <v>3.0177508858560791</v>
      </c>
      <c r="G1126" s="662" t="s">
        <v>19659</v>
      </c>
      <c r="H1126" s="663" t="s">
        <v>18841</v>
      </c>
      <c r="I1126" s="661">
        <v>44845</v>
      </c>
      <c r="J1126" s="196">
        <v>0</v>
      </c>
      <c r="N1126" s="66" t="s">
        <v>18873</v>
      </c>
      <c r="O1126" s="651">
        <v>6972.76</v>
      </c>
    </row>
    <row r="1127" spans="1:15" ht="12.95" hidden="1">
      <c r="A1127" s="86">
        <v>44854</v>
      </c>
      <c r="B1127" s="87">
        <v>54000</v>
      </c>
      <c r="C1127" s="30">
        <v>150120</v>
      </c>
      <c r="D1127" s="116">
        <v>0</v>
      </c>
      <c r="E1127" s="116">
        <f t="shared" si="36"/>
        <v>150120</v>
      </c>
      <c r="F1127" s="116">
        <f t="shared" si="37"/>
        <v>2.78</v>
      </c>
      <c r="G1127" s="212" t="s">
        <v>19655</v>
      </c>
      <c r="H1127" s="293" t="s">
        <v>18846</v>
      </c>
      <c r="I1127" s="214">
        <v>44848</v>
      </c>
      <c r="J1127" s="116">
        <v>0</v>
      </c>
      <c r="N1127" s="66" t="s">
        <v>18874</v>
      </c>
      <c r="O1127" s="651">
        <v>25533.24</v>
      </c>
    </row>
    <row r="1128" spans="1:15" ht="12.95" hidden="1">
      <c r="A1128" s="653">
        <v>44855</v>
      </c>
      <c r="B1128" s="659">
        <v>20150</v>
      </c>
      <c r="C1128" s="655">
        <f>17631.25*3.2459</f>
        <v>57229.274374999994</v>
      </c>
      <c r="D1128" s="196">
        <v>1550.3030000000001</v>
      </c>
      <c r="E1128" s="196">
        <f t="shared" si="36"/>
        <v>55678.971374999994</v>
      </c>
      <c r="F1128" s="196">
        <f t="shared" si="37"/>
        <v>2.7632243858560792</v>
      </c>
      <c r="G1128" s="662" t="s">
        <v>19659</v>
      </c>
      <c r="H1128" s="663" t="s">
        <v>18849</v>
      </c>
      <c r="I1128" s="661">
        <v>44853</v>
      </c>
      <c r="J1128" s="196">
        <v>0</v>
      </c>
      <c r="N1128" s="66" t="s">
        <v>18875</v>
      </c>
      <c r="O1128" s="651">
        <v>30758.038</v>
      </c>
    </row>
    <row r="1129" spans="1:15" ht="12.95" hidden="1">
      <c r="A1129" s="86">
        <v>44858</v>
      </c>
      <c r="B1129" s="87">
        <v>84600</v>
      </c>
      <c r="C1129" s="30">
        <v>224808</v>
      </c>
      <c r="D1129" s="116">
        <v>0</v>
      </c>
      <c r="E1129" s="116">
        <f t="shared" si="36"/>
        <v>224808</v>
      </c>
      <c r="F1129" s="116">
        <f t="shared" si="37"/>
        <v>2.6573049645390072</v>
      </c>
      <c r="G1129" s="212" t="s">
        <v>19655</v>
      </c>
      <c r="H1129" s="293" t="s">
        <v>18844</v>
      </c>
      <c r="I1129" s="214">
        <v>44847</v>
      </c>
      <c r="J1129" s="116">
        <v>0</v>
      </c>
      <c r="N1129" s="66" t="s">
        <v>18876</v>
      </c>
      <c r="O1129" s="651">
        <v>3395.28</v>
      </c>
    </row>
    <row r="1130" spans="1:15" ht="12.95" hidden="1">
      <c r="A1130" s="86">
        <v>44859</v>
      </c>
      <c r="B1130" s="87">
        <v>38400</v>
      </c>
      <c r="C1130" s="30">
        <v>129600</v>
      </c>
      <c r="D1130" s="116">
        <v>0</v>
      </c>
      <c r="E1130" s="116">
        <f t="shared" si="36"/>
        <v>129600</v>
      </c>
      <c r="F1130" s="116">
        <f t="shared" si="37"/>
        <v>3.375</v>
      </c>
      <c r="G1130" s="212" t="s">
        <v>17227</v>
      </c>
      <c r="H1130" s="293" t="s">
        <v>18843</v>
      </c>
      <c r="I1130" s="214">
        <v>44846</v>
      </c>
      <c r="J1130" s="116">
        <v>0</v>
      </c>
      <c r="N1130" s="66" t="s">
        <v>18877</v>
      </c>
      <c r="O1130" s="651">
        <v>0</v>
      </c>
    </row>
    <row r="1131" spans="1:15" ht="12.95" hidden="1">
      <c r="A1131" s="653">
        <v>44859</v>
      </c>
      <c r="B1131" s="659">
        <v>9440</v>
      </c>
      <c r="C1131" s="655">
        <f>12882.7*3.2606</f>
        <v>42005.331620000004</v>
      </c>
      <c r="D1131" s="196">
        <v>6636.08</v>
      </c>
      <c r="E1131" s="196">
        <f t="shared" si="36"/>
        <v>35369.251620000003</v>
      </c>
      <c r="F1131" s="196">
        <f t="shared" si="37"/>
        <v>3.7467427563559323</v>
      </c>
      <c r="G1131" s="662" t="s">
        <v>17210</v>
      </c>
      <c r="H1131" s="663" t="s">
        <v>18842</v>
      </c>
      <c r="I1131" s="661">
        <v>44845</v>
      </c>
      <c r="J1131" s="196">
        <f>5232.81*35%</f>
        <v>1831.4835</v>
      </c>
      <c r="N1131" s="66" t="s">
        <v>18878</v>
      </c>
      <c r="O1131" s="651">
        <v>0</v>
      </c>
    </row>
    <row r="1132" spans="1:15" ht="12.95" hidden="1">
      <c r="A1132" s="86">
        <v>44861</v>
      </c>
      <c r="B1132" s="87">
        <v>41000</v>
      </c>
      <c r="C1132" s="30">
        <v>125050</v>
      </c>
      <c r="D1132" s="116">
        <v>0</v>
      </c>
      <c r="E1132" s="116">
        <f t="shared" si="36"/>
        <v>125050</v>
      </c>
      <c r="F1132" s="116">
        <f t="shared" si="37"/>
        <v>3.05</v>
      </c>
      <c r="G1132" s="212" t="s">
        <v>17018</v>
      </c>
      <c r="H1132" s="293" t="s">
        <v>18851</v>
      </c>
      <c r="I1132" s="214">
        <v>44859</v>
      </c>
      <c r="J1132" s="116">
        <v>0</v>
      </c>
      <c r="N1132" s="66" t="s">
        <v>18879</v>
      </c>
      <c r="O1132" s="651">
        <v>0</v>
      </c>
    </row>
    <row r="1133" spans="1:15" ht="12.95" hidden="1">
      <c r="A1133" s="86">
        <v>44862</v>
      </c>
      <c r="B1133" s="87">
        <v>330120</v>
      </c>
      <c r="C1133" s="30">
        <v>754874.4</v>
      </c>
      <c r="D1133" s="116">
        <v>0</v>
      </c>
      <c r="E1133" s="116">
        <f t="shared" si="36"/>
        <v>754874.4</v>
      </c>
      <c r="F1133" s="116">
        <f t="shared" si="37"/>
        <v>2.2866666666666666</v>
      </c>
      <c r="G1133" s="212" t="s">
        <v>19647</v>
      </c>
      <c r="H1133" s="293" t="s">
        <v>18850</v>
      </c>
      <c r="I1133" s="214">
        <v>44853</v>
      </c>
      <c r="J1133" s="116">
        <v>0</v>
      </c>
      <c r="N1133" s="66" t="s">
        <v>18880</v>
      </c>
      <c r="O1133" s="651">
        <v>0</v>
      </c>
    </row>
    <row r="1134" spans="1:15" ht="12.95" hidden="1">
      <c r="A1134" s="86">
        <v>44863</v>
      </c>
      <c r="B1134" s="87">
        <v>90024</v>
      </c>
      <c r="C1134" s="30">
        <v>236727.6</v>
      </c>
      <c r="D1134" s="116">
        <v>0</v>
      </c>
      <c r="E1134" s="116">
        <f t="shared" si="36"/>
        <v>236727.6</v>
      </c>
      <c r="F1134" s="116">
        <f t="shared" si="37"/>
        <v>2.6296054385497203</v>
      </c>
      <c r="G1134" s="212" t="s">
        <v>19647</v>
      </c>
      <c r="H1134" s="293" t="s">
        <v>18845</v>
      </c>
      <c r="I1134" s="214">
        <v>44847</v>
      </c>
      <c r="J1134" s="116">
        <v>0</v>
      </c>
      <c r="N1134" s="66" t="s">
        <v>18881</v>
      </c>
      <c r="O1134" s="651">
        <v>3368.3449999999998</v>
      </c>
    </row>
    <row r="1135" spans="1:15" ht="12.95" hidden="1">
      <c r="A1135" s="86">
        <v>44865</v>
      </c>
      <c r="B1135" s="87">
        <v>19200</v>
      </c>
      <c r="C1135" s="30">
        <v>51840</v>
      </c>
      <c r="D1135" s="116">
        <v>0</v>
      </c>
      <c r="E1135" s="116">
        <f t="shared" si="36"/>
        <v>51840</v>
      </c>
      <c r="F1135" s="116">
        <f t="shared" si="37"/>
        <v>2.7</v>
      </c>
      <c r="G1135" s="212" t="s">
        <v>19655</v>
      </c>
      <c r="H1135" s="293" t="s">
        <v>18852</v>
      </c>
      <c r="I1135" s="214">
        <v>44859</v>
      </c>
      <c r="J1135" s="116">
        <v>0</v>
      </c>
      <c r="N1135" s="66" t="s">
        <v>18882</v>
      </c>
      <c r="O1135" s="651">
        <v>0</v>
      </c>
    </row>
    <row r="1136" spans="1:15" ht="12.95" hidden="1">
      <c r="A1136" s="86">
        <v>44865</v>
      </c>
      <c r="B1136" s="87">
        <v>76800</v>
      </c>
      <c r="C1136" s="30">
        <v>206592</v>
      </c>
      <c r="D1136" s="116">
        <v>0</v>
      </c>
      <c r="E1136" s="116">
        <f t="shared" si="36"/>
        <v>206592</v>
      </c>
      <c r="F1136" s="116">
        <f t="shared" si="37"/>
        <v>2.69</v>
      </c>
      <c r="G1136" s="212" t="s">
        <v>19656</v>
      </c>
      <c r="H1136" s="293" t="s">
        <v>18853</v>
      </c>
      <c r="I1136" s="214">
        <v>44860</v>
      </c>
      <c r="J1136" s="116">
        <v>0</v>
      </c>
      <c r="N1136" s="66" t="s">
        <v>18883</v>
      </c>
      <c r="O1136" s="651">
        <v>3368.3449999999998</v>
      </c>
    </row>
    <row r="1137" spans="1:15" ht="14.45" hidden="1">
      <c r="A1137" s="86">
        <v>44867</v>
      </c>
      <c r="B1137" s="664">
        <v>24240</v>
      </c>
      <c r="C1137" s="107">
        <v>62539.199999999997</v>
      </c>
      <c r="D1137" s="116">
        <v>0</v>
      </c>
      <c r="E1137" s="116">
        <f t="shared" si="36"/>
        <v>62539.199999999997</v>
      </c>
      <c r="F1137" s="116">
        <f t="shared" si="37"/>
        <v>2.58</v>
      </c>
      <c r="G1137" s="665" t="s">
        <v>19826</v>
      </c>
      <c r="H1137" s="666" t="s">
        <v>18854</v>
      </c>
      <c r="I1137" s="667">
        <v>44861</v>
      </c>
      <c r="J1137" s="116">
        <v>0</v>
      </c>
      <c r="N1137" s="66" t="s">
        <v>18884</v>
      </c>
      <c r="O1137" s="651">
        <v>0</v>
      </c>
    </row>
    <row r="1138" spans="1:15" ht="14.45" hidden="1">
      <c r="A1138" s="86">
        <v>44867</v>
      </c>
      <c r="B1138" s="87">
        <v>174840</v>
      </c>
      <c r="C1138" s="30">
        <v>464622</v>
      </c>
      <c r="D1138" s="116">
        <v>0</v>
      </c>
      <c r="E1138" s="116">
        <f t="shared" si="36"/>
        <v>464622</v>
      </c>
      <c r="F1138" s="116">
        <f t="shared" si="37"/>
        <v>2.6574124914207276</v>
      </c>
      <c r="G1138" s="88" t="s">
        <v>19647</v>
      </c>
      <c r="H1138" s="284" t="s">
        <v>18838</v>
      </c>
      <c r="I1138" s="214">
        <v>44844</v>
      </c>
      <c r="J1138" s="116">
        <v>0</v>
      </c>
      <c r="N1138" s="66" t="s">
        <v>18885</v>
      </c>
      <c r="O1138" s="651">
        <v>0</v>
      </c>
    </row>
    <row r="1139" spans="1:15" ht="12.95" hidden="1">
      <c r="A1139" s="86">
        <v>44869</v>
      </c>
      <c r="B1139" s="87">
        <v>61500</v>
      </c>
      <c r="C1139" s="30">
        <v>186345</v>
      </c>
      <c r="D1139" s="116">
        <v>0</v>
      </c>
      <c r="E1139" s="116">
        <f t="shared" si="36"/>
        <v>186345</v>
      </c>
      <c r="F1139" s="116">
        <f t="shared" si="37"/>
        <v>3.03</v>
      </c>
      <c r="G1139" s="212" t="s">
        <v>19679</v>
      </c>
      <c r="H1139" s="293" t="s">
        <v>18848</v>
      </c>
      <c r="I1139" s="214">
        <v>44848</v>
      </c>
      <c r="J1139" s="116">
        <v>0</v>
      </c>
      <c r="N1139" s="66" t="s">
        <v>18886</v>
      </c>
      <c r="O1139" s="651">
        <v>30758.038</v>
      </c>
    </row>
    <row r="1140" spans="1:15" ht="14.45" hidden="1">
      <c r="A1140" s="86">
        <v>44875</v>
      </c>
      <c r="B1140" s="87">
        <v>43200</v>
      </c>
      <c r="C1140" s="30">
        <v>115344</v>
      </c>
      <c r="D1140" s="116">
        <v>0</v>
      </c>
      <c r="E1140" s="116">
        <f t="shared" si="36"/>
        <v>115344</v>
      </c>
      <c r="F1140" s="116">
        <f t="shared" si="37"/>
        <v>2.67</v>
      </c>
      <c r="G1140" s="88" t="s">
        <v>19655</v>
      </c>
      <c r="H1140" s="284" t="s">
        <v>18857</v>
      </c>
      <c r="I1140" s="214">
        <v>44872</v>
      </c>
      <c r="J1140" s="116">
        <v>0</v>
      </c>
      <c r="N1140" s="66" t="s">
        <v>18887</v>
      </c>
      <c r="O1140" s="651">
        <v>14627.85</v>
      </c>
    </row>
    <row r="1141" spans="1:15" ht="14.45" hidden="1">
      <c r="A1141" s="86">
        <v>44876</v>
      </c>
      <c r="B1141" s="87">
        <v>210000</v>
      </c>
      <c r="C1141" s="30">
        <v>519750</v>
      </c>
      <c r="D1141" s="116">
        <v>0</v>
      </c>
      <c r="E1141" s="116">
        <f t="shared" si="36"/>
        <v>519750</v>
      </c>
      <c r="F1141" s="116">
        <f t="shared" si="37"/>
        <v>2.4750000000000001</v>
      </c>
      <c r="G1141" s="88" t="s">
        <v>18794</v>
      </c>
      <c r="H1141" s="284" t="s">
        <v>18858</v>
      </c>
      <c r="I1141" s="214">
        <v>44872</v>
      </c>
      <c r="J1141" s="116">
        <v>0</v>
      </c>
      <c r="N1141" s="66" t="s">
        <v>18888</v>
      </c>
      <c r="O1141" s="651">
        <v>14163.465</v>
      </c>
    </row>
    <row r="1142" spans="1:15" ht="14.45" hidden="1">
      <c r="A1142" s="86">
        <v>44879</v>
      </c>
      <c r="B1142" s="87">
        <v>20724</v>
      </c>
      <c r="C1142" s="30">
        <v>69248.600000000006</v>
      </c>
      <c r="D1142" s="116">
        <v>0</v>
      </c>
      <c r="E1142" s="116">
        <f t="shared" si="36"/>
        <v>69248.600000000006</v>
      </c>
      <c r="F1142" s="116">
        <f t="shared" si="37"/>
        <v>3.3414688284115037</v>
      </c>
      <c r="G1142" s="88" t="s">
        <v>18833</v>
      </c>
      <c r="H1142" s="284" t="s">
        <v>18832</v>
      </c>
      <c r="I1142" s="214">
        <v>44834</v>
      </c>
      <c r="J1142" s="116">
        <v>0</v>
      </c>
      <c r="N1142" s="66" t="s">
        <v>18889</v>
      </c>
      <c r="O1142" s="651">
        <v>8877.0049999999992</v>
      </c>
    </row>
    <row r="1143" spans="1:15" ht="14.45" hidden="1">
      <c r="A1143" s="86">
        <v>44879</v>
      </c>
      <c r="B1143" s="87">
        <v>20150</v>
      </c>
      <c r="C1143" s="30">
        <f>17631.25*3.19465</f>
        <v>56325.672812500001</v>
      </c>
      <c r="D1143" s="116">
        <v>1650.3530000000001</v>
      </c>
      <c r="E1143" s="116">
        <f t="shared" si="36"/>
        <v>54675.319812499998</v>
      </c>
      <c r="F1143" s="116">
        <f t="shared" si="37"/>
        <v>2.7134153753101735</v>
      </c>
      <c r="G1143" s="88" t="s">
        <v>19659</v>
      </c>
      <c r="H1143" s="284" t="s">
        <v>18861</v>
      </c>
      <c r="I1143" s="214">
        <v>44872</v>
      </c>
      <c r="J1143" s="116">
        <v>0</v>
      </c>
      <c r="N1143" s="66" t="s">
        <v>18890</v>
      </c>
      <c r="O1143" s="651">
        <v>31174.538</v>
      </c>
    </row>
    <row r="1144" spans="1:15" ht="14.45" hidden="1">
      <c r="A1144" s="86">
        <v>44881</v>
      </c>
      <c r="B1144" s="87">
        <v>54000</v>
      </c>
      <c r="C1144" s="30">
        <v>133650</v>
      </c>
      <c r="D1144" s="116">
        <v>0</v>
      </c>
      <c r="E1144" s="116">
        <f t="shared" si="36"/>
        <v>133650</v>
      </c>
      <c r="F1144" s="116">
        <f t="shared" si="37"/>
        <v>2.4750000000000001</v>
      </c>
      <c r="G1144" s="88" t="s">
        <v>18794</v>
      </c>
      <c r="H1144" s="284" t="s">
        <v>18855</v>
      </c>
      <c r="I1144" s="214">
        <v>44866</v>
      </c>
      <c r="J1144" s="116">
        <v>0</v>
      </c>
      <c r="N1144" s="66" t="s">
        <v>18891</v>
      </c>
      <c r="O1144" s="651">
        <v>0</v>
      </c>
    </row>
    <row r="1145" spans="1:15" ht="14.45" hidden="1">
      <c r="A1145" s="86">
        <v>44882</v>
      </c>
      <c r="B1145" s="87">
        <v>26000</v>
      </c>
      <c r="C1145" s="30">
        <f>25610*3.13585</f>
        <v>80309.118499999997</v>
      </c>
      <c r="D1145" s="116">
        <v>1793.56</v>
      </c>
      <c r="E1145" s="116">
        <f t="shared" si="36"/>
        <v>78515.558499999999</v>
      </c>
      <c r="F1145" s="116">
        <f t="shared" si="37"/>
        <v>3.0198291730769231</v>
      </c>
      <c r="G1145" s="88" t="s">
        <v>19659</v>
      </c>
      <c r="H1145" s="284" t="s">
        <v>18860</v>
      </c>
      <c r="I1145" s="214">
        <v>44872</v>
      </c>
      <c r="J1145" s="116">
        <v>0</v>
      </c>
      <c r="N1145" s="66" t="s">
        <v>18892</v>
      </c>
      <c r="O1145" s="651">
        <v>9898.8700000000008</v>
      </c>
    </row>
    <row r="1146" spans="1:15" ht="14.45" hidden="1">
      <c r="A1146" s="86">
        <v>44882</v>
      </c>
      <c r="B1146" s="87">
        <v>252120</v>
      </c>
      <c r="C1146" s="30">
        <f>222485.96*3.1584</f>
        <v>702699.65606399998</v>
      </c>
      <c r="D1146" s="116">
        <v>108842.144</v>
      </c>
      <c r="E1146" s="116">
        <f t="shared" si="36"/>
        <v>593857.51206400001</v>
      </c>
      <c r="F1146" s="116">
        <f t="shared" si="37"/>
        <v>2.3554557832143423</v>
      </c>
      <c r="G1146" s="88" t="s">
        <v>19662</v>
      </c>
      <c r="H1146" s="284" t="s">
        <v>18856</v>
      </c>
      <c r="I1146" s="214">
        <v>44872</v>
      </c>
      <c r="J1146" s="116">
        <f>81608*35%</f>
        <v>28562.799999999999</v>
      </c>
      <c r="N1146" s="66" t="s">
        <v>18893</v>
      </c>
      <c r="O1146" s="651">
        <v>0</v>
      </c>
    </row>
    <row r="1147" spans="1:15" ht="14.45" hidden="1">
      <c r="A1147" s="86">
        <v>44882</v>
      </c>
      <c r="B1147" s="87">
        <v>42000</v>
      </c>
      <c r="C1147" s="30">
        <f>42400*3.2472</f>
        <v>137681.28</v>
      </c>
      <c r="D1147" s="116">
        <v>19048.759999999998</v>
      </c>
      <c r="E1147" s="116">
        <f t="shared" si="36"/>
        <v>118632.52</v>
      </c>
      <c r="F1147" s="116">
        <f t="shared" si="37"/>
        <v>2.8245838095238098</v>
      </c>
      <c r="G1147" s="88" t="s">
        <v>19651</v>
      </c>
      <c r="H1147" s="284" t="s">
        <v>18859</v>
      </c>
      <c r="I1147" s="214">
        <v>44872</v>
      </c>
      <c r="J1147" s="116">
        <f>16321.6*35%</f>
        <v>5712.5599999999995</v>
      </c>
      <c r="N1147" s="66" t="s">
        <v>18894</v>
      </c>
      <c r="O1147" s="651">
        <v>0</v>
      </c>
    </row>
    <row r="1148" spans="1:15" ht="14.45" hidden="1">
      <c r="A1148" s="86">
        <v>44883</v>
      </c>
      <c r="B1148" s="87">
        <v>27336</v>
      </c>
      <c r="C1148" s="30">
        <f>30757.68*3.2472</f>
        <v>99876.338495999997</v>
      </c>
      <c r="D1148" s="116">
        <v>14723.07</v>
      </c>
      <c r="E1148" s="116">
        <f t="shared" si="36"/>
        <v>85153.268496000004</v>
      </c>
      <c r="F1148" s="116">
        <f t="shared" si="37"/>
        <v>3.1150595733099213</v>
      </c>
      <c r="G1148" s="88" t="s">
        <v>19661</v>
      </c>
      <c r="H1148" s="284" t="s">
        <v>18862</v>
      </c>
      <c r="I1148" s="214">
        <v>44873</v>
      </c>
      <c r="J1148" s="116">
        <f>12873.05*35%</f>
        <v>4505.5674999999992</v>
      </c>
      <c r="N1148" s="66" t="s">
        <v>18895</v>
      </c>
      <c r="O1148" s="651">
        <v>0</v>
      </c>
    </row>
    <row r="1149" spans="1:15" ht="14.45" hidden="1">
      <c r="A1149" s="86">
        <v>44886</v>
      </c>
      <c r="B1149" s="87">
        <v>20000</v>
      </c>
      <c r="C1149" s="30">
        <v>60000</v>
      </c>
      <c r="D1149" s="116">
        <v>0</v>
      </c>
      <c r="E1149" s="116">
        <f t="shared" si="36"/>
        <v>60000</v>
      </c>
      <c r="F1149" s="116">
        <f t="shared" si="37"/>
        <v>3</v>
      </c>
      <c r="G1149" s="88" t="s">
        <v>17018</v>
      </c>
      <c r="H1149" s="284" t="s">
        <v>18864</v>
      </c>
      <c r="I1149" s="214">
        <v>44876</v>
      </c>
      <c r="J1149" s="116">
        <v>0</v>
      </c>
      <c r="N1149" s="66" t="s">
        <v>18896</v>
      </c>
      <c r="O1149" s="651">
        <v>0</v>
      </c>
    </row>
    <row r="1150" spans="1:15" ht="14.45" hidden="1">
      <c r="A1150" s="232">
        <v>44888</v>
      </c>
      <c r="B1150" s="668">
        <v>72640</v>
      </c>
      <c r="C1150" s="108">
        <f>129326.72*2.3472</f>
        <v>303555.67718399997</v>
      </c>
      <c r="D1150" s="119">
        <v>76831.539999999994</v>
      </c>
      <c r="E1150" s="119">
        <f t="shared" si="36"/>
        <v>226724.13718399999</v>
      </c>
      <c r="F1150" s="119">
        <f t="shared" si="37"/>
        <v>3.1212023290748898</v>
      </c>
      <c r="G1150" s="88" t="s">
        <v>17305</v>
      </c>
      <c r="H1150" s="669" t="s">
        <v>18867</v>
      </c>
      <c r="I1150" s="670">
        <v>44881</v>
      </c>
      <c r="J1150" s="119">
        <f>72540*20%</f>
        <v>14508</v>
      </c>
      <c r="N1150" s="66" t="s">
        <v>18897</v>
      </c>
      <c r="O1150" s="651">
        <v>0</v>
      </c>
    </row>
    <row r="1151" spans="1:15" ht="14.45" hidden="1">
      <c r="A1151" s="86">
        <v>44888</v>
      </c>
      <c r="B1151" s="87">
        <v>27300</v>
      </c>
      <c r="C1151" s="30">
        <v>71394</v>
      </c>
      <c r="D1151" s="116">
        <v>0</v>
      </c>
      <c r="E1151" s="116">
        <f t="shared" si="36"/>
        <v>71394</v>
      </c>
      <c r="F1151" s="116">
        <f t="shared" si="37"/>
        <v>2.6151648351648351</v>
      </c>
      <c r="G1151" s="88" t="s">
        <v>19656</v>
      </c>
      <c r="H1151" s="284" t="s">
        <v>18865</v>
      </c>
      <c r="I1151" s="214">
        <v>44876</v>
      </c>
      <c r="J1151" s="116">
        <v>0</v>
      </c>
      <c r="N1151" s="671" t="s">
        <v>18898</v>
      </c>
      <c r="O1151" s="672">
        <v>0</v>
      </c>
    </row>
    <row r="1152" spans="1:15" ht="14.45" hidden="1">
      <c r="A1152" s="86">
        <v>44889</v>
      </c>
      <c r="B1152" s="87">
        <v>27336</v>
      </c>
      <c r="C1152" s="30">
        <f>30736.08*3.23335</f>
        <v>99380.504268000004</v>
      </c>
      <c r="D1152" s="116">
        <v>14696.77</v>
      </c>
      <c r="E1152" s="116">
        <f t="shared" si="36"/>
        <v>84683.734268</v>
      </c>
      <c r="F1152" s="116">
        <f t="shared" si="37"/>
        <v>3.0978831675446297</v>
      </c>
      <c r="G1152" s="88" t="s">
        <v>19661</v>
      </c>
      <c r="H1152" s="284" t="s">
        <v>18863</v>
      </c>
      <c r="I1152" s="214">
        <v>44873</v>
      </c>
      <c r="J1152" s="116">
        <f>12833.55*35%</f>
        <v>4491.7424999999994</v>
      </c>
      <c r="N1152" s="671" t="s">
        <v>18899</v>
      </c>
      <c r="O1152" s="672">
        <v>66167.115000000005</v>
      </c>
    </row>
    <row r="1153" spans="1:15" ht="14.45" hidden="1">
      <c r="A1153" s="86">
        <v>44889</v>
      </c>
      <c r="B1153" s="87">
        <v>15728</v>
      </c>
      <c r="C1153" s="30">
        <v>53740.800000000003</v>
      </c>
      <c r="D1153" s="116">
        <v>0</v>
      </c>
      <c r="E1153" s="116">
        <f t="shared" si="36"/>
        <v>53740.800000000003</v>
      </c>
      <c r="F1153" s="116">
        <f t="shared" si="37"/>
        <v>3.4168870803662261</v>
      </c>
      <c r="G1153" s="88" t="s">
        <v>19844</v>
      </c>
      <c r="H1153" s="284" t="s">
        <v>18869</v>
      </c>
      <c r="I1153" s="214">
        <v>44884</v>
      </c>
      <c r="J1153" s="116">
        <v>0</v>
      </c>
      <c r="N1153" s="671" t="s">
        <v>18900</v>
      </c>
      <c r="O1153" s="672">
        <v>107729.36199999999</v>
      </c>
    </row>
    <row r="1154" spans="1:15" ht="14.45" hidden="1">
      <c r="A1154" s="86">
        <v>44890</v>
      </c>
      <c r="B1154" s="87">
        <v>25680</v>
      </c>
      <c r="C1154" s="30">
        <f>24466.76*3.1173</f>
        <v>76270.230947999997</v>
      </c>
      <c r="D1154" s="116">
        <v>13987.35</v>
      </c>
      <c r="E1154" s="116">
        <f t="shared" si="36"/>
        <v>62282.880947999998</v>
      </c>
      <c r="F1154" s="116">
        <f t="shared" si="37"/>
        <v>2.4253458313084111</v>
      </c>
      <c r="G1154" s="88" t="s">
        <v>19839</v>
      </c>
      <c r="H1154" s="284" t="s">
        <v>18866</v>
      </c>
      <c r="I1154" s="214">
        <v>44877</v>
      </c>
      <c r="J1154" s="116">
        <f>9355.4*35%</f>
        <v>3274.39</v>
      </c>
      <c r="N1154" s="671" t="s">
        <v>18901</v>
      </c>
      <c r="O1154" s="672">
        <v>0</v>
      </c>
    </row>
    <row r="1155" spans="1:15" ht="14.45" hidden="1">
      <c r="A1155" s="232">
        <v>44890</v>
      </c>
      <c r="B1155" s="668">
        <v>27500</v>
      </c>
      <c r="C1155" s="108">
        <f>46625*3.1363</f>
        <v>146229.98749999999</v>
      </c>
      <c r="D1155" s="119">
        <v>6972.76</v>
      </c>
      <c r="E1155" s="119">
        <f t="shared" si="36"/>
        <v>139257.22749999998</v>
      </c>
      <c r="F1155" s="119">
        <f t="shared" si="37"/>
        <v>5.0638991818181811</v>
      </c>
      <c r="G1155" s="88" t="s">
        <v>19789</v>
      </c>
      <c r="H1155" s="669" t="s">
        <v>18873</v>
      </c>
      <c r="I1155" s="670">
        <v>44886</v>
      </c>
      <c r="J1155" s="119">
        <v>0</v>
      </c>
      <c r="N1155" s="671" t="s">
        <v>18902</v>
      </c>
      <c r="O1155" s="672">
        <v>28109.915000000001</v>
      </c>
    </row>
    <row r="1156" spans="1:15" ht="14.45" hidden="1">
      <c r="A1156" s="86">
        <v>44893</v>
      </c>
      <c r="B1156" s="87">
        <v>350800</v>
      </c>
      <c r="C1156" s="30">
        <f>326642*3.1173</f>
        <v>1018241.1066000001</v>
      </c>
      <c r="D1156" s="116">
        <v>0</v>
      </c>
      <c r="E1156" s="116">
        <f t="shared" si="36"/>
        <v>1018241.1066000001</v>
      </c>
      <c r="F1156" s="116">
        <f t="shared" si="37"/>
        <v>2.9026257314709238</v>
      </c>
      <c r="G1156" s="88" t="s">
        <v>19688</v>
      </c>
      <c r="H1156" s="284" t="s">
        <v>18871</v>
      </c>
      <c r="I1156" s="214">
        <v>44884</v>
      </c>
      <c r="J1156" s="116">
        <v>0</v>
      </c>
      <c r="N1156" s="671" t="s">
        <v>18903</v>
      </c>
      <c r="O1156" s="672">
        <v>94961</v>
      </c>
    </row>
    <row r="1157" spans="1:15" ht="14.45" hidden="1">
      <c r="A1157" s="232">
        <v>44894</v>
      </c>
      <c r="B1157" s="668">
        <v>20150</v>
      </c>
      <c r="C1157" s="108">
        <f>19847.75*3.11425</f>
        <v>61810.855437500002</v>
      </c>
      <c r="D1157" s="119">
        <v>3395.28</v>
      </c>
      <c r="E1157" s="119">
        <f t="shared" si="36"/>
        <v>58415.575437500003</v>
      </c>
      <c r="F1157" s="119">
        <f t="shared" si="37"/>
        <v>2.8990360018610422</v>
      </c>
      <c r="G1157" s="88" t="s">
        <v>19659</v>
      </c>
      <c r="H1157" s="669" t="s">
        <v>18876</v>
      </c>
      <c r="I1157" s="670">
        <v>44888</v>
      </c>
      <c r="J1157" s="119">
        <v>0</v>
      </c>
      <c r="N1157" s="671" t="s">
        <v>18904</v>
      </c>
      <c r="O1157" s="672">
        <v>0</v>
      </c>
    </row>
    <row r="1158" spans="1:15" ht="14.45" hidden="1">
      <c r="A1158" s="86">
        <v>44895</v>
      </c>
      <c r="B1158" s="87">
        <v>54000</v>
      </c>
      <c r="C1158" s="30">
        <f>77485*3.1173</f>
        <v>241543.99050000001</v>
      </c>
      <c r="D1158" s="116">
        <v>0</v>
      </c>
      <c r="E1158" s="116">
        <f t="shared" si="36"/>
        <v>241543.99050000001</v>
      </c>
      <c r="F1158" s="116">
        <f t="shared" si="37"/>
        <v>4.4730368611111118</v>
      </c>
      <c r="G1158" s="88" t="s">
        <v>19845</v>
      </c>
      <c r="H1158" s="284" t="s">
        <v>18872</v>
      </c>
      <c r="I1158" s="214">
        <v>44886</v>
      </c>
      <c r="J1158" s="116">
        <v>0</v>
      </c>
      <c r="N1158" s="671" t="s">
        <v>18905</v>
      </c>
      <c r="O1158" s="672">
        <v>0</v>
      </c>
    </row>
    <row r="1159" spans="1:15" s="72" customFormat="1" ht="14.45" hidden="1">
      <c r="A1159" s="232">
        <v>44896</v>
      </c>
      <c r="B1159" s="668">
        <v>18000</v>
      </c>
      <c r="C1159" s="108">
        <f>25200*3.2403</f>
        <v>81655.56</v>
      </c>
      <c r="D1159" s="119">
        <v>25533.24</v>
      </c>
      <c r="E1159" s="119">
        <f t="shared" si="36"/>
        <v>56122.319999999992</v>
      </c>
      <c r="F1159" s="119">
        <f t="shared" si="37"/>
        <v>3.1179066666666664</v>
      </c>
      <c r="G1159" s="88" t="s">
        <v>19791</v>
      </c>
      <c r="H1159" s="669" t="s">
        <v>18874</v>
      </c>
      <c r="I1159" s="670">
        <v>44887</v>
      </c>
      <c r="J1159" s="119">
        <f>10080*25%</f>
        <v>2520</v>
      </c>
      <c r="N1159" s="671" t="s">
        <v>18906</v>
      </c>
      <c r="O1159" s="672">
        <v>13591.61</v>
      </c>
    </row>
    <row r="1160" spans="1:15" ht="14.45" hidden="1">
      <c r="A1160" s="86">
        <v>44900</v>
      </c>
      <c r="B1160" s="87">
        <v>60704</v>
      </c>
      <c r="C1160" s="30">
        <f>57546.94*3.1182</f>
        <v>179442.868308</v>
      </c>
      <c r="D1160" s="116">
        <v>37017.599999999999</v>
      </c>
      <c r="E1160" s="116">
        <f t="shared" si="36"/>
        <v>142425.268308</v>
      </c>
      <c r="F1160" s="116">
        <f t="shared" si="37"/>
        <v>2.3462254267923037</v>
      </c>
      <c r="G1160" s="88" t="s">
        <v>17330</v>
      </c>
      <c r="H1160" s="284" t="s">
        <v>18870</v>
      </c>
      <c r="I1160" s="214">
        <v>44884</v>
      </c>
      <c r="J1160" s="116">
        <f>32272.8*35%</f>
        <v>11295.48</v>
      </c>
      <c r="N1160" s="671" t="s">
        <v>18907</v>
      </c>
      <c r="O1160" s="672">
        <v>25015.119999999999</v>
      </c>
    </row>
    <row r="1161" spans="1:15" ht="14.45" hidden="1">
      <c r="A1161" s="86">
        <v>44902</v>
      </c>
      <c r="B1161" s="87">
        <v>20750</v>
      </c>
      <c r="C1161" s="30">
        <v>54987.5</v>
      </c>
      <c r="D1161" s="116">
        <v>0</v>
      </c>
      <c r="E1161" s="116">
        <f t="shared" si="36"/>
        <v>54987.5</v>
      </c>
      <c r="F1161" s="116">
        <f t="shared" si="37"/>
        <v>2.65</v>
      </c>
      <c r="G1161" s="88" t="s">
        <v>19655</v>
      </c>
      <c r="H1161" s="284" t="s">
        <v>18878</v>
      </c>
      <c r="I1161" s="214">
        <v>44896</v>
      </c>
      <c r="J1161" s="116">
        <v>0</v>
      </c>
      <c r="N1161" s="671" t="s">
        <v>18909</v>
      </c>
      <c r="O1161" s="672">
        <v>3314.71</v>
      </c>
    </row>
    <row r="1162" spans="1:15" ht="14.45" hidden="1">
      <c r="A1162" s="86">
        <v>44902</v>
      </c>
      <c r="B1162" s="87">
        <v>200013</v>
      </c>
      <c r="C1162" s="30">
        <v>459529.55200000003</v>
      </c>
      <c r="D1162" s="116">
        <v>0</v>
      </c>
      <c r="E1162" s="116">
        <f t="shared" si="36"/>
        <v>459529.55200000003</v>
      </c>
      <c r="F1162" s="116">
        <f t="shared" si="37"/>
        <v>2.2974984226025308</v>
      </c>
      <c r="G1162" s="88" t="s">
        <v>18794</v>
      </c>
      <c r="H1162" s="284" t="s">
        <v>18868</v>
      </c>
      <c r="I1162" s="214">
        <v>44881</v>
      </c>
      <c r="J1162" s="116">
        <v>0</v>
      </c>
      <c r="N1162" s="671" t="s">
        <v>18910</v>
      </c>
      <c r="O1162" s="672">
        <v>0</v>
      </c>
    </row>
    <row r="1163" spans="1:15" ht="14.45" hidden="1">
      <c r="A1163" s="86">
        <v>44907</v>
      </c>
      <c r="B1163" s="87">
        <v>136915</v>
      </c>
      <c r="C1163" s="30">
        <v>295736.83199999999</v>
      </c>
      <c r="D1163" s="116">
        <v>0</v>
      </c>
      <c r="E1163" s="116">
        <f t="shared" si="36"/>
        <v>295736.83199999999</v>
      </c>
      <c r="F1163" s="116">
        <f t="shared" si="37"/>
        <v>2.1600031552423036</v>
      </c>
      <c r="G1163" s="88" t="s">
        <v>18794</v>
      </c>
      <c r="H1163" s="284" t="s">
        <v>18879</v>
      </c>
      <c r="I1163" s="214">
        <v>44901</v>
      </c>
      <c r="J1163" s="116">
        <v>0</v>
      </c>
      <c r="N1163" s="671" t="s">
        <v>18911</v>
      </c>
      <c r="O1163" s="672">
        <v>0</v>
      </c>
    </row>
    <row r="1164" spans="1:15" ht="14.45" hidden="1">
      <c r="A1164" s="86">
        <v>44909</v>
      </c>
      <c r="B1164" s="87">
        <v>38400</v>
      </c>
      <c r="C1164" s="30">
        <v>97920</v>
      </c>
      <c r="D1164" s="116">
        <v>0</v>
      </c>
      <c r="E1164" s="116">
        <f t="shared" si="36"/>
        <v>97920</v>
      </c>
      <c r="F1164" s="116">
        <f t="shared" si="37"/>
        <v>2.5499999999999998</v>
      </c>
      <c r="G1164" s="88" t="s">
        <v>17339</v>
      </c>
      <c r="H1164" s="284" t="s">
        <v>18877</v>
      </c>
      <c r="I1164" s="214">
        <v>44890</v>
      </c>
      <c r="J1164" s="116">
        <v>0</v>
      </c>
      <c r="N1164" s="671" t="s">
        <v>18912</v>
      </c>
      <c r="O1164" s="672">
        <v>0</v>
      </c>
    </row>
    <row r="1165" spans="1:15" ht="14.45" hidden="1">
      <c r="A1165" s="86">
        <v>44910</v>
      </c>
      <c r="B1165" s="87">
        <v>20150</v>
      </c>
      <c r="C1165" s="30">
        <f>17631.25*3.0921</f>
        <v>54517.588124999995</v>
      </c>
      <c r="D1165" s="116">
        <v>3368.3449999999998</v>
      </c>
      <c r="E1165" s="116">
        <f t="shared" si="36"/>
        <v>51149.243124999994</v>
      </c>
      <c r="F1165" s="116">
        <f t="shared" si="37"/>
        <v>2.5384239764267988</v>
      </c>
      <c r="G1165" s="88" t="s">
        <v>19659</v>
      </c>
      <c r="H1165" s="284" t="s">
        <v>18881</v>
      </c>
      <c r="I1165" s="214">
        <v>44904</v>
      </c>
      <c r="J1165" s="116">
        <v>0</v>
      </c>
      <c r="N1165" s="671" t="s">
        <v>18913</v>
      </c>
      <c r="O1165" s="672">
        <v>13947.42</v>
      </c>
    </row>
    <row r="1166" spans="1:15" ht="14.45" hidden="1">
      <c r="A1166" s="86">
        <v>44911</v>
      </c>
      <c r="B1166" s="87">
        <v>20150</v>
      </c>
      <c r="C1166" s="30">
        <f>19847.75*3.07345</f>
        <v>61001.067237499999</v>
      </c>
      <c r="D1166" s="116">
        <v>3368.3449999999998</v>
      </c>
      <c r="E1166" s="116">
        <f t="shared" si="36"/>
        <v>57632.722237499998</v>
      </c>
      <c r="F1166" s="116">
        <f t="shared" si="37"/>
        <v>2.860184726426799</v>
      </c>
      <c r="G1166" s="88" t="s">
        <v>19659</v>
      </c>
      <c r="H1166" s="284" t="s">
        <v>18883</v>
      </c>
      <c r="I1166" s="214">
        <v>44908</v>
      </c>
      <c r="J1166" s="116">
        <v>0</v>
      </c>
      <c r="N1166" s="671" t="s">
        <v>18914</v>
      </c>
      <c r="O1166" s="672">
        <v>0</v>
      </c>
    </row>
    <row r="1167" spans="1:15" ht="14.45" hidden="1">
      <c r="A1167" s="86">
        <v>44912</v>
      </c>
      <c r="B1167" s="87">
        <v>300000</v>
      </c>
      <c r="C1167" s="30">
        <v>753000</v>
      </c>
      <c r="D1167" s="116">
        <v>0</v>
      </c>
      <c r="E1167" s="116">
        <f t="shared" si="36"/>
        <v>753000</v>
      </c>
      <c r="F1167" s="116">
        <f t="shared" si="37"/>
        <v>2.5099999999999998</v>
      </c>
      <c r="G1167" s="88" t="s">
        <v>18794</v>
      </c>
      <c r="H1167" s="284" t="s">
        <v>18882</v>
      </c>
      <c r="I1167" s="214">
        <v>44905</v>
      </c>
      <c r="J1167" s="116">
        <v>0</v>
      </c>
      <c r="N1167" s="671" t="s">
        <v>18915</v>
      </c>
      <c r="O1167" s="672">
        <v>29171.794999999998</v>
      </c>
    </row>
    <row r="1168" spans="1:15" ht="14.45" hidden="1">
      <c r="A1168" s="86">
        <v>44914</v>
      </c>
      <c r="B1168" s="87">
        <v>20000</v>
      </c>
      <c r="C1168" s="30">
        <v>60000</v>
      </c>
      <c r="D1168" s="116">
        <v>0</v>
      </c>
      <c r="E1168" s="116">
        <f t="shared" si="36"/>
        <v>60000</v>
      </c>
      <c r="F1168" s="116">
        <f t="shared" si="37"/>
        <v>3</v>
      </c>
      <c r="G1168" s="88" t="s">
        <v>17018</v>
      </c>
      <c r="H1168" s="284" t="s">
        <v>18885</v>
      </c>
      <c r="I1168" s="214">
        <v>44908</v>
      </c>
      <c r="J1168" s="116">
        <v>0</v>
      </c>
      <c r="N1168" s="671" t="s">
        <v>18916</v>
      </c>
      <c r="O1168" s="672">
        <v>0</v>
      </c>
    </row>
    <row r="1169" spans="1:15" ht="14.45" hidden="1">
      <c r="A1169" s="86">
        <v>44915</v>
      </c>
      <c r="B1169" s="87">
        <v>96000</v>
      </c>
      <c r="C1169" s="30">
        <v>254400</v>
      </c>
      <c r="D1169" s="116">
        <v>0</v>
      </c>
      <c r="E1169" s="116">
        <f t="shared" si="36"/>
        <v>254400</v>
      </c>
      <c r="F1169" s="116">
        <f t="shared" si="37"/>
        <v>2.65</v>
      </c>
      <c r="G1169" s="88" t="s">
        <v>19656</v>
      </c>
      <c r="H1169" s="284" t="s">
        <v>18880</v>
      </c>
      <c r="I1169" s="214">
        <v>44904</v>
      </c>
      <c r="J1169" s="116">
        <v>0</v>
      </c>
      <c r="N1169" s="671" t="s">
        <v>18917</v>
      </c>
      <c r="O1169" s="672">
        <v>0</v>
      </c>
    </row>
    <row r="1170" spans="1:15" ht="14.45" hidden="1">
      <c r="A1170" s="86">
        <v>44916</v>
      </c>
      <c r="B1170" s="87">
        <v>11016</v>
      </c>
      <c r="C1170" s="30">
        <f>13295.68*3.27635</f>
        <v>43561.301167999998</v>
      </c>
      <c r="D1170" s="116">
        <v>9898.8700000000008</v>
      </c>
      <c r="E1170" s="116">
        <f t="shared" si="36"/>
        <v>33662.431167999996</v>
      </c>
      <c r="F1170" s="116">
        <f t="shared" si="37"/>
        <v>3.0557762498184453</v>
      </c>
      <c r="G1170" s="88" t="s">
        <v>19661</v>
      </c>
      <c r="H1170" s="284" t="s">
        <v>18892</v>
      </c>
      <c r="I1170" s="214">
        <v>44910</v>
      </c>
      <c r="J1170" s="116">
        <f>8196.66*35%</f>
        <v>2868.8309999999997</v>
      </c>
      <c r="N1170" s="671" t="s">
        <v>18918</v>
      </c>
      <c r="O1170" s="672">
        <v>0</v>
      </c>
    </row>
    <row r="1171" spans="1:15" ht="14.45" hidden="1">
      <c r="A1171" s="86">
        <v>44917</v>
      </c>
      <c r="B1171" s="87">
        <v>27828</v>
      </c>
      <c r="C1171" s="30">
        <f>31261.44*3.27015</f>
        <v>102229.598016</v>
      </c>
      <c r="D1171" s="116">
        <v>14627.85</v>
      </c>
      <c r="E1171" s="116">
        <f t="shared" si="36"/>
        <v>87601.748015999998</v>
      </c>
      <c r="F1171" s="116">
        <f t="shared" si="37"/>
        <v>3.147971396291505</v>
      </c>
      <c r="G1171" s="88" t="s">
        <v>19661</v>
      </c>
      <c r="H1171" s="284" t="s">
        <v>18887</v>
      </c>
      <c r="I1171" s="214">
        <v>44908</v>
      </c>
      <c r="J1171" s="116">
        <f>12675*35%</f>
        <v>4436.25</v>
      </c>
      <c r="N1171" s="671" t="s">
        <v>18919</v>
      </c>
      <c r="O1171" s="672">
        <v>0</v>
      </c>
    </row>
    <row r="1172" spans="1:15" ht="14.45" hidden="1">
      <c r="A1172" s="86">
        <v>44917</v>
      </c>
      <c r="B1172" s="87">
        <v>21600</v>
      </c>
      <c r="C1172" s="30">
        <f>25248*3.27015</f>
        <v>82564.747199999998</v>
      </c>
      <c r="D1172" s="116">
        <v>14163.465</v>
      </c>
      <c r="E1172" s="116">
        <f t="shared" si="36"/>
        <v>68401.282200000001</v>
      </c>
      <c r="F1172" s="116">
        <f t="shared" si="37"/>
        <v>3.166726027777778</v>
      </c>
      <c r="G1172" s="88" t="s">
        <v>19661</v>
      </c>
      <c r="H1172" s="284" t="s">
        <v>18888</v>
      </c>
      <c r="I1172" s="214">
        <v>44908</v>
      </c>
      <c r="J1172" s="116">
        <f>12710.1*35%</f>
        <v>4448.5349999999999</v>
      </c>
      <c r="N1172" s="671" t="s">
        <v>18920</v>
      </c>
      <c r="O1172" s="672">
        <v>0</v>
      </c>
    </row>
    <row r="1173" spans="1:15" ht="14.45" hidden="1">
      <c r="A1173" s="86">
        <v>44917</v>
      </c>
      <c r="B1173" s="87">
        <v>252000</v>
      </c>
      <c r="C1173" s="30">
        <v>560820</v>
      </c>
      <c r="D1173" s="116">
        <v>0</v>
      </c>
      <c r="E1173" s="116">
        <f t="shared" si="36"/>
        <v>560820</v>
      </c>
      <c r="F1173" s="116">
        <f t="shared" si="37"/>
        <v>2.2254761904761904</v>
      </c>
      <c r="G1173" s="88" t="s">
        <v>18794</v>
      </c>
      <c r="H1173" s="284" t="s">
        <v>18884</v>
      </c>
      <c r="I1173" s="214">
        <v>44908</v>
      </c>
      <c r="J1173" s="116">
        <v>0</v>
      </c>
      <c r="N1173" s="671" t="s">
        <v>18921</v>
      </c>
      <c r="O1173" s="672">
        <v>0</v>
      </c>
    </row>
    <row r="1174" spans="1:15" ht="14.45" hidden="1">
      <c r="A1174" s="86">
        <v>44918</v>
      </c>
      <c r="B1174" s="87">
        <v>25500</v>
      </c>
      <c r="C1174" s="30">
        <f>47070*3.0766</f>
        <v>144815.56200000001</v>
      </c>
      <c r="D1174" s="116">
        <v>0</v>
      </c>
      <c r="E1174" s="116">
        <f t="shared" si="36"/>
        <v>144815.56200000001</v>
      </c>
      <c r="F1174" s="116">
        <f t="shared" si="37"/>
        <v>5.6790416470588241</v>
      </c>
      <c r="G1174" s="88" t="s">
        <v>19834</v>
      </c>
      <c r="H1174" s="284" t="s">
        <v>18893</v>
      </c>
      <c r="I1174" s="214">
        <v>44910</v>
      </c>
      <c r="J1174" s="116">
        <v>0</v>
      </c>
      <c r="N1174" s="671" t="s">
        <v>18922</v>
      </c>
      <c r="O1174" s="672">
        <v>0</v>
      </c>
    </row>
    <row r="1175" spans="1:15" ht="14.45" hidden="1">
      <c r="A1175" s="86">
        <v>44919</v>
      </c>
      <c r="B1175" s="87">
        <v>165600</v>
      </c>
      <c r="C1175" s="30">
        <v>380880</v>
      </c>
      <c r="D1175" s="116">
        <v>0</v>
      </c>
      <c r="E1175" s="116">
        <f t="shared" si="36"/>
        <v>380880</v>
      </c>
      <c r="F1175" s="116">
        <f t="shared" si="37"/>
        <v>2.2999999999999998</v>
      </c>
      <c r="G1175" s="88" t="s">
        <v>19833</v>
      </c>
      <c r="H1175" s="284" t="s">
        <v>18896</v>
      </c>
      <c r="I1175" s="214">
        <v>44911</v>
      </c>
      <c r="J1175" s="116">
        <v>0</v>
      </c>
      <c r="N1175" s="671" t="s">
        <v>18923</v>
      </c>
      <c r="O1175" s="672">
        <v>0</v>
      </c>
    </row>
    <row r="1176" spans="1:15" ht="14.45" hidden="1">
      <c r="A1176" s="86">
        <v>44919</v>
      </c>
      <c r="B1176" s="87">
        <v>96848</v>
      </c>
      <c r="C1176" s="30">
        <v>313919.2</v>
      </c>
      <c r="D1176" s="116">
        <v>0</v>
      </c>
      <c r="E1176" s="116">
        <f t="shared" si="36"/>
        <v>313919.2</v>
      </c>
      <c r="F1176" s="116">
        <f t="shared" si="37"/>
        <v>3.241359656368743</v>
      </c>
      <c r="G1176" s="88" t="s">
        <v>18833</v>
      </c>
      <c r="H1176" s="284" t="s">
        <v>18898</v>
      </c>
      <c r="I1176" s="214">
        <v>44915</v>
      </c>
      <c r="J1176" s="116">
        <v>0</v>
      </c>
      <c r="N1176" s="671" t="s">
        <v>18924</v>
      </c>
      <c r="O1176" s="672">
        <v>0</v>
      </c>
    </row>
    <row r="1177" spans="1:15" ht="14.45" hidden="1">
      <c r="A1177" s="86">
        <v>44921</v>
      </c>
      <c r="B1177" s="87">
        <v>22008</v>
      </c>
      <c r="C1177" s="30">
        <v>56780.639999999999</v>
      </c>
      <c r="D1177" s="116">
        <v>0</v>
      </c>
      <c r="E1177" s="116">
        <f t="shared" si="36"/>
        <v>56780.639999999999</v>
      </c>
      <c r="F1177" s="116">
        <f t="shared" si="37"/>
        <v>2.58</v>
      </c>
      <c r="G1177" s="88" t="s">
        <v>19655</v>
      </c>
      <c r="H1177" s="284" t="s">
        <v>18891</v>
      </c>
      <c r="I1177" s="214">
        <v>44909</v>
      </c>
      <c r="J1177" s="116">
        <v>0</v>
      </c>
      <c r="N1177" s="671" t="s">
        <v>18925</v>
      </c>
      <c r="O1177" s="672">
        <v>0</v>
      </c>
    </row>
    <row r="1178" spans="1:15" ht="14.45" hidden="1">
      <c r="A1178" s="86">
        <v>44921</v>
      </c>
      <c r="B1178" s="87">
        <v>19200</v>
      </c>
      <c r="C1178" s="30">
        <v>51840</v>
      </c>
      <c r="D1178" s="116">
        <v>0</v>
      </c>
      <c r="E1178" s="116">
        <f t="shared" si="36"/>
        <v>51840</v>
      </c>
      <c r="F1178" s="116">
        <f t="shared" si="37"/>
        <v>2.7</v>
      </c>
      <c r="G1178" s="88" t="s">
        <v>19655</v>
      </c>
      <c r="H1178" s="284" t="s">
        <v>18897</v>
      </c>
      <c r="I1178" s="214">
        <v>44915</v>
      </c>
      <c r="J1178" s="116">
        <v>0</v>
      </c>
      <c r="N1178" s="671" t="s">
        <v>18926</v>
      </c>
      <c r="O1178" s="672">
        <v>0</v>
      </c>
    </row>
    <row r="1179" spans="1:15" ht="14.45" hidden="1">
      <c r="A1179" s="86">
        <v>44922</v>
      </c>
      <c r="B1179" s="87">
        <v>90000</v>
      </c>
      <c r="C1179" s="30">
        <f>80550*3.0824</f>
        <v>248287.31999999998</v>
      </c>
      <c r="D1179" s="116">
        <v>0</v>
      </c>
      <c r="E1179" s="116">
        <f t="shared" si="36"/>
        <v>248287.31999999998</v>
      </c>
      <c r="F1179" s="116">
        <f t="shared" si="37"/>
        <v>2.7587479999999998</v>
      </c>
      <c r="G1179" s="88" t="s">
        <v>19834</v>
      </c>
      <c r="H1179" s="284" t="s">
        <v>18894</v>
      </c>
      <c r="I1179" s="214">
        <v>44910</v>
      </c>
      <c r="J1179" s="116">
        <v>0</v>
      </c>
      <c r="N1179" s="671" t="s">
        <v>18927</v>
      </c>
      <c r="O1179" s="672">
        <v>0</v>
      </c>
    </row>
    <row r="1180" spans="1:15" ht="14.45" hidden="1">
      <c r="A1180" s="86">
        <v>44922</v>
      </c>
      <c r="B1180" s="87">
        <v>21540</v>
      </c>
      <c r="C1180" s="30">
        <f>25769*3.0824</f>
        <v>79430.36559999999</v>
      </c>
      <c r="D1180" s="116">
        <v>8877.0049999999992</v>
      </c>
      <c r="E1180" s="116">
        <f t="shared" si="36"/>
        <v>70553.360599999985</v>
      </c>
      <c r="F1180" s="116">
        <f t="shared" si="37"/>
        <v>3.2754577808727943</v>
      </c>
      <c r="G1180" s="88" t="s">
        <v>17210</v>
      </c>
      <c r="H1180" s="284" t="s">
        <v>18889</v>
      </c>
      <c r="I1180" s="214">
        <v>44908</v>
      </c>
      <c r="J1180" s="116">
        <f>1657.5*25%</f>
        <v>414.375</v>
      </c>
      <c r="N1180" s="671" t="s">
        <v>18928</v>
      </c>
      <c r="O1180" s="672">
        <v>0</v>
      </c>
    </row>
    <row r="1181" spans="1:15" s="72" customFormat="1" ht="14.45" hidden="1">
      <c r="A1181" s="232">
        <v>44922</v>
      </c>
      <c r="B1181" s="668">
        <v>112000</v>
      </c>
      <c r="C1181" s="108">
        <f>78400*3.2738</f>
        <v>256665.92</v>
      </c>
      <c r="D1181" s="119">
        <v>30758.038</v>
      </c>
      <c r="E1181" s="119">
        <f t="shared" si="36"/>
        <v>225907.88200000001</v>
      </c>
      <c r="F1181" s="119">
        <f t="shared" si="37"/>
        <v>2.0170346607142857</v>
      </c>
      <c r="G1181" s="88" t="s">
        <v>19722</v>
      </c>
      <c r="H1181" s="669" t="s">
        <v>18886</v>
      </c>
      <c r="I1181" s="670">
        <v>44908</v>
      </c>
      <c r="J1181" s="119">
        <f>23875.38*35%</f>
        <v>8356.3829999999998</v>
      </c>
      <c r="N1181" s="671" t="s">
        <v>18929</v>
      </c>
      <c r="O1181" s="672">
        <v>3712.72</v>
      </c>
    </row>
    <row r="1182" spans="1:15" s="72" customFormat="1" ht="14.45" hidden="1">
      <c r="A1182" s="232">
        <v>44923</v>
      </c>
      <c r="B1182" s="668">
        <v>112000</v>
      </c>
      <c r="C1182" s="108">
        <f>78400*3.2738</f>
        <v>256665.92</v>
      </c>
      <c r="D1182" s="119">
        <v>31174.538</v>
      </c>
      <c r="E1182" s="119">
        <f>(C1182-D1182)</f>
        <v>225491.38200000001</v>
      </c>
      <c r="F1182" s="119">
        <f>(E1182/B1182)</f>
        <v>2.0133159107142857</v>
      </c>
      <c r="G1182" s="88" t="s">
        <v>19722</v>
      </c>
      <c r="H1182" s="669" t="s">
        <v>18890</v>
      </c>
      <c r="I1182" s="670">
        <v>44909</v>
      </c>
      <c r="J1182" s="119">
        <f>23875.38*35%</f>
        <v>8356.3829999999998</v>
      </c>
      <c r="N1182" s="671" t="s">
        <v>18930</v>
      </c>
      <c r="O1182" s="672">
        <v>0</v>
      </c>
    </row>
    <row r="1183" spans="1:15" s="72" customFormat="1" ht="14.45" hidden="1">
      <c r="A1183" s="232">
        <v>44923</v>
      </c>
      <c r="B1183" s="668">
        <v>112000</v>
      </c>
      <c r="C1183" s="108">
        <f>78400*3.27435</f>
        <v>256709.04</v>
      </c>
      <c r="D1183" s="119">
        <v>30758.038</v>
      </c>
      <c r="E1183" s="119">
        <f>(C1183-D1183)</f>
        <v>225951.00200000001</v>
      </c>
      <c r="F1183" s="119">
        <f>(E1183/B1183)</f>
        <v>2.0174196607142858</v>
      </c>
      <c r="G1183" s="88" t="s">
        <v>19722</v>
      </c>
      <c r="H1183" s="669" t="s">
        <v>18875</v>
      </c>
      <c r="I1183" s="670">
        <v>44888</v>
      </c>
      <c r="J1183" s="119">
        <f>23875.38*35%</f>
        <v>8356.3829999999998</v>
      </c>
      <c r="N1183" s="671" t="s">
        <v>18931</v>
      </c>
      <c r="O1183" s="672">
        <v>0</v>
      </c>
    </row>
    <row r="1184" spans="1:15" s="72" customFormat="1" ht="14.45" hidden="1">
      <c r="A1184" s="81">
        <v>44925</v>
      </c>
      <c r="B1184" s="82">
        <v>274572</v>
      </c>
      <c r="C1184" s="83">
        <f>228191.36*3.07775</f>
        <v>702315.95823999995</v>
      </c>
      <c r="D1184" s="116">
        <v>107729.36199999999</v>
      </c>
      <c r="E1184" s="116">
        <f>(C1184-D1184)</f>
        <v>594586.59623999998</v>
      </c>
      <c r="F1184" s="116">
        <f>(E1184/B1184)</f>
        <v>2.1655033879638128</v>
      </c>
      <c r="G1184" s="88" t="s">
        <v>19662</v>
      </c>
      <c r="H1184" s="284" t="s">
        <v>18900</v>
      </c>
      <c r="I1184" s="673">
        <v>44918</v>
      </c>
      <c r="J1184" s="116">
        <f>92820*35%</f>
        <v>32486.999999999996</v>
      </c>
      <c r="N1184" s="671" t="s">
        <v>18932</v>
      </c>
      <c r="O1184" s="672">
        <v>3364.78</v>
      </c>
    </row>
    <row r="1185" spans="1:15" s="72" customFormat="1" ht="14.45" hidden="1">
      <c r="A1185" s="232">
        <v>44925</v>
      </c>
      <c r="B1185" s="668">
        <v>53536</v>
      </c>
      <c r="C1185" s="108">
        <f>71455.2*3.0804</f>
        <v>220110.59808</v>
      </c>
      <c r="D1185" s="119">
        <v>66167.115000000005</v>
      </c>
      <c r="E1185" s="119">
        <f>(C1185-D1185)</f>
        <v>153943.48307999998</v>
      </c>
      <c r="F1185" s="119">
        <f>(E1185/B1185)</f>
        <v>2.8755133569934244</v>
      </c>
      <c r="G1185" s="88" t="s">
        <v>19779</v>
      </c>
      <c r="H1185" s="669" t="s">
        <v>18899</v>
      </c>
      <c r="I1185" s="670">
        <v>44916</v>
      </c>
      <c r="J1185" s="119">
        <f>62504.4*25%</f>
        <v>15626.1</v>
      </c>
      <c r="N1185" s="671" t="s">
        <v>18933</v>
      </c>
      <c r="O1185" s="672">
        <v>10333.6</v>
      </c>
    </row>
    <row r="1186" spans="1:15" s="72" customFormat="1" ht="14.45" hidden="1">
      <c r="A1186" s="81">
        <v>44925</v>
      </c>
      <c r="B1186" s="82">
        <v>122400</v>
      </c>
      <c r="C1186" s="83">
        <f>107712*3.07775</f>
        <v>331510.60800000001</v>
      </c>
      <c r="D1186" s="116">
        <v>0</v>
      </c>
      <c r="E1186" s="116">
        <f>(C1186-D1186)</f>
        <v>331510.60800000001</v>
      </c>
      <c r="F1186" s="116">
        <f>(E1186/B1186)</f>
        <v>2.7084200000000003</v>
      </c>
      <c r="G1186" s="88" t="s">
        <v>19843</v>
      </c>
      <c r="H1186" s="284" t="s">
        <v>18895</v>
      </c>
      <c r="I1186" s="673">
        <v>44910</v>
      </c>
      <c r="J1186" s="116">
        <v>0</v>
      </c>
      <c r="N1186" s="671" t="s">
        <v>18934</v>
      </c>
      <c r="O1186" s="672">
        <v>0</v>
      </c>
    </row>
    <row r="1187" spans="1:15" ht="12.95" hidden="1">
      <c r="A1187" s="674">
        <v>44935</v>
      </c>
      <c r="B1187" s="675">
        <v>20503.28</v>
      </c>
      <c r="C1187" s="676">
        <f>35971.22*2.28755</f>
        <v>82285.964311000003</v>
      </c>
      <c r="D1187" s="119">
        <v>28109.915000000001</v>
      </c>
      <c r="E1187" s="119">
        <f t="shared" ref="E1187:E1250" si="38">(C1187-D1187)</f>
        <v>54176.049311000002</v>
      </c>
      <c r="F1187" s="119">
        <f t="shared" ref="F1187:F1250" si="39">(E1187/B1187)</f>
        <v>2.642311342916841</v>
      </c>
      <c r="G1187" s="88" t="s">
        <v>17305</v>
      </c>
      <c r="H1187" s="677" t="s">
        <v>18902</v>
      </c>
      <c r="I1187" s="678">
        <v>44929</v>
      </c>
      <c r="J1187" s="119">
        <f>26468.7*18%</f>
        <v>4764.366</v>
      </c>
      <c r="K1187" s="635"/>
      <c r="L1187" s="635"/>
      <c r="M1187" s="635"/>
      <c r="N1187" s="671" t="s">
        <v>18935</v>
      </c>
      <c r="O1187" s="672">
        <v>9219.94</v>
      </c>
    </row>
    <row r="1188" spans="1:15" ht="12.95" hidden="1">
      <c r="A1188" s="674">
        <v>44937</v>
      </c>
      <c r="B1188" s="679">
        <v>280000</v>
      </c>
      <c r="C1188" s="676">
        <f>207950*3.2666</f>
        <v>679289.47</v>
      </c>
      <c r="D1188" s="119">
        <v>94961</v>
      </c>
      <c r="E1188" s="119">
        <f t="shared" si="38"/>
        <v>584328.47</v>
      </c>
      <c r="F1188" s="119">
        <f t="shared" si="39"/>
        <v>2.0868873928571428</v>
      </c>
      <c r="G1188" s="88" t="s">
        <v>19722</v>
      </c>
      <c r="H1188" s="677" t="s">
        <v>18903</v>
      </c>
      <c r="I1188" s="678">
        <v>44929</v>
      </c>
      <c r="J1188" s="119">
        <f>75577.9*30%</f>
        <v>22673.37</v>
      </c>
      <c r="K1188" s="635"/>
      <c r="L1188" s="635"/>
      <c r="M1188" s="635"/>
      <c r="N1188" s="671" t="s">
        <v>18936</v>
      </c>
      <c r="O1188" s="672">
        <v>13708.305</v>
      </c>
    </row>
    <row r="1189" spans="1:15" ht="12.95" hidden="1">
      <c r="A1189" s="674">
        <v>44942</v>
      </c>
      <c r="B1189" s="679">
        <v>21600</v>
      </c>
      <c r="C1189" s="676">
        <f>25248*3.2989</f>
        <v>83290.627200000003</v>
      </c>
      <c r="D1189" s="119">
        <v>13591.61</v>
      </c>
      <c r="E1189" s="119">
        <f t="shared" si="38"/>
        <v>69699.017200000002</v>
      </c>
      <c r="F1189" s="119">
        <f t="shared" si="39"/>
        <v>3.2268063518518519</v>
      </c>
      <c r="G1189" s="88" t="s">
        <v>19661</v>
      </c>
      <c r="H1189" s="677" t="s">
        <v>18906</v>
      </c>
      <c r="I1189" s="678">
        <v>44936</v>
      </c>
      <c r="J1189" s="119">
        <f>12030.8*30%</f>
        <v>3609.24</v>
      </c>
      <c r="K1189" s="635"/>
      <c r="L1189" s="635"/>
      <c r="M1189" s="635"/>
      <c r="N1189" s="671" t="s">
        <v>18937</v>
      </c>
      <c r="O1189" s="672">
        <v>0</v>
      </c>
    </row>
    <row r="1190" spans="1:15" ht="12.95" hidden="1">
      <c r="A1190" s="674">
        <v>44943</v>
      </c>
      <c r="B1190" s="679">
        <v>110400</v>
      </c>
      <c r="C1190" s="676">
        <v>253920</v>
      </c>
      <c r="D1190" s="119">
        <v>0</v>
      </c>
      <c r="E1190" s="119">
        <f t="shared" si="38"/>
        <v>253920</v>
      </c>
      <c r="F1190" s="119">
        <f t="shared" si="39"/>
        <v>2.2999999999999998</v>
      </c>
      <c r="G1190" s="88" t="s">
        <v>19833</v>
      </c>
      <c r="H1190" s="677" t="s">
        <v>18905</v>
      </c>
      <c r="I1190" s="678">
        <v>44935</v>
      </c>
      <c r="J1190" s="119">
        <v>0</v>
      </c>
      <c r="K1190" s="635"/>
      <c r="L1190" s="635"/>
      <c r="M1190" s="635"/>
      <c r="N1190" s="671" t="s">
        <v>18938</v>
      </c>
      <c r="O1190" s="672">
        <v>0</v>
      </c>
    </row>
    <row r="1191" spans="1:15" ht="12.95" hidden="1">
      <c r="A1191" s="674">
        <v>44946</v>
      </c>
      <c r="B1191" s="679">
        <v>26400</v>
      </c>
      <c r="C1191" s="676">
        <v>65352</v>
      </c>
      <c r="D1191" s="119">
        <v>0</v>
      </c>
      <c r="E1191" s="119">
        <f t="shared" si="38"/>
        <v>65352</v>
      </c>
      <c r="F1191" s="119">
        <f t="shared" si="39"/>
        <v>2.4754545454545456</v>
      </c>
      <c r="G1191" s="88" t="s">
        <v>19826</v>
      </c>
      <c r="H1191" s="677" t="s">
        <v>18904</v>
      </c>
      <c r="I1191" s="678">
        <v>44930</v>
      </c>
      <c r="J1191" s="119">
        <v>0</v>
      </c>
      <c r="K1191" s="635"/>
      <c r="L1191" s="635"/>
      <c r="M1191" s="635"/>
      <c r="N1191" s="671" t="s">
        <v>18939</v>
      </c>
      <c r="O1191" s="672">
        <v>0</v>
      </c>
    </row>
    <row r="1192" spans="1:15" ht="12.95" hidden="1">
      <c r="A1192" s="674">
        <v>44950</v>
      </c>
      <c r="B1192" s="679">
        <v>50000</v>
      </c>
      <c r="C1192" s="676">
        <v>116500</v>
      </c>
      <c r="D1192" s="119">
        <v>0</v>
      </c>
      <c r="E1192" s="119">
        <f t="shared" si="38"/>
        <v>116500</v>
      </c>
      <c r="F1192" s="119">
        <f t="shared" si="39"/>
        <v>2.33</v>
      </c>
      <c r="G1192" s="88" t="s">
        <v>19655</v>
      </c>
      <c r="H1192" s="677" t="s">
        <v>18910</v>
      </c>
      <c r="I1192" s="678">
        <v>44943</v>
      </c>
      <c r="J1192" s="119">
        <v>0</v>
      </c>
      <c r="K1192" s="635"/>
      <c r="L1192" s="635"/>
      <c r="M1192" s="635"/>
      <c r="N1192" s="671" t="s">
        <v>18940</v>
      </c>
      <c r="O1192" s="672">
        <v>0</v>
      </c>
    </row>
    <row r="1193" spans="1:15" ht="12.95" hidden="1">
      <c r="A1193" s="674">
        <v>44950</v>
      </c>
      <c r="B1193" s="679">
        <v>83400</v>
      </c>
      <c r="C1193" s="676">
        <v>215778</v>
      </c>
      <c r="D1193" s="119">
        <v>0</v>
      </c>
      <c r="E1193" s="119">
        <f t="shared" si="38"/>
        <v>215778</v>
      </c>
      <c r="F1193" s="119">
        <f t="shared" si="39"/>
        <v>2.5872661870503597</v>
      </c>
      <c r="G1193" s="88" t="s">
        <v>19647</v>
      </c>
      <c r="H1193" s="677" t="s">
        <v>18901</v>
      </c>
      <c r="I1193" s="678">
        <v>44928</v>
      </c>
      <c r="J1193" s="119">
        <v>0</v>
      </c>
      <c r="K1193" s="635"/>
      <c r="L1193" s="635"/>
      <c r="M1193" s="635"/>
      <c r="N1193" s="671" t="s">
        <v>18941</v>
      </c>
      <c r="O1193" s="672">
        <v>0</v>
      </c>
    </row>
    <row r="1194" spans="1:15" ht="12.95" hidden="1">
      <c r="A1194" s="674">
        <v>44951</v>
      </c>
      <c r="B1194" s="679">
        <v>21600</v>
      </c>
      <c r="C1194" s="676">
        <v>56592</v>
      </c>
      <c r="D1194" s="119">
        <v>0</v>
      </c>
      <c r="E1194" s="119">
        <f t="shared" si="38"/>
        <v>56592</v>
      </c>
      <c r="F1194" s="119">
        <f t="shared" si="39"/>
        <v>2.62</v>
      </c>
      <c r="G1194" s="88" t="s">
        <v>19655</v>
      </c>
      <c r="H1194" s="677" t="s">
        <v>18911</v>
      </c>
      <c r="I1194" s="678">
        <v>44943</v>
      </c>
      <c r="J1194" s="119">
        <v>0</v>
      </c>
      <c r="K1194" s="635"/>
      <c r="L1194" s="635"/>
      <c r="M1194" s="635"/>
      <c r="N1194" s="671" t="s">
        <v>18942</v>
      </c>
      <c r="O1194" s="672">
        <v>0</v>
      </c>
    </row>
    <row r="1195" spans="1:15" ht="12.95" hidden="1">
      <c r="A1195" s="674">
        <v>44951</v>
      </c>
      <c r="B1195" s="679">
        <v>43200</v>
      </c>
      <c r="C1195" s="676">
        <v>115344</v>
      </c>
      <c r="D1195" s="119">
        <v>0</v>
      </c>
      <c r="E1195" s="119">
        <f t="shared" si="38"/>
        <v>115344</v>
      </c>
      <c r="F1195" s="119">
        <f t="shared" si="39"/>
        <v>2.67</v>
      </c>
      <c r="G1195" s="88" t="s">
        <v>19655</v>
      </c>
      <c r="H1195" s="677" t="s">
        <v>18914</v>
      </c>
      <c r="I1195" s="678">
        <v>44944</v>
      </c>
      <c r="J1195" s="119">
        <v>0</v>
      </c>
      <c r="K1195" s="635"/>
      <c r="L1195" s="635"/>
      <c r="M1195" s="635"/>
      <c r="N1195" s="671" t="s">
        <v>18943</v>
      </c>
      <c r="O1195" s="672">
        <v>0</v>
      </c>
    </row>
    <row r="1196" spans="1:15" ht="12.95" hidden="1">
      <c r="A1196" s="674">
        <v>44951</v>
      </c>
      <c r="B1196" s="679">
        <v>84020</v>
      </c>
      <c r="C1196" s="676">
        <f>60523.1*3.0359</f>
        <v>183742.07928999999</v>
      </c>
      <c r="D1196" s="119">
        <v>25015.119999999999</v>
      </c>
      <c r="E1196" s="119">
        <f t="shared" si="38"/>
        <v>158726.95929</v>
      </c>
      <c r="F1196" s="119">
        <f t="shared" si="39"/>
        <v>1.8891568589621519</v>
      </c>
      <c r="G1196" s="88" t="s">
        <v>19846</v>
      </c>
      <c r="H1196" s="677" t="s">
        <v>18907</v>
      </c>
      <c r="I1196" s="678">
        <v>44942</v>
      </c>
      <c r="J1196" s="119">
        <f>19542.4*30%</f>
        <v>5862.72</v>
      </c>
      <c r="K1196" s="635"/>
      <c r="L1196" s="635"/>
      <c r="M1196" s="635"/>
      <c r="N1196" s="671" t="s">
        <v>18944</v>
      </c>
      <c r="O1196" s="672">
        <v>0</v>
      </c>
    </row>
    <row r="1197" spans="1:15" ht="12.95" hidden="1">
      <c r="A1197" s="674">
        <v>44951</v>
      </c>
      <c r="B1197" s="679">
        <v>22008</v>
      </c>
      <c r="C1197" s="676">
        <v>57220.800000000003</v>
      </c>
      <c r="D1197" s="119">
        <v>0</v>
      </c>
      <c r="E1197" s="119">
        <f t="shared" si="38"/>
        <v>57220.800000000003</v>
      </c>
      <c r="F1197" s="119">
        <f t="shared" si="39"/>
        <v>2.6</v>
      </c>
      <c r="G1197" s="88" t="s">
        <v>19655</v>
      </c>
      <c r="H1197" s="677" t="s">
        <v>18912</v>
      </c>
      <c r="I1197" s="678">
        <v>44943</v>
      </c>
      <c r="J1197" s="119">
        <v>0</v>
      </c>
      <c r="K1197" s="635"/>
      <c r="L1197" s="635"/>
      <c r="M1197" s="635"/>
      <c r="N1197" s="671" t="s">
        <v>18945</v>
      </c>
      <c r="O1197" s="672">
        <v>0</v>
      </c>
    </row>
    <row r="1198" spans="1:15" ht="12.95" hidden="1">
      <c r="A1198" s="674">
        <v>44952</v>
      </c>
      <c r="B1198" s="679">
        <v>27756</v>
      </c>
      <c r="C1198" s="676">
        <f>31145.88*3.3009</f>
        <v>102809.43529199999</v>
      </c>
      <c r="D1198" s="119">
        <v>13947.42</v>
      </c>
      <c r="E1198" s="119">
        <f t="shared" si="38"/>
        <v>88862.015291999996</v>
      </c>
      <c r="F1198" s="119">
        <f t="shared" si="39"/>
        <v>3.2015425598789449</v>
      </c>
      <c r="G1198" s="88" t="s">
        <v>19661</v>
      </c>
      <c r="H1198" s="677" t="s">
        <v>18913</v>
      </c>
      <c r="I1198" s="678">
        <v>44943</v>
      </c>
      <c r="J1198" s="119">
        <f>11977.6*30%</f>
        <v>3593.28</v>
      </c>
      <c r="K1198" s="635"/>
      <c r="L1198" s="635"/>
      <c r="M1198" s="635"/>
      <c r="N1198" s="671" t="s">
        <v>18946</v>
      </c>
      <c r="O1198" s="672">
        <v>42575.360000000001</v>
      </c>
    </row>
    <row r="1199" spans="1:15" ht="12.95" hidden="1">
      <c r="A1199" s="674">
        <v>44953</v>
      </c>
      <c r="B1199" s="679">
        <v>56000</v>
      </c>
      <c r="C1199" s="676">
        <v>126280</v>
      </c>
      <c r="D1199" s="119">
        <v>0</v>
      </c>
      <c r="E1199" s="119">
        <f t="shared" si="38"/>
        <v>126280</v>
      </c>
      <c r="F1199" s="119">
        <f t="shared" si="39"/>
        <v>2.2549999999999999</v>
      </c>
      <c r="G1199" s="88" t="s">
        <v>19647</v>
      </c>
      <c r="H1199" s="677" t="s">
        <v>18918</v>
      </c>
      <c r="I1199" s="678">
        <v>44951</v>
      </c>
      <c r="J1199" s="119">
        <v>0</v>
      </c>
      <c r="K1199" s="635"/>
      <c r="L1199" s="635"/>
      <c r="M1199" s="635"/>
      <c r="N1199" s="671" t="s">
        <v>18947</v>
      </c>
      <c r="O1199" s="672">
        <v>0</v>
      </c>
    </row>
    <row r="1200" spans="1:15" ht="12.95" hidden="1">
      <c r="A1200" s="674">
        <v>44956</v>
      </c>
      <c r="B1200" s="679">
        <v>23160</v>
      </c>
      <c r="C1200" s="676">
        <v>71796</v>
      </c>
      <c r="D1200" s="119">
        <v>0</v>
      </c>
      <c r="E1200" s="119">
        <f t="shared" si="38"/>
        <v>71796</v>
      </c>
      <c r="F1200" s="119">
        <f t="shared" si="39"/>
        <v>3.1</v>
      </c>
      <c r="G1200" s="88" t="s">
        <v>17018</v>
      </c>
      <c r="H1200" s="677" t="s">
        <v>18917</v>
      </c>
      <c r="I1200" s="678">
        <v>44951</v>
      </c>
      <c r="J1200" s="119">
        <v>0</v>
      </c>
      <c r="K1200" s="635"/>
      <c r="L1200" s="635"/>
      <c r="M1200" s="635"/>
      <c r="N1200" s="671" t="s">
        <v>18948</v>
      </c>
      <c r="O1200" s="672">
        <v>26524.7</v>
      </c>
    </row>
    <row r="1201" spans="1:15" ht="12.95" hidden="1">
      <c r="A1201" s="674">
        <v>44956</v>
      </c>
      <c r="B1201" s="679">
        <v>112000</v>
      </c>
      <c r="C1201" s="676">
        <f>73920*3.30345</f>
        <v>244191.024</v>
      </c>
      <c r="D1201" s="119">
        <v>29171.794999999998</v>
      </c>
      <c r="E1201" s="119">
        <f t="shared" si="38"/>
        <v>215019.22899999999</v>
      </c>
      <c r="F1201" s="119">
        <f t="shared" si="39"/>
        <v>1.9198145446428572</v>
      </c>
      <c r="G1201" s="88" t="s">
        <v>19722</v>
      </c>
      <c r="H1201" s="677" t="s">
        <v>18915</v>
      </c>
      <c r="I1201" s="678">
        <v>44944</v>
      </c>
      <c r="J1201" s="119">
        <f>23605.6*30%</f>
        <v>7081.6799999999994</v>
      </c>
      <c r="K1201" s="635"/>
      <c r="L1201" s="635"/>
      <c r="M1201" s="635"/>
      <c r="N1201" s="671" t="s">
        <v>18949</v>
      </c>
      <c r="O1201" s="672">
        <v>0</v>
      </c>
    </row>
    <row r="1202" spans="1:15" ht="12.95" hidden="1">
      <c r="A1202" s="674">
        <v>44957</v>
      </c>
      <c r="B1202" s="679">
        <v>79760</v>
      </c>
      <c r="C1202" s="676">
        <v>190546.8</v>
      </c>
      <c r="D1202" s="119">
        <v>0</v>
      </c>
      <c r="E1202" s="119">
        <f t="shared" si="38"/>
        <v>190546.8</v>
      </c>
      <c r="F1202" s="119">
        <f t="shared" si="39"/>
        <v>2.3890020060180541</v>
      </c>
      <c r="G1202" s="88" t="s">
        <v>19656</v>
      </c>
      <c r="H1202" s="677" t="s">
        <v>18919</v>
      </c>
      <c r="I1202" s="678">
        <v>44951</v>
      </c>
      <c r="J1202" s="119">
        <v>0</v>
      </c>
      <c r="K1202" s="635"/>
      <c r="L1202" s="635"/>
      <c r="M1202" s="635"/>
      <c r="N1202" s="671" t="s">
        <v>18950</v>
      </c>
      <c r="O1202" s="672">
        <v>0</v>
      </c>
    </row>
    <row r="1203" spans="1:15" ht="12.95" hidden="1">
      <c r="A1203" s="674">
        <v>44965</v>
      </c>
      <c r="B1203" s="679">
        <v>38400</v>
      </c>
      <c r="C1203" s="676">
        <v>88320</v>
      </c>
      <c r="D1203" s="119">
        <v>0</v>
      </c>
      <c r="E1203" s="119">
        <f t="shared" si="38"/>
        <v>88320</v>
      </c>
      <c r="F1203" s="119">
        <f t="shared" si="39"/>
        <v>2.2999999999999998</v>
      </c>
      <c r="G1203" s="119" t="s">
        <v>18794</v>
      </c>
      <c r="H1203" s="680" t="s">
        <v>18920</v>
      </c>
      <c r="I1203" s="681">
        <v>44952</v>
      </c>
      <c r="J1203" s="119">
        <v>0</v>
      </c>
      <c r="K1203" s="635"/>
      <c r="L1203" s="635"/>
      <c r="M1203" s="635"/>
      <c r="N1203" s="671" t="s">
        <v>18951</v>
      </c>
      <c r="O1203" s="672">
        <v>47956</v>
      </c>
    </row>
    <row r="1204" spans="1:15" ht="12.95" hidden="1">
      <c r="A1204" s="674">
        <v>44966</v>
      </c>
      <c r="B1204" s="679">
        <v>56400</v>
      </c>
      <c r="C1204" s="676">
        <v>143690</v>
      </c>
      <c r="D1204" s="119">
        <v>0</v>
      </c>
      <c r="E1204" s="119">
        <f t="shared" si="38"/>
        <v>143690</v>
      </c>
      <c r="F1204" s="119">
        <f t="shared" si="39"/>
        <v>2.5476950354609929</v>
      </c>
      <c r="G1204" s="119" t="s">
        <v>19655</v>
      </c>
      <c r="H1204" s="680" t="s">
        <v>18924</v>
      </c>
      <c r="I1204" s="681">
        <v>44959</v>
      </c>
      <c r="J1204" s="119">
        <v>0</v>
      </c>
      <c r="K1204" s="635"/>
      <c r="L1204" s="635"/>
      <c r="M1204" s="635"/>
      <c r="N1204" s="671" t="s">
        <v>18952</v>
      </c>
      <c r="O1204" s="672">
        <v>0</v>
      </c>
    </row>
    <row r="1205" spans="1:15" ht="12.95" hidden="1">
      <c r="A1205" s="674">
        <v>44966</v>
      </c>
      <c r="B1205" s="679">
        <v>57600</v>
      </c>
      <c r="C1205" s="676">
        <v>152640</v>
      </c>
      <c r="D1205" s="119">
        <v>0</v>
      </c>
      <c r="E1205" s="119">
        <f t="shared" si="38"/>
        <v>152640</v>
      </c>
      <c r="F1205" s="119">
        <f t="shared" si="39"/>
        <v>2.65</v>
      </c>
      <c r="G1205" s="119" t="s">
        <v>19656</v>
      </c>
      <c r="H1205" s="680" t="s">
        <v>18925</v>
      </c>
      <c r="I1205" s="681">
        <v>44963</v>
      </c>
      <c r="J1205" s="119">
        <v>0</v>
      </c>
      <c r="K1205" s="635"/>
      <c r="L1205" s="635"/>
      <c r="M1205" s="635"/>
      <c r="N1205" s="671" t="s">
        <v>18953</v>
      </c>
      <c r="O1205" s="672">
        <v>3409.78</v>
      </c>
    </row>
    <row r="1206" spans="1:15" ht="12.95" hidden="1">
      <c r="A1206" s="674">
        <v>44967</v>
      </c>
      <c r="B1206" s="679">
        <v>21600</v>
      </c>
      <c r="C1206" s="676">
        <f>18576*3.0689</f>
        <v>57007.886400000003</v>
      </c>
      <c r="D1206" s="119">
        <v>3314.71</v>
      </c>
      <c r="E1206" s="119">
        <f t="shared" si="38"/>
        <v>53693.176400000004</v>
      </c>
      <c r="F1206" s="119">
        <f t="shared" si="39"/>
        <v>2.4857952037037041</v>
      </c>
      <c r="G1206" s="119" t="s">
        <v>19836</v>
      </c>
      <c r="H1206" s="680" t="s">
        <v>18909</v>
      </c>
      <c r="I1206" s="681">
        <v>44943</v>
      </c>
      <c r="J1206" s="119">
        <v>0</v>
      </c>
      <c r="K1206" s="635"/>
      <c r="L1206" s="635"/>
      <c r="M1206" s="635"/>
      <c r="N1206" s="671" t="s">
        <v>18954</v>
      </c>
      <c r="O1206" s="672">
        <v>2098.6999999999998</v>
      </c>
    </row>
    <row r="1207" spans="1:15" ht="12.95" hidden="1">
      <c r="A1207" s="674">
        <v>44967</v>
      </c>
      <c r="B1207" s="679">
        <v>98808</v>
      </c>
      <c r="C1207" s="676">
        <v>251937.6</v>
      </c>
      <c r="D1207" s="119">
        <v>0</v>
      </c>
      <c r="E1207" s="119">
        <f t="shared" si="38"/>
        <v>251937.6</v>
      </c>
      <c r="F1207" s="119">
        <f t="shared" si="39"/>
        <v>2.5497692494534858</v>
      </c>
      <c r="G1207" s="119" t="s">
        <v>19656</v>
      </c>
      <c r="H1207" s="680" t="s">
        <v>18926</v>
      </c>
      <c r="I1207" s="681">
        <v>44964</v>
      </c>
      <c r="J1207" s="119">
        <v>0</v>
      </c>
      <c r="K1207" s="635"/>
      <c r="L1207" s="635"/>
      <c r="M1207" s="635"/>
      <c r="N1207" s="671" t="s">
        <v>18955</v>
      </c>
      <c r="O1207" s="672">
        <v>100832.284</v>
      </c>
    </row>
    <row r="1208" spans="1:15" ht="12.95" hidden="1">
      <c r="A1208" s="674">
        <v>44970</v>
      </c>
      <c r="B1208" s="679">
        <v>38400</v>
      </c>
      <c r="C1208" s="676">
        <v>126600</v>
      </c>
      <c r="D1208" s="119">
        <v>0</v>
      </c>
      <c r="E1208" s="119">
        <f t="shared" si="38"/>
        <v>126600</v>
      </c>
      <c r="F1208" s="119">
        <f t="shared" si="39"/>
        <v>3.296875</v>
      </c>
      <c r="G1208" s="119" t="s">
        <v>17227</v>
      </c>
      <c r="H1208" s="680" t="s">
        <v>18923</v>
      </c>
      <c r="I1208" s="681">
        <v>44957</v>
      </c>
      <c r="J1208" s="119">
        <v>0</v>
      </c>
      <c r="K1208" s="635"/>
      <c r="L1208" s="635"/>
      <c r="M1208" s="635"/>
      <c r="N1208" s="671" t="s">
        <v>18956</v>
      </c>
      <c r="O1208" s="672">
        <v>0</v>
      </c>
    </row>
    <row r="1209" spans="1:15" ht="12.95" hidden="1">
      <c r="A1209" s="674">
        <v>44971</v>
      </c>
      <c r="B1209" s="679">
        <v>176064</v>
      </c>
      <c r="C1209" s="676">
        <v>387340.79999999999</v>
      </c>
      <c r="D1209" s="119">
        <v>0</v>
      </c>
      <c r="E1209" s="119">
        <f t="shared" si="38"/>
        <v>387340.79999999999</v>
      </c>
      <c r="F1209" s="119">
        <f t="shared" si="39"/>
        <v>2.1999999999999997</v>
      </c>
      <c r="G1209" s="119" t="s">
        <v>19647</v>
      </c>
      <c r="H1209" s="680" t="s">
        <v>18930</v>
      </c>
      <c r="I1209" s="681">
        <v>44966</v>
      </c>
      <c r="J1209" s="119">
        <v>0</v>
      </c>
      <c r="K1209" s="635"/>
      <c r="L1209" s="635"/>
      <c r="M1209" s="635"/>
      <c r="N1209" s="671" t="s">
        <v>18957</v>
      </c>
      <c r="O1209" s="672">
        <v>0</v>
      </c>
    </row>
    <row r="1210" spans="1:15" ht="12.95" hidden="1">
      <c r="A1210" s="674">
        <v>44972</v>
      </c>
      <c r="B1210" s="679">
        <v>21600</v>
      </c>
      <c r="C1210" s="676">
        <v>56460</v>
      </c>
      <c r="D1210" s="119">
        <v>0</v>
      </c>
      <c r="E1210" s="119">
        <f t="shared" si="38"/>
        <v>56460</v>
      </c>
      <c r="F1210" s="119">
        <f t="shared" si="39"/>
        <v>2.6138888888888889</v>
      </c>
      <c r="G1210" s="119" t="s">
        <v>19655</v>
      </c>
      <c r="H1210" s="680" t="s">
        <v>18931</v>
      </c>
      <c r="I1210" s="681">
        <v>44967</v>
      </c>
      <c r="J1210" s="119">
        <v>0</v>
      </c>
      <c r="K1210" s="635"/>
      <c r="L1210" s="635"/>
      <c r="M1210" s="635"/>
      <c r="N1210" s="671" t="s">
        <v>18958</v>
      </c>
      <c r="O1210" s="672">
        <v>0</v>
      </c>
    </row>
    <row r="1211" spans="1:15" ht="12.95" hidden="1">
      <c r="A1211" s="674">
        <v>44975</v>
      </c>
      <c r="B1211" s="679">
        <v>90000</v>
      </c>
      <c r="C1211" s="676">
        <f>80550*3.09305</f>
        <v>249145.17749999999</v>
      </c>
      <c r="D1211" s="119">
        <v>0</v>
      </c>
      <c r="E1211" s="119">
        <f t="shared" si="38"/>
        <v>249145.17749999999</v>
      </c>
      <c r="F1211" s="119">
        <f t="shared" si="39"/>
        <v>2.76827975</v>
      </c>
      <c r="G1211" s="119" t="s">
        <v>17322</v>
      </c>
      <c r="H1211" s="680" t="s">
        <v>18934</v>
      </c>
      <c r="I1211" s="681">
        <v>44971</v>
      </c>
      <c r="J1211" s="119">
        <v>0</v>
      </c>
      <c r="K1211" s="635"/>
      <c r="L1211" s="635"/>
      <c r="M1211" s="635"/>
      <c r="N1211" s="671" t="s">
        <v>18959</v>
      </c>
      <c r="O1211" s="672">
        <v>13462.13</v>
      </c>
    </row>
    <row r="1212" spans="1:15" ht="12.95" hidden="1">
      <c r="A1212" s="674">
        <v>44977</v>
      </c>
      <c r="B1212" s="679">
        <v>3178</v>
      </c>
      <c r="C1212" s="676">
        <v>10169.6</v>
      </c>
      <c r="D1212" s="119">
        <v>0</v>
      </c>
      <c r="E1212" s="119">
        <f t="shared" si="38"/>
        <v>10169.6</v>
      </c>
      <c r="F1212" s="119">
        <f t="shared" si="39"/>
        <v>3.2</v>
      </c>
      <c r="G1212" s="119" t="s">
        <v>17018</v>
      </c>
      <c r="H1212" s="680" t="s">
        <v>18922</v>
      </c>
      <c r="I1212" s="681">
        <v>44952</v>
      </c>
      <c r="J1212" s="119">
        <v>0</v>
      </c>
      <c r="K1212" s="635"/>
      <c r="L1212" s="635"/>
      <c r="M1212" s="635"/>
      <c r="N1212" s="671" t="s">
        <v>18960</v>
      </c>
      <c r="O1212" s="672">
        <v>13463.43</v>
      </c>
    </row>
    <row r="1213" spans="1:15" ht="12.95" hidden="1">
      <c r="A1213" s="674">
        <v>44977</v>
      </c>
      <c r="B1213" s="679">
        <v>20000</v>
      </c>
      <c r="C1213" s="676">
        <v>61000</v>
      </c>
      <c r="D1213" s="119">
        <v>0</v>
      </c>
      <c r="E1213" s="119">
        <f t="shared" si="38"/>
        <v>61000</v>
      </c>
      <c r="F1213" s="119">
        <f t="shared" si="39"/>
        <v>3.05</v>
      </c>
      <c r="G1213" s="119" t="s">
        <v>17018</v>
      </c>
      <c r="H1213" s="680" t="s">
        <v>18927</v>
      </c>
      <c r="I1213" s="681">
        <v>44965</v>
      </c>
      <c r="J1213" s="119">
        <v>0</v>
      </c>
      <c r="K1213" s="635"/>
      <c r="L1213" s="635"/>
      <c r="M1213" s="635"/>
      <c r="N1213" s="671" t="s">
        <v>18961</v>
      </c>
      <c r="O1213" s="672">
        <v>104261.75999999999</v>
      </c>
    </row>
    <row r="1214" spans="1:15" ht="12.95" hidden="1">
      <c r="A1214" s="674">
        <v>44977</v>
      </c>
      <c r="B1214" s="679">
        <v>21960</v>
      </c>
      <c r="C1214" s="676">
        <f>30853.77*3.09305</f>
        <v>95432.2532985</v>
      </c>
      <c r="D1214" s="119">
        <v>3712.72</v>
      </c>
      <c r="E1214" s="119">
        <f t="shared" si="38"/>
        <v>91719.533298499999</v>
      </c>
      <c r="F1214" s="119">
        <f t="shared" si="39"/>
        <v>4.1766636292577415</v>
      </c>
      <c r="G1214" s="119" t="s">
        <v>19653</v>
      </c>
      <c r="H1214" s="680" t="s">
        <v>18929</v>
      </c>
      <c r="I1214" s="681">
        <v>44966</v>
      </c>
      <c r="J1214" s="119">
        <v>0</v>
      </c>
      <c r="K1214" s="635"/>
      <c r="L1214" s="635"/>
      <c r="M1214" s="635"/>
      <c r="N1214" s="671" t="s">
        <v>18962</v>
      </c>
      <c r="O1214" s="672">
        <v>0</v>
      </c>
    </row>
    <row r="1215" spans="1:15" ht="12.95" hidden="1">
      <c r="A1215" s="674">
        <v>44977</v>
      </c>
      <c r="B1215" s="679">
        <v>322329.59999999998</v>
      </c>
      <c r="C1215" s="676">
        <v>638991.35999999999</v>
      </c>
      <c r="D1215" s="119">
        <v>0</v>
      </c>
      <c r="E1215" s="119">
        <f t="shared" si="38"/>
        <v>638991.35999999999</v>
      </c>
      <c r="F1215" s="119">
        <f t="shared" si="39"/>
        <v>1.9824160114367406</v>
      </c>
      <c r="G1215" s="119" t="s">
        <v>18794</v>
      </c>
      <c r="H1215" s="680" t="s">
        <v>18916</v>
      </c>
      <c r="I1215" s="681">
        <v>44950</v>
      </c>
      <c r="J1215" s="119">
        <v>0</v>
      </c>
      <c r="K1215" s="635"/>
      <c r="L1215" s="635"/>
      <c r="M1215" s="635"/>
      <c r="N1215" s="671" t="s">
        <v>18963</v>
      </c>
      <c r="O1215" s="672">
        <v>12221.6</v>
      </c>
    </row>
    <row r="1216" spans="1:15" ht="12.95" hidden="1">
      <c r="A1216" s="674">
        <v>44979</v>
      </c>
      <c r="B1216" s="679">
        <v>28224</v>
      </c>
      <c r="C1216" s="676">
        <f>31524.52*3.2926</f>
        <v>103797.634552</v>
      </c>
      <c r="D1216" s="119">
        <v>13708.305</v>
      </c>
      <c r="E1216" s="119">
        <f t="shared" si="38"/>
        <v>90089.32955200001</v>
      </c>
      <c r="F1216" s="119">
        <f t="shared" si="39"/>
        <v>3.1919405311791387</v>
      </c>
      <c r="G1216" s="119" t="s">
        <v>19661</v>
      </c>
      <c r="H1216" s="680" t="s">
        <v>18936</v>
      </c>
      <c r="I1216" s="681">
        <v>44972</v>
      </c>
      <c r="J1216" s="119">
        <f>11936.25*30%</f>
        <v>3580.875</v>
      </c>
      <c r="K1216" s="635"/>
      <c r="L1216" s="635"/>
      <c r="M1216" s="635"/>
      <c r="N1216" s="671" t="s">
        <v>18964</v>
      </c>
      <c r="O1216" s="672">
        <v>29950.665000000001</v>
      </c>
    </row>
    <row r="1217" spans="1:15" ht="12.95" hidden="1">
      <c r="A1217" s="674">
        <v>44980</v>
      </c>
      <c r="B1217" s="679">
        <v>12216</v>
      </c>
      <c r="C1217" s="676">
        <f>14426.68*3.2902</f>
        <v>47466.662536000003</v>
      </c>
      <c r="D1217" s="119">
        <v>9219.94</v>
      </c>
      <c r="E1217" s="119">
        <f t="shared" si="38"/>
        <v>38246.722536000001</v>
      </c>
      <c r="F1217" s="119">
        <f t="shared" si="39"/>
        <v>3.1308711964636542</v>
      </c>
      <c r="G1217" s="119" t="s">
        <v>19661</v>
      </c>
      <c r="H1217" s="680" t="s">
        <v>18935</v>
      </c>
      <c r="I1217" s="681">
        <v>44972</v>
      </c>
      <c r="J1217" s="119">
        <f>7798.35*30%</f>
        <v>2339.5050000000001</v>
      </c>
      <c r="K1217" s="635"/>
      <c r="L1217" s="635"/>
      <c r="M1217" s="635"/>
      <c r="N1217" s="671" t="s">
        <v>18965</v>
      </c>
      <c r="O1217" s="672">
        <v>0</v>
      </c>
    </row>
    <row r="1218" spans="1:15" ht="12.95" hidden="1">
      <c r="A1218" s="674">
        <v>44980</v>
      </c>
      <c r="B1218" s="679">
        <v>111200</v>
      </c>
      <c r="C1218" s="676">
        <f>162751*3.0858</f>
        <v>502217.03579999995</v>
      </c>
      <c r="D1218" s="119">
        <v>0</v>
      </c>
      <c r="E1218" s="119">
        <f t="shared" si="38"/>
        <v>502217.03579999995</v>
      </c>
      <c r="F1218" s="119">
        <f t="shared" si="39"/>
        <v>4.5163402499999998</v>
      </c>
      <c r="G1218" s="119" t="s">
        <v>19688</v>
      </c>
      <c r="H1218" s="680" t="s">
        <v>18928</v>
      </c>
      <c r="I1218" s="681">
        <v>44965</v>
      </c>
      <c r="J1218" s="119">
        <v>0</v>
      </c>
      <c r="K1218" s="635"/>
      <c r="L1218" s="635"/>
      <c r="M1218" s="635"/>
      <c r="N1218" s="671" t="s">
        <v>18966</v>
      </c>
      <c r="O1218" s="672">
        <v>0</v>
      </c>
    </row>
    <row r="1219" spans="1:15" ht="12.95" hidden="1">
      <c r="A1219" s="674">
        <v>44981</v>
      </c>
      <c r="B1219" s="679">
        <v>56400</v>
      </c>
      <c r="C1219" s="676">
        <v>143616</v>
      </c>
      <c r="D1219" s="119">
        <v>0</v>
      </c>
      <c r="E1219" s="119">
        <f t="shared" si="38"/>
        <v>143616</v>
      </c>
      <c r="F1219" s="119">
        <f t="shared" si="39"/>
        <v>2.5463829787234045</v>
      </c>
      <c r="G1219" s="119" t="s">
        <v>19655</v>
      </c>
      <c r="H1219" s="680" t="s">
        <v>18937</v>
      </c>
      <c r="I1219" s="681">
        <v>44974</v>
      </c>
      <c r="J1219" s="119">
        <v>0</v>
      </c>
      <c r="K1219" s="635"/>
      <c r="L1219" s="635"/>
      <c r="M1219" s="635"/>
      <c r="N1219" s="671" t="s">
        <v>18967</v>
      </c>
      <c r="O1219" s="672">
        <v>0</v>
      </c>
    </row>
    <row r="1220" spans="1:15" ht="12.95" hidden="1">
      <c r="A1220" s="674">
        <v>44981</v>
      </c>
      <c r="B1220" s="679">
        <v>49200</v>
      </c>
      <c r="C1220" s="676">
        <v>122616</v>
      </c>
      <c r="D1220" s="119">
        <v>0</v>
      </c>
      <c r="E1220" s="119">
        <f t="shared" si="38"/>
        <v>122616</v>
      </c>
      <c r="F1220" s="119">
        <f t="shared" si="39"/>
        <v>2.4921951219512195</v>
      </c>
      <c r="G1220" s="119" t="s">
        <v>19647</v>
      </c>
      <c r="H1220" s="680" t="s">
        <v>18941</v>
      </c>
      <c r="I1220" s="681">
        <v>44977</v>
      </c>
      <c r="J1220" s="119">
        <v>0</v>
      </c>
      <c r="K1220" s="635"/>
      <c r="L1220" s="635"/>
      <c r="M1220" s="635"/>
      <c r="N1220" s="671" t="s">
        <v>18968</v>
      </c>
      <c r="O1220" s="672">
        <v>0</v>
      </c>
    </row>
    <row r="1221" spans="1:15" ht="12.95" hidden="1">
      <c r="A1221" s="674">
        <v>44982</v>
      </c>
      <c r="B1221" s="679">
        <v>322800</v>
      </c>
      <c r="C1221" s="676">
        <f>271152*3.10155</f>
        <v>840991.48560000001</v>
      </c>
      <c r="D1221" s="119">
        <v>0</v>
      </c>
      <c r="E1221" s="119">
        <f t="shared" si="38"/>
        <v>840991.48560000001</v>
      </c>
      <c r="F1221" s="119">
        <f t="shared" si="39"/>
        <v>2.605302</v>
      </c>
      <c r="G1221" s="119" t="s">
        <v>19688</v>
      </c>
      <c r="H1221" s="680" t="s">
        <v>18940</v>
      </c>
      <c r="I1221" s="681">
        <v>44975</v>
      </c>
      <c r="J1221" s="119">
        <v>0</v>
      </c>
      <c r="K1221" s="635"/>
      <c r="L1221" s="635"/>
      <c r="M1221" s="635"/>
      <c r="N1221" s="671" t="s">
        <v>18969</v>
      </c>
      <c r="O1221" s="672">
        <v>12849.347</v>
      </c>
    </row>
    <row r="1222" spans="1:15" ht="12.95" hidden="1">
      <c r="A1222" s="674">
        <v>44984</v>
      </c>
      <c r="B1222" s="679">
        <v>22920</v>
      </c>
      <c r="C1222" s="676">
        <f>31218.5*3.10155</f>
        <v>96825.738675000001</v>
      </c>
      <c r="D1222" s="119">
        <v>10333.6</v>
      </c>
      <c r="E1222" s="119">
        <f t="shared" si="38"/>
        <v>86492.138674999995</v>
      </c>
      <c r="F1222" s="119">
        <f t="shared" si="39"/>
        <v>3.7736535198516576</v>
      </c>
      <c r="G1222" s="119" t="s">
        <v>19811</v>
      </c>
      <c r="H1222" s="680" t="s">
        <v>18933</v>
      </c>
      <c r="I1222" s="681">
        <v>44971</v>
      </c>
      <c r="J1222" s="119">
        <f>6965.2*18%</f>
        <v>1253.7359999999999</v>
      </c>
      <c r="K1222" s="635"/>
      <c r="L1222" s="635"/>
      <c r="M1222" s="635"/>
      <c r="N1222" s="671" t="s">
        <v>18970</v>
      </c>
      <c r="O1222" s="672">
        <v>0</v>
      </c>
    </row>
    <row r="1223" spans="1:15" ht="12.95" hidden="1">
      <c r="A1223" s="674">
        <v>44984</v>
      </c>
      <c r="B1223" s="679">
        <v>19200</v>
      </c>
      <c r="C1223" s="676">
        <v>50880</v>
      </c>
      <c r="D1223" s="119">
        <v>0</v>
      </c>
      <c r="E1223" s="119">
        <f t="shared" si="38"/>
        <v>50880</v>
      </c>
      <c r="F1223" s="119">
        <f t="shared" si="39"/>
        <v>2.65</v>
      </c>
      <c r="G1223" s="119" t="s">
        <v>19655</v>
      </c>
      <c r="H1223" s="680" t="s">
        <v>18939</v>
      </c>
      <c r="I1223" s="681">
        <v>44974</v>
      </c>
      <c r="J1223" s="119">
        <v>0</v>
      </c>
      <c r="K1223" s="635"/>
      <c r="L1223" s="635"/>
      <c r="M1223" s="635"/>
      <c r="N1223" s="671" t="s">
        <v>18971</v>
      </c>
      <c r="O1223" s="672">
        <v>0</v>
      </c>
    </row>
    <row r="1224" spans="1:15" ht="12.95" hidden="1">
      <c r="A1224" s="674">
        <v>44985</v>
      </c>
      <c r="B1224" s="679">
        <v>154056</v>
      </c>
      <c r="C1224" s="676">
        <v>338923.2</v>
      </c>
      <c r="D1224" s="119">
        <v>0</v>
      </c>
      <c r="E1224" s="119">
        <f t="shared" si="38"/>
        <v>338923.2</v>
      </c>
      <c r="F1224" s="119">
        <f t="shared" si="39"/>
        <v>2.2000000000000002</v>
      </c>
      <c r="G1224" s="119" t="s">
        <v>19647</v>
      </c>
      <c r="H1224" s="680" t="s">
        <v>18942</v>
      </c>
      <c r="I1224" s="681">
        <v>44977</v>
      </c>
      <c r="J1224" s="119">
        <v>0</v>
      </c>
      <c r="K1224" s="635"/>
      <c r="L1224" s="635"/>
      <c r="M1224" s="635"/>
      <c r="N1224" s="671" t="s">
        <v>18972</v>
      </c>
      <c r="O1224" s="672">
        <v>0</v>
      </c>
    </row>
    <row r="1225" spans="1:15" ht="12.95" hidden="1">
      <c r="A1225" s="674">
        <v>44985</v>
      </c>
      <c r="B1225" s="682">
        <v>150000</v>
      </c>
      <c r="C1225" s="676">
        <v>285000</v>
      </c>
      <c r="D1225" s="119">
        <v>0</v>
      </c>
      <c r="E1225" s="119">
        <f t="shared" si="38"/>
        <v>285000</v>
      </c>
      <c r="F1225" s="119">
        <f t="shared" si="39"/>
        <v>1.9</v>
      </c>
      <c r="G1225" s="119" t="s">
        <v>18794</v>
      </c>
      <c r="H1225" s="683" t="s">
        <v>18949</v>
      </c>
      <c r="I1225" s="681">
        <v>44982</v>
      </c>
      <c r="J1225" s="119">
        <v>0</v>
      </c>
      <c r="K1225" s="635"/>
      <c r="L1225" s="635"/>
      <c r="M1225" s="635"/>
      <c r="N1225" s="671" t="s">
        <v>18973</v>
      </c>
      <c r="O1225" s="672">
        <v>0</v>
      </c>
    </row>
    <row r="1226" spans="1:15" ht="14.45" hidden="1">
      <c r="A1226" s="684">
        <v>44986</v>
      </c>
      <c r="B1226" s="685">
        <v>19200</v>
      </c>
      <c r="C1226" s="686">
        <v>50880</v>
      </c>
      <c r="D1226" s="119">
        <v>0</v>
      </c>
      <c r="E1226" s="119">
        <f t="shared" si="38"/>
        <v>50880</v>
      </c>
      <c r="F1226" s="119">
        <f t="shared" si="39"/>
        <v>2.65</v>
      </c>
      <c r="G1226" s="88" t="s">
        <v>19655</v>
      </c>
      <c r="H1226" s="687" t="s">
        <v>18945</v>
      </c>
      <c r="I1226" s="688">
        <v>44980</v>
      </c>
      <c r="J1226" s="119">
        <v>0</v>
      </c>
      <c r="K1226" s="635"/>
      <c r="L1226" s="635"/>
      <c r="M1226" s="635"/>
      <c r="N1226" s="671" t="s">
        <v>18974</v>
      </c>
      <c r="O1226" s="672">
        <v>2157.2199999999998</v>
      </c>
    </row>
    <row r="1227" spans="1:15" ht="14.45" hidden="1">
      <c r="A1227" s="684">
        <v>44986</v>
      </c>
      <c r="B1227" s="682">
        <v>22008</v>
      </c>
      <c r="C1227" s="686">
        <v>57220.800000000003</v>
      </c>
      <c r="D1227" s="119">
        <v>0</v>
      </c>
      <c r="E1227" s="119">
        <f t="shared" si="38"/>
        <v>57220.800000000003</v>
      </c>
      <c r="F1227" s="119">
        <f t="shared" si="39"/>
        <v>2.6</v>
      </c>
      <c r="G1227" s="88" t="s">
        <v>19655</v>
      </c>
      <c r="H1227" s="687" t="s">
        <v>18947</v>
      </c>
      <c r="I1227" s="678">
        <v>44982</v>
      </c>
      <c r="J1227" s="119">
        <v>0</v>
      </c>
      <c r="K1227" s="635"/>
      <c r="L1227" s="635"/>
      <c r="M1227" s="635"/>
      <c r="N1227" s="671" t="s">
        <v>18975</v>
      </c>
      <c r="O1227" s="672">
        <v>0</v>
      </c>
    </row>
    <row r="1228" spans="1:15" ht="14.45" hidden="1">
      <c r="A1228" s="684">
        <v>44987</v>
      </c>
      <c r="B1228" s="679">
        <v>20150</v>
      </c>
      <c r="C1228" s="686">
        <f>17631.25*3.0959</f>
        <v>54584.586875000001</v>
      </c>
      <c r="D1228" s="119">
        <v>3364.78</v>
      </c>
      <c r="E1228" s="119">
        <f t="shared" si="38"/>
        <v>51219.806875000002</v>
      </c>
      <c r="F1228" s="119">
        <f t="shared" si="39"/>
        <v>2.5419258995037222</v>
      </c>
      <c r="G1228" s="88" t="s">
        <v>19659</v>
      </c>
      <c r="H1228" s="689" t="s">
        <v>18932</v>
      </c>
      <c r="I1228" s="678">
        <v>44967</v>
      </c>
      <c r="J1228" s="119">
        <v>0</v>
      </c>
      <c r="K1228" s="635"/>
      <c r="L1228" s="635"/>
      <c r="M1228" s="635"/>
      <c r="N1228" s="671" t="s">
        <v>18976</v>
      </c>
      <c r="O1228" s="672">
        <v>22249.119999999999</v>
      </c>
    </row>
    <row r="1229" spans="1:15" ht="14.45" hidden="1">
      <c r="A1229" s="684">
        <v>44987</v>
      </c>
      <c r="B1229" s="682">
        <v>19200</v>
      </c>
      <c r="C1229" s="686">
        <v>43392</v>
      </c>
      <c r="D1229" s="119">
        <v>0</v>
      </c>
      <c r="E1229" s="119">
        <f t="shared" si="38"/>
        <v>43392</v>
      </c>
      <c r="F1229" s="119">
        <f t="shared" si="39"/>
        <v>2.2599999999999998</v>
      </c>
      <c r="G1229" s="212" t="s">
        <v>18794</v>
      </c>
      <c r="H1229" s="687" t="s">
        <v>18950</v>
      </c>
      <c r="I1229" s="678">
        <v>44982</v>
      </c>
      <c r="J1229" s="119">
        <v>0</v>
      </c>
      <c r="K1229" s="635"/>
      <c r="L1229" s="635"/>
      <c r="M1229" s="635"/>
      <c r="N1229" s="671" t="s">
        <v>18977</v>
      </c>
      <c r="O1229" s="672">
        <v>0</v>
      </c>
    </row>
    <row r="1230" spans="1:15" ht="14.45" hidden="1">
      <c r="A1230" s="684">
        <v>44991</v>
      </c>
      <c r="B1230" s="679">
        <v>61500</v>
      </c>
      <c r="C1230" s="686">
        <v>184500</v>
      </c>
      <c r="D1230" s="119">
        <v>0</v>
      </c>
      <c r="E1230" s="119">
        <f t="shared" si="38"/>
        <v>184500</v>
      </c>
      <c r="F1230" s="119">
        <f t="shared" si="39"/>
        <v>3</v>
      </c>
      <c r="G1230" s="88" t="s">
        <v>19679</v>
      </c>
      <c r="H1230" s="689" t="s">
        <v>18938</v>
      </c>
      <c r="I1230" s="678">
        <v>44974</v>
      </c>
      <c r="J1230" s="119">
        <v>0</v>
      </c>
      <c r="K1230" s="635"/>
      <c r="L1230" s="635"/>
      <c r="M1230" s="635"/>
      <c r="N1230" s="671" t="s">
        <v>18978</v>
      </c>
      <c r="O1230" s="672">
        <v>0</v>
      </c>
    </row>
    <row r="1231" spans="1:15" ht="14.45" hidden="1">
      <c r="A1231" s="684">
        <v>44991</v>
      </c>
      <c r="B1231" s="682">
        <v>93981</v>
      </c>
      <c r="C1231" s="686">
        <f>36896.4*3.2891</f>
        <v>121355.94924</v>
      </c>
      <c r="D1231" s="119">
        <v>47956</v>
      </c>
      <c r="E1231" s="119">
        <f t="shared" si="38"/>
        <v>73399.949240000002</v>
      </c>
      <c r="F1231" s="119">
        <f t="shared" si="39"/>
        <v>0.78100838722720556</v>
      </c>
      <c r="G1231" s="212" t="s">
        <v>17343</v>
      </c>
      <c r="H1231" s="687" t="s">
        <v>18951</v>
      </c>
      <c r="I1231" s="678">
        <v>44987</v>
      </c>
      <c r="J1231" s="119">
        <f>36363.6*18%</f>
        <v>6545.4479999999994</v>
      </c>
      <c r="K1231" s="635"/>
      <c r="L1231" s="635"/>
      <c r="M1231" s="635"/>
      <c r="N1231" s="671" t="s">
        <v>18979</v>
      </c>
      <c r="O1231" s="672">
        <v>0</v>
      </c>
    </row>
    <row r="1232" spans="1:15" ht="14.45" hidden="1">
      <c r="A1232" s="684">
        <v>44992</v>
      </c>
      <c r="B1232" s="682">
        <v>71104</v>
      </c>
      <c r="C1232" s="686">
        <f>26293.34*3.2891</f>
        <v>86481.424593999996</v>
      </c>
      <c r="D1232" s="119">
        <v>42575.360000000001</v>
      </c>
      <c r="E1232" s="119">
        <f t="shared" si="38"/>
        <v>43906.064593999996</v>
      </c>
      <c r="F1232" s="119">
        <f t="shared" si="39"/>
        <v>0.61749078243136812</v>
      </c>
      <c r="G1232" s="212" t="s">
        <v>17343</v>
      </c>
      <c r="H1232" s="687" t="s">
        <v>18946</v>
      </c>
      <c r="I1232" s="678">
        <v>44982</v>
      </c>
      <c r="J1232" s="119">
        <f>27190.8*18%</f>
        <v>4894.3440000000001</v>
      </c>
      <c r="K1232" s="635"/>
      <c r="L1232" s="635"/>
      <c r="M1232" s="635"/>
      <c r="N1232" s="671" t="s">
        <v>18980</v>
      </c>
      <c r="O1232" s="672">
        <v>0</v>
      </c>
    </row>
    <row r="1233" spans="1:15" ht="14.45" hidden="1">
      <c r="A1233" s="684">
        <v>44992</v>
      </c>
      <c r="B1233" s="682">
        <v>27000</v>
      </c>
      <c r="C1233" s="686">
        <v>100800</v>
      </c>
      <c r="D1233" s="119">
        <v>0</v>
      </c>
      <c r="E1233" s="119">
        <f t="shared" si="38"/>
        <v>100800</v>
      </c>
      <c r="F1233" s="119">
        <f t="shared" si="39"/>
        <v>3.7333333333333334</v>
      </c>
      <c r="G1233" s="212" t="s">
        <v>19847</v>
      </c>
      <c r="H1233" s="687" t="s">
        <v>18944</v>
      </c>
      <c r="I1233" s="678">
        <v>44978</v>
      </c>
      <c r="J1233" s="119">
        <v>0</v>
      </c>
      <c r="K1233" s="635"/>
      <c r="L1233" s="635"/>
      <c r="M1233" s="635"/>
      <c r="N1233" s="671" t="s">
        <v>18981</v>
      </c>
      <c r="O1233" s="672">
        <v>0</v>
      </c>
    </row>
    <row r="1234" spans="1:15" ht="14.45" hidden="1">
      <c r="A1234" s="684">
        <v>44992</v>
      </c>
      <c r="B1234" s="682">
        <v>27000</v>
      </c>
      <c r="C1234" s="686">
        <v>65466</v>
      </c>
      <c r="D1234" s="119">
        <v>0</v>
      </c>
      <c r="E1234" s="119">
        <f t="shared" si="38"/>
        <v>65466</v>
      </c>
      <c r="F1234" s="119">
        <f t="shared" si="39"/>
        <v>2.4246666666666665</v>
      </c>
      <c r="G1234" s="212" t="s">
        <v>19847</v>
      </c>
      <c r="H1234" s="687" t="s">
        <v>18943</v>
      </c>
      <c r="I1234" s="678">
        <v>44978</v>
      </c>
      <c r="J1234" s="119">
        <v>0</v>
      </c>
      <c r="K1234" s="635"/>
      <c r="L1234" s="635"/>
      <c r="M1234" s="635"/>
      <c r="N1234" s="671" t="s">
        <v>18982</v>
      </c>
      <c r="O1234" s="672">
        <v>1838.9649999999999</v>
      </c>
    </row>
    <row r="1235" spans="1:15" ht="14.45" hidden="1">
      <c r="A1235" s="684">
        <v>44998</v>
      </c>
      <c r="B1235" s="682">
        <v>39900</v>
      </c>
      <c r="C1235" s="686">
        <v>100959</v>
      </c>
      <c r="D1235" s="119">
        <v>0</v>
      </c>
      <c r="E1235" s="119">
        <f t="shared" si="38"/>
        <v>100959</v>
      </c>
      <c r="F1235" s="119">
        <f t="shared" si="39"/>
        <v>2.5303007518796994</v>
      </c>
      <c r="G1235" s="212" t="s">
        <v>19656</v>
      </c>
      <c r="H1235" s="687" t="s">
        <v>18952</v>
      </c>
      <c r="I1235" s="678">
        <v>44988</v>
      </c>
      <c r="J1235" s="119">
        <v>0</v>
      </c>
      <c r="K1235" s="635"/>
      <c r="L1235" s="635"/>
      <c r="M1235" s="635"/>
      <c r="N1235" s="671" t="s">
        <v>18983</v>
      </c>
      <c r="O1235" s="672">
        <v>0</v>
      </c>
    </row>
    <row r="1236" spans="1:15" ht="14.45" hidden="1">
      <c r="A1236" s="684">
        <v>44998</v>
      </c>
      <c r="B1236" s="682">
        <v>20700</v>
      </c>
      <c r="C1236" s="686">
        <f>27652.18*3.10495</f>
        <v>85858.636291000003</v>
      </c>
      <c r="D1236" s="119">
        <v>2098.6999999999998</v>
      </c>
      <c r="E1236" s="119">
        <f t="shared" si="38"/>
        <v>83759.936291000005</v>
      </c>
      <c r="F1236" s="119">
        <f t="shared" si="39"/>
        <v>4.0463737338647343</v>
      </c>
      <c r="G1236" s="212" t="s">
        <v>19653</v>
      </c>
      <c r="H1236" s="687" t="s">
        <v>18954</v>
      </c>
      <c r="I1236" s="678">
        <v>44992</v>
      </c>
      <c r="J1236" s="119">
        <v>0</v>
      </c>
      <c r="K1236" s="635"/>
      <c r="L1236" s="635"/>
      <c r="M1236" s="635"/>
      <c r="N1236" s="671" t="s">
        <v>18984</v>
      </c>
      <c r="O1236" s="672">
        <v>18691.134999999998</v>
      </c>
    </row>
    <row r="1237" spans="1:15" ht="14.45" hidden="1">
      <c r="A1237" s="684">
        <v>44998</v>
      </c>
      <c r="B1237" s="682">
        <v>33600</v>
      </c>
      <c r="C1237" s="686">
        <f>29568*3.1169</f>
        <v>92160.499199999991</v>
      </c>
      <c r="D1237" s="119">
        <v>0</v>
      </c>
      <c r="E1237" s="119">
        <f t="shared" si="38"/>
        <v>92160.499199999991</v>
      </c>
      <c r="F1237" s="119">
        <f t="shared" si="39"/>
        <v>2.7428719999999998</v>
      </c>
      <c r="G1237" s="212" t="s">
        <v>19843</v>
      </c>
      <c r="H1237" s="687" t="s">
        <v>18957</v>
      </c>
      <c r="I1237" s="678">
        <v>44992</v>
      </c>
      <c r="J1237" s="119">
        <v>0</v>
      </c>
      <c r="K1237" s="635"/>
      <c r="L1237" s="635"/>
      <c r="M1237" s="635"/>
      <c r="N1237" s="671" t="s">
        <v>18985</v>
      </c>
      <c r="O1237" s="672">
        <v>82369.5</v>
      </c>
    </row>
    <row r="1238" spans="1:15" ht="14.45" hidden="1">
      <c r="A1238" s="684">
        <v>44999</v>
      </c>
      <c r="B1238" s="682">
        <v>70080</v>
      </c>
      <c r="C1238" s="686">
        <f>57465.6*3.10495</f>
        <v>178427.81471999999</v>
      </c>
      <c r="D1238" s="119">
        <v>0</v>
      </c>
      <c r="E1238" s="119">
        <f t="shared" si="38"/>
        <v>178427.81471999999</v>
      </c>
      <c r="F1238" s="119">
        <f t="shared" si="39"/>
        <v>2.5460590000000001</v>
      </c>
      <c r="G1238" s="212" t="s">
        <v>19832</v>
      </c>
      <c r="H1238" s="687" t="s">
        <v>18956</v>
      </c>
      <c r="I1238" s="678">
        <v>44992</v>
      </c>
      <c r="J1238" s="119">
        <v>0</v>
      </c>
      <c r="K1238" s="635"/>
      <c r="L1238" s="635"/>
      <c r="M1238" s="635"/>
      <c r="N1238" s="671" t="s">
        <v>18986</v>
      </c>
      <c r="O1238" s="672">
        <v>2318.2199999999998</v>
      </c>
    </row>
    <row r="1239" spans="1:15" ht="14.45" hidden="1">
      <c r="A1239" s="684">
        <v>45001</v>
      </c>
      <c r="B1239" s="682">
        <v>27300</v>
      </c>
      <c r="C1239" s="686">
        <f>30619*3.2978</f>
        <v>100975.3382</v>
      </c>
      <c r="D1239" s="119">
        <v>13462.13</v>
      </c>
      <c r="E1239" s="119">
        <f t="shared" si="38"/>
        <v>87513.208199999994</v>
      </c>
      <c r="F1239" s="119">
        <f t="shared" si="39"/>
        <v>3.2056120219780215</v>
      </c>
      <c r="G1239" s="212" t="s">
        <v>19661</v>
      </c>
      <c r="H1239" s="687" t="s">
        <v>18959</v>
      </c>
      <c r="I1239" s="678">
        <v>44995</v>
      </c>
      <c r="J1239" s="119">
        <f>11842.5*30%</f>
        <v>3552.75</v>
      </c>
      <c r="K1239" s="635"/>
      <c r="L1239" s="635"/>
      <c r="M1239" s="635"/>
      <c r="N1239" s="671" t="s">
        <v>18987</v>
      </c>
      <c r="O1239" s="672">
        <v>0</v>
      </c>
    </row>
    <row r="1240" spans="1:15" ht="14.45" hidden="1">
      <c r="A1240" s="684">
        <v>45001</v>
      </c>
      <c r="B1240" s="682">
        <v>27228</v>
      </c>
      <c r="C1240" s="686">
        <f>30548.44*3.2978</f>
        <v>100742.645432</v>
      </c>
      <c r="D1240" s="119">
        <v>13463.43</v>
      </c>
      <c r="E1240" s="119">
        <f t="shared" si="38"/>
        <v>87279.215431999997</v>
      </c>
      <c r="F1240" s="119">
        <f t="shared" si="39"/>
        <v>3.2054949108270896</v>
      </c>
      <c r="G1240" s="212" t="s">
        <v>19661</v>
      </c>
      <c r="H1240" s="687" t="s">
        <v>18960</v>
      </c>
      <c r="I1240" s="678">
        <v>44995</v>
      </c>
      <c r="J1240" s="119">
        <f>11842.5*30%</f>
        <v>3552.75</v>
      </c>
      <c r="K1240" s="635"/>
      <c r="L1240" s="635"/>
      <c r="M1240" s="635"/>
      <c r="N1240" s="671" t="s">
        <v>18988</v>
      </c>
      <c r="O1240" s="672">
        <v>0</v>
      </c>
    </row>
    <row r="1241" spans="1:15" ht="14.45" hidden="1">
      <c r="A1241" s="684">
        <v>45002</v>
      </c>
      <c r="B1241" s="682">
        <v>280224</v>
      </c>
      <c r="C1241" s="686">
        <f>227381.76*3.2978</f>
        <v>749859.56812800001</v>
      </c>
      <c r="D1241" s="174">
        <v>100832.284</v>
      </c>
      <c r="E1241" s="119">
        <f t="shared" si="38"/>
        <v>649027.28412800003</v>
      </c>
      <c r="F1241" s="119">
        <f t="shared" si="39"/>
        <v>2.3161017048075827</v>
      </c>
      <c r="G1241" s="212" t="s">
        <v>19804</v>
      </c>
      <c r="H1241" s="687" t="s">
        <v>18955</v>
      </c>
      <c r="I1241" s="678">
        <v>44992</v>
      </c>
      <c r="J1241" s="119">
        <f>86021.434*30%</f>
        <v>25806.430199999999</v>
      </c>
      <c r="K1241" s="635"/>
      <c r="L1241" s="635"/>
      <c r="M1241" s="635"/>
      <c r="N1241" s="671" t="s">
        <v>18989</v>
      </c>
      <c r="O1241" s="672">
        <v>0</v>
      </c>
    </row>
    <row r="1242" spans="1:15" ht="14.45" hidden="1">
      <c r="A1242" s="684">
        <v>45002</v>
      </c>
      <c r="B1242" s="682">
        <v>48000</v>
      </c>
      <c r="C1242" s="686">
        <f>70320*3.0802</f>
        <v>216599.66399999999</v>
      </c>
      <c r="D1242" s="119">
        <v>0</v>
      </c>
      <c r="E1242" s="119">
        <f t="shared" si="38"/>
        <v>216599.66399999999</v>
      </c>
      <c r="F1242" s="119">
        <f t="shared" si="39"/>
        <v>4.5124930000000001</v>
      </c>
      <c r="G1242" s="212" t="s">
        <v>19688</v>
      </c>
      <c r="H1242" s="687" t="s">
        <v>18958</v>
      </c>
      <c r="I1242" s="678">
        <v>44995</v>
      </c>
      <c r="J1242" s="119">
        <v>0</v>
      </c>
      <c r="K1242" s="635"/>
      <c r="L1242" s="635"/>
      <c r="M1242" s="635"/>
      <c r="N1242" s="671" t="s">
        <v>18990</v>
      </c>
      <c r="O1242" s="672">
        <v>0</v>
      </c>
    </row>
    <row r="1243" spans="1:15" ht="14.45" hidden="1">
      <c r="A1243" s="684">
        <v>45003</v>
      </c>
      <c r="B1243" s="682">
        <v>96000</v>
      </c>
      <c r="C1243" s="686">
        <v>254400</v>
      </c>
      <c r="D1243" s="119">
        <v>0</v>
      </c>
      <c r="E1243" s="119">
        <f t="shared" si="38"/>
        <v>254400</v>
      </c>
      <c r="F1243" s="119">
        <f t="shared" si="39"/>
        <v>2.65</v>
      </c>
      <c r="G1243" s="212" t="s">
        <v>19656</v>
      </c>
      <c r="H1243" s="687" t="s">
        <v>18962</v>
      </c>
      <c r="I1243" s="678">
        <v>44996</v>
      </c>
      <c r="J1243" s="119">
        <v>0</v>
      </c>
      <c r="K1243" s="635"/>
      <c r="L1243" s="635"/>
      <c r="M1243" s="635"/>
      <c r="N1243" s="671" t="s">
        <v>18991</v>
      </c>
      <c r="O1243" s="672">
        <v>0</v>
      </c>
    </row>
    <row r="1244" spans="1:15" ht="14.45" hidden="1">
      <c r="A1244" s="684">
        <v>45006</v>
      </c>
      <c r="B1244" s="682">
        <v>20150</v>
      </c>
      <c r="C1244" s="686">
        <f>19847.75*3.0945</f>
        <v>61418.862374999997</v>
      </c>
      <c r="D1244" s="119">
        <v>3409.78</v>
      </c>
      <c r="E1244" s="119">
        <f t="shared" si="38"/>
        <v>58009.082374999998</v>
      </c>
      <c r="F1244" s="119">
        <f t="shared" si="39"/>
        <v>2.8788626488833744</v>
      </c>
      <c r="G1244" s="212" t="s">
        <v>19659</v>
      </c>
      <c r="H1244" s="687" t="s">
        <v>18953</v>
      </c>
      <c r="I1244" s="678">
        <v>44989</v>
      </c>
      <c r="J1244" s="119">
        <v>0</v>
      </c>
      <c r="K1244" s="635"/>
      <c r="L1244" s="635"/>
      <c r="M1244" s="635"/>
      <c r="N1244" s="671" t="s">
        <v>18992</v>
      </c>
      <c r="O1244" s="672">
        <v>0</v>
      </c>
    </row>
    <row r="1245" spans="1:15" ht="14.45" hidden="1">
      <c r="A1245" s="684">
        <v>45013</v>
      </c>
      <c r="B1245" s="682">
        <v>25424</v>
      </c>
      <c r="C1245" s="686">
        <f>46085.12*2.2441</f>
        <v>103419.617792</v>
      </c>
      <c r="D1245" s="119">
        <v>26524.7</v>
      </c>
      <c r="E1245" s="119">
        <f t="shared" si="38"/>
        <v>76894.917792000007</v>
      </c>
      <c r="F1245" s="119">
        <f t="shared" si="39"/>
        <v>3.0245011718061678</v>
      </c>
      <c r="G1245" s="212" t="s">
        <v>17305</v>
      </c>
      <c r="H1245" s="687" t="s">
        <v>18948</v>
      </c>
      <c r="I1245" s="678">
        <v>44982</v>
      </c>
      <c r="J1245" s="119">
        <f>24804*18%</f>
        <v>4464.72</v>
      </c>
      <c r="K1245" s="635"/>
      <c r="L1245" s="635"/>
      <c r="M1245" s="635"/>
      <c r="N1245" s="671" t="s">
        <v>18993</v>
      </c>
      <c r="O1245" s="672">
        <v>0</v>
      </c>
    </row>
    <row r="1246" spans="1:15" ht="14.45" hidden="1">
      <c r="A1246" s="684">
        <v>45014</v>
      </c>
      <c r="B1246" s="679">
        <v>305195</v>
      </c>
      <c r="C1246" s="686">
        <f>245773.41*3.0588</f>
        <v>751771.70650800003</v>
      </c>
      <c r="D1246" s="119">
        <v>104261.75999999999</v>
      </c>
      <c r="E1246" s="119">
        <f t="shared" si="38"/>
        <v>647509.94650800002</v>
      </c>
      <c r="F1246" s="119">
        <f t="shared" si="39"/>
        <v>2.1216269811366506</v>
      </c>
      <c r="G1246" s="88" t="s">
        <v>19662</v>
      </c>
      <c r="H1246" s="689" t="s">
        <v>18961</v>
      </c>
      <c r="I1246" s="678">
        <v>44996</v>
      </c>
      <c r="J1246" s="119">
        <f>86936.96*30%</f>
        <v>26081.088</v>
      </c>
      <c r="K1246" s="635"/>
      <c r="L1246" s="635"/>
      <c r="M1246" s="635"/>
      <c r="N1246" s="671" t="s">
        <v>18994</v>
      </c>
      <c r="O1246" s="672">
        <v>0</v>
      </c>
    </row>
    <row r="1247" spans="1:15" ht="14.45" hidden="1">
      <c r="A1247" s="684">
        <v>45015</v>
      </c>
      <c r="B1247" s="679">
        <v>100003</v>
      </c>
      <c r="C1247" s="686">
        <v>226007.23199999999</v>
      </c>
      <c r="D1247" s="119">
        <v>0</v>
      </c>
      <c r="E1247" s="119">
        <f t="shared" si="38"/>
        <v>226007.23199999999</v>
      </c>
      <c r="F1247" s="119">
        <f t="shared" si="39"/>
        <v>2.2600045198644039</v>
      </c>
      <c r="G1247" s="88" t="s">
        <v>18794</v>
      </c>
      <c r="H1247" s="689" t="s">
        <v>18921</v>
      </c>
      <c r="I1247" s="678">
        <v>44952</v>
      </c>
      <c r="J1247" s="119">
        <v>0</v>
      </c>
      <c r="K1247" s="635"/>
      <c r="L1247" s="635"/>
      <c r="M1247" s="635"/>
      <c r="N1247" s="671" t="s">
        <v>18995</v>
      </c>
      <c r="O1247" s="672">
        <v>0</v>
      </c>
    </row>
    <row r="1248" spans="1:15" ht="14.45" hidden="1">
      <c r="A1248" s="684">
        <v>45016</v>
      </c>
      <c r="B1248" s="682">
        <v>96000</v>
      </c>
      <c r="C1248" s="686">
        <f>82530*3.3094</f>
        <v>273124.78200000001</v>
      </c>
      <c r="D1248" s="119">
        <v>29950.665000000001</v>
      </c>
      <c r="E1248" s="119">
        <f t="shared" si="38"/>
        <v>243174.117</v>
      </c>
      <c r="F1248" s="119">
        <f t="shared" si="39"/>
        <v>2.5330637187499998</v>
      </c>
      <c r="G1248" s="212" t="s">
        <v>19831</v>
      </c>
      <c r="H1248" s="687" t="s">
        <v>18964</v>
      </c>
      <c r="I1248" s="678">
        <v>45007</v>
      </c>
      <c r="J1248" s="119">
        <f>22544.875*30%</f>
        <v>6763.4624999999996</v>
      </c>
      <c r="K1248" s="635"/>
      <c r="L1248" s="635"/>
      <c r="M1248" s="635"/>
      <c r="N1248" s="671" t="s">
        <v>18996</v>
      </c>
      <c r="O1248" s="672">
        <v>0</v>
      </c>
    </row>
    <row r="1249" spans="1:15" ht="14.45" hidden="1">
      <c r="A1249" s="690">
        <v>45016</v>
      </c>
      <c r="B1249" s="691">
        <v>170544</v>
      </c>
      <c r="C1249" s="692">
        <f>B1249*0.8*3.0548</f>
        <v>416782.24896000006</v>
      </c>
      <c r="D1249" s="693">
        <v>0</v>
      </c>
      <c r="E1249" s="693">
        <f t="shared" si="38"/>
        <v>416782.24896000006</v>
      </c>
      <c r="F1249" s="693">
        <f t="shared" si="39"/>
        <v>2.4438400000000002</v>
      </c>
      <c r="G1249" s="694" t="s">
        <v>19830</v>
      </c>
      <c r="H1249" s="695" t="s">
        <v>18965</v>
      </c>
      <c r="I1249" s="696">
        <v>45007</v>
      </c>
      <c r="J1249" s="693">
        <v>0</v>
      </c>
      <c r="K1249" s="635"/>
      <c r="L1249" s="635"/>
      <c r="M1249" s="635"/>
      <c r="N1249" s="671" t="s">
        <v>18997</v>
      </c>
      <c r="O1249" s="672">
        <v>0</v>
      </c>
    </row>
    <row r="1250" spans="1:15" ht="12.95" hidden="1">
      <c r="A1250" s="697">
        <v>45020</v>
      </c>
      <c r="B1250" s="698">
        <v>477456</v>
      </c>
      <c r="C1250" s="699">
        <f>(B1250*0.8)*3.0548</f>
        <v>1166826.0710400003</v>
      </c>
      <c r="D1250" s="700">
        <v>0</v>
      </c>
      <c r="E1250" s="700">
        <f t="shared" si="38"/>
        <v>1166826.0710400003</v>
      </c>
      <c r="F1250" s="700">
        <f t="shared" si="39"/>
        <v>2.4438400000000007</v>
      </c>
      <c r="G1250" s="701" t="s">
        <v>19830</v>
      </c>
      <c r="H1250" s="702" t="s">
        <v>18965</v>
      </c>
      <c r="I1250" s="703">
        <v>45007</v>
      </c>
      <c r="J1250" s="700">
        <v>0</v>
      </c>
      <c r="K1250" s="635"/>
      <c r="L1250" s="635"/>
      <c r="M1250" s="635"/>
      <c r="N1250" s="671" t="s">
        <v>18998</v>
      </c>
      <c r="O1250" s="672">
        <v>0</v>
      </c>
    </row>
    <row r="1251" spans="1:15" ht="12.95" hidden="1">
      <c r="A1251" s="704">
        <v>45020</v>
      </c>
      <c r="B1251" s="682">
        <v>20000</v>
      </c>
      <c r="C1251" s="705">
        <v>61000</v>
      </c>
      <c r="D1251" s="119">
        <v>0</v>
      </c>
      <c r="E1251" s="119">
        <f t="shared" ref="E1251:E1314" si="40">(C1251-D1251)</f>
        <v>61000</v>
      </c>
      <c r="F1251" s="119">
        <f t="shared" ref="F1251:F1314" si="41">(E1251/B1251)</f>
        <v>3.05</v>
      </c>
      <c r="G1251" s="706" t="s">
        <v>17018</v>
      </c>
      <c r="H1251" s="707" t="s">
        <v>18967</v>
      </c>
      <c r="I1251" s="708">
        <v>45017</v>
      </c>
      <c r="J1251" s="119">
        <v>0</v>
      </c>
      <c r="K1251" s="635"/>
      <c r="L1251" s="635"/>
      <c r="M1251" s="635"/>
      <c r="N1251" s="671" t="s">
        <v>18999</v>
      </c>
      <c r="O1251" s="672">
        <v>0</v>
      </c>
    </row>
    <row r="1252" spans="1:15" ht="12.95" hidden="1">
      <c r="A1252" s="704">
        <v>45023</v>
      </c>
      <c r="B1252" s="682">
        <v>56040</v>
      </c>
      <c r="C1252" s="705">
        <f>52281.3*3.0471</f>
        <v>159306.34922999999</v>
      </c>
      <c r="D1252" s="119">
        <v>12221.6</v>
      </c>
      <c r="E1252" s="119">
        <f t="shared" si="40"/>
        <v>147084.74922999999</v>
      </c>
      <c r="F1252" s="119">
        <f t="shared" si="41"/>
        <v>2.6246386372234114</v>
      </c>
      <c r="G1252" s="706" t="s">
        <v>19848</v>
      </c>
      <c r="H1252" s="707" t="s">
        <v>18963</v>
      </c>
      <c r="I1252" s="708">
        <v>45002</v>
      </c>
      <c r="J1252" s="119">
        <f>9929*30%</f>
        <v>2978.7</v>
      </c>
      <c r="K1252" s="635"/>
      <c r="L1252" s="635"/>
      <c r="M1252" s="635"/>
      <c r="N1252" s="671" t="s">
        <v>19000</v>
      </c>
      <c r="O1252" s="672">
        <v>13279.955</v>
      </c>
    </row>
    <row r="1253" spans="1:15" ht="12.95" hidden="1">
      <c r="A1253" s="704">
        <v>45026</v>
      </c>
      <c r="B1253" s="682">
        <v>21600</v>
      </c>
      <c r="C1253" s="705">
        <v>52704</v>
      </c>
      <c r="D1253" s="119">
        <v>0</v>
      </c>
      <c r="E1253" s="119">
        <f t="shared" si="40"/>
        <v>52704</v>
      </c>
      <c r="F1253" s="119">
        <f t="shared" si="41"/>
        <v>2.44</v>
      </c>
      <c r="G1253" s="706" t="s">
        <v>19655</v>
      </c>
      <c r="H1253" s="707" t="s">
        <v>18966</v>
      </c>
      <c r="I1253" s="708">
        <v>45013</v>
      </c>
      <c r="J1253" s="119">
        <v>0</v>
      </c>
      <c r="K1253" s="635"/>
      <c r="L1253" s="635"/>
      <c r="M1253" s="635"/>
      <c r="N1253" s="671" t="s">
        <v>19001</v>
      </c>
      <c r="O1253" s="672">
        <v>13279.955</v>
      </c>
    </row>
    <row r="1254" spans="1:15" ht="12.95" hidden="1">
      <c r="A1254" s="704">
        <v>45026</v>
      </c>
      <c r="B1254" s="682">
        <v>20000</v>
      </c>
      <c r="C1254" s="705">
        <v>61000</v>
      </c>
      <c r="D1254" s="119">
        <v>0</v>
      </c>
      <c r="E1254" s="119">
        <f t="shared" si="40"/>
        <v>61000</v>
      </c>
      <c r="F1254" s="119">
        <f t="shared" si="41"/>
        <v>3.05</v>
      </c>
      <c r="G1254" s="706" t="s">
        <v>17018</v>
      </c>
      <c r="H1254" s="707" t="s">
        <v>18970</v>
      </c>
      <c r="I1254" s="708">
        <v>45019</v>
      </c>
      <c r="J1254" s="119">
        <v>0</v>
      </c>
      <c r="K1254" s="635"/>
      <c r="L1254" s="635"/>
      <c r="M1254" s="635"/>
      <c r="N1254" s="671" t="s">
        <v>19002</v>
      </c>
      <c r="O1254" s="672">
        <v>13285.955</v>
      </c>
    </row>
    <row r="1255" spans="1:15" ht="12.95" hidden="1">
      <c r="A1255" s="704">
        <v>45028</v>
      </c>
      <c r="B1255" s="682">
        <v>20000</v>
      </c>
      <c r="C1255" s="705">
        <v>49000</v>
      </c>
      <c r="D1255" s="119">
        <v>0</v>
      </c>
      <c r="E1255" s="119">
        <f t="shared" si="40"/>
        <v>49000</v>
      </c>
      <c r="F1255" s="119">
        <f t="shared" si="41"/>
        <v>2.4500000000000002</v>
      </c>
      <c r="G1255" s="706" t="s">
        <v>17018</v>
      </c>
      <c r="H1255" s="707" t="s">
        <v>18972</v>
      </c>
      <c r="I1255" s="708">
        <v>45021</v>
      </c>
      <c r="J1255" s="119">
        <v>0</v>
      </c>
      <c r="K1255" s="635"/>
      <c r="L1255" s="635"/>
      <c r="M1255" s="635"/>
      <c r="N1255" s="671" t="s">
        <v>19003</v>
      </c>
      <c r="O1255" s="672">
        <v>0</v>
      </c>
    </row>
    <row r="1256" spans="1:15" ht="12.95" hidden="1">
      <c r="A1256" s="704">
        <v>45028</v>
      </c>
      <c r="B1256" s="682">
        <v>20000</v>
      </c>
      <c r="C1256" s="705">
        <v>49000</v>
      </c>
      <c r="D1256" s="119">
        <v>0</v>
      </c>
      <c r="E1256" s="119">
        <f t="shared" si="40"/>
        <v>49000</v>
      </c>
      <c r="F1256" s="119">
        <f t="shared" si="41"/>
        <v>2.4500000000000002</v>
      </c>
      <c r="G1256" s="706" t="s">
        <v>17018</v>
      </c>
      <c r="H1256" s="707" t="s">
        <v>18973</v>
      </c>
      <c r="I1256" s="708">
        <v>45021</v>
      </c>
      <c r="J1256" s="119">
        <v>0</v>
      </c>
      <c r="K1256" s="635"/>
      <c r="L1256" s="635"/>
      <c r="M1256" s="635"/>
      <c r="N1256" s="671" t="s">
        <v>19004</v>
      </c>
      <c r="O1256" s="672">
        <v>11800.105</v>
      </c>
    </row>
    <row r="1257" spans="1:15" ht="12.95" hidden="1">
      <c r="A1257" s="704">
        <v>45030</v>
      </c>
      <c r="B1257" s="682">
        <v>20080</v>
      </c>
      <c r="C1257" s="705">
        <f>9106.66*3.33155</f>
        <v>30339.293122999999</v>
      </c>
      <c r="D1257" s="119">
        <v>12849.347</v>
      </c>
      <c r="E1257" s="119">
        <f t="shared" si="40"/>
        <v>17489.946123000002</v>
      </c>
      <c r="F1257" s="119">
        <f t="shared" si="41"/>
        <v>0.87101325313745026</v>
      </c>
      <c r="G1257" s="706" t="s">
        <v>17343</v>
      </c>
      <c r="H1257" s="707" t="s">
        <v>18969</v>
      </c>
      <c r="I1257" s="708">
        <v>45019</v>
      </c>
      <c r="J1257" s="119">
        <f>12126.802*18%</f>
        <v>2182.8243600000001</v>
      </c>
      <c r="K1257" s="635"/>
      <c r="L1257" s="635"/>
      <c r="M1257" s="635"/>
      <c r="N1257" s="671" t="s">
        <v>19005</v>
      </c>
      <c r="O1257" s="672">
        <v>17795.48</v>
      </c>
    </row>
    <row r="1258" spans="1:15" ht="12.95" hidden="1">
      <c r="A1258" s="704">
        <v>45031</v>
      </c>
      <c r="B1258" s="682">
        <v>173032</v>
      </c>
      <c r="C1258" s="705">
        <v>419197.44</v>
      </c>
      <c r="D1258" s="119">
        <v>0</v>
      </c>
      <c r="E1258" s="119">
        <f t="shared" si="40"/>
        <v>419197.44</v>
      </c>
      <c r="F1258" s="119">
        <f t="shared" si="41"/>
        <v>2.4226584677978642</v>
      </c>
      <c r="G1258" s="706" t="s">
        <v>19656</v>
      </c>
      <c r="H1258" s="707" t="s">
        <v>18968</v>
      </c>
      <c r="I1258" s="708">
        <v>45019</v>
      </c>
      <c r="J1258" s="119">
        <v>0</v>
      </c>
      <c r="K1258" s="635"/>
      <c r="L1258" s="635"/>
      <c r="M1258" s="635"/>
      <c r="N1258" s="671" t="s">
        <v>19006</v>
      </c>
      <c r="O1258" s="672">
        <v>6576.6</v>
      </c>
    </row>
    <row r="1259" spans="1:15" ht="12.95" hidden="1">
      <c r="A1259" s="704">
        <v>45033</v>
      </c>
      <c r="B1259" s="682">
        <v>21200</v>
      </c>
      <c r="C1259" s="705">
        <f>28386.62*3.02635</f>
        <v>85907.847436999989</v>
      </c>
      <c r="D1259" s="119">
        <v>2157.2199999999998</v>
      </c>
      <c r="E1259" s="119">
        <f t="shared" si="40"/>
        <v>83750.627436999988</v>
      </c>
      <c r="F1259" s="119">
        <f t="shared" si="41"/>
        <v>3.9505012941981126</v>
      </c>
      <c r="G1259" s="706" t="s">
        <v>19653</v>
      </c>
      <c r="H1259" s="707" t="s">
        <v>18974</v>
      </c>
      <c r="I1259" s="708">
        <v>45026</v>
      </c>
      <c r="J1259" s="119">
        <v>0</v>
      </c>
      <c r="K1259" s="635"/>
      <c r="L1259" s="635"/>
      <c r="M1259" s="635"/>
      <c r="N1259" s="671" t="s">
        <v>19007</v>
      </c>
      <c r="O1259" s="672">
        <v>16772.3</v>
      </c>
    </row>
    <row r="1260" spans="1:15" ht="12.95" hidden="1">
      <c r="A1260" s="704">
        <v>45033</v>
      </c>
      <c r="B1260" s="682">
        <v>20000</v>
      </c>
      <c r="C1260" s="705">
        <v>61000</v>
      </c>
      <c r="D1260" s="119">
        <v>0</v>
      </c>
      <c r="E1260" s="119">
        <f t="shared" si="40"/>
        <v>61000</v>
      </c>
      <c r="F1260" s="119">
        <f t="shared" si="41"/>
        <v>3.05</v>
      </c>
      <c r="G1260" s="706" t="s">
        <v>17018</v>
      </c>
      <c r="H1260" s="707" t="s">
        <v>18979</v>
      </c>
      <c r="I1260" s="708">
        <v>45028</v>
      </c>
      <c r="J1260" s="119">
        <v>0</v>
      </c>
      <c r="K1260" s="635"/>
      <c r="L1260" s="635"/>
      <c r="M1260" s="635"/>
      <c r="N1260" s="671" t="s">
        <v>19008</v>
      </c>
      <c r="O1260" s="672">
        <v>11105.376</v>
      </c>
    </row>
    <row r="1261" spans="1:15" ht="12.95" hidden="1">
      <c r="A1261" s="704">
        <v>45033</v>
      </c>
      <c r="B1261" s="682">
        <v>21600</v>
      </c>
      <c r="C1261" s="705">
        <v>52704</v>
      </c>
      <c r="D1261" s="119">
        <v>0</v>
      </c>
      <c r="E1261" s="119">
        <f t="shared" si="40"/>
        <v>52704</v>
      </c>
      <c r="F1261" s="119">
        <f t="shared" si="41"/>
        <v>2.44</v>
      </c>
      <c r="G1261" s="706" t="s">
        <v>19655</v>
      </c>
      <c r="H1261" s="707" t="s">
        <v>18980</v>
      </c>
      <c r="I1261" s="708">
        <v>45029</v>
      </c>
      <c r="J1261" s="119">
        <v>0</v>
      </c>
      <c r="K1261" s="635"/>
      <c r="L1261" s="635"/>
      <c r="M1261" s="635"/>
      <c r="N1261" s="671" t="s">
        <v>19010</v>
      </c>
      <c r="O1261" s="672">
        <v>0</v>
      </c>
    </row>
    <row r="1262" spans="1:15" ht="12.95" hidden="1">
      <c r="A1262" s="704">
        <v>45033</v>
      </c>
      <c r="B1262" s="682">
        <v>44016</v>
      </c>
      <c r="C1262" s="705">
        <v>106518.72</v>
      </c>
      <c r="D1262" s="119">
        <v>0</v>
      </c>
      <c r="E1262" s="119">
        <f t="shared" si="40"/>
        <v>106518.72</v>
      </c>
      <c r="F1262" s="119">
        <f t="shared" si="41"/>
        <v>2.42</v>
      </c>
      <c r="G1262" s="706" t="s">
        <v>19655</v>
      </c>
      <c r="H1262" s="707" t="s">
        <v>18981</v>
      </c>
      <c r="I1262" s="708">
        <v>45029</v>
      </c>
      <c r="J1262" s="119">
        <v>0</v>
      </c>
      <c r="K1262" s="635"/>
      <c r="L1262" s="635"/>
      <c r="M1262" s="635"/>
      <c r="N1262" s="671" t="s">
        <v>19011</v>
      </c>
      <c r="O1262" s="672">
        <v>0</v>
      </c>
    </row>
    <row r="1263" spans="1:15" ht="12.95" hidden="1">
      <c r="A1263" s="704">
        <v>45035</v>
      </c>
      <c r="B1263" s="682">
        <v>36080</v>
      </c>
      <c r="C1263" s="705">
        <f>35426*3.0462</f>
        <v>107914.68119999999</v>
      </c>
      <c r="D1263" s="119">
        <v>22249.119999999999</v>
      </c>
      <c r="E1263" s="119">
        <f t="shared" si="40"/>
        <v>85665.561199999996</v>
      </c>
      <c r="F1263" s="119">
        <f t="shared" si="41"/>
        <v>2.3743226496674055</v>
      </c>
      <c r="G1263" s="706" t="s">
        <v>19849</v>
      </c>
      <c r="H1263" s="707" t="s">
        <v>18976</v>
      </c>
      <c r="I1263" s="708">
        <v>45027</v>
      </c>
      <c r="J1263" s="119">
        <f>19319.2*30%</f>
        <v>5795.76</v>
      </c>
      <c r="K1263" s="635"/>
      <c r="L1263" s="635"/>
      <c r="M1263" s="635"/>
      <c r="N1263" s="671" t="s">
        <v>19012</v>
      </c>
      <c r="O1263" s="672">
        <v>0</v>
      </c>
    </row>
    <row r="1264" spans="1:15" ht="12.95" hidden="1">
      <c r="A1264" s="704">
        <v>45040</v>
      </c>
      <c r="B1264" s="682">
        <v>20000</v>
      </c>
      <c r="C1264" s="705">
        <v>52000</v>
      </c>
      <c r="D1264" s="119">
        <v>0</v>
      </c>
      <c r="E1264" s="119">
        <f t="shared" si="40"/>
        <v>52000</v>
      </c>
      <c r="F1264" s="119">
        <f t="shared" si="41"/>
        <v>2.6</v>
      </c>
      <c r="G1264" s="706" t="s">
        <v>17018</v>
      </c>
      <c r="H1264" s="707" t="s">
        <v>18971</v>
      </c>
      <c r="I1264" s="708">
        <v>45021</v>
      </c>
      <c r="J1264" s="119">
        <v>0</v>
      </c>
      <c r="K1264" s="635"/>
      <c r="L1264" s="635"/>
      <c r="M1264" s="635"/>
      <c r="N1264" s="671" t="s">
        <v>19013</v>
      </c>
      <c r="O1264" s="672">
        <v>0</v>
      </c>
    </row>
    <row r="1265" spans="1:15" ht="12.95" hidden="1">
      <c r="A1265" s="704">
        <v>45041</v>
      </c>
      <c r="B1265" s="682">
        <v>61500</v>
      </c>
      <c r="C1265" s="705">
        <v>180810</v>
      </c>
      <c r="D1265" s="119">
        <v>0</v>
      </c>
      <c r="E1265" s="119">
        <f t="shared" si="40"/>
        <v>180810</v>
      </c>
      <c r="F1265" s="119">
        <f t="shared" si="41"/>
        <v>2.94</v>
      </c>
      <c r="G1265" s="706" t="s">
        <v>19679</v>
      </c>
      <c r="H1265" s="707" t="s">
        <v>18975</v>
      </c>
      <c r="I1265" s="708">
        <v>45026</v>
      </c>
      <c r="J1265" s="119">
        <v>0</v>
      </c>
      <c r="K1265" s="635"/>
      <c r="L1265" s="635"/>
      <c r="M1265" s="635"/>
      <c r="N1265" s="671" t="s">
        <v>19014</v>
      </c>
      <c r="O1265" s="672">
        <v>1988.9649999999999</v>
      </c>
    </row>
    <row r="1266" spans="1:15" ht="12.95" hidden="1">
      <c r="A1266" s="704">
        <v>45042</v>
      </c>
      <c r="B1266" s="682">
        <v>322416</v>
      </c>
      <c r="C1266" s="705">
        <f>267605.28*3.03725</f>
        <v>812784.13668</v>
      </c>
      <c r="D1266" s="119">
        <v>0</v>
      </c>
      <c r="E1266" s="119">
        <f t="shared" si="40"/>
        <v>812784.13668</v>
      </c>
      <c r="F1266" s="119">
        <f t="shared" si="41"/>
        <v>2.5209174999999999</v>
      </c>
      <c r="G1266" s="88" t="s">
        <v>19688</v>
      </c>
      <c r="H1266" s="707" t="s">
        <v>18983</v>
      </c>
      <c r="I1266" s="708">
        <v>45036</v>
      </c>
      <c r="J1266" s="119">
        <v>0</v>
      </c>
      <c r="K1266" s="635"/>
      <c r="L1266" s="635"/>
      <c r="M1266" s="635"/>
      <c r="N1266" s="671" t="s">
        <v>19015</v>
      </c>
      <c r="O1266" s="672">
        <v>1838.9649999999999</v>
      </c>
    </row>
    <row r="1267" spans="1:15" ht="12.95" hidden="1">
      <c r="A1267" s="704">
        <v>45043</v>
      </c>
      <c r="B1267" s="682">
        <v>20150</v>
      </c>
      <c r="C1267" s="705">
        <f>19726.85*3.03725</f>
        <v>59915.375162499993</v>
      </c>
      <c r="D1267" s="119">
        <v>1838.9649999999999</v>
      </c>
      <c r="E1267" s="119">
        <f t="shared" si="40"/>
        <v>58076.410162499997</v>
      </c>
      <c r="F1267" s="119">
        <f t="shared" si="41"/>
        <v>2.882203978287841</v>
      </c>
      <c r="G1267" s="706" t="s">
        <v>19659</v>
      </c>
      <c r="H1267" s="707" t="s">
        <v>18982</v>
      </c>
      <c r="I1267" s="708">
        <v>45031</v>
      </c>
      <c r="J1267" s="119">
        <v>0</v>
      </c>
      <c r="K1267" s="635"/>
      <c r="L1267" s="635"/>
      <c r="M1267" s="635"/>
      <c r="N1267" s="671" t="s">
        <v>19016</v>
      </c>
      <c r="O1267" s="672">
        <v>12597.39</v>
      </c>
    </row>
    <row r="1268" spans="1:15" ht="12.95" hidden="1">
      <c r="A1268" s="704">
        <v>45043</v>
      </c>
      <c r="B1268" s="682">
        <v>57600</v>
      </c>
      <c r="C1268" s="705">
        <v>144000</v>
      </c>
      <c r="D1268" s="119">
        <v>0</v>
      </c>
      <c r="E1268" s="119">
        <f t="shared" si="40"/>
        <v>144000</v>
      </c>
      <c r="F1268" s="119">
        <f t="shared" si="41"/>
        <v>2.5</v>
      </c>
      <c r="G1268" s="706" t="s">
        <v>19833</v>
      </c>
      <c r="H1268" s="707" t="s">
        <v>18978</v>
      </c>
      <c r="I1268" s="708">
        <v>45027</v>
      </c>
      <c r="J1268" s="119">
        <v>0</v>
      </c>
      <c r="K1268" s="635"/>
      <c r="L1268" s="635"/>
      <c r="M1268" s="635"/>
      <c r="N1268" s="671" t="s">
        <v>19017</v>
      </c>
      <c r="O1268" s="672">
        <v>0</v>
      </c>
    </row>
    <row r="1269" spans="1:15" ht="12.95" hidden="1">
      <c r="A1269" s="704">
        <v>45043</v>
      </c>
      <c r="B1269" s="682">
        <v>105750</v>
      </c>
      <c r="C1269" s="705">
        <v>225705</v>
      </c>
      <c r="D1269" s="119">
        <v>0</v>
      </c>
      <c r="E1269" s="119">
        <f t="shared" si="40"/>
        <v>225705</v>
      </c>
      <c r="F1269" s="119">
        <f t="shared" si="41"/>
        <v>2.1343262411347519</v>
      </c>
      <c r="G1269" s="706" t="s">
        <v>19647</v>
      </c>
      <c r="H1269" s="707" t="s">
        <v>18990</v>
      </c>
      <c r="I1269" s="708">
        <v>45040</v>
      </c>
      <c r="J1269" s="119">
        <v>0</v>
      </c>
      <c r="K1269" s="635"/>
      <c r="L1269" s="635"/>
      <c r="M1269" s="635"/>
      <c r="N1269" s="671" t="s">
        <v>19018</v>
      </c>
      <c r="O1269" s="672">
        <v>0</v>
      </c>
    </row>
    <row r="1270" spans="1:15" ht="12.95" hidden="1">
      <c r="A1270" s="704">
        <v>45044</v>
      </c>
      <c r="B1270" s="682">
        <v>76800</v>
      </c>
      <c r="C1270" s="705">
        <v>188160</v>
      </c>
      <c r="D1270" s="119">
        <v>0</v>
      </c>
      <c r="E1270" s="119">
        <f t="shared" si="40"/>
        <v>188160</v>
      </c>
      <c r="F1270" s="119">
        <f t="shared" si="41"/>
        <v>2.4500000000000002</v>
      </c>
      <c r="G1270" s="706" t="s">
        <v>19833</v>
      </c>
      <c r="H1270" s="707" t="s">
        <v>18977</v>
      </c>
      <c r="I1270" s="708">
        <v>45027</v>
      </c>
      <c r="J1270" s="119">
        <v>0</v>
      </c>
      <c r="K1270" s="635"/>
      <c r="L1270" s="635"/>
      <c r="M1270" s="635"/>
      <c r="N1270" s="671" t="s">
        <v>19019</v>
      </c>
      <c r="O1270" s="672">
        <v>3525.1</v>
      </c>
    </row>
    <row r="1271" spans="1:15" ht="12.95" hidden="1">
      <c r="A1271" s="704">
        <v>45044</v>
      </c>
      <c r="B1271" s="682">
        <v>57600</v>
      </c>
      <c r="C1271" s="705">
        <f>49756*3.35055</f>
        <v>166709.96580000001</v>
      </c>
      <c r="D1271" s="119">
        <v>18691.134999999998</v>
      </c>
      <c r="E1271" s="119">
        <f t="shared" si="40"/>
        <v>148018.8308</v>
      </c>
      <c r="F1271" s="119">
        <f t="shared" si="41"/>
        <v>2.5697713680555556</v>
      </c>
      <c r="G1271" s="706" t="s">
        <v>19831</v>
      </c>
      <c r="H1271" s="707" t="s">
        <v>18984</v>
      </c>
      <c r="I1271" s="708">
        <v>45040</v>
      </c>
      <c r="J1271" s="119">
        <f>13860.82*30%</f>
        <v>4158.2460000000001</v>
      </c>
      <c r="K1271" s="635"/>
      <c r="L1271" s="635"/>
      <c r="M1271" s="635"/>
      <c r="N1271" s="671" t="s">
        <v>19021</v>
      </c>
      <c r="O1271" s="672">
        <v>23830.092000000001</v>
      </c>
    </row>
    <row r="1272" spans="1:15" ht="12.95" hidden="1">
      <c r="A1272" s="704">
        <v>45045</v>
      </c>
      <c r="B1272" s="682">
        <v>267490</v>
      </c>
      <c r="C1272" s="705">
        <f>219929.46*3.0356</f>
        <v>667617.86877599999</v>
      </c>
      <c r="D1272" s="119">
        <v>82369.5</v>
      </c>
      <c r="E1272" s="119">
        <f t="shared" si="40"/>
        <v>585248.36877599999</v>
      </c>
      <c r="F1272" s="119">
        <f t="shared" si="41"/>
        <v>2.1879261608882574</v>
      </c>
      <c r="G1272" s="706" t="s">
        <v>19662</v>
      </c>
      <c r="H1272" s="707" t="s">
        <v>18985</v>
      </c>
      <c r="I1272" s="708">
        <v>45040</v>
      </c>
      <c r="J1272" s="119">
        <f>67773*30%</f>
        <v>20331.899999999998</v>
      </c>
      <c r="K1272" s="635"/>
      <c r="L1272" s="635"/>
      <c r="M1272" s="635"/>
      <c r="N1272" s="671" t="s">
        <v>19022</v>
      </c>
      <c r="O1272" s="672">
        <v>23754.912</v>
      </c>
    </row>
    <row r="1273" spans="1:15" ht="12.95" hidden="1">
      <c r="A1273" s="704">
        <v>45045</v>
      </c>
      <c r="B1273" s="682">
        <v>21100</v>
      </c>
      <c r="C1273" s="705">
        <f>29023.28*3.0356</f>
        <v>88103.068767999997</v>
      </c>
      <c r="D1273" s="119">
        <v>2318.2199999999998</v>
      </c>
      <c r="E1273" s="119">
        <f t="shared" si="40"/>
        <v>85784.848767999996</v>
      </c>
      <c r="F1273" s="119">
        <f t="shared" si="41"/>
        <v>4.0656326430331751</v>
      </c>
      <c r="G1273" s="706" t="s">
        <v>19653</v>
      </c>
      <c r="H1273" s="707" t="s">
        <v>18986</v>
      </c>
      <c r="I1273" s="708">
        <v>45040</v>
      </c>
      <c r="J1273" s="119">
        <v>0</v>
      </c>
      <c r="K1273" s="635"/>
      <c r="L1273" s="635"/>
      <c r="M1273" s="635"/>
      <c r="N1273" s="671" t="s">
        <v>19023</v>
      </c>
      <c r="O1273" s="672">
        <v>23800.691999999999</v>
      </c>
    </row>
    <row r="1274" spans="1:15" ht="12.95" hidden="1">
      <c r="A1274" s="704">
        <v>45045</v>
      </c>
      <c r="B1274" s="682">
        <v>44016</v>
      </c>
      <c r="C1274" s="705">
        <v>90232.8</v>
      </c>
      <c r="D1274" s="119">
        <v>0</v>
      </c>
      <c r="E1274" s="119">
        <f t="shared" si="40"/>
        <v>90232.8</v>
      </c>
      <c r="F1274" s="119">
        <f t="shared" si="41"/>
        <v>2.0500000000000003</v>
      </c>
      <c r="G1274" s="706" t="s">
        <v>19647</v>
      </c>
      <c r="H1274" s="707" t="s">
        <v>18992</v>
      </c>
      <c r="I1274" s="708">
        <v>45040</v>
      </c>
      <c r="J1274" s="119">
        <v>0</v>
      </c>
      <c r="K1274" s="635"/>
      <c r="L1274" s="635"/>
      <c r="M1274" s="635"/>
      <c r="N1274" s="671" t="s">
        <v>19024</v>
      </c>
      <c r="O1274" s="672">
        <v>9716</v>
      </c>
    </row>
    <row r="1275" spans="1:15" ht="12.95" hidden="1">
      <c r="A1275" s="704">
        <v>45045</v>
      </c>
      <c r="B1275" s="682">
        <v>675</v>
      </c>
      <c r="C1275" s="705">
        <v>4657.5</v>
      </c>
      <c r="D1275" s="119">
        <v>0</v>
      </c>
      <c r="E1275" s="119">
        <f t="shared" si="40"/>
        <v>4657.5</v>
      </c>
      <c r="F1275" s="119">
        <f t="shared" si="41"/>
        <v>6.9</v>
      </c>
      <c r="G1275" s="706" t="s">
        <v>19647</v>
      </c>
      <c r="H1275" s="707" t="s">
        <v>18993</v>
      </c>
      <c r="I1275" s="708">
        <v>45044</v>
      </c>
      <c r="J1275" s="119">
        <v>0</v>
      </c>
      <c r="K1275" s="635"/>
      <c r="L1275" s="635"/>
      <c r="M1275" s="635"/>
      <c r="N1275" s="671" t="s">
        <v>19025</v>
      </c>
      <c r="O1275" s="672">
        <v>33674.951999999997</v>
      </c>
    </row>
    <row r="1276" spans="1:15" ht="14.45" hidden="1">
      <c r="A1276" s="674">
        <v>45048</v>
      </c>
      <c r="B1276" s="679">
        <v>20750</v>
      </c>
      <c r="C1276" s="676">
        <v>49800</v>
      </c>
      <c r="D1276" s="119">
        <v>0</v>
      </c>
      <c r="E1276" s="119">
        <f t="shared" si="40"/>
        <v>49800</v>
      </c>
      <c r="F1276" s="119">
        <f t="shared" si="41"/>
        <v>2.4</v>
      </c>
      <c r="G1276" s="706" t="s">
        <v>19655</v>
      </c>
      <c r="H1276" s="709" t="s">
        <v>18988</v>
      </c>
      <c r="I1276" s="678">
        <v>45040</v>
      </c>
      <c r="J1276" s="119">
        <v>0</v>
      </c>
      <c r="K1276" s="635"/>
      <c r="L1276" s="635"/>
      <c r="M1276" s="635"/>
      <c r="N1276" s="671" t="s">
        <v>19026</v>
      </c>
      <c r="O1276" s="672">
        <v>0</v>
      </c>
    </row>
    <row r="1277" spans="1:15" ht="14.45" hidden="1">
      <c r="A1277" s="674">
        <v>45049</v>
      </c>
      <c r="B1277" s="679">
        <v>19200</v>
      </c>
      <c r="C1277" s="676">
        <v>47424</v>
      </c>
      <c r="D1277" s="119">
        <v>0</v>
      </c>
      <c r="E1277" s="119">
        <f t="shared" si="40"/>
        <v>47424</v>
      </c>
      <c r="F1277" s="119">
        <f t="shared" si="41"/>
        <v>2.4700000000000002</v>
      </c>
      <c r="G1277" s="706" t="s">
        <v>19655</v>
      </c>
      <c r="H1277" s="709" t="s">
        <v>18987</v>
      </c>
      <c r="I1277" s="678">
        <v>45040</v>
      </c>
      <c r="J1277" s="119">
        <v>0</v>
      </c>
      <c r="K1277" s="635"/>
      <c r="L1277" s="635"/>
      <c r="M1277" s="635"/>
      <c r="N1277" s="671" t="s">
        <v>19027</v>
      </c>
      <c r="O1277" s="672">
        <v>0</v>
      </c>
    </row>
    <row r="1278" spans="1:15" ht="14.45" hidden="1">
      <c r="A1278" s="674">
        <v>45049</v>
      </c>
      <c r="B1278" s="679">
        <v>51840</v>
      </c>
      <c r="C1278" s="676">
        <v>113616</v>
      </c>
      <c r="D1278" s="119">
        <v>0</v>
      </c>
      <c r="E1278" s="119">
        <f t="shared" si="40"/>
        <v>113616</v>
      </c>
      <c r="F1278" s="119">
        <f t="shared" si="41"/>
        <v>2.1916666666666669</v>
      </c>
      <c r="G1278" s="706" t="s">
        <v>19655</v>
      </c>
      <c r="H1278" s="709" t="s">
        <v>18989</v>
      </c>
      <c r="I1278" s="678">
        <v>45040</v>
      </c>
      <c r="J1278" s="119">
        <v>0</v>
      </c>
      <c r="K1278" s="635"/>
      <c r="L1278" s="635"/>
      <c r="M1278" s="635"/>
      <c r="N1278" s="671" t="s">
        <v>19028</v>
      </c>
      <c r="O1278" s="672">
        <v>42099.040000000001</v>
      </c>
    </row>
    <row r="1279" spans="1:15" ht="14.45" hidden="1">
      <c r="A1279" s="674">
        <v>45051</v>
      </c>
      <c r="B1279" s="679">
        <v>100003</v>
      </c>
      <c r="C1279" s="676">
        <v>226007.23199999999</v>
      </c>
      <c r="D1279" s="119">
        <v>0</v>
      </c>
      <c r="E1279" s="119">
        <f t="shared" si="40"/>
        <v>226007.23199999999</v>
      </c>
      <c r="F1279" s="119">
        <f t="shared" si="41"/>
        <v>2.2600045198644039</v>
      </c>
      <c r="G1279" s="212" t="s">
        <v>18794</v>
      </c>
      <c r="H1279" s="709" t="s">
        <v>18994</v>
      </c>
      <c r="I1279" s="678">
        <v>45048</v>
      </c>
      <c r="J1279" s="119">
        <v>0</v>
      </c>
      <c r="K1279" s="635"/>
      <c r="L1279" s="635"/>
      <c r="M1279" s="635"/>
      <c r="N1279" s="671" t="s">
        <v>19029</v>
      </c>
      <c r="O1279" s="672">
        <v>8183.45</v>
      </c>
    </row>
    <row r="1280" spans="1:15" ht="14.45" hidden="1">
      <c r="A1280" s="674">
        <v>45054</v>
      </c>
      <c r="B1280" s="679">
        <v>19200</v>
      </c>
      <c r="C1280" s="676">
        <v>47424</v>
      </c>
      <c r="D1280" s="119">
        <v>0</v>
      </c>
      <c r="E1280" s="119">
        <f t="shared" si="40"/>
        <v>47424</v>
      </c>
      <c r="F1280" s="119">
        <f t="shared" si="41"/>
        <v>2.4700000000000002</v>
      </c>
      <c r="G1280" s="212" t="s">
        <v>19655</v>
      </c>
      <c r="H1280" s="709" t="s">
        <v>18995</v>
      </c>
      <c r="I1280" s="678">
        <v>45049</v>
      </c>
      <c r="J1280" s="119">
        <v>0</v>
      </c>
      <c r="K1280" s="635"/>
      <c r="L1280" s="635"/>
      <c r="M1280" s="635"/>
      <c r="N1280" s="671" t="s">
        <v>19030</v>
      </c>
      <c r="O1280" s="672">
        <v>12984.503000000001</v>
      </c>
    </row>
    <row r="1281" spans="1:15" ht="14.45" hidden="1">
      <c r="A1281" s="674">
        <v>45054</v>
      </c>
      <c r="B1281" s="679">
        <v>27720</v>
      </c>
      <c r="C1281" s="676">
        <v>61815.6</v>
      </c>
      <c r="D1281" s="119">
        <v>0</v>
      </c>
      <c r="E1281" s="119">
        <f t="shared" si="40"/>
        <v>61815.6</v>
      </c>
      <c r="F1281" s="119">
        <f t="shared" si="41"/>
        <v>2.23</v>
      </c>
      <c r="G1281" s="212" t="s">
        <v>19655</v>
      </c>
      <c r="H1281" s="709" t="s">
        <v>18996</v>
      </c>
      <c r="I1281" s="678">
        <v>45049</v>
      </c>
      <c r="J1281" s="119">
        <v>0</v>
      </c>
      <c r="K1281" s="635"/>
      <c r="L1281" s="635"/>
      <c r="M1281" s="635"/>
      <c r="N1281" s="671" t="s">
        <v>19031</v>
      </c>
      <c r="O1281" s="672">
        <v>24396.974999999999</v>
      </c>
    </row>
    <row r="1282" spans="1:15" ht="14.45" hidden="1">
      <c r="A1282" s="674">
        <v>45058</v>
      </c>
      <c r="B1282" s="679">
        <v>71016</v>
      </c>
      <c r="C1282" s="676">
        <v>168648.72</v>
      </c>
      <c r="D1282" s="119">
        <v>0</v>
      </c>
      <c r="E1282" s="119">
        <f t="shared" si="40"/>
        <v>168648.72</v>
      </c>
      <c r="F1282" s="119">
        <f t="shared" si="41"/>
        <v>2.3747989185535654</v>
      </c>
      <c r="G1282" s="212" t="s">
        <v>19647</v>
      </c>
      <c r="H1282" s="709" t="s">
        <v>18991</v>
      </c>
      <c r="I1282" s="678">
        <v>45040</v>
      </c>
      <c r="J1282" s="119">
        <v>0</v>
      </c>
      <c r="K1282" s="635"/>
      <c r="L1282" s="635"/>
      <c r="M1282" s="635"/>
      <c r="N1282" s="671" t="s">
        <v>19032</v>
      </c>
      <c r="O1282" s="672">
        <v>24434.315999999999</v>
      </c>
    </row>
    <row r="1283" spans="1:15" ht="14.45" hidden="1">
      <c r="A1283" s="674">
        <v>45062</v>
      </c>
      <c r="B1283" s="679">
        <v>28032</v>
      </c>
      <c r="C1283" s="676">
        <f>28207.84*3.34215</f>
        <v>94274.832456000004</v>
      </c>
      <c r="D1283" s="119">
        <v>13279.955</v>
      </c>
      <c r="E1283" s="119">
        <f t="shared" si="40"/>
        <v>80994.877456000002</v>
      </c>
      <c r="F1283" s="119">
        <f t="shared" si="41"/>
        <v>2.8893720553652971</v>
      </c>
      <c r="G1283" s="212" t="s">
        <v>19661</v>
      </c>
      <c r="H1283" s="709" t="s">
        <v>19000</v>
      </c>
      <c r="I1283" s="678">
        <v>45055</v>
      </c>
      <c r="J1283" s="119">
        <f>11406.15*30%</f>
        <v>3421.8449999999998</v>
      </c>
      <c r="K1283" s="635"/>
      <c r="L1283" s="635"/>
      <c r="M1283" s="635"/>
      <c r="N1283" s="671" t="s">
        <v>19033</v>
      </c>
      <c r="O1283" s="672">
        <v>24361.536</v>
      </c>
    </row>
    <row r="1284" spans="1:15" ht="14.45" hidden="1">
      <c r="A1284" s="674">
        <v>45062</v>
      </c>
      <c r="B1284" s="679">
        <v>27972</v>
      </c>
      <c r="C1284" s="676">
        <f>28155.64*3.34215</f>
        <v>94100.372226000007</v>
      </c>
      <c r="D1284" s="119">
        <v>13279.955</v>
      </c>
      <c r="E1284" s="119">
        <f t="shared" si="40"/>
        <v>80820.417226000005</v>
      </c>
      <c r="F1284" s="119">
        <f t="shared" si="41"/>
        <v>2.8893328051623053</v>
      </c>
      <c r="G1284" s="212" t="s">
        <v>19661</v>
      </c>
      <c r="H1284" s="709" t="s">
        <v>19001</v>
      </c>
      <c r="I1284" s="678">
        <v>45055</v>
      </c>
      <c r="J1284" s="119">
        <f>11406.15*30%</f>
        <v>3421.8449999999998</v>
      </c>
      <c r="K1284" s="635"/>
      <c r="L1284" s="635"/>
      <c r="M1284" s="635"/>
      <c r="N1284" s="671" t="s">
        <v>19034</v>
      </c>
      <c r="O1284" s="672">
        <v>34223.008000000002</v>
      </c>
    </row>
    <row r="1285" spans="1:15" ht="14.45" hidden="1">
      <c r="A1285" s="674">
        <v>45062</v>
      </c>
      <c r="B1285" s="679">
        <v>27984</v>
      </c>
      <c r="C1285" s="676">
        <f>28166.08*3.34215</f>
        <v>94135.264272000015</v>
      </c>
      <c r="D1285" s="119">
        <v>13285.955</v>
      </c>
      <c r="E1285" s="119">
        <f t="shared" si="40"/>
        <v>80849.309272000013</v>
      </c>
      <c r="F1285" s="119">
        <f t="shared" si="41"/>
        <v>2.8891262604345345</v>
      </c>
      <c r="G1285" s="212" t="s">
        <v>19661</v>
      </c>
      <c r="H1285" s="709" t="s">
        <v>19002</v>
      </c>
      <c r="I1285" s="678">
        <v>45055</v>
      </c>
      <c r="J1285" s="119">
        <f>11406.15*30%</f>
        <v>3421.8449999999998</v>
      </c>
      <c r="K1285" s="635"/>
      <c r="L1285" s="635"/>
      <c r="M1285" s="635"/>
      <c r="N1285" s="671" t="s">
        <v>19035</v>
      </c>
      <c r="O1285" s="672">
        <v>0</v>
      </c>
    </row>
    <row r="1286" spans="1:15" ht="14.45" hidden="1">
      <c r="A1286" s="674">
        <v>45064</v>
      </c>
      <c r="B1286" s="679">
        <v>55800</v>
      </c>
      <c r="C1286" s="676">
        <v>131382</v>
      </c>
      <c r="D1286" s="119">
        <v>0</v>
      </c>
      <c r="E1286" s="119">
        <f t="shared" si="40"/>
        <v>131382</v>
      </c>
      <c r="F1286" s="119">
        <f t="shared" si="41"/>
        <v>2.354516129032258</v>
      </c>
      <c r="G1286" s="212" t="s">
        <v>19655</v>
      </c>
      <c r="H1286" s="709" t="s">
        <v>18997</v>
      </c>
      <c r="I1286" s="678">
        <v>45055</v>
      </c>
      <c r="J1286" s="119">
        <v>0</v>
      </c>
      <c r="K1286" s="635"/>
      <c r="L1286" s="635"/>
      <c r="M1286" s="635"/>
      <c r="N1286" s="671" t="s">
        <v>19036</v>
      </c>
      <c r="O1286" s="672">
        <v>22958.13</v>
      </c>
    </row>
    <row r="1287" spans="1:15" ht="14.45" hidden="1">
      <c r="A1287" s="674">
        <v>45064</v>
      </c>
      <c r="B1287" s="679">
        <v>55800</v>
      </c>
      <c r="C1287" s="676">
        <v>131382</v>
      </c>
      <c r="D1287" s="119">
        <v>0</v>
      </c>
      <c r="E1287" s="119">
        <f t="shared" si="40"/>
        <v>131382</v>
      </c>
      <c r="F1287" s="119">
        <f t="shared" si="41"/>
        <v>2.354516129032258</v>
      </c>
      <c r="G1287" s="212" t="s">
        <v>19655</v>
      </c>
      <c r="H1287" s="709" t="s">
        <v>18999</v>
      </c>
      <c r="I1287" s="678">
        <v>45055</v>
      </c>
      <c r="J1287" s="119">
        <v>0</v>
      </c>
      <c r="K1287" s="635"/>
      <c r="L1287" s="635"/>
      <c r="M1287" s="635"/>
      <c r="N1287" s="671" t="s">
        <v>19037</v>
      </c>
      <c r="O1287" s="672">
        <v>25803.004000000001</v>
      </c>
    </row>
    <row r="1288" spans="1:15" ht="14.45" hidden="1">
      <c r="A1288" s="674">
        <v>45071</v>
      </c>
      <c r="B1288" s="679">
        <v>38400</v>
      </c>
      <c r="C1288" s="676">
        <f>31072*3.3385</f>
        <v>103733.87199999999</v>
      </c>
      <c r="D1288" s="119">
        <v>11800.105</v>
      </c>
      <c r="E1288" s="119">
        <f t="shared" si="40"/>
        <v>91933.766999999993</v>
      </c>
      <c r="F1288" s="119">
        <f t="shared" si="41"/>
        <v>2.3941085156249997</v>
      </c>
      <c r="G1288" s="212" t="s">
        <v>19831</v>
      </c>
      <c r="H1288" s="709" t="s">
        <v>19004</v>
      </c>
      <c r="I1288" s="678">
        <v>45065</v>
      </c>
      <c r="J1288" s="119">
        <f>8689.17*30%</f>
        <v>2606.7509999999997</v>
      </c>
      <c r="K1288" s="635"/>
      <c r="L1288" s="635"/>
      <c r="M1288" s="635"/>
      <c r="N1288" s="671" t="s">
        <v>19038</v>
      </c>
      <c r="O1288" s="672">
        <v>0</v>
      </c>
    </row>
    <row r="1289" spans="1:15" ht="14.45" hidden="1">
      <c r="A1289" s="710">
        <v>45072</v>
      </c>
      <c r="B1289" s="711">
        <v>15100</v>
      </c>
      <c r="C1289" s="712">
        <f>18487.5*3.1055</f>
        <v>57412.931250000001</v>
      </c>
      <c r="D1289" s="198">
        <v>6576.6</v>
      </c>
      <c r="E1289" s="713">
        <f t="shared" si="40"/>
        <v>50836.331250000003</v>
      </c>
      <c r="F1289" s="713">
        <f t="shared" si="41"/>
        <v>3.3666444536423845</v>
      </c>
      <c r="G1289" s="662" t="s">
        <v>17330</v>
      </c>
      <c r="H1289" s="714" t="s">
        <v>19006</v>
      </c>
      <c r="I1289" s="715">
        <v>45068</v>
      </c>
      <c r="J1289" s="198">
        <f>5080*30%</f>
        <v>1524</v>
      </c>
      <c r="K1289" s="635"/>
      <c r="L1289" s="635"/>
      <c r="M1289" s="635"/>
      <c r="N1289" s="671" t="s">
        <v>19039</v>
      </c>
      <c r="O1289" s="672">
        <v>0</v>
      </c>
    </row>
    <row r="1290" spans="1:15" ht="14.45" hidden="1">
      <c r="A1290" s="674">
        <v>45072</v>
      </c>
      <c r="B1290" s="679">
        <v>82000</v>
      </c>
      <c r="C1290" s="676">
        <v>209100</v>
      </c>
      <c r="D1290" s="119">
        <v>0</v>
      </c>
      <c r="E1290" s="119">
        <f t="shared" si="40"/>
        <v>209100</v>
      </c>
      <c r="F1290" s="119">
        <f t="shared" si="41"/>
        <v>2.5499999999999998</v>
      </c>
      <c r="G1290" s="212" t="s">
        <v>19679</v>
      </c>
      <c r="H1290" s="709" t="s">
        <v>18998</v>
      </c>
      <c r="I1290" s="678">
        <v>45055</v>
      </c>
      <c r="J1290" s="119">
        <v>0</v>
      </c>
      <c r="K1290" s="635"/>
      <c r="L1290" s="635"/>
      <c r="M1290" s="635"/>
      <c r="N1290" s="671" t="s">
        <v>19040</v>
      </c>
      <c r="O1290" s="672">
        <v>75089.100000000006</v>
      </c>
    </row>
    <row r="1291" spans="1:15" ht="14.45" hidden="1">
      <c r="A1291" s="674">
        <v>45073</v>
      </c>
      <c r="B1291" s="679">
        <v>41500</v>
      </c>
      <c r="C1291" s="676">
        <f>33461.45*3.0912</f>
        <v>103436.03423999999</v>
      </c>
      <c r="D1291" s="119">
        <v>11105.376</v>
      </c>
      <c r="E1291" s="119">
        <f t="shared" si="40"/>
        <v>92330.65823999999</v>
      </c>
      <c r="F1291" s="119">
        <f t="shared" si="41"/>
        <v>2.224835138313253</v>
      </c>
      <c r="G1291" s="212" t="s">
        <v>19850</v>
      </c>
      <c r="H1291" s="709" t="s">
        <v>19008</v>
      </c>
      <c r="I1291" s="678">
        <v>45068</v>
      </c>
      <c r="J1291" s="119">
        <f>8168.976*18%</f>
        <v>1470.4156799999998</v>
      </c>
      <c r="K1291" s="635"/>
      <c r="L1291" s="635"/>
      <c r="M1291" s="635"/>
      <c r="N1291" s="671" t="s">
        <v>19041</v>
      </c>
      <c r="O1291" s="672">
        <v>0</v>
      </c>
    </row>
    <row r="1292" spans="1:15" ht="14.45" hidden="1">
      <c r="A1292" s="674">
        <v>45075</v>
      </c>
      <c r="B1292" s="679">
        <v>21600</v>
      </c>
      <c r="C1292" s="676">
        <v>49488</v>
      </c>
      <c r="D1292" s="119">
        <v>0</v>
      </c>
      <c r="E1292" s="119">
        <f t="shared" si="40"/>
        <v>49488</v>
      </c>
      <c r="F1292" s="119">
        <f t="shared" si="41"/>
        <v>2.2911111111111113</v>
      </c>
      <c r="G1292" s="212" t="s">
        <v>19655</v>
      </c>
      <c r="H1292" s="709" t="s">
        <v>19012</v>
      </c>
      <c r="I1292" s="678">
        <v>45069</v>
      </c>
      <c r="J1292" s="119">
        <v>0</v>
      </c>
      <c r="K1292" s="635"/>
      <c r="L1292" s="635"/>
      <c r="M1292" s="635"/>
      <c r="N1292" s="671" t="s">
        <v>19042</v>
      </c>
      <c r="O1292" s="672">
        <v>0</v>
      </c>
    </row>
    <row r="1293" spans="1:15" ht="14.45" hidden="1">
      <c r="A1293" s="674">
        <v>45075</v>
      </c>
      <c r="B1293" s="679">
        <v>38400</v>
      </c>
      <c r="C1293" s="676">
        <v>89472</v>
      </c>
      <c r="D1293" s="119">
        <v>0</v>
      </c>
      <c r="E1293" s="119">
        <f t="shared" si="40"/>
        <v>89472</v>
      </c>
      <c r="F1293" s="119">
        <f t="shared" si="41"/>
        <v>2.33</v>
      </c>
      <c r="G1293" s="212" t="s">
        <v>19655</v>
      </c>
      <c r="H1293" s="709" t="s">
        <v>19013</v>
      </c>
      <c r="I1293" s="678">
        <v>45069</v>
      </c>
      <c r="J1293" s="119">
        <v>0</v>
      </c>
      <c r="K1293" s="635"/>
      <c r="L1293" s="635"/>
      <c r="M1293" s="635"/>
      <c r="N1293" s="671" t="s">
        <v>19043</v>
      </c>
      <c r="O1293" s="672">
        <v>1929.645</v>
      </c>
    </row>
    <row r="1294" spans="1:15" ht="14.45" hidden="1">
      <c r="A1294" s="674">
        <v>45075</v>
      </c>
      <c r="B1294" s="679">
        <v>20150</v>
      </c>
      <c r="C1294" s="676">
        <f>17389.45*3.094</f>
        <v>53802.958299999998</v>
      </c>
      <c r="D1294" s="119">
        <v>1988.9649999999999</v>
      </c>
      <c r="E1294" s="119">
        <f t="shared" si="40"/>
        <v>51813.993300000002</v>
      </c>
      <c r="F1294" s="119">
        <f t="shared" si="41"/>
        <v>2.5714140595533501</v>
      </c>
      <c r="G1294" s="212" t="s">
        <v>19659</v>
      </c>
      <c r="H1294" s="709" t="s">
        <v>19014</v>
      </c>
      <c r="I1294" s="678">
        <v>45070</v>
      </c>
      <c r="J1294" s="119">
        <v>0</v>
      </c>
      <c r="K1294" s="635"/>
      <c r="L1294" s="635"/>
      <c r="M1294" s="635"/>
      <c r="N1294" s="671" t="s">
        <v>19044</v>
      </c>
      <c r="O1294" s="672">
        <v>13222.298000000001</v>
      </c>
    </row>
    <row r="1295" spans="1:15" ht="14.45" hidden="1">
      <c r="A1295" s="674">
        <v>45076</v>
      </c>
      <c r="B1295" s="679">
        <v>44400</v>
      </c>
      <c r="C1295" s="676">
        <f>35272*3.3385</f>
        <v>117755.572</v>
      </c>
      <c r="D1295" s="119">
        <v>17795.48</v>
      </c>
      <c r="E1295" s="119">
        <f t="shared" si="40"/>
        <v>99960.092000000004</v>
      </c>
      <c r="F1295" s="119">
        <f t="shared" si="41"/>
        <v>2.2513534234234234</v>
      </c>
      <c r="G1295" s="212" t="s">
        <v>19851</v>
      </c>
      <c r="H1295" s="709" t="s">
        <v>19005</v>
      </c>
      <c r="I1295" s="678">
        <v>45066</v>
      </c>
      <c r="J1295" s="119">
        <f>14616*30%</f>
        <v>4384.8</v>
      </c>
      <c r="K1295" s="635"/>
      <c r="L1295" s="635"/>
      <c r="M1295" s="635"/>
      <c r="N1295" s="671" t="s">
        <v>19045</v>
      </c>
      <c r="O1295" s="672">
        <v>0</v>
      </c>
    </row>
    <row r="1296" spans="1:15" ht="14.45" hidden="1">
      <c r="A1296" s="674">
        <v>45076</v>
      </c>
      <c r="B1296" s="679">
        <v>146899</v>
      </c>
      <c r="C1296" s="676">
        <v>322486.08</v>
      </c>
      <c r="D1296" s="119">
        <v>0</v>
      </c>
      <c r="E1296" s="119">
        <f t="shared" si="40"/>
        <v>322486.08</v>
      </c>
      <c r="F1296" s="119">
        <f t="shared" si="41"/>
        <v>2.1952911864614464</v>
      </c>
      <c r="G1296" s="212" t="s">
        <v>19656</v>
      </c>
      <c r="H1296" s="709" t="s">
        <v>19011</v>
      </c>
      <c r="I1296" s="678">
        <v>45069</v>
      </c>
      <c r="J1296" s="119">
        <v>0</v>
      </c>
      <c r="K1296" s="635"/>
      <c r="L1296" s="635"/>
      <c r="M1296" s="635"/>
      <c r="N1296" s="671" t="s">
        <v>19046</v>
      </c>
      <c r="O1296" s="672">
        <v>20069.14</v>
      </c>
    </row>
    <row r="1297" spans="1:15" ht="14.45" hidden="1">
      <c r="A1297" s="710">
        <v>45077</v>
      </c>
      <c r="B1297" s="711">
        <v>41280</v>
      </c>
      <c r="C1297" s="712">
        <f>36468*3.106</f>
        <v>113269.60799999999</v>
      </c>
      <c r="D1297" s="713">
        <v>16772.3</v>
      </c>
      <c r="E1297" s="713">
        <f t="shared" si="40"/>
        <v>96497.30799999999</v>
      </c>
      <c r="F1297" s="713">
        <f t="shared" si="41"/>
        <v>2.3376285852713177</v>
      </c>
      <c r="G1297" s="662" t="s">
        <v>17330</v>
      </c>
      <c r="H1297" s="714" t="s">
        <v>19007</v>
      </c>
      <c r="I1297" s="715">
        <v>45068</v>
      </c>
      <c r="J1297" s="198">
        <f>13309.8*30%</f>
        <v>3992.9399999999996</v>
      </c>
      <c r="K1297" s="635"/>
      <c r="L1297" s="635"/>
      <c r="M1297" s="635"/>
      <c r="N1297" s="671" t="s">
        <v>19047</v>
      </c>
      <c r="O1297" s="672">
        <v>0</v>
      </c>
    </row>
    <row r="1298" spans="1:15" ht="14.45" hidden="1">
      <c r="A1298" s="674">
        <v>45077</v>
      </c>
      <c r="B1298" s="679">
        <v>25200</v>
      </c>
      <c r="C1298" s="676">
        <v>53160</v>
      </c>
      <c r="D1298" s="119">
        <v>0</v>
      </c>
      <c r="E1298" s="119">
        <f t="shared" si="40"/>
        <v>53160</v>
      </c>
      <c r="F1298" s="119">
        <f t="shared" si="41"/>
        <v>2.1095238095238096</v>
      </c>
      <c r="G1298" s="212" t="s">
        <v>19826</v>
      </c>
      <c r="H1298" s="709" t="s">
        <v>19003</v>
      </c>
      <c r="I1298" s="678">
        <v>45065</v>
      </c>
      <c r="J1298" s="119">
        <v>0</v>
      </c>
      <c r="K1298" s="635"/>
      <c r="L1298" s="635"/>
      <c r="M1298" s="635"/>
      <c r="N1298" s="671" t="s">
        <v>19048</v>
      </c>
      <c r="O1298" s="672">
        <v>0</v>
      </c>
    </row>
    <row r="1299" spans="1:15" ht="14.45" hidden="1">
      <c r="A1299" s="674">
        <v>45082</v>
      </c>
      <c r="B1299" s="679">
        <v>20750</v>
      </c>
      <c r="C1299" s="676">
        <v>46895</v>
      </c>
      <c r="D1299" s="119">
        <v>0</v>
      </c>
      <c r="E1299" s="119">
        <f t="shared" si="40"/>
        <v>46895</v>
      </c>
      <c r="F1299" s="119">
        <f t="shared" si="41"/>
        <v>2.2599999999999998</v>
      </c>
      <c r="G1299" s="212" t="s">
        <v>19655</v>
      </c>
      <c r="H1299" s="709" t="s">
        <v>19017</v>
      </c>
      <c r="I1299" s="678">
        <v>45077</v>
      </c>
      <c r="J1299" s="119">
        <v>0</v>
      </c>
      <c r="K1299" s="635"/>
      <c r="L1299" s="635"/>
      <c r="M1299" s="635"/>
      <c r="N1299" s="671" t="s">
        <v>19049</v>
      </c>
      <c r="O1299" s="672">
        <v>0</v>
      </c>
    </row>
    <row r="1300" spans="1:15" ht="14.45" hidden="1">
      <c r="A1300" s="674">
        <v>45082</v>
      </c>
      <c r="B1300" s="679">
        <v>21600</v>
      </c>
      <c r="C1300" s="676">
        <v>49579.92</v>
      </c>
      <c r="D1300" s="119">
        <v>0</v>
      </c>
      <c r="E1300" s="119">
        <f t="shared" si="40"/>
        <v>49579.92</v>
      </c>
      <c r="F1300" s="119">
        <f t="shared" si="41"/>
        <v>2.2953666666666668</v>
      </c>
      <c r="G1300" s="212" t="s">
        <v>19655</v>
      </c>
      <c r="H1300" s="709" t="s">
        <v>19018</v>
      </c>
      <c r="I1300" s="678">
        <v>45077</v>
      </c>
      <c r="J1300" s="119">
        <v>0</v>
      </c>
      <c r="K1300" s="635"/>
      <c r="L1300" s="635"/>
      <c r="M1300" s="635"/>
      <c r="N1300" s="671" t="s">
        <v>19050</v>
      </c>
      <c r="O1300" s="672">
        <v>22492.026000000002</v>
      </c>
    </row>
    <row r="1301" spans="1:15" ht="14.45" hidden="1">
      <c r="A1301" s="674">
        <v>45083</v>
      </c>
      <c r="B1301" s="679">
        <v>76800</v>
      </c>
      <c r="C1301" s="676">
        <v>178944</v>
      </c>
      <c r="D1301" s="119">
        <v>0</v>
      </c>
      <c r="E1301" s="119">
        <f t="shared" si="40"/>
        <v>178944</v>
      </c>
      <c r="F1301" s="119">
        <f t="shared" si="41"/>
        <v>2.33</v>
      </c>
      <c r="G1301" s="212" t="s">
        <v>19656</v>
      </c>
      <c r="H1301" s="709" t="s">
        <v>19010</v>
      </c>
      <c r="I1301" s="678">
        <v>45069</v>
      </c>
      <c r="J1301" s="119">
        <v>0</v>
      </c>
      <c r="K1301" s="635"/>
      <c r="L1301" s="635"/>
      <c r="M1301" s="635"/>
      <c r="N1301" s="671" t="s">
        <v>19051</v>
      </c>
      <c r="O1301" s="672">
        <v>24308.437999999998</v>
      </c>
    </row>
    <row r="1302" spans="1:15" ht="14.45" hidden="1">
      <c r="A1302" s="674">
        <v>45086</v>
      </c>
      <c r="B1302" s="679">
        <v>16896</v>
      </c>
      <c r="C1302" s="676">
        <f>6243.84*3.335</f>
        <v>20823.206399999999</v>
      </c>
      <c r="D1302" s="716">
        <v>9716</v>
      </c>
      <c r="E1302" s="119">
        <f t="shared" si="40"/>
        <v>11107.206399999999</v>
      </c>
      <c r="F1302" s="119">
        <f t="shared" si="41"/>
        <v>0.65738674242424233</v>
      </c>
      <c r="G1302" s="212" t="s">
        <v>17343</v>
      </c>
      <c r="H1302" s="709" t="s">
        <v>19024</v>
      </c>
      <c r="I1302" s="678">
        <v>45083</v>
      </c>
      <c r="J1302" s="716">
        <f>6917.75*18%</f>
        <v>1245.1949999999999</v>
      </c>
      <c r="K1302" s="635"/>
      <c r="L1302" s="635"/>
      <c r="M1302" s="635"/>
      <c r="N1302" s="671" t="s">
        <v>19052</v>
      </c>
      <c r="O1302" s="672">
        <v>24308.437999999998</v>
      </c>
    </row>
    <row r="1303" spans="1:15" ht="14.45" hidden="1">
      <c r="A1303" s="232">
        <v>45090</v>
      </c>
      <c r="B1303" s="668">
        <v>99200</v>
      </c>
      <c r="C1303" s="108">
        <f>59520*3.34545</f>
        <v>199121.18400000001</v>
      </c>
      <c r="D1303" s="119">
        <v>33674.951999999997</v>
      </c>
      <c r="E1303" s="119">
        <f t="shared" si="40"/>
        <v>165446.23200000002</v>
      </c>
      <c r="F1303" s="119">
        <f t="shared" si="41"/>
        <v>1.6678047580645163</v>
      </c>
      <c r="G1303" s="88" t="s">
        <v>19722</v>
      </c>
      <c r="H1303" s="709" t="s">
        <v>19025</v>
      </c>
      <c r="I1303" s="670">
        <v>45085</v>
      </c>
      <c r="J1303" s="119">
        <f>27825.952*30%</f>
        <v>8347.7855999999992</v>
      </c>
      <c r="K1303" s="635"/>
      <c r="L1303" s="635"/>
      <c r="M1303" s="635"/>
      <c r="N1303" s="671" t="s">
        <v>19053</v>
      </c>
      <c r="O1303" s="672">
        <v>0</v>
      </c>
    </row>
    <row r="1304" spans="1:15" ht="14.45" hidden="1">
      <c r="A1304" s="232">
        <v>45091</v>
      </c>
      <c r="B1304" s="668">
        <v>110000</v>
      </c>
      <c r="C1304" s="108">
        <f>61600*3.34545</f>
        <v>206079.72</v>
      </c>
      <c r="D1304" s="119">
        <v>23830.092000000001</v>
      </c>
      <c r="E1304" s="119">
        <f t="shared" si="40"/>
        <v>182249.628</v>
      </c>
      <c r="F1304" s="119">
        <f t="shared" si="41"/>
        <v>1.6568148</v>
      </c>
      <c r="G1304" s="88" t="s">
        <v>19722</v>
      </c>
      <c r="H1304" s="709" t="s">
        <v>19021</v>
      </c>
      <c r="I1304" s="670">
        <v>45083</v>
      </c>
      <c r="J1304" s="119">
        <f>18271.092*30%</f>
        <v>5481.3275999999996</v>
      </c>
      <c r="K1304" s="635"/>
      <c r="L1304" s="635"/>
      <c r="M1304" s="635"/>
      <c r="N1304" s="671" t="s">
        <v>19054</v>
      </c>
      <c r="O1304" s="672">
        <v>1838.5450000000001</v>
      </c>
    </row>
    <row r="1305" spans="1:15" ht="14.45" hidden="1">
      <c r="A1305" s="232">
        <v>45092</v>
      </c>
      <c r="B1305" s="668">
        <v>110000</v>
      </c>
      <c r="C1305" s="108">
        <f>61600*3.34655</f>
        <v>206147.48</v>
      </c>
      <c r="D1305" s="119">
        <v>23754.912</v>
      </c>
      <c r="E1305" s="119">
        <f t="shared" si="40"/>
        <v>182392.568</v>
      </c>
      <c r="F1305" s="119">
        <f t="shared" si="41"/>
        <v>1.6581142545454546</v>
      </c>
      <c r="G1305" s="88" t="s">
        <v>19722</v>
      </c>
      <c r="H1305" s="709" t="s">
        <v>19022</v>
      </c>
      <c r="I1305" s="670">
        <v>45083</v>
      </c>
      <c r="J1305" s="119">
        <f>18271.092*30%</f>
        <v>5481.3275999999996</v>
      </c>
      <c r="K1305" s="635"/>
      <c r="L1305" s="635"/>
      <c r="M1305" s="635"/>
      <c r="N1305" s="671" t="s">
        <v>19055</v>
      </c>
      <c r="O1305" s="672">
        <v>1838.5450000000001</v>
      </c>
    </row>
    <row r="1306" spans="1:15" ht="14.45" hidden="1">
      <c r="A1306" s="232">
        <v>45092</v>
      </c>
      <c r="B1306" s="668">
        <v>38400</v>
      </c>
      <c r="C1306" s="108">
        <f>29296*3.3515</f>
        <v>98185.544000000009</v>
      </c>
      <c r="D1306" s="119">
        <v>12597.39</v>
      </c>
      <c r="E1306" s="119">
        <f t="shared" si="40"/>
        <v>85588.15400000001</v>
      </c>
      <c r="F1306" s="119">
        <f t="shared" si="41"/>
        <v>2.2288581770833336</v>
      </c>
      <c r="G1306" s="88" t="s">
        <v>17277</v>
      </c>
      <c r="H1306" s="709" t="s">
        <v>19016</v>
      </c>
      <c r="I1306" s="670">
        <v>45070</v>
      </c>
      <c r="J1306" s="119">
        <f>9346.7*30%</f>
        <v>2804.01</v>
      </c>
      <c r="K1306" s="635"/>
      <c r="L1306" s="635"/>
      <c r="M1306" s="635"/>
      <c r="N1306" s="671" t="s">
        <v>19056</v>
      </c>
      <c r="O1306" s="672">
        <v>56715.02</v>
      </c>
    </row>
    <row r="1307" spans="1:15" ht="14.45" hidden="1">
      <c r="A1307" s="232">
        <v>45093</v>
      </c>
      <c r="B1307" s="668">
        <v>110000</v>
      </c>
      <c r="C1307" s="108">
        <f>61600*3.34655</f>
        <v>206147.48</v>
      </c>
      <c r="D1307" s="119">
        <v>23800.691999999999</v>
      </c>
      <c r="E1307" s="119">
        <f t="shared" si="40"/>
        <v>182346.788</v>
      </c>
      <c r="F1307" s="119">
        <f t="shared" si="41"/>
        <v>1.6576980727272728</v>
      </c>
      <c r="G1307" s="88" t="s">
        <v>19722</v>
      </c>
      <c r="H1307" s="709" t="s">
        <v>19023</v>
      </c>
      <c r="I1307" s="670">
        <v>45083</v>
      </c>
      <c r="J1307" s="119">
        <f>18271.092*30%</f>
        <v>5481.3275999999996</v>
      </c>
      <c r="K1307" s="635"/>
      <c r="L1307" s="635"/>
      <c r="M1307" s="635"/>
      <c r="N1307" s="671" t="s">
        <v>19057</v>
      </c>
      <c r="O1307" s="672">
        <v>2158.2199999999998</v>
      </c>
    </row>
    <row r="1308" spans="1:15" ht="14.45" hidden="1">
      <c r="A1308" s="232">
        <v>45094</v>
      </c>
      <c r="B1308" s="668">
        <v>99200</v>
      </c>
      <c r="C1308" s="108">
        <f>59520*3.3577</f>
        <v>199850.304</v>
      </c>
      <c r="D1308" s="119">
        <v>34223.008000000002</v>
      </c>
      <c r="E1308" s="119">
        <f t="shared" si="40"/>
        <v>165627.296</v>
      </c>
      <c r="F1308" s="119">
        <f t="shared" si="41"/>
        <v>1.6696299999999999</v>
      </c>
      <c r="G1308" s="88" t="s">
        <v>19722</v>
      </c>
      <c r="H1308" s="709" t="s">
        <v>19034</v>
      </c>
      <c r="I1308" s="670">
        <v>45089</v>
      </c>
      <c r="J1308" s="119">
        <f>27874.528*30%</f>
        <v>8362.3583999999992</v>
      </c>
      <c r="K1308" s="635"/>
      <c r="L1308" s="635"/>
      <c r="M1308" s="635"/>
      <c r="N1308" s="671" t="s">
        <v>19058</v>
      </c>
      <c r="O1308" s="672">
        <v>0</v>
      </c>
    </row>
    <row r="1309" spans="1:15" ht="14.45" hidden="1">
      <c r="A1309" s="232">
        <v>45096</v>
      </c>
      <c r="B1309" s="668">
        <v>22008</v>
      </c>
      <c r="C1309" s="108">
        <v>47317.2</v>
      </c>
      <c r="D1309" s="119">
        <v>0</v>
      </c>
      <c r="E1309" s="119">
        <f t="shared" si="40"/>
        <v>47317.2</v>
      </c>
      <c r="F1309" s="119">
        <f t="shared" si="41"/>
        <v>2.15</v>
      </c>
      <c r="G1309" s="88" t="s">
        <v>19655</v>
      </c>
      <c r="H1309" s="709" t="s">
        <v>19027</v>
      </c>
      <c r="I1309" s="670">
        <v>45086</v>
      </c>
      <c r="J1309" s="119">
        <v>0</v>
      </c>
      <c r="K1309" s="635"/>
      <c r="L1309" s="635"/>
      <c r="M1309" s="635"/>
      <c r="N1309" s="671" t="s">
        <v>19059</v>
      </c>
      <c r="O1309" s="672">
        <v>0</v>
      </c>
    </row>
    <row r="1310" spans="1:15" ht="14.45" hidden="1">
      <c r="A1310" s="232">
        <v>45097</v>
      </c>
      <c r="B1310" s="668">
        <v>220080</v>
      </c>
      <c r="C1310" s="108">
        <v>407148</v>
      </c>
      <c r="D1310" s="119">
        <v>0</v>
      </c>
      <c r="E1310" s="119">
        <f t="shared" si="40"/>
        <v>407148</v>
      </c>
      <c r="F1310" s="119">
        <f t="shared" si="41"/>
        <v>1.85</v>
      </c>
      <c r="G1310" s="88" t="s">
        <v>19647</v>
      </c>
      <c r="H1310" s="709" t="s">
        <v>19038</v>
      </c>
      <c r="I1310" s="670">
        <v>45091</v>
      </c>
      <c r="J1310" s="119">
        <v>0</v>
      </c>
      <c r="K1310" s="635"/>
      <c r="L1310" s="635"/>
      <c r="M1310" s="635"/>
      <c r="N1310" s="671" t="s">
        <v>19060</v>
      </c>
      <c r="O1310" s="672">
        <v>0</v>
      </c>
    </row>
    <row r="1311" spans="1:15" ht="14.45" hidden="1">
      <c r="A1311" s="232">
        <v>45097</v>
      </c>
      <c r="B1311" s="668">
        <v>110000</v>
      </c>
      <c r="C1311" s="108">
        <f>61600*3.3577</f>
        <v>206834.32</v>
      </c>
      <c r="D1311" s="119">
        <v>24396.974999999999</v>
      </c>
      <c r="E1311" s="119">
        <f t="shared" si="40"/>
        <v>182437.345</v>
      </c>
      <c r="F1311" s="119">
        <f t="shared" si="41"/>
        <v>1.6585213181818181</v>
      </c>
      <c r="G1311" s="88" t="s">
        <v>19722</v>
      </c>
      <c r="H1311" s="709" t="s">
        <v>19031</v>
      </c>
      <c r="I1311" s="670">
        <v>45089</v>
      </c>
      <c r="J1311" s="119">
        <f>18302.988*30%</f>
        <v>5490.8964000000005</v>
      </c>
      <c r="K1311" s="635"/>
      <c r="L1311" s="635"/>
      <c r="M1311" s="635"/>
      <c r="N1311" s="671" t="s">
        <v>19061</v>
      </c>
      <c r="O1311" s="672">
        <v>0</v>
      </c>
    </row>
    <row r="1312" spans="1:15" ht="14.45" hidden="1">
      <c r="A1312" s="232">
        <v>45098</v>
      </c>
      <c r="B1312" s="668">
        <v>110000</v>
      </c>
      <c r="C1312" s="108">
        <f>61600*3.37115</f>
        <v>207662.84</v>
      </c>
      <c r="D1312" s="119">
        <v>24434.315999999999</v>
      </c>
      <c r="E1312" s="119">
        <f t="shared" si="40"/>
        <v>183228.524</v>
      </c>
      <c r="F1312" s="119">
        <f t="shared" si="41"/>
        <v>1.6657138545454546</v>
      </c>
      <c r="G1312" s="88" t="s">
        <v>19722</v>
      </c>
      <c r="H1312" s="709" t="s">
        <v>19032</v>
      </c>
      <c r="I1312" s="670">
        <v>45089</v>
      </c>
      <c r="J1312" s="119">
        <f>18302.988*30%</f>
        <v>5490.8964000000005</v>
      </c>
      <c r="K1312" s="635"/>
      <c r="L1312" s="635"/>
      <c r="M1312" s="635"/>
      <c r="N1312" s="671" t="s">
        <v>19062</v>
      </c>
      <c r="O1312" s="672">
        <v>0</v>
      </c>
    </row>
    <row r="1313" spans="1:15" ht="14.45" hidden="1">
      <c r="A1313" s="232">
        <v>45099</v>
      </c>
      <c r="B1313" s="668">
        <v>110000</v>
      </c>
      <c r="C1313" s="108">
        <f>61600*3.3703</f>
        <v>207610.47999999998</v>
      </c>
      <c r="D1313" s="119">
        <v>24361.536</v>
      </c>
      <c r="E1313" s="119">
        <f t="shared" si="40"/>
        <v>183248.94399999999</v>
      </c>
      <c r="F1313" s="119">
        <f t="shared" si="41"/>
        <v>1.6658994909090907</v>
      </c>
      <c r="G1313" s="88" t="s">
        <v>19722</v>
      </c>
      <c r="H1313" s="709" t="s">
        <v>19033</v>
      </c>
      <c r="I1313" s="670">
        <v>45089</v>
      </c>
      <c r="J1313" s="119">
        <f>18302.988*30%</f>
        <v>5490.8964000000005</v>
      </c>
      <c r="K1313" s="635"/>
      <c r="L1313" s="635"/>
      <c r="M1313" s="635"/>
      <c r="N1313" s="671" t="s">
        <v>19063</v>
      </c>
      <c r="O1313" s="672">
        <v>78056.566000000006</v>
      </c>
    </row>
    <row r="1314" spans="1:15" ht="14.45" hidden="1">
      <c r="A1314" s="232">
        <v>45099</v>
      </c>
      <c r="B1314" s="668">
        <v>20150</v>
      </c>
      <c r="C1314" s="108">
        <f>15696.85*3.094</f>
        <v>48566.053899999999</v>
      </c>
      <c r="D1314" s="119">
        <v>1838.9649999999999</v>
      </c>
      <c r="E1314" s="119">
        <f t="shared" si="40"/>
        <v>46727.088900000002</v>
      </c>
      <c r="F1314" s="119">
        <f t="shared" si="41"/>
        <v>2.3189622282878415</v>
      </c>
      <c r="G1314" s="88" t="s">
        <v>19659</v>
      </c>
      <c r="H1314" s="709" t="s">
        <v>19015</v>
      </c>
      <c r="I1314" s="670">
        <v>45070</v>
      </c>
      <c r="J1314" s="119">
        <v>0</v>
      </c>
      <c r="K1314" s="635"/>
      <c r="L1314" s="635"/>
      <c r="M1314" s="635"/>
      <c r="N1314" s="671" t="s">
        <v>19064</v>
      </c>
      <c r="O1314" s="672">
        <v>8502.19</v>
      </c>
    </row>
    <row r="1315" spans="1:15" ht="14.45" hidden="1">
      <c r="A1315" s="232">
        <v>45099</v>
      </c>
      <c r="B1315" s="668">
        <v>20150</v>
      </c>
      <c r="C1315" s="108">
        <f>16120*3.08335</f>
        <v>49703.601999999999</v>
      </c>
      <c r="D1315" s="119">
        <v>1929.645</v>
      </c>
      <c r="E1315" s="119">
        <f t="shared" ref="E1315:E1378" si="42">(C1315-D1315)</f>
        <v>47773.957000000002</v>
      </c>
      <c r="F1315" s="119">
        <f t="shared" ref="F1315:F1378" si="43">(E1315/B1315)</f>
        <v>2.3709159801488835</v>
      </c>
      <c r="G1315" s="88" t="s">
        <v>19659</v>
      </c>
      <c r="H1315" s="709" t="s">
        <v>19043</v>
      </c>
      <c r="I1315" s="670">
        <v>45097</v>
      </c>
      <c r="J1315" s="119">
        <v>0</v>
      </c>
      <c r="K1315" s="635"/>
      <c r="L1315" s="635"/>
      <c r="M1315" s="635"/>
      <c r="N1315" s="671" t="s">
        <v>19065</v>
      </c>
      <c r="O1315" s="672">
        <v>0</v>
      </c>
    </row>
    <row r="1316" spans="1:15" ht="14.45" hidden="1">
      <c r="A1316" s="232">
        <v>45099</v>
      </c>
      <c r="B1316" s="668">
        <v>18360</v>
      </c>
      <c r="C1316" s="108">
        <f>18182.4*3.08335</f>
        <v>56062.70304</v>
      </c>
      <c r="D1316" s="174">
        <v>8183.45</v>
      </c>
      <c r="E1316" s="119">
        <f t="shared" si="42"/>
        <v>47879.253040000003</v>
      </c>
      <c r="F1316" s="119">
        <f t="shared" si="43"/>
        <v>2.6078024531590414</v>
      </c>
      <c r="G1316" s="88" t="s">
        <v>17210</v>
      </c>
      <c r="H1316" s="709" t="s">
        <v>19029</v>
      </c>
      <c r="I1316" s="670">
        <v>45089</v>
      </c>
      <c r="J1316" s="174">
        <f>6498.5*18%</f>
        <v>1169.73</v>
      </c>
      <c r="K1316" s="635"/>
      <c r="L1316" s="635"/>
      <c r="M1316" s="635"/>
      <c r="N1316" s="671" t="s">
        <v>19066</v>
      </c>
      <c r="O1316" s="672">
        <v>0</v>
      </c>
    </row>
    <row r="1317" spans="1:15" ht="14.45" hidden="1">
      <c r="A1317" s="674">
        <v>45099</v>
      </c>
      <c r="B1317" s="679">
        <v>100506</v>
      </c>
      <c r="C1317" s="676">
        <v>213458</v>
      </c>
      <c r="D1317" s="119">
        <v>0</v>
      </c>
      <c r="E1317" s="119">
        <f t="shared" si="42"/>
        <v>213458</v>
      </c>
      <c r="F1317" s="119">
        <f t="shared" si="43"/>
        <v>2.1238334029809165</v>
      </c>
      <c r="G1317" s="212" t="s">
        <v>19647</v>
      </c>
      <c r="H1317" s="709" t="s">
        <v>19039</v>
      </c>
      <c r="I1317" s="678">
        <v>45091</v>
      </c>
      <c r="J1317" s="119">
        <v>0</v>
      </c>
      <c r="K1317" s="635"/>
      <c r="L1317" s="635"/>
      <c r="M1317" s="635"/>
      <c r="N1317" s="671" t="s">
        <v>19067</v>
      </c>
      <c r="O1317" s="672">
        <v>0</v>
      </c>
    </row>
    <row r="1318" spans="1:15" ht="14.45" hidden="1">
      <c r="A1318" s="674">
        <v>45100</v>
      </c>
      <c r="B1318" s="679">
        <v>19200</v>
      </c>
      <c r="C1318" s="676">
        <v>42240</v>
      </c>
      <c r="D1318" s="119">
        <v>0</v>
      </c>
      <c r="E1318" s="119">
        <f t="shared" si="42"/>
        <v>42240</v>
      </c>
      <c r="F1318" s="119">
        <f t="shared" si="43"/>
        <v>2.2000000000000002</v>
      </c>
      <c r="G1318" s="212" t="s">
        <v>19655</v>
      </c>
      <c r="H1318" s="709" t="s">
        <v>19026</v>
      </c>
      <c r="I1318" s="678">
        <v>45086</v>
      </c>
      <c r="J1318" s="119">
        <v>0</v>
      </c>
      <c r="K1318" s="635"/>
      <c r="L1318" s="635"/>
      <c r="M1318" s="635"/>
      <c r="N1318" s="671" t="s">
        <v>19068</v>
      </c>
      <c r="O1318" s="672">
        <v>34091.760000000002</v>
      </c>
    </row>
    <row r="1319" spans="1:15" ht="14.45" hidden="1">
      <c r="A1319" s="232">
        <v>45101</v>
      </c>
      <c r="B1319" s="668">
        <v>52867</v>
      </c>
      <c r="C1319" s="108">
        <f>58014.46*3.1011</f>
        <v>179908.641906</v>
      </c>
      <c r="D1319" s="119">
        <v>42099.040000000001</v>
      </c>
      <c r="E1319" s="119">
        <f t="shared" si="42"/>
        <v>137809.601906</v>
      </c>
      <c r="F1319" s="119">
        <f t="shared" si="43"/>
        <v>2.6067225661754971</v>
      </c>
      <c r="G1319" s="88" t="s">
        <v>19779</v>
      </c>
      <c r="H1319" s="709" t="s">
        <v>19028</v>
      </c>
      <c r="I1319" s="670">
        <v>45089</v>
      </c>
      <c r="J1319" s="119">
        <f>37398.4*18%</f>
        <v>6731.7120000000004</v>
      </c>
      <c r="K1319" s="635"/>
      <c r="L1319" s="635"/>
      <c r="M1319" s="635"/>
      <c r="N1319" s="671" t="s">
        <v>19069</v>
      </c>
      <c r="O1319" s="672">
        <v>0</v>
      </c>
    </row>
    <row r="1320" spans="1:15" s="725" customFormat="1" ht="14.45" hidden="1">
      <c r="A1320" s="717">
        <v>45101</v>
      </c>
      <c r="B1320" s="718">
        <v>66024</v>
      </c>
      <c r="C1320" s="719">
        <f>50336.32*3.3701</f>
        <v>169638.43203199998</v>
      </c>
      <c r="D1320" s="720">
        <v>22958.13</v>
      </c>
      <c r="E1320" s="720">
        <f t="shared" si="42"/>
        <v>146680.30203199998</v>
      </c>
      <c r="F1320" s="720">
        <f t="shared" si="43"/>
        <v>2.2216209565006659</v>
      </c>
      <c r="G1320" s="721" t="s">
        <v>19852</v>
      </c>
      <c r="H1320" s="722" t="s">
        <v>19036</v>
      </c>
      <c r="I1320" s="723">
        <v>45089</v>
      </c>
      <c r="J1320" s="241">
        <f>18544.5*30%</f>
        <v>5563.3499999999995</v>
      </c>
      <c r="K1320" s="724"/>
      <c r="L1320" s="724"/>
      <c r="M1320" s="724"/>
      <c r="N1320" s="671" t="s">
        <v>19070</v>
      </c>
      <c r="O1320" s="672">
        <v>18989.59</v>
      </c>
    </row>
    <row r="1321" spans="1:15" ht="14.45" hidden="1">
      <c r="A1321" s="674">
        <v>45103</v>
      </c>
      <c r="B1321" s="679">
        <v>277730</v>
      </c>
      <c r="C1321" s="676">
        <f>209042.6*3.0783</f>
        <v>643495.83558000007</v>
      </c>
      <c r="D1321" s="174">
        <v>75089.100000000006</v>
      </c>
      <c r="E1321" s="119">
        <f t="shared" si="42"/>
        <v>568406.7355800001</v>
      </c>
      <c r="F1321" s="119">
        <f t="shared" si="43"/>
        <v>2.046616266085767</v>
      </c>
      <c r="G1321" s="212" t="s">
        <v>19662</v>
      </c>
      <c r="H1321" s="709" t="s">
        <v>19040</v>
      </c>
      <c r="I1321" s="678">
        <v>45092</v>
      </c>
      <c r="J1321" s="119">
        <f>59038.1*30%</f>
        <v>17711.43</v>
      </c>
      <c r="K1321" s="635"/>
      <c r="L1321" s="635"/>
      <c r="M1321" s="635"/>
      <c r="N1321" s="671" t="s">
        <v>19071</v>
      </c>
      <c r="O1321" s="672">
        <v>0</v>
      </c>
    </row>
    <row r="1322" spans="1:15" ht="14.45" hidden="1">
      <c r="A1322" s="674">
        <v>45103</v>
      </c>
      <c r="B1322" s="679">
        <v>42664</v>
      </c>
      <c r="C1322" s="676">
        <f>16451.4*3.3701</f>
        <v>55442.863140000001</v>
      </c>
      <c r="D1322" s="119">
        <v>25803.004000000001</v>
      </c>
      <c r="E1322" s="119">
        <f t="shared" si="42"/>
        <v>29639.85914</v>
      </c>
      <c r="F1322" s="119">
        <f t="shared" si="43"/>
        <v>0.69472761906994185</v>
      </c>
      <c r="G1322" s="212" t="s">
        <v>17343</v>
      </c>
      <c r="H1322" s="709" t="s">
        <v>19037</v>
      </c>
      <c r="I1322" s="678">
        <v>45090</v>
      </c>
      <c r="J1322" s="119">
        <f>24353*18%</f>
        <v>4383.54</v>
      </c>
      <c r="K1322" s="635"/>
      <c r="L1322" s="635"/>
      <c r="M1322" s="635"/>
      <c r="N1322" s="671" t="s">
        <v>19072</v>
      </c>
      <c r="O1322" s="672">
        <v>0</v>
      </c>
    </row>
    <row r="1323" spans="1:15" ht="14.45" hidden="1">
      <c r="A1323" s="674">
        <v>45103</v>
      </c>
      <c r="B1323" s="679">
        <v>27000</v>
      </c>
      <c r="C1323" s="676">
        <v>57450</v>
      </c>
      <c r="D1323" s="119">
        <v>0</v>
      </c>
      <c r="E1323" s="119">
        <f t="shared" si="42"/>
        <v>57450</v>
      </c>
      <c r="F1323" s="119">
        <f t="shared" si="43"/>
        <v>2.1277777777777778</v>
      </c>
      <c r="G1323" s="212" t="s">
        <v>19826</v>
      </c>
      <c r="H1323" s="709" t="s">
        <v>19041</v>
      </c>
      <c r="I1323" s="678">
        <v>45096</v>
      </c>
      <c r="J1323" s="119">
        <v>0</v>
      </c>
      <c r="K1323" s="635"/>
      <c r="L1323" s="635"/>
      <c r="M1323" s="635"/>
      <c r="N1323" s="671" t="s">
        <v>19073</v>
      </c>
      <c r="O1323" s="672">
        <v>3705.2420000000002</v>
      </c>
    </row>
    <row r="1324" spans="1:15" ht="14.45" hidden="1">
      <c r="A1324" s="674">
        <v>45103</v>
      </c>
      <c r="B1324" s="679">
        <v>44202</v>
      </c>
      <c r="C1324" s="676">
        <v>149967</v>
      </c>
      <c r="D1324" s="119">
        <v>0</v>
      </c>
      <c r="E1324" s="119">
        <f t="shared" si="42"/>
        <v>149967</v>
      </c>
      <c r="F1324" s="119">
        <f t="shared" si="43"/>
        <v>3.3927650332564139</v>
      </c>
      <c r="G1324" s="212" t="s">
        <v>17227</v>
      </c>
      <c r="H1324" s="709" t="s">
        <v>19035</v>
      </c>
      <c r="I1324" s="678">
        <v>45089</v>
      </c>
      <c r="J1324" s="119">
        <v>0</v>
      </c>
      <c r="K1324" s="635"/>
      <c r="L1324" s="635"/>
      <c r="M1324" s="635"/>
      <c r="N1324" s="671" t="s">
        <v>19074</v>
      </c>
      <c r="O1324" s="672">
        <v>3536.89</v>
      </c>
    </row>
    <row r="1325" spans="1:15" ht="14.45" hidden="1">
      <c r="A1325" s="674">
        <v>45107</v>
      </c>
      <c r="B1325" s="679">
        <v>49440</v>
      </c>
      <c r="C1325" s="676">
        <f>39825.6*3.1011</f>
        <v>123503.16816</v>
      </c>
      <c r="D1325" s="119">
        <v>12984.503000000001</v>
      </c>
      <c r="E1325" s="119">
        <f t="shared" si="42"/>
        <v>110518.66516</v>
      </c>
      <c r="F1325" s="119">
        <f t="shared" si="43"/>
        <v>2.2354098940129452</v>
      </c>
      <c r="G1325" s="212" t="s">
        <v>19726</v>
      </c>
      <c r="H1325" s="709" t="s">
        <v>19030</v>
      </c>
      <c r="I1325" s="678">
        <v>45089</v>
      </c>
      <c r="J1325" s="119">
        <f>10219.128*30%</f>
        <v>3065.7384000000002</v>
      </c>
      <c r="K1325" s="635"/>
      <c r="L1325" s="635"/>
      <c r="M1325" s="635"/>
      <c r="N1325" s="671" t="s">
        <v>19075</v>
      </c>
      <c r="O1325" s="672">
        <v>13112.745000000001</v>
      </c>
    </row>
    <row r="1326" spans="1:15" ht="14.45" hidden="1">
      <c r="A1326" s="232">
        <v>45107</v>
      </c>
      <c r="B1326" s="668">
        <v>67500</v>
      </c>
      <c r="C1326" s="108">
        <f>64125*3.1011</f>
        <v>198858.03750000001</v>
      </c>
      <c r="D1326" s="119">
        <v>3525.1</v>
      </c>
      <c r="E1326" s="119">
        <f t="shared" si="42"/>
        <v>195332.9375</v>
      </c>
      <c r="F1326" s="119">
        <f t="shared" si="43"/>
        <v>2.8938212962962964</v>
      </c>
      <c r="G1326" s="88" t="s">
        <v>19853</v>
      </c>
      <c r="H1326" s="709" t="s">
        <v>19019</v>
      </c>
      <c r="I1326" s="670">
        <v>45078</v>
      </c>
      <c r="J1326" s="119">
        <v>0</v>
      </c>
      <c r="K1326" s="635"/>
      <c r="L1326" s="635"/>
      <c r="M1326" s="635"/>
      <c r="N1326" s="671" t="s">
        <v>19076</v>
      </c>
      <c r="O1326" s="672">
        <v>12869.91</v>
      </c>
    </row>
    <row r="1327" spans="1:15" ht="14.45" hidden="1">
      <c r="A1327" s="232">
        <v>45107</v>
      </c>
      <c r="B1327" s="668">
        <v>54480</v>
      </c>
      <c r="C1327" s="108">
        <f>45976.8*3.1011</f>
        <v>142578.65448000003</v>
      </c>
      <c r="D1327" s="119">
        <v>13222.298000000001</v>
      </c>
      <c r="E1327" s="119">
        <f t="shared" si="42"/>
        <v>129356.35648000003</v>
      </c>
      <c r="F1327" s="119">
        <f t="shared" si="43"/>
        <v>2.374382461086638</v>
      </c>
      <c r="G1327" s="88" t="s">
        <v>19726</v>
      </c>
      <c r="H1327" s="709" t="s">
        <v>19044</v>
      </c>
      <c r="I1327" s="670">
        <v>45098</v>
      </c>
      <c r="J1327" s="119">
        <f>10471.608*30%</f>
        <v>3141.4823999999999</v>
      </c>
      <c r="K1327" s="635"/>
      <c r="L1327" s="635"/>
      <c r="M1327" s="635"/>
      <c r="N1327" s="671" t="s">
        <v>19077</v>
      </c>
      <c r="O1327" s="672">
        <v>0</v>
      </c>
    </row>
    <row r="1328" spans="1:15" ht="14.45" hidden="1">
      <c r="A1328" s="232">
        <v>45110</v>
      </c>
      <c r="B1328" s="668">
        <v>57600</v>
      </c>
      <c r="C1328" s="108">
        <v>126720</v>
      </c>
      <c r="D1328" s="119">
        <v>0</v>
      </c>
      <c r="E1328" s="119">
        <f t="shared" si="42"/>
        <v>126720</v>
      </c>
      <c r="F1328" s="119">
        <f t="shared" si="43"/>
        <v>2.2000000000000002</v>
      </c>
      <c r="G1328" s="88" t="s">
        <v>19833</v>
      </c>
      <c r="H1328" s="709" t="s">
        <v>19042</v>
      </c>
      <c r="I1328" s="670">
        <v>45096</v>
      </c>
      <c r="J1328" s="119">
        <v>0</v>
      </c>
      <c r="K1328" s="635"/>
      <c r="L1328" s="635"/>
      <c r="M1328" s="635"/>
      <c r="N1328" s="671" t="s">
        <v>19078</v>
      </c>
      <c r="O1328" s="672">
        <v>0</v>
      </c>
    </row>
    <row r="1329" spans="1:15" ht="14.45" hidden="1">
      <c r="A1329" s="232">
        <v>45119</v>
      </c>
      <c r="B1329" s="668">
        <v>21600</v>
      </c>
      <c r="C1329" s="108">
        <v>46812</v>
      </c>
      <c r="D1329" s="119">
        <v>0</v>
      </c>
      <c r="E1329" s="119">
        <f t="shared" si="42"/>
        <v>46812</v>
      </c>
      <c r="F1329" s="119">
        <f t="shared" si="43"/>
        <v>2.1672222222222222</v>
      </c>
      <c r="G1329" s="88" t="s">
        <v>19655</v>
      </c>
      <c r="H1329" s="709" t="s">
        <v>19047</v>
      </c>
      <c r="I1329" s="670">
        <v>45111</v>
      </c>
      <c r="J1329" s="119">
        <v>0</v>
      </c>
      <c r="K1329" s="635"/>
      <c r="L1329" s="635"/>
      <c r="M1329" s="635"/>
      <c r="N1329" s="671" t="s">
        <v>19079</v>
      </c>
      <c r="O1329" s="672">
        <v>0</v>
      </c>
    </row>
    <row r="1330" spans="1:15" ht="14.45" hidden="1">
      <c r="A1330" s="232">
        <v>45119</v>
      </c>
      <c r="B1330" s="668">
        <v>19200</v>
      </c>
      <c r="C1330" s="108">
        <v>42240</v>
      </c>
      <c r="D1330" s="119">
        <v>0</v>
      </c>
      <c r="E1330" s="119">
        <f t="shared" si="42"/>
        <v>42240</v>
      </c>
      <c r="F1330" s="119">
        <f t="shared" si="43"/>
        <v>2.2000000000000002</v>
      </c>
      <c r="G1330" s="88" t="s">
        <v>19655</v>
      </c>
      <c r="H1330" s="709" t="s">
        <v>19048</v>
      </c>
      <c r="I1330" s="670">
        <v>45111</v>
      </c>
      <c r="J1330" s="119">
        <v>0</v>
      </c>
      <c r="K1330" s="635"/>
      <c r="L1330" s="635"/>
      <c r="M1330" s="635"/>
      <c r="N1330" s="671" t="s">
        <v>19080</v>
      </c>
      <c r="O1330" s="672">
        <v>21778.845000000001</v>
      </c>
    </row>
    <row r="1331" spans="1:15" ht="14.45" hidden="1">
      <c r="A1331" s="232">
        <v>45120</v>
      </c>
      <c r="B1331" s="668">
        <v>99840</v>
      </c>
      <c r="C1331" s="108">
        <v>209664</v>
      </c>
      <c r="D1331" s="119">
        <v>0</v>
      </c>
      <c r="E1331" s="119">
        <f t="shared" si="42"/>
        <v>209664</v>
      </c>
      <c r="F1331" s="119">
        <f t="shared" si="43"/>
        <v>2.1</v>
      </c>
      <c r="G1331" s="88" t="s">
        <v>18794</v>
      </c>
      <c r="H1331" s="709" t="s">
        <v>19045</v>
      </c>
      <c r="I1331" s="670">
        <v>45098</v>
      </c>
      <c r="J1331" s="119">
        <v>0</v>
      </c>
      <c r="K1331" s="635"/>
      <c r="L1331" s="635"/>
      <c r="M1331" s="635"/>
      <c r="N1331" s="671" t="s">
        <v>19081</v>
      </c>
      <c r="O1331" s="672">
        <v>19640.544999999998</v>
      </c>
    </row>
    <row r="1332" spans="1:15" ht="14.45" hidden="1">
      <c r="A1332" s="232">
        <v>45120</v>
      </c>
      <c r="B1332" s="668">
        <v>25333.759999999998</v>
      </c>
      <c r="C1332" s="108">
        <f>43307.89*2.3226</f>
        <v>100586.905314</v>
      </c>
      <c r="D1332" s="119">
        <v>20069.14</v>
      </c>
      <c r="E1332" s="119">
        <f t="shared" si="42"/>
        <v>80517.765314000004</v>
      </c>
      <c r="F1332" s="119">
        <f t="shared" si="43"/>
        <v>3.1782793124273701</v>
      </c>
      <c r="G1332" s="88" t="s">
        <v>17305</v>
      </c>
      <c r="H1332" s="709" t="s">
        <v>19046</v>
      </c>
      <c r="I1332" s="670">
        <v>45108</v>
      </c>
      <c r="J1332" s="119">
        <f>18467.2*18%</f>
        <v>3324.096</v>
      </c>
      <c r="K1332" s="635"/>
      <c r="L1332" s="635"/>
      <c r="M1332" s="635"/>
      <c r="N1332" s="671" t="s">
        <v>19082</v>
      </c>
      <c r="O1332" s="672">
        <v>1828.4449999999999</v>
      </c>
    </row>
    <row r="1333" spans="1:15" ht="14.45" hidden="1">
      <c r="A1333" s="232">
        <v>45121</v>
      </c>
      <c r="B1333" s="668">
        <v>66024</v>
      </c>
      <c r="C1333" s="108">
        <f>50336.32*3.38425</f>
        <v>170350.69096000001</v>
      </c>
      <c r="D1333" s="119">
        <v>22492.026000000002</v>
      </c>
      <c r="E1333" s="119">
        <f t="shared" si="42"/>
        <v>147858.66495999999</v>
      </c>
      <c r="F1333" s="119">
        <f t="shared" si="43"/>
        <v>2.2394684502605111</v>
      </c>
      <c r="G1333" s="88" t="s">
        <v>19852</v>
      </c>
      <c r="H1333" s="709" t="s">
        <v>19050</v>
      </c>
      <c r="I1333" s="670">
        <v>45114</v>
      </c>
      <c r="J1333" s="119">
        <f>18228.6*30%</f>
        <v>5468.579999999999</v>
      </c>
      <c r="K1333" s="635"/>
      <c r="L1333" s="635"/>
      <c r="M1333" s="635"/>
      <c r="N1333" s="671" t="s">
        <v>19083</v>
      </c>
      <c r="O1333" s="672">
        <v>0</v>
      </c>
    </row>
    <row r="1334" spans="1:15" ht="14.45" hidden="1">
      <c r="A1334" s="232">
        <v>45122</v>
      </c>
      <c r="B1334" s="668">
        <v>110000</v>
      </c>
      <c r="C1334" s="108">
        <f>61600*3.39895</f>
        <v>209375.32</v>
      </c>
      <c r="D1334" s="119">
        <v>24308.437999999998</v>
      </c>
      <c r="E1334" s="119">
        <f t="shared" si="42"/>
        <v>185066.88200000001</v>
      </c>
      <c r="F1334" s="119">
        <f t="shared" si="43"/>
        <v>1.6824262000000001</v>
      </c>
      <c r="G1334" s="88" t="s">
        <v>19722</v>
      </c>
      <c r="H1334" s="709" t="s">
        <v>19051</v>
      </c>
      <c r="I1334" s="670">
        <v>45115</v>
      </c>
      <c r="J1334" s="119">
        <f>18489.048*30%</f>
        <v>5546.7143999999998</v>
      </c>
      <c r="K1334" s="635"/>
      <c r="L1334" s="635"/>
      <c r="M1334" s="635"/>
      <c r="N1334" s="671" t="s">
        <v>19084</v>
      </c>
      <c r="O1334" s="672">
        <v>0</v>
      </c>
    </row>
    <row r="1335" spans="1:15" ht="14.45" hidden="1">
      <c r="A1335" s="232">
        <v>45124</v>
      </c>
      <c r="B1335" s="668">
        <v>110000</v>
      </c>
      <c r="C1335" s="108">
        <f>61600*3.40865</f>
        <v>209972.84000000003</v>
      </c>
      <c r="D1335" s="119">
        <v>24308.437999999998</v>
      </c>
      <c r="E1335" s="119">
        <f t="shared" si="42"/>
        <v>185664.40200000003</v>
      </c>
      <c r="F1335" s="119">
        <f t="shared" si="43"/>
        <v>1.6878582000000002</v>
      </c>
      <c r="G1335" s="88" t="s">
        <v>19722</v>
      </c>
      <c r="H1335" s="709" t="s">
        <v>19052</v>
      </c>
      <c r="I1335" s="670">
        <v>45115</v>
      </c>
      <c r="J1335" s="119">
        <f>18489.048*30%</f>
        <v>5546.7143999999998</v>
      </c>
      <c r="K1335" s="635"/>
      <c r="L1335" s="635"/>
      <c r="M1335" s="635"/>
      <c r="N1335" s="671" t="s">
        <v>19085</v>
      </c>
      <c r="O1335" s="672">
        <v>18118.86</v>
      </c>
    </row>
    <row r="1336" spans="1:15" ht="14.45" hidden="1">
      <c r="A1336" s="232">
        <v>45125</v>
      </c>
      <c r="B1336" s="668">
        <v>318000</v>
      </c>
      <c r="C1336" s="108">
        <f>241680*3.03485</f>
        <v>733462.54800000007</v>
      </c>
      <c r="D1336" s="119">
        <v>0</v>
      </c>
      <c r="E1336" s="119">
        <f t="shared" si="42"/>
        <v>733462.54800000007</v>
      </c>
      <c r="F1336" s="119">
        <f t="shared" si="43"/>
        <v>2.306486</v>
      </c>
      <c r="G1336" s="88" t="s">
        <v>19688</v>
      </c>
      <c r="H1336" s="709" t="s">
        <v>19049</v>
      </c>
      <c r="I1336" s="670">
        <v>45112</v>
      </c>
      <c r="J1336" s="119">
        <v>0</v>
      </c>
      <c r="K1336" s="635"/>
      <c r="L1336" s="635"/>
      <c r="M1336" s="635"/>
      <c r="N1336" s="671" t="s">
        <v>19086</v>
      </c>
      <c r="O1336" s="672">
        <v>0</v>
      </c>
    </row>
    <row r="1337" spans="1:15" ht="14.45" hidden="1">
      <c r="A1337" s="232">
        <v>45129</v>
      </c>
      <c r="B1337" s="668">
        <v>220080</v>
      </c>
      <c r="C1337" s="108">
        <v>407148</v>
      </c>
      <c r="D1337" s="119">
        <v>0</v>
      </c>
      <c r="E1337" s="119">
        <f t="shared" si="42"/>
        <v>407148</v>
      </c>
      <c r="F1337" s="119">
        <f t="shared" si="43"/>
        <v>1.85</v>
      </c>
      <c r="G1337" s="88" t="s">
        <v>19647</v>
      </c>
      <c r="H1337" s="709" t="s">
        <v>19053</v>
      </c>
      <c r="I1337" s="670">
        <v>45115</v>
      </c>
      <c r="J1337" s="119">
        <v>0</v>
      </c>
      <c r="K1337" s="635"/>
      <c r="L1337" s="635"/>
      <c r="M1337" s="635"/>
      <c r="N1337" s="671" t="s">
        <v>19087</v>
      </c>
      <c r="O1337" s="672">
        <v>0</v>
      </c>
    </row>
    <row r="1338" spans="1:15" ht="14.45" hidden="1">
      <c r="A1338" s="232">
        <v>45129</v>
      </c>
      <c r="B1338" s="668">
        <v>21500</v>
      </c>
      <c r="C1338" s="108">
        <f>31105.2*3.0422</f>
        <v>94628.23943999999</v>
      </c>
      <c r="D1338" s="119">
        <v>2158.2199999999998</v>
      </c>
      <c r="E1338" s="119">
        <f t="shared" si="42"/>
        <v>92470.019439999989</v>
      </c>
      <c r="F1338" s="119">
        <f t="shared" si="43"/>
        <v>4.3009311367441851</v>
      </c>
      <c r="G1338" s="88" t="s">
        <v>19653</v>
      </c>
      <c r="H1338" s="709" t="s">
        <v>19057</v>
      </c>
      <c r="I1338" s="670">
        <v>45120</v>
      </c>
      <c r="J1338" s="119">
        <v>0</v>
      </c>
      <c r="K1338" s="635"/>
      <c r="L1338" s="635"/>
      <c r="M1338" s="635"/>
      <c r="N1338" s="671" t="s">
        <v>19088</v>
      </c>
      <c r="O1338" s="672">
        <v>38494.949999999997</v>
      </c>
    </row>
    <row r="1339" spans="1:15" ht="14.45" hidden="1">
      <c r="A1339" s="232">
        <v>45133</v>
      </c>
      <c r="B1339" s="668">
        <v>83840</v>
      </c>
      <c r="C1339" s="108">
        <v>165332</v>
      </c>
      <c r="D1339" s="119">
        <v>0</v>
      </c>
      <c r="E1339" s="119">
        <f t="shared" si="42"/>
        <v>165332</v>
      </c>
      <c r="F1339" s="119">
        <f t="shared" si="43"/>
        <v>1.9719942748091603</v>
      </c>
      <c r="G1339" s="88" t="s">
        <v>19647</v>
      </c>
      <c r="H1339" s="709" t="s">
        <v>19059</v>
      </c>
      <c r="I1339" s="670">
        <v>45122</v>
      </c>
      <c r="J1339" s="119">
        <v>0</v>
      </c>
      <c r="K1339" s="635"/>
      <c r="L1339" s="635"/>
      <c r="M1339" s="635"/>
      <c r="N1339" s="671" t="s">
        <v>19089</v>
      </c>
      <c r="O1339" s="672">
        <v>29120.044000000002</v>
      </c>
    </row>
    <row r="1340" spans="1:15" ht="14.45" hidden="1">
      <c r="A1340" s="232">
        <v>45134</v>
      </c>
      <c r="B1340" s="668">
        <v>192000</v>
      </c>
      <c r="C1340" s="108">
        <f>144980*3.40595</f>
        <v>493794.63099999999</v>
      </c>
      <c r="D1340" s="119">
        <v>56715.02</v>
      </c>
      <c r="E1340" s="119">
        <f t="shared" si="42"/>
        <v>437079.61099999998</v>
      </c>
      <c r="F1340" s="119">
        <f t="shared" si="43"/>
        <v>2.2764563072916664</v>
      </c>
      <c r="G1340" s="88" t="s">
        <v>19831</v>
      </c>
      <c r="H1340" s="709" t="s">
        <v>19056</v>
      </c>
      <c r="I1340" s="670">
        <v>45118</v>
      </c>
      <c r="J1340" s="119">
        <f>41812.2*30%</f>
        <v>12543.659999999998</v>
      </c>
      <c r="K1340" s="635"/>
      <c r="L1340" s="635"/>
      <c r="M1340" s="635"/>
      <c r="N1340" s="671" t="s">
        <v>19090</v>
      </c>
      <c r="O1340" s="672">
        <v>0</v>
      </c>
    </row>
    <row r="1341" spans="1:15" ht="14.45" hidden="1">
      <c r="A1341" s="232">
        <v>45138</v>
      </c>
      <c r="B1341" s="668">
        <v>277730</v>
      </c>
      <c r="C1341" s="108">
        <f>191726.1*3.0866</f>
        <v>591781.78026000003</v>
      </c>
      <c r="D1341" s="119">
        <v>78056.566000000006</v>
      </c>
      <c r="E1341" s="119">
        <f t="shared" si="42"/>
        <v>513725.21426000004</v>
      </c>
      <c r="F1341" s="119">
        <f t="shared" si="43"/>
        <v>1.8497289247110504</v>
      </c>
      <c r="G1341" s="88" t="s">
        <v>19662</v>
      </c>
      <c r="H1341" s="709" t="s">
        <v>19063</v>
      </c>
      <c r="I1341" s="670">
        <v>45131</v>
      </c>
      <c r="J1341" s="119">
        <f>63017.25*30%</f>
        <v>18905.174999999999</v>
      </c>
      <c r="K1341" s="635"/>
      <c r="L1341" s="635"/>
      <c r="M1341" s="635"/>
      <c r="N1341" s="671" t="s">
        <v>19091</v>
      </c>
      <c r="O1341" s="672">
        <v>53642.701999999997</v>
      </c>
    </row>
    <row r="1342" spans="1:15" ht="14.45" hidden="1">
      <c r="A1342" s="232">
        <v>45138</v>
      </c>
      <c r="B1342" s="668">
        <v>20000</v>
      </c>
      <c r="C1342" s="108">
        <v>43400</v>
      </c>
      <c r="D1342" s="119">
        <v>0</v>
      </c>
      <c r="E1342" s="119">
        <f t="shared" si="42"/>
        <v>43400</v>
      </c>
      <c r="F1342" s="119">
        <f t="shared" si="43"/>
        <v>2.17</v>
      </c>
      <c r="G1342" s="88" t="s">
        <v>17018</v>
      </c>
      <c r="H1342" s="709" t="s">
        <v>19060</v>
      </c>
      <c r="I1342" s="670">
        <v>45128</v>
      </c>
      <c r="J1342" s="119">
        <v>0</v>
      </c>
      <c r="K1342" s="635"/>
      <c r="L1342" s="635"/>
      <c r="M1342" s="635"/>
      <c r="N1342" s="671" t="s">
        <v>19092</v>
      </c>
      <c r="O1342" s="672">
        <v>0</v>
      </c>
    </row>
    <row r="1343" spans="1:15" ht="14.45" hidden="1">
      <c r="A1343" s="232">
        <v>45138</v>
      </c>
      <c r="B1343" s="668">
        <v>20000</v>
      </c>
      <c r="C1343" s="108">
        <v>43400</v>
      </c>
      <c r="D1343" s="119">
        <v>0</v>
      </c>
      <c r="E1343" s="119">
        <f t="shared" si="42"/>
        <v>43400</v>
      </c>
      <c r="F1343" s="119">
        <f t="shared" si="43"/>
        <v>2.17</v>
      </c>
      <c r="G1343" s="88" t="s">
        <v>17018</v>
      </c>
      <c r="H1343" s="709" t="s">
        <v>19061</v>
      </c>
      <c r="I1343" s="670">
        <v>45128</v>
      </c>
      <c r="J1343" s="119">
        <v>0</v>
      </c>
      <c r="K1343" s="635"/>
      <c r="L1343" s="635"/>
      <c r="M1343" s="635"/>
      <c r="N1343" s="671" t="s">
        <v>19093</v>
      </c>
      <c r="O1343" s="672">
        <v>0</v>
      </c>
    </row>
    <row r="1344" spans="1:15" ht="14.45" hidden="1">
      <c r="A1344" s="232">
        <v>45138</v>
      </c>
      <c r="B1344" s="668">
        <v>20000</v>
      </c>
      <c r="C1344" s="108">
        <v>43400</v>
      </c>
      <c r="D1344" s="119">
        <v>0</v>
      </c>
      <c r="E1344" s="119">
        <f t="shared" si="42"/>
        <v>43400</v>
      </c>
      <c r="F1344" s="119">
        <f t="shared" si="43"/>
        <v>2.17</v>
      </c>
      <c r="G1344" s="88" t="s">
        <v>17018</v>
      </c>
      <c r="H1344" s="709" t="s">
        <v>19062</v>
      </c>
      <c r="I1344" s="670">
        <v>45128</v>
      </c>
      <c r="J1344" s="119">
        <v>0</v>
      </c>
      <c r="K1344" s="635"/>
      <c r="L1344" s="635"/>
      <c r="M1344" s="635"/>
      <c r="N1344" s="671" t="s">
        <v>19094</v>
      </c>
      <c r="O1344" s="672">
        <v>16324.556</v>
      </c>
    </row>
    <row r="1345" spans="1:15" ht="12.95" hidden="1">
      <c r="A1345" s="674">
        <v>45140</v>
      </c>
      <c r="B1345" s="679">
        <v>56040</v>
      </c>
      <c r="C1345" s="676">
        <v>116772</v>
      </c>
      <c r="D1345" s="119">
        <v>0</v>
      </c>
      <c r="E1345" s="119">
        <f t="shared" si="42"/>
        <v>116772</v>
      </c>
      <c r="F1345" s="119">
        <f t="shared" si="43"/>
        <v>2.0837259100642398</v>
      </c>
      <c r="G1345" s="212" t="s">
        <v>19655</v>
      </c>
      <c r="H1345" s="726" t="s">
        <v>19058</v>
      </c>
      <c r="I1345" s="678">
        <v>45121</v>
      </c>
      <c r="J1345" s="119">
        <v>0</v>
      </c>
      <c r="K1345" s="635"/>
      <c r="L1345" s="635"/>
      <c r="M1345" s="635"/>
      <c r="N1345" s="671" t="s">
        <v>19096</v>
      </c>
      <c r="O1345" s="672">
        <v>8100.9</v>
      </c>
    </row>
    <row r="1346" spans="1:15" ht="14.45" hidden="1">
      <c r="A1346" s="674">
        <v>45140</v>
      </c>
      <c r="B1346" s="679">
        <v>19200</v>
      </c>
      <c r="C1346" s="676">
        <v>41664</v>
      </c>
      <c r="D1346" s="119">
        <v>0</v>
      </c>
      <c r="E1346" s="119">
        <f t="shared" si="42"/>
        <v>41664</v>
      </c>
      <c r="F1346" s="119">
        <f t="shared" si="43"/>
        <v>2.17</v>
      </c>
      <c r="G1346" s="88" t="s">
        <v>19655</v>
      </c>
      <c r="H1346" s="709" t="s">
        <v>19065</v>
      </c>
      <c r="I1346" s="678">
        <v>45134</v>
      </c>
      <c r="J1346" s="119">
        <v>0</v>
      </c>
      <c r="K1346" s="635"/>
      <c r="L1346" s="635"/>
      <c r="M1346" s="635"/>
      <c r="N1346" s="671" t="s">
        <v>19097</v>
      </c>
      <c r="O1346" s="672">
        <v>15959.696</v>
      </c>
    </row>
    <row r="1347" spans="1:15" ht="14.45" hidden="1">
      <c r="A1347" s="674">
        <v>45142</v>
      </c>
      <c r="B1347" s="679">
        <v>41000</v>
      </c>
      <c r="C1347" s="676">
        <v>86100</v>
      </c>
      <c r="D1347" s="119">
        <v>0</v>
      </c>
      <c r="E1347" s="119">
        <f t="shared" si="42"/>
        <v>86100</v>
      </c>
      <c r="F1347" s="119">
        <f t="shared" si="43"/>
        <v>2.1</v>
      </c>
      <c r="G1347" s="88" t="s">
        <v>17018</v>
      </c>
      <c r="H1347" s="709" t="s">
        <v>19066</v>
      </c>
      <c r="I1347" s="678">
        <v>45137</v>
      </c>
      <c r="J1347" s="119">
        <v>0</v>
      </c>
      <c r="K1347" s="635"/>
      <c r="L1347" s="635"/>
      <c r="M1347" s="635"/>
      <c r="N1347" s="671" t="s">
        <v>19098</v>
      </c>
      <c r="O1347" s="672">
        <v>5034.7060000000001</v>
      </c>
    </row>
    <row r="1348" spans="1:15" ht="14.45" hidden="1">
      <c r="A1348" s="674">
        <v>45145</v>
      </c>
      <c r="B1348" s="679">
        <v>25200</v>
      </c>
      <c r="C1348" s="676">
        <f>17246*3.38625</f>
        <v>58399.267500000002</v>
      </c>
      <c r="D1348" s="119">
        <v>8502.19</v>
      </c>
      <c r="E1348" s="119">
        <f t="shared" si="42"/>
        <v>49897.077499999999</v>
      </c>
      <c r="F1348" s="119">
        <f t="shared" si="43"/>
        <v>1.9800427579365079</v>
      </c>
      <c r="G1348" s="88" t="s">
        <v>19651</v>
      </c>
      <c r="H1348" s="709" t="s">
        <v>19064</v>
      </c>
      <c r="I1348" s="678">
        <v>45133</v>
      </c>
      <c r="J1348" s="119">
        <f>6781.1*30%</f>
        <v>2034.33</v>
      </c>
      <c r="K1348" s="635"/>
      <c r="L1348" s="635"/>
      <c r="M1348" s="635"/>
      <c r="N1348" s="671" t="s">
        <v>19099</v>
      </c>
      <c r="O1348" s="672">
        <v>0</v>
      </c>
    </row>
    <row r="1349" spans="1:15" ht="14.45" hidden="1">
      <c r="A1349" s="674">
        <v>45152</v>
      </c>
      <c r="B1349" s="679">
        <v>22008</v>
      </c>
      <c r="C1349" s="676">
        <v>47037.120000000003</v>
      </c>
      <c r="D1349" s="119">
        <v>0</v>
      </c>
      <c r="E1349" s="119">
        <f t="shared" si="42"/>
        <v>47037.120000000003</v>
      </c>
      <c r="F1349" s="119">
        <f t="shared" si="43"/>
        <v>2.1372737186477644</v>
      </c>
      <c r="G1349" s="88" t="s">
        <v>19655</v>
      </c>
      <c r="H1349" s="709" t="s">
        <v>19071</v>
      </c>
      <c r="I1349" s="678">
        <v>45147</v>
      </c>
      <c r="J1349" s="119">
        <v>0</v>
      </c>
      <c r="K1349" s="635"/>
      <c r="L1349" s="635"/>
      <c r="M1349" s="635"/>
      <c r="N1349" s="671" t="s">
        <v>19100</v>
      </c>
      <c r="O1349" s="672">
        <v>0</v>
      </c>
    </row>
    <row r="1350" spans="1:15" ht="14.45" hidden="1">
      <c r="A1350" s="674">
        <v>45154</v>
      </c>
      <c r="B1350" s="679">
        <v>20150</v>
      </c>
      <c r="C1350" s="676">
        <f>14911*3.39465</f>
        <v>50617.626149999996</v>
      </c>
      <c r="D1350" s="119">
        <v>1838.5450000000001</v>
      </c>
      <c r="E1350" s="119">
        <f t="shared" si="42"/>
        <v>48779.081149999998</v>
      </c>
      <c r="F1350" s="119">
        <f t="shared" si="43"/>
        <v>2.4207980719602977</v>
      </c>
      <c r="G1350" s="88" t="s">
        <v>19659</v>
      </c>
      <c r="H1350" s="709" t="s">
        <v>19054</v>
      </c>
      <c r="I1350" s="678">
        <v>45117</v>
      </c>
      <c r="J1350" s="119">
        <v>0</v>
      </c>
      <c r="K1350" s="635"/>
      <c r="L1350" s="635"/>
      <c r="M1350" s="635"/>
      <c r="N1350" s="671" t="s">
        <v>19101</v>
      </c>
      <c r="O1350" s="672">
        <v>0</v>
      </c>
    </row>
    <row r="1351" spans="1:15" ht="14.45" hidden="1">
      <c r="A1351" s="674">
        <v>45154</v>
      </c>
      <c r="B1351" s="679">
        <v>20150</v>
      </c>
      <c r="C1351" s="676">
        <f>13399.75*3.39465</f>
        <v>45487.461337499997</v>
      </c>
      <c r="D1351" s="119">
        <v>1838.5450000000001</v>
      </c>
      <c r="E1351" s="119">
        <f t="shared" si="42"/>
        <v>43648.916337499999</v>
      </c>
      <c r="F1351" s="119">
        <f t="shared" si="43"/>
        <v>2.1661993219602977</v>
      </c>
      <c r="G1351" s="88" t="s">
        <v>19659</v>
      </c>
      <c r="H1351" s="709" t="s">
        <v>19055</v>
      </c>
      <c r="I1351" s="678">
        <v>45117</v>
      </c>
      <c r="J1351" s="119">
        <v>0</v>
      </c>
      <c r="K1351" s="635"/>
      <c r="L1351" s="635"/>
      <c r="M1351" s="635"/>
      <c r="N1351" s="671" t="s">
        <v>19102</v>
      </c>
      <c r="O1351" s="672">
        <v>0</v>
      </c>
    </row>
    <row r="1352" spans="1:15" ht="14.45" hidden="1">
      <c r="A1352" s="674">
        <v>45154</v>
      </c>
      <c r="B1352" s="679">
        <v>56000</v>
      </c>
      <c r="C1352" s="676">
        <v>107660</v>
      </c>
      <c r="D1352" s="119">
        <v>0</v>
      </c>
      <c r="E1352" s="119">
        <f t="shared" si="42"/>
        <v>107660</v>
      </c>
      <c r="F1352" s="119">
        <f t="shared" si="43"/>
        <v>1.9225000000000001</v>
      </c>
      <c r="G1352" s="88" t="s">
        <v>19647</v>
      </c>
      <c r="H1352" s="709" t="s">
        <v>19067</v>
      </c>
      <c r="I1352" s="678">
        <v>45139</v>
      </c>
      <c r="J1352" s="119">
        <v>0</v>
      </c>
      <c r="K1352" s="635"/>
      <c r="L1352" s="635"/>
      <c r="M1352" s="635"/>
      <c r="N1352" s="671" t="s">
        <v>19103</v>
      </c>
      <c r="O1352" s="672">
        <v>0</v>
      </c>
    </row>
    <row r="1353" spans="1:15" ht="14.45" hidden="1">
      <c r="A1353" s="674">
        <v>45155</v>
      </c>
      <c r="B1353" s="679">
        <v>20750</v>
      </c>
      <c r="C1353" s="676">
        <v>46895</v>
      </c>
      <c r="D1353" s="119">
        <v>0</v>
      </c>
      <c r="E1353" s="119">
        <f t="shared" si="42"/>
        <v>46895</v>
      </c>
      <c r="F1353" s="119">
        <f t="shared" si="43"/>
        <v>2.2599999999999998</v>
      </c>
      <c r="G1353" s="88" t="s">
        <v>19656</v>
      </c>
      <c r="H1353" s="709" t="s">
        <v>19072</v>
      </c>
      <c r="I1353" s="678">
        <v>45147</v>
      </c>
      <c r="J1353" s="119">
        <v>0</v>
      </c>
      <c r="K1353" s="635"/>
      <c r="L1353" s="635"/>
      <c r="M1353" s="635"/>
      <c r="N1353" s="671" t="s">
        <v>19104</v>
      </c>
      <c r="O1353" s="672">
        <v>27313.311000000002</v>
      </c>
    </row>
    <row r="1354" spans="1:15" ht="14.45" hidden="1">
      <c r="A1354" s="674">
        <v>45156</v>
      </c>
      <c r="B1354" s="679">
        <v>115200</v>
      </c>
      <c r="C1354" s="676">
        <f>86988*3.38645</f>
        <v>294580.51260000002</v>
      </c>
      <c r="D1354" s="119">
        <v>34091.760000000002</v>
      </c>
      <c r="E1354" s="119">
        <f t="shared" si="42"/>
        <v>260488.75260000001</v>
      </c>
      <c r="F1354" s="119">
        <f t="shared" si="43"/>
        <v>2.2611870885416669</v>
      </c>
      <c r="G1354" s="88" t="s">
        <v>19831</v>
      </c>
      <c r="H1354" s="709" t="s">
        <v>19068</v>
      </c>
      <c r="I1354" s="678">
        <v>45142</v>
      </c>
      <c r="J1354" s="119">
        <f>25303.59*30%</f>
        <v>7591.0769999999993</v>
      </c>
      <c r="K1354" s="635"/>
      <c r="L1354" s="635"/>
      <c r="M1354" s="635"/>
      <c r="N1354" s="671" t="s">
        <v>19105</v>
      </c>
      <c r="O1354" s="672">
        <v>0</v>
      </c>
    </row>
    <row r="1355" spans="1:15" ht="14.45" hidden="1">
      <c r="A1355" s="674">
        <v>45156</v>
      </c>
      <c r="B1355" s="679">
        <v>52000</v>
      </c>
      <c r="C1355" s="676">
        <v>99730</v>
      </c>
      <c r="D1355" s="119">
        <v>0</v>
      </c>
      <c r="E1355" s="119">
        <f t="shared" si="42"/>
        <v>99730</v>
      </c>
      <c r="F1355" s="119">
        <f t="shared" si="43"/>
        <v>1.9178846153846154</v>
      </c>
      <c r="G1355" s="88" t="s">
        <v>19655</v>
      </c>
      <c r="H1355" s="709" t="s">
        <v>19077</v>
      </c>
      <c r="I1355" s="678">
        <v>45152</v>
      </c>
      <c r="J1355" s="119">
        <v>0</v>
      </c>
      <c r="K1355" s="635"/>
      <c r="L1355" s="635"/>
      <c r="M1355" s="635"/>
      <c r="N1355" s="671" t="s">
        <v>19106</v>
      </c>
      <c r="O1355" s="672">
        <v>0</v>
      </c>
    </row>
    <row r="1356" spans="1:15" ht="14.45" hidden="1">
      <c r="A1356" s="674">
        <v>45159</v>
      </c>
      <c r="B1356" s="679">
        <v>40339</v>
      </c>
      <c r="C1356" s="676">
        <f>3.1089*30694.32</f>
        <v>95425.571448000002</v>
      </c>
      <c r="D1356" s="119">
        <v>3705.2420000000002</v>
      </c>
      <c r="E1356" s="119">
        <f t="shared" si="42"/>
        <v>91720.329448000004</v>
      </c>
      <c r="F1356" s="119">
        <f t="shared" si="43"/>
        <v>2.2737383040729817</v>
      </c>
      <c r="G1356" s="88" t="s">
        <v>17330</v>
      </c>
      <c r="H1356" s="709" t="s">
        <v>19073</v>
      </c>
      <c r="I1356" s="678">
        <v>45149</v>
      </c>
      <c r="J1356" s="119">
        <v>0</v>
      </c>
      <c r="K1356" s="635"/>
      <c r="L1356" s="635"/>
      <c r="M1356" s="635"/>
      <c r="N1356" s="671" t="s">
        <v>19107</v>
      </c>
      <c r="O1356" s="672">
        <v>77714.899999999994</v>
      </c>
    </row>
    <row r="1357" spans="1:15" ht="14.45" hidden="1">
      <c r="A1357" s="674">
        <v>45160</v>
      </c>
      <c r="B1357" s="679">
        <v>21000</v>
      </c>
      <c r="C1357" s="676">
        <v>43050</v>
      </c>
      <c r="D1357" s="119">
        <v>0</v>
      </c>
      <c r="E1357" s="119">
        <f t="shared" si="42"/>
        <v>43050</v>
      </c>
      <c r="F1357" s="119">
        <f t="shared" si="43"/>
        <v>2.0499999999999998</v>
      </c>
      <c r="G1357" s="88" t="s">
        <v>19656</v>
      </c>
      <c r="H1357" s="709" t="s">
        <v>19078</v>
      </c>
      <c r="I1357" s="678">
        <v>45152</v>
      </c>
      <c r="J1357" s="119">
        <v>0</v>
      </c>
      <c r="K1357" s="635"/>
      <c r="L1357" s="635"/>
      <c r="M1357" s="635"/>
      <c r="N1357" s="66" t="s">
        <v>19108</v>
      </c>
      <c r="O1357" s="651">
        <v>0</v>
      </c>
    </row>
    <row r="1358" spans="1:15" ht="14.45" hidden="1">
      <c r="A1358" s="674">
        <v>45160</v>
      </c>
      <c r="B1358" s="679">
        <v>21600</v>
      </c>
      <c r="C1358" s="676">
        <v>44280</v>
      </c>
      <c r="D1358" s="119">
        <v>0</v>
      </c>
      <c r="E1358" s="119">
        <f t="shared" si="42"/>
        <v>44280</v>
      </c>
      <c r="F1358" s="119">
        <f t="shared" si="43"/>
        <v>2.0499999999999998</v>
      </c>
      <c r="G1358" s="88" t="s">
        <v>19656</v>
      </c>
      <c r="H1358" s="709" t="s">
        <v>19079</v>
      </c>
      <c r="I1358" s="678">
        <v>45152</v>
      </c>
      <c r="J1358" s="119">
        <v>0</v>
      </c>
      <c r="K1358" s="635"/>
      <c r="L1358" s="635"/>
      <c r="M1358" s="635"/>
      <c r="N1358" s="671" t="s">
        <v>19109</v>
      </c>
      <c r="O1358" s="672">
        <v>0</v>
      </c>
    </row>
    <row r="1359" spans="1:15" ht="14.45" hidden="1">
      <c r="A1359" s="674">
        <v>45160</v>
      </c>
      <c r="B1359" s="679">
        <v>26868</v>
      </c>
      <c r="C1359" s="676">
        <f>23164.96*3.38075</f>
        <v>78314.938519999996</v>
      </c>
      <c r="D1359" s="119">
        <v>13112.745000000001</v>
      </c>
      <c r="E1359" s="119">
        <f t="shared" si="42"/>
        <v>65202.193519999993</v>
      </c>
      <c r="F1359" s="119">
        <f t="shared" si="43"/>
        <v>2.4267602173589395</v>
      </c>
      <c r="G1359" s="88" t="s">
        <v>19661</v>
      </c>
      <c r="H1359" s="709" t="s">
        <v>19075</v>
      </c>
      <c r="I1359" s="678">
        <v>45152</v>
      </c>
      <c r="J1359" s="119">
        <f>11401.2*30%</f>
        <v>3420.36</v>
      </c>
      <c r="K1359" s="635"/>
      <c r="L1359" s="635"/>
      <c r="M1359" s="635"/>
      <c r="N1359" s="671" t="s">
        <v>19110</v>
      </c>
      <c r="O1359" s="672">
        <v>39812.9</v>
      </c>
    </row>
    <row r="1360" spans="1:15" ht="14.45" hidden="1">
      <c r="A1360" s="674">
        <v>45160</v>
      </c>
      <c r="B1360" s="679">
        <v>35600</v>
      </c>
      <c r="C1360" s="676">
        <f>30896*3.1089</f>
        <v>96052.574400000012</v>
      </c>
      <c r="D1360" s="119">
        <v>21778.845000000001</v>
      </c>
      <c r="E1360" s="119">
        <f t="shared" si="42"/>
        <v>74273.729400000011</v>
      </c>
      <c r="F1360" s="119">
        <f t="shared" si="43"/>
        <v>2.0863407134831462</v>
      </c>
      <c r="G1360" s="88" t="s">
        <v>19854</v>
      </c>
      <c r="H1360" s="709" t="s">
        <v>19080</v>
      </c>
      <c r="I1360" s="678">
        <v>45152</v>
      </c>
      <c r="J1360" s="119">
        <f>18803.3*30%</f>
        <v>5640.99</v>
      </c>
      <c r="K1360" s="635"/>
      <c r="L1360" s="635"/>
      <c r="M1360" s="635"/>
      <c r="N1360" s="671" t="s">
        <v>19111</v>
      </c>
      <c r="O1360" s="672">
        <v>27382.482</v>
      </c>
    </row>
    <row r="1361" spans="1:15" ht="14.45" hidden="1">
      <c r="A1361" s="674">
        <v>45164</v>
      </c>
      <c r="B1361" s="679">
        <v>23608</v>
      </c>
      <c r="C1361" s="676">
        <f>37270*2.30375</f>
        <v>85860.762499999997</v>
      </c>
      <c r="D1361" s="119">
        <v>19640.544999999998</v>
      </c>
      <c r="E1361" s="119">
        <f t="shared" si="42"/>
        <v>66220.217499999999</v>
      </c>
      <c r="F1361" s="119">
        <f t="shared" si="43"/>
        <v>2.8049905752287358</v>
      </c>
      <c r="G1361" s="88" t="s">
        <v>17305</v>
      </c>
      <c r="H1361" s="709" t="s">
        <v>19081</v>
      </c>
      <c r="I1361" s="678">
        <v>45153</v>
      </c>
      <c r="J1361" s="119">
        <f>18165.9*18%</f>
        <v>3269.8620000000001</v>
      </c>
      <c r="K1361" s="635"/>
      <c r="L1361" s="635"/>
      <c r="M1361" s="635"/>
      <c r="N1361" s="671" t="s">
        <v>19112</v>
      </c>
      <c r="O1361" s="672">
        <v>0</v>
      </c>
    </row>
    <row r="1362" spans="1:15" ht="14.45" hidden="1">
      <c r="A1362" s="674">
        <v>45166</v>
      </c>
      <c r="B1362" s="679">
        <v>36000</v>
      </c>
      <c r="C1362" s="676">
        <v>79920</v>
      </c>
      <c r="D1362" s="119">
        <v>0</v>
      </c>
      <c r="E1362" s="119">
        <f t="shared" si="42"/>
        <v>79920</v>
      </c>
      <c r="F1362" s="119">
        <f t="shared" si="43"/>
        <v>2.2200000000000002</v>
      </c>
      <c r="G1362" s="88" t="s">
        <v>19655</v>
      </c>
      <c r="H1362" s="709" t="s">
        <v>19083</v>
      </c>
      <c r="I1362" s="678">
        <v>45160</v>
      </c>
      <c r="J1362" s="119">
        <v>0</v>
      </c>
      <c r="K1362" s="635"/>
      <c r="L1362" s="635"/>
      <c r="M1362" s="635"/>
      <c r="N1362" s="671" t="s">
        <v>19113</v>
      </c>
      <c r="O1362" s="672">
        <v>0</v>
      </c>
    </row>
    <row r="1363" spans="1:15" ht="14.45" hidden="1">
      <c r="A1363" s="674">
        <v>45167</v>
      </c>
      <c r="B1363" s="679">
        <v>26016</v>
      </c>
      <c r="C1363" s="676">
        <f>22596.52*3.3768</f>
        <v>76303.928736000002</v>
      </c>
      <c r="D1363" s="119">
        <v>12869.91</v>
      </c>
      <c r="E1363" s="119">
        <f t="shared" si="42"/>
        <v>63434.018735999998</v>
      </c>
      <c r="F1363" s="119">
        <f t="shared" si="43"/>
        <v>2.4382694778597784</v>
      </c>
      <c r="G1363" s="88" t="s">
        <v>19661</v>
      </c>
      <c r="H1363" s="709" t="s">
        <v>19076</v>
      </c>
      <c r="I1363" s="678">
        <v>45152</v>
      </c>
      <c r="J1363" s="119">
        <f>11397.6*30%</f>
        <v>3419.28</v>
      </c>
      <c r="K1363" s="635"/>
      <c r="L1363" s="635"/>
      <c r="M1363" s="635"/>
      <c r="N1363" s="671" t="s">
        <v>19114</v>
      </c>
      <c r="O1363" s="672">
        <v>19038.37</v>
      </c>
    </row>
    <row r="1364" spans="1:15" ht="14.45" hidden="1">
      <c r="A1364" s="674">
        <v>45167</v>
      </c>
      <c r="B1364" s="679">
        <v>96000</v>
      </c>
      <c r="C1364" s="676">
        <v>211200</v>
      </c>
      <c r="D1364" s="119">
        <v>0</v>
      </c>
      <c r="E1364" s="119">
        <f t="shared" si="42"/>
        <v>211200</v>
      </c>
      <c r="F1364" s="119">
        <f t="shared" si="43"/>
        <v>2.2000000000000002</v>
      </c>
      <c r="G1364" s="88" t="s">
        <v>19656</v>
      </c>
      <c r="H1364" s="709" t="s">
        <v>19084</v>
      </c>
      <c r="I1364" s="678">
        <v>45162</v>
      </c>
      <c r="J1364" s="119">
        <v>0</v>
      </c>
      <c r="K1364" s="635"/>
      <c r="L1364" s="635"/>
      <c r="M1364" s="635"/>
      <c r="N1364" s="671" t="s">
        <v>19115</v>
      </c>
      <c r="O1364" s="672">
        <v>0</v>
      </c>
    </row>
    <row r="1365" spans="1:15" ht="14.45" hidden="1">
      <c r="A1365" s="727">
        <v>45169</v>
      </c>
      <c r="B1365" s="728">
        <v>57600</v>
      </c>
      <c r="C1365" s="88">
        <f>39336*3.3821</f>
        <v>133038.2856</v>
      </c>
      <c r="D1365" s="119">
        <v>18118.86</v>
      </c>
      <c r="E1365" s="119">
        <f t="shared" si="42"/>
        <v>114919.4256</v>
      </c>
      <c r="F1365" s="119">
        <f t="shared" si="43"/>
        <v>1.9951289166666668</v>
      </c>
      <c r="G1365" s="88" t="s">
        <v>19796</v>
      </c>
      <c r="H1365" s="709" t="s">
        <v>19085</v>
      </c>
      <c r="I1365" s="729">
        <v>45162</v>
      </c>
      <c r="J1365" s="119">
        <f>13754.7*30%</f>
        <v>4126.41</v>
      </c>
      <c r="K1365" s="635"/>
      <c r="L1365" s="635"/>
      <c r="M1365" s="635"/>
      <c r="N1365" s="671" t="s">
        <v>19116</v>
      </c>
      <c r="O1365" s="672">
        <v>0</v>
      </c>
    </row>
    <row r="1366" spans="1:15" ht="14.45" hidden="1">
      <c r="A1366" s="730">
        <v>45169</v>
      </c>
      <c r="B1366" s="731">
        <v>13903.68</v>
      </c>
      <c r="C1366" s="732">
        <f>27636.05*2.29615</f>
        <v>63456.516207499997</v>
      </c>
      <c r="D1366" s="241">
        <v>18989.59</v>
      </c>
      <c r="E1366" s="241">
        <f t="shared" si="42"/>
        <v>44466.926207500001</v>
      </c>
      <c r="F1366" s="241">
        <f t="shared" si="43"/>
        <v>3.1982127183234943</v>
      </c>
      <c r="G1366" s="240" t="s">
        <v>17305</v>
      </c>
      <c r="H1366" s="733" t="s">
        <v>19070</v>
      </c>
      <c r="I1366" s="734">
        <v>45142</v>
      </c>
      <c r="J1366" s="241">
        <f>17407.3*18%</f>
        <v>3133.3139999999999</v>
      </c>
      <c r="K1366" s="635"/>
      <c r="L1366" s="635"/>
      <c r="M1366" s="635"/>
      <c r="N1366" s="671" t="s">
        <v>19117</v>
      </c>
      <c r="O1366" s="672">
        <v>0</v>
      </c>
    </row>
    <row r="1367" spans="1:15" ht="14.45" hidden="1">
      <c r="A1367" s="674">
        <v>45174</v>
      </c>
      <c r="B1367" s="679">
        <v>40300</v>
      </c>
      <c r="C1367" s="676">
        <f>29822*3.37415</f>
        <v>100623.90130000001</v>
      </c>
      <c r="D1367" s="119">
        <v>3536.89</v>
      </c>
      <c r="E1367" s="119">
        <f t="shared" si="42"/>
        <v>97087.011300000013</v>
      </c>
      <c r="F1367" s="119">
        <f t="shared" si="43"/>
        <v>2.4091069801488838</v>
      </c>
      <c r="G1367" s="88" t="s">
        <v>19659</v>
      </c>
      <c r="H1367" s="709" t="s">
        <v>19074</v>
      </c>
      <c r="I1367" s="678">
        <v>45152</v>
      </c>
      <c r="J1367" s="119">
        <v>0</v>
      </c>
      <c r="K1367" s="635"/>
      <c r="L1367" s="635"/>
      <c r="M1367" s="635"/>
      <c r="N1367" s="671" t="s">
        <v>19118</v>
      </c>
      <c r="O1367" s="672">
        <v>0</v>
      </c>
    </row>
    <row r="1368" spans="1:15" ht="14.45" hidden="1">
      <c r="A1368" s="674">
        <v>45175</v>
      </c>
      <c r="B1368" s="679">
        <v>20150</v>
      </c>
      <c r="C1368" s="676">
        <f>13399.75*3.37415</f>
        <v>45212.766462500003</v>
      </c>
      <c r="D1368" s="119">
        <v>1828.4449999999999</v>
      </c>
      <c r="E1368" s="119">
        <f t="shared" si="42"/>
        <v>43384.321462500004</v>
      </c>
      <c r="F1368" s="119">
        <f t="shared" si="43"/>
        <v>2.1530680626550871</v>
      </c>
      <c r="G1368" s="88" t="s">
        <v>19659</v>
      </c>
      <c r="H1368" s="709" t="s">
        <v>19082</v>
      </c>
      <c r="I1368" s="678">
        <v>45160</v>
      </c>
      <c r="J1368" s="119">
        <v>0</v>
      </c>
      <c r="K1368" s="635"/>
      <c r="L1368" s="635"/>
      <c r="M1368" s="635"/>
      <c r="N1368" s="671" t="s">
        <v>19119</v>
      </c>
      <c r="O1368" s="672">
        <v>0</v>
      </c>
    </row>
    <row r="1369" spans="1:15" ht="14.45" hidden="1">
      <c r="A1369" s="674">
        <v>45176</v>
      </c>
      <c r="B1369" s="679">
        <v>408200</v>
      </c>
      <c r="C1369" s="676">
        <f>307070*3.1249</f>
        <v>959563.04299999995</v>
      </c>
      <c r="D1369" s="119">
        <v>0</v>
      </c>
      <c r="E1369" s="119">
        <f t="shared" si="42"/>
        <v>959563.04299999995</v>
      </c>
      <c r="F1369" s="119">
        <f t="shared" si="43"/>
        <v>2.3507178907398334</v>
      </c>
      <c r="G1369" s="88" t="s">
        <v>19688</v>
      </c>
      <c r="H1369" s="709" t="s">
        <v>19086</v>
      </c>
      <c r="I1369" s="678">
        <v>45169</v>
      </c>
      <c r="J1369" s="119">
        <v>0</v>
      </c>
      <c r="K1369" s="635"/>
      <c r="L1369" s="635"/>
      <c r="M1369" s="635"/>
      <c r="N1369" s="671" t="s">
        <v>19120</v>
      </c>
      <c r="O1369" s="672">
        <v>0</v>
      </c>
    </row>
    <row r="1370" spans="1:15" ht="14.45" hidden="1">
      <c r="A1370" s="674">
        <v>45177</v>
      </c>
      <c r="B1370" s="679">
        <v>56004</v>
      </c>
      <c r="C1370" s="676">
        <v>115978.2</v>
      </c>
      <c r="D1370" s="119">
        <v>0</v>
      </c>
      <c r="E1370" s="119">
        <f t="shared" si="42"/>
        <v>115978.2</v>
      </c>
      <c r="F1370" s="119">
        <f t="shared" si="43"/>
        <v>2.0708913649025069</v>
      </c>
      <c r="G1370" s="88" t="s">
        <v>19655</v>
      </c>
      <c r="H1370" s="709" t="s">
        <v>19069</v>
      </c>
      <c r="I1370" s="678">
        <v>45142</v>
      </c>
      <c r="J1370" s="119">
        <v>0</v>
      </c>
      <c r="K1370" s="635"/>
      <c r="L1370" s="635"/>
      <c r="M1370" s="635"/>
      <c r="N1370" s="671" t="s">
        <v>19122</v>
      </c>
      <c r="O1370" s="672">
        <v>40278.480000000003</v>
      </c>
    </row>
    <row r="1371" spans="1:15" ht="14.45" hidden="1">
      <c r="A1371" s="674">
        <v>45178</v>
      </c>
      <c r="B1371" s="679">
        <v>21624</v>
      </c>
      <c r="C1371" s="676">
        <f>17990.84*3.36775</f>
        <v>60588.651409999999</v>
      </c>
      <c r="D1371" s="119">
        <v>29120.044000000002</v>
      </c>
      <c r="E1371" s="119">
        <f t="shared" si="42"/>
        <v>31468.607409999997</v>
      </c>
      <c r="F1371" s="119">
        <f t="shared" si="43"/>
        <v>1.4552630137809839</v>
      </c>
      <c r="G1371" s="88" t="s">
        <v>17343</v>
      </c>
      <c r="H1371" s="709" t="s">
        <v>19089</v>
      </c>
      <c r="I1371" s="678">
        <v>45173</v>
      </c>
      <c r="J1371" s="119">
        <f>12176.5*18%</f>
        <v>2191.77</v>
      </c>
      <c r="K1371" s="635"/>
      <c r="L1371" s="635"/>
      <c r="M1371" s="635"/>
      <c r="N1371" s="671" t="s">
        <v>19123</v>
      </c>
      <c r="O1371" s="672">
        <v>0</v>
      </c>
    </row>
    <row r="1372" spans="1:15" ht="14.45" hidden="1">
      <c r="A1372" s="674">
        <v>45180</v>
      </c>
      <c r="B1372" s="679">
        <v>29000</v>
      </c>
      <c r="C1372" s="676">
        <f>51630*3.1433</f>
        <v>162288.579</v>
      </c>
      <c r="D1372" s="119">
        <v>0</v>
      </c>
      <c r="E1372" s="119">
        <f t="shared" si="42"/>
        <v>162288.579</v>
      </c>
      <c r="F1372" s="119">
        <f t="shared" si="43"/>
        <v>5.5961578965517242</v>
      </c>
      <c r="G1372" s="88" t="s">
        <v>19855</v>
      </c>
      <c r="H1372" s="709" t="s">
        <v>19090</v>
      </c>
      <c r="I1372" s="678">
        <v>45173</v>
      </c>
      <c r="J1372" s="119">
        <v>0</v>
      </c>
      <c r="K1372" s="635"/>
      <c r="L1372" s="635"/>
      <c r="M1372" s="635"/>
      <c r="N1372" s="671" t="s">
        <v>19124</v>
      </c>
      <c r="O1372" s="672">
        <v>0</v>
      </c>
    </row>
    <row r="1373" spans="1:15" ht="14.45" hidden="1">
      <c r="A1373" s="674">
        <v>45184</v>
      </c>
      <c r="B1373" s="679">
        <v>22008</v>
      </c>
      <c r="C1373" s="676">
        <v>44016</v>
      </c>
      <c r="D1373" s="119">
        <v>0</v>
      </c>
      <c r="E1373" s="119">
        <f t="shared" si="42"/>
        <v>44016</v>
      </c>
      <c r="F1373" s="119">
        <f t="shared" si="43"/>
        <v>2</v>
      </c>
      <c r="G1373" s="88" t="s">
        <v>19824</v>
      </c>
      <c r="H1373" s="709" t="s">
        <v>19087</v>
      </c>
      <c r="I1373" s="678">
        <v>45173</v>
      </c>
      <c r="J1373" s="119">
        <v>0</v>
      </c>
      <c r="K1373" s="635"/>
      <c r="L1373" s="635"/>
      <c r="M1373" s="635"/>
      <c r="N1373" s="671" t="s">
        <v>19125</v>
      </c>
      <c r="O1373" s="672">
        <v>3536.89</v>
      </c>
    </row>
    <row r="1374" spans="1:15" ht="14.45" hidden="1">
      <c r="A1374" s="674">
        <v>45187</v>
      </c>
      <c r="B1374" s="679">
        <v>18000</v>
      </c>
      <c r="C1374" s="676">
        <v>37440</v>
      </c>
      <c r="D1374" s="119">
        <v>0</v>
      </c>
      <c r="E1374" s="119">
        <f t="shared" si="42"/>
        <v>37440</v>
      </c>
      <c r="F1374" s="119">
        <f t="shared" si="43"/>
        <v>2.08</v>
      </c>
      <c r="G1374" s="88" t="s">
        <v>19655</v>
      </c>
      <c r="H1374" s="709" t="s">
        <v>19092</v>
      </c>
      <c r="I1374" s="678">
        <v>45181</v>
      </c>
      <c r="J1374" s="119">
        <v>0</v>
      </c>
      <c r="K1374" s="635"/>
      <c r="L1374" s="635"/>
      <c r="M1374" s="635"/>
      <c r="N1374" s="671" t="s">
        <v>19126</v>
      </c>
      <c r="O1374" s="672">
        <v>13186.34</v>
      </c>
    </row>
    <row r="1375" spans="1:15" ht="14.45" hidden="1">
      <c r="A1375" s="674">
        <v>45187</v>
      </c>
      <c r="B1375" s="679">
        <v>22008</v>
      </c>
      <c r="C1375" s="676">
        <v>42475.44</v>
      </c>
      <c r="D1375" s="119">
        <v>0</v>
      </c>
      <c r="E1375" s="119">
        <f t="shared" si="42"/>
        <v>42475.44</v>
      </c>
      <c r="F1375" s="119">
        <f t="shared" si="43"/>
        <v>1.9300000000000002</v>
      </c>
      <c r="G1375" s="88" t="s">
        <v>19655</v>
      </c>
      <c r="H1375" s="709" t="s">
        <v>19093</v>
      </c>
      <c r="I1375" s="678">
        <v>45181</v>
      </c>
      <c r="J1375" s="119">
        <v>0</v>
      </c>
      <c r="K1375" s="635"/>
      <c r="L1375" s="635"/>
      <c r="M1375" s="635"/>
      <c r="N1375" s="671" t="s">
        <v>19127</v>
      </c>
      <c r="O1375" s="672">
        <v>14508.044</v>
      </c>
    </row>
    <row r="1376" spans="1:15" ht="14.45" hidden="1">
      <c r="A1376" s="674">
        <v>45187</v>
      </c>
      <c r="B1376" s="679">
        <v>19856</v>
      </c>
      <c r="C1376" s="676">
        <f>27907.81*3.3626</f>
        <v>93842.801906000008</v>
      </c>
      <c r="D1376" s="119">
        <v>27313.311000000002</v>
      </c>
      <c r="E1376" s="119">
        <f t="shared" si="42"/>
        <v>66529.490906000006</v>
      </c>
      <c r="F1376" s="119">
        <f t="shared" si="43"/>
        <v>3.3505988570709109</v>
      </c>
      <c r="G1376" s="88" t="s">
        <v>17343</v>
      </c>
      <c r="H1376" s="709" t="s">
        <v>19104</v>
      </c>
      <c r="I1376" s="678">
        <v>45184</v>
      </c>
      <c r="J1376" s="119">
        <f>12169.4*18%</f>
        <v>2190.4919999999997</v>
      </c>
      <c r="K1376" s="635"/>
      <c r="L1376" s="635"/>
      <c r="M1376" s="635"/>
      <c r="N1376" s="671" t="s">
        <v>19128</v>
      </c>
      <c r="O1376" s="672">
        <v>0</v>
      </c>
    </row>
    <row r="1377" spans="1:15" ht="14.45" hidden="1">
      <c r="A1377" s="674">
        <v>45188</v>
      </c>
      <c r="B1377" s="679">
        <v>52000</v>
      </c>
      <c r="C1377" s="676">
        <f>34840*3.15265</f>
        <v>109838.326</v>
      </c>
      <c r="D1377" s="119">
        <v>16324.556</v>
      </c>
      <c r="E1377" s="119">
        <f t="shared" si="42"/>
        <v>93513.77</v>
      </c>
      <c r="F1377" s="119">
        <f t="shared" si="43"/>
        <v>1.7983417307692309</v>
      </c>
      <c r="G1377" s="88" t="s">
        <v>19856</v>
      </c>
      <c r="H1377" s="709" t="s">
        <v>19094</v>
      </c>
      <c r="I1377" s="678">
        <v>45182</v>
      </c>
      <c r="J1377" s="119">
        <f>13100.856*30%</f>
        <v>3930.2567999999997</v>
      </c>
      <c r="K1377" s="635"/>
      <c r="L1377" s="635"/>
      <c r="M1377" s="635"/>
      <c r="N1377" s="671" t="s">
        <v>19129</v>
      </c>
      <c r="O1377" s="672">
        <v>62974.080999999998</v>
      </c>
    </row>
    <row r="1378" spans="1:15" ht="14.45" hidden="1">
      <c r="A1378" s="674">
        <v>45188</v>
      </c>
      <c r="B1378" s="679">
        <v>26000</v>
      </c>
      <c r="C1378" s="676">
        <f>15860*3.15265</f>
        <v>50001.029000000002</v>
      </c>
      <c r="D1378" s="119">
        <v>5034.7060000000001</v>
      </c>
      <c r="E1378" s="119">
        <f t="shared" si="42"/>
        <v>44966.323000000004</v>
      </c>
      <c r="F1378" s="119">
        <f t="shared" si="43"/>
        <v>1.7294739615384618</v>
      </c>
      <c r="G1378" s="88" t="s">
        <v>19856</v>
      </c>
      <c r="H1378" s="709" t="s">
        <v>19098</v>
      </c>
      <c r="I1378" s="678">
        <v>45182</v>
      </c>
      <c r="J1378" s="119">
        <f>3362.856*30%</f>
        <v>1008.8568</v>
      </c>
      <c r="K1378" s="635"/>
      <c r="L1378" s="635"/>
      <c r="M1378" s="635"/>
      <c r="N1378" s="671" t="s">
        <v>19130</v>
      </c>
      <c r="O1378" s="672">
        <v>25892.16</v>
      </c>
    </row>
    <row r="1379" spans="1:15" ht="14.45" hidden="1">
      <c r="A1379" s="674">
        <v>45189</v>
      </c>
      <c r="B1379" s="679">
        <v>19200</v>
      </c>
      <c r="C1379" s="676">
        <v>38016</v>
      </c>
      <c r="D1379" s="119">
        <v>0</v>
      </c>
      <c r="E1379" s="119">
        <f t="shared" ref="E1379:E1442" si="44">(C1379-D1379)</f>
        <v>38016</v>
      </c>
      <c r="F1379" s="119">
        <f t="shared" ref="F1379:F1442" si="45">(E1379/B1379)</f>
        <v>1.98</v>
      </c>
      <c r="G1379" s="88" t="s">
        <v>19655</v>
      </c>
      <c r="H1379" s="709" t="s">
        <v>19100</v>
      </c>
      <c r="I1379" s="678">
        <v>45183</v>
      </c>
      <c r="J1379" s="119">
        <v>0</v>
      </c>
      <c r="K1379" s="635"/>
      <c r="L1379" s="635"/>
      <c r="M1379" s="635"/>
      <c r="N1379" s="671" t="s">
        <v>19131</v>
      </c>
      <c r="O1379" s="672">
        <v>23105.125</v>
      </c>
    </row>
    <row r="1380" spans="1:15" ht="14.45" hidden="1">
      <c r="A1380" s="674">
        <v>45189</v>
      </c>
      <c r="B1380" s="679">
        <v>110040</v>
      </c>
      <c r="C1380" s="676">
        <f>72923.2*3.3632</f>
        <v>245255.30623999998</v>
      </c>
      <c r="D1380" s="119">
        <v>38494.949999999997</v>
      </c>
      <c r="E1380" s="119">
        <f t="shared" si="44"/>
        <v>206760.35623999999</v>
      </c>
      <c r="F1380" s="119">
        <f t="shared" si="45"/>
        <v>1.8789563453289713</v>
      </c>
      <c r="G1380" s="88" t="s">
        <v>19852</v>
      </c>
      <c r="H1380" s="709" t="s">
        <v>19088</v>
      </c>
      <c r="I1380" s="678">
        <v>45173</v>
      </c>
      <c r="J1380" s="119">
        <f>9750*30%</f>
        <v>2925</v>
      </c>
      <c r="K1380" s="635"/>
      <c r="L1380" s="635"/>
      <c r="M1380" s="635"/>
      <c r="N1380" s="671" t="s">
        <v>19132</v>
      </c>
      <c r="O1380" s="672">
        <v>26704.61</v>
      </c>
    </row>
    <row r="1381" spans="1:15" ht="14.45" hidden="1">
      <c r="A1381" s="674">
        <v>45190</v>
      </c>
      <c r="B1381" s="679">
        <v>191482</v>
      </c>
      <c r="C1381" s="676">
        <f>109418.69*3.3626</f>
        <v>367931.28699400002</v>
      </c>
      <c r="D1381" s="119">
        <v>53642.701999999997</v>
      </c>
      <c r="E1381" s="119">
        <f t="shared" si="44"/>
        <v>314288.58499400003</v>
      </c>
      <c r="F1381" s="119">
        <f t="shared" si="45"/>
        <v>1.6413479334558865</v>
      </c>
      <c r="G1381" s="88" t="s">
        <v>19804</v>
      </c>
      <c r="H1381" s="709" t="s">
        <v>19091</v>
      </c>
      <c r="I1381" s="678">
        <v>45177</v>
      </c>
      <c r="J1381" s="119">
        <f>42642.702*30%</f>
        <v>12792.810599999999</v>
      </c>
      <c r="K1381" s="635"/>
      <c r="L1381" s="635"/>
      <c r="M1381" s="635"/>
      <c r="N1381" s="671" t="s">
        <v>19133</v>
      </c>
      <c r="O1381" s="672">
        <v>26626.228999999999</v>
      </c>
    </row>
    <row r="1382" spans="1:15" ht="14.45" hidden="1">
      <c r="A1382" s="674">
        <v>45191</v>
      </c>
      <c r="B1382" s="679">
        <v>130000</v>
      </c>
      <c r="C1382" s="676">
        <v>229825</v>
      </c>
      <c r="D1382" s="119">
        <v>0</v>
      </c>
      <c r="E1382" s="119">
        <f t="shared" si="44"/>
        <v>229825</v>
      </c>
      <c r="F1382" s="119">
        <f t="shared" si="45"/>
        <v>1.7678846153846153</v>
      </c>
      <c r="G1382" s="88" t="s">
        <v>19655</v>
      </c>
      <c r="H1382" s="709" t="s">
        <v>19099</v>
      </c>
      <c r="I1382" s="678">
        <v>45183</v>
      </c>
      <c r="J1382" s="119">
        <v>0</v>
      </c>
      <c r="K1382" s="635"/>
      <c r="L1382" s="635"/>
      <c r="M1382" s="635"/>
      <c r="N1382" s="66" t="s">
        <v>19134</v>
      </c>
      <c r="O1382" s="651">
        <v>0</v>
      </c>
    </row>
    <row r="1383" spans="1:15" ht="14.45" hidden="1">
      <c r="A1383" s="674">
        <v>45191</v>
      </c>
      <c r="B1383" s="679">
        <v>220080</v>
      </c>
      <c r="C1383" s="676">
        <v>371935.2</v>
      </c>
      <c r="D1383" s="119">
        <v>0</v>
      </c>
      <c r="E1383" s="119">
        <f t="shared" si="44"/>
        <v>371935.2</v>
      </c>
      <c r="F1383" s="119">
        <f t="shared" si="45"/>
        <v>1.69</v>
      </c>
      <c r="G1383" s="88" t="s">
        <v>19647</v>
      </c>
      <c r="H1383" s="709" t="s">
        <v>19103</v>
      </c>
      <c r="I1383" s="678">
        <v>45184</v>
      </c>
      <c r="J1383" s="119">
        <v>0</v>
      </c>
      <c r="K1383" s="635"/>
      <c r="L1383" s="635"/>
      <c r="M1383" s="635"/>
      <c r="N1383" s="66" t="s">
        <v>19135</v>
      </c>
      <c r="O1383" s="651">
        <v>32155.1</v>
      </c>
    </row>
    <row r="1384" spans="1:15" ht="14.45" hidden="1">
      <c r="A1384" s="674">
        <v>45192</v>
      </c>
      <c r="B1384" s="679">
        <v>19464</v>
      </c>
      <c r="C1384" s="676">
        <f>20702.84*3.3646</f>
        <v>69656.775463999991</v>
      </c>
      <c r="D1384" s="174">
        <v>27382.482</v>
      </c>
      <c r="E1384" s="119">
        <f t="shared" si="44"/>
        <v>42274.293463999988</v>
      </c>
      <c r="F1384" s="119">
        <f t="shared" si="45"/>
        <v>2.1719221878339492</v>
      </c>
      <c r="G1384" s="88" t="s">
        <v>17343</v>
      </c>
      <c r="H1384" s="709" t="s">
        <v>19111</v>
      </c>
      <c r="I1384" s="678">
        <v>45189</v>
      </c>
      <c r="J1384" s="119">
        <f>12183.6*18%</f>
        <v>2193.0479999999998</v>
      </c>
      <c r="K1384" s="635"/>
      <c r="L1384" s="635"/>
      <c r="M1384" s="635"/>
      <c r="N1384" s="671" t="s">
        <v>19136</v>
      </c>
      <c r="O1384" s="672">
        <v>0</v>
      </c>
    </row>
    <row r="1385" spans="1:15" ht="14.45" hidden="1">
      <c r="A1385" s="674">
        <v>45195</v>
      </c>
      <c r="B1385" s="679">
        <v>134400</v>
      </c>
      <c r="C1385" s="676">
        <f>96460*3.3644</f>
        <v>324530.02399999998</v>
      </c>
      <c r="D1385" s="119">
        <v>39812.9</v>
      </c>
      <c r="E1385" s="119">
        <f t="shared" si="44"/>
        <v>284717.12399999995</v>
      </c>
      <c r="F1385" s="119">
        <f t="shared" si="45"/>
        <v>2.1184309821428569</v>
      </c>
      <c r="G1385" s="88" t="s">
        <v>19857</v>
      </c>
      <c r="H1385" s="709" t="s">
        <v>19110</v>
      </c>
      <c r="I1385" s="678">
        <v>45189</v>
      </c>
      <c r="J1385" s="119">
        <f>30090.9*30%</f>
        <v>9027.27</v>
      </c>
      <c r="K1385" s="635"/>
      <c r="L1385" s="635"/>
      <c r="M1385" s="635"/>
      <c r="N1385" s="671" t="s">
        <v>19137</v>
      </c>
      <c r="O1385" s="672">
        <v>0</v>
      </c>
    </row>
    <row r="1386" spans="1:15" ht="14.45" hidden="1">
      <c r="A1386" s="674">
        <v>45198</v>
      </c>
      <c r="B1386" s="679">
        <v>278594</v>
      </c>
      <c r="C1386" s="676">
        <f>195513.4*3.17205</f>
        <v>620178.28047</v>
      </c>
      <c r="D1386" s="119">
        <v>77714.899999999994</v>
      </c>
      <c r="E1386" s="119">
        <f t="shared" si="44"/>
        <v>542463.38046999997</v>
      </c>
      <c r="F1386" s="119">
        <f t="shared" si="45"/>
        <v>1.9471466739053962</v>
      </c>
      <c r="G1386" s="88" t="s">
        <v>19662</v>
      </c>
      <c r="H1386" s="709" t="s">
        <v>19107</v>
      </c>
      <c r="I1386" s="678">
        <v>45188</v>
      </c>
      <c r="J1386" s="119">
        <f>62562.8*30%</f>
        <v>18768.84</v>
      </c>
      <c r="K1386" s="635"/>
      <c r="L1386" s="635"/>
      <c r="M1386" s="635"/>
      <c r="N1386" s="671" t="s">
        <v>19138</v>
      </c>
      <c r="O1386" s="672">
        <v>37952.449999999997</v>
      </c>
    </row>
    <row r="1387" spans="1:15" ht="12.95" hidden="1">
      <c r="A1387" s="674">
        <v>45198</v>
      </c>
      <c r="B1387" s="679">
        <v>134400</v>
      </c>
      <c r="C1387" s="676">
        <f>96460*3.35915</f>
        <v>324023.609</v>
      </c>
      <c r="D1387" s="119">
        <v>40278.480000000003</v>
      </c>
      <c r="E1387" s="119">
        <f t="shared" si="44"/>
        <v>283745.12900000002</v>
      </c>
      <c r="F1387" s="119">
        <f t="shared" si="45"/>
        <v>2.1111988764880953</v>
      </c>
      <c r="G1387" s="212" t="s">
        <v>19857</v>
      </c>
      <c r="H1387" s="726" t="s">
        <v>19122</v>
      </c>
      <c r="I1387" s="678">
        <v>45194</v>
      </c>
      <c r="J1387" s="119">
        <f>30006.795*30%</f>
        <v>9002.0384999999987</v>
      </c>
      <c r="K1387" s="635"/>
      <c r="L1387" s="635"/>
      <c r="M1387" s="635"/>
      <c r="N1387" s="671" t="s">
        <v>19139</v>
      </c>
      <c r="O1387" s="672">
        <v>0</v>
      </c>
    </row>
    <row r="1388" spans="1:15" ht="14.45" hidden="1">
      <c r="A1388" s="674">
        <v>45199</v>
      </c>
      <c r="B1388" s="679">
        <v>23710</v>
      </c>
      <c r="C1388" s="676">
        <f>24654.3*3.17205</f>
        <v>78204.672315000003</v>
      </c>
      <c r="D1388" s="119">
        <v>8100.9</v>
      </c>
      <c r="E1388" s="119">
        <f t="shared" si="44"/>
        <v>70103.772315000009</v>
      </c>
      <c r="F1388" s="119">
        <f t="shared" si="45"/>
        <v>2.956717516448756</v>
      </c>
      <c r="G1388" s="88" t="s">
        <v>17210</v>
      </c>
      <c r="H1388" s="709" t="s">
        <v>19096</v>
      </c>
      <c r="I1388" s="678">
        <v>45182</v>
      </c>
      <c r="J1388" s="119">
        <f>6584.6*18%</f>
        <v>1185.2280000000001</v>
      </c>
      <c r="K1388" s="635"/>
      <c r="L1388" s="635"/>
      <c r="M1388" s="635"/>
      <c r="N1388" s="671" t="s">
        <v>19140</v>
      </c>
      <c r="O1388" s="672">
        <v>0</v>
      </c>
    </row>
    <row r="1389" spans="1:15" ht="12.95" hidden="1">
      <c r="A1389" s="735">
        <v>45199</v>
      </c>
      <c r="B1389" s="736">
        <v>17241.36</v>
      </c>
      <c r="C1389" s="240">
        <f>28241.5*2.3507</f>
        <v>66387.294049999997</v>
      </c>
      <c r="D1389" s="241">
        <v>19038.37</v>
      </c>
      <c r="E1389" s="241">
        <f t="shared" si="44"/>
        <v>47348.924050000001</v>
      </c>
      <c r="F1389" s="241">
        <f t="shared" si="45"/>
        <v>2.7462406706895512</v>
      </c>
      <c r="G1389" s="240" t="s">
        <v>17305</v>
      </c>
      <c r="H1389" s="737" t="s">
        <v>19114</v>
      </c>
      <c r="I1389" s="738">
        <v>45189</v>
      </c>
      <c r="J1389" s="241">
        <f>17182.8*18%</f>
        <v>3092.9039999999995</v>
      </c>
      <c r="K1389" s="739"/>
      <c r="L1389" s="635"/>
      <c r="M1389" s="635"/>
      <c r="N1389" s="671" t="s">
        <v>19141</v>
      </c>
      <c r="O1389" s="672">
        <v>3846.846</v>
      </c>
    </row>
    <row r="1390" spans="1:15" ht="12.95" hidden="1">
      <c r="A1390" s="674">
        <v>45199</v>
      </c>
      <c r="B1390" s="679">
        <v>111965</v>
      </c>
      <c r="C1390" s="676">
        <v>200266.5</v>
      </c>
      <c r="D1390" s="119">
        <v>0</v>
      </c>
      <c r="E1390" s="119">
        <f t="shared" si="44"/>
        <v>200266.5</v>
      </c>
      <c r="F1390" s="119">
        <f t="shared" si="45"/>
        <v>1.7886527039699907</v>
      </c>
      <c r="G1390" s="212" t="s">
        <v>19647</v>
      </c>
      <c r="H1390" s="726" t="s">
        <v>19113</v>
      </c>
      <c r="I1390" s="678">
        <v>45189</v>
      </c>
      <c r="J1390" s="119">
        <v>0</v>
      </c>
      <c r="K1390" s="635"/>
      <c r="L1390" s="635"/>
      <c r="M1390" s="635"/>
      <c r="N1390" s="671" t="s">
        <v>19142</v>
      </c>
      <c r="O1390" s="672">
        <v>0</v>
      </c>
    </row>
    <row r="1391" spans="1:15" ht="14.45" hidden="1">
      <c r="A1391" s="674">
        <v>45199</v>
      </c>
      <c r="B1391" s="679">
        <v>17900</v>
      </c>
      <c r="C1391" s="676">
        <v>61636.4</v>
      </c>
      <c r="D1391" s="119">
        <v>0</v>
      </c>
      <c r="E1391" s="119">
        <f t="shared" si="44"/>
        <v>61636.4</v>
      </c>
      <c r="F1391" s="119">
        <f t="shared" si="45"/>
        <v>3.4433743016759779</v>
      </c>
      <c r="G1391" s="88" t="s">
        <v>17018</v>
      </c>
      <c r="H1391" s="709" t="s">
        <v>19109</v>
      </c>
      <c r="I1391" s="678">
        <v>45189</v>
      </c>
      <c r="J1391" s="119">
        <v>0</v>
      </c>
      <c r="K1391" s="635"/>
      <c r="L1391" s="635"/>
      <c r="M1391" s="635"/>
      <c r="N1391" s="671" t="s">
        <v>19143</v>
      </c>
      <c r="O1391" s="672">
        <v>7529.7449999999999</v>
      </c>
    </row>
    <row r="1392" spans="1:15" ht="14.45" hidden="1">
      <c r="A1392" s="674">
        <v>45199</v>
      </c>
      <c r="B1392" s="679">
        <v>699984</v>
      </c>
      <c r="C1392" s="676">
        <f>412990.56*3.17205</f>
        <v>1310026.705848</v>
      </c>
      <c r="D1392" s="119">
        <v>0</v>
      </c>
      <c r="E1392" s="119">
        <f t="shared" si="44"/>
        <v>1310026.705848</v>
      </c>
      <c r="F1392" s="119">
        <f t="shared" si="45"/>
        <v>1.8715094999999999</v>
      </c>
      <c r="G1392" s="88" t="s">
        <v>19858</v>
      </c>
      <c r="H1392" s="709" t="s">
        <v>19120</v>
      </c>
      <c r="I1392" s="678">
        <v>45189</v>
      </c>
      <c r="J1392" s="119">
        <v>0</v>
      </c>
      <c r="K1392" s="635"/>
      <c r="L1392" s="635"/>
      <c r="M1392" s="635"/>
      <c r="N1392" s="671" t="s">
        <v>19145</v>
      </c>
      <c r="O1392" s="672">
        <v>17526.18</v>
      </c>
    </row>
    <row r="1393" spans="1:15" ht="14.45" hidden="1">
      <c r="A1393" s="674">
        <v>45201</v>
      </c>
      <c r="B1393" s="679">
        <v>21600</v>
      </c>
      <c r="C1393" s="676">
        <v>42120</v>
      </c>
      <c r="D1393" s="119">
        <v>0</v>
      </c>
      <c r="E1393" s="119">
        <f t="shared" si="44"/>
        <v>42120</v>
      </c>
      <c r="F1393" s="119">
        <f t="shared" si="45"/>
        <v>1.95</v>
      </c>
      <c r="G1393" s="88" t="s">
        <v>19655</v>
      </c>
      <c r="H1393" s="709" t="s">
        <v>19115</v>
      </c>
      <c r="I1393" s="678">
        <v>45189</v>
      </c>
      <c r="J1393" s="119">
        <v>0</v>
      </c>
      <c r="K1393" s="635"/>
      <c r="L1393" s="635"/>
      <c r="M1393" s="635"/>
      <c r="N1393" s="671" t="s">
        <v>19146</v>
      </c>
      <c r="O1393" s="672">
        <v>6358.4539999999997</v>
      </c>
    </row>
    <row r="1394" spans="1:15" ht="14.45" hidden="1">
      <c r="A1394" s="674">
        <v>45201</v>
      </c>
      <c r="B1394" s="679">
        <v>21600</v>
      </c>
      <c r="C1394" s="676">
        <v>42120</v>
      </c>
      <c r="D1394" s="119">
        <v>0</v>
      </c>
      <c r="E1394" s="119">
        <f t="shared" si="44"/>
        <v>42120</v>
      </c>
      <c r="F1394" s="119">
        <f t="shared" si="45"/>
        <v>1.95</v>
      </c>
      <c r="G1394" s="88" t="s">
        <v>19655</v>
      </c>
      <c r="H1394" s="709" t="s">
        <v>19116</v>
      </c>
      <c r="I1394" s="678">
        <v>45189</v>
      </c>
      <c r="J1394" s="119">
        <v>0</v>
      </c>
      <c r="K1394" s="635"/>
      <c r="L1394" s="635"/>
      <c r="M1394" s="635"/>
      <c r="N1394" s="671" t="s">
        <v>19147</v>
      </c>
      <c r="O1394" s="672">
        <v>2683.0569999999998</v>
      </c>
    </row>
    <row r="1395" spans="1:15" ht="14.45" hidden="1">
      <c r="A1395" s="674">
        <v>45201</v>
      </c>
      <c r="B1395" s="679">
        <v>44016</v>
      </c>
      <c r="C1395" s="676">
        <v>84950.88</v>
      </c>
      <c r="D1395" s="119">
        <v>0</v>
      </c>
      <c r="E1395" s="119">
        <f t="shared" si="44"/>
        <v>84950.88</v>
      </c>
      <c r="F1395" s="119">
        <f t="shared" si="45"/>
        <v>1.9300000000000002</v>
      </c>
      <c r="G1395" s="88" t="s">
        <v>19655</v>
      </c>
      <c r="H1395" s="709" t="s">
        <v>19117</v>
      </c>
      <c r="I1395" s="678">
        <v>45189</v>
      </c>
      <c r="J1395" s="119">
        <v>0</v>
      </c>
      <c r="K1395" s="635"/>
      <c r="L1395" s="635"/>
      <c r="M1395" s="635"/>
      <c r="N1395" s="671" t="s">
        <v>19148</v>
      </c>
      <c r="O1395" s="672">
        <v>82142.053</v>
      </c>
    </row>
    <row r="1396" spans="1:15" ht="14.45" hidden="1">
      <c r="A1396" s="674">
        <v>45203</v>
      </c>
      <c r="B1396" s="679">
        <v>52000</v>
      </c>
      <c r="C1396" s="676">
        <f>34840*3.15265</f>
        <v>109838.326</v>
      </c>
      <c r="D1396" s="119">
        <v>15959.696</v>
      </c>
      <c r="E1396" s="119">
        <f t="shared" si="44"/>
        <v>93878.63</v>
      </c>
      <c r="F1396" s="119">
        <f t="shared" si="45"/>
        <v>1.8053582692307693</v>
      </c>
      <c r="G1396" s="88" t="s">
        <v>19856</v>
      </c>
      <c r="H1396" s="709" t="s">
        <v>19097</v>
      </c>
      <c r="I1396" s="678">
        <v>45182</v>
      </c>
      <c r="J1396" s="119">
        <f>13161.396*30%</f>
        <v>3948.4187999999999</v>
      </c>
      <c r="K1396" s="635"/>
      <c r="L1396" s="635"/>
      <c r="M1396" s="635"/>
      <c r="N1396" s="671" t="s">
        <v>19149</v>
      </c>
      <c r="O1396" s="672">
        <v>0</v>
      </c>
    </row>
    <row r="1397" spans="1:15" ht="14.45" hidden="1">
      <c r="A1397" s="674">
        <v>45204</v>
      </c>
      <c r="B1397" s="679">
        <v>14970</v>
      </c>
      <c r="C1397" s="676">
        <f>12766.4*3.34755</f>
        <v>42736.162319999996</v>
      </c>
      <c r="D1397" s="119">
        <v>0</v>
      </c>
      <c r="E1397" s="119">
        <f t="shared" si="44"/>
        <v>42736.162319999996</v>
      </c>
      <c r="F1397" s="119">
        <f t="shared" si="45"/>
        <v>2.8547870621242484</v>
      </c>
      <c r="G1397" s="88" t="s">
        <v>19859</v>
      </c>
      <c r="H1397" s="709" t="s">
        <v>19123</v>
      </c>
      <c r="I1397" s="678">
        <v>45198</v>
      </c>
      <c r="J1397" s="119">
        <v>0</v>
      </c>
      <c r="K1397" s="635"/>
      <c r="L1397" s="635"/>
      <c r="M1397" s="635"/>
      <c r="N1397" s="671" t="s">
        <v>19150</v>
      </c>
      <c r="O1397" s="672">
        <v>0</v>
      </c>
    </row>
    <row r="1398" spans="1:15" ht="14.45" hidden="1">
      <c r="A1398" s="674">
        <v>45205</v>
      </c>
      <c r="B1398" s="679">
        <v>23400</v>
      </c>
      <c r="C1398" s="676">
        <v>55470</v>
      </c>
      <c r="D1398" s="119">
        <v>0</v>
      </c>
      <c r="E1398" s="119">
        <f t="shared" si="44"/>
        <v>55470</v>
      </c>
      <c r="F1398" s="119">
        <f t="shared" si="45"/>
        <v>2.3705128205128205</v>
      </c>
      <c r="G1398" s="88" t="s">
        <v>17227</v>
      </c>
      <c r="H1398" s="709" t="s">
        <v>19105</v>
      </c>
      <c r="I1398" s="678">
        <v>45184</v>
      </c>
      <c r="J1398" s="119">
        <v>0</v>
      </c>
      <c r="K1398" s="635"/>
      <c r="L1398" s="635"/>
      <c r="M1398" s="635"/>
      <c r="N1398" s="66" t="s">
        <v>19151</v>
      </c>
      <c r="O1398" s="651">
        <v>0</v>
      </c>
    </row>
    <row r="1399" spans="1:15" ht="14.45" hidden="1">
      <c r="A1399" s="674">
        <v>45205</v>
      </c>
      <c r="B1399" s="679">
        <v>24600</v>
      </c>
      <c r="C1399" s="676">
        <v>62730</v>
      </c>
      <c r="D1399" s="119">
        <v>0</v>
      </c>
      <c r="E1399" s="119">
        <f t="shared" si="44"/>
        <v>62730</v>
      </c>
      <c r="F1399" s="119">
        <f t="shared" si="45"/>
        <v>2.5499999999999998</v>
      </c>
      <c r="G1399" s="88" t="s">
        <v>17227</v>
      </c>
      <c r="H1399" s="709" t="s">
        <v>19106</v>
      </c>
      <c r="I1399" s="678">
        <v>45184</v>
      </c>
      <c r="J1399" s="119">
        <v>0</v>
      </c>
      <c r="K1399" s="635"/>
      <c r="L1399" s="635"/>
      <c r="M1399" s="635"/>
      <c r="N1399" s="671" t="s">
        <v>19152</v>
      </c>
      <c r="O1399" s="672">
        <v>0</v>
      </c>
    </row>
    <row r="1400" spans="1:15" ht="14.45" hidden="1">
      <c r="A1400" s="674">
        <v>45208</v>
      </c>
      <c r="B1400" s="679">
        <v>76800</v>
      </c>
      <c r="C1400" s="676">
        <v>152064</v>
      </c>
      <c r="D1400" s="119">
        <v>0</v>
      </c>
      <c r="E1400" s="119">
        <f t="shared" si="44"/>
        <v>152064</v>
      </c>
      <c r="F1400" s="119">
        <f t="shared" si="45"/>
        <v>1.98</v>
      </c>
      <c r="G1400" s="88" t="s">
        <v>19656</v>
      </c>
      <c r="H1400" s="709" t="s">
        <v>19112</v>
      </c>
      <c r="I1400" s="678">
        <v>45189</v>
      </c>
      <c r="J1400" s="119">
        <v>0</v>
      </c>
      <c r="K1400" s="635"/>
      <c r="L1400" s="635"/>
      <c r="M1400" s="635"/>
      <c r="N1400" s="671" t="s">
        <v>19153</v>
      </c>
      <c r="O1400" s="672">
        <v>0</v>
      </c>
    </row>
    <row r="1401" spans="1:15" ht="14.45" hidden="1">
      <c r="A1401" s="674">
        <v>45208</v>
      </c>
      <c r="B1401" s="679">
        <v>56022</v>
      </c>
      <c r="C1401" s="676">
        <v>105271.2</v>
      </c>
      <c r="D1401" s="119">
        <v>0</v>
      </c>
      <c r="E1401" s="119">
        <f t="shared" si="44"/>
        <v>105271.2</v>
      </c>
      <c r="F1401" s="119">
        <f t="shared" si="45"/>
        <v>1.8791046374638534</v>
      </c>
      <c r="G1401" s="88" t="s">
        <v>19655</v>
      </c>
      <c r="H1401" s="709" t="s">
        <v>19118</v>
      </c>
      <c r="I1401" s="678">
        <v>45189</v>
      </c>
      <c r="J1401" s="119">
        <v>0</v>
      </c>
      <c r="K1401" s="635"/>
      <c r="L1401" s="635"/>
      <c r="M1401" s="635"/>
      <c r="N1401" s="671" t="s">
        <v>19154</v>
      </c>
      <c r="O1401" s="672">
        <v>0</v>
      </c>
    </row>
    <row r="1402" spans="1:15" ht="14.45" hidden="1">
      <c r="A1402" s="674">
        <v>45209</v>
      </c>
      <c r="B1402" s="679">
        <v>56022</v>
      </c>
      <c r="C1402" s="676">
        <v>105271.2</v>
      </c>
      <c r="D1402" s="119">
        <v>0</v>
      </c>
      <c r="E1402" s="119">
        <f t="shared" si="44"/>
        <v>105271.2</v>
      </c>
      <c r="F1402" s="119">
        <f t="shared" si="45"/>
        <v>1.8791046374638534</v>
      </c>
      <c r="G1402" s="88" t="s">
        <v>19655</v>
      </c>
      <c r="H1402" s="709" t="s">
        <v>19119</v>
      </c>
      <c r="I1402" s="678">
        <v>45189</v>
      </c>
      <c r="J1402" s="119">
        <v>0</v>
      </c>
      <c r="K1402" s="635"/>
      <c r="L1402" s="635"/>
      <c r="M1402" s="635"/>
      <c r="N1402" s="66" t="s">
        <v>19155</v>
      </c>
      <c r="O1402" s="651">
        <v>0</v>
      </c>
    </row>
    <row r="1403" spans="1:15" ht="14.45" hidden="1">
      <c r="A1403" s="674">
        <v>45210</v>
      </c>
      <c r="B1403" s="679">
        <v>27228</v>
      </c>
      <c r="C1403" s="676">
        <f>23469.16*3.3514</f>
        <v>78654.542824000004</v>
      </c>
      <c r="D1403" s="119">
        <v>13186.34</v>
      </c>
      <c r="E1403" s="119">
        <f t="shared" si="44"/>
        <v>65468.202824000007</v>
      </c>
      <c r="F1403" s="119">
        <f t="shared" si="45"/>
        <v>2.404444058469223</v>
      </c>
      <c r="G1403" s="88" t="s">
        <v>19661</v>
      </c>
      <c r="H1403" s="709" t="s">
        <v>19126</v>
      </c>
      <c r="I1403" s="678">
        <v>45201</v>
      </c>
      <c r="J1403" s="119">
        <f>11566.8*30%</f>
        <v>3470.0399999999995</v>
      </c>
      <c r="K1403" s="635"/>
      <c r="L1403" s="635"/>
      <c r="M1403" s="635"/>
      <c r="N1403" s="66" t="s">
        <v>19156</v>
      </c>
      <c r="O1403" s="651">
        <v>13186.34</v>
      </c>
    </row>
    <row r="1404" spans="1:15" ht="14.45" hidden="1">
      <c r="A1404" s="674">
        <v>45211</v>
      </c>
      <c r="B1404" s="679">
        <v>50320</v>
      </c>
      <c r="C1404" s="676">
        <f>52334.72*3.3569</f>
        <v>175682.42156799999</v>
      </c>
      <c r="D1404" s="119">
        <v>62974.080999999998</v>
      </c>
      <c r="E1404" s="119">
        <f t="shared" si="44"/>
        <v>112708.34056799999</v>
      </c>
      <c r="F1404" s="119">
        <f t="shared" si="45"/>
        <v>2.2398318872813987</v>
      </c>
      <c r="G1404" s="88" t="s">
        <v>17343</v>
      </c>
      <c r="H1404" s="709" t="s">
        <v>19129</v>
      </c>
      <c r="I1404" s="678">
        <v>45208</v>
      </c>
      <c r="J1404" s="119">
        <f>24253.6*18%</f>
        <v>4365.6479999999992</v>
      </c>
      <c r="K1404" s="635"/>
      <c r="L1404" s="635"/>
      <c r="M1404" s="635"/>
      <c r="N1404" s="66" t="s">
        <v>19157</v>
      </c>
      <c r="O1404" s="651">
        <v>0</v>
      </c>
    </row>
    <row r="1405" spans="1:15" ht="14.45" hidden="1">
      <c r="A1405" s="674">
        <v>45211</v>
      </c>
      <c r="B1405" s="679">
        <v>21500</v>
      </c>
      <c r="C1405" s="676">
        <f>23186.39*3.3569</f>
        <v>77834.392590999996</v>
      </c>
      <c r="D1405" s="119">
        <v>25892.16</v>
      </c>
      <c r="E1405" s="119">
        <f t="shared" si="44"/>
        <v>51942.232590999993</v>
      </c>
      <c r="F1405" s="119">
        <f t="shared" si="45"/>
        <v>2.4159177949302322</v>
      </c>
      <c r="G1405" s="88" t="s">
        <v>17343</v>
      </c>
      <c r="H1405" s="709" t="s">
        <v>19130</v>
      </c>
      <c r="I1405" s="678">
        <v>45208</v>
      </c>
      <c r="J1405" s="119">
        <f>10891.5*18%</f>
        <v>1960.47</v>
      </c>
      <c r="K1405" s="635"/>
      <c r="L1405" s="635"/>
      <c r="M1405" s="635"/>
      <c r="N1405" s="66" t="s">
        <v>19158</v>
      </c>
      <c r="O1405" s="651">
        <v>0</v>
      </c>
    </row>
    <row r="1406" spans="1:15" ht="14.45" hidden="1">
      <c r="A1406" s="674">
        <v>45215</v>
      </c>
      <c r="B1406" s="679">
        <v>15716</v>
      </c>
      <c r="C1406" s="676">
        <f>17655.56*3.36135</f>
        <v>59346.516606000005</v>
      </c>
      <c r="D1406" s="119">
        <v>23105.125</v>
      </c>
      <c r="E1406" s="119">
        <f t="shared" si="44"/>
        <v>36241.391606000005</v>
      </c>
      <c r="F1406" s="119">
        <f t="shared" si="45"/>
        <v>2.3060188092389926</v>
      </c>
      <c r="G1406" s="88" t="s">
        <v>17343</v>
      </c>
      <c r="H1406" s="709" t="s">
        <v>19131</v>
      </c>
      <c r="I1406" s="678">
        <v>45208</v>
      </c>
      <c r="J1406" s="119">
        <f>10862.88*18%</f>
        <v>1955.3183999999999</v>
      </c>
      <c r="K1406" s="635"/>
      <c r="L1406" s="635"/>
      <c r="M1406" s="635"/>
      <c r="N1406" s="66" t="s">
        <v>19159</v>
      </c>
      <c r="O1406" s="651">
        <v>0</v>
      </c>
    </row>
    <row r="1407" spans="1:15" ht="14.45" hidden="1">
      <c r="A1407" s="674">
        <v>45215</v>
      </c>
      <c r="B1407" s="679">
        <v>40300</v>
      </c>
      <c r="C1407" s="676">
        <f>25590.5*3.36135</f>
        <v>86018.627175000001</v>
      </c>
      <c r="D1407" s="119">
        <v>3536.89</v>
      </c>
      <c r="E1407" s="119">
        <f t="shared" si="44"/>
        <v>82481.737175000002</v>
      </c>
      <c r="F1407" s="119">
        <f t="shared" si="45"/>
        <v>2.0466932301488834</v>
      </c>
      <c r="G1407" s="88" t="s">
        <v>19659</v>
      </c>
      <c r="H1407" s="709" t="s">
        <v>19125</v>
      </c>
      <c r="I1407" s="678">
        <v>45201</v>
      </c>
      <c r="J1407" s="119">
        <v>0</v>
      </c>
      <c r="K1407" s="635"/>
      <c r="L1407" s="635"/>
      <c r="M1407" s="635"/>
      <c r="N1407" s="66" t="s">
        <v>19160</v>
      </c>
      <c r="O1407" s="651">
        <v>0</v>
      </c>
    </row>
    <row r="1408" spans="1:15" ht="14.45" hidden="1">
      <c r="A1408" s="674">
        <v>45217</v>
      </c>
      <c r="B1408" s="679">
        <v>20992</v>
      </c>
      <c r="C1408" s="676">
        <f>23555.54*3.35325</f>
        <v>78987.614505000005</v>
      </c>
      <c r="D1408" s="119">
        <v>26626.228999999999</v>
      </c>
      <c r="E1408" s="119">
        <f t="shared" si="44"/>
        <v>52361.385505000006</v>
      </c>
      <c r="F1408" s="119">
        <f t="shared" si="45"/>
        <v>2.4943495381573935</v>
      </c>
      <c r="G1408" s="88" t="s">
        <v>17343</v>
      </c>
      <c r="H1408" s="709" t="s">
        <v>19133</v>
      </c>
      <c r="I1408" s="678">
        <v>45208</v>
      </c>
      <c r="J1408" s="119">
        <f>13629.84*18%</f>
        <v>2453.3712</v>
      </c>
      <c r="K1408" s="635"/>
      <c r="L1408" s="635"/>
      <c r="M1408" s="635"/>
      <c r="N1408" s="66" t="s">
        <v>19161</v>
      </c>
      <c r="O1408" s="651">
        <v>0</v>
      </c>
    </row>
    <row r="1409" spans="1:15" ht="14.45" hidden="1">
      <c r="A1409" s="674">
        <v>45217</v>
      </c>
      <c r="B1409" s="679">
        <v>4540</v>
      </c>
      <c r="C1409" s="676">
        <f>2.32545*4994</f>
        <v>11613.2973</v>
      </c>
      <c r="D1409" s="174">
        <v>0</v>
      </c>
      <c r="E1409" s="119">
        <f t="shared" si="44"/>
        <v>11613.2973</v>
      </c>
      <c r="F1409" s="119">
        <f t="shared" si="45"/>
        <v>2.557995</v>
      </c>
      <c r="G1409" s="88" t="s">
        <v>17305</v>
      </c>
      <c r="H1409" s="709" t="s">
        <v>19124</v>
      </c>
      <c r="I1409" s="678">
        <v>45199</v>
      </c>
      <c r="J1409" s="174">
        <v>0</v>
      </c>
      <c r="K1409" s="635"/>
      <c r="L1409" s="635"/>
      <c r="M1409" s="635"/>
      <c r="N1409" s="66" t="s">
        <v>19162</v>
      </c>
      <c r="O1409" s="651">
        <v>3483.5839999999998</v>
      </c>
    </row>
    <row r="1410" spans="1:15" ht="14.45" hidden="1">
      <c r="A1410" s="674">
        <v>45219</v>
      </c>
      <c r="B1410" s="679">
        <v>27576</v>
      </c>
      <c r="C1410" s="676">
        <f>23764.72*3.3595</f>
        <v>79837.576840000009</v>
      </c>
      <c r="D1410" s="119">
        <v>14508.044</v>
      </c>
      <c r="E1410" s="119">
        <f t="shared" si="44"/>
        <v>65329.532840000007</v>
      </c>
      <c r="F1410" s="119">
        <f t="shared" si="45"/>
        <v>2.3690721221351905</v>
      </c>
      <c r="G1410" s="88" t="s">
        <v>19661</v>
      </c>
      <c r="H1410" s="709" t="s">
        <v>19127</v>
      </c>
      <c r="I1410" s="678">
        <v>45201</v>
      </c>
      <c r="J1410" s="119">
        <f>11620.8*30%</f>
        <v>3486.24</v>
      </c>
      <c r="K1410" s="635"/>
      <c r="L1410" s="635"/>
      <c r="M1410" s="635"/>
      <c r="N1410" s="66" t="s">
        <v>19163</v>
      </c>
      <c r="O1410" s="651">
        <v>6694.9769999999999</v>
      </c>
    </row>
    <row r="1411" spans="1:15" ht="14.45" hidden="1">
      <c r="A1411" s="674">
        <v>45220</v>
      </c>
      <c r="B1411" s="679">
        <v>23264</v>
      </c>
      <c r="C1411" s="676">
        <f>24548.22*3.3595</f>
        <v>82469.745090000011</v>
      </c>
      <c r="D1411" s="119">
        <v>26704.61</v>
      </c>
      <c r="E1411" s="119">
        <f t="shared" si="44"/>
        <v>55765.135090000011</v>
      </c>
      <c r="F1411" s="119">
        <f t="shared" si="45"/>
        <v>2.3970570447902344</v>
      </c>
      <c r="G1411" s="88" t="s">
        <v>17343</v>
      </c>
      <c r="H1411" s="709" t="s">
        <v>19132</v>
      </c>
      <c r="I1411" s="678">
        <v>45208</v>
      </c>
      <c r="J1411" s="119">
        <f>8828.76*18%</f>
        <v>1589.1768</v>
      </c>
      <c r="K1411" s="635"/>
      <c r="L1411" s="635"/>
      <c r="M1411" s="635"/>
      <c r="N1411" s="66" t="s">
        <v>19164</v>
      </c>
      <c r="O1411" s="651">
        <v>0</v>
      </c>
    </row>
    <row r="1412" spans="1:15" ht="14.45" hidden="1">
      <c r="A1412" s="674">
        <v>45223</v>
      </c>
      <c r="B1412" s="679">
        <v>28070</v>
      </c>
      <c r="C1412" s="676">
        <f>28656.95*3.17825</f>
        <v>91078.951337499995</v>
      </c>
      <c r="D1412" s="119">
        <v>7529.7449999999999</v>
      </c>
      <c r="E1412" s="119">
        <f t="shared" si="44"/>
        <v>83549.2063375</v>
      </c>
      <c r="F1412" s="119">
        <f t="shared" si="45"/>
        <v>2.9764590786426792</v>
      </c>
      <c r="G1412" s="88" t="s">
        <v>17358</v>
      </c>
      <c r="H1412" s="709" t="s">
        <v>19143</v>
      </c>
      <c r="I1412" s="678">
        <v>45217</v>
      </c>
      <c r="J1412" s="119">
        <f>6076.875*30%</f>
        <v>1823.0625</v>
      </c>
      <c r="K1412" s="635"/>
      <c r="L1412" s="635"/>
      <c r="M1412" s="635"/>
      <c r="N1412" s="66" t="s">
        <v>19165</v>
      </c>
      <c r="O1412" s="651">
        <v>0</v>
      </c>
    </row>
    <row r="1413" spans="1:15" ht="14.45" hidden="1">
      <c r="A1413" s="674">
        <v>45223</v>
      </c>
      <c r="B1413" s="679">
        <v>40300</v>
      </c>
      <c r="C1413" s="676">
        <f>28613*3.36125</f>
        <v>96175.446250000008</v>
      </c>
      <c r="D1413" s="119">
        <v>3846.846</v>
      </c>
      <c r="E1413" s="119">
        <f t="shared" si="44"/>
        <v>92328.600250000003</v>
      </c>
      <c r="F1413" s="119">
        <f t="shared" si="45"/>
        <v>2.2910322642679901</v>
      </c>
      <c r="G1413" s="88" t="s">
        <v>19659</v>
      </c>
      <c r="H1413" s="709" t="s">
        <v>19141</v>
      </c>
      <c r="I1413" s="678">
        <v>45216</v>
      </c>
      <c r="J1413" s="119">
        <v>0</v>
      </c>
      <c r="K1413" s="635"/>
      <c r="L1413" s="635"/>
      <c r="M1413" s="635"/>
      <c r="N1413" s="66" t="s">
        <v>19166</v>
      </c>
      <c r="O1413" s="651">
        <v>0</v>
      </c>
    </row>
    <row r="1414" spans="1:15" ht="14.45" hidden="1">
      <c r="A1414" s="674">
        <v>45223</v>
      </c>
      <c r="B1414" s="679">
        <v>22008</v>
      </c>
      <c r="C1414" s="676">
        <v>40714.800000000003</v>
      </c>
      <c r="D1414" s="119">
        <v>0</v>
      </c>
      <c r="E1414" s="119">
        <f t="shared" si="44"/>
        <v>40714.800000000003</v>
      </c>
      <c r="F1414" s="119">
        <f t="shared" si="45"/>
        <v>1.85</v>
      </c>
      <c r="G1414" s="88" t="s">
        <v>19833</v>
      </c>
      <c r="H1414" s="709" t="s">
        <v>19142</v>
      </c>
      <c r="I1414" s="678">
        <v>45216</v>
      </c>
      <c r="J1414" s="119">
        <v>0</v>
      </c>
      <c r="K1414" s="635"/>
      <c r="L1414" s="635"/>
      <c r="M1414" s="635"/>
      <c r="N1414" s="66" t="s">
        <v>19167</v>
      </c>
      <c r="O1414" s="651">
        <v>0</v>
      </c>
    </row>
    <row r="1415" spans="1:15" ht="14.45" hidden="1">
      <c r="A1415" s="674">
        <v>45223</v>
      </c>
      <c r="B1415" s="679">
        <v>41000</v>
      </c>
      <c r="C1415" s="676">
        <v>96350</v>
      </c>
      <c r="D1415" s="119">
        <v>0</v>
      </c>
      <c r="E1415" s="119">
        <f t="shared" si="44"/>
        <v>96350</v>
      </c>
      <c r="F1415" s="119">
        <f t="shared" si="45"/>
        <v>2.35</v>
      </c>
      <c r="G1415" s="88" t="s">
        <v>17018</v>
      </c>
      <c r="H1415" s="709" t="s">
        <v>19136</v>
      </c>
      <c r="I1415" s="678">
        <v>45212</v>
      </c>
      <c r="J1415" s="119">
        <v>0</v>
      </c>
      <c r="K1415" s="635"/>
      <c r="L1415" s="635"/>
      <c r="M1415" s="635"/>
      <c r="N1415" s="66" t="s">
        <v>19168</v>
      </c>
      <c r="O1415" s="651">
        <v>0</v>
      </c>
    </row>
    <row r="1416" spans="1:15" ht="14.45" hidden="1">
      <c r="A1416" s="674">
        <v>45223</v>
      </c>
      <c r="B1416" s="679">
        <v>15000</v>
      </c>
      <c r="C1416" s="676">
        <v>35250</v>
      </c>
      <c r="D1416" s="119">
        <v>0</v>
      </c>
      <c r="E1416" s="119">
        <f t="shared" si="44"/>
        <v>35250</v>
      </c>
      <c r="F1416" s="119">
        <f t="shared" si="45"/>
        <v>2.35</v>
      </c>
      <c r="G1416" s="88" t="s">
        <v>17018</v>
      </c>
      <c r="H1416" s="709" t="s">
        <v>19137</v>
      </c>
      <c r="I1416" s="678">
        <v>45215</v>
      </c>
      <c r="J1416" s="119">
        <v>0</v>
      </c>
      <c r="K1416" s="635"/>
      <c r="L1416" s="635"/>
      <c r="M1416" s="635"/>
      <c r="N1416" s="66" t="s">
        <v>19169</v>
      </c>
      <c r="O1416" s="651">
        <v>25226.99</v>
      </c>
    </row>
    <row r="1417" spans="1:15" ht="14.45" hidden="1">
      <c r="A1417" s="674">
        <v>45224</v>
      </c>
      <c r="B1417" s="679">
        <v>18830.96</v>
      </c>
      <c r="C1417" s="676">
        <f>31069.06*2.31165</f>
        <v>71820.792549000005</v>
      </c>
      <c r="D1417" s="119">
        <v>17526.18</v>
      </c>
      <c r="E1417" s="119">
        <f t="shared" si="44"/>
        <v>54294.612549000005</v>
      </c>
      <c r="F1417" s="119">
        <f t="shared" si="45"/>
        <v>2.8832631235476049</v>
      </c>
      <c r="G1417" s="88" t="s">
        <v>19860</v>
      </c>
      <c r="H1417" s="709" t="s">
        <v>19145</v>
      </c>
      <c r="I1417" s="678">
        <v>45217</v>
      </c>
      <c r="J1417" s="119">
        <f>15655.8*18%</f>
        <v>2818.0439999999999</v>
      </c>
      <c r="K1417" s="635"/>
      <c r="L1417" s="635"/>
      <c r="M1417" s="635"/>
      <c r="N1417" s="66" t="s">
        <v>19170</v>
      </c>
      <c r="O1417" s="651">
        <v>24316.55</v>
      </c>
    </row>
    <row r="1418" spans="1:15" ht="14.45" hidden="1">
      <c r="A1418" s="674">
        <v>45224</v>
      </c>
      <c r="B1418" s="679">
        <v>22200</v>
      </c>
      <c r="C1418" s="676">
        <v>39960</v>
      </c>
      <c r="D1418" s="119">
        <v>0</v>
      </c>
      <c r="E1418" s="119">
        <f t="shared" si="44"/>
        <v>39960</v>
      </c>
      <c r="F1418" s="119">
        <f t="shared" si="45"/>
        <v>1.8</v>
      </c>
      <c r="G1418" s="88" t="s">
        <v>19656</v>
      </c>
      <c r="H1418" s="709" t="s">
        <v>19101</v>
      </c>
      <c r="I1418" s="678">
        <v>45184</v>
      </c>
      <c r="J1418" s="119">
        <v>0</v>
      </c>
      <c r="K1418" s="635"/>
      <c r="L1418" s="635"/>
      <c r="M1418" s="635"/>
      <c r="N1418" s="66" t="s">
        <v>19171</v>
      </c>
      <c r="O1418" s="651">
        <v>0</v>
      </c>
    </row>
    <row r="1419" spans="1:15" ht="14.45" hidden="1">
      <c r="A1419" s="674">
        <v>45225</v>
      </c>
      <c r="B1419" s="679">
        <v>269882</v>
      </c>
      <c r="C1419" s="676">
        <f>192827.8*3.17225</f>
        <v>611697.98855000001</v>
      </c>
      <c r="D1419" s="119">
        <v>82142.053</v>
      </c>
      <c r="E1419" s="119">
        <f t="shared" si="44"/>
        <v>529555.93555000005</v>
      </c>
      <c r="F1419" s="119">
        <f t="shared" si="45"/>
        <v>1.9621758233227857</v>
      </c>
      <c r="G1419" s="88" t="s">
        <v>19662</v>
      </c>
      <c r="H1419" s="709" t="s">
        <v>19148</v>
      </c>
      <c r="I1419" s="678">
        <v>45218</v>
      </c>
      <c r="J1419" s="119">
        <f>66175.37*30%</f>
        <v>19852.610999999997</v>
      </c>
      <c r="K1419" s="635"/>
      <c r="L1419" s="635"/>
      <c r="M1419" s="635"/>
      <c r="N1419" s="66" t="s">
        <v>19172</v>
      </c>
      <c r="O1419" s="651">
        <v>26660.959999999999</v>
      </c>
    </row>
    <row r="1420" spans="1:15" ht="14.45" hidden="1">
      <c r="A1420" s="674">
        <v>45226</v>
      </c>
      <c r="B1420" s="679">
        <v>102400</v>
      </c>
      <c r="C1420" s="676">
        <v>181060</v>
      </c>
      <c r="D1420" s="119">
        <v>0</v>
      </c>
      <c r="E1420" s="119">
        <f t="shared" si="44"/>
        <v>181060</v>
      </c>
      <c r="F1420" s="119">
        <f t="shared" si="45"/>
        <v>1.7681640624999999</v>
      </c>
      <c r="G1420" s="88" t="s">
        <v>19655</v>
      </c>
      <c r="H1420" s="709" t="s">
        <v>19149</v>
      </c>
      <c r="I1420" s="678">
        <v>45218</v>
      </c>
      <c r="J1420" s="119">
        <v>0</v>
      </c>
      <c r="K1420" s="635"/>
      <c r="L1420" s="635"/>
      <c r="M1420" s="635"/>
      <c r="N1420" s="66" t="s">
        <v>19173</v>
      </c>
      <c r="O1420" s="651">
        <v>22104.799999999999</v>
      </c>
    </row>
    <row r="1421" spans="1:15" ht="14.45" hidden="1">
      <c r="A1421" s="674">
        <v>45226</v>
      </c>
      <c r="B1421" s="679">
        <v>64800</v>
      </c>
      <c r="C1421" s="676">
        <v>126360</v>
      </c>
      <c r="D1421" s="119">
        <v>0</v>
      </c>
      <c r="E1421" s="119">
        <f t="shared" si="44"/>
        <v>126360</v>
      </c>
      <c r="F1421" s="119">
        <f t="shared" si="45"/>
        <v>1.95</v>
      </c>
      <c r="G1421" s="88" t="s">
        <v>19655</v>
      </c>
      <c r="H1421" s="709" t="s">
        <v>19152</v>
      </c>
      <c r="I1421" s="678">
        <v>45222</v>
      </c>
      <c r="J1421" s="119">
        <v>0</v>
      </c>
      <c r="K1421" s="635"/>
      <c r="L1421" s="635"/>
      <c r="M1421" s="635"/>
      <c r="N1421" s="66" t="s">
        <v>19174</v>
      </c>
      <c r="O1421" s="651">
        <v>28572.92</v>
      </c>
    </row>
    <row r="1422" spans="1:15" ht="14.45" hidden="1">
      <c r="A1422" s="674">
        <v>45226</v>
      </c>
      <c r="B1422" s="679">
        <v>19200</v>
      </c>
      <c r="C1422" s="676">
        <v>36864</v>
      </c>
      <c r="D1422" s="119">
        <v>0</v>
      </c>
      <c r="E1422" s="119">
        <f t="shared" si="44"/>
        <v>36864</v>
      </c>
      <c r="F1422" s="119">
        <f t="shared" si="45"/>
        <v>1.92</v>
      </c>
      <c r="G1422" s="88" t="s">
        <v>19833</v>
      </c>
      <c r="H1422" s="709" t="s">
        <v>19128</v>
      </c>
      <c r="I1422" s="678">
        <v>45208</v>
      </c>
      <c r="J1422" s="119">
        <v>0</v>
      </c>
      <c r="K1422" s="635"/>
      <c r="L1422" s="635"/>
      <c r="M1422" s="635"/>
      <c r="N1422" s="66" t="s">
        <v>19175</v>
      </c>
      <c r="O1422" s="651">
        <v>0</v>
      </c>
    </row>
    <row r="1423" spans="1:15" ht="14.45" hidden="1">
      <c r="A1423" s="674">
        <v>45226</v>
      </c>
      <c r="B1423" s="679">
        <v>19800</v>
      </c>
      <c r="C1423" s="676">
        <f>28151.38*3.1745</f>
        <v>89366.555810000005</v>
      </c>
      <c r="D1423" s="119">
        <v>2683.0569999999998</v>
      </c>
      <c r="E1423" s="119">
        <f t="shared" si="44"/>
        <v>86683.498810000005</v>
      </c>
      <c r="F1423" s="119">
        <f t="shared" si="45"/>
        <v>4.3779544853535359</v>
      </c>
      <c r="G1423" s="88" t="s">
        <v>19653</v>
      </c>
      <c r="H1423" s="709" t="s">
        <v>19147</v>
      </c>
      <c r="I1423" s="678">
        <v>45218</v>
      </c>
      <c r="J1423" s="119">
        <v>0</v>
      </c>
      <c r="K1423" s="635"/>
      <c r="L1423" s="635"/>
      <c r="M1423" s="635"/>
      <c r="N1423" s="66" t="s">
        <v>19176</v>
      </c>
      <c r="O1423" s="651">
        <v>0</v>
      </c>
    </row>
    <row r="1424" spans="1:15" ht="14.45" hidden="1">
      <c r="A1424" s="674">
        <v>45227</v>
      </c>
      <c r="B1424" s="679">
        <f>22200+3300</f>
        <v>25500</v>
      </c>
      <c r="C1424" s="676">
        <f>41070+6105</f>
        <v>47175</v>
      </c>
      <c r="D1424" s="119">
        <v>0</v>
      </c>
      <c r="E1424" s="119">
        <f t="shared" si="44"/>
        <v>47175</v>
      </c>
      <c r="F1424" s="119">
        <f t="shared" si="45"/>
        <v>1.85</v>
      </c>
      <c r="G1424" s="88" t="s">
        <v>19656</v>
      </c>
      <c r="H1424" s="709" t="s">
        <v>19102</v>
      </c>
      <c r="I1424" s="678">
        <v>45184</v>
      </c>
      <c r="J1424" s="119">
        <v>0</v>
      </c>
      <c r="K1424" s="635"/>
      <c r="L1424" s="635"/>
      <c r="M1424" s="635"/>
      <c r="N1424" s="66" t="s">
        <v>19177</v>
      </c>
      <c r="O1424" s="651">
        <v>1488.5</v>
      </c>
    </row>
    <row r="1425" spans="1:15" ht="14.45" hidden="1">
      <c r="A1425" s="674">
        <v>45227</v>
      </c>
      <c r="B1425" s="679">
        <v>272640</v>
      </c>
      <c r="C1425" s="676">
        <f>164947.2*3.1745</f>
        <v>523624.88640000008</v>
      </c>
      <c r="D1425" s="119">
        <v>0</v>
      </c>
      <c r="E1425" s="119">
        <f t="shared" si="44"/>
        <v>523624.88640000008</v>
      </c>
      <c r="F1425" s="119">
        <f t="shared" si="45"/>
        <v>1.9205725000000002</v>
      </c>
      <c r="G1425" s="88" t="s">
        <v>19830</v>
      </c>
      <c r="H1425" s="709" t="s">
        <v>19140</v>
      </c>
      <c r="I1425" s="678">
        <v>45215</v>
      </c>
      <c r="J1425" s="119">
        <v>0</v>
      </c>
      <c r="K1425" s="635"/>
      <c r="L1425" s="635"/>
      <c r="M1425" s="635"/>
      <c r="N1425" s="66" t="s">
        <v>19178</v>
      </c>
      <c r="O1425" s="651">
        <v>12160.44</v>
      </c>
    </row>
    <row r="1426" spans="1:15" ht="14.45" hidden="1">
      <c r="A1426" s="674">
        <v>45227</v>
      </c>
      <c r="B1426" s="679">
        <v>110040</v>
      </c>
      <c r="C1426" s="676">
        <f>72823.2*3.35885</f>
        <v>244602.20531999998</v>
      </c>
      <c r="D1426" s="119">
        <v>37952.449999999997</v>
      </c>
      <c r="E1426" s="119">
        <f t="shared" si="44"/>
        <v>206649.75532</v>
      </c>
      <c r="F1426" s="119">
        <f t="shared" si="45"/>
        <v>1.877951247909851</v>
      </c>
      <c r="G1426" s="88" t="s">
        <v>19852</v>
      </c>
      <c r="H1426" s="709" t="s">
        <v>19138</v>
      </c>
      <c r="I1426" s="678">
        <v>45215</v>
      </c>
      <c r="J1426" s="119">
        <f>30071.75*30%</f>
        <v>9021.5249999999996</v>
      </c>
      <c r="K1426" s="635"/>
      <c r="L1426" s="635"/>
      <c r="M1426" s="635"/>
      <c r="N1426" s="66" t="s">
        <v>19179</v>
      </c>
      <c r="O1426" s="651">
        <v>0</v>
      </c>
    </row>
    <row r="1427" spans="1:15" ht="14.45" hidden="1">
      <c r="A1427" s="674">
        <v>45227</v>
      </c>
      <c r="B1427" s="679">
        <v>27500</v>
      </c>
      <c r="C1427" s="676">
        <f>52800*3.18345</f>
        <v>168086.16</v>
      </c>
      <c r="D1427" s="119">
        <v>6358.4539999999997</v>
      </c>
      <c r="E1427" s="119">
        <f t="shared" si="44"/>
        <v>161727.70600000001</v>
      </c>
      <c r="F1427" s="119">
        <f t="shared" si="45"/>
        <v>5.8810074909090915</v>
      </c>
      <c r="G1427" s="88" t="s">
        <v>19789</v>
      </c>
      <c r="H1427" s="709" t="s">
        <v>19146</v>
      </c>
      <c r="I1427" s="678">
        <v>45218</v>
      </c>
      <c r="J1427" s="119">
        <v>0</v>
      </c>
      <c r="K1427" s="635"/>
      <c r="L1427" s="635"/>
      <c r="M1427" s="635"/>
      <c r="N1427" s="66" t="s">
        <v>19180</v>
      </c>
      <c r="O1427" s="651">
        <v>14849.84</v>
      </c>
    </row>
    <row r="1428" spans="1:15" ht="14.45" hidden="1">
      <c r="A1428" s="674">
        <v>45229</v>
      </c>
      <c r="B1428" s="679">
        <v>19200</v>
      </c>
      <c r="C1428" s="676">
        <v>38016</v>
      </c>
      <c r="D1428" s="119">
        <v>0</v>
      </c>
      <c r="E1428" s="119">
        <f t="shared" si="44"/>
        <v>38016</v>
      </c>
      <c r="F1428" s="119">
        <f t="shared" si="45"/>
        <v>1.98</v>
      </c>
      <c r="G1428" s="88" t="s">
        <v>19655</v>
      </c>
      <c r="H1428" s="709" t="s">
        <v>19153</v>
      </c>
      <c r="I1428" s="678">
        <v>45222</v>
      </c>
      <c r="J1428" s="119">
        <v>0</v>
      </c>
      <c r="K1428" s="635"/>
      <c r="L1428" s="635"/>
      <c r="M1428" s="635"/>
      <c r="N1428" s="66" t="s">
        <v>19181</v>
      </c>
      <c r="O1428" s="651">
        <v>0</v>
      </c>
    </row>
    <row r="1429" spans="1:15" ht="14.45" hidden="1">
      <c r="A1429" s="674">
        <v>45230</v>
      </c>
      <c r="B1429" s="679">
        <v>176064</v>
      </c>
      <c r="C1429" s="676">
        <v>301069.44</v>
      </c>
      <c r="D1429" s="119">
        <v>0</v>
      </c>
      <c r="E1429" s="119">
        <f t="shared" si="44"/>
        <v>301069.44</v>
      </c>
      <c r="F1429" s="119">
        <f t="shared" si="45"/>
        <v>1.71</v>
      </c>
      <c r="G1429" s="88" t="s">
        <v>19647</v>
      </c>
      <c r="H1429" s="709" t="s">
        <v>19139</v>
      </c>
      <c r="I1429" s="678">
        <v>45215</v>
      </c>
      <c r="J1429" s="119">
        <v>0</v>
      </c>
      <c r="K1429" s="635"/>
      <c r="L1429" s="635"/>
      <c r="M1429" s="635"/>
      <c r="N1429" s="66" t="s">
        <v>19182</v>
      </c>
      <c r="O1429" s="651">
        <v>0</v>
      </c>
    </row>
    <row r="1430" spans="1:15" ht="14.45" hidden="1">
      <c r="A1430" s="674">
        <v>45230</v>
      </c>
      <c r="B1430" s="679">
        <v>104976</v>
      </c>
      <c r="C1430" s="676">
        <f>61410.96*3.18215</f>
        <v>195418.88636400001</v>
      </c>
      <c r="D1430" s="119">
        <v>0</v>
      </c>
      <c r="E1430" s="119">
        <f t="shared" si="44"/>
        <v>195418.88636400001</v>
      </c>
      <c r="F1430" s="119">
        <f t="shared" si="45"/>
        <v>1.86155775</v>
      </c>
      <c r="G1430" s="88" t="s">
        <v>19832</v>
      </c>
      <c r="H1430" s="709" t="s">
        <v>19154</v>
      </c>
      <c r="I1430" s="678">
        <v>45226</v>
      </c>
      <c r="J1430" s="119">
        <v>0</v>
      </c>
      <c r="K1430" s="635"/>
      <c r="L1430" s="635"/>
      <c r="M1430" s="635"/>
      <c r="N1430" s="66" t="s">
        <v>19183</v>
      </c>
      <c r="O1430" s="651">
        <v>0</v>
      </c>
    </row>
    <row r="1431" spans="1:15" ht="14.45" hidden="1">
      <c r="A1431" s="674">
        <v>45230</v>
      </c>
      <c r="B1431" s="679">
        <v>102400</v>
      </c>
      <c r="C1431" s="676">
        <v>181060</v>
      </c>
      <c r="D1431" s="119">
        <v>0</v>
      </c>
      <c r="E1431" s="119">
        <f t="shared" si="44"/>
        <v>181060</v>
      </c>
      <c r="F1431" s="119">
        <f t="shared" si="45"/>
        <v>1.7681640624999999</v>
      </c>
      <c r="G1431" s="88" t="s">
        <v>19655</v>
      </c>
      <c r="H1431" s="709" t="s">
        <v>19150</v>
      </c>
      <c r="I1431" s="678">
        <v>45218</v>
      </c>
      <c r="J1431" s="119">
        <v>0</v>
      </c>
      <c r="K1431" s="635"/>
      <c r="L1431" s="635"/>
      <c r="M1431" s="635"/>
      <c r="N1431" s="66" t="s">
        <v>19184</v>
      </c>
      <c r="O1431" s="651">
        <v>4331.8</v>
      </c>
    </row>
    <row r="1432" spans="1:15" ht="14.45" hidden="1">
      <c r="A1432" s="674">
        <v>45237</v>
      </c>
      <c r="B1432" s="679">
        <v>8626</v>
      </c>
      <c r="C1432" s="676">
        <v>21996.3</v>
      </c>
      <c r="D1432" s="119">
        <v>0</v>
      </c>
      <c r="E1432" s="119">
        <f t="shared" si="44"/>
        <v>21996.3</v>
      </c>
      <c r="F1432" s="119">
        <f t="shared" si="45"/>
        <v>2.5499999999999998</v>
      </c>
      <c r="G1432" s="212" t="s">
        <v>17018</v>
      </c>
      <c r="H1432" s="709" t="s">
        <v>19108</v>
      </c>
      <c r="I1432" s="678">
        <v>45188</v>
      </c>
      <c r="J1432" s="119">
        <v>0</v>
      </c>
      <c r="K1432" s="635"/>
      <c r="L1432" s="635"/>
      <c r="M1432" s="635"/>
      <c r="N1432" s="66" t="s">
        <v>19185</v>
      </c>
      <c r="O1432" s="651">
        <v>0</v>
      </c>
    </row>
    <row r="1433" spans="1:15" ht="14.45" hidden="1">
      <c r="A1433" s="674">
        <v>45237</v>
      </c>
      <c r="B1433" s="740">
        <v>137472</v>
      </c>
      <c r="C1433" s="108">
        <v>263525.76000000001</v>
      </c>
      <c r="D1433" s="119">
        <v>0</v>
      </c>
      <c r="E1433" s="119">
        <f t="shared" si="44"/>
        <v>263525.76000000001</v>
      </c>
      <c r="F1433" s="119">
        <f t="shared" si="45"/>
        <v>1.916941340782123</v>
      </c>
      <c r="G1433" s="665" t="s">
        <v>19656</v>
      </c>
      <c r="H1433" s="665" t="s">
        <v>19155</v>
      </c>
      <c r="I1433" s="741">
        <v>45226</v>
      </c>
      <c r="J1433" s="119">
        <v>0</v>
      </c>
      <c r="K1433" s="635"/>
      <c r="L1433" s="635"/>
      <c r="M1433" s="635"/>
      <c r="N1433" s="66" t="s">
        <v>19186</v>
      </c>
      <c r="O1433" s="651">
        <v>0</v>
      </c>
    </row>
    <row r="1434" spans="1:15" ht="14.45" hidden="1">
      <c r="A1434" s="674">
        <v>45237</v>
      </c>
      <c r="B1434" s="682">
        <v>27228</v>
      </c>
      <c r="C1434" s="676">
        <f>23469.16*3.37715</f>
        <v>79258.873693999994</v>
      </c>
      <c r="D1434" s="119">
        <v>13186.34</v>
      </c>
      <c r="E1434" s="119">
        <f t="shared" si="44"/>
        <v>66072.533693999998</v>
      </c>
      <c r="F1434" s="119">
        <f t="shared" si="45"/>
        <v>2.426639257161745</v>
      </c>
      <c r="G1434" s="742" t="s">
        <v>19661</v>
      </c>
      <c r="H1434" s="743" t="s">
        <v>19156</v>
      </c>
      <c r="I1434" s="708">
        <v>45226</v>
      </c>
      <c r="J1434" s="119">
        <f>11566.8*30%</f>
        <v>3470.0399999999995</v>
      </c>
      <c r="K1434" s="635"/>
      <c r="L1434" s="635"/>
      <c r="M1434" s="635"/>
      <c r="N1434" s="66" t="s">
        <v>19187</v>
      </c>
      <c r="O1434" s="651">
        <v>0</v>
      </c>
    </row>
    <row r="1435" spans="1:15" ht="14.45" hidden="1">
      <c r="A1435" s="674">
        <v>45237</v>
      </c>
      <c r="B1435" s="740">
        <v>285400</v>
      </c>
      <c r="C1435" s="108">
        <f>254967.5*3.16755</f>
        <v>807622.30462499999</v>
      </c>
      <c r="D1435" s="119">
        <v>0</v>
      </c>
      <c r="E1435" s="119">
        <f t="shared" si="44"/>
        <v>807622.30462499999</v>
      </c>
      <c r="F1435" s="119">
        <f t="shared" si="45"/>
        <v>2.8297908361072177</v>
      </c>
      <c r="G1435" s="665" t="s">
        <v>19688</v>
      </c>
      <c r="H1435" s="665" t="s">
        <v>19159</v>
      </c>
      <c r="I1435" s="741">
        <v>45231</v>
      </c>
      <c r="J1435" s="119">
        <v>0</v>
      </c>
      <c r="K1435" s="635"/>
      <c r="L1435" s="635"/>
      <c r="M1435" s="635"/>
      <c r="N1435" s="66" t="s">
        <v>19188</v>
      </c>
      <c r="O1435" s="651">
        <v>0</v>
      </c>
    </row>
    <row r="1436" spans="1:15" ht="12.95" hidden="1">
      <c r="A1436" s="674">
        <v>45238</v>
      </c>
      <c r="B1436" s="679">
        <v>64800</v>
      </c>
      <c r="C1436" s="676">
        <v>126360</v>
      </c>
      <c r="D1436" s="119">
        <v>0</v>
      </c>
      <c r="E1436" s="119">
        <f t="shared" si="44"/>
        <v>126360</v>
      </c>
      <c r="F1436" s="119">
        <f t="shared" si="45"/>
        <v>1.95</v>
      </c>
      <c r="G1436" s="212" t="s">
        <v>19655</v>
      </c>
      <c r="H1436" s="726" t="s">
        <v>19160</v>
      </c>
      <c r="I1436" s="678">
        <v>45232</v>
      </c>
      <c r="J1436" s="119">
        <v>0</v>
      </c>
      <c r="K1436" s="635"/>
      <c r="L1436" s="635"/>
      <c r="M1436" s="635"/>
      <c r="N1436" s="66" t="s">
        <v>19189</v>
      </c>
      <c r="O1436" s="651">
        <v>2296.69</v>
      </c>
    </row>
    <row r="1437" spans="1:15" ht="14.45" hidden="1">
      <c r="A1437" s="674">
        <v>45238</v>
      </c>
      <c r="B1437" s="740">
        <v>19200</v>
      </c>
      <c r="C1437" s="108">
        <v>34176</v>
      </c>
      <c r="D1437" s="119">
        <v>0</v>
      </c>
      <c r="E1437" s="119">
        <f t="shared" si="44"/>
        <v>34176</v>
      </c>
      <c r="F1437" s="119">
        <f t="shared" si="45"/>
        <v>1.78</v>
      </c>
      <c r="G1437" s="665" t="s">
        <v>19833</v>
      </c>
      <c r="H1437" s="665" t="s">
        <v>19157</v>
      </c>
      <c r="I1437" s="741">
        <v>45226</v>
      </c>
      <c r="J1437" s="119">
        <v>0</v>
      </c>
      <c r="K1437" s="635"/>
      <c r="L1437" s="635"/>
      <c r="M1437" s="635"/>
      <c r="N1437" s="66" t="s">
        <v>19190</v>
      </c>
      <c r="O1437" s="651">
        <v>29418.799999999999</v>
      </c>
    </row>
    <row r="1438" spans="1:15" ht="12.95" hidden="1">
      <c r="A1438" s="674">
        <v>45238</v>
      </c>
      <c r="B1438" s="679">
        <v>13888</v>
      </c>
      <c r="C1438" s="676">
        <f>11059.6*3.3738</f>
        <v>37312.878479999999</v>
      </c>
      <c r="D1438" s="119">
        <v>0</v>
      </c>
      <c r="E1438" s="119">
        <f t="shared" si="44"/>
        <v>37312.878479999999</v>
      </c>
      <c r="F1438" s="119">
        <f t="shared" si="45"/>
        <v>2.6866991993087557</v>
      </c>
      <c r="G1438" s="212" t="s">
        <v>17343</v>
      </c>
      <c r="H1438" s="726" t="s">
        <v>19134</v>
      </c>
      <c r="I1438" s="678">
        <v>45208</v>
      </c>
      <c r="J1438" s="119">
        <v>0</v>
      </c>
      <c r="K1438" s="635"/>
      <c r="L1438" s="635"/>
      <c r="M1438" s="635"/>
      <c r="N1438" s="66" t="s">
        <v>19191</v>
      </c>
      <c r="O1438" s="651">
        <v>0</v>
      </c>
    </row>
    <row r="1439" spans="1:15" ht="14.45" hidden="1">
      <c r="A1439" s="674">
        <v>45240</v>
      </c>
      <c r="B1439" s="740">
        <v>25140</v>
      </c>
      <c r="C1439" s="108">
        <f>24771*3.15875</f>
        <v>78245.396250000005</v>
      </c>
      <c r="D1439" s="119">
        <v>6694.9769999999999</v>
      </c>
      <c r="E1439" s="119">
        <f t="shared" si="44"/>
        <v>71550.419250000006</v>
      </c>
      <c r="F1439" s="119">
        <f t="shared" si="45"/>
        <v>2.8460787291169454</v>
      </c>
      <c r="G1439" s="665" t="s">
        <v>17210</v>
      </c>
      <c r="H1439" s="665" t="s">
        <v>19163</v>
      </c>
      <c r="I1439" s="741">
        <v>45236</v>
      </c>
      <c r="J1439" s="119">
        <f>4759.825*18%</f>
        <v>856.7684999999999</v>
      </c>
      <c r="K1439" s="635"/>
      <c r="L1439" s="635"/>
      <c r="M1439" s="635"/>
      <c r="N1439" s="66" t="s">
        <v>19192</v>
      </c>
      <c r="O1439" s="651">
        <v>16084.75</v>
      </c>
    </row>
    <row r="1440" spans="1:15" ht="14.45" hidden="1">
      <c r="A1440" s="674">
        <v>45240</v>
      </c>
      <c r="B1440" s="740">
        <v>40300</v>
      </c>
      <c r="C1440" s="108">
        <f>28613*3.37195</f>
        <v>96481.605349999998</v>
      </c>
      <c r="D1440" s="119">
        <v>3483.5839999999998</v>
      </c>
      <c r="E1440" s="119">
        <f t="shared" si="44"/>
        <v>92998.021349999995</v>
      </c>
      <c r="F1440" s="119">
        <f t="shared" si="45"/>
        <v>2.3076432096774191</v>
      </c>
      <c r="G1440" s="665" t="s">
        <v>19659</v>
      </c>
      <c r="H1440" s="665" t="s">
        <v>19162</v>
      </c>
      <c r="I1440" s="741">
        <v>45236</v>
      </c>
      <c r="J1440" s="119">
        <v>0</v>
      </c>
      <c r="K1440" s="635"/>
      <c r="L1440" s="635"/>
      <c r="M1440" s="635"/>
      <c r="N1440" s="66" t="s">
        <v>19193</v>
      </c>
      <c r="O1440" s="651">
        <v>5906.85</v>
      </c>
    </row>
    <row r="1441" spans="1:15" ht="14.45" hidden="1">
      <c r="A1441" s="674">
        <v>45243</v>
      </c>
      <c r="B1441" s="740">
        <v>19200</v>
      </c>
      <c r="C1441" s="108">
        <v>38016</v>
      </c>
      <c r="D1441" s="119">
        <v>0</v>
      </c>
      <c r="E1441" s="119">
        <f t="shared" si="44"/>
        <v>38016</v>
      </c>
      <c r="F1441" s="119">
        <f t="shared" si="45"/>
        <v>1.98</v>
      </c>
      <c r="G1441" s="665" t="s">
        <v>19655</v>
      </c>
      <c r="H1441" s="665" t="s">
        <v>19161</v>
      </c>
      <c r="I1441" s="741">
        <v>45233</v>
      </c>
      <c r="J1441" s="119">
        <v>0</v>
      </c>
      <c r="K1441" s="635"/>
      <c r="L1441" s="635"/>
      <c r="M1441" s="635"/>
      <c r="N1441" s="66" t="s">
        <v>19194</v>
      </c>
      <c r="O1441" s="651">
        <v>45614.487999999998</v>
      </c>
    </row>
    <row r="1442" spans="1:15" ht="14.45" hidden="1">
      <c r="A1442" s="674">
        <v>45243</v>
      </c>
      <c r="B1442" s="740">
        <v>20688</v>
      </c>
      <c r="C1442" s="108">
        <f>23839.57*3.3763</f>
        <v>80489.540191000007</v>
      </c>
      <c r="D1442" s="119">
        <v>24316.55</v>
      </c>
      <c r="E1442" s="119">
        <f t="shared" si="44"/>
        <v>56172.990191000004</v>
      </c>
      <c r="F1442" s="119">
        <f t="shared" si="45"/>
        <v>2.7152450788379738</v>
      </c>
      <c r="G1442" s="212" t="s">
        <v>17343</v>
      </c>
      <c r="H1442" s="665" t="s">
        <v>19170</v>
      </c>
      <c r="I1442" s="741">
        <v>45240</v>
      </c>
      <c r="J1442" s="119">
        <f>6672.6*18%</f>
        <v>1201.068</v>
      </c>
      <c r="K1442" s="635"/>
      <c r="L1442" s="635"/>
      <c r="M1442" s="635"/>
      <c r="N1442" s="66" t="s">
        <v>19195</v>
      </c>
      <c r="O1442" s="651">
        <v>0</v>
      </c>
    </row>
    <row r="1443" spans="1:15" ht="14.45" hidden="1">
      <c r="A1443" s="674">
        <v>45243</v>
      </c>
      <c r="B1443" s="740">
        <v>23182</v>
      </c>
      <c r="C1443" s="108">
        <f>24548.53*3.3763</f>
        <v>82883.201839000001</v>
      </c>
      <c r="D1443" s="119">
        <v>25226.99</v>
      </c>
      <c r="E1443" s="119">
        <f t="shared" ref="E1443:E1506" si="46">(C1443-D1443)</f>
        <v>57656.211838999996</v>
      </c>
      <c r="F1443" s="119">
        <f t="shared" ref="F1443:F1506" si="47">(E1443/B1443)</f>
        <v>2.4871112000258822</v>
      </c>
      <c r="G1443" s="212" t="s">
        <v>17343</v>
      </c>
      <c r="H1443" s="665" t="s">
        <v>19169</v>
      </c>
      <c r="I1443" s="741">
        <v>45240</v>
      </c>
      <c r="J1443" s="119">
        <f>6034.2*18%</f>
        <v>1086.1559999999999</v>
      </c>
      <c r="K1443" s="635"/>
      <c r="L1443" s="635"/>
      <c r="M1443" s="635"/>
      <c r="N1443" s="66" t="s">
        <v>19196</v>
      </c>
      <c r="O1443" s="651">
        <v>0</v>
      </c>
    </row>
    <row r="1444" spans="1:15" ht="14.45" hidden="1">
      <c r="A1444" s="674">
        <v>45244</v>
      </c>
      <c r="B1444" s="740">
        <v>41500</v>
      </c>
      <c r="C1444" s="108">
        <v>83000</v>
      </c>
      <c r="D1444" s="119">
        <v>0</v>
      </c>
      <c r="E1444" s="119">
        <f t="shared" si="46"/>
        <v>83000</v>
      </c>
      <c r="F1444" s="119">
        <f t="shared" si="47"/>
        <v>2</v>
      </c>
      <c r="G1444" s="665" t="s">
        <v>19833</v>
      </c>
      <c r="H1444" s="665" t="s">
        <v>19164</v>
      </c>
      <c r="I1444" s="741">
        <v>45236</v>
      </c>
      <c r="J1444" s="119">
        <v>0</v>
      </c>
      <c r="K1444" s="635"/>
      <c r="L1444" s="635"/>
      <c r="M1444" s="635"/>
      <c r="N1444" s="66" t="s">
        <v>19197</v>
      </c>
      <c r="O1444" s="651">
        <v>6923.53</v>
      </c>
    </row>
    <row r="1445" spans="1:15" ht="14.45" hidden="1">
      <c r="A1445" s="674">
        <v>45244</v>
      </c>
      <c r="B1445" s="740">
        <v>154056</v>
      </c>
      <c r="C1445" s="108">
        <v>285003.59999999998</v>
      </c>
      <c r="D1445" s="119">
        <v>0</v>
      </c>
      <c r="E1445" s="119">
        <f t="shared" si="46"/>
        <v>285003.59999999998</v>
      </c>
      <c r="F1445" s="119">
        <f t="shared" si="47"/>
        <v>1.8499999999999999</v>
      </c>
      <c r="G1445" s="665" t="s">
        <v>19647</v>
      </c>
      <c r="H1445" s="665" t="s">
        <v>19166</v>
      </c>
      <c r="I1445" s="741">
        <v>45237</v>
      </c>
      <c r="J1445" s="119">
        <v>0</v>
      </c>
      <c r="K1445" s="635"/>
      <c r="L1445" s="635"/>
      <c r="M1445" s="635"/>
      <c r="N1445" s="66" t="s">
        <v>19198</v>
      </c>
      <c r="O1445" s="651">
        <v>6838.4</v>
      </c>
    </row>
    <row r="1446" spans="1:15" ht="14.45" hidden="1">
      <c r="A1446" s="674">
        <v>45245</v>
      </c>
      <c r="B1446" s="740">
        <v>106800</v>
      </c>
      <c r="C1446" s="108">
        <v>183384</v>
      </c>
      <c r="D1446" s="119">
        <v>0</v>
      </c>
      <c r="E1446" s="119">
        <f t="shared" si="46"/>
        <v>183384</v>
      </c>
      <c r="F1446" s="119">
        <f t="shared" si="47"/>
        <v>1.7170786516853933</v>
      </c>
      <c r="G1446" s="665" t="s">
        <v>19656</v>
      </c>
      <c r="H1446" s="665" t="s">
        <v>19168</v>
      </c>
      <c r="I1446" s="741">
        <v>45237</v>
      </c>
      <c r="J1446" s="119">
        <v>0</v>
      </c>
      <c r="K1446" s="635"/>
      <c r="L1446" s="635"/>
      <c r="M1446" s="635"/>
      <c r="N1446" s="66" t="s">
        <v>19199</v>
      </c>
      <c r="O1446" s="651">
        <v>7274.97</v>
      </c>
    </row>
    <row r="1447" spans="1:15" ht="14.45" hidden="1">
      <c r="A1447" s="674">
        <v>45245</v>
      </c>
      <c r="B1447" s="740">
        <v>19200</v>
      </c>
      <c r="C1447" s="108">
        <v>38016</v>
      </c>
      <c r="D1447" s="119">
        <v>0</v>
      </c>
      <c r="E1447" s="119">
        <f t="shared" si="46"/>
        <v>38016</v>
      </c>
      <c r="F1447" s="119">
        <f t="shared" si="47"/>
        <v>1.98</v>
      </c>
      <c r="G1447" s="665" t="s">
        <v>19655</v>
      </c>
      <c r="H1447" s="665" t="s">
        <v>19171</v>
      </c>
      <c r="I1447" s="741">
        <v>45240</v>
      </c>
      <c r="J1447" s="119">
        <v>0</v>
      </c>
      <c r="K1447" s="635"/>
      <c r="L1447" s="635"/>
      <c r="M1447" s="635"/>
      <c r="N1447" s="66" t="s">
        <v>19200</v>
      </c>
      <c r="O1447" s="651">
        <v>13681.66</v>
      </c>
    </row>
    <row r="1448" spans="1:15" ht="14.45" hidden="1">
      <c r="A1448" s="674">
        <v>45247</v>
      </c>
      <c r="B1448" s="679">
        <v>72000</v>
      </c>
      <c r="C1448" s="676">
        <v>133200</v>
      </c>
      <c r="D1448" s="119">
        <v>0</v>
      </c>
      <c r="E1448" s="119">
        <f t="shared" si="46"/>
        <v>133200</v>
      </c>
      <c r="F1448" s="119">
        <f t="shared" si="47"/>
        <v>1.85</v>
      </c>
      <c r="G1448" s="665" t="s">
        <v>19655</v>
      </c>
      <c r="H1448" s="726" t="s">
        <v>19151</v>
      </c>
      <c r="I1448" s="678">
        <v>45222</v>
      </c>
      <c r="J1448" s="119">
        <v>0</v>
      </c>
      <c r="K1448" s="635"/>
      <c r="L1448" s="635"/>
      <c r="M1448" s="635"/>
      <c r="N1448" s="66" t="s">
        <v>19201</v>
      </c>
      <c r="O1448" s="651">
        <v>0</v>
      </c>
    </row>
    <row r="1449" spans="1:15" ht="14.45" hidden="1">
      <c r="A1449" s="674">
        <v>45247</v>
      </c>
      <c r="B1449" s="740">
        <v>49412</v>
      </c>
      <c r="C1449" s="108">
        <f>19548*3.37645</f>
        <v>66002.844599999997</v>
      </c>
      <c r="D1449" s="119">
        <v>22104.799999999999</v>
      </c>
      <c r="E1449" s="119">
        <f t="shared" si="46"/>
        <v>43898.044599999994</v>
      </c>
      <c r="F1449" s="119">
        <f t="shared" si="47"/>
        <v>0.88840857686391961</v>
      </c>
      <c r="G1449" s="212" t="s">
        <v>17343</v>
      </c>
      <c r="H1449" s="665" t="s">
        <v>19173</v>
      </c>
      <c r="I1449" s="741">
        <v>45245</v>
      </c>
      <c r="J1449" s="119">
        <f>8475*18%</f>
        <v>1525.5</v>
      </c>
      <c r="K1449" s="635"/>
      <c r="L1449" s="635"/>
      <c r="M1449" s="635"/>
      <c r="N1449" s="66" t="s">
        <v>19202</v>
      </c>
      <c r="O1449" s="651">
        <v>0</v>
      </c>
    </row>
    <row r="1450" spans="1:15" ht="14.45" hidden="1">
      <c r="A1450" s="674">
        <v>45250</v>
      </c>
      <c r="B1450" s="740">
        <v>24348</v>
      </c>
      <c r="C1450" s="108">
        <f>26100.06*3.37645</f>
        <v>88125.547587000008</v>
      </c>
      <c r="D1450" s="119">
        <v>26660.959999999999</v>
      </c>
      <c r="E1450" s="119">
        <f t="shared" si="46"/>
        <v>61464.587587000009</v>
      </c>
      <c r="F1450" s="119">
        <f t="shared" si="47"/>
        <v>2.5244203871775919</v>
      </c>
      <c r="G1450" s="212" t="s">
        <v>17343</v>
      </c>
      <c r="H1450" s="665" t="s">
        <v>19172</v>
      </c>
      <c r="I1450" s="741">
        <v>45244</v>
      </c>
      <c r="J1450" s="119">
        <f>6407.1*18%</f>
        <v>1153.278</v>
      </c>
      <c r="K1450" s="635"/>
      <c r="L1450" s="635"/>
      <c r="M1450" s="635"/>
      <c r="N1450" s="66" t="s">
        <v>19203</v>
      </c>
      <c r="O1450" s="651">
        <v>0</v>
      </c>
    </row>
    <row r="1451" spans="1:15" ht="14.45" hidden="1">
      <c r="A1451" s="674">
        <v>45250</v>
      </c>
      <c r="B1451" s="740">
        <v>21888</v>
      </c>
      <c r="C1451" s="108">
        <f>23946.61*3.37645</f>
        <v>80854.531334500003</v>
      </c>
      <c r="D1451" s="119">
        <v>28572.92</v>
      </c>
      <c r="E1451" s="119">
        <f t="shared" si="46"/>
        <v>52281.611334500005</v>
      </c>
      <c r="F1451" s="119">
        <f t="shared" si="47"/>
        <v>2.3885970090688966</v>
      </c>
      <c r="G1451" s="212" t="s">
        <v>17343</v>
      </c>
      <c r="H1451" s="665" t="s">
        <v>19174</v>
      </c>
      <c r="I1451" s="741">
        <v>45245</v>
      </c>
      <c r="J1451" s="119">
        <f>10305.6*18%</f>
        <v>1855.008</v>
      </c>
      <c r="K1451" s="635"/>
      <c r="L1451" s="635"/>
      <c r="M1451" s="635"/>
      <c r="N1451" s="66" t="s">
        <v>19204</v>
      </c>
      <c r="O1451" s="651">
        <v>0</v>
      </c>
    </row>
    <row r="1452" spans="1:15" ht="14.45" hidden="1">
      <c r="A1452" s="674">
        <v>45252</v>
      </c>
      <c r="B1452" s="740">
        <v>11250</v>
      </c>
      <c r="C1452" s="108">
        <f>19125*3.1022</f>
        <v>59329.574999999997</v>
      </c>
      <c r="D1452" s="119">
        <v>0</v>
      </c>
      <c r="E1452" s="119">
        <f t="shared" si="46"/>
        <v>59329.574999999997</v>
      </c>
      <c r="F1452" s="119">
        <f t="shared" si="47"/>
        <v>5.2737400000000001</v>
      </c>
      <c r="G1452" s="665" t="s">
        <v>19861</v>
      </c>
      <c r="H1452" s="665" t="s">
        <v>19185</v>
      </c>
      <c r="I1452" s="741">
        <v>45251</v>
      </c>
      <c r="J1452" s="119">
        <v>0</v>
      </c>
      <c r="K1452" s="635"/>
      <c r="L1452" s="635"/>
      <c r="M1452" s="635"/>
      <c r="N1452" s="66" t="s">
        <v>19205</v>
      </c>
      <c r="O1452" s="651">
        <v>0</v>
      </c>
    </row>
    <row r="1453" spans="1:15" ht="14.45" hidden="1">
      <c r="A1453" s="674">
        <v>45254</v>
      </c>
      <c r="B1453" s="740">
        <v>15000</v>
      </c>
      <c r="C1453" s="108">
        <v>35250</v>
      </c>
      <c r="D1453" s="119">
        <v>0</v>
      </c>
      <c r="E1453" s="119">
        <f t="shared" si="46"/>
        <v>35250</v>
      </c>
      <c r="F1453" s="119">
        <f t="shared" si="47"/>
        <v>2.35</v>
      </c>
      <c r="G1453" s="665" t="s">
        <v>17018</v>
      </c>
      <c r="H1453" s="665" t="s">
        <v>19179</v>
      </c>
      <c r="I1453" s="741">
        <v>45250</v>
      </c>
      <c r="J1453" s="119">
        <v>0</v>
      </c>
      <c r="K1453" s="635"/>
      <c r="L1453" s="635"/>
      <c r="M1453" s="635"/>
      <c r="N1453" s="66" t="s">
        <v>19206</v>
      </c>
      <c r="O1453" s="651">
        <v>32911.4</v>
      </c>
    </row>
    <row r="1454" spans="1:15" ht="14.45" hidden="1">
      <c r="A1454" s="674">
        <v>45254</v>
      </c>
      <c r="B1454" s="740">
        <v>50008</v>
      </c>
      <c r="C1454" s="108">
        <v>87535.84</v>
      </c>
      <c r="D1454" s="119">
        <v>0</v>
      </c>
      <c r="E1454" s="119">
        <f t="shared" si="46"/>
        <v>87535.84</v>
      </c>
      <c r="F1454" s="119">
        <f t="shared" si="47"/>
        <v>1.7504367301231802</v>
      </c>
      <c r="G1454" s="665" t="s">
        <v>19647</v>
      </c>
      <c r="H1454" s="665" t="s">
        <v>19165</v>
      </c>
      <c r="I1454" s="741">
        <v>45236</v>
      </c>
      <c r="J1454" s="119">
        <v>0</v>
      </c>
      <c r="K1454" s="635"/>
      <c r="L1454" s="635"/>
      <c r="M1454" s="635"/>
      <c r="N1454" s="66" t="s">
        <v>19207</v>
      </c>
      <c r="O1454" s="651">
        <v>11833.3</v>
      </c>
    </row>
    <row r="1455" spans="1:15" ht="14.45" hidden="1">
      <c r="A1455" s="674">
        <v>45254</v>
      </c>
      <c r="B1455" s="740">
        <v>104000</v>
      </c>
      <c r="C1455" s="108">
        <v>180960</v>
      </c>
      <c r="D1455" s="119">
        <v>0</v>
      </c>
      <c r="E1455" s="119">
        <f t="shared" si="46"/>
        <v>180960</v>
      </c>
      <c r="F1455" s="119">
        <f t="shared" si="47"/>
        <v>1.74</v>
      </c>
      <c r="G1455" s="665" t="s">
        <v>19833</v>
      </c>
      <c r="H1455" s="665" t="s">
        <v>19175</v>
      </c>
      <c r="I1455" s="741">
        <v>45247</v>
      </c>
      <c r="J1455" s="119">
        <v>0</v>
      </c>
      <c r="K1455" s="635"/>
      <c r="L1455" s="635"/>
      <c r="M1455" s="635"/>
      <c r="N1455" s="66" t="s">
        <v>19208</v>
      </c>
      <c r="O1455" s="651">
        <v>11982.1</v>
      </c>
    </row>
    <row r="1456" spans="1:15" ht="14.45" hidden="1">
      <c r="A1456" s="674">
        <v>45254</v>
      </c>
      <c r="B1456" s="740">
        <v>27840</v>
      </c>
      <c r="C1456" s="108">
        <v>51133.2</v>
      </c>
      <c r="D1456" s="119">
        <v>0</v>
      </c>
      <c r="E1456" s="119">
        <f t="shared" si="46"/>
        <v>51133.2</v>
      </c>
      <c r="F1456" s="119">
        <f t="shared" si="47"/>
        <v>1.8366810344827584</v>
      </c>
      <c r="G1456" s="665" t="s">
        <v>19656</v>
      </c>
      <c r="H1456" s="665" t="s">
        <v>19182</v>
      </c>
      <c r="I1456" s="741">
        <v>45251</v>
      </c>
      <c r="J1456" s="119">
        <v>0</v>
      </c>
      <c r="K1456" s="635"/>
      <c r="L1456" s="635"/>
      <c r="M1456" s="635"/>
      <c r="N1456" s="66" t="s">
        <v>19209</v>
      </c>
      <c r="O1456" s="651">
        <v>11825.3</v>
      </c>
    </row>
    <row r="1457" spans="1:15" ht="14.45" hidden="1">
      <c r="A1457" s="674">
        <v>45257</v>
      </c>
      <c r="B1457" s="740">
        <v>139680</v>
      </c>
      <c r="C1457" s="108">
        <v>246774.39999999999</v>
      </c>
      <c r="D1457" s="119">
        <v>0</v>
      </c>
      <c r="E1457" s="119">
        <f t="shared" si="46"/>
        <v>246774.39999999999</v>
      </c>
      <c r="F1457" s="119">
        <f t="shared" si="47"/>
        <v>1.7667124856815577</v>
      </c>
      <c r="G1457" s="665" t="s">
        <v>19647</v>
      </c>
      <c r="H1457" s="665" t="s">
        <v>19176</v>
      </c>
      <c r="I1457" s="741">
        <v>45247</v>
      </c>
      <c r="J1457" s="119">
        <v>0</v>
      </c>
      <c r="K1457" s="635"/>
      <c r="L1457" s="635"/>
      <c r="M1457" s="635"/>
      <c r="N1457" s="66" t="s">
        <v>19210</v>
      </c>
      <c r="O1457" s="651">
        <v>0</v>
      </c>
    </row>
    <row r="1458" spans="1:15" ht="14.45" hidden="1">
      <c r="A1458" s="674">
        <v>45257</v>
      </c>
      <c r="B1458" s="679">
        <v>47676</v>
      </c>
      <c r="C1458" s="676">
        <v>86695.44</v>
      </c>
      <c r="D1458" s="119">
        <v>0</v>
      </c>
      <c r="E1458" s="119">
        <f t="shared" si="46"/>
        <v>86695.44</v>
      </c>
      <c r="F1458" s="119">
        <f t="shared" si="47"/>
        <v>1.8184293984394664</v>
      </c>
      <c r="G1458" s="88" t="s">
        <v>19647</v>
      </c>
      <c r="H1458" s="709" t="s">
        <v>19186</v>
      </c>
      <c r="I1458" s="678">
        <v>45251</v>
      </c>
      <c r="J1458" s="119">
        <v>0</v>
      </c>
      <c r="K1458" s="635"/>
      <c r="L1458" s="635"/>
      <c r="M1458" s="635"/>
      <c r="N1458" s="66" t="s">
        <v>19211</v>
      </c>
      <c r="O1458" s="651">
        <v>0</v>
      </c>
    </row>
    <row r="1459" spans="1:15" ht="14.45" hidden="1">
      <c r="A1459" s="674">
        <v>45257</v>
      </c>
      <c r="B1459" s="740">
        <v>280080</v>
      </c>
      <c r="C1459" s="108">
        <v>537753.59999999998</v>
      </c>
      <c r="D1459" s="119">
        <v>1488.5</v>
      </c>
      <c r="E1459" s="119">
        <f t="shared" si="46"/>
        <v>536265.1</v>
      </c>
      <c r="F1459" s="119">
        <f t="shared" si="47"/>
        <v>1.9146854470151384</v>
      </c>
      <c r="G1459" s="665" t="s">
        <v>19833</v>
      </c>
      <c r="H1459" s="665" t="s">
        <v>19177</v>
      </c>
      <c r="I1459" s="741">
        <v>45247</v>
      </c>
      <c r="J1459" s="119">
        <v>0</v>
      </c>
      <c r="K1459" s="635"/>
      <c r="L1459" s="635"/>
      <c r="M1459" s="635"/>
      <c r="N1459" s="66" t="s">
        <v>19212</v>
      </c>
      <c r="O1459" s="651">
        <v>0</v>
      </c>
    </row>
    <row r="1460" spans="1:15" ht="14.45" hidden="1">
      <c r="A1460" s="674">
        <v>45258</v>
      </c>
      <c r="B1460" s="679">
        <v>22000</v>
      </c>
      <c r="C1460" s="676">
        <f>14822.5*3.3983</f>
        <v>50371.301749999999</v>
      </c>
      <c r="D1460" s="744">
        <v>4331.8</v>
      </c>
      <c r="E1460" s="119">
        <f t="shared" si="46"/>
        <v>46039.501749999996</v>
      </c>
      <c r="F1460" s="119">
        <f t="shared" si="47"/>
        <v>2.0927046249999997</v>
      </c>
      <c r="G1460" s="88" t="s">
        <v>19862</v>
      </c>
      <c r="H1460" s="709" t="s">
        <v>19184</v>
      </c>
      <c r="I1460" s="678">
        <v>45251</v>
      </c>
      <c r="J1460" s="119">
        <f>3002*30%</f>
        <v>900.6</v>
      </c>
      <c r="K1460" s="635"/>
      <c r="L1460" s="635"/>
      <c r="M1460" s="635"/>
      <c r="N1460" s="66" t="s">
        <v>19213</v>
      </c>
      <c r="O1460" s="651">
        <v>0</v>
      </c>
    </row>
    <row r="1461" spans="1:15" ht="14.45" hidden="1">
      <c r="A1461" s="674">
        <v>45259</v>
      </c>
      <c r="B1461" s="740">
        <v>231440</v>
      </c>
      <c r="C1461" s="108">
        <v>434343.2</v>
      </c>
      <c r="D1461" s="119">
        <v>0</v>
      </c>
      <c r="E1461" s="119">
        <f t="shared" si="46"/>
        <v>434343.2</v>
      </c>
      <c r="F1461" s="119">
        <f t="shared" si="47"/>
        <v>1.876698928447978</v>
      </c>
      <c r="G1461" s="665" t="s">
        <v>19656</v>
      </c>
      <c r="H1461" s="665" t="s">
        <v>19183</v>
      </c>
      <c r="I1461" s="741">
        <v>45251</v>
      </c>
      <c r="J1461" s="119">
        <v>0</v>
      </c>
      <c r="K1461" s="635"/>
      <c r="L1461" s="635"/>
      <c r="M1461" s="635"/>
      <c r="N1461" s="66" t="s">
        <v>19214</v>
      </c>
      <c r="O1461" s="651">
        <v>0</v>
      </c>
    </row>
    <row r="1462" spans="1:15" ht="14.45" hidden="1">
      <c r="A1462" s="674">
        <v>45259</v>
      </c>
      <c r="B1462" s="740">
        <v>21600</v>
      </c>
      <c r="C1462" s="108">
        <f>16544*3.104</f>
        <v>51352.576000000001</v>
      </c>
      <c r="D1462" s="119">
        <v>12160.44</v>
      </c>
      <c r="E1462" s="119">
        <f t="shared" si="46"/>
        <v>39192.135999999999</v>
      </c>
      <c r="F1462" s="119">
        <f t="shared" si="47"/>
        <v>1.8144507407407406</v>
      </c>
      <c r="G1462" s="665" t="s">
        <v>19863</v>
      </c>
      <c r="H1462" s="665" t="s">
        <v>19178</v>
      </c>
      <c r="I1462" s="741">
        <v>45250</v>
      </c>
      <c r="J1462" s="119">
        <f>10441.2*30%</f>
        <v>3132.36</v>
      </c>
      <c r="K1462" s="635"/>
      <c r="L1462" s="635"/>
      <c r="M1462" s="635"/>
      <c r="N1462" s="66" t="s">
        <v>19215</v>
      </c>
      <c r="O1462" s="651">
        <v>0</v>
      </c>
    </row>
    <row r="1463" spans="1:15" ht="14.45" hidden="1">
      <c r="A1463" s="674">
        <v>45259</v>
      </c>
      <c r="B1463" s="740">
        <v>61500</v>
      </c>
      <c r="C1463" s="108">
        <v>126075</v>
      </c>
      <c r="D1463" s="119">
        <v>0</v>
      </c>
      <c r="E1463" s="119">
        <f t="shared" si="46"/>
        <v>126075</v>
      </c>
      <c r="F1463" s="119">
        <f t="shared" si="47"/>
        <v>2.0499999999999998</v>
      </c>
      <c r="G1463" s="665" t="s">
        <v>17018</v>
      </c>
      <c r="H1463" s="665" t="s">
        <v>19187</v>
      </c>
      <c r="I1463" s="741">
        <v>45251</v>
      </c>
      <c r="J1463" s="119">
        <v>0</v>
      </c>
      <c r="K1463" s="635"/>
      <c r="L1463" s="635"/>
      <c r="M1463" s="635"/>
      <c r="N1463" s="66" t="s">
        <v>19216</v>
      </c>
      <c r="O1463" s="651">
        <v>0</v>
      </c>
    </row>
    <row r="1464" spans="1:15" ht="14.45" hidden="1">
      <c r="A1464" s="674">
        <v>45259</v>
      </c>
      <c r="B1464" s="740">
        <v>11641.28</v>
      </c>
      <c r="C1464" s="108">
        <f>19361.6*2.27555</f>
        <v>44058.288879999993</v>
      </c>
      <c r="D1464" s="119">
        <v>14849.84</v>
      </c>
      <c r="E1464" s="119">
        <f t="shared" si="46"/>
        <v>29208.448879999993</v>
      </c>
      <c r="F1464" s="119">
        <f t="shared" si="47"/>
        <v>2.5090410058000487</v>
      </c>
      <c r="G1464" s="665" t="s">
        <v>17305</v>
      </c>
      <c r="H1464" s="665" t="s">
        <v>19180</v>
      </c>
      <c r="I1464" s="741">
        <v>45250</v>
      </c>
      <c r="J1464" s="119">
        <f>13130.6*18%</f>
        <v>2363.5079999999998</v>
      </c>
      <c r="K1464" s="635"/>
      <c r="L1464" s="635"/>
      <c r="M1464" s="635"/>
      <c r="N1464" s="66" t="s">
        <v>19217</v>
      </c>
      <c r="O1464" s="651">
        <v>24875.84</v>
      </c>
    </row>
    <row r="1465" spans="1:15" ht="14.45" hidden="1">
      <c r="A1465" s="674">
        <v>45259</v>
      </c>
      <c r="B1465" s="740">
        <v>25080</v>
      </c>
      <c r="C1465" s="108">
        <f>26221.47*3.3983</f>
        <v>89108.421501000004</v>
      </c>
      <c r="D1465" s="744">
        <v>29418.799999999999</v>
      </c>
      <c r="E1465" s="119">
        <f t="shared" si="46"/>
        <v>59689.621501000001</v>
      </c>
      <c r="F1465" s="119">
        <f t="shared" si="47"/>
        <v>2.3799689593700162</v>
      </c>
      <c r="G1465" s="665" t="s">
        <v>17343</v>
      </c>
      <c r="H1465" s="665" t="s">
        <v>19190</v>
      </c>
      <c r="I1465" s="741">
        <v>45257</v>
      </c>
      <c r="J1465" s="119">
        <f>8095.4*18%</f>
        <v>1457.1719999999998</v>
      </c>
      <c r="K1465" s="635"/>
      <c r="L1465" s="635"/>
      <c r="M1465" s="635"/>
      <c r="N1465" s="66" t="s">
        <v>19218</v>
      </c>
      <c r="O1465" s="651">
        <v>0</v>
      </c>
    </row>
    <row r="1466" spans="1:15" ht="14.45" hidden="1">
      <c r="A1466" s="674">
        <v>45260</v>
      </c>
      <c r="B1466" s="679">
        <v>83000</v>
      </c>
      <c r="C1466" s="676">
        <v>170150</v>
      </c>
      <c r="D1466" s="119">
        <v>0</v>
      </c>
      <c r="E1466" s="119">
        <f t="shared" si="46"/>
        <v>170150</v>
      </c>
      <c r="F1466" s="119">
        <f t="shared" si="47"/>
        <v>2.0499999999999998</v>
      </c>
      <c r="G1466" s="88" t="s">
        <v>17018</v>
      </c>
      <c r="H1466" s="709" t="s">
        <v>19188</v>
      </c>
      <c r="I1466" s="678">
        <v>45251</v>
      </c>
      <c r="J1466" s="119">
        <v>0</v>
      </c>
      <c r="K1466" s="635"/>
      <c r="L1466" s="635"/>
      <c r="M1466" s="635"/>
      <c r="N1466" s="66" t="s">
        <v>19219</v>
      </c>
      <c r="O1466" s="651">
        <v>30449.554</v>
      </c>
    </row>
    <row r="1467" spans="1:15" ht="14.45" hidden="1">
      <c r="A1467" s="674">
        <v>45260</v>
      </c>
      <c r="B1467" s="679">
        <v>38400</v>
      </c>
      <c r="C1467" s="676">
        <v>76032</v>
      </c>
      <c r="D1467" s="119">
        <v>0</v>
      </c>
      <c r="E1467" s="119">
        <f t="shared" si="46"/>
        <v>76032</v>
      </c>
      <c r="F1467" s="119">
        <f t="shared" si="47"/>
        <v>1.98</v>
      </c>
      <c r="G1467" s="88" t="s">
        <v>19656</v>
      </c>
      <c r="H1467" s="709" t="s">
        <v>19167</v>
      </c>
      <c r="I1467" s="678">
        <v>45237</v>
      </c>
      <c r="J1467" s="119">
        <v>0</v>
      </c>
      <c r="K1467" s="635"/>
      <c r="L1467" s="635"/>
      <c r="M1467" s="635"/>
      <c r="N1467" s="66" t="s">
        <v>19220</v>
      </c>
      <c r="O1467" s="651">
        <v>0</v>
      </c>
    </row>
    <row r="1468" spans="1:15" ht="14.45" hidden="1">
      <c r="A1468" s="674">
        <v>45264</v>
      </c>
      <c r="B1468" s="679">
        <v>57600</v>
      </c>
      <c r="C1468" s="676">
        <v>114048</v>
      </c>
      <c r="D1468" s="119">
        <v>0</v>
      </c>
      <c r="E1468" s="119">
        <f t="shared" si="46"/>
        <v>114048</v>
      </c>
      <c r="F1468" s="119">
        <f t="shared" si="47"/>
        <v>1.98</v>
      </c>
      <c r="G1468" s="88" t="s">
        <v>19656</v>
      </c>
      <c r="H1468" s="709" t="s">
        <v>19167</v>
      </c>
      <c r="I1468" s="678">
        <v>45237</v>
      </c>
      <c r="J1468" s="119">
        <v>0</v>
      </c>
      <c r="K1468" s="635"/>
      <c r="L1468" s="635"/>
      <c r="M1468" s="635"/>
      <c r="N1468" s="66" t="s">
        <v>19221</v>
      </c>
      <c r="O1468" s="651">
        <v>0</v>
      </c>
    </row>
    <row r="1469" spans="1:15" ht="14.45" hidden="1">
      <c r="A1469" s="674">
        <v>45268</v>
      </c>
      <c r="B1469" s="679">
        <v>457060</v>
      </c>
      <c r="C1469" s="676">
        <v>820729.8</v>
      </c>
      <c r="D1469" s="119">
        <v>0</v>
      </c>
      <c r="E1469" s="119">
        <f t="shared" si="46"/>
        <v>820729.8</v>
      </c>
      <c r="F1469" s="119">
        <f t="shared" si="47"/>
        <v>1.7956719030324246</v>
      </c>
      <c r="G1469" s="88" t="s">
        <v>19647</v>
      </c>
      <c r="H1469" s="709" t="s">
        <v>19191</v>
      </c>
      <c r="I1469" s="678">
        <v>45258</v>
      </c>
      <c r="J1469" s="119">
        <v>0</v>
      </c>
      <c r="K1469" s="635"/>
      <c r="L1469" s="635"/>
      <c r="M1469" s="635"/>
      <c r="N1469" s="66" t="s">
        <v>19222</v>
      </c>
      <c r="O1469" s="651">
        <v>0</v>
      </c>
    </row>
    <row r="1470" spans="1:15" ht="14.45" hidden="1">
      <c r="A1470" s="674">
        <v>45268</v>
      </c>
      <c r="B1470" s="679">
        <v>72000</v>
      </c>
      <c r="C1470" s="676">
        <v>131040</v>
      </c>
      <c r="D1470" s="119">
        <v>0</v>
      </c>
      <c r="E1470" s="119">
        <f t="shared" si="46"/>
        <v>131040</v>
      </c>
      <c r="F1470" s="119">
        <f t="shared" si="47"/>
        <v>1.82</v>
      </c>
      <c r="G1470" s="88" t="s">
        <v>19864</v>
      </c>
      <c r="H1470" s="709" t="s">
        <v>19158</v>
      </c>
      <c r="I1470" s="678">
        <v>45230</v>
      </c>
      <c r="J1470" s="119">
        <v>0</v>
      </c>
      <c r="K1470" s="635"/>
      <c r="L1470" s="635"/>
      <c r="M1470" s="635"/>
      <c r="N1470" s="66" t="s">
        <v>19223</v>
      </c>
      <c r="O1470" s="651">
        <v>29537.205000000002</v>
      </c>
    </row>
    <row r="1471" spans="1:15" ht="14.45" hidden="1">
      <c r="A1471" s="674">
        <v>45272</v>
      </c>
      <c r="B1471" s="679">
        <v>193920</v>
      </c>
      <c r="C1471" s="676">
        <f>99650.5*3.3712</f>
        <v>335941.76559999998</v>
      </c>
      <c r="D1471" s="119">
        <v>45614.487999999998</v>
      </c>
      <c r="E1471" s="119">
        <f t="shared" si="46"/>
        <v>290327.27759999997</v>
      </c>
      <c r="F1471" s="119">
        <f t="shared" si="47"/>
        <v>1.4971497400990097</v>
      </c>
      <c r="G1471" s="88" t="s">
        <v>19804</v>
      </c>
      <c r="H1471" s="709" t="s">
        <v>19194</v>
      </c>
      <c r="I1471" s="678">
        <v>45267</v>
      </c>
      <c r="J1471" s="119">
        <f>32570.175*30%</f>
        <v>9771.0524999999998</v>
      </c>
      <c r="K1471" s="635"/>
      <c r="L1471" s="635"/>
      <c r="M1471" s="635"/>
      <c r="N1471" s="66" t="s">
        <v>19224</v>
      </c>
      <c r="O1471" s="651">
        <v>58885.271999999997</v>
      </c>
    </row>
    <row r="1472" spans="1:15" ht="14.45" hidden="1">
      <c r="A1472" s="674">
        <v>45272</v>
      </c>
      <c r="B1472" s="679">
        <v>25920</v>
      </c>
      <c r="C1472" s="676">
        <f>24568*3.12785</f>
        <v>76845.018800000005</v>
      </c>
      <c r="D1472" s="119">
        <v>6838.4</v>
      </c>
      <c r="E1472" s="119">
        <f t="shared" si="46"/>
        <v>70006.618800000011</v>
      </c>
      <c r="F1472" s="119">
        <f t="shared" si="47"/>
        <v>2.7008726388888893</v>
      </c>
      <c r="G1472" s="88" t="s">
        <v>17210</v>
      </c>
      <c r="H1472" s="709" t="s">
        <v>19198</v>
      </c>
      <c r="I1472" s="678">
        <v>45267</v>
      </c>
      <c r="J1472" s="119">
        <f>5121.6*18%</f>
        <v>921.88800000000003</v>
      </c>
      <c r="K1472" s="635"/>
      <c r="L1472" s="635"/>
      <c r="M1472" s="635"/>
      <c r="N1472" s="66" t="s">
        <v>19225</v>
      </c>
      <c r="O1472" s="651">
        <v>0</v>
      </c>
    </row>
    <row r="1473" spans="1:15" ht="14.45" hidden="1">
      <c r="A1473" s="674">
        <v>45272</v>
      </c>
      <c r="B1473" s="679">
        <v>19552</v>
      </c>
      <c r="C1473" s="676">
        <f>19574.16*3.12785</f>
        <v>61225.036355999997</v>
      </c>
      <c r="D1473" s="119">
        <v>5906.85</v>
      </c>
      <c r="E1473" s="119">
        <f t="shared" si="46"/>
        <v>55318.186355999998</v>
      </c>
      <c r="F1473" s="119">
        <f t="shared" si="47"/>
        <v>2.829285308715221</v>
      </c>
      <c r="G1473" s="88" t="s">
        <v>17330</v>
      </c>
      <c r="H1473" s="709" t="s">
        <v>19193</v>
      </c>
      <c r="I1473" s="678">
        <v>45264</v>
      </c>
      <c r="J1473" s="119">
        <f>4334.85*30%</f>
        <v>1300.4550000000002</v>
      </c>
      <c r="K1473" s="635"/>
      <c r="L1473" s="635"/>
      <c r="M1473" s="635"/>
      <c r="N1473" s="66" t="s">
        <v>19226</v>
      </c>
      <c r="O1473" s="651">
        <v>0</v>
      </c>
    </row>
    <row r="1474" spans="1:15" ht="14.45" hidden="1">
      <c r="A1474" s="674">
        <v>45272</v>
      </c>
      <c r="B1474" s="679">
        <v>23971.200000000001</v>
      </c>
      <c r="C1474" s="676">
        <f>25354.94*3.1289</f>
        <v>79333.071765999994</v>
      </c>
      <c r="D1474" s="119">
        <v>16084.75</v>
      </c>
      <c r="E1474" s="119">
        <f t="shared" si="46"/>
        <v>63248.321765999994</v>
      </c>
      <c r="F1474" s="119">
        <f t="shared" si="47"/>
        <v>2.6385129557969562</v>
      </c>
      <c r="G1474" s="88" t="s">
        <v>19779</v>
      </c>
      <c r="H1474" s="709" t="s">
        <v>19192</v>
      </c>
      <c r="I1474" s="678">
        <v>45264</v>
      </c>
      <c r="J1474" s="119">
        <f>14364*18%</f>
        <v>2585.52</v>
      </c>
      <c r="K1474" s="635"/>
      <c r="L1474" s="635"/>
      <c r="M1474" s="635"/>
      <c r="N1474" s="66" t="s">
        <v>19227</v>
      </c>
      <c r="O1474" s="651">
        <v>9692.9279999999999</v>
      </c>
    </row>
    <row r="1475" spans="1:15" ht="14.45" hidden="1">
      <c r="A1475" s="674">
        <v>45273</v>
      </c>
      <c r="B1475" s="679">
        <v>21150</v>
      </c>
      <c r="C1475" s="676">
        <f>30669.44*3.1283</f>
        <v>95943.209151999996</v>
      </c>
      <c r="D1475" s="119">
        <v>2296.69</v>
      </c>
      <c r="E1475" s="119">
        <f t="shared" si="46"/>
        <v>93646.519151999993</v>
      </c>
      <c r="F1475" s="119">
        <f t="shared" si="47"/>
        <v>4.4277314019858149</v>
      </c>
      <c r="G1475" s="88" t="s">
        <v>19653</v>
      </c>
      <c r="H1475" s="709" t="s">
        <v>19189</v>
      </c>
      <c r="I1475" s="678">
        <v>45257</v>
      </c>
      <c r="J1475" s="119">
        <v>0</v>
      </c>
      <c r="K1475" s="635"/>
      <c r="L1475" s="635"/>
      <c r="M1475" s="635"/>
      <c r="N1475" s="66" t="s">
        <v>19228</v>
      </c>
      <c r="O1475" s="651">
        <v>0</v>
      </c>
    </row>
    <row r="1476" spans="1:15" ht="14.45" hidden="1">
      <c r="A1476" s="674">
        <v>45273</v>
      </c>
      <c r="B1476" s="679">
        <v>408000</v>
      </c>
      <c r="C1476" s="676">
        <f>287640*3.1283</f>
        <v>899824.21199999994</v>
      </c>
      <c r="D1476" s="119">
        <v>0</v>
      </c>
      <c r="E1476" s="119">
        <f t="shared" si="46"/>
        <v>899824.21199999994</v>
      </c>
      <c r="F1476" s="119">
        <f t="shared" si="47"/>
        <v>2.2054514999999997</v>
      </c>
      <c r="G1476" s="88" t="s">
        <v>19688</v>
      </c>
      <c r="H1476" s="709" t="s">
        <v>19204</v>
      </c>
      <c r="I1476" s="678">
        <v>45272</v>
      </c>
      <c r="J1476" s="119">
        <v>0</v>
      </c>
      <c r="K1476" s="635"/>
      <c r="L1476" s="635"/>
      <c r="M1476" s="635"/>
      <c r="N1476" s="66" t="s">
        <v>19229</v>
      </c>
      <c r="O1476" s="651">
        <v>0</v>
      </c>
    </row>
    <row r="1477" spans="1:15" ht="14.45" hidden="1">
      <c r="A1477" s="674">
        <v>45274</v>
      </c>
      <c r="B1477" s="679">
        <v>23496</v>
      </c>
      <c r="C1477" s="676">
        <f>24875.84*3.37525</f>
        <v>83962.17895999999</v>
      </c>
      <c r="D1477" s="119">
        <v>24875.84</v>
      </c>
      <c r="E1477" s="119">
        <f t="shared" si="46"/>
        <v>59086.338959999994</v>
      </c>
      <c r="F1477" s="119">
        <f t="shared" si="47"/>
        <v>2.5147403370786514</v>
      </c>
      <c r="G1477" s="88" t="s">
        <v>17343</v>
      </c>
      <c r="H1477" s="709" t="s">
        <v>19217</v>
      </c>
      <c r="I1477" s="678">
        <v>45273</v>
      </c>
      <c r="J1477" s="119">
        <f>12222.65*18%</f>
        <v>2200.0769999999998</v>
      </c>
      <c r="K1477" s="635"/>
      <c r="L1477" s="635"/>
      <c r="M1477" s="635"/>
      <c r="N1477" s="66" t="s">
        <v>19230</v>
      </c>
      <c r="O1477" s="651">
        <v>0</v>
      </c>
    </row>
    <row r="1478" spans="1:15" ht="14.45" hidden="1">
      <c r="A1478" s="674">
        <v>45275</v>
      </c>
      <c r="B1478" s="679">
        <v>20750</v>
      </c>
      <c r="C1478" s="676">
        <v>39425</v>
      </c>
      <c r="D1478" s="119">
        <v>0</v>
      </c>
      <c r="E1478" s="119">
        <f t="shared" si="46"/>
        <v>39425</v>
      </c>
      <c r="F1478" s="119">
        <f t="shared" si="47"/>
        <v>1.9</v>
      </c>
      <c r="G1478" s="88" t="s">
        <v>19655</v>
      </c>
      <c r="H1478" s="709" t="s">
        <v>19181</v>
      </c>
      <c r="I1478" s="678">
        <v>45251</v>
      </c>
      <c r="J1478" s="119">
        <v>0</v>
      </c>
      <c r="K1478" s="635"/>
      <c r="L1478" s="635"/>
      <c r="M1478" s="635"/>
      <c r="N1478" s="66" t="s">
        <v>19231</v>
      </c>
      <c r="O1478" s="651">
        <v>38578.834999999999</v>
      </c>
    </row>
    <row r="1479" spans="1:15" ht="14.45" hidden="1">
      <c r="A1479" s="674">
        <v>45275</v>
      </c>
      <c r="B1479" s="679">
        <v>115200</v>
      </c>
      <c r="C1479" s="676">
        <f>80532*3.37525</f>
        <v>271815.63299999997</v>
      </c>
      <c r="D1479" s="119">
        <v>32155.1</v>
      </c>
      <c r="E1479" s="119">
        <f t="shared" si="46"/>
        <v>239660.53299999997</v>
      </c>
      <c r="F1479" s="119">
        <f t="shared" si="47"/>
        <v>2.0803865711805551</v>
      </c>
      <c r="G1479" s="88" t="s">
        <v>19857</v>
      </c>
      <c r="H1479" s="709" t="s">
        <v>19135</v>
      </c>
      <c r="I1479" s="678">
        <v>45211</v>
      </c>
      <c r="J1479" s="119">
        <f>23247*30%</f>
        <v>6974.0999999999995</v>
      </c>
      <c r="K1479" s="635"/>
      <c r="L1479" s="635"/>
      <c r="M1479" s="635"/>
      <c r="N1479" s="66" t="s">
        <v>19232</v>
      </c>
      <c r="O1479" s="651">
        <v>0</v>
      </c>
    </row>
    <row r="1480" spans="1:15" ht="14.45" hidden="1">
      <c r="A1480" s="674">
        <v>45275</v>
      </c>
      <c r="B1480" s="679">
        <v>19300</v>
      </c>
      <c r="C1480" s="676">
        <f>15199*3.1</f>
        <v>47116.9</v>
      </c>
      <c r="D1480" s="119">
        <v>7274.97</v>
      </c>
      <c r="E1480" s="119">
        <f t="shared" si="46"/>
        <v>39841.93</v>
      </c>
      <c r="F1480" s="119">
        <f t="shared" si="47"/>
        <v>2.0643487046632125</v>
      </c>
      <c r="G1480" s="88" t="s">
        <v>19865</v>
      </c>
      <c r="H1480" s="709" t="s">
        <v>19199</v>
      </c>
      <c r="I1480" s="678">
        <v>45269</v>
      </c>
      <c r="J1480" s="119">
        <f>5761.8*30%</f>
        <v>1728.54</v>
      </c>
      <c r="K1480" s="635"/>
      <c r="L1480" s="635"/>
      <c r="M1480" s="635"/>
      <c r="N1480" s="66" t="s">
        <v>19233</v>
      </c>
      <c r="O1480" s="651">
        <v>0</v>
      </c>
    </row>
    <row r="1481" spans="1:15" ht="14.45" hidden="1">
      <c r="A1481" s="674">
        <v>45275</v>
      </c>
      <c r="B1481" s="679">
        <v>48300</v>
      </c>
      <c r="C1481" s="676">
        <v>96969</v>
      </c>
      <c r="D1481" s="119">
        <v>0</v>
      </c>
      <c r="E1481" s="119">
        <f t="shared" si="46"/>
        <v>96969</v>
      </c>
      <c r="F1481" s="119">
        <f t="shared" si="47"/>
        <v>2.0076397515527948</v>
      </c>
      <c r="G1481" s="88" t="s">
        <v>17227</v>
      </c>
      <c r="H1481" s="709" t="s">
        <v>19203</v>
      </c>
      <c r="I1481" s="678">
        <v>45269</v>
      </c>
      <c r="J1481" s="119">
        <v>0</v>
      </c>
      <c r="K1481" s="635"/>
      <c r="L1481" s="635"/>
      <c r="M1481" s="635"/>
      <c r="N1481" s="66" t="s">
        <v>19234</v>
      </c>
      <c r="O1481" s="651">
        <v>15057.66</v>
      </c>
    </row>
    <row r="1482" spans="1:15" ht="14.45" hidden="1">
      <c r="A1482" s="674">
        <v>45275</v>
      </c>
      <c r="B1482" s="679">
        <v>27192</v>
      </c>
      <c r="C1482" s="676">
        <v>75045.600000000006</v>
      </c>
      <c r="D1482" s="119">
        <v>0</v>
      </c>
      <c r="E1482" s="119">
        <f t="shared" si="46"/>
        <v>75045.600000000006</v>
      </c>
      <c r="F1482" s="119">
        <f t="shared" si="47"/>
        <v>2.7598411297440424</v>
      </c>
      <c r="G1482" s="88" t="s">
        <v>17227</v>
      </c>
      <c r="H1482" s="709" t="s">
        <v>19195</v>
      </c>
      <c r="I1482" s="678">
        <v>45267</v>
      </c>
      <c r="J1482" s="119">
        <v>0</v>
      </c>
      <c r="K1482" s="635"/>
      <c r="L1482" s="635"/>
      <c r="M1482" s="635"/>
      <c r="N1482" s="66" t="s">
        <v>19235</v>
      </c>
      <c r="O1482" s="651">
        <v>5780.2449999999999</v>
      </c>
    </row>
    <row r="1483" spans="1:15" ht="14.45" hidden="1">
      <c r="A1483" s="674">
        <v>45278</v>
      </c>
      <c r="B1483" s="679">
        <v>17510</v>
      </c>
      <c r="C1483" s="676">
        <f>19729.9*3.0857</f>
        <v>60880.552430000003</v>
      </c>
      <c r="D1483" s="119">
        <v>6923.53</v>
      </c>
      <c r="E1483" s="119">
        <f t="shared" si="46"/>
        <v>53957.022430000005</v>
      </c>
      <c r="F1483" s="119">
        <f t="shared" si="47"/>
        <v>3.0814975688178188</v>
      </c>
      <c r="G1483" s="88" t="s">
        <v>17210</v>
      </c>
      <c r="H1483" s="709" t="s">
        <v>19197</v>
      </c>
      <c r="I1483" s="678">
        <v>45277</v>
      </c>
      <c r="J1483" s="119">
        <f>5065.6*18%</f>
        <v>911.80799999999999</v>
      </c>
      <c r="K1483" s="635"/>
      <c r="L1483" s="635"/>
      <c r="M1483" s="635"/>
      <c r="N1483" s="66" t="s">
        <v>19236</v>
      </c>
      <c r="O1483" s="651">
        <v>0</v>
      </c>
    </row>
    <row r="1484" spans="1:15" ht="14.45" hidden="1">
      <c r="A1484" s="674">
        <v>45279</v>
      </c>
      <c r="B1484" s="679">
        <v>23960</v>
      </c>
      <c r="C1484" s="676">
        <f>27486.54*3.38585</f>
        <v>93065.301459000009</v>
      </c>
      <c r="D1484" s="119">
        <v>30449.554</v>
      </c>
      <c r="E1484" s="119">
        <f t="shared" si="46"/>
        <v>62615.747459000006</v>
      </c>
      <c r="F1484" s="119">
        <f t="shared" si="47"/>
        <v>2.6133450525459101</v>
      </c>
      <c r="G1484" s="88" t="s">
        <v>17343</v>
      </c>
      <c r="H1484" s="709" t="s">
        <v>19219</v>
      </c>
      <c r="I1484" s="678">
        <v>45275</v>
      </c>
      <c r="J1484" s="119">
        <f>12219.1*18%</f>
        <v>2199.4380000000001</v>
      </c>
      <c r="K1484" s="635"/>
      <c r="L1484" s="635"/>
      <c r="M1484" s="635"/>
      <c r="N1484" s="66" t="s">
        <v>19237</v>
      </c>
      <c r="O1484" s="651">
        <v>0</v>
      </c>
    </row>
    <row r="1485" spans="1:15" ht="14.45" hidden="1">
      <c r="A1485" s="674">
        <v>45279</v>
      </c>
      <c r="B1485" s="679">
        <v>123600</v>
      </c>
      <c r="C1485" s="676">
        <f>115616*3.0857</f>
        <v>356756.29120000004</v>
      </c>
      <c r="D1485" s="119">
        <v>32911.4</v>
      </c>
      <c r="E1485" s="119">
        <f t="shared" si="46"/>
        <v>323844.89120000001</v>
      </c>
      <c r="F1485" s="119">
        <f t="shared" si="47"/>
        <v>2.6201042977346281</v>
      </c>
      <c r="G1485" s="88" t="s">
        <v>19790</v>
      </c>
      <c r="H1485" s="709" t="s">
        <v>19206</v>
      </c>
      <c r="I1485" s="678">
        <v>45272</v>
      </c>
      <c r="J1485" s="119">
        <f>19629.2*30%</f>
        <v>5888.76</v>
      </c>
      <c r="K1485" s="635"/>
      <c r="L1485" s="635"/>
      <c r="M1485" s="635"/>
      <c r="N1485" s="66" t="s">
        <v>19238</v>
      </c>
      <c r="O1485" s="651">
        <v>0</v>
      </c>
    </row>
    <row r="1486" spans="1:15" ht="14.45" hidden="1">
      <c r="A1486" s="674">
        <v>45279</v>
      </c>
      <c r="B1486" s="679">
        <v>157500</v>
      </c>
      <c r="C1486" s="676">
        <v>257175</v>
      </c>
      <c r="D1486" s="119">
        <v>0</v>
      </c>
      <c r="E1486" s="119">
        <f t="shared" si="46"/>
        <v>257175</v>
      </c>
      <c r="F1486" s="119">
        <f t="shared" si="47"/>
        <v>1.6328571428571428</v>
      </c>
      <c r="G1486" s="88" t="s">
        <v>19647</v>
      </c>
      <c r="H1486" s="709" t="s">
        <v>19212</v>
      </c>
      <c r="I1486" s="678">
        <v>45272</v>
      </c>
      <c r="J1486" s="119">
        <v>0</v>
      </c>
      <c r="K1486" s="635"/>
      <c r="L1486" s="635"/>
      <c r="M1486" s="635"/>
      <c r="N1486" s="66" t="s">
        <v>19239</v>
      </c>
      <c r="O1486" s="651">
        <v>14025.295</v>
      </c>
    </row>
    <row r="1487" spans="1:15" ht="14.45" hidden="1">
      <c r="A1487" s="674">
        <v>45280</v>
      </c>
      <c r="B1487" s="679">
        <v>84000</v>
      </c>
      <c r="C1487" s="676">
        <v>135240</v>
      </c>
      <c r="D1487" s="119">
        <v>0</v>
      </c>
      <c r="E1487" s="119">
        <f t="shared" si="46"/>
        <v>135240</v>
      </c>
      <c r="F1487" s="119">
        <f t="shared" si="47"/>
        <v>1.61</v>
      </c>
      <c r="G1487" s="88" t="s">
        <v>19647</v>
      </c>
      <c r="H1487" s="709" t="s">
        <v>19218</v>
      </c>
      <c r="I1487" s="678">
        <v>45273</v>
      </c>
      <c r="J1487" s="119">
        <v>0</v>
      </c>
      <c r="K1487" s="635"/>
      <c r="L1487" s="635"/>
      <c r="M1487" s="635"/>
      <c r="N1487" s="66" t="s">
        <v>19240</v>
      </c>
      <c r="O1487" s="651">
        <v>8764.06</v>
      </c>
    </row>
    <row r="1488" spans="1:15" ht="14.45" hidden="1">
      <c r="A1488" s="674">
        <v>45280</v>
      </c>
      <c r="B1488" s="679">
        <v>25392</v>
      </c>
      <c r="C1488" s="676">
        <f>22564.88*3.38125</f>
        <v>76297.500500000009</v>
      </c>
      <c r="D1488" s="119">
        <v>11825.3</v>
      </c>
      <c r="E1488" s="119">
        <f t="shared" si="46"/>
        <v>64472.200500000006</v>
      </c>
      <c r="F1488" s="119">
        <f t="shared" si="47"/>
        <v>2.5390753189981097</v>
      </c>
      <c r="G1488" s="88" t="s">
        <v>16481</v>
      </c>
      <c r="H1488" s="709" t="s">
        <v>19209</v>
      </c>
      <c r="I1488" s="678">
        <v>45272</v>
      </c>
      <c r="J1488" s="119">
        <f>10112*30%</f>
        <v>3033.6</v>
      </c>
      <c r="K1488" s="635"/>
      <c r="L1488" s="635"/>
      <c r="M1488" s="635"/>
      <c r="N1488" s="66" t="s">
        <v>19242</v>
      </c>
      <c r="O1488" s="651">
        <v>11273.321</v>
      </c>
    </row>
    <row r="1489" spans="1:15" ht="14.45" hidden="1">
      <c r="A1489" s="674">
        <v>45280</v>
      </c>
      <c r="B1489" s="679">
        <v>19200</v>
      </c>
      <c r="C1489" s="676">
        <v>38016</v>
      </c>
      <c r="D1489" s="119">
        <v>0</v>
      </c>
      <c r="E1489" s="119">
        <f t="shared" si="46"/>
        <v>38016</v>
      </c>
      <c r="F1489" s="119">
        <f t="shared" si="47"/>
        <v>1.98</v>
      </c>
      <c r="G1489" s="88" t="s">
        <v>19655</v>
      </c>
      <c r="H1489" s="709" t="s">
        <v>19205</v>
      </c>
      <c r="I1489" s="678">
        <v>45272</v>
      </c>
      <c r="J1489" s="119">
        <v>0</v>
      </c>
      <c r="K1489" s="635"/>
      <c r="L1489" s="635"/>
      <c r="M1489" s="635"/>
      <c r="N1489" s="66" t="s">
        <v>19243</v>
      </c>
      <c r="O1489" s="651">
        <v>2281.92</v>
      </c>
    </row>
    <row r="1490" spans="1:15" ht="14.45" hidden="1">
      <c r="A1490" s="674">
        <v>45281</v>
      </c>
      <c r="B1490" s="679">
        <v>44016</v>
      </c>
      <c r="C1490" s="676">
        <v>87151.679999999993</v>
      </c>
      <c r="D1490" s="119">
        <v>0</v>
      </c>
      <c r="E1490" s="119">
        <f t="shared" si="46"/>
        <v>87151.679999999993</v>
      </c>
      <c r="F1490" s="119">
        <f t="shared" si="47"/>
        <v>1.9799999999999998</v>
      </c>
      <c r="G1490" s="88" t="s">
        <v>19655</v>
      </c>
      <c r="H1490" s="709" t="s">
        <v>19220</v>
      </c>
      <c r="I1490" s="678">
        <v>45278</v>
      </c>
      <c r="J1490" s="119">
        <v>0</v>
      </c>
      <c r="K1490" s="635"/>
      <c r="L1490" s="635"/>
      <c r="M1490" s="635"/>
      <c r="N1490" s="66" t="s">
        <v>19244</v>
      </c>
      <c r="O1490" s="651">
        <v>0</v>
      </c>
    </row>
    <row r="1491" spans="1:15" ht="14.45" hidden="1">
      <c r="A1491" s="674">
        <v>45281</v>
      </c>
      <c r="B1491" s="679">
        <v>27588</v>
      </c>
      <c r="C1491" s="676">
        <f>24082.82*3.38585</f>
        <v>81540.816097000003</v>
      </c>
      <c r="D1491" s="119">
        <v>11982.1</v>
      </c>
      <c r="E1491" s="119">
        <f t="shared" si="46"/>
        <v>69558.716096999997</v>
      </c>
      <c r="F1491" s="119">
        <f t="shared" si="47"/>
        <v>2.521339571444106</v>
      </c>
      <c r="G1491" s="88" t="s">
        <v>19661</v>
      </c>
      <c r="H1491" s="709" t="s">
        <v>19208</v>
      </c>
      <c r="I1491" s="678">
        <v>45272</v>
      </c>
      <c r="J1491" s="119">
        <f>10112*30%</f>
        <v>3033.6</v>
      </c>
      <c r="K1491" s="635"/>
      <c r="L1491" s="635"/>
      <c r="M1491" s="635"/>
      <c r="N1491" s="66" t="s">
        <v>19245</v>
      </c>
      <c r="O1491" s="651">
        <v>0</v>
      </c>
    </row>
    <row r="1492" spans="1:15" ht="14.45" hidden="1">
      <c r="A1492" s="674">
        <v>45281</v>
      </c>
      <c r="B1492" s="679">
        <v>23976</v>
      </c>
      <c r="C1492" s="676">
        <f>21541.64*3.38565</f>
        <v>72932.453466000006</v>
      </c>
      <c r="D1492" s="119">
        <v>11833.3</v>
      </c>
      <c r="E1492" s="119">
        <f t="shared" si="46"/>
        <v>61099.153466000003</v>
      </c>
      <c r="F1492" s="119">
        <f t="shared" si="47"/>
        <v>2.5483464074908242</v>
      </c>
      <c r="G1492" s="88" t="s">
        <v>19661</v>
      </c>
      <c r="H1492" s="709" t="s">
        <v>19207</v>
      </c>
      <c r="I1492" s="678">
        <v>45272</v>
      </c>
      <c r="J1492" s="119">
        <f>10112*30%</f>
        <v>3033.6</v>
      </c>
      <c r="K1492" s="635"/>
      <c r="L1492" s="635"/>
      <c r="M1492" s="635"/>
      <c r="N1492" s="66" t="s">
        <v>19246</v>
      </c>
      <c r="O1492" s="651">
        <v>0</v>
      </c>
    </row>
    <row r="1493" spans="1:15" ht="14.45" hidden="1">
      <c r="A1493" s="674">
        <v>45282</v>
      </c>
      <c r="B1493" s="679">
        <v>104000</v>
      </c>
      <c r="C1493" s="676">
        <v>168480</v>
      </c>
      <c r="D1493" s="119">
        <v>0</v>
      </c>
      <c r="E1493" s="119">
        <f t="shared" si="46"/>
        <v>168480</v>
      </c>
      <c r="F1493" s="119">
        <f t="shared" si="47"/>
        <v>1.62</v>
      </c>
      <c r="G1493" s="88" t="s">
        <v>19833</v>
      </c>
      <c r="H1493" s="709" t="s">
        <v>19201</v>
      </c>
      <c r="I1493" s="678">
        <v>45269</v>
      </c>
      <c r="J1493" s="119">
        <v>0</v>
      </c>
      <c r="K1493" s="635"/>
      <c r="L1493" s="635"/>
      <c r="M1493" s="635"/>
      <c r="N1493" s="66" t="s">
        <v>19247</v>
      </c>
      <c r="O1493" s="651">
        <v>7479.3</v>
      </c>
    </row>
    <row r="1494" spans="1:15" ht="14.45" hidden="1">
      <c r="A1494" s="674">
        <v>45282</v>
      </c>
      <c r="B1494" s="679">
        <v>40000</v>
      </c>
      <c r="C1494" s="676">
        <v>78000</v>
      </c>
      <c r="D1494" s="119">
        <v>0</v>
      </c>
      <c r="E1494" s="119">
        <f t="shared" si="46"/>
        <v>78000</v>
      </c>
      <c r="F1494" s="119">
        <f t="shared" si="47"/>
        <v>1.95</v>
      </c>
      <c r="G1494" s="88" t="s">
        <v>19679</v>
      </c>
      <c r="H1494" s="709" t="s">
        <v>19202</v>
      </c>
      <c r="I1494" s="678">
        <v>45269</v>
      </c>
      <c r="J1494" s="119">
        <v>0</v>
      </c>
      <c r="K1494" s="635"/>
      <c r="L1494" s="635"/>
      <c r="M1494" s="635"/>
      <c r="N1494" s="66" t="s">
        <v>19249</v>
      </c>
      <c r="O1494" s="651">
        <v>0</v>
      </c>
    </row>
    <row r="1495" spans="1:15" ht="14.45" hidden="1">
      <c r="A1495" s="674">
        <v>45282</v>
      </c>
      <c r="B1495" s="679">
        <v>38400</v>
      </c>
      <c r="C1495" s="676">
        <v>76032</v>
      </c>
      <c r="D1495" s="119">
        <v>0</v>
      </c>
      <c r="E1495" s="119">
        <f t="shared" si="46"/>
        <v>76032</v>
      </c>
      <c r="F1495" s="119">
        <f t="shared" si="47"/>
        <v>1.98</v>
      </c>
      <c r="G1495" s="88" t="s">
        <v>19656</v>
      </c>
      <c r="H1495" s="709" t="s">
        <v>19213</v>
      </c>
      <c r="I1495" s="678">
        <v>45272</v>
      </c>
      <c r="J1495" s="119">
        <v>0</v>
      </c>
      <c r="K1495" s="635"/>
      <c r="L1495" s="635"/>
      <c r="M1495" s="635"/>
      <c r="N1495" s="66" t="s">
        <v>19250</v>
      </c>
      <c r="O1495" s="651">
        <v>0</v>
      </c>
    </row>
    <row r="1496" spans="1:15" ht="14.45" hidden="1">
      <c r="A1496" s="674">
        <v>45282</v>
      </c>
      <c r="B1496" s="679">
        <v>38400</v>
      </c>
      <c r="C1496" s="676">
        <v>79296</v>
      </c>
      <c r="D1496" s="119">
        <v>0</v>
      </c>
      <c r="E1496" s="119">
        <f t="shared" si="46"/>
        <v>79296</v>
      </c>
      <c r="F1496" s="119">
        <f t="shared" si="47"/>
        <v>2.0649999999999999</v>
      </c>
      <c r="G1496" s="88" t="s">
        <v>19656</v>
      </c>
      <c r="H1496" s="709" t="s">
        <v>19214</v>
      </c>
      <c r="I1496" s="678">
        <v>45272</v>
      </c>
      <c r="J1496" s="119">
        <v>0</v>
      </c>
      <c r="K1496" s="635"/>
      <c r="L1496" s="635"/>
      <c r="M1496" s="635"/>
      <c r="N1496" s="66" t="s">
        <v>19251</v>
      </c>
      <c r="O1496" s="651">
        <v>0</v>
      </c>
    </row>
    <row r="1497" spans="1:15" ht="14.45" hidden="1">
      <c r="A1497" s="674">
        <v>45282</v>
      </c>
      <c r="B1497" s="679">
        <v>45200</v>
      </c>
      <c r="C1497" s="676">
        <f>29058*3.3896</f>
        <v>98494.996800000008</v>
      </c>
      <c r="D1497" s="119">
        <v>13681.66</v>
      </c>
      <c r="E1497" s="119">
        <f t="shared" si="46"/>
        <v>84813.336800000005</v>
      </c>
      <c r="F1497" s="119">
        <f t="shared" si="47"/>
        <v>1.8764012566371682</v>
      </c>
      <c r="G1497" s="88" t="s">
        <v>19651</v>
      </c>
      <c r="H1497" s="709" t="s">
        <v>19200</v>
      </c>
      <c r="I1497" s="678">
        <v>45269</v>
      </c>
      <c r="J1497" s="119">
        <f>10344*30%</f>
        <v>3103.2</v>
      </c>
      <c r="K1497" s="635"/>
      <c r="L1497" s="635"/>
      <c r="M1497" s="635"/>
      <c r="N1497" s="66" t="s">
        <v>19252</v>
      </c>
      <c r="O1497" s="651">
        <v>29893</v>
      </c>
    </row>
    <row r="1498" spans="1:15" ht="14.45" hidden="1">
      <c r="A1498" s="674">
        <v>45285</v>
      </c>
      <c r="B1498" s="679">
        <v>23280</v>
      </c>
      <c r="C1498" s="676">
        <v>41731.199999999997</v>
      </c>
      <c r="D1498" s="119">
        <v>0</v>
      </c>
      <c r="E1498" s="119">
        <f t="shared" si="46"/>
        <v>41731.199999999997</v>
      </c>
      <c r="F1498" s="119">
        <f t="shared" si="47"/>
        <v>1.7925773195876287</v>
      </c>
      <c r="G1498" s="88" t="s">
        <v>19656</v>
      </c>
      <c r="H1498" s="709" t="s">
        <v>19210</v>
      </c>
      <c r="I1498" s="678">
        <v>45272</v>
      </c>
      <c r="J1498" s="119">
        <v>0</v>
      </c>
      <c r="K1498" s="635"/>
      <c r="L1498" s="635"/>
      <c r="M1498" s="635"/>
      <c r="N1498" s="66" t="s">
        <v>19253</v>
      </c>
      <c r="O1498" s="651">
        <v>30925.1</v>
      </c>
    </row>
    <row r="1499" spans="1:15" ht="14.45" hidden="1">
      <c r="A1499" s="674">
        <v>45285</v>
      </c>
      <c r="B1499" s="679">
        <v>22260</v>
      </c>
      <c r="C1499" s="676">
        <v>38021.760000000002</v>
      </c>
      <c r="D1499" s="119">
        <v>0</v>
      </c>
      <c r="E1499" s="119">
        <f t="shared" si="46"/>
        <v>38021.760000000002</v>
      </c>
      <c r="F1499" s="119">
        <f t="shared" si="47"/>
        <v>1.7080754716981132</v>
      </c>
      <c r="G1499" s="88" t="s">
        <v>19656</v>
      </c>
      <c r="H1499" s="709" t="s">
        <v>19211</v>
      </c>
      <c r="I1499" s="678">
        <v>45272</v>
      </c>
      <c r="J1499" s="119">
        <v>0</v>
      </c>
      <c r="K1499" s="635"/>
      <c r="L1499" s="635"/>
      <c r="M1499" s="635"/>
      <c r="N1499" s="66" t="s">
        <v>19254</v>
      </c>
      <c r="O1499" s="651">
        <v>6133.95</v>
      </c>
    </row>
    <row r="1500" spans="1:15" ht="14.45" hidden="1">
      <c r="A1500" s="674">
        <v>45285</v>
      </c>
      <c r="B1500" s="679">
        <v>83000</v>
      </c>
      <c r="C1500" s="676">
        <v>168490</v>
      </c>
      <c r="D1500" s="119">
        <v>0</v>
      </c>
      <c r="E1500" s="119">
        <f t="shared" si="46"/>
        <v>168490</v>
      </c>
      <c r="F1500" s="119">
        <f t="shared" si="47"/>
        <v>2.0299999999999998</v>
      </c>
      <c r="G1500" s="88" t="s">
        <v>19833</v>
      </c>
      <c r="H1500" s="709" t="s">
        <v>19221</v>
      </c>
      <c r="I1500" s="678">
        <v>45278</v>
      </c>
      <c r="J1500" s="119">
        <v>0</v>
      </c>
      <c r="K1500" s="635"/>
      <c r="L1500" s="635"/>
      <c r="M1500" s="635"/>
      <c r="N1500" s="66" t="s">
        <v>19255</v>
      </c>
      <c r="O1500" s="651">
        <v>0</v>
      </c>
    </row>
    <row r="1501" spans="1:15" ht="14.45" hidden="1">
      <c r="A1501" s="674">
        <v>45286</v>
      </c>
      <c r="B1501" s="679">
        <v>24496</v>
      </c>
      <c r="C1501" s="676">
        <f>27711.78*3.39205</f>
        <v>93999.743348999997</v>
      </c>
      <c r="D1501" s="119">
        <v>29537.205000000002</v>
      </c>
      <c r="E1501" s="119">
        <f t="shared" si="46"/>
        <v>64462.538348999995</v>
      </c>
      <c r="F1501" s="119">
        <f t="shared" si="47"/>
        <v>2.6315536556580663</v>
      </c>
      <c r="G1501" s="88" t="s">
        <v>17343</v>
      </c>
      <c r="H1501" s="709" t="s">
        <v>19223</v>
      </c>
      <c r="I1501" s="678">
        <v>45280</v>
      </c>
      <c r="J1501" s="119">
        <f>11009.16*18%</f>
        <v>1981.6487999999999</v>
      </c>
      <c r="K1501" s="635"/>
      <c r="L1501" s="635"/>
      <c r="M1501" s="635"/>
      <c r="N1501" s="66" t="s">
        <v>19256</v>
      </c>
      <c r="O1501" s="651">
        <v>14209.19</v>
      </c>
    </row>
    <row r="1502" spans="1:15" ht="14.45" hidden="1">
      <c r="A1502" s="674">
        <v>45286</v>
      </c>
      <c r="B1502" s="679">
        <v>101040</v>
      </c>
      <c r="C1502" s="676">
        <v>173217.6</v>
      </c>
      <c r="D1502" s="119">
        <v>0</v>
      </c>
      <c r="E1502" s="119">
        <f t="shared" si="46"/>
        <v>173217.6</v>
      </c>
      <c r="F1502" s="119">
        <f t="shared" si="47"/>
        <v>1.7143467933491687</v>
      </c>
      <c r="G1502" s="88" t="s">
        <v>19864</v>
      </c>
      <c r="H1502" s="709" t="s">
        <v>19216</v>
      </c>
      <c r="I1502" s="678">
        <v>45272</v>
      </c>
      <c r="J1502" s="119">
        <v>0</v>
      </c>
      <c r="K1502" s="635"/>
      <c r="L1502" s="635"/>
      <c r="M1502" s="635"/>
      <c r="N1502" s="66" t="s">
        <v>19257</v>
      </c>
      <c r="O1502" s="651">
        <v>14173.42</v>
      </c>
    </row>
    <row r="1503" spans="1:15" ht="14.45" hidden="1">
      <c r="A1503" s="674">
        <v>45286</v>
      </c>
      <c r="B1503" s="679">
        <v>424560</v>
      </c>
      <c r="C1503" s="676">
        <f>345204.8*3.0807</f>
        <v>1063472.4273600001</v>
      </c>
      <c r="D1503" s="119">
        <v>0</v>
      </c>
      <c r="E1503" s="119">
        <f t="shared" si="46"/>
        <v>1063472.4273600001</v>
      </c>
      <c r="F1503" s="119">
        <f t="shared" si="47"/>
        <v>2.5048813533069532</v>
      </c>
      <c r="G1503" s="88" t="s">
        <v>19688</v>
      </c>
      <c r="H1503" s="709" t="s">
        <v>19222</v>
      </c>
      <c r="I1503" s="678">
        <v>45280</v>
      </c>
      <c r="J1503" s="119">
        <v>0</v>
      </c>
      <c r="K1503" s="635"/>
      <c r="L1503" s="635"/>
      <c r="M1503" s="635"/>
      <c r="N1503" s="66" t="s">
        <v>19258</v>
      </c>
      <c r="O1503" s="651">
        <v>14133.78</v>
      </c>
    </row>
    <row r="1504" spans="1:15" ht="14.45" hidden="1">
      <c r="A1504" s="674">
        <v>45287</v>
      </c>
      <c r="B1504" s="679">
        <v>45012</v>
      </c>
      <c r="C1504" s="676">
        <f>50128.8*3.39455</f>
        <v>170164.71804000001</v>
      </c>
      <c r="D1504" s="119">
        <v>58885.271999999997</v>
      </c>
      <c r="E1504" s="119">
        <f t="shared" si="46"/>
        <v>111279.44604000001</v>
      </c>
      <c r="F1504" s="119">
        <f t="shared" si="47"/>
        <v>2.4722173207144764</v>
      </c>
      <c r="G1504" s="88" t="s">
        <v>17343</v>
      </c>
      <c r="H1504" s="709" t="s">
        <v>19224</v>
      </c>
      <c r="I1504" s="678">
        <v>45280</v>
      </c>
      <c r="J1504" s="119">
        <f>24580.2*18%</f>
        <v>4424.4359999999997</v>
      </c>
      <c r="K1504" s="635"/>
      <c r="L1504" s="635"/>
      <c r="M1504" s="635"/>
      <c r="N1504" s="66" t="s">
        <v>19259</v>
      </c>
      <c r="O1504" s="651">
        <v>13748.98</v>
      </c>
    </row>
    <row r="1505" spans="1:15" ht="14.45" hidden="1">
      <c r="A1505" s="674">
        <v>45287</v>
      </c>
      <c r="B1505" s="679">
        <v>16824</v>
      </c>
      <c r="C1505" s="676">
        <f>18107.54*3.39455</f>
        <v>61466.949907000009</v>
      </c>
      <c r="D1505" s="119">
        <v>9692.9279999999999</v>
      </c>
      <c r="E1505" s="119">
        <f t="shared" si="46"/>
        <v>51774.021907000009</v>
      </c>
      <c r="F1505" s="119">
        <f t="shared" si="47"/>
        <v>3.0773907457798391</v>
      </c>
      <c r="G1505" s="88" t="s">
        <v>17343</v>
      </c>
      <c r="H1505" s="709" t="s">
        <v>19227</v>
      </c>
      <c r="I1505" s="678">
        <v>45280</v>
      </c>
      <c r="J1505" s="119">
        <f>8181.628*18%</f>
        <v>1472.6930399999999</v>
      </c>
      <c r="K1505" s="635"/>
      <c r="L1505" s="635"/>
      <c r="M1505" s="635"/>
      <c r="N1505" s="66" t="s">
        <v>19260</v>
      </c>
      <c r="O1505" s="651">
        <v>0</v>
      </c>
    </row>
    <row r="1506" spans="1:15" ht="14.45" hidden="1">
      <c r="A1506" s="674">
        <v>45288</v>
      </c>
      <c r="B1506" s="679">
        <v>21600</v>
      </c>
      <c r="C1506" s="676">
        <v>39744</v>
      </c>
      <c r="D1506" s="119">
        <v>0</v>
      </c>
      <c r="E1506" s="119">
        <f t="shared" si="46"/>
        <v>39744</v>
      </c>
      <c r="F1506" s="119">
        <f t="shared" si="47"/>
        <v>1.84</v>
      </c>
      <c r="G1506" s="88" t="s">
        <v>19655</v>
      </c>
      <c r="H1506" s="709" t="s">
        <v>19229</v>
      </c>
      <c r="I1506" s="678">
        <v>45282</v>
      </c>
      <c r="J1506" s="119">
        <v>0</v>
      </c>
      <c r="K1506" s="635"/>
      <c r="L1506" s="635"/>
      <c r="M1506" s="635"/>
      <c r="N1506" s="66" t="s">
        <v>19261</v>
      </c>
      <c r="O1506" s="651">
        <v>29965.946</v>
      </c>
    </row>
    <row r="1507" spans="1:15" ht="14.45" hidden="1">
      <c r="A1507" s="674">
        <v>45288</v>
      </c>
      <c r="B1507" s="679">
        <v>19200</v>
      </c>
      <c r="C1507" s="676">
        <v>38976</v>
      </c>
      <c r="D1507" s="119">
        <v>0</v>
      </c>
      <c r="E1507" s="119">
        <f>(C1507-D1507)</f>
        <v>38976</v>
      </c>
      <c r="F1507" s="119">
        <f>(E1507/B1507)</f>
        <v>2.0299999999999998</v>
      </c>
      <c r="G1507" s="88" t="s">
        <v>19655</v>
      </c>
      <c r="H1507" s="709" t="s">
        <v>19228</v>
      </c>
      <c r="I1507" s="678">
        <v>45282</v>
      </c>
      <c r="J1507" s="119">
        <v>0</v>
      </c>
      <c r="K1507" s="635"/>
      <c r="L1507" s="635"/>
      <c r="M1507" s="635"/>
      <c r="N1507" s="66" t="s">
        <v>19262</v>
      </c>
      <c r="O1507" s="651">
        <v>16267.775</v>
      </c>
    </row>
    <row r="1508" spans="1:15" ht="14.45" hidden="1">
      <c r="A1508" s="674">
        <v>45288</v>
      </c>
      <c r="B1508" s="679">
        <v>43200</v>
      </c>
      <c r="C1508" s="676">
        <v>87696</v>
      </c>
      <c r="D1508" s="119">
        <v>0</v>
      </c>
      <c r="E1508" s="119">
        <f>(C1508-D1508)</f>
        <v>87696</v>
      </c>
      <c r="F1508" s="119">
        <f>(E1508/B1508)</f>
        <v>2.0299999999999998</v>
      </c>
      <c r="G1508" s="88" t="s">
        <v>19655</v>
      </c>
      <c r="H1508" s="709" t="s">
        <v>19215</v>
      </c>
      <c r="I1508" s="678">
        <v>45272</v>
      </c>
      <c r="J1508" s="119">
        <v>0</v>
      </c>
      <c r="K1508" s="635"/>
      <c r="L1508" s="635"/>
      <c r="M1508" s="635"/>
      <c r="N1508" s="66" t="s">
        <v>19263</v>
      </c>
      <c r="O1508" s="651">
        <v>14979.29</v>
      </c>
    </row>
    <row r="1509" spans="1:15" ht="14.45" hidden="1">
      <c r="A1509" s="674">
        <v>45288</v>
      </c>
      <c r="B1509" s="679">
        <v>102500</v>
      </c>
      <c r="C1509" s="676">
        <v>246000</v>
      </c>
      <c r="D1509" s="119">
        <v>0</v>
      </c>
      <c r="E1509" s="119">
        <f>(C1509-D1509)</f>
        <v>246000</v>
      </c>
      <c r="F1509" s="119">
        <f>(E1509/B1509)</f>
        <v>2.4</v>
      </c>
      <c r="G1509" s="88" t="s">
        <v>17018</v>
      </c>
      <c r="H1509" s="709" t="s">
        <v>19225</v>
      </c>
      <c r="I1509" s="678">
        <v>45281</v>
      </c>
      <c r="J1509" s="119">
        <v>0</v>
      </c>
      <c r="K1509" s="635"/>
      <c r="L1509" s="635"/>
      <c r="M1509" s="635"/>
      <c r="N1509" s="66" t="s">
        <v>19264</v>
      </c>
      <c r="O1509" s="651">
        <v>37300.285000000003</v>
      </c>
    </row>
    <row r="1510" spans="1:15" ht="14.45" hidden="1">
      <c r="A1510" s="674">
        <v>45288</v>
      </c>
      <c r="B1510" s="679">
        <v>24000</v>
      </c>
      <c r="C1510" s="676">
        <v>60240</v>
      </c>
      <c r="D1510" s="119">
        <v>0</v>
      </c>
      <c r="E1510" s="119">
        <f>(C1510-D1510)</f>
        <v>60240</v>
      </c>
      <c r="F1510" s="119">
        <f>(E1510/B1510)</f>
        <v>2.5099999999999998</v>
      </c>
      <c r="G1510" s="88" t="s">
        <v>17227</v>
      </c>
      <c r="H1510" s="709" t="s">
        <v>19196</v>
      </c>
      <c r="I1510" s="678">
        <v>45267</v>
      </c>
      <c r="J1510" s="119">
        <v>0</v>
      </c>
      <c r="K1510" s="635"/>
      <c r="L1510" s="635"/>
      <c r="M1510" s="635"/>
      <c r="N1510" s="66" t="s">
        <v>19265</v>
      </c>
      <c r="O1510" s="651">
        <v>0</v>
      </c>
    </row>
    <row r="1511" spans="1:15" ht="14.45" hidden="1">
      <c r="A1511" s="674">
        <v>45289</v>
      </c>
      <c r="B1511" s="679">
        <v>66000</v>
      </c>
      <c r="C1511" s="676">
        <v>122760</v>
      </c>
      <c r="D1511" s="119">
        <v>0</v>
      </c>
      <c r="E1511" s="119">
        <f>(C1511-D1511)</f>
        <v>122760</v>
      </c>
      <c r="F1511" s="119">
        <f>(E1511/B1511)</f>
        <v>1.86</v>
      </c>
      <c r="G1511" s="88" t="s">
        <v>19864</v>
      </c>
      <c r="H1511" s="709" t="s">
        <v>19226</v>
      </c>
      <c r="I1511" s="678">
        <v>45281</v>
      </c>
      <c r="J1511" s="119">
        <v>0</v>
      </c>
      <c r="K1511" s="635"/>
      <c r="L1511" s="635"/>
      <c r="M1511" s="635"/>
      <c r="N1511" s="66" t="s">
        <v>19266</v>
      </c>
      <c r="O1511" s="651">
        <v>84659.66</v>
      </c>
    </row>
    <row r="1512" spans="1:15" ht="14.45">
      <c r="A1512" s="86">
        <v>45300</v>
      </c>
      <c r="B1512" s="124">
        <v>110040</v>
      </c>
      <c r="C1512" s="30">
        <f>72823.2*3.3862</f>
        <v>246593.91983999999</v>
      </c>
      <c r="D1512" s="116">
        <v>38578.834999999999</v>
      </c>
      <c r="E1512" s="119">
        <f t="shared" ref="E1512:E1575" si="48">(C1512-D1512)</f>
        <v>208015.08484</v>
      </c>
      <c r="F1512" s="119">
        <f t="shared" ref="F1512:F1575" si="49">(E1512/B1512)</f>
        <v>1.8903588226099599</v>
      </c>
      <c r="G1512" s="88" t="s">
        <v>19852</v>
      </c>
      <c r="H1512" s="109" t="s">
        <v>19231</v>
      </c>
      <c r="I1512" s="214">
        <v>45297</v>
      </c>
      <c r="J1512" s="116">
        <f>25%*30316.716</f>
        <v>7579.1790000000001</v>
      </c>
      <c r="N1512" s="66" t="s">
        <v>19267</v>
      </c>
      <c r="O1512" s="651">
        <v>10426.75</v>
      </c>
    </row>
    <row r="1513" spans="1:15" ht="14.45">
      <c r="A1513" s="86">
        <v>45303</v>
      </c>
      <c r="B1513" s="124">
        <v>157500</v>
      </c>
      <c r="C1513" s="30">
        <v>257175</v>
      </c>
      <c r="D1513" s="116">
        <v>0</v>
      </c>
      <c r="E1513" s="119">
        <f t="shared" si="48"/>
        <v>257175</v>
      </c>
      <c r="F1513" s="119">
        <f t="shared" si="49"/>
        <v>1.6328571428571428</v>
      </c>
      <c r="G1513" s="88" t="s">
        <v>19647</v>
      </c>
      <c r="H1513" s="109" t="s">
        <v>19230</v>
      </c>
      <c r="I1513" s="214">
        <v>45296</v>
      </c>
      <c r="J1513" s="116">
        <v>0</v>
      </c>
      <c r="N1513" s="66" t="s">
        <v>19269</v>
      </c>
      <c r="O1513" s="651">
        <v>0</v>
      </c>
    </row>
    <row r="1514" spans="1:15" ht="14.45">
      <c r="A1514" s="86">
        <v>45303</v>
      </c>
      <c r="B1514" s="124">
        <v>35000</v>
      </c>
      <c r="C1514" s="30">
        <f>49850*3.098</f>
        <v>154435.29999999999</v>
      </c>
      <c r="D1514" s="116">
        <v>0</v>
      </c>
      <c r="E1514" s="119">
        <f t="shared" si="48"/>
        <v>154435.29999999999</v>
      </c>
      <c r="F1514" s="119">
        <f t="shared" si="49"/>
        <v>4.4124371428571427</v>
      </c>
      <c r="G1514" s="88" t="s">
        <v>19688</v>
      </c>
      <c r="H1514" s="109" t="s">
        <v>19236</v>
      </c>
      <c r="I1514" s="214">
        <v>45299</v>
      </c>
      <c r="J1514" s="116">
        <v>0</v>
      </c>
      <c r="N1514" s="66" t="s">
        <v>19270</v>
      </c>
      <c r="O1514" s="651">
        <v>0</v>
      </c>
    </row>
    <row r="1515" spans="1:15" ht="14.45">
      <c r="A1515" s="86">
        <v>45306</v>
      </c>
      <c r="B1515" s="124">
        <v>55836</v>
      </c>
      <c r="C1515" s="30">
        <v>105510.6</v>
      </c>
      <c r="D1515" s="116">
        <v>0</v>
      </c>
      <c r="E1515" s="119">
        <f t="shared" si="48"/>
        <v>105510.6</v>
      </c>
      <c r="F1515" s="119">
        <f t="shared" si="49"/>
        <v>1.889651837524178</v>
      </c>
      <c r="G1515" s="88" t="s">
        <v>19655</v>
      </c>
      <c r="H1515" s="109" t="s">
        <v>19232</v>
      </c>
      <c r="I1515" s="214">
        <v>45297</v>
      </c>
      <c r="J1515" s="116">
        <v>0</v>
      </c>
      <c r="N1515" s="66" t="s">
        <v>19271</v>
      </c>
      <c r="O1515" s="651">
        <v>29467.816999999999</v>
      </c>
    </row>
    <row r="1516" spans="1:15" ht="14.45">
      <c r="A1516" s="86">
        <v>45306</v>
      </c>
      <c r="B1516" s="124">
        <v>55848</v>
      </c>
      <c r="C1516" s="30">
        <v>105534.96</v>
      </c>
      <c r="D1516" s="116">
        <v>0</v>
      </c>
      <c r="E1516" s="119">
        <f t="shared" si="48"/>
        <v>105534.96</v>
      </c>
      <c r="F1516" s="119">
        <f t="shared" si="49"/>
        <v>1.88968199398367</v>
      </c>
      <c r="G1516" s="88" t="s">
        <v>19655</v>
      </c>
      <c r="H1516" s="109" t="s">
        <v>19233</v>
      </c>
      <c r="I1516" s="214">
        <v>45297</v>
      </c>
      <c r="J1516" s="116">
        <v>0</v>
      </c>
      <c r="N1516" s="66" t="s">
        <v>19272</v>
      </c>
      <c r="O1516" s="651">
        <v>24769.769</v>
      </c>
    </row>
    <row r="1517" spans="1:15" ht="14.45">
      <c r="A1517" s="86">
        <v>45307</v>
      </c>
      <c r="B1517" s="124">
        <v>22864</v>
      </c>
      <c r="C1517" s="30">
        <f>24339.38*3.3901</f>
        <v>82512.932138000004</v>
      </c>
      <c r="D1517" s="116">
        <v>11273.321</v>
      </c>
      <c r="E1517" s="119">
        <f t="shared" si="48"/>
        <v>71239.611138000007</v>
      </c>
      <c r="F1517" s="119">
        <f t="shared" si="49"/>
        <v>3.1157982478131565</v>
      </c>
      <c r="G1517" s="88" t="s">
        <v>17343</v>
      </c>
      <c r="H1517" s="109" t="s">
        <v>19242</v>
      </c>
      <c r="I1517" s="214">
        <v>45301</v>
      </c>
      <c r="J1517" s="116">
        <f>15%*9071.04</f>
        <v>1360.6560000000002</v>
      </c>
      <c r="N1517" s="66" t="s">
        <v>19273</v>
      </c>
      <c r="O1517" s="651">
        <v>27393.665000000001</v>
      </c>
    </row>
    <row r="1518" spans="1:15" ht="14.45">
      <c r="A1518" s="86">
        <v>45308</v>
      </c>
      <c r="B1518" s="124">
        <v>40800</v>
      </c>
      <c r="C1518" s="30">
        <f>27010*3.38655</f>
        <v>91470.715500000006</v>
      </c>
      <c r="D1518" s="116">
        <v>15057.66</v>
      </c>
      <c r="E1518" s="119">
        <f t="shared" si="48"/>
        <v>76413.055500000002</v>
      </c>
      <c r="F1518" s="119">
        <f t="shared" si="49"/>
        <v>1.8728690073529413</v>
      </c>
      <c r="G1518" s="88" t="s">
        <v>19651</v>
      </c>
      <c r="H1518" s="109" t="s">
        <v>19234</v>
      </c>
      <c r="I1518" s="214">
        <v>45299</v>
      </c>
      <c r="J1518" s="116">
        <f>25%*11860.88</f>
        <v>2965.22</v>
      </c>
      <c r="N1518" s="66" t="s">
        <v>19274</v>
      </c>
      <c r="O1518" s="651">
        <v>0</v>
      </c>
    </row>
    <row r="1519" spans="1:15" ht="14.45">
      <c r="A1519" s="86">
        <v>45308</v>
      </c>
      <c r="B1519" s="124">
        <v>83840</v>
      </c>
      <c r="C1519" s="30">
        <v>145927.20000000001</v>
      </c>
      <c r="D1519" s="116">
        <v>0</v>
      </c>
      <c r="E1519" s="119">
        <f t="shared" si="48"/>
        <v>145927.20000000001</v>
      </c>
      <c r="F1519" s="119">
        <f t="shared" si="49"/>
        <v>1.7405438931297712</v>
      </c>
      <c r="G1519" s="88" t="s">
        <v>19647</v>
      </c>
      <c r="H1519" s="109" t="s">
        <v>19238</v>
      </c>
      <c r="I1519" s="214">
        <v>45300</v>
      </c>
      <c r="J1519" s="116">
        <v>0</v>
      </c>
      <c r="N1519" s="66" t="s">
        <v>19275</v>
      </c>
      <c r="O1519" s="651">
        <v>0</v>
      </c>
    </row>
    <row r="1520" spans="1:15" ht="14.45">
      <c r="A1520" s="86">
        <v>45309</v>
      </c>
      <c r="B1520" s="124">
        <v>19200</v>
      </c>
      <c r="C1520" s="30">
        <v>38976</v>
      </c>
      <c r="D1520" s="116">
        <v>0</v>
      </c>
      <c r="E1520" s="119">
        <f t="shared" si="48"/>
        <v>38976</v>
      </c>
      <c r="F1520" s="119">
        <f t="shared" si="49"/>
        <v>2.0299999999999998</v>
      </c>
      <c r="G1520" s="88" t="s">
        <v>19655</v>
      </c>
      <c r="H1520" s="109" t="s">
        <v>19244</v>
      </c>
      <c r="I1520" s="214">
        <v>45302</v>
      </c>
      <c r="J1520" s="116">
        <v>0</v>
      </c>
      <c r="N1520" s="66" t="s">
        <v>19276</v>
      </c>
      <c r="O1520" s="651">
        <v>30486.423999999999</v>
      </c>
    </row>
    <row r="1521" spans="1:15" ht="14.45">
      <c r="A1521" s="86">
        <v>45309</v>
      </c>
      <c r="B1521" s="124">
        <v>25200</v>
      </c>
      <c r="C1521" s="30">
        <v>46368</v>
      </c>
      <c r="D1521" s="116">
        <v>0</v>
      </c>
      <c r="E1521" s="119">
        <f t="shared" si="48"/>
        <v>46368</v>
      </c>
      <c r="F1521" s="119">
        <f t="shared" si="49"/>
        <v>1.84</v>
      </c>
      <c r="G1521" s="88" t="s">
        <v>19655</v>
      </c>
      <c r="H1521" s="109" t="s">
        <v>19245</v>
      </c>
      <c r="I1521" s="214">
        <v>45302</v>
      </c>
      <c r="J1521" s="116">
        <v>0</v>
      </c>
      <c r="N1521" s="66" t="s">
        <v>19277</v>
      </c>
      <c r="O1521" s="651">
        <v>18474.823</v>
      </c>
    </row>
    <row r="1522" spans="1:15" ht="14.45">
      <c r="A1522" s="86">
        <v>45309</v>
      </c>
      <c r="B1522" s="124">
        <v>20750</v>
      </c>
      <c r="C1522" s="30">
        <v>39425</v>
      </c>
      <c r="D1522" s="116">
        <v>0</v>
      </c>
      <c r="E1522" s="119">
        <f t="shared" si="48"/>
        <v>39425</v>
      </c>
      <c r="F1522" s="119">
        <f t="shared" si="49"/>
        <v>1.9</v>
      </c>
      <c r="G1522" s="88" t="s">
        <v>19655</v>
      </c>
      <c r="H1522" s="109" t="s">
        <v>19237</v>
      </c>
      <c r="I1522" s="214">
        <v>45300</v>
      </c>
      <c r="J1522" s="116">
        <v>0</v>
      </c>
      <c r="N1522" s="66" t="s">
        <v>19278</v>
      </c>
      <c r="O1522" s="651">
        <v>0</v>
      </c>
    </row>
    <row r="1523" spans="1:15" ht="14.45">
      <c r="A1523" s="86">
        <v>45309</v>
      </c>
      <c r="B1523" s="124">
        <v>23976</v>
      </c>
      <c r="C1523" s="30">
        <f>22241.64*3.38935</f>
        <v>75384.702533999996</v>
      </c>
      <c r="D1523" s="116">
        <v>14025.295</v>
      </c>
      <c r="E1523" s="119">
        <f t="shared" si="48"/>
        <v>61359.407533999998</v>
      </c>
      <c r="F1523" s="119">
        <f t="shared" si="49"/>
        <v>2.5592011817650984</v>
      </c>
      <c r="G1523" s="88" t="s">
        <v>19661</v>
      </c>
      <c r="H1523" s="109" t="s">
        <v>19239</v>
      </c>
      <c r="I1523" s="214">
        <v>45300</v>
      </c>
      <c r="J1523" s="116">
        <f>25%*12312.3</f>
        <v>3078.0749999999998</v>
      </c>
      <c r="N1523" s="66" t="s">
        <v>19279</v>
      </c>
      <c r="O1523" s="651">
        <v>0</v>
      </c>
    </row>
    <row r="1524" spans="1:15" ht="14.45">
      <c r="A1524" s="86">
        <v>45310</v>
      </c>
      <c r="B1524" s="124">
        <v>22008</v>
      </c>
      <c r="C1524" s="30">
        <v>43575.839999999997</v>
      </c>
      <c r="D1524" s="116">
        <v>0</v>
      </c>
      <c r="E1524" s="119">
        <f t="shared" si="48"/>
        <v>43575.839999999997</v>
      </c>
      <c r="F1524" s="119">
        <f t="shared" si="49"/>
        <v>1.9799999999999998</v>
      </c>
      <c r="G1524" s="88" t="s">
        <v>19647</v>
      </c>
      <c r="H1524" s="109" t="s">
        <v>19255</v>
      </c>
      <c r="I1524" s="214">
        <v>45307</v>
      </c>
      <c r="J1524" s="116">
        <v>0</v>
      </c>
      <c r="N1524" s="66" t="s">
        <v>19280</v>
      </c>
      <c r="O1524" s="651">
        <v>0</v>
      </c>
    </row>
    <row r="1525" spans="1:15" ht="14.45">
      <c r="A1525" s="86">
        <v>45314</v>
      </c>
      <c r="B1525" s="124">
        <v>27900</v>
      </c>
      <c r="C1525" s="30">
        <f>25117.5*3.38635</f>
        <v>85056.646124999999</v>
      </c>
      <c r="D1525" s="116">
        <v>14173.42</v>
      </c>
      <c r="E1525" s="119">
        <f t="shared" si="48"/>
        <v>70883.226125000001</v>
      </c>
      <c r="F1525" s="119">
        <f t="shared" si="49"/>
        <v>2.5406174238351253</v>
      </c>
      <c r="G1525" s="88" t="s">
        <v>19661</v>
      </c>
      <c r="H1525" s="109" t="s">
        <v>19257</v>
      </c>
      <c r="I1525" s="214">
        <v>45307</v>
      </c>
      <c r="J1525" s="116">
        <f>25%*12292.8</f>
        <v>3073.2</v>
      </c>
      <c r="N1525" s="66" t="s">
        <v>19281</v>
      </c>
      <c r="O1525" s="651">
        <v>14312.725</v>
      </c>
    </row>
    <row r="1526" spans="1:15" ht="14.45">
      <c r="A1526" s="86">
        <v>45314</v>
      </c>
      <c r="B1526" s="124">
        <v>8000</v>
      </c>
      <c r="C1526" s="30">
        <v>19600</v>
      </c>
      <c r="D1526" s="116">
        <v>0</v>
      </c>
      <c r="E1526" s="119">
        <f t="shared" si="48"/>
        <v>19600</v>
      </c>
      <c r="F1526" s="119">
        <f t="shared" si="49"/>
        <v>2.4500000000000002</v>
      </c>
      <c r="G1526" s="88" t="s">
        <v>17018</v>
      </c>
      <c r="H1526" s="109" t="s">
        <v>19249</v>
      </c>
      <c r="I1526" s="214">
        <v>45304</v>
      </c>
      <c r="J1526" s="116">
        <v>0</v>
      </c>
      <c r="N1526" s="66" t="s">
        <v>19282</v>
      </c>
      <c r="O1526" s="651">
        <v>16414.325000000001</v>
      </c>
    </row>
    <row r="1527" spans="1:15" ht="14.45">
      <c r="A1527" s="86">
        <v>45314</v>
      </c>
      <c r="B1527" s="124">
        <v>21004.799999999999</v>
      </c>
      <c r="C1527" s="30">
        <f>18526.23*3.1112</f>
        <v>57638.806776000005</v>
      </c>
      <c r="D1527" s="116">
        <v>8764.06</v>
      </c>
      <c r="E1527" s="119">
        <f t="shared" si="48"/>
        <v>48874.746776000007</v>
      </c>
      <c r="F1527" s="119">
        <f t="shared" si="49"/>
        <v>2.3268370456276664</v>
      </c>
      <c r="G1527" s="88" t="s">
        <v>19866</v>
      </c>
      <c r="H1527" s="109" t="s">
        <v>19240</v>
      </c>
      <c r="I1527" s="214">
        <v>45300</v>
      </c>
      <c r="J1527" s="116">
        <f>25%*7092</f>
        <v>1773</v>
      </c>
      <c r="N1527" s="66" t="s">
        <v>19283</v>
      </c>
      <c r="O1527" s="651">
        <v>28796.416000000001</v>
      </c>
    </row>
    <row r="1528" spans="1:15" ht="14.45">
      <c r="A1528" s="86">
        <v>45314</v>
      </c>
      <c r="B1528" s="124">
        <v>6000</v>
      </c>
      <c r="C1528" s="30">
        <f>7240*3.107</f>
        <v>22494.68</v>
      </c>
      <c r="D1528" s="116">
        <v>7479.3</v>
      </c>
      <c r="E1528" s="119">
        <f t="shared" si="48"/>
        <v>15015.380000000001</v>
      </c>
      <c r="F1528" s="119">
        <f t="shared" si="49"/>
        <v>2.5025633333333337</v>
      </c>
      <c r="G1528" s="88" t="s">
        <v>17368</v>
      </c>
      <c r="H1528" s="109" t="s">
        <v>19247</v>
      </c>
      <c r="I1528" s="214">
        <v>45302</v>
      </c>
      <c r="J1528" s="116">
        <f>15%*2353.5</f>
        <v>353.02499999999998</v>
      </c>
      <c r="N1528" s="66" t="s">
        <v>19284</v>
      </c>
      <c r="O1528" s="651">
        <v>0</v>
      </c>
    </row>
    <row r="1529" spans="1:15" ht="14.45">
      <c r="A1529" s="86">
        <v>45315</v>
      </c>
      <c r="B1529" s="124">
        <v>23228</v>
      </c>
      <c r="C1529" s="30">
        <f>26518.57*3.3856</f>
        <v>89781.270592000001</v>
      </c>
      <c r="D1529" s="116">
        <v>29965.946</v>
      </c>
      <c r="E1529" s="119">
        <f t="shared" si="48"/>
        <v>59815.324592000004</v>
      </c>
      <c r="F1529" s="119">
        <f t="shared" si="49"/>
        <v>2.575138823488893</v>
      </c>
      <c r="G1529" s="88" t="s">
        <v>17343</v>
      </c>
      <c r="H1529" s="109" t="s">
        <v>19261</v>
      </c>
      <c r="I1529" s="214">
        <v>45314</v>
      </c>
      <c r="J1529" s="116">
        <f>15%*12393.13</f>
        <v>1858.9694999999997</v>
      </c>
      <c r="N1529" s="66" t="s">
        <v>19285</v>
      </c>
      <c r="O1529" s="651">
        <v>9960.15</v>
      </c>
    </row>
    <row r="1530" spans="1:15" ht="14.45">
      <c r="A1530" s="86">
        <v>45316</v>
      </c>
      <c r="B1530" s="124">
        <v>165000</v>
      </c>
      <c r="C1530" s="30">
        <f>87450*3.3856</f>
        <v>296070.72000000003</v>
      </c>
      <c r="D1530" s="116">
        <v>29893</v>
      </c>
      <c r="E1530" s="119">
        <f t="shared" si="48"/>
        <v>266177.72000000003</v>
      </c>
      <c r="F1530" s="119">
        <f t="shared" si="49"/>
        <v>1.6131983030303032</v>
      </c>
      <c r="G1530" s="88" t="s">
        <v>19722</v>
      </c>
      <c r="H1530" s="109" t="s">
        <v>19252</v>
      </c>
      <c r="I1530" s="214">
        <v>45304</v>
      </c>
      <c r="J1530" s="116">
        <f>25%*20002.2</f>
        <v>5000.55</v>
      </c>
      <c r="N1530" s="66" t="s">
        <v>19286</v>
      </c>
      <c r="O1530" s="651">
        <v>0</v>
      </c>
    </row>
    <row r="1531" spans="1:15" ht="14.45">
      <c r="A1531" s="86">
        <v>45317</v>
      </c>
      <c r="B1531" s="124">
        <v>157500</v>
      </c>
      <c r="C1531" s="30">
        <v>258300</v>
      </c>
      <c r="D1531" s="116">
        <v>0</v>
      </c>
      <c r="E1531" s="119">
        <f t="shared" si="48"/>
        <v>258300</v>
      </c>
      <c r="F1531" s="119">
        <f t="shared" si="49"/>
        <v>1.64</v>
      </c>
      <c r="G1531" s="88" t="s">
        <v>19647</v>
      </c>
      <c r="H1531" s="109" t="s">
        <v>19260</v>
      </c>
      <c r="I1531" s="214">
        <v>45313</v>
      </c>
      <c r="J1531" s="116">
        <v>0</v>
      </c>
      <c r="N1531" s="66" t="s">
        <v>19287</v>
      </c>
      <c r="O1531" s="651">
        <v>0</v>
      </c>
    </row>
    <row r="1532" spans="1:15" ht="14.45">
      <c r="A1532" s="86">
        <v>45317</v>
      </c>
      <c r="B1532" s="124">
        <v>21720</v>
      </c>
      <c r="C1532" s="30">
        <f>30945.04*3.1085</f>
        <v>96192.656839999996</v>
      </c>
      <c r="D1532" s="116">
        <v>2281.92</v>
      </c>
      <c r="E1532" s="119">
        <f t="shared" si="48"/>
        <v>93910.736839999998</v>
      </c>
      <c r="F1532" s="119">
        <f t="shared" si="49"/>
        <v>4.3236987495395951</v>
      </c>
      <c r="G1532" s="88" t="s">
        <v>19653</v>
      </c>
      <c r="H1532" s="109" t="s">
        <v>19243</v>
      </c>
      <c r="I1532" s="214">
        <v>45301</v>
      </c>
      <c r="J1532" s="116">
        <v>0</v>
      </c>
      <c r="N1532" s="66" t="s">
        <v>19288</v>
      </c>
      <c r="O1532" s="651">
        <v>30893.56</v>
      </c>
    </row>
    <row r="1533" spans="1:15" ht="14.45">
      <c r="A1533" s="86">
        <v>45317</v>
      </c>
      <c r="B1533" s="124">
        <v>23478</v>
      </c>
      <c r="C1533" s="30">
        <f>23855.4*3.108</f>
        <v>74142.583200000008</v>
      </c>
      <c r="D1533" s="116">
        <v>16267.775</v>
      </c>
      <c r="E1533" s="119">
        <f t="shared" si="48"/>
        <v>57874.808200000007</v>
      </c>
      <c r="F1533" s="119">
        <f t="shared" si="49"/>
        <v>2.4650655166538891</v>
      </c>
      <c r="G1533" s="88" t="s">
        <v>19779</v>
      </c>
      <c r="H1533" s="109" t="s">
        <v>19262</v>
      </c>
      <c r="I1533" s="214">
        <v>45314</v>
      </c>
      <c r="J1533" s="116">
        <f>15%*14523.6</f>
        <v>2178.54</v>
      </c>
      <c r="N1533" s="66" t="s">
        <v>19289</v>
      </c>
      <c r="O1533" s="651">
        <v>27386.615000000002</v>
      </c>
    </row>
    <row r="1534" spans="1:15" ht="14.45">
      <c r="A1534" s="86">
        <v>45317</v>
      </c>
      <c r="B1534" s="124">
        <v>19932</v>
      </c>
      <c r="C1534" s="30">
        <f>31324.5*2.29915</f>
        <v>72019.724174999996</v>
      </c>
      <c r="D1534" s="116">
        <v>14979.29</v>
      </c>
      <c r="E1534" s="119">
        <f t="shared" si="48"/>
        <v>57040.434174999995</v>
      </c>
      <c r="F1534" s="119">
        <f t="shared" si="49"/>
        <v>2.8617516644089904</v>
      </c>
      <c r="G1534" s="88" t="s">
        <v>17305</v>
      </c>
      <c r="H1534" s="109" t="s">
        <v>19263</v>
      </c>
      <c r="I1534" s="214">
        <v>45314</v>
      </c>
      <c r="J1534" s="116">
        <f>15%*11985.2</f>
        <v>1797.78</v>
      </c>
      <c r="N1534" s="66" t="s">
        <v>19290</v>
      </c>
      <c r="O1534" s="651">
        <v>30757.962</v>
      </c>
    </row>
    <row r="1535" spans="1:15" ht="14.45">
      <c r="A1535" s="86">
        <v>45317</v>
      </c>
      <c r="B1535" s="124">
        <v>27168</v>
      </c>
      <c r="C1535" s="30">
        <f>24563.52*3.384</f>
        <v>83122.951679999998</v>
      </c>
      <c r="D1535" s="116">
        <v>14209.19</v>
      </c>
      <c r="E1535" s="119">
        <f t="shared" si="48"/>
        <v>68913.761679999996</v>
      </c>
      <c r="F1535" s="119">
        <f t="shared" si="49"/>
        <v>2.5365783892815075</v>
      </c>
      <c r="G1535" s="88" t="s">
        <v>19661</v>
      </c>
      <c r="H1535" s="109" t="s">
        <v>19256</v>
      </c>
      <c r="I1535" s="214">
        <v>45307</v>
      </c>
      <c r="J1535" s="116">
        <f>25%*12300.6</f>
        <v>3075.15</v>
      </c>
      <c r="N1535" s="66" t="s">
        <v>19291</v>
      </c>
      <c r="O1535" s="651">
        <v>0</v>
      </c>
    </row>
    <row r="1536" spans="1:15" ht="14.45">
      <c r="A1536" s="86">
        <v>45317</v>
      </c>
      <c r="B1536" s="124">
        <v>130000</v>
      </c>
      <c r="C1536" s="30">
        <f>66410*3.38345</f>
        <v>224694.91449999998</v>
      </c>
      <c r="D1536" s="116">
        <v>37300.285000000003</v>
      </c>
      <c r="E1536" s="119">
        <f t="shared" si="48"/>
        <v>187394.62949999998</v>
      </c>
      <c r="F1536" s="119">
        <f t="shared" si="49"/>
        <v>1.4414971499999998</v>
      </c>
      <c r="G1536" s="88" t="s">
        <v>19790</v>
      </c>
      <c r="H1536" s="109" t="s">
        <v>19264</v>
      </c>
      <c r="I1536" s="214">
        <v>45314</v>
      </c>
      <c r="J1536" s="116">
        <f>25%*29589.865</f>
        <v>7397.4662500000004</v>
      </c>
      <c r="N1536" s="66" t="s">
        <v>19292</v>
      </c>
      <c r="O1536" s="651">
        <v>0</v>
      </c>
    </row>
    <row r="1537" spans="1:15" ht="14.45">
      <c r="A1537" s="86">
        <v>45318</v>
      </c>
      <c r="B1537" s="124">
        <v>4720</v>
      </c>
      <c r="C1537" s="30">
        <f>9722*2.31635</f>
        <v>22519.554700000001</v>
      </c>
      <c r="D1537" s="116">
        <v>5780.2449999999999</v>
      </c>
      <c r="E1537" s="119">
        <f t="shared" si="48"/>
        <v>16739.309700000002</v>
      </c>
      <c r="F1537" s="119">
        <f t="shared" si="49"/>
        <v>3.5464639194915257</v>
      </c>
      <c r="G1537" s="88" t="s">
        <v>17305</v>
      </c>
      <c r="H1537" s="109" t="s">
        <v>19235</v>
      </c>
      <c r="I1537" s="214">
        <v>45299</v>
      </c>
      <c r="J1537" s="116">
        <f>15%*4888.7</f>
        <v>733.30499999999995</v>
      </c>
      <c r="N1537" s="66" t="s">
        <v>19293</v>
      </c>
      <c r="O1537" s="651">
        <v>0</v>
      </c>
    </row>
    <row r="1538" spans="1:15" ht="14.45">
      <c r="A1538" s="86">
        <v>45318</v>
      </c>
      <c r="B1538" s="124">
        <v>76800</v>
      </c>
      <c r="C1538" s="30">
        <v>155136</v>
      </c>
      <c r="D1538" s="116">
        <v>0</v>
      </c>
      <c r="E1538" s="119">
        <f t="shared" si="48"/>
        <v>155136</v>
      </c>
      <c r="F1538" s="119">
        <f t="shared" si="49"/>
        <v>2.02</v>
      </c>
      <c r="G1538" s="88" t="s">
        <v>19656</v>
      </c>
      <c r="H1538" s="109" t="s">
        <v>19265</v>
      </c>
      <c r="I1538" s="214">
        <v>45314</v>
      </c>
      <c r="J1538" s="116">
        <v>0</v>
      </c>
      <c r="N1538" s="66" t="s">
        <v>19294</v>
      </c>
      <c r="O1538" s="651">
        <v>42822.476999999999</v>
      </c>
    </row>
    <row r="1539" spans="1:15" ht="14.45">
      <c r="A1539" s="86">
        <v>45320</v>
      </c>
      <c r="B1539" s="124">
        <v>80000</v>
      </c>
      <c r="C1539" s="30">
        <f>115150*3.1213</f>
        <v>359417.69500000001</v>
      </c>
      <c r="D1539" s="116">
        <v>0</v>
      </c>
      <c r="E1539" s="119">
        <f t="shared" si="48"/>
        <v>359417.69500000001</v>
      </c>
      <c r="F1539" s="119">
        <f t="shared" si="49"/>
        <v>4.4927211874999999</v>
      </c>
      <c r="G1539" s="88" t="s">
        <v>19688</v>
      </c>
      <c r="H1539" s="109" t="s">
        <v>19270</v>
      </c>
      <c r="I1539" s="214">
        <v>45314</v>
      </c>
      <c r="J1539" s="116">
        <v>0</v>
      </c>
      <c r="N1539" s="66" t="s">
        <v>19295</v>
      </c>
      <c r="O1539" s="651">
        <v>31518.547999999999</v>
      </c>
    </row>
    <row r="1540" spans="1:15" ht="14.45">
      <c r="A1540" s="86">
        <v>45320</v>
      </c>
      <c r="B1540" s="124">
        <v>15660</v>
      </c>
      <c r="C1540" s="30">
        <f>16421.24*3.1213</f>
        <v>51255.61641200001</v>
      </c>
      <c r="D1540" s="116">
        <v>10426.75</v>
      </c>
      <c r="E1540" s="119">
        <f t="shared" si="48"/>
        <v>40828.86641200001</v>
      </c>
      <c r="F1540" s="119">
        <f t="shared" si="49"/>
        <v>2.6072073060025551</v>
      </c>
      <c r="G1540" s="88" t="s">
        <v>19811</v>
      </c>
      <c r="H1540" s="109" t="s">
        <v>19267</v>
      </c>
      <c r="I1540" s="214">
        <v>45314</v>
      </c>
      <c r="J1540" s="116">
        <f>15%*3637.45</f>
        <v>545.61749999999995</v>
      </c>
      <c r="N1540" s="66" t="s">
        <v>19296</v>
      </c>
      <c r="O1540" s="651">
        <v>0</v>
      </c>
    </row>
    <row r="1541" spans="1:15" ht="14.45">
      <c r="A1541" s="86">
        <v>45321</v>
      </c>
      <c r="B1541" s="124">
        <v>165000</v>
      </c>
      <c r="C1541" s="30">
        <f>87450*3.37535</f>
        <v>295174.35749999998</v>
      </c>
      <c r="D1541" s="116">
        <v>30925.1</v>
      </c>
      <c r="E1541" s="119">
        <f t="shared" si="48"/>
        <v>264249.25750000001</v>
      </c>
      <c r="F1541" s="119">
        <f t="shared" si="49"/>
        <v>1.6015106515151516</v>
      </c>
      <c r="G1541" s="88" t="s">
        <v>19722</v>
      </c>
      <c r="H1541" s="109" t="s">
        <v>19253</v>
      </c>
      <c r="I1541" s="214">
        <v>45304</v>
      </c>
      <c r="J1541" s="116">
        <f>25%*20243.88</f>
        <v>5060.97</v>
      </c>
      <c r="N1541" s="66" t="s">
        <v>19297</v>
      </c>
      <c r="O1541" s="651">
        <v>22503.78</v>
      </c>
    </row>
    <row r="1542" spans="1:15" ht="14.45">
      <c r="A1542" s="86">
        <v>45322</v>
      </c>
      <c r="B1542" s="124">
        <v>56160</v>
      </c>
      <c r="C1542" s="30">
        <v>110128.8</v>
      </c>
      <c r="D1542" s="116">
        <v>0</v>
      </c>
      <c r="E1542" s="119">
        <f t="shared" si="48"/>
        <v>110128.8</v>
      </c>
      <c r="F1542" s="119">
        <f t="shared" si="49"/>
        <v>1.960982905982906</v>
      </c>
      <c r="G1542" s="88" t="s">
        <v>19655</v>
      </c>
      <c r="H1542" s="109" t="s">
        <v>19246</v>
      </c>
      <c r="I1542" s="214">
        <v>45302</v>
      </c>
      <c r="J1542" s="116">
        <v>0</v>
      </c>
      <c r="N1542" s="66" t="s">
        <v>19298</v>
      </c>
      <c r="O1542" s="651">
        <v>31354.107</v>
      </c>
    </row>
    <row r="1543" spans="1:15" ht="14.45">
      <c r="A1543" s="86">
        <v>45322</v>
      </c>
      <c r="B1543" s="124">
        <v>28000</v>
      </c>
      <c r="C1543" s="30">
        <f>14890*3.3782</f>
        <v>50301.398000000001</v>
      </c>
      <c r="D1543" s="116">
        <v>6133.95</v>
      </c>
      <c r="E1543" s="119">
        <f t="shared" si="48"/>
        <v>44167.448000000004</v>
      </c>
      <c r="F1543" s="119">
        <f t="shared" si="49"/>
        <v>1.5774088571428573</v>
      </c>
      <c r="G1543" s="88" t="s">
        <v>19862</v>
      </c>
      <c r="H1543" s="109" t="s">
        <v>19254</v>
      </c>
      <c r="I1543" s="214">
        <v>45304</v>
      </c>
      <c r="J1543" s="116">
        <f>25%*4287.5</f>
        <v>1071.875</v>
      </c>
      <c r="N1543" s="66" t="s">
        <v>19299</v>
      </c>
      <c r="O1543" s="651">
        <v>0</v>
      </c>
    </row>
    <row r="1544" spans="1:15" ht="14.45">
      <c r="A1544" s="86">
        <v>45322</v>
      </c>
      <c r="B1544" s="124">
        <v>269882</v>
      </c>
      <c r="C1544" s="30">
        <f>191534.87*3.1213</f>
        <v>597837.78973099997</v>
      </c>
      <c r="D1544" s="116">
        <v>84659.66</v>
      </c>
      <c r="E1544" s="119">
        <f t="shared" si="48"/>
        <v>513178.12973099994</v>
      </c>
      <c r="F1544" s="119">
        <f t="shared" si="49"/>
        <v>1.9014907616328616</v>
      </c>
      <c r="G1544" s="88" t="s">
        <v>19662</v>
      </c>
      <c r="H1544" s="109" t="s">
        <v>19266</v>
      </c>
      <c r="I1544" s="214">
        <v>45314</v>
      </c>
      <c r="J1544" s="116">
        <f>25%*70171.16</f>
        <v>17542.79</v>
      </c>
      <c r="N1544" s="66" t="s">
        <v>19300</v>
      </c>
      <c r="O1544" s="651">
        <v>6248.8059999999996</v>
      </c>
    </row>
    <row r="1545" spans="1:15" ht="14.45">
      <c r="A1545" s="86">
        <v>45322</v>
      </c>
      <c r="B1545" s="124">
        <v>322000</v>
      </c>
      <c r="C1545" s="30">
        <v>565380</v>
      </c>
      <c r="D1545" s="116">
        <v>0</v>
      </c>
      <c r="E1545" s="119">
        <f t="shared" si="48"/>
        <v>565380</v>
      </c>
      <c r="F1545" s="119">
        <f t="shared" si="49"/>
        <v>1.7558385093167701</v>
      </c>
      <c r="G1545" s="88" t="s">
        <v>19833</v>
      </c>
      <c r="H1545" s="109" t="s">
        <v>19269</v>
      </c>
      <c r="I1545" s="214">
        <v>45314</v>
      </c>
      <c r="J1545" s="116">
        <v>0</v>
      </c>
      <c r="N1545" s="66" t="s">
        <v>19301</v>
      </c>
      <c r="O1545" s="651">
        <v>33943.523999999998</v>
      </c>
    </row>
    <row r="1546" spans="1:15" ht="14.45">
      <c r="A1546" s="86">
        <v>45322</v>
      </c>
      <c r="B1546" s="124">
        <v>22216</v>
      </c>
      <c r="C1546" s="30">
        <f>24994.86*3.3782</f>
        <v>84437.636052000002</v>
      </c>
      <c r="D1546" s="116">
        <v>29467.816999999999</v>
      </c>
      <c r="E1546" s="119">
        <f t="shared" si="48"/>
        <v>54969.819052000006</v>
      </c>
      <c r="F1546" s="119">
        <f t="shared" si="49"/>
        <v>2.4743346710478935</v>
      </c>
      <c r="G1546" s="88" t="s">
        <v>17343</v>
      </c>
      <c r="H1546" s="109" t="s">
        <v>19271</v>
      </c>
      <c r="I1546" s="214">
        <v>45320</v>
      </c>
      <c r="J1546" s="116">
        <f>15%*12371.47</f>
        <v>1855.7204999999999</v>
      </c>
      <c r="N1546" s="66" t="s">
        <v>19302</v>
      </c>
      <c r="O1546" s="651">
        <v>26089.870999999999</v>
      </c>
    </row>
    <row r="1547" spans="1:15" ht="14.45">
      <c r="A1547" s="86">
        <v>45322</v>
      </c>
      <c r="B1547" s="124">
        <v>74200</v>
      </c>
      <c r="C1547" s="30">
        <f>37824*3.117</f>
        <v>117897.408</v>
      </c>
      <c r="D1547" s="116">
        <v>27393.665000000001</v>
      </c>
      <c r="E1547" s="119">
        <f t="shared" si="48"/>
        <v>90503.742999999988</v>
      </c>
      <c r="F1547" s="119">
        <f t="shared" si="49"/>
        <v>1.2197269946091642</v>
      </c>
      <c r="G1547" s="88" t="s">
        <v>19790</v>
      </c>
      <c r="H1547" s="109" t="s">
        <v>19273</v>
      </c>
      <c r="I1547" s="214">
        <v>45320</v>
      </c>
      <c r="J1547" s="116">
        <f>25%*21626.445</f>
        <v>5406.6112499999999</v>
      </c>
      <c r="N1547" s="66" t="s">
        <v>19303</v>
      </c>
      <c r="O1547" s="651">
        <v>0</v>
      </c>
    </row>
    <row r="1548" spans="1:15" ht="14.45">
      <c r="A1548" s="86">
        <v>45322</v>
      </c>
      <c r="B1548" s="124">
        <v>23750</v>
      </c>
      <c r="C1548" s="30">
        <v>57475</v>
      </c>
      <c r="D1548" s="116">
        <v>0</v>
      </c>
      <c r="E1548" s="119">
        <f t="shared" si="48"/>
        <v>57475</v>
      </c>
      <c r="F1548" s="119">
        <f t="shared" si="49"/>
        <v>2.42</v>
      </c>
      <c r="G1548" s="88" t="s">
        <v>17018</v>
      </c>
      <c r="H1548" s="109" t="s">
        <v>19251</v>
      </c>
      <c r="I1548" s="214">
        <v>45304</v>
      </c>
      <c r="J1548" s="116">
        <v>0</v>
      </c>
      <c r="N1548" s="66" t="s">
        <v>19304</v>
      </c>
      <c r="O1548" s="651">
        <v>2526.37</v>
      </c>
    </row>
    <row r="1549" spans="1:15" ht="12.95" customHeight="1">
      <c r="A1549" s="216">
        <v>45323</v>
      </c>
      <c r="B1549" s="201">
        <v>46000</v>
      </c>
      <c r="C1549" s="202">
        <v>81340</v>
      </c>
      <c r="D1549" s="135">
        <v>0</v>
      </c>
      <c r="E1549" s="745">
        <f t="shared" si="48"/>
        <v>81340</v>
      </c>
      <c r="F1549" s="745">
        <f t="shared" si="49"/>
        <v>1.7682608695652173</v>
      </c>
      <c r="G1549" s="136" t="s">
        <v>19833</v>
      </c>
      <c r="H1549" s="746" t="s">
        <v>19269</v>
      </c>
      <c r="I1549" s="215">
        <v>45314</v>
      </c>
      <c r="J1549" s="135">
        <v>0</v>
      </c>
      <c r="N1549" s="66" t="s">
        <v>19305</v>
      </c>
      <c r="O1549" s="651">
        <v>30850.469000000001</v>
      </c>
    </row>
    <row r="1550" spans="1:15" ht="14.45">
      <c r="A1550" s="86">
        <v>45327</v>
      </c>
      <c r="B1550" s="124">
        <v>24012</v>
      </c>
      <c r="C1550" s="30">
        <f>27269.76*3.38045</f>
        <v>92184.060192000004</v>
      </c>
      <c r="D1550" s="116">
        <v>30486.423999999999</v>
      </c>
      <c r="E1550" s="119">
        <f t="shared" si="48"/>
        <v>61697.636192000005</v>
      </c>
      <c r="F1550" s="119">
        <f t="shared" si="49"/>
        <v>2.5694501162751959</v>
      </c>
      <c r="G1550" s="88" t="s">
        <v>17343</v>
      </c>
      <c r="H1550" s="109" t="s">
        <v>19276</v>
      </c>
      <c r="I1550" s="214">
        <v>45323</v>
      </c>
      <c r="J1550" s="116">
        <f>12357.03*15%</f>
        <v>1853.5545</v>
      </c>
      <c r="N1550" s="66" t="s">
        <v>19306</v>
      </c>
      <c r="O1550" s="651">
        <v>29344.921999999999</v>
      </c>
    </row>
    <row r="1551" spans="1:15" ht="14.45">
      <c r="A1551" s="86">
        <v>45330</v>
      </c>
      <c r="B1551" s="124">
        <v>63204</v>
      </c>
      <c r="C1551" s="30">
        <f>32435.48*3.1351</f>
        <v>101688.473348</v>
      </c>
      <c r="D1551" s="116">
        <v>24769.769</v>
      </c>
      <c r="E1551" s="119">
        <f t="shared" si="48"/>
        <v>76918.704347999999</v>
      </c>
      <c r="F1551" s="119">
        <f t="shared" si="49"/>
        <v>1.2169910820201253</v>
      </c>
      <c r="G1551" s="88" t="s">
        <v>19867</v>
      </c>
      <c r="H1551" s="109" t="s">
        <v>19272</v>
      </c>
      <c r="I1551" s="214">
        <v>45320</v>
      </c>
      <c r="J1551" s="116">
        <f>19807.809*25%</f>
        <v>4951.9522500000003</v>
      </c>
      <c r="N1551" s="66" t="s">
        <v>19307</v>
      </c>
      <c r="O1551" s="651">
        <v>36245.228000000003</v>
      </c>
    </row>
    <row r="1552" spans="1:15" ht="14.45">
      <c r="A1552" s="86">
        <v>45331</v>
      </c>
      <c r="B1552" s="124">
        <v>115200</v>
      </c>
      <c r="C1552" s="30">
        <v>232704</v>
      </c>
      <c r="D1552" s="116">
        <v>0</v>
      </c>
      <c r="E1552" s="119">
        <f t="shared" si="48"/>
        <v>232704</v>
      </c>
      <c r="F1552" s="119">
        <f t="shared" si="49"/>
        <v>2.02</v>
      </c>
      <c r="G1552" s="88" t="s">
        <v>19656</v>
      </c>
      <c r="H1552" s="109" t="s">
        <v>19274</v>
      </c>
      <c r="I1552" s="214">
        <v>45323</v>
      </c>
      <c r="J1552" s="116">
        <v>0</v>
      </c>
      <c r="N1552" s="66" t="s">
        <v>19308</v>
      </c>
      <c r="O1552" s="651">
        <v>78342.600000000006</v>
      </c>
    </row>
    <row r="1553" spans="1:15" ht="14.45">
      <c r="A1553" s="86">
        <v>45335</v>
      </c>
      <c r="B1553" s="124">
        <v>234992</v>
      </c>
      <c r="C1553" s="30">
        <v>441901.76</v>
      </c>
      <c r="D1553" s="116">
        <v>0</v>
      </c>
      <c r="E1553" s="119">
        <f t="shared" si="48"/>
        <v>441901.76</v>
      </c>
      <c r="F1553" s="119">
        <f t="shared" si="49"/>
        <v>1.8804970381970449</v>
      </c>
      <c r="G1553" s="88" t="s">
        <v>19656</v>
      </c>
      <c r="H1553" s="109" t="s">
        <v>19275</v>
      </c>
      <c r="I1553" s="214">
        <v>45323</v>
      </c>
      <c r="J1553" s="116">
        <v>0</v>
      </c>
      <c r="N1553" s="66" t="s">
        <v>19309</v>
      </c>
      <c r="O1553" s="651">
        <v>0</v>
      </c>
    </row>
    <row r="1554" spans="1:15" ht="14.45">
      <c r="A1554" s="86">
        <v>45336</v>
      </c>
      <c r="B1554" s="124">
        <v>22008</v>
      </c>
      <c r="C1554" s="30">
        <v>44295.839999999997</v>
      </c>
      <c r="D1554" s="116">
        <v>0</v>
      </c>
      <c r="E1554" s="119">
        <f t="shared" si="48"/>
        <v>44295.839999999997</v>
      </c>
      <c r="F1554" s="119">
        <f t="shared" si="49"/>
        <v>2.0127153762268266</v>
      </c>
      <c r="G1554" s="88" t="s">
        <v>19655</v>
      </c>
      <c r="H1554" s="109" t="s">
        <v>19279</v>
      </c>
      <c r="I1554" s="214">
        <v>45329</v>
      </c>
      <c r="J1554" s="116">
        <v>0</v>
      </c>
      <c r="N1554" s="66" t="s">
        <v>19310</v>
      </c>
      <c r="O1554" s="651">
        <v>0</v>
      </c>
    </row>
    <row r="1555" spans="1:15" ht="14.45">
      <c r="A1555" s="86">
        <v>45338</v>
      </c>
      <c r="B1555" s="124">
        <v>157500</v>
      </c>
      <c r="C1555" s="30">
        <v>254925</v>
      </c>
      <c r="D1555" s="116">
        <v>0</v>
      </c>
      <c r="E1555" s="119">
        <f t="shared" si="48"/>
        <v>254925</v>
      </c>
      <c r="F1555" s="119">
        <f t="shared" si="49"/>
        <v>1.6185714285714285</v>
      </c>
      <c r="G1555" s="88" t="s">
        <v>19647</v>
      </c>
      <c r="H1555" s="109" t="s">
        <v>19280</v>
      </c>
      <c r="I1555" s="214">
        <v>45330</v>
      </c>
      <c r="J1555" s="116">
        <v>0</v>
      </c>
      <c r="N1555" s="66" t="s">
        <v>19311</v>
      </c>
      <c r="O1555" s="651">
        <v>0</v>
      </c>
    </row>
    <row r="1556" spans="1:15" ht="14.45">
      <c r="A1556" s="86">
        <v>45341</v>
      </c>
      <c r="B1556" s="124">
        <v>43608</v>
      </c>
      <c r="C1556" s="30">
        <v>85599.84</v>
      </c>
      <c r="D1556" s="116">
        <v>0</v>
      </c>
      <c r="E1556" s="119">
        <f t="shared" si="48"/>
        <v>85599.84</v>
      </c>
      <c r="F1556" s="119">
        <f t="shared" si="49"/>
        <v>1.9629389102916894</v>
      </c>
      <c r="G1556" s="88" t="s">
        <v>19647</v>
      </c>
      <c r="H1556" s="109" t="s">
        <v>19278</v>
      </c>
      <c r="I1556" s="214">
        <v>45329</v>
      </c>
      <c r="J1556" s="116">
        <v>0</v>
      </c>
      <c r="N1556" s="66" t="s">
        <v>19312</v>
      </c>
      <c r="O1556" s="651">
        <v>0</v>
      </c>
    </row>
    <row r="1557" spans="1:15" ht="14.45">
      <c r="A1557" s="86">
        <v>45341</v>
      </c>
      <c r="B1557" s="124">
        <v>38400</v>
      </c>
      <c r="C1557" s="30">
        <v>77952</v>
      </c>
      <c r="D1557" s="116">
        <v>0</v>
      </c>
      <c r="E1557" s="119">
        <f t="shared" si="48"/>
        <v>77952</v>
      </c>
      <c r="F1557" s="119">
        <f t="shared" si="49"/>
        <v>2.0299999999999998</v>
      </c>
      <c r="G1557" s="88" t="s">
        <v>19833</v>
      </c>
      <c r="H1557" s="109" t="s">
        <v>19284</v>
      </c>
      <c r="I1557" s="214">
        <v>45336</v>
      </c>
      <c r="J1557" s="116">
        <v>0</v>
      </c>
      <c r="N1557" s="66" t="s">
        <v>19313</v>
      </c>
      <c r="O1557" s="651">
        <v>0</v>
      </c>
    </row>
    <row r="1558" spans="1:15" ht="14.45">
      <c r="A1558" s="86">
        <v>45341</v>
      </c>
      <c r="B1558" s="124">
        <v>23936</v>
      </c>
      <c r="C1558" s="30">
        <f>25740.22*3.3739</f>
        <v>86844.928258</v>
      </c>
      <c r="D1558" s="116">
        <v>28796.416000000001</v>
      </c>
      <c r="E1558" s="119">
        <f t="shared" si="48"/>
        <v>58048.512258000002</v>
      </c>
      <c r="F1558" s="119">
        <f t="shared" si="49"/>
        <v>2.4251550909926474</v>
      </c>
      <c r="G1558" s="88" t="s">
        <v>17343</v>
      </c>
      <c r="H1558" s="109" t="s">
        <v>19283</v>
      </c>
      <c r="I1558" s="214">
        <v>45335</v>
      </c>
      <c r="J1558" s="116">
        <f>10336.34*15%</f>
        <v>1550.451</v>
      </c>
      <c r="N1558" s="66" t="s">
        <v>19314</v>
      </c>
      <c r="O1558" s="651">
        <v>0</v>
      </c>
    </row>
    <row r="1559" spans="1:15" ht="14.45">
      <c r="A1559" s="86">
        <v>45341</v>
      </c>
      <c r="B1559" s="124">
        <v>24456</v>
      </c>
      <c r="C1559" s="30">
        <f>28045.62*3.3739</f>
        <v>94623.11731799999</v>
      </c>
      <c r="D1559" s="116">
        <v>30893.56</v>
      </c>
      <c r="E1559" s="119">
        <f t="shared" si="48"/>
        <v>63729.557317999992</v>
      </c>
      <c r="F1559" s="119">
        <f t="shared" si="49"/>
        <v>2.6058863803565582</v>
      </c>
      <c r="G1559" s="88" t="s">
        <v>17343</v>
      </c>
      <c r="H1559" s="109" t="s">
        <v>19288</v>
      </c>
      <c r="I1559" s="214">
        <v>45338</v>
      </c>
      <c r="J1559" s="116">
        <f>122396.74*15%</f>
        <v>18359.510999999999</v>
      </c>
      <c r="N1559" s="66" t="s">
        <v>19315</v>
      </c>
      <c r="O1559" s="651">
        <v>0</v>
      </c>
    </row>
    <row r="1560" spans="1:15" ht="14.45">
      <c r="A1560" s="86">
        <v>45342</v>
      </c>
      <c r="B1560" s="124">
        <v>56064</v>
      </c>
      <c r="C1560" s="30">
        <f>40646.4*3.1347</f>
        <v>127414.27008</v>
      </c>
      <c r="D1560" s="116">
        <v>18474.823</v>
      </c>
      <c r="E1560" s="119">
        <f t="shared" si="48"/>
        <v>108939.44708</v>
      </c>
      <c r="F1560" s="119">
        <f t="shared" si="49"/>
        <v>1.9431265532248858</v>
      </c>
      <c r="G1560" s="88" t="s">
        <v>19868</v>
      </c>
      <c r="H1560" s="109" t="s">
        <v>19277</v>
      </c>
      <c r="I1560" s="214">
        <v>45328</v>
      </c>
      <c r="J1560" s="116">
        <f>12581.55*25%</f>
        <v>3145.3874999999998</v>
      </c>
      <c r="N1560" s="66" t="s">
        <v>19316</v>
      </c>
      <c r="O1560" s="651">
        <v>16378.41</v>
      </c>
    </row>
    <row r="1561" spans="1:15" ht="14.45">
      <c r="A1561" s="86">
        <v>45342</v>
      </c>
      <c r="B1561" s="124">
        <v>40304</v>
      </c>
      <c r="C1561" s="30">
        <f>34862.96*3.1303</f>
        <v>109131.523688</v>
      </c>
      <c r="D1561" s="116">
        <v>14133.78</v>
      </c>
      <c r="E1561" s="119">
        <f t="shared" si="48"/>
        <v>94997.743688000002</v>
      </c>
      <c r="F1561" s="119">
        <f t="shared" si="49"/>
        <v>2.3570301629614927</v>
      </c>
      <c r="G1561" s="88" t="s">
        <v>19659</v>
      </c>
      <c r="H1561" s="109" t="s">
        <v>19258</v>
      </c>
      <c r="I1561" s="214">
        <v>45310</v>
      </c>
      <c r="J1561" s="116">
        <f>11647.6*15%</f>
        <v>1747.14</v>
      </c>
      <c r="N1561" s="66" t="s">
        <v>19317</v>
      </c>
      <c r="O1561" s="651">
        <v>16368.41</v>
      </c>
    </row>
    <row r="1562" spans="1:15" ht="14.45">
      <c r="A1562" s="86">
        <v>45343</v>
      </c>
      <c r="B1562" s="124">
        <v>40300</v>
      </c>
      <c r="C1562" s="30">
        <f>31837*3.1303</f>
        <v>99659.361100000009</v>
      </c>
      <c r="D1562" s="116">
        <v>13748.98</v>
      </c>
      <c r="E1562" s="119">
        <f t="shared" si="48"/>
        <v>85910.381100000013</v>
      </c>
      <c r="F1562" s="119">
        <f t="shared" si="49"/>
        <v>2.1317712431761788</v>
      </c>
      <c r="G1562" s="88" t="s">
        <v>19659</v>
      </c>
      <c r="H1562" s="109" t="s">
        <v>19259</v>
      </c>
      <c r="I1562" s="214">
        <v>45310</v>
      </c>
      <c r="J1562" s="116">
        <f>11647.6*15%</f>
        <v>1747.14</v>
      </c>
      <c r="N1562" s="66" t="s">
        <v>19318</v>
      </c>
      <c r="O1562" s="651">
        <v>0</v>
      </c>
    </row>
    <row r="1563" spans="1:15" ht="14.45">
      <c r="A1563" s="86">
        <v>45343</v>
      </c>
      <c r="B1563" s="124">
        <v>24508</v>
      </c>
      <c r="C1563" s="30">
        <f>27212.2*3.37575</f>
        <v>91861.58415000001</v>
      </c>
      <c r="D1563" s="116">
        <v>27386.615000000002</v>
      </c>
      <c r="E1563" s="119">
        <f t="shared" si="48"/>
        <v>64474.969150000004</v>
      </c>
      <c r="F1563" s="119">
        <f t="shared" si="49"/>
        <v>2.6307723661661502</v>
      </c>
      <c r="G1563" s="88" t="s">
        <v>17343</v>
      </c>
      <c r="H1563" s="109" t="s">
        <v>19289</v>
      </c>
      <c r="I1563" s="214">
        <v>45339</v>
      </c>
      <c r="J1563" s="116">
        <f>9065.76*15%</f>
        <v>1359.864</v>
      </c>
      <c r="N1563" s="66" t="s">
        <v>19319</v>
      </c>
      <c r="O1563" s="651">
        <v>30675.587</v>
      </c>
    </row>
    <row r="1564" spans="1:15" ht="14.45">
      <c r="A1564" s="86">
        <v>45343</v>
      </c>
      <c r="B1564" s="124">
        <v>23816</v>
      </c>
      <c r="C1564" s="30">
        <f>26034.21*3.37575</f>
        <v>87884.9844075</v>
      </c>
      <c r="D1564" s="116">
        <v>30757.962</v>
      </c>
      <c r="E1564" s="119">
        <f t="shared" si="48"/>
        <v>57127.022407500001</v>
      </c>
      <c r="F1564" s="119">
        <f t="shared" si="49"/>
        <v>2.398682499475143</v>
      </c>
      <c r="G1564" s="88" t="s">
        <v>17343</v>
      </c>
      <c r="H1564" s="109" t="s">
        <v>19290</v>
      </c>
      <c r="I1564" s="214">
        <v>45339</v>
      </c>
      <c r="J1564" s="116">
        <f>12396.74*15%</f>
        <v>1859.511</v>
      </c>
      <c r="N1564" s="66" t="s">
        <v>19320</v>
      </c>
      <c r="O1564" s="651">
        <v>31277.975999999999</v>
      </c>
    </row>
    <row r="1565" spans="1:15" ht="14.45">
      <c r="A1565" s="86">
        <v>45344</v>
      </c>
      <c r="B1565" s="124">
        <v>23608</v>
      </c>
      <c r="C1565" s="30">
        <f>33726.48*2.31885</f>
        <v>78206.648148000007</v>
      </c>
      <c r="D1565" s="116">
        <v>14312.725</v>
      </c>
      <c r="E1565" s="119">
        <f t="shared" si="48"/>
        <v>63893.923148000009</v>
      </c>
      <c r="F1565" s="119">
        <f t="shared" si="49"/>
        <v>2.7064521834971198</v>
      </c>
      <c r="G1565" s="88" t="s">
        <v>17305</v>
      </c>
      <c r="H1565" s="109" t="s">
        <v>19281</v>
      </c>
      <c r="I1565" s="214">
        <v>45330</v>
      </c>
      <c r="J1565" s="116">
        <f>12890.5*15%</f>
        <v>1933.5749999999998</v>
      </c>
      <c r="N1565" s="66" t="s">
        <v>19321</v>
      </c>
      <c r="O1565" s="651">
        <v>27828.609</v>
      </c>
    </row>
    <row r="1566" spans="1:15" ht="14.45">
      <c r="A1566" s="86">
        <v>45344</v>
      </c>
      <c r="B1566" s="124">
        <v>23608</v>
      </c>
      <c r="C1566" s="30">
        <f>33576.48*2.31885</f>
        <v>77858.820648000008</v>
      </c>
      <c r="D1566" s="116">
        <v>16414.325000000001</v>
      </c>
      <c r="E1566" s="119">
        <f t="shared" si="48"/>
        <v>61444.495648000011</v>
      </c>
      <c r="F1566" s="119">
        <f t="shared" si="49"/>
        <v>2.602698053541173</v>
      </c>
      <c r="G1566" s="88" t="s">
        <v>17305</v>
      </c>
      <c r="H1566" s="109" t="s">
        <v>19282</v>
      </c>
      <c r="I1566" s="214">
        <v>45330</v>
      </c>
      <c r="J1566" s="116">
        <f>14922.5*15%</f>
        <v>2238.375</v>
      </c>
      <c r="N1566" s="66" t="s">
        <v>19322</v>
      </c>
      <c r="O1566" s="651">
        <v>0</v>
      </c>
    </row>
    <row r="1567" spans="1:15" ht="14.45">
      <c r="A1567" s="86">
        <v>45346</v>
      </c>
      <c r="B1567" s="124">
        <v>25000</v>
      </c>
      <c r="C1567" s="30">
        <f>30193.74*3.3784</f>
        <v>102006.531216</v>
      </c>
      <c r="D1567" s="116">
        <f>31518.548</f>
        <v>31518.547999999999</v>
      </c>
      <c r="E1567" s="119">
        <f t="shared" si="48"/>
        <v>70487.983216000008</v>
      </c>
      <c r="F1567" s="119">
        <f t="shared" si="49"/>
        <v>2.8195193286400002</v>
      </c>
      <c r="G1567" s="88" t="s">
        <v>17343</v>
      </c>
      <c r="H1567" s="109" t="s">
        <v>19295</v>
      </c>
      <c r="I1567" s="214">
        <v>45344</v>
      </c>
      <c r="J1567" s="116">
        <f>12396.74*15%</f>
        <v>1859.511</v>
      </c>
      <c r="N1567" s="66" t="s">
        <v>19323</v>
      </c>
      <c r="O1567" s="651">
        <v>0</v>
      </c>
    </row>
    <row r="1568" spans="1:15" ht="14.45">
      <c r="A1568" s="86">
        <v>45348</v>
      </c>
      <c r="B1568" s="124">
        <v>23960</v>
      </c>
      <c r="C1568" s="30">
        <f>26576.2*3.1211</f>
        <v>82946.977820000015</v>
      </c>
      <c r="D1568" s="116">
        <v>9960.15</v>
      </c>
      <c r="E1568" s="119">
        <f t="shared" si="48"/>
        <v>72986.82782000002</v>
      </c>
      <c r="F1568" s="119">
        <f t="shared" si="49"/>
        <v>3.0461948171953264</v>
      </c>
      <c r="G1568" s="88" t="s">
        <v>19811</v>
      </c>
      <c r="H1568" s="109" t="s">
        <v>19285</v>
      </c>
      <c r="I1568" s="214">
        <v>45337</v>
      </c>
      <c r="J1568" s="116">
        <f>8450.85*15%</f>
        <v>1267.6275000000001</v>
      </c>
      <c r="N1568" s="66" t="s">
        <v>19324</v>
      </c>
      <c r="O1568" s="651">
        <v>0</v>
      </c>
    </row>
    <row r="1569" spans="1:15" ht="14.45">
      <c r="A1569" s="86">
        <v>45349</v>
      </c>
      <c r="B1569" s="124">
        <v>138624</v>
      </c>
      <c r="C1569" s="30">
        <f>77383.68*3.38015</f>
        <v>261568.44595199998</v>
      </c>
      <c r="D1569" s="116">
        <v>42822.476999999999</v>
      </c>
      <c r="E1569" s="119">
        <f t="shared" si="48"/>
        <v>218745.96895199997</v>
      </c>
      <c r="F1569" s="119">
        <f t="shared" si="49"/>
        <v>1.5779805008656507</v>
      </c>
      <c r="G1569" s="88" t="s">
        <v>19804</v>
      </c>
      <c r="H1569" s="109" t="s">
        <v>19294</v>
      </c>
      <c r="I1569" s="214">
        <v>45342</v>
      </c>
      <c r="J1569" s="116">
        <f>31350.465*25%</f>
        <v>7837.61625</v>
      </c>
      <c r="N1569" s="66" t="s">
        <v>19325</v>
      </c>
      <c r="O1569" s="651">
        <v>15175.06</v>
      </c>
    </row>
    <row r="1570" spans="1:15" ht="14.45">
      <c r="A1570" s="86">
        <v>45349</v>
      </c>
      <c r="B1570" s="124">
        <v>20500</v>
      </c>
      <c r="C1570" s="30">
        <v>49610</v>
      </c>
      <c r="D1570" s="116">
        <v>0</v>
      </c>
      <c r="E1570" s="119">
        <f t="shared" si="48"/>
        <v>49610</v>
      </c>
      <c r="F1570" s="119">
        <f t="shared" si="49"/>
        <v>2.42</v>
      </c>
      <c r="G1570" s="88" t="s">
        <v>17018</v>
      </c>
      <c r="H1570" s="109" t="s">
        <v>19293</v>
      </c>
      <c r="I1570" s="214">
        <v>45342</v>
      </c>
      <c r="J1570" s="116">
        <v>0</v>
      </c>
      <c r="N1570" s="66" t="s">
        <v>19326</v>
      </c>
      <c r="O1570" s="651">
        <v>14703.86</v>
      </c>
    </row>
    <row r="1571" spans="1:15" ht="14.45">
      <c r="A1571" s="86">
        <v>45350</v>
      </c>
      <c r="B1571" s="124">
        <v>26000</v>
      </c>
      <c r="C1571" s="30">
        <v>47420</v>
      </c>
      <c r="D1571" s="116">
        <v>0</v>
      </c>
      <c r="E1571" s="119">
        <f t="shared" si="48"/>
        <v>47420</v>
      </c>
      <c r="F1571" s="119">
        <f t="shared" si="49"/>
        <v>1.8238461538461539</v>
      </c>
      <c r="G1571" s="88" t="s">
        <v>19647</v>
      </c>
      <c r="H1571" s="109" t="s">
        <v>19296</v>
      </c>
      <c r="I1571" s="214">
        <v>45344</v>
      </c>
      <c r="J1571" s="116">
        <v>0</v>
      </c>
      <c r="N1571" s="66" t="s">
        <v>19327</v>
      </c>
      <c r="O1571" s="651">
        <v>0</v>
      </c>
    </row>
    <row r="1572" spans="1:15" ht="14.45">
      <c r="A1572" s="86">
        <v>45532</v>
      </c>
      <c r="B1572" s="124">
        <v>43000</v>
      </c>
      <c r="C1572" s="30">
        <f>32686*3.1198</f>
        <v>101973.7828</v>
      </c>
      <c r="D1572" s="116">
        <v>22503.78</v>
      </c>
      <c r="E1572" s="119">
        <f t="shared" si="48"/>
        <v>79470.002800000002</v>
      </c>
      <c r="F1572" s="119">
        <f t="shared" si="49"/>
        <v>1.8481396000000001</v>
      </c>
      <c r="G1572" s="88" t="s">
        <v>19863</v>
      </c>
      <c r="H1572" s="109" t="s">
        <v>19297</v>
      </c>
      <c r="I1572" s="214">
        <v>45348</v>
      </c>
      <c r="J1572" s="116">
        <f>19517.6*25%</f>
        <v>4879.3999999999996</v>
      </c>
      <c r="N1572" s="66" t="s">
        <v>19328</v>
      </c>
      <c r="O1572" s="651">
        <v>0</v>
      </c>
    </row>
    <row r="1573" spans="1:15" ht="14.45">
      <c r="A1573" s="86">
        <v>45350</v>
      </c>
      <c r="B1573" s="124">
        <v>24768</v>
      </c>
      <c r="C1573" s="30">
        <f>26102.62*3.3798</f>
        <v>88221.635075999991</v>
      </c>
      <c r="D1573" s="116">
        <v>31354.107</v>
      </c>
      <c r="E1573" s="119">
        <f t="shared" si="48"/>
        <v>56867.528075999988</v>
      </c>
      <c r="F1573" s="119">
        <f t="shared" si="49"/>
        <v>2.2960080780038754</v>
      </c>
      <c r="G1573" s="88" t="s">
        <v>17343</v>
      </c>
      <c r="H1573" s="109" t="s">
        <v>19298</v>
      </c>
      <c r="I1573" s="214">
        <v>45348</v>
      </c>
      <c r="J1573" s="116">
        <f>12400.35*15%</f>
        <v>1860.0525</v>
      </c>
      <c r="N1573" s="66" t="s">
        <v>19329</v>
      </c>
      <c r="O1573" s="651">
        <v>30217.646000000001</v>
      </c>
    </row>
    <row r="1574" spans="1:15" ht="14.45">
      <c r="A1574" s="86">
        <v>45351</v>
      </c>
      <c r="B1574" s="124">
        <v>44016</v>
      </c>
      <c r="C1574" s="30">
        <v>87151.679999999993</v>
      </c>
      <c r="D1574" s="116">
        <v>0</v>
      </c>
      <c r="E1574" s="119">
        <f t="shared" si="48"/>
        <v>87151.679999999993</v>
      </c>
      <c r="F1574" s="119">
        <f t="shared" si="49"/>
        <v>1.9799999999999998</v>
      </c>
      <c r="G1574" s="88" t="s">
        <v>19655</v>
      </c>
      <c r="H1574" s="109" t="s">
        <v>19291</v>
      </c>
      <c r="I1574" s="214">
        <v>45342</v>
      </c>
      <c r="J1574" s="116">
        <v>0</v>
      </c>
      <c r="N1574" s="66" t="s">
        <v>19330</v>
      </c>
      <c r="O1574" s="651">
        <v>29053.05</v>
      </c>
    </row>
    <row r="1575" spans="1:15" ht="14.45">
      <c r="A1575" s="86">
        <v>45351</v>
      </c>
      <c r="B1575" s="124">
        <v>135000</v>
      </c>
      <c r="C1575" s="30">
        <v>221400</v>
      </c>
      <c r="D1575" s="116">
        <v>0</v>
      </c>
      <c r="E1575" s="119">
        <f t="shared" si="48"/>
        <v>221400</v>
      </c>
      <c r="F1575" s="119">
        <f t="shared" si="49"/>
        <v>1.64</v>
      </c>
      <c r="G1575" s="88" t="s">
        <v>19647</v>
      </c>
      <c r="H1575" s="109" t="s">
        <v>19299</v>
      </c>
      <c r="I1575" s="214">
        <v>45346</v>
      </c>
      <c r="J1575" s="116">
        <v>0</v>
      </c>
      <c r="N1575" s="66" t="s">
        <v>19331</v>
      </c>
      <c r="O1575" s="651">
        <v>0</v>
      </c>
    </row>
    <row r="1576" spans="1:15" ht="14.45">
      <c r="A1576" s="216">
        <v>45351</v>
      </c>
      <c r="B1576" s="201">
        <v>142493</v>
      </c>
      <c r="C1576" s="202">
        <f>99745.1*3.1176</f>
        <v>310965.32376</v>
      </c>
      <c r="D1576" s="135">
        <v>0</v>
      </c>
      <c r="E1576" s="745">
        <f t="shared" ref="E1576:E1639" si="50">(C1576-D1576)</f>
        <v>310965.32376</v>
      </c>
      <c r="F1576" s="745">
        <f t="shared" ref="F1576:F1639" si="51">(E1576/B1576)</f>
        <v>2.1823199999999998</v>
      </c>
      <c r="G1576" s="136" t="s">
        <v>19688</v>
      </c>
      <c r="H1576" s="746" t="s">
        <v>19303</v>
      </c>
      <c r="I1576" s="215">
        <v>45350</v>
      </c>
      <c r="J1576" s="135">
        <v>0</v>
      </c>
      <c r="N1576" s="66" t="s">
        <v>19332</v>
      </c>
      <c r="O1576" s="651">
        <v>0</v>
      </c>
    </row>
    <row r="1577" spans="1:15" ht="14.45">
      <c r="A1577" s="747">
        <v>45352</v>
      </c>
      <c r="B1577" s="748">
        <v>111907</v>
      </c>
      <c r="C1577" s="749">
        <v>244216.88399999999</v>
      </c>
      <c r="D1577" s="750">
        <v>0</v>
      </c>
      <c r="E1577" s="751">
        <f t="shared" si="50"/>
        <v>244216.88399999999</v>
      </c>
      <c r="F1577" s="751">
        <f t="shared" si="51"/>
        <v>2.182319997855362</v>
      </c>
      <c r="G1577" s="752" t="s">
        <v>19688</v>
      </c>
      <c r="H1577" s="753" t="s">
        <v>19303</v>
      </c>
      <c r="I1577" s="754">
        <v>45350</v>
      </c>
      <c r="J1577" s="750">
        <v>0</v>
      </c>
      <c r="N1577" s="66" t="s">
        <v>19333</v>
      </c>
      <c r="O1577" s="651">
        <v>0</v>
      </c>
    </row>
    <row r="1578" spans="1:15" ht="12.95">
      <c r="A1578" s="101">
        <v>45355</v>
      </c>
      <c r="B1578" s="755">
        <v>24000</v>
      </c>
      <c r="C1578" s="213">
        <f>23070*3.37815</f>
        <v>77933.920500000007</v>
      </c>
      <c r="D1578" s="116">
        <v>33943.523999999998</v>
      </c>
      <c r="E1578" s="119">
        <f t="shared" si="50"/>
        <v>43990.39650000001</v>
      </c>
      <c r="F1578" s="119">
        <f t="shared" si="51"/>
        <v>1.8329331875000003</v>
      </c>
      <c r="G1578" s="88" t="s">
        <v>17343</v>
      </c>
      <c r="H1578" s="756" t="s">
        <v>19301</v>
      </c>
      <c r="I1578" s="214">
        <v>45350</v>
      </c>
      <c r="J1578" s="116">
        <f>15%*12852.84</f>
        <v>1927.9259999999999</v>
      </c>
      <c r="N1578" s="66" t="s">
        <v>19334</v>
      </c>
      <c r="O1578" s="651">
        <v>7683.0749999999998</v>
      </c>
    </row>
    <row r="1579" spans="1:15" ht="14.45">
      <c r="A1579" s="101">
        <v>45356</v>
      </c>
      <c r="B1579" s="87">
        <v>21600</v>
      </c>
      <c r="C1579" s="30">
        <v>54240</v>
      </c>
      <c r="D1579" s="116">
        <v>0</v>
      </c>
      <c r="E1579" s="119">
        <f t="shared" si="50"/>
        <v>54240</v>
      </c>
      <c r="F1579" s="119">
        <f t="shared" si="51"/>
        <v>2.5111111111111111</v>
      </c>
      <c r="G1579" s="88" t="s">
        <v>17227</v>
      </c>
      <c r="H1579" s="109" t="s">
        <v>19287</v>
      </c>
      <c r="I1579" s="214">
        <v>45337</v>
      </c>
      <c r="J1579" s="116">
        <v>0</v>
      </c>
      <c r="N1579" s="66" t="s">
        <v>19335</v>
      </c>
      <c r="O1579" s="651">
        <v>14264.875</v>
      </c>
    </row>
    <row r="1580" spans="1:15" ht="12.95">
      <c r="A1580" s="101">
        <v>45358</v>
      </c>
      <c r="B1580" s="755">
        <v>20848</v>
      </c>
      <c r="C1580" s="213">
        <f>23877.9*3.38055</f>
        <v>80720.434845000011</v>
      </c>
      <c r="D1580" s="116">
        <v>26089.870999999999</v>
      </c>
      <c r="E1580" s="119">
        <f t="shared" si="50"/>
        <v>54630.563845000011</v>
      </c>
      <c r="F1580" s="119">
        <f t="shared" si="51"/>
        <v>2.6204222872697627</v>
      </c>
      <c r="G1580" s="212" t="s">
        <v>17343</v>
      </c>
      <c r="H1580" s="756" t="s">
        <v>19302</v>
      </c>
      <c r="I1580" s="214">
        <v>45350</v>
      </c>
      <c r="J1580" s="116">
        <f>15%*10348.38</f>
        <v>1552.2569999999998</v>
      </c>
      <c r="N1580" s="66" t="s">
        <v>19336</v>
      </c>
      <c r="O1580" s="651">
        <v>18138.46</v>
      </c>
    </row>
    <row r="1581" spans="1:15" ht="12.95">
      <c r="A1581" s="101">
        <v>45358</v>
      </c>
      <c r="B1581" s="755">
        <v>19820</v>
      </c>
      <c r="C1581" s="213">
        <f>26081.62*3.1111</f>
        <v>81142.527982</v>
      </c>
      <c r="D1581" s="116">
        <v>2526.37</v>
      </c>
      <c r="E1581" s="119">
        <f t="shared" si="50"/>
        <v>78616.157982000004</v>
      </c>
      <c r="F1581" s="119">
        <f t="shared" si="51"/>
        <v>3.9665064572149347</v>
      </c>
      <c r="G1581" s="212" t="s">
        <v>19653</v>
      </c>
      <c r="H1581" s="756" t="s">
        <v>19304</v>
      </c>
      <c r="I1581" s="214">
        <v>45355</v>
      </c>
      <c r="J1581" s="116">
        <v>0</v>
      </c>
      <c r="N1581" s="66" t="s">
        <v>19337</v>
      </c>
      <c r="O1581" s="651">
        <v>79556</v>
      </c>
    </row>
    <row r="1582" spans="1:15" ht="12.95">
      <c r="A1582" s="101">
        <v>45358</v>
      </c>
      <c r="B1582" s="755">
        <v>24028</v>
      </c>
      <c r="C1582" s="213">
        <f>25936.03*3.38055</f>
        <v>87678.046216499992</v>
      </c>
      <c r="D1582" s="116">
        <v>30850.469000000001</v>
      </c>
      <c r="E1582" s="119">
        <f t="shared" si="50"/>
        <v>56827.577216499994</v>
      </c>
      <c r="F1582" s="119">
        <f t="shared" si="51"/>
        <v>2.3650564847885795</v>
      </c>
      <c r="G1582" s="212" t="s">
        <v>17343</v>
      </c>
      <c r="H1582" s="756" t="s">
        <v>19305</v>
      </c>
      <c r="I1582" s="214">
        <v>45356</v>
      </c>
      <c r="J1582" s="116">
        <f>15%*12411.18</f>
        <v>1861.6769999999999</v>
      </c>
      <c r="N1582" s="66" t="s">
        <v>19338</v>
      </c>
      <c r="O1582" s="651">
        <v>80432.850000000006</v>
      </c>
    </row>
    <row r="1583" spans="1:15" ht="14.45">
      <c r="A1583" s="101">
        <v>45363</v>
      </c>
      <c r="B1583" s="87">
        <v>50960</v>
      </c>
      <c r="C1583" s="30">
        <v>153458</v>
      </c>
      <c r="D1583" s="116">
        <v>0</v>
      </c>
      <c r="E1583" s="119">
        <f t="shared" si="50"/>
        <v>153458</v>
      </c>
      <c r="F1583" s="119">
        <f t="shared" si="51"/>
        <v>3.0113422291993719</v>
      </c>
      <c r="G1583" s="88" t="s">
        <v>17227</v>
      </c>
      <c r="H1583" s="109" t="s">
        <v>19286</v>
      </c>
      <c r="I1583" s="214">
        <v>45337</v>
      </c>
      <c r="J1583" s="116">
        <v>0</v>
      </c>
      <c r="N1583" s="66" t="s">
        <v>19339</v>
      </c>
      <c r="O1583" s="651">
        <v>16755.145</v>
      </c>
    </row>
    <row r="1584" spans="1:15" ht="14.45">
      <c r="A1584" s="101">
        <v>45364</v>
      </c>
      <c r="B1584" s="87">
        <v>19400</v>
      </c>
      <c r="C1584" s="30">
        <v>33960</v>
      </c>
      <c r="D1584" s="116">
        <v>0</v>
      </c>
      <c r="E1584" s="119">
        <f t="shared" si="50"/>
        <v>33960</v>
      </c>
      <c r="F1584" s="119">
        <f t="shared" si="51"/>
        <v>1.7505154639175258</v>
      </c>
      <c r="G1584" s="88" t="s">
        <v>19826</v>
      </c>
      <c r="H1584" s="109" t="s">
        <v>19292</v>
      </c>
      <c r="I1584" s="214">
        <v>45342</v>
      </c>
      <c r="J1584" s="116">
        <v>0</v>
      </c>
      <c r="N1584" s="66" t="s">
        <v>19340</v>
      </c>
      <c r="O1584" s="651">
        <v>16755.145</v>
      </c>
    </row>
    <row r="1585" spans="1:15" ht="12.95">
      <c r="A1585" s="101">
        <v>45364</v>
      </c>
      <c r="B1585" s="755">
        <v>23704</v>
      </c>
      <c r="C1585" s="213">
        <f>27004.7*3.38435</f>
        <v>91393.356444999998</v>
      </c>
      <c r="D1585" s="116">
        <v>29344.921999999999</v>
      </c>
      <c r="E1585" s="119">
        <f t="shared" si="50"/>
        <v>62048.434444999999</v>
      </c>
      <c r="F1585" s="119">
        <f t="shared" si="51"/>
        <v>2.6176356077033414</v>
      </c>
      <c r="G1585" s="212" t="s">
        <v>17343</v>
      </c>
      <c r="H1585" s="756" t="s">
        <v>19306</v>
      </c>
      <c r="I1585" s="214">
        <v>45357</v>
      </c>
      <c r="J1585" s="116">
        <f>15%*9044.978</f>
        <v>1356.7466999999999</v>
      </c>
      <c r="N1585" s="66" t="s">
        <v>19341</v>
      </c>
      <c r="O1585" s="651">
        <v>0</v>
      </c>
    </row>
    <row r="1586" spans="1:15" ht="12.95">
      <c r="A1586" s="101">
        <v>45364</v>
      </c>
      <c r="B1586" s="755">
        <v>19200</v>
      </c>
      <c r="C1586" s="213">
        <v>38976</v>
      </c>
      <c r="D1586" s="116">
        <v>0</v>
      </c>
      <c r="E1586" s="119">
        <f t="shared" si="50"/>
        <v>38976</v>
      </c>
      <c r="F1586" s="119">
        <f t="shared" si="51"/>
        <v>2.0299999999999998</v>
      </c>
      <c r="G1586" s="212" t="s">
        <v>19655</v>
      </c>
      <c r="H1586" s="756" t="s">
        <v>19309</v>
      </c>
      <c r="I1586" s="214">
        <v>45359</v>
      </c>
      <c r="J1586" s="116">
        <v>0</v>
      </c>
      <c r="N1586" s="66" t="s">
        <v>19342</v>
      </c>
      <c r="O1586" s="651">
        <v>0</v>
      </c>
    </row>
    <row r="1587" spans="1:15" ht="12.95">
      <c r="A1587" s="101">
        <v>45364</v>
      </c>
      <c r="B1587" s="755">
        <v>19200</v>
      </c>
      <c r="C1587" s="213">
        <v>38976</v>
      </c>
      <c r="D1587" s="116">
        <v>0</v>
      </c>
      <c r="E1587" s="119">
        <f t="shared" si="50"/>
        <v>38976</v>
      </c>
      <c r="F1587" s="119">
        <f t="shared" si="51"/>
        <v>2.0299999999999998</v>
      </c>
      <c r="G1587" s="212" t="s">
        <v>19655</v>
      </c>
      <c r="H1587" s="756" t="s">
        <v>19310</v>
      </c>
      <c r="I1587" s="214">
        <v>45359</v>
      </c>
      <c r="J1587" s="116">
        <v>0</v>
      </c>
      <c r="N1587" s="66" t="s">
        <v>19343</v>
      </c>
      <c r="O1587" s="651">
        <v>0</v>
      </c>
    </row>
    <row r="1588" spans="1:15" ht="14.45">
      <c r="A1588" s="101">
        <v>45366</v>
      </c>
      <c r="B1588" s="87">
        <v>21600</v>
      </c>
      <c r="C1588" s="30">
        <v>39744</v>
      </c>
      <c r="D1588" s="116">
        <v>0</v>
      </c>
      <c r="E1588" s="119">
        <f t="shared" si="50"/>
        <v>39744</v>
      </c>
      <c r="F1588" s="119">
        <f t="shared" si="51"/>
        <v>1.84</v>
      </c>
      <c r="G1588" s="88" t="s">
        <v>19647</v>
      </c>
      <c r="H1588" s="109" t="s">
        <v>19312</v>
      </c>
      <c r="I1588" s="214">
        <v>45359</v>
      </c>
      <c r="J1588" s="116">
        <v>0</v>
      </c>
      <c r="N1588" s="66" t="s">
        <v>19344</v>
      </c>
      <c r="O1588" s="651">
        <v>0</v>
      </c>
    </row>
    <row r="1589" spans="1:15" ht="12.95">
      <c r="A1589" s="101">
        <v>45367</v>
      </c>
      <c r="B1589" s="755">
        <v>272042</v>
      </c>
      <c r="C1589" s="213">
        <f>190781.61*3.0962</f>
        <v>590698.02088199998</v>
      </c>
      <c r="D1589" s="116">
        <v>78342.600000000006</v>
      </c>
      <c r="E1589" s="119">
        <f t="shared" si="50"/>
        <v>512355.42088200001</v>
      </c>
      <c r="F1589" s="119">
        <f t="shared" si="51"/>
        <v>1.8833688212923005</v>
      </c>
      <c r="G1589" s="212" t="s">
        <v>19662</v>
      </c>
      <c r="H1589" s="756" t="s">
        <v>19308</v>
      </c>
      <c r="I1589" s="214">
        <v>45357</v>
      </c>
      <c r="J1589" s="116">
        <f>25%*64612.5</f>
        <v>16153.125</v>
      </c>
      <c r="N1589" s="66" t="s">
        <v>19345</v>
      </c>
      <c r="O1589" s="651">
        <v>0</v>
      </c>
    </row>
    <row r="1590" spans="1:15" ht="12.95">
      <c r="A1590" s="101">
        <v>45369</v>
      </c>
      <c r="B1590" s="755">
        <v>38400</v>
      </c>
      <c r="C1590" s="213">
        <v>77952</v>
      </c>
      <c r="D1590" s="116">
        <v>0</v>
      </c>
      <c r="E1590" s="119">
        <f t="shared" si="50"/>
        <v>77952</v>
      </c>
      <c r="F1590" s="119">
        <f t="shared" si="51"/>
        <v>2.0299999999999998</v>
      </c>
      <c r="G1590" s="212" t="s">
        <v>19833</v>
      </c>
      <c r="H1590" s="756" t="s">
        <v>19314</v>
      </c>
      <c r="I1590" s="214">
        <v>45362</v>
      </c>
      <c r="J1590" s="116">
        <v>0</v>
      </c>
      <c r="N1590" s="66" t="s">
        <v>19346</v>
      </c>
      <c r="O1590" s="651">
        <v>0</v>
      </c>
    </row>
    <row r="1591" spans="1:15" ht="12.95">
      <c r="A1591" s="101">
        <v>45369</v>
      </c>
      <c r="B1591" s="755">
        <v>93360</v>
      </c>
      <c r="C1591" s="213">
        <f>99943*3.0962</f>
        <v>309443.51660000003</v>
      </c>
      <c r="D1591" s="116">
        <v>36245.228000000003</v>
      </c>
      <c r="E1591" s="119">
        <f t="shared" si="50"/>
        <v>273198.28860000003</v>
      </c>
      <c r="F1591" s="119">
        <f t="shared" si="51"/>
        <v>2.9262884383033421</v>
      </c>
      <c r="G1591" s="212" t="s">
        <v>19811</v>
      </c>
      <c r="H1591" s="756" t="s">
        <v>19307</v>
      </c>
      <c r="I1591" s="214">
        <v>45357</v>
      </c>
      <c r="J1591" s="116">
        <f>15%*30022.728</f>
        <v>4503.4092000000001</v>
      </c>
      <c r="N1591" s="66" t="s">
        <v>19347</v>
      </c>
      <c r="O1591" s="651">
        <v>0</v>
      </c>
    </row>
    <row r="1592" spans="1:15" ht="12.95">
      <c r="A1592" s="757">
        <v>45370</v>
      </c>
      <c r="B1592" s="758">
        <v>222734</v>
      </c>
      <c r="C1592" s="759">
        <v>441876.42</v>
      </c>
      <c r="D1592" s="116">
        <v>0</v>
      </c>
      <c r="E1592" s="119">
        <f t="shared" si="50"/>
        <v>441876.42</v>
      </c>
      <c r="F1592" s="119">
        <f t="shared" si="51"/>
        <v>1.9838750258155466</v>
      </c>
      <c r="G1592" s="760" t="s">
        <v>19656</v>
      </c>
      <c r="H1592" s="761" t="s">
        <v>19311</v>
      </c>
      <c r="I1592" s="762">
        <v>45359</v>
      </c>
      <c r="J1592" s="116">
        <v>0</v>
      </c>
      <c r="N1592" s="66" t="s">
        <v>19348</v>
      </c>
      <c r="O1592" s="651">
        <v>15106.004999999999</v>
      </c>
    </row>
    <row r="1593" spans="1:15" ht="14.45">
      <c r="A1593" s="757">
        <v>45370</v>
      </c>
      <c r="B1593" s="763">
        <v>71200</v>
      </c>
      <c r="C1593" s="253">
        <v>118680</v>
      </c>
      <c r="D1593" s="116">
        <v>0</v>
      </c>
      <c r="E1593" s="119">
        <f t="shared" si="50"/>
        <v>118680</v>
      </c>
      <c r="F1593" s="119">
        <f t="shared" si="51"/>
        <v>1.6668539325842697</v>
      </c>
      <c r="G1593" s="254" t="s">
        <v>19833</v>
      </c>
      <c r="H1593" s="764" t="s">
        <v>19313</v>
      </c>
      <c r="I1593" s="762">
        <v>45362</v>
      </c>
      <c r="J1593" s="116">
        <v>0</v>
      </c>
      <c r="N1593" s="66" t="s">
        <v>19349</v>
      </c>
      <c r="O1593" s="651">
        <v>73925.850000000006</v>
      </c>
    </row>
    <row r="1594" spans="1:15" ht="14.45">
      <c r="A1594" s="765">
        <v>45370</v>
      </c>
      <c r="B1594" s="766">
        <v>24928</v>
      </c>
      <c r="C1594" s="767">
        <f>28080.48*3.3834</f>
        <v>95007.496031999995</v>
      </c>
      <c r="D1594" s="768">
        <v>30675.587</v>
      </c>
      <c r="E1594" s="768">
        <f t="shared" si="50"/>
        <v>64331.909031999996</v>
      </c>
      <c r="F1594" s="768">
        <f t="shared" si="51"/>
        <v>2.580708802631579</v>
      </c>
      <c r="G1594" s="769" t="s">
        <v>17343</v>
      </c>
      <c r="H1594" s="770" t="s">
        <v>19319</v>
      </c>
      <c r="I1594" s="771">
        <v>45363</v>
      </c>
      <c r="J1594" s="768">
        <f>15%*8957.594</f>
        <v>1343.6390999999999</v>
      </c>
      <c r="N1594" s="66" t="s">
        <v>19350</v>
      </c>
      <c r="O1594" s="651">
        <v>11180.4</v>
      </c>
    </row>
    <row r="1595" spans="1:15" ht="12.95">
      <c r="A1595" s="757">
        <v>45372</v>
      </c>
      <c r="B1595" s="758">
        <v>43200</v>
      </c>
      <c r="C1595" s="759">
        <v>79488</v>
      </c>
      <c r="D1595" s="116">
        <v>0</v>
      </c>
      <c r="E1595" s="119">
        <f t="shared" si="50"/>
        <v>79488</v>
      </c>
      <c r="F1595" s="119">
        <f t="shared" si="51"/>
        <v>1.84</v>
      </c>
      <c r="G1595" s="760" t="s">
        <v>19655</v>
      </c>
      <c r="H1595" s="761" t="s">
        <v>19318</v>
      </c>
      <c r="I1595" s="762">
        <v>45363</v>
      </c>
      <c r="J1595" s="116">
        <v>0</v>
      </c>
      <c r="N1595" s="66" t="s">
        <v>19351</v>
      </c>
      <c r="O1595" s="651">
        <v>2059.56</v>
      </c>
    </row>
    <row r="1596" spans="1:15" ht="12.95">
      <c r="A1596" s="101">
        <v>45374</v>
      </c>
      <c r="B1596" s="755">
        <v>24440</v>
      </c>
      <c r="C1596" s="213">
        <f>25330.93*3.37955</f>
        <v>85607.1444815</v>
      </c>
      <c r="D1596" s="116">
        <v>27828.609</v>
      </c>
      <c r="E1596" s="119">
        <f t="shared" si="50"/>
        <v>57778.535481500003</v>
      </c>
      <c r="F1596" s="119">
        <f t="shared" si="51"/>
        <v>2.3640971964607203</v>
      </c>
      <c r="G1596" s="212" t="s">
        <v>17343</v>
      </c>
      <c r="H1596" s="756" t="s">
        <v>19321</v>
      </c>
      <c r="I1596" s="214">
        <v>45369</v>
      </c>
      <c r="J1596" s="116">
        <f>15%*9052.56</f>
        <v>1357.8839999999998</v>
      </c>
      <c r="N1596" s="66" t="s">
        <v>19353</v>
      </c>
      <c r="O1596" s="651">
        <v>0</v>
      </c>
    </row>
    <row r="1597" spans="1:15" ht="12.95">
      <c r="A1597" s="101">
        <v>45374</v>
      </c>
      <c r="B1597" s="755">
        <v>22872</v>
      </c>
      <c r="C1597" s="213">
        <f>25845.63*3.37955</f>
        <v>87346.598866500004</v>
      </c>
      <c r="D1597" s="116">
        <v>30217.646000000001</v>
      </c>
      <c r="E1597" s="119">
        <f t="shared" si="50"/>
        <v>57128.952866500003</v>
      </c>
      <c r="F1597" s="119">
        <f t="shared" si="51"/>
        <v>2.4977681386192727</v>
      </c>
      <c r="G1597" s="212" t="s">
        <v>17343</v>
      </c>
      <c r="H1597" s="756" t="s">
        <v>19329</v>
      </c>
      <c r="I1597" s="214">
        <v>45373</v>
      </c>
      <c r="J1597" s="116">
        <f>15%*12378.69</f>
        <v>1856.8035</v>
      </c>
      <c r="N1597" s="66" t="s">
        <v>19354</v>
      </c>
      <c r="O1597" s="651">
        <v>2274.37</v>
      </c>
    </row>
    <row r="1598" spans="1:15" ht="12.95">
      <c r="A1598" s="757">
        <v>45376</v>
      </c>
      <c r="B1598" s="758">
        <v>233280</v>
      </c>
      <c r="C1598" s="772">
        <f>163296*3.1013</f>
        <v>506429.8848</v>
      </c>
      <c r="D1598" s="116">
        <v>0</v>
      </c>
      <c r="E1598" s="119">
        <f t="shared" si="50"/>
        <v>506429.8848</v>
      </c>
      <c r="F1598" s="119">
        <f t="shared" si="51"/>
        <v>2.1709100000000001</v>
      </c>
      <c r="G1598" s="760" t="s">
        <v>19688</v>
      </c>
      <c r="H1598" s="761" t="s">
        <v>19328</v>
      </c>
      <c r="I1598" s="762">
        <v>45370</v>
      </c>
      <c r="J1598" s="116">
        <v>0</v>
      </c>
      <c r="N1598" s="66" t="s">
        <v>19355</v>
      </c>
      <c r="O1598" s="651">
        <v>0</v>
      </c>
    </row>
    <row r="1599" spans="1:15" ht="14.45">
      <c r="A1599" s="757">
        <v>45376</v>
      </c>
      <c r="B1599" s="763">
        <v>54000</v>
      </c>
      <c r="C1599" s="253">
        <v>115020</v>
      </c>
      <c r="D1599" s="116">
        <v>0</v>
      </c>
      <c r="E1599" s="119">
        <f t="shared" si="50"/>
        <v>115020</v>
      </c>
      <c r="F1599" s="119">
        <f t="shared" si="51"/>
        <v>2.13</v>
      </c>
      <c r="G1599" s="760" t="s">
        <v>19655</v>
      </c>
      <c r="H1599" s="764" t="s">
        <v>19322</v>
      </c>
      <c r="I1599" s="762">
        <v>45370</v>
      </c>
      <c r="J1599" s="116">
        <v>0</v>
      </c>
      <c r="N1599" s="66" t="s">
        <v>19356</v>
      </c>
      <c r="O1599" s="651">
        <v>0</v>
      </c>
    </row>
    <row r="1600" spans="1:15" ht="14.45">
      <c r="A1600" s="757">
        <v>45376</v>
      </c>
      <c r="B1600" s="763">
        <v>76800</v>
      </c>
      <c r="C1600" s="253">
        <v>157056</v>
      </c>
      <c r="D1600" s="116">
        <v>0</v>
      </c>
      <c r="E1600" s="119">
        <f t="shared" si="50"/>
        <v>157056</v>
      </c>
      <c r="F1600" s="119">
        <f t="shared" si="51"/>
        <v>2.0449999999999999</v>
      </c>
      <c r="G1600" s="254" t="s">
        <v>19656</v>
      </c>
      <c r="H1600" s="764" t="s">
        <v>19323</v>
      </c>
      <c r="I1600" s="762">
        <v>45370</v>
      </c>
      <c r="J1600" s="116">
        <v>0</v>
      </c>
      <c r="N1600" s="66" t="s">
        <v>19357</v>
      </c>
      <c r="O1600" s="651">
        <v>0</v>
      </c>
    </row>
    <row r="1601" spans="1:15" ht="14.45">
      <c r="A1601" s="765">
        <v>45377</v>
      </c>
      <c r="B1601" s="773">
        <v>27804</v>
      </c>
      <c r="C1601" s="774">
        <f>25430.06*3.37855</f>
        <v>85916.729213000013</v>
      </c>
      <c r="D1601" s="768">
        <v>16368.41</v>
      </c>
      <c r="E1601" s="768">
        <f t="shared" si="50"/>
        <v>69548.31921300001</v>
      </c>
      <c r="F1601" s="768">
        <f t="shared" si="51"/>
        <v>2.5013781906560211</v>
      </c>
      <c r="G1601" s="769" t="s">
        <v>19661</v>
      </c>
      <c r="H1601" s="775" t="s">
        <v>19317</v>
      </c>
      <c r="I1601" s="771">
        <v>45363</v>
      </c>
      <c r="J1601" s="768">
        <f>25%*15068.2</f>
        <v>3767.05</v>
      </c>
      <c r="N1601" s="66" t="s">
        <v>19358</v>
      </c>
      <c r="O1601" s="651">
        <v>0</v>
      </c>
    </row>
    <row r="1602" spans="1:15" ht="14.45">
      <c r="A1602" s="765">
        <v>45377</v>
      </c>
      <c r="B1602" s="773">
        <v>28044</v>
      </c>
      <c r="C1602" s="774">
        <f>25553.66*3.37855</f>
        <v>86334.317993000004</v>
      </c>
      <c r="D1602" s="768">
        <v>16378.41</v>
      </c>
      <c r="E1602" s="768">
        <f t="shared" si="50"/>
        <v>69955.907993000001</v>
      </c>
      <c r="F1602" s="768">
        <f t="shared" si="51"/>
        <v>2.4945053484880901</v>
      </c>
      <c r="G1602" s="769" t="s">
        <v>19661</v>
      </c>
      <c r="H1602" s="775" t="s">
        <v>19316</v>
      </c>
      <c r="I1602" s="771">
        <v>45363</v>
      </c>
      <c r="J1602" s="768">
        <f>25%*15068.2</f>
        <v>3767.05</v>
      </c>
      <c r="N1602" s="66" t="s">
        <v>19359</v>
      </c>
      <c r="O1602" s="651">
        <v>0</v>
      </c>
    </row>
    <row r="1603" spans="1:15" ht="12.95">
      <c r="A1603" s="101">
        <v>45377</v>
      </c>
      <c r="B1603" s="755">
        <v>23624</v>
      </c>
      <c r="C1603" s="213">
        <f>25362.29*3.37855</f>
        <v>85687.764879500013</v>
      </c>
      <c r="D1603" s="116">
        <v>29053.05</v>
      </c>
      <c r="E1603" s="119">
        <f t="shared" si="50"/>
        <v>56634.71487950001</v>
      </c>
      <c r="F1603" s="119">
        <f t="shared" si="51"/>
        <v>2.397338083283949</v>
      </c>
      <c r="G1603" s="212" t="s">
        <v>17343</v>
      </c>
      <c r="H1603" s="756" t="s">
        <v>19330</v>
      </c>
      <c r="I1603" s="214">
        <v>45373</v>
      </c>
      <c r="J1603" s="116">
        <f>15%*8948.057</f>
        <v>1342.2085500000001</v>
      </c>
      <c r="N1603" s="66" t="s">
        <v>19360</v>
      </c>
      <c r="O1603" s="651">
        <v>0</v>
      </c>
    </row>
    <row r="1604" spans="1:15" ht="12.95">
      <c r="A1604" s="101">
        <v>45377</v>
      </c>
      <c r="B1604" s="755">
        <v>24880</v>
      </c>
      <c r="C1604" s="213">
        <f>27162.46*3.37855</f>
        <v>91769.729233000005</v>
      </c>
      <c r="D1604" s="116">
        <v>31277.975999999999</v>
      </c>
      <c r="E1604" s="119">
        <f t="shared" si="50"/>
        <v>60491.75323300001</v>
      </c>
      <c r="F1604" s="119">
        <f t="shared" si="51"/>
        <v>2.4313405640273316</v>
      </c>
      <c r="G1604" s="212" t="s">
        <v>17343</v>
      </c>
      <c r="H1604" s="756" t="s">
        <v>19320</v>
      </c>
      <c r="I1604" s="214">
        <v>45369</v>
      </c>
      <c r="J1604" s="116">
        <f>15%*8948.057</f>
        <v>1342.2085500000001</v>
      </c>
      <c r="N1604" s="66" t="s">
        <v>19361</v>
      </c>
      <c r="O1604" s="651">
        <v>0</v>
      </c>
    </row>
    <row r="1605" spans="1:15" ht="14.45">
      <c r="A1605" s="776">
        <v>45378</v>
      </c>
      <c r="B1605" s="766">
        <v>40300</v>
      </c>
      <c r="C1605" s="767">
        <f>34859.5*3.1182</f>
        <v>108698.89289999999</v>
      </c>
      <c r="D1605" s="768">
        <v>15175.06</v>
      </c>
      <c r="E1605" s="768">
        <f t="shared" si="50"/>
        <v>93523.832899999994</v>
      </c>
      <c r="F1605" s="768">
        <f t="shared" si="51"/>
        <v>2.3206906426799008</v>
      </c>
      <c r="G1605" s="769" t="s">
        <v>19659</v>
      </c>
      <c r="H1605" s="770" t="s">
        <v>19325</v>
      </c>
      <c r="I1605" s="771">
        <v>45370</v>
      </c>
      <c r="J1605" s="768">
        <f>11825.2*15%</f>
        <v>1773.78</v>
      </c>
      <c r="N1605" s="66" t="s">
        <v>19362</v>
      </c>
      <c r="O1605" s="651">
        <v>41951.453000000001</v>
      </c>
    </row>
    <row r="1606" spans="1:15" ht="14.45">
      <c r="A1606" s="776">
        <v>45379</v>
      </c>
      <c r="B1606" s="766">
        <v>40300</v>
      </c>
      <c r="C1606" s="767">
        <f>31837*3.1213</f>
        <v>99372.828099999999</v>
      </c>
      <c r="D1606" s="768">
        <v>14703.86</v>
      </c>
      <c r="E1606" s="768">
        <f t="shared" si="50"/>
        <v>84668.968099999998</v>
      </c>
      <c r="F1606" s="768">
        <f t="shared" si="51"/>
        <v>2.1009669503722086</v>
      </c>
      <c r="G1606" s="769" t="s">
        <v>19659</v>
      </c>
      <c r="H1606" s="770" t="s">
        <v>19326</v>
      </c>
      <c r="I1606" s="771">
        <v>45370</v>
      </c>
      <c r="J1606" s="768">
        <f>11825.2*15%</f>
        <v>1773.78</v>
      </c>
      <c r="N1606" s="66" t="s">
        <v>19363</v>
      </c>
      <c r="O1606" s="651">
        <v>0</v>
      </c>
    </row>
    <row r="1607" spans="1:15" ht="14.45">
      <c r="A1607" s="757">
        <v>45379</v>
      </c>
      <c r="B1607" s="763">
        <v>20500</v>
      </c>
      <c r="C1607" s="759">
        <v>50225</v>
      </c>
      <c r="D1607" s="116">
        <v>0</v>
      </c>
      <c r="E1607" s="119">
        <f t="shared" si="50"/>
        <v>50225</v>
      </c>
      <c r="F1607" s="119">
        <f t="shared" si="51"/>
        <v>2.4500000000000002</v>
      </c>
      <c r="G1607" s="254" t="s">
        <v>19869</v>
      </c>
      <c r="H1607" s="777" t="s">
        <v>19315</v>
      </c>
      <c r="I1607" s="762">
        <v>45363</v>
      </c>
      <c r="J1607" s="116">
        <v>0</v>
      </c>
      <c r="N1607" s="66" t="s">
        <v>19364</v>
      </c>
      <c r="O1607" s="651">
        <v>0</v>
      </c>
    </row>
    <row r="1608" spans="1:15" ht="14.45">
      <c r="A1608" s="101">
        <v>45379</v>
      </c>
      <c r="B1608" s="87">
        <v>1680</v>
      </c>
      <c r="C1608" s="213">
        <f>2420.88*3.37965</f>
        <v>8181.7270920000001</v>
      </c>
      <c r="D1608" s="116">
        <v>0</v>
      </c>
      <c r="E1608" s="119">
        <f t="shared" si="50"/>
        <v>8181.7270920000001</v>
      </c>
      <c r="F1608" s="119">
        <f t="shared" si="51"/>
        <v>4.8700756500000004</v>
      </c>
      <c r="G1608" s="88" t="s">
        <v>17343</v>
      </c>
      <c r="H1608" s="778" t="s">
        <v>19327</v>
      </c>
      <c r="I1608" s="214">
        <v>45370</v>
      </c>
      <c r="J1608" s="116">
        <v>0</v>
      </c>
      <c r="N1608" s="66" t="s">
        <v>19365</v>
      </c>
      <c r="O1608" s="651">
        <v>5300.34</v>
      </c>
    </row>
    <row r="1609" spans="1:15" ht="14.45">
      <c r="A1609" s="776">
        <v>45380</v>
      </c>
      <c r="B1609" s="766">
        <v>28000</v>
      </c>
      <c r="C1609" s="767">
        <f>28196.5*3.1182</f>
        <v>87922.326300000001</v>
      </c>
      <c r="D1609" s="768">
        <v>6248.8059999999996</v>
      </c>
      <c r="E1609" s="768">
        <f t="shared" si="50"/>
        <v>81673.520300000004</v>
      </c>
      <c r="F1609" s="768">
        <f t="shared" si="51"/>
        <v>2.9169114392857143</v>
      </c>
      <c r="G1609" s="769" t="s">
        <v>17358</v>
      </c>
      <c r="H1609" s="770" t="s">
        <v>19300</v>
      </c>
      <c r="I1609" s="771">
        <v>45349</v>
      </c>
      <c r="J1609" s="768">
        <f>4670.656*25%</f>
        <v>1167.664</v>
      </c>
      <c r="N1609" s="66" t="s">
        <v>19366</v>
      </c>
      <c r="O1609" s="651">
        <v>14328.915000000001</v>
      </c>
    </row>
    <row r="1610" spans="1:15" ht="14.45">
      <c r="A1610" s="757">
        <v>45380</v>
      </c>
      <c r="B1610" s="763">
        <v>55900</v>
      </c>
      <c r="C1610" s="253">
        <v>164120</v>
      </c>
      <c r="D1610" s="116">
        <v>0</v>
      </c>
      <c r="E1610" s="119">
        <f t="shared" si="50"/>
        <v>164120</v>
      </c>
      <c r="F1610" s="119">
        <f t="shared" si="51"/>
        <v>2.9359570661896242</v>
      </c>
      <c r="G1610" s="254" t="s">
        <v>17227</v>
      </c>
      <c r="H1610" s="764" t="s">
        <v>19331</v>
      </c>
      <c r="I1610" s="762">
        <v>45377</v>
      </c>
      <c r="J1610" s="116">
        <v>0</v>
      </c>
      <c r="N1610" s="66" t="s">
        <v>19367</v>
      </c>
      <c r="O1610" s="651">
        <v>14006.61</v>
      </c>
    </row>
    <row r="1611" spans="1:15" ht="14.45">
      <c r="A1611" s="757">
        <v>45380</v>
      </c>
      <c r="B1611" s="763">
        <v>27840</v>
      </c>
      <c r="C1611" s="253">
        <v>70992</v>
      </c>
      <c r="D1611" s="116">
        <v>0</v>
      </c>
      <c r="E1611" s="119">
        <f t="shared" si="50"/>
        <v>70992</v>
      </c>
      <c r="F1611" s="119">
        <f t="shared" si="51"/>
        <v>2.5499999999999998</v>
      </c>
      <c r="G1611" s="254" t="s">
        <v>17227</v>
      </c>
      <c r="H1611" s="764" t="s">
        <v>19332</v>
      </c>
      <c r="I1611" s="762">
        <v>45378</v>
      </c>
      <c r="J1611" s="116">
        <v>0</v>
      </c>
      <c r="N1611" s="66" t="s">
        <v>19368</v>
      </c>
      <c r="O1611" s="651">
        <v>14123.36</v>
      </c>
    </row>
    <row r="1612" spans="1:15" ht="14.45">
      <c r="A1612" s="757">
        <v>45385</v>
      </c>
      <c r="B1612" s="758">
        <v>109800</v>
      </c>
      <c r="C1612" s="213">
        <v>191394</v>
      </c>
      <c r="D1612" s="116">
        <v>0</v>
      </c>
      <c r="E1612" s="119">
        <f t="shared" si="50"/>
        <v>191394</v>
      </c>
      <c r="F1612" s="119">
        <f t="shared" si="51"/>
        <v>1.7431147540983607</v>
      </c>
      <c r="G1612" s="212" t="s">
        <v>19647</v>
      </c>
      <c r="H1612" s="109" t="s">
        <v>19324</v>
      </c>
      <c r="I1612" s="214">
        <v>45370</v>
      </c>
      <c r="J1612" s="116">
        <v>0</v>
      </c>
      <c r="N1612" s="66" t="s">
        <v>19369</v>
      </c>
      <c r="O1612" s="651">
        <v>7624.835</v>
      </c>
    </row>
    <row r="1613" spans="1:15" ht="14.45">
      <c r="A1613" s="101">
        <v>45387</v>
      </c>
      <c r="B1613" s="755">
        <v>22500</v>
      </c>
      <c r="C1613" s="213">
        <f>17062.5*3.3825</f>
        <v>57713.90625</v>
      </c>
      <c r="D1613" s="116">
        <v>7683.0749999999998</v>
      </c>
      <c r="E1613" s="119">
        <f t="shared" si="50"/>
        <v>50030.831250000003</v>
      </c>
      <c r="F1613" s="119">
        <f t="shared" si="51"/>
        <v>2.2235925000000001</v>
      </c>
      <c r="G1613" s="212" t="s">
        <v>19651</v>
      </c>
      <c r="H1613" s="109" t="s">
        <v>19334</v>
      </c>
      <c r="I1613" s="214">
        <v>45380</v>
      </c>
      <c r="J1613" s="116">
        <f>25%*6191.25</f>
        <v>1547.8125</v>
      </c>
      <c r="N1613" s="66" t="s">
        <v>19370</v>
      </c>
      <c r="O1613" s="651">
        <v>16178.61</v>
      </c>
    </row>
    <row r="1614" spans="1:15" ht="14.45">
      <c r="A1614" s="101">
        <v>45387</v>
      </c>
      <c r="B1614" s="755">
        <v>18600</v>
      </c>
      <c r="C1614" s="213">
        <f>35950*2.30625</f>
        <v>82909.6875</v>
      </c>
      <c r="D1614" s="116">
        <v>14264.875</v>
      </c>
      <c r="E1614" s="119">
        <f t="shared" si="50"/>
        <v>68644.8125</v>
      </c>
      <c r="F1614" s="119">
        <f t="shared" si="51"/>
        <v>3.6905813172043009</v>
      </c>
      <c r="G1614" s="212" t="s">
        <v>17305</v>
      </c>
      <c r="H1614" s="109" t="s">
        <v>19335</v>
      </c>
      <c r="I1614" s="214">
        <v>45384</v>
      </c>
      <c r="J1614" s="116">
        <f>15%*12541.25</f>
        <v>1881.1875</v>
      </c>
      <c r="N1614" s="66" t="s">
        <v>19371</v>
      </c>
      <c r="O1614" s="651">
        <v>8058.8</v>
      </c>
    </row>
    <row r="1615" spans="1:15" ht="14.45">
      <c r="A1615" s="101">
        <v>45400</v>
      </c>
      <c r="B1615" s="755">
        <v>280090</v>
      </c>
      <c r="C1615" s="213">
        <f>195452.35*3.1626</f>
        <v>618137.60210999998</v>
      </c>
      <c r="D1615" s="116">
        <v>79556</v>
      </c>
      <c r="E1615" s="119">
        <f t="shared" si="50"/>
        <v>538581.60210999998</v>
      </c>
      <c r="F1615" s="119">
        <f t="shared" si="51"/>
        <v>1.9228876507908172</v>
      </c>
      <c r="G1615" s="212" t="s">
        <v>19662</v>
      </c>
      <c r="H1615" s="109" t="s">
        <v>19337</v>
      </c>
      <c r="I1615" s="214">
        <v>45397</v>
      </c>
      <c r="J1615" s="116">
        <f>25%*64275</f>
        <v>16068.75</v>
      </c>
      <c r="N1615" s="66" t="s">
        <v>19372</v>
      </c>
      <c r="O1615" s="651">
        <v>0</v>
      </c>
    </row>
    <row r="1616" spans="1:15" ht="14.45">
      <c r="A1616" s="101">
        <v>45401</v>
      </c>
      <c r="B1616" s="755">
        <v>57600</v>
      </c>
      <c r="C1616" s="213">
        <v>116352</v>
      </c>
      <c r="D1616" s="116">
        <v>0</v>
      </c>
      <c r="E1616" s="119">
        <f t="shared" si="50"/>
        <v>116352</v>
      </c>
      <c r="F1616" s="119">
        <f t="shared" si="51"/>
        <v>2.02</v>
      </c>
      <c r="G1616" s="212" t="s">
        <v>19656</v>
      </c>
      <c r="H1616" s="109" t="s">
        <v>19341</v>
      </c>
      <c r="I1616" s="214">
        <v>45397</v>
      </c>
      <c r="J1616" s="116">
        <v>0</v>
      </c>
      <c r="N1616" s="66" t="s">
        <v>19373</v>
      </c>
      <c r="O1616" s="651">
        <v>0</v>
      </c>
    </row>
    <row r="1617" spans="1:15" ht="14.45">
      <c r="A1617" s="101">
        <v>45401</v>
      </c>
      <c r="B1617" s="755">
        <v>25860</v>
      </c>
      <c r="C1617" s="213">
        <f>23942.9*3.3597</f>
        <v>80440.961130000011</v>
      </c>
      <c r="D1617" s="116">
        <v>16755.145</v>
      </c>
      <c r="E1617" s="119">
        <f t="shared" si="50"/>
        <v>63685.816130000007</v>
      </c>
      <c r="F1617" s="119">
        <f t="shared" si="51"/>
        <v>2.4627152409126065</v>
      </c>
      <c r="G1617" s="212" t="s">
        <v>19661</v>
      </c>
      <c r="H1617" s="109" t="s">
        <v>19339</v>
      </c>
      <c r="I1617" s="214">
        <v>45397</v>
      </c>
      <c r="J1617" s="116">
        <f>25%*14978.9</f>
        <v>3744.7249999999999</v>
      </c>
      <c r="N1617" s="66" t="s">
        <v>19374</v>
      </c>
      <c r="O1617" s="651">
        <v>0</v>
      </c>
    </row>
    <row r="1618" spans="1:15" ht="14.45">
      <c r="A1618" s="101">
        <v>45401</v>
      </c>
      <c r="B1618" s="755">
        <v>25860</v>
      </c>
      <c r="C1618" s="213">
        <f>23942.9*3.3597</f>
        <v>80440.961130000011</v>
      </c>
      <c r="D1618" s="116">
        <v>16755.145</v>
      </c>
      <c r="E1618" s="119">
        <f t="shared" si="50"/>
        <v>63685.816130000007</v>
      </c>
      <c r="F1618" s="119">
        <f t="shared" si="51"/>
        <v>2.4627152409126065</v>
      </c>
      <c r="G1618" s="212" t="s">
        <v>19661</v>
      </c>
      <c r="H1618" s="109" t="s">
        <v>19340</v>
      </c>
      <c r="I1618" s="214">
        <v>45397</v>
      </c>
      <c r="J1618" s="116">
        <f>25%*14978.9</f>
        <v>3744.7249999999999</v>
      </c>
      <c r="N1618" s="66" t="s">
        <v>19375</v>
      </c>
      <c r="O1618" s="651">
        <v>0</v>
      </c>
    </row>
    <row r="1619" spans="1:15" ht="14.45">
      <c r="A1619" s="101">
        <v>45401</v>
      </c>
      <c r="B1619" s="755">
        <v>172128</v>
      </c>
      <c r="C1619" s="213">
        <v>290724.47999999998</v>
      </c>
      <c r="D1619" s="116">
        <v>0</v>
      </c>
      <c r="E1619" s="119">
        <f t="shared" si="50"/>
        <v>290724.47999999998</v>
      </c>
      <c r="F1619" s="119">
        <f t="shared" si="51"/>
        <v>1.6890016731734523</v>
      </c>
      <c r="G1619" s="212" t="s">
        <v>19870</v>
      </c>
      <c r="H1619" s="109" t="s">
        <v>19333</v>
      </c>
      <c r="I1619" s="214">
        <v>45377</v>
      </c>
      <c r="J1619" s="116">
        <v>0</v>
      </c>
      <c r="N1619" s="66" t="s">
        <v>19376</v>
      </c>
      <c r="O1619" s="651">
        <v>0</v>
      </c>
    </row>
    <row r="1620" spans="1:15" ht="14.45">
      <c r="A1620" s="101">
        <v>45404</v>
      </c>
      <c r="B1620" s="755">
        <v>49560</v>
      </c>
      <c r="C1620" s="213">
        <f>33099.2*3.3597</f>
        <v>111203.38223999999</v>
      </c>
      <c r="D1620" s="116">
        <v>18138.46</v>
      </c>
      <c r="E1620" s="119">
        <f t="shared" si="50"/>
        <v>93064.922239999985</v>
      </c>
      <c r="F1620" s="119">
        <f t="shared" si="51"/>
        <v>1.877823289749798</v>
      </c>
      <c r="G1620" s="212" t="s">
        <v>19796</v>
      </c>
      <c r="H1620" s="109" t="s">
        <v>19336</v>
      </c>
      <c r="I1620" s="214">
        <v>45397</v>
      </c>
      <c r="J1620" s="116">
        <f>25%*15340.8</f>
        <v>3835.2</v>
      </c>
      <c r="N1620" s="66" t="s">
        <v>19377</v>
      </c>
      <c r="O1620" s="651">
        <v>0</v>
      </c>
    </row>
    <row r="1621" spans="1:15" ht="14.45">
      <c r="A1621" s="101">
        <v>45404</v>
      </c>
      <c r="B1621" s="755">
        <v>40300</v>
      </c>
      <c r="C1621" s="213">
        <f>34859.5*3.15685</f>
        <v>110046.212575</v>
      </c>
      <c r="D1621" s="116">
        <v>15106.004999999999</v>
      </c>
      <c r="E1621" s="119">
        <f t="shared" si="50"/>
        <v>94940.207574999993</v>
      </c>
      <c r="F1621" s="119">
        <f t="shared" si="51"/>
        <v>2.3558364162531014</v>
      </c>
      <c r="G1621" s="212" t="s">
        <v>19659</v>
      </c>
      <c r="H1621" s="109" t="s">
        <v>19348</v>
      </c>
      <c r="I1621" s="214">
        <v>45398</v>
      </c>
      <c r="J1621" s="116">
        <f>15%*11851.1</f>
        <v>1777.665</v>
      </c>
      <c r="N1621" s="66" t="s">
        <v>19378</v>
      </c>
      <c r="O1621" s="651">
        <v>0</v>
      </c>
    </row>
    <row r="1622" spans="1:15" ht="14.45">
      <c r="A1622" s="101">
        <v>45406</v>
      </c>
      <c r="B1622" s="755">
        <v>280090</v>
      </c>
      <c r="C1622" s="213">
        <f>195452.35*3.15685</f>
        <v>617013.75109749998</v>
      </c>
      <c r="D1622" s="116">
        <v>80432.850000000006</v>
      </c>
      <c r="E1622" s="119">
        <f t="shared" si="50"/>
        <v>536580.9010975</v>
      </c>
      <c r="F1622" s="119">
        <f t="shared" si="51"/>
        <v>1.9157445860169946</v>
      </c>
      <c r="G1622" s="212" t="s">
        <v>19662</v>
      </c>
      <c r="H1622" s="109" t="s">
        <v>19338</v>
      </c>
      <c r="I1622" s="214">
        <v>45397</v>
      </c>
      <c r="J1622" s="116">
        <f>25%*64406.25</f>
        <v>16101.5625</v>
      </c>
      <c r="N1622" s="66" t="s">
        <v>19379</v>
      </c>
      <c r="O1622" s="651">
        <v>0</v>
      </c>
    </row>
    <row r="1623" spans="1:15" ht="14.45">
      <c r="A1623" s="757">
        <v>45406</v>
      </c>
      <c r="B1623" s="758">
        <v>19200</v>
      </c>
      <c r="C1623" s="759">
        <v>41856</v>
      </c>
      <c r="D1623" s="116">
        <v>0</v>
      </c>
      <c r="E1623" s="119">
        <f t="shared" si="50"/>
        <v>41856</v>
      </c>
      <c r="F1623" s="119">
        <f t="shared" si="51"/>
        <v>2.1800000000000002</v>
      </c>
      <c r="G1623" s="760" t="s">
        <v>19833</v>
      </c>
      <c r="H1623" s="109" t="s">
        <v>19345</v>
      </c>
      <c r="I1623" s="762">
        <v>45398</v>
      </c>
      <c r="J1623" s="116">
        <v>0</v>
      </c>
      <c r="N1623" s="66" t="s">
        <v>19380</v>
      </c>
      <c r="O1623" s="651">
        <v>0</v>
      </c>
    </row>
    <row r="1624" spans="1:15" ht="14.45">
      <c r="A1624" s="757">
        <v>45406</v>
      </c>
      <c r="B1624" s="758">
        <v>19200</v>
      </c>
      <c r="C1624" s="759">
        <v>41856</v>
      </c>
      <c r="D1624" s="116">
        <v>0</v>
      </c>
      <c r="E1624" s="119">
        <f t="shared" si="50"/>
        <v>41856</v>
      </c>
      <c r="F1624" s="119">
        <f t="shared" si="51"/>
        <v>2.1800000000000002</v>
      </c>
      <c r="G1624" s="760" t="s">
        <v>19833</v>
      </c>
      <c r="H1624" s="109" t="s">
        <v>19344</v>
      </c>
      <c r="I1624" s="762">
        <v>45398</v>
      </c>
      <c r="J1624" s="116">
        <v>0</v>
      </c>
      <c r="N1624" s="66" t="s">
        <v>19381</v>
      </c>
      <c r="O1624" s="651">
        <v>0</v>
      </c>
    </row>
    <row r="1625" spans="1:15" ht="14.45">
      <c r="A1625" s="757">
        <v>45406</v>
      </c>
      <c r="B1625" s="758">
        <v>21000</v>
      </c>
      <c r="C1625" s="759">
        <v>44700</v>
      </c>
      <c r="D1625" s="116">
        <v>0</v>
      </c>
      <c r="E1625" s="119">
        <f t="shared" si="50"/>
        <v>44700</v>
      </c>
      <c r="F1625" s="119">
        <f t="shared" si="51"/>
        <v>2.1285714285714286</v>
      </c>
      <c r="G1625" s="760" t="s">
        <v>19833</v>
      </c>
      <c r="H1625" s="109" t="s">
        <v>19346</v>
      </c>
      <c r="I1625" s="762">
        <v>45398</v>
      </c>
      <c r="J1625" s="116">
        <v>0</v>
      </c>
      <c r="N1625" s="66" t="s">
        <v>19382</v>
      </c>
      <c r="O1625" s="651">
        <v>25390.6</v>
      </c>
    </row>
    <row r="1626" spans="1:15" ht="14.45">
      <c r="A1626" s="757">
        <v>45411</v>
      </c>
      <c r="B1626" s="758">
        <v>488250</v>
      </c>
      <c r="C1626" s="759">
        <v>871395</v>
      </c>
      <c r="D1626" s="116">
        <v>0</v>
      </c>
      <c r="E1626" s="119">
        <f t="shared" si="50"/>
        <v>871395</v>
      </c>
      <c r="F1626" s="119">
        <f t="shared" si="51"/>
        <v>1.7847311827956989</v>
      </c>
      <c r="G1626" s="760" t="s">
        <v>19833</v>
      </c>
      <c r="H1626" s="109" t="s">
        <v>19347</v>
      </c>
      <c r="I1626" s="762">
        <v>45398</v>
      </c>
      <c r="J1626" s="116">
        <v>0</v>
      </c>
      <c r="N1626" s="66" t="s">
        <v>19383</v>
      </c>
      <c r="O1626" s="651">
        <v>0</v>
      </c>
    </row>
    <row r="1627" spans="1:15" ht="14.45">
      <c r="A1627" s="757">
        <v>45412</v>
      </c>
      <c r="B1627" s="758">
        <v>26000</v>
      </c>
      <c r="C1627" s="759">
        <v>43430</v>
      </c>
      <c r="D1627" s="116">
        <v>0</v>
      </c>
      <c r="E1627" s="119">
        <f t="shared" si="50"/>
        <v>43430</v>
      </c>
      <c r="F1627" s="119">
        <f t="shared" si="51"/>
        <v>1.6703846153846154</v>
      </c>
      <c r="G1627" s="760" t="s">
        <v>19833</v>
      </c>
      <c r="H1627" s="109" t="s">
        <v>19357</v>
      </c>
      <c r="I1627" s="762">
        <v>45408</v>
      </c>
      <c r="J1627" s="116">
        <v>0</v>
      </c>
      <c r="N1627" s="66" t="s">
        <v>19384</v>
      </c>
      <c r="O1627" s="651">
        <v>0</v>
      </c>
    </row>
    <row r="1628" spans="1:15" ht="14.45">
      <c r="A1628" s="757">
        <v>45412</v>
      </c>
      <c r="B1628" s="758">
        <v>44016</v>
      </c>
      <c r="C1628" s="759">
        <v>88472.16</v>
      </c>
      <c r="D1628" s="116">
        <v>0</v>
      </c>
      <c r="E1628" s="119">
        <f t="shared" si="50"/>
        <v>88472.16</v>
      </c>
      <c r="F1628" s="119">
        <f t="shared" si="51"/>
        <v>2.0100000000000002</v>
      </c>
      <c r="G1628" s="760" t="s">
        <v>19647</v>
      </c>
      <c r="H1628" s="109" t="s">
        <v>19356</v>
      </c>
      <c r="I1628" s="762">
        <v>45408</v>
      </c>
      <c r="J1628" s="116">
        <v>0</v>
      </c>
      <c r="N1628" s="66" t="s">
        <v>19385</v>
      </c>
      <c r="O1628" s="651">
        <v>0</v>
      </c>
    </row>
    <row r="1629" spans="1:15" ht="14.45">
      <c r="A1629" s="757">
        <v>45412</v>
      </c>
      <c r="B1629" s="758">
        <v>16276</v>
      </c>
      <c r="C1629" s="759">
        <v>51613.599999999999</v>
      </c>
      <c r="D1629" s="116">
        <v>0</v>
      </c>
      <c r="E1629" s="119">
        <f t="shared" si="50"/>
        <v>51613.599999999999</v>
      </c>
      <c r="F1629" s="119">
        <f t="shared" si="51"/>
        <v>3.1711477021381174</v>
      </c>
      <c r="G1629" s="760" t="s">
        <v>17018</v>
      </c>
      <c r="H1629" s="109" t="s">
        <v>19250</v>
      </c>
      <c r="I1629" s="762">
        <v>45304</v>
      </c>
      <c r="J1629" s="116">
        <v>0</v>
      </c>
      <c r="N1629" s="66" t="s">
        <v>19386</v>
      </c>
      <c r="O1629" s="651">
        <v>2276.9699999999998</v>
      </c>
    </row>
    <row r="1630" spans="1:15" ht="14.45">
      <c r="A1630" s="779">
        <v>45414</v>
      </c>
      <c r="B1630" s="763">
        <v>43200</v>
      </c>
      <c r="C1630" s="253">
        <v>87696</v>
      </c>
      <c r="D1630" s="116">
        <v>0</v>
      </c>
      <c r="E1630" s="119">
        <f t="shared" si="50"/>
        <v>87696</v>
      </c>
      <c r="F1630" s="119">
        <f t="shared" si="51"/>
        <v>2.0299999999999998</v>
      </c>
      <c r="G1630" s="212" t="s">
        <v>19655</v>
      </c>
      <c r="H1630" s="109" t="s">
        <v>19358</v>
      </c>
      <c r="I1630" s="762">
        <v>45408</v>
      </c>
      <c r="J1630" s="116">
        <v>0</v>
      </c>
      <c r="N1630" s="66" t="s">
        <v>19387</v>
      </c>
      <c r="O1630" s="651">
        <v>16659.919999999998</v>
      </c>
    </row>
    <row r="1631" spans="1:15" ht="14.45">
      <c r="A1631" s="86">
        <v>45414</v>
      </c>
      <c r="B1631" s="87">
        <v>40800</v>
      </c>
      <c r="C1631" s="30">
        <f>26818*3.36905</f>
        <v>90351.1829</v>
      </c>
      <c r="D1631" s="116">
        <v>11180.4</v>
      </c>
      <c r="E1631" s="119">
        <f t="shared" si="50"/>
        <v>79170.782900000006</v>
      </c>
      <c r="F1631" s="119">
        <f t="shared" si="51"/>
        <v>1.9404603651960786</v>
      </c>
      <c r="G1631" s="212" t="s">
        <v>19651</v>
      </c>
      <c r="H1631" s="109" t="s">
        <v>19350</v>
      </c>
      <c r="I1631" s="214">
        <v>45405</v>
      </c>
      <c r="J1631" s="116">
        <f>8537.4*25%</f>
        <v>2134.35</v>
      </c>
      <c r="N1631" s="66" t="s">
        <v>19388</v>
      </c>
      <c r="O1631" s="651">
        <v>0</v>
      </c>
    </row>
    <row r="1632" spans="1:15" ht="12.95">
      <c r="A1632" s="779">
        <v>45415</v>
      </c>
      <c r="B1632" s="763">
        <v>22008</v>
      </c>
      <c r="C1632" s="253">
        <v>44622.48</v>
      </c>
      <c r="D1632" s="116">
        <v>0</v>
      </c>
      <c r="E1632" s="119">
        <f t="shared" si="50"/>
        <v>44622.48</v>
      </c>
      <c r="F1632" s="119">
        <f t="shared" si="51"/>
        <v>2.0275572519083971</v>
      </c>
      <c r="G1632" s="212" t="s">
        <v>19656</v>
      </c>
      <c r="H1632" s="104" t="s">
        <v>19355</v>
      </c>
      <c r="I1632" s="762">
        <v>45408</v>
      </c>
      <c r="J1632" s="116">
        <v>0</v>
      </c>
      <c r="N1632" s="66" t="s">
        <v>19389</v>
      </c>
      <c r="O1632" s="651">
        <v>0</v>
      </c>
    </row>
    <row r="1633" spans="1:15" ht="14.45">
      <c r="A1633" s="779">
        <v>45415</v>
      </c>
      <c r="B1633" s="763">
        <v>19184</v>
      </c>
      <c r="C1633" s="253">
        <v>60252.800000000003</v>
      </c>
      <c r="D1633" s="116">
        <v>0</v>
      </c>
      <c r="E1633" s="119">
        <f t="shared" si="50"/>
        <v>60252.800000000003</v>
      </c>
      <c r="F1633" s="119">
        <f t="shared" si="51"/>
        <v>3.1407839866555465</v>
      </c>
      <c r="G1633" s="212" t="s">
        <v>17018</v>
      </c>
      <c r="H1633" s="109" t="s">
        <v>19353</v>
      </c>
      <c r="I1633" s="762">
        <v>45407</v>
      </c>
      <c r="J1633" s="116">
        <v>0</v>
      </c>
      <c r="N1633" s="66" t="s">
        <v>19390</v>
      </c>
      <c r="O1633" s="651">
        <v>9235.25</v>
      </c>
    </row>
    <row r="1634" spans="1:15" ht="12.95">
      <c r="A1634" s="779">
        <v>45418</v>
      </c>
      <c r="B1634" s="758">
        <v>32400</v>
      </c>
      <c r="C1634" s="759">
        <v>81540</v>
      </c>
      <c r="D1634" s="116">
        <v>0</v>
      </c>
      <c r="E1634" s="119">
        <f t="shared" si="50"/>
        <v>81540</v>
      </c>
      <c r="F1634" s="119">
        <f t="shared" si="51"/>
        <v>2.5166666666666666</v>
      </c>
      <c r="G1634" s="212" t="s">
        <v>17227</v>
      </c>
      <c r="H1634" s="756" t="s">
        <v>19342</v>
      </c>
      <c r="I1634" s="762">
        <v>45397</v>
      </c>
      <c r="J1634" s="116">
        <v>0</v>
      </c>
      <c r="N1634" s="66" t="s">
        <v>19391</v>
      </c>
      <c r="O1634" s="651">
        <v>22932.125</v>
      </c>
    </row>
    <row r="1635" spans="1:15" ht="14.45">
      <c r="A1635" s="86">
        <v>45419</v>
      </c>
      <c r="B1635" s="87">
        <v>20608</v>
      </c>
      <c r="C1635" s="30">
        <f>28481.71*3.1361</f>
        <v>89321.490730999998</v>
      </c>
      <c r="D1635" s="116">
        <v>2274.37</v>
      </c>
      <c r="E1635" s="119">
        <f t="shared" si="50"/>
        <v>87047.120731000003</v>
      </c>
      <c r="F1635" s="119">
        <f t="shared" si="51"/>
        <v>4.2239480168381212</v>
      </c>
      <c r="G1635" s="212" t="s">
        <v>19653</v>
      </c>
      <c r="H1635" s="109" t="s">
        <v>19354</v>
      </c>
      <c r="I1635" s="214">
        <v>45407</v>
      </c>
      <c r="J1635" s="116">
        <v>0</v>
      </c>
      <c r="N1635" s="66" t="s">
        <v>19392</v>
      </c>
      <c r="O1635" s="651">
        <v>0</v>
      </c>
    </row>
    <row r="1636" spans="1:15" ht="14.45">
      <c r="A1636" s="779">
        <v>45420</v>
      </c>
      <c r="B1636" s="763">
        <v>26000</v>
      </c>
      <c r="C1636" s="253">
        <v>43420</v>
      </c>
      <c r="D1636" s="116">
        <v>0</v>
      </c>
      <c r="E1636" s="119">
        <f t="shared" si="50"/>
        <v>43420</v>
      </c>
      <c r="F1636" s="119">
        <f t="shared" si="51"/>
        <v>1.67</v>
      </c>
      <c r="G1636" s="212" t="s">
        <v>19656</v>
      </c>
      <c r="H1636" s="109" t="s">
        <v>19360</v>
      </c>
      <c r="I1636" s="762">
        <v>45415</v>
      </c>
      <c r="J1636" s="116">
        <v>0</v>
      </c>
      <c r="N1636" s="66" t="s">
        <v>19393</v>
      </c>
      <c r="O1636" s="651">
        <v>0</v>
      </c>
    </row>
    <row r="1637" spans="1:15" ht="12.95">
      <c r="A1637" s="779">
        <v>45421</v>
      </c>
      <c r="B1637" s="763">
        <v>38400</v>
      </c>
      <c r="C1637" s="253">
        <v>78720</v>
      </c>
      <c r="D1637" s="116">
        <v>0</v>
      </c>
      <c r="E1637" s="119">
        <f t="shared" si="50"/>
        <v>78720</v>
      </c>
      <c r="F1637" s="119">
        <f t="shared" si="51"/>
        <v>2.0499999999999998</v>
      </c>
      <c r="G1637" s="212" t="s">
        <v>19656</v>
      </c>
      <c r="H1637" s="104" t="s">
        <v>19359</v>
      </c>
      <c r="I1637" s="762">
        <v>45415</v>
      </c>
      <c r="J1637" s="116">
        <v>0</v>
      </c>
      <c r="N1637" s="66" t="s">
        <v>19394</v>
      </c>
      <c r="O1637" s="651">
        <v>8714.34</v>
      </c>
    </row>
    <row r="1638" spans="1:15" ht="14.45">
      <c r="A1638" s="86">
        <v>45422</v>
      </c>
      <c r="B1638" s="87">
        <v>20150</v>
      </c>
      <c r="C1638" s="30">
        <f>15918.5*3.13965</f>
        <v>49978.518524999999</v>
      </c>
      <c r="D1638" s="116">
        <v>7624.835</v>
      </c>
      <c r="E1638" s="119">
        <f t="shared" si="50"/>
        <v>42353.683525</v>
      </c>
      <c r="F1638" s="119">
        <f t="shared" si="51"/>
        <v>2.1019197779156329</v>
      </c>
      <c r="G1638" s="212" t="s">
        <v>19659</v>
      </c>
      <c r="H1638" s="109" t="s">
        <v>19369</v>
      </c>
      <c r="I1638" s="214">
        <v>45420</v>
      </c>
      <c r="J1638" s="116">
        <f>5866.35*15%</f>
        <v>879.95249999999999</v>
      </c>
      <c r="N1638" s="66" t="s">
        <v>19395</v>
      </c>
      <c r="O1638" s="651">
        <v>0</v>
      </c>
    </row>
    <row r="1639" spans="1:15" ht="14.45">
      <c r="A1639" s="779">
        <v>45425</v>
      </c>
      <c r="B1639" s="763">
        <v>88000</v>
      </c>
      <c r="C1639" s="253">
        <f>125095*3.13085</f>
        <v>391653.68075</v>
      </c>
      <c r="D1639" s="116">
        <v>0</v>
      </c>
      <c r="E1639" s="119">
        <f t="shared" si="50"/>
        <v>391653.68075</v>
      </c>
      <c r="F1639" s="119">
        <f t="shared" si="51"/>
        <v>4.4506100085227276</v>
      </c>
      <c r="G1639" s="212" t="s">
        <v>19688</v>
      </c>
      <c r="H1639" s="109" t="s">
        <v>19364</v>
      </c>
      <c r="I1639" s="762">
        <v>45419</v>
      </c>
      <c r="J1639" s="116">
        <v>0</v>
      </c>
      <c r="N1639" s="66" t="s">
        <v>19396</v>
      </c>
      <c r="O1639" s="651">
        <v>0</v>
      </c>
    </row>
    <row r="1640" spans="1:15" ht="14.45">
      <c r="A1640" s="779">
        <v>45425</v>
      </c>
      <c r="B1640" s="763">
        <v>109800</v>
      </c>
      <c r="C1640" s="253">
        <v>191394</v>
      </c>
      <c r="D1640" s="116">
        <v>0</v>
      </c>
      <c r="E1640" s="119">
        <f t="shared" ref="E1640:E1703" si="52">(C1640-D1640)</f>
        <v>191394</v>
      </c>
      <c r="F1640" s="119">
        <f t="shared" ref="F1640:F1703" si="53">(E1640/B1640)</f>
        <v>1.7431147540983607</v>
      </c>
      <c r="G1640" s="212" t="s">
        <v>19647</v>
      </c>
      <c r="H1640" s="109" t="s">
        <v>19363</v>
      </c>
      <c r="I1640" s="762">
        <v>45419</v>
      </c>
      <c r="J1640" s="116">
        <v>0</v>
      </c>
      <c r="N1640" s="66" t="s">
        <v>19397</v>
      </c>
      <c r="O1640" s="651">
        <v>79105.600000000006</v>
      </c>
    </row>
    <row r="1641" spans="1:15" ht="14.45">
      <c r="A1641" s="86">
        <v>45426</v>
      </c>
      <c r="B1641" s="87">
        <v>19200</v>
      </c>
      <c r="C1641" s="30">
        <f>13454*3.37635</f>
        <v>45425.412900000003</v>
      </c>
      <c r="D1641" s="116">
        <v>5300.34</v>
      </c>
      <c r="E1641" s="119">
        <f t="shared" si="52"/>
        <v>40125.072899999999</v>
      </c>
      <c r="F1641" s="119">
        <f t="shared" si="53"/>
        <v>2.0898475468749997</v>
      </c>
      <c r="G1641" s="212" t="s">
        <v>19796</v>
      </c>
      <c r="H1641" s="109" t="s">
        <v>19365</v>
      </c>
      <c r="I1641" s="214">
        <v>45420</v>
      </c>
      <c r="J1641" s="116">
        <f>25%*4173.84</f>
        <v>1043.46</v>
      </c>
      <c r="N1641" s="66" t="s">
        <v>19398</v>
      </c>
      <c r="O1641" s="651">
        <v>16224.08</v>
      </c>
    </row>
    <row r="1642" spans="1:15" ht="14.45">
      <c r="A1642" s="86">
        <v>45426</v>
      </c>
      <c r="B1642" s="87">
        <v>40800</v>
      </c>
      <c r="C1642" s="30">
        <f>27160*3.37635</f>
        <v>91701.665999999997</v>
      </c>
      <c r="D1642" s="116">
        <v>14328.915000000001</v>
      </c>
      <c r="E1642" s="119">
        <f t="shared" si="52"/>
        <v>77372.750999999989</v>
      </c>
      <c r="F1642" s="119">
        <f t="shared" si="53"/>
        <v>1.8963909558823526</v>
      </c>
      <c r="G1642" s="212" t="s">
        <v>19651</v>
      </c>
      <c r="H1642" s="109" t="s">
        <v>19366</v>
      </c>
      <c r="I1642" s="214">
        <v>45420</v>
      </c>
      <c r="J1642" s="116">
        <f>11632.48*25%</f>
        <v>2908.12</v>
      </c>
      <c r="N1642" s="66" t="s">
        <v>19399</v>
      </c>
      <c r="O1642" s="651">
        <v>13947.11</v>
      </c>
    </row>
    <row r="1643" spans="1:15" ht="14.45">
      <c r="A1643" s="779">
        <v>45427</v>
      </c>
      <c r="B1643" s="763">
        <v>19200</v>
      </c>
      <c r="C1643" s="253">
        <v>38976</v>
      </c>
      <c r="D1643" s="116">
        <v>0</v>
      </c>
      <c r="E1643" s="119">
        <f t="shared" si="52"/>
        <v>38976</v>
      </c>
      <c r="F1643" s="119">
        <f t="shared" si="53"/>
        <v>2.0299999999999998</v>
      </c>
      <c r="G1643" s="212" t="s">
        <v>19655</v>
      </c>
      <c r="H1643" s="109" t="s">
        <v>19361</v>
      </c>
      <c r="I1643" s="762">
        <v>45415</v>
      </c>
      <c r="J1643" s="116">
        <v>0</v>
      </c>
      <c r="N1643" s="66" t="s">
        <v>19400</v>
      </c>
      <c r="O1643" s="651">
        <v>0</v>
      </c>
    </row>
    <row r="1644" spans="1:15" ht="14.45">
      <c r="A1644" s="779">
        <v>45427</v>
      </c>
      <c r="B1644" s="763">
        <v>56100</v>
      </c>
      <c r="C1644" s="253">
        <v>110064</v>
      </c>
      <c r="D1644" s="116">
        <v>0</v>
      </c>
      <c r="E1644" s="119">
        <f t="shared" si="52"/>
        <v>110064</v>
      </c>
      <c r="F1644" s="119">
        <f t="shared" si="53"/>
        <v>1.9619251336898396</v>
      </c>
      <c r="G1644" s="212" t="s">
        <v>19655</v>
      </c>
      <c r="H1644" s="109" t="s">
        <v>19374</v>
      </c>
      <c r="I1644" s="762">
        <v>45421</v>
      </c>
      <c r="J1644" s="116">
        <v>0</v>
      </c>
      <c r="N1644" s="66" t="s">
        <v>19401</v>
      </c>
      <c r="O1644" s="651">
        <v>0</v>
      </c>
    </row>
    <row r="1645" spans="1:15" ht="14.45">
      <c r="A1645" s="779">
        <v>45427</v>
      </c>
      <c r="B1645" s="763">
        <v>56100</v>
      </c>
      <c r="C1645" s="253">
        <v>110064</v>
      </c>
      <c r="D1645" s="116">
        <v>0</v>
      </c>
      <c r="E1645" s="119">
        <f t="shared" si="52"/>
        <v>110064</v>
      </c>
      <c r="F1645" s="119">
        <f t="shared" si="53"/>
        <v>1.9619251336898396</v>
      </c>
      <c r="G1645" s="212" t="s">
        <v>19655</v>
      </c>
      <c r="H1645" s="109" t="s">
        <v>19375</v>
      </c>
      <c r="I1645" s="762">
        <v>45421</v>
      </c>
      <c r="J1645" s="116">
        <v>0</v>
      </c>
      <c r="N1645" s="66" t="s">
        <v>19402</v>
      </c>
      <c r="O1645" s="651">
        <v>21219.99</v>
      </c>
    </row>
    <row r="1646" spans="1:15" ht="14.45">
      <c r="A1646" s="779">
        <v>45428</v>
      </c>
      <c r="B1646" s="763">
        <v>60020</v>
      </c>
      <c r="C1646" s="253">
        <v>131439.20000000001</v>
      </c>
      <c r="D1646" s="116">
        <v>0</v>
      </c>
      <c r="E1646" s="119">
        <f t="shared" si="52"/>
        <v>131439.20000000001</v>
      </c>
      <c r="F1646" s="119">
        <f t="shared" si="53"/>
        <v>2.1899233588803733</v>
      </c>
      <c r="G1646" s="212" t="s">
        <v>19656</v>
      </c>
      <c r="H1646" s="109" t="s">
        <v>19378</v>
      </c>
      <c r="I1646" s="762">
        <v>45422</v>
      </c>
      <c r="J1646" s="116">
        <v>0</v>
      </c>
      <c r="N1646" s="66" t="s">
        <v>19403</v>
      </c>
      <c r="O1646" s="651">
        <v>0</v>
      </c>
    </row>
    <row r="1647" spans="1:15" ht="14.45">
      <c r="A1647" s="86">
        <v>45429</v>
      </c>
      <c r="B1647" s="87">
        <v>23971</v>
      </c>
      <c r="C1647" s="30">
        <f>23896.82*3.1219</f>
        <v>74603.482358000008</v>
      </c>
      <c r="D1647" s="116">
        <v>16178.61</v>
      </c>
      <c r="E1647" s="119">
        <f t="shared" si="52"/>
        <v>58424.872358000008</v>
      </c>
      <c r="F1647" s="119">
        <f t="shared" si="53"/>
        <v>2.4373147702640696</v>
      </c>
      <c r="G1647" s="212" t="s">
        <v>19779</v>
      </c>
      <c r="H1647" s="109" t="s">
        <v>19370</v>
      </c>
      <c r="I1647" s="214">
        <v>45420</v>
      </c>
      <c r="J1647" s="116">
        <f>11632.48*15%</f>
        <v>1744.8719999999998</v>
      </c>
      <c r="N1647" s="66" t="s">
        <v>19404</v>
      </c>
      <c r="O1647" s="651">
        <v>6469.05</v>
      </c>
    </row>
    <row r="1648" spans="1:15" ht="14.45">
      <c r="A1648" s="779">
        <v>45429</v>
      </c>
      <c r="B1648" s="763">
        <v>20750</v>
      </c>
      <c r="C1648" s="253">
        <v>39632.5</v>
      </c>
      <c r="D1648" s="116">
        <v>0</v>
      </c>
      <c r="E1648" s="119">
        <f t="shared" si="52"/>
        <v>39632.5</v>
      </c>
      <c r="F1648" s="119">
        <f t="shared" si="53"/>
        <v>1.91</v>
      </c>
      <c r="G1648" s="212" t="s">
        <v>19655</v>
      </c>
      <c r="H1648" s="109" t="s">
        <v>19379</v>
      </c>
      <c r="I1648" s="762">
        <v>45426</v>
      </c>
      <c r="J1648" s="116">
        <v>0</v>
      </c>
      <c r="N1648" s="66" t="s">
        <v>19405</v>
      </c>
      <c r="O1648" s="651">
        <v>0</v>
      </c>
    </row>
    <row r="1649" spans="1:15" ht="14.45">
      <c r="A1649" s="86">
        <v>45429</v>
      </c>
      <c r="B1649" s="87">
        <v>138624</v>
      </c>
      <c r="C1649" s="30">
        <f>78107.52*3.38135</f>
        <v>264108.86275199999</v>
      </c>
      <c r="D1649" s="116">
        <v>41951.453000000001</v>
      </c>
      <c r="E1649" s="119">
        <f t="shared" si="52"/>
        <v>222157.40975199998</v>
      </c>
      <c r="F1649" s="119">
        <f t="shared" si="53"/>
        <v>1.6025898094990765</v>
      </c>
      <c r="G1649" s="212" t="s">
        <v>19804</v>
      </c>
      <c r="H1649" s="109" t="s">
        <v>19362</v>
      </c>
      <c r="I1649" s="214">
        <v>45419</v>
      </c>
      <c r="J1649" s="116">
        <f>31368.655*25%</f>
        <v>7842.1637499999997</v>
      </c>
      <c r="N1649" s="66" t="s">
        <v>19406</v>
      </c>
      <c r="O1649" s="651">
        <v>0</v>
      </c>
    </row>
    <row r="1650" spans="1:15" ht="14.45">
      <c r="A1650" s="86">
        <v>45429</v>
      </c>
      <c r="B1650" s="87">
        <v>21531</v>
      </c>
      <c r="C1650" s="30">
        <f>39716.3*2.28505</f>
        <v>90753.731315000012</v>
      </c>
      <c r="D1650" s="116">
        <v>14006.61</v>
      </c>
      <c r="E1650" s="119">
        <f t="shared" si="52"/>
        <v>76747.121315000011</v>
      </c>
      <c r="F1650" s="119">
        <f t="shared" si="53"/>
        <v>3.5644940464911063</v>
      </c>
      <c r="G1650" s="212" t="s">
        <v>17305</v>
      </c>
      <c r="H1650" s="109" t="s">
        <v>19367</v>
      </c>
      <c r="I1650" s="214">
        <v>45420</v>
      </c>
      <c r="J1650" s="116">
        <f>12189.1*15%</f>
        <v>1828.365</v>
      </c>
      <c r="N1650" s="66" t="s">
        <v>19407</v>
      </c>
      <c r="O1650" s="651">
        <v>0</v>
      </c>
    </row>
    <row r="1651" spans="1:15" ht="14.45">
      <c r="A1651" s="779">
        <v>45429</v>
      </c>
      <c r="B1651" s="763">
        <v>20032</v>
      </c>
      <c r="C1651" s="253">
        <v>43205.440000000002</v>
      </c>
      <c r="D1651" s="116">
        <v>0</v>
      </c>
      <c r="E1651" s="119">
        <f t="shared" si="52"/>
        <v>43205.440000000002</v>
      </c>
      <c r="F1651" s="119">
        <f t="shared" si="53"/>
        <v>2.156821086261981</v>
      </c>
      <c r="G1651" s="212" t="s">
        <v>19656</v>
      </c>
      <c r="H1651" s="109" t="s">
        <v>19377</v>
      </c>
      <c r="I1651" s="762">
        <v>45422</v>
      </c>
      <c r="J1651" s="116">
        <v>0</v>
      </c>
      <c r="N1651" s="66" t="s">
        <v>19408</v>
      </c>
      <c r="O1651" s="651">
        <v>41734.777999999998</v>
      </c>
    </row>
    <row r="1652" spans="1:15" ht="14.45">
      <c r="A1652" s="779">
        <v>45432</v>
      </c>
      <c r="B1652" s="763">
        <v>20506</v>
      </c>
      <c r="C1652" s="253">
        <f>18446.4*3.112</f>
        <v>57405.196800000005</v>
      </c>
      <c r="D1652" s="116">
        <v>0</v>
      </c>
      <c r="E1652" s="119">
        <f t="shared" si="52"/>
        <v>57405.196800000005</v>
      </c>
      <c r="F1652" s="119">
        <f t="shared" si="53"/>
        <v>2.7994341558568228</v>
      </c>
      <c r="G1652" s="212" t="s">
        <v>19871</v>
      </c>
      <c r="H1652" s="109" t="s">
        <v>19372</v>
      </c>
      <c r="I1652" s="762">
        <v>45421</v>
      </c>
      <c r="J1652" s="116">
        <v>0</v>
      </c>
      <c r="N1652" s="66" t="s">
        <v>19409</v>
      </c>
      <c r="O1652" s="651">
        <v>0</v>
      </c>
    </row>
    <row r="1653" spans="1:15" ht="14.45">
      <c r="A1653" s="779">
        <v>45432</v>
      </c>
      <c r="B1653" s="763">
        <v>20496</v>
      </c>
      <c r="C1653" s="253">
        <f>18455.04*3.112</f>
        <v>57432.084480000005</v>
      </c>
      <c r="D1653" s="116">
        <v>0</v>
      </c>
      <c r="E1653" s="119">
        <f t="shared" si="52"/>
        <v>57432.084480000005</v>
      </c>
      <c r="F1653" s="119">
        <f t="shared" si="53"/>
        <v>2.8021118501170963</v>
      </c>
      <c r="G1653" s="212" t="s">
        <v>19871</v>
      </c>
      <c r="H1653" s="109" t="s">
        <v>19373</v>
      </c>
      <c r="I1653" s="762">
        <v>45421</v>
      </c>
      <c r="J1653" s="116">
        <v>0</v>
      </c>
      <c r="N1653" s="66" t="s">
        <v>19410</v>
      </c>
      <c r="O1653" s="651">
        <v>0</v>
      </c>
    </row>
    <row r="1654" spans="1:15" ht="14.45">
      <c r="A1654" s="779">
        <v>45433</v>
      </c>
      <c r="B1654" s="763">
        <v>239282</v>
      </c>
      <c r="C1654" s="253">
        <v>478039.32</v>
      </c>
      <c r="D1654" s="116">
        <v>0</v>
      </c>
      <c r="E1654" s="119">
        <f t="shared" si="52"/>
        <v>478039.32</v>
      </c>
      <c r="F1654" s="119">
        <f t="shared" si="53"/>
        <v>1.9978072734263339</v>
      </c>
      <c r="G1654" s="212" t="s">
        <v>19656</v>
      </c>
      <c r="H1654" s="109" t="s">
        <v>19376</v>
      </c>
      <c r="I1654" s="762">
        <v>45422</v>
      </c>
      <c r="J1654" s="116">
        <v>0</v>
      </c>
      <c r="N1654" s="66" t="s">
        <v>19411</v>
      </c>
      <c r="O1654" s="651">
        <v>0</v>
      </c>
    </row>
    <row r="1655" spans="1:15" ht="14.45">
      <c r="A1655" s="779">
        <v>45434</v>
      </c>
      <c r="B1655" s="763">
        <v>96000</v>
      </c>
      <c r="C1655" s="253">
        <v>194880</v>
      </c>
      <c r="D1655" s="116">
        <v>0</v>
      </c>
      <c r="E1655" s="119">
        <f t="shared" si="52"/>
        <v>194880</v>
      </c>
      <c r="F1655" s="119">
        <f t="shared" si="53"/>
        <v>2.0299999999999998</v>
      </c>
      <c r="G1655" s="212" t="s">
        <v>19833</v>
      </c>
      <c r="H1655" s="109" t="s">
        <v>19380</v>
      </c>
      <c r="I1655" s="762">
        <v>45426</v>
      </c>
      <c r="J1655" s="116">
        <v>0</v>
      </c>
      <c r="N1655" s="66" t="s">
        <v>19412</v>
      </c>
      <c r="O1655" s="651">
        <v>84154.52</v>
      </c>
    </row>
    <row r="1656" spans="1:15" ht="14.45">
      <c r="A1656" s="86">
        <v>45435</v>
      </c>
      <c r="B1656" s="87">
        <v>40300</v>
      </c>
      <c r="C1656" s="30">
        <f>36874.5*3.1159</f>
        <v>114897.25455</v>
      </c>
      <c r="D1656" s="116">
        <v>14123.36</v>
      </c>
      <c r="E1656" s="119">
        <f t="shared" si="52"/>
        <v>100773.89455</v>
      </c>
      <c r="F1656" s="119">
        <f t="shared" si="53"/>
        <v>2.5005929168734489</v>
      </c>
      <c r="G1656" s="212" t="s">
        <v>19659</v>
      </c>
      <c r="H1656" s="109" t="s">
        <v>19368</v>
      </c>
      <c r="I1656" s="214">
        <v>45420</v>
      </c>
      <c r="J1656" s="116">
        <f>11751.2*15%</f>
        <v>1762.68</v>
      </c>
      <c r="N1656" s="66" t="s">
        <v>19413</v>
      </c>
      <c r="O1656" s="651">
        <v>7275.9</v>
      </c>
    </row>
    <row r="1657" spans="1:15" ht="12.95">
      <c r="A1657" s="779">
        <v>45435</v>
      </c>
      <c r="B1657" s="763">
        <v>65616</v>
      </c>
      <c r="C1657" s="253">
        <v>129175.67999999999</v>
      </c>
      <c r="D1657" s="116">
        <v>0</v>
      </c>
      <c r="E1657" s="119">
        <f t="shared" si="52"/>
        <v>129175.67999999999</v>
      </c>
      <c r="F1657" s="119">
        <f t="shared" si="53"/>
        <v>1.9686613021214336</v>
      </c>
      <c r="G1657" s="212" t="s">
        <v>19647</v>
      </c>
      <c r="H1657" s="104" t="s">
        <v>19343</v>
      </c>
      <c r="I1657" s="762">
        <v>45398</v>
      </c>
      <c r="J1657" s="116">
        <v>0</v>
      </c>
      <c r="N1657" s="66" t="s">
        <v>19414</v>
      </c>
      <c r="O1657" s="651">
        <v>33161.25</v>
      </c>
    </row>
    <row r="1658" spans="1:15" ht="12.95">
      <c r="A1658" s="779">
        <v>45435</v>
      </c>
      <c r="B1658" s="763">
        <v>57600</v>
      </c>
      <c r="C1658" s="253">
        <v>118656</v>
      </c>
      <c r="D1658" s="116">
        <v>0</v>
      </c>
      <c r="E1658" s="119">
        <f t="shared" si="52"/>
        <v>118656</v>
      </c>
      <c r="F1658" s="119">
        <f t="shared" si="53"/>
        <v>2.06</v>
      </c>
      <c r="G1658" s="212" t="s">
        <v>19833</v>
      </c>
      <c r="H1658" s="104" t="s">
        <v>19385</v>
      </c>
      <c r="I1658" s="762">
        <v>45432</v>
      </c>
      <c r="J1658" s="116">
        <v>0</v>
      </c>
      <c r="N1658" s="66" t="s">
        <v>19415</v>
      </c>
      <c r="O1658" s="651">
        <v>0</v>
      </c>
    </row>
    <row r="1659" spans="1:15" ht="14.45">
      <c r="A1659" s="86">
        <v>45436</v>
      </c>
      <c r="B1659" s="87">
        <v>40500</v>
      </c>
      <c r="C1659" s="30">
        <f>25595*3.38115</f>
        <v>86540.534249999997</v>
      </c>
      <c r="D1659" s="116">
        <v>8058.8</v>
      </c>
      <c r="E1659" s="119">
        <f t="shared" si="52"/>
        <v>78481.734249999994</v>
      </c>
      <c r="F1659" s="119">
        <f t="shared" si="53"/>
        <v>1.937820598765432</v>
      </c>
      <c r="G1659" s="212" t="s">
        <v>19852</v>
      </c>
      <c r="H1659" s="109" t="s">
        <v>19371</v>
      </c>
      <c r="I1659" s="214">
        <v>45421</v>
      </c>
      <c r="J1659" s="116">
        <f>5820.8*25%</f>
        <v>1455.2</v>
      </c>
      <c r="N1659" s="66" t="s">
        <v>19416</v>
      </c>
      <c r="O1659" s="651">
        <v>0</v>
      </c>
    </row>
    <row r="1660" spans="1:15" ht="14.45">
      <c r="A1660" s="779">
        <v>45439</v>
      </c>
      <c r="B1660" s="763">
        <v>20750</v>
      </c>
      <c r="C1660" s="253">
        <v>39632.5</v>
      </c>
      <c r="D1660" s="116">
        <v>0</v>
      </c>
      <c r="E1660" s="119">
        <f t="shared" si="52"/>
        <v>39632.5</v>
      </c>
      <c r="F1660" s="119">
        <f t="shared" si="53"/>
        <v>1.91</v>
      </c>
      <c r="G1660" s="212" t="s">
        <v>19655</v>
      </c>
      <c r="H1660" s="109" t="s">
        <v>19389</v>
      </c>
      <c r="I1660" s="762">
        <v>45433</v>
      </c>
      <c r="J1660" s="116">
        <v>0</v>
      </c>
      <c r="N1660" s="66" t="s">
        <v>19417</v>
      </c>
      <c r="O1660" s="651">
        <v>16704.595000000001</v>
      </c>
    </row>
    <row r="1661" spans="1:15" ht="14.45">
      <c r="A1661" s="86">
        <v>45440</v>
      </c>
      <c r="B1661" s="87">
        <v>20100</v>
      </c>
      <c r="C1661" s="30">
        <f>25634.1*3.1229</f>
        <v>80052.730889999992</v>
      </c>
      <c r="D1661" s="116">
        <v>2276.9699999999998</v>
      </c>
      <c r="E1661" s="119">
        <f t="shared" si="52"/>
        <v>77775.76088999999</v>
      </c>
      <c r="F1661" s="119">
        <f t="shared" si="53"/>
        <v>3.8694408402985068</v>
      </c>
      <c r="G1661" s="212" t="s">
        <v>19653</v>
      </c>
      <c r="H1661" s="109" t="s">
        <v>19386</v>
      </c>
      <c r="I1661" s="214">
        <v>45432</v>
      </c>
      <c r="J1661" s="116">
        <v>0</v>
      </c>
      <c r="N1661" s="66" t="s">
        <v>19418</v>
      </c>
      <c r="O1661" s="651">
        <v>15197.145</v>
      </c>
    </row>
    <row r="1662" spans="1:15" ht="14.45">
      <c r="A1662" s="779">
        <v>45441</v>
      </c>
      <c r="B1662" s="763">
        <v>280000</v>
      </c>
      <c r="C1662" s="253">
        <v>493700</v>
      </c>
      <c r="D1662" s="116">
        <v>0</v>
      </c>
      <c r="E1662" s="119">
        <f t="shared" si="52"/>
        <v>493700</v>
      </c>
      <c r="F1662" s="119">
        <f t="shared" si="53"/>
        <v>1.7632142857142856</v>
      </c>
      <c r="G1662" s="212" t="s">
        <v>19833</v>
      </c>
      <c r="H1662" s="109" t="s">
        <v>19384</v>
      </c>
      <c r="I1662" s="762">
        <v>45432</v>
      </c>
      <c r="J1662" s="116">
        <v>0</v>
      </c>
      <c r="N1662" s="66" t="s">
        <v>19419</v>
      </c>
      <c r="O1662" s="651">
        <v>0</v>
      </c>
    </row>
    <row r="1663" spans="1:15" ht="14.45">
      <c r="A1663" s="779">
        <v>45442</v>
      </c>
      <c r="B1663" s="763">
        <v>43200</v>
      </c>
      <c r="C1663" s="253">
        <v>87696</v>
      </c>
      <c r="D1663" s="116">
        <v>0</v>
      </c>
      <c r="E1663" s="119">
        <f t="shared" si="52"/>
        <v>87696</v>
      </c>
      <c r="F1663" s="119">
        <f t="shared" si="53"/>
        <v>2.0299999999999998</v>
      </c>
      <c r="G1663" s="212" t="s">
        <v>19655</v>
      </c>
      <c r="H1663" s="109" t="s">
        <v>19388</v>
      </c>
      <c r="I1663" s="762">
        <v>45433</v>
      </c>
      <c r="J1663" s="116">
        <v>0</v>
      </c>
      <c r="N1663" s="66" t="s">
        <v>19420</v>
      </c>
      <c r="O1663" s="651">
        <v>14658.7</v>
      </c>
    </row>
    <row r="1664" spans="1:15" ht="14.45">
      <c r="A1664" s="235">
        <v>45442</v>
      </c>
      <c r="B1664" s="242">
        <v>38400</v>
      </c>
      <c r="C1664" s="237">
        <f>28128*3.1122</f>
        <v>87539.961599999995</v>
      </c>
      <c r="D1664" s="780">
        <v>9235.25</v>
      </c>
      <c r="E1664" s="780">
        <f t="shared" si="52"/>
        <v>78304.711599999995</v>
      </c>
      <c r="F1664" s="780">
        <f t="shared" si="53"/>
        <v>2.0391851979166664</v>
      </c>
      <c r="G1664" s="781" t="s">
        <v>19839</v>
      </c>
      <c r="H1664" s="782" t="s">
        <v>19390</v>
      </c>
      <c r="I1664" s="783">
        <v>45439</v>
      </c>
      <c r="J1664" s="780">
        <f>6468.15*25%</f>
        <v>1617.0374999999999</v>
      </c>
      <c r="N1664" s="66" t="s">
        <v>19421</v>
      </c>
      <c r="O1664" s="651">
        <v>8916.7950000000001</v>
      </c>
    </row>
    <row r="1665" spans="1:15" ht="14.45">
      <c r="A1665" s="86">
        <v>45442</v>
      </c>
      <c r="B1665" s="87">
        <v>24996</v>
      </c>
      <c r="C1665" s="30">
        <f>23251.94*3.38565</f>
        <v>78722.930660999991</v>
      </c>
      <c r="D1665" s="116">
        <v>16659.919999999998</v>
      </c>
      <c r="E1665" s="119">
        <f t="shared" si="52"/>
        <v>62063.010660999993</v>
      </c>
      <c r="F1665" s="119">
        <f t="shared" si="53"/>
        <v>2.4829176932709229</v>
      </c>
      <c r="G1665" s="212" t="s">
        <v>19661</v>
      </c>
      <c r="H1665" s="109" t="s">
        <v>19387</v>
      </c>
      <c r="I1665" s="214">
        <v>45432</v>
      </c>
      <c r="J1665" s="116">
        <f>14908.4*25%</f>
        <v>3727.1</v>
      </c>
      <c r="N1665" s="66" t="s">
        <v>19422</v>
      </c>
      <c r="O1665" s="651">
        <v>0</v>
      </c>
    </row>
    <row r="1666" spans="1:15" ht="14.45">
      <c r="A1666" s="235">
        <v>45443</v>
      </c>
      <c r="B1666" s="242">
        <v>8136</v>
      </c>
      <c r="C1666" s="237">
        <f>1407.53*3.37635</f>
        <v>4752.3139154999999</v>
      </c>
      <c r="D1666" s="239">
        <v>0</v>
      </c>
      <c r="E1666" s="241">
        <f t="shared" si="52"/>
        <v>4752.3139154999999</v>
      </c>
      <c r="F1666" s="241">
        <f t="shared" si="53"/>
        <v>0.58410937997787604</v>
      </c>
      <c r="G1666" s="781" t="s">
        <v>17343</v>
      </c>
      <c r="H1666" s="782" t="s">
        <v>19381</v>
      </c>
      <c r="I1666" s="783">
        <v>45426</v>
      </c>
      <c r="J1666" s="239">
        <v>0</v>
      </c>
      <c r="N1666" s="66" t="s">
        <v>19423</v>
      </c>
      <c r="O1666" s="651">
        <v>0</v>
      </c>
    </row>
    <row r="1667" spans="1:15" ht="14.45">
      <c r="A1667" s="235">
        <v>45443</v>
      </c>
      <c r="B1667" s="242">
        <v>8504</v>
      </c>
      <c r="C1667" s="237">
        <f>8052.61*3.38055</f>
        <v>27222.250735499998</v>
      </c>
      <c r="D1667" s="780">
        <v>25390.6</v>
      </c>
      <c r="E1667" s="780">
        <f t="shared" si="52"/>
        <v>1831.6507354999994</v>
      </c>
      <c r="F1667" s="780">
        <f t="shared" si="53"/>
        <v>0.21538696325258694</v>
      </c>
      <c r="G1667" s="781" t="s">
        <v>17343</v>
      </c>
      <c r="H1667" s="782" t="s">
        <v>19382</v>
      </c>
      <c r="I1667" s="783">
        <v>45426</v>
      </c>
      <c r="J1667" s="780">
        <f>12382.3*15%</f>
        <v>1857.3449999999998</v>
      </c>
      <c r="N1667" s="66" t="s">
        <v>19425</v>
      </c>
      <c r="O1667" s="651">
        <v>20498.794999999998</v>
      </c>
    </row>
    <row r="1668" spans="1:15" ht="14.45">
      <c r="A1668" s="235">
        <v>45443</v>
      </c>
      <c r="B1668" s="242">
        <v>57600</v>
      </c>
      <c r="C1668" s="237">
        <f>38154*3.38565</f>
        <v>129176.0901</v>
      </c>
      <c r="D1668" s="780">
        <v>36962.925000000003</v>
      </c>
      <c r="E1668" s="780">
        <f t="shared" si="52"/>
        <v>92213.165099999998</v>
      </c>
      <c r="F1668" s="780">
        <f t="shared" si="53"/>
        <v>1.6009230052083332</v>
      </c>
      <c r="G1668" s="781" t="s">
        <v>19857</v>
      </c>
      <c r="H1668" s="782" t="s">
        <v>19349</v>
      </c>
      <c r="I1668" s="783">
        <v>45404</v>
      </c>
      <c r="J1668" s="780">
        <f>26665.5*25%</f>
        <v>6666.375</v>
      </c>
      <c r="N1668" s="66" t="s">
        <v>19426</v>
      </c>
      <c r="O1668" s="651">
        <v>2455.4699999999998</v>
      </c>
    </row>
    <row r="1669" spans="1:15" ht="14.45">
      <c r="A1669" s="216">
        <v>45446</v>
      </c>
      <c r="B1669" s="784">
        <v>76800</v>
      </c>
      <c r="C1669" s="202">
        <f>172234.787</f>
        <v>172234.78700000001</v>
      </c>
      <c r="D1669" s="135">
        <v>36962.925000000003</v>
      </c>
      <c r="E1669" s="745">
        <f t="shared" si="52"/>
        <v>135271.86200000002</v>
      </c>
      <c r="F1669" s="745">
        <f t="shared" si="53"/>
        <v>1.7613523697916669</v>
      </c>
      <c r="G1669" s="785" t="s">
        <v>19831</v>
      </c>
      <c r="H1669" s="746" t="s">
        <v>19349</v>
      </c>
      <c r="I1669" s="215">
        <v>45404</v>
      </c>
      <c r="J1669" s="135">
        <f>25%*26225.5</f>
        <v>6556.375</v>
      </c>
      <c r="N1669" s="66" t="s">
        <v>19427</v>
      </c>
      <c r="O1669" s="651">
        <v>2455.4699999999998</v>
      </c>
    </row>
    <row r="1670" spans="1:15" ht="14.45">
      <c r="A1670" s="86">
        <v>45446</v>
      </c>
      <c r="B1670" s="87">
        <v>77840</v>
      </c>
      <c r="C1670" s="30">
        <v>214072</v>
      </c>
      <c r="D1670" s="116">
        <v>0</v>
      </c>
      <c r="E1670" s="119">
        <f t="shared" si="52"/>
        <v>214072</v>
      </c>
      <c r="F1670" s="119">
        <f t="shared" si="53"/>
        <v>2.7501541623843782</v>
      </c>
      <c r="G1670" s="786" t="s">
        <v>17227</v>
      </c>
      <c r="H1670" s="109" t="s">
        <v>19393</v>
      </c>
      <c r="I1670" s="214">
        <v>45440</v>
      </c>
      <c r="J1670" s="116">
        <v>0</v>
      </c>
      <c r="N1670" s="66" t="s">
        <v>19428</v>
      </c>
      <c r="O1670" s="651">
        <v>2455.4699999999998</v>
      </c>
    </row>
    <row r="1671" spans="1:15" ht="14.45">
      <c r="A1671" s="86">
        <v>45450</v>
      </c>
      <c r="B1671" s="87">
        <v>26540</v>
      </c>
      <c r="C1671" s="30">
        <f>17110*3.1103</f>
        <v>53217.233</v>
      </c>
      <c r="D1671" s="116">
        <v>2059.56</v>
      </c>
      <c r="E1671" s="119">
        <f t="shared" si="52"/>
        <v>51157.673000000003</v>
      </c>
      <c r="F1671" s="119">
        <f t="shared" si="53"/>
        <v>1.9275686887716654</v>
      </c>
      <c r="G1671" s="212" t="s">
        <v>19872</v>
      </c>
      <c r="H1671" s="109" t="s">
        <v>19351</v>
      </c>
      <c r="I1671" s="214">
        <v>45405</v>
      </c>
      <c r="J1671" s="116">
        <f>25%*0</f>
        <v>0</v>
      </c>
      <c r="N1671" s="66" t="s">
        <v>19429</v>
      </c>
      <c r="O1671" s="651">
        <v>16533.95</v>
      </c>
    </row>
    <row r="1672" spans="1:15" ht="14.45">
      <c r="A1672" s="86">
        <v>45450</v>
      </c>
      <c r="B1672" s="87">
        <v>39000</v>
      </c>
      <c r="C1672" s="30">
        <f>30426*3.1103</f>
        <v>94633.987800000003</v>
      </c>
      <c r="D1672" s="116">
        <v>22932.125</v>
      </c>
      <c r="E1672" s="119">
        <f t="shared" si="52"/>
        <v>71701.862800000003</v>
      </c>
      <c r="F1672" s="119">
        <f t="shared" si="53"/>
        <v>1.8385093025641026</v>
      </c>
      <c r="G1672" s="212" t="s">
        <v>19837</v>
      </c>
      <c r="H1672" s="109" t="s">
        <v>19391</v>
      </c>
      <c r="I1672" s="214">
        <v>45440</v>
      </c>
      <c r="J1672" s="116">
        <f>25%*19685</f>
        <v>4921.25</v>
      </c>
      <c r="N1672" s="66" t="s">
        <v>19430</v>
      </c>
      <c r="O1672" s="651">
        <v>16566.75</v>
      </c>
    </row>
    <row r="1673" spans="1:15" ht="14.45">
      <c r="A1673" s="86">
        <v>45453</v>
      </c>
      <c r="B1673" s="87">
        <v>57600</v>
      </c>
      <c r="C1673" s="30">
        <v>119808</v>
      </c>
      <c r="D1673" s="116">
        <v>0</v>
      </c>
      <c r="E1673" s="119">
        <f t="shared" si="52"/>
        <v>119808</v>
      </c>
      <c r="F1673" s="119">
        <f t="shared" si="53"/>
        <v>2.08</v>
      </c>
      <c r="G1673" s="212" t="s">
        <v>19656</v>
      </c>
      <c r="H1673" s="109" t="s">
        <v>19395</v>
      </c>
      <c r="I1673" s="214">
        <v>45446</v>
      </c>
      <c r="J1673" s="116">
        <v>0</v>
      </c>
      <c r="N1673" s="66" t="s">
        <v>19431</v>
      </c>
      <c r="O1673" s="651">
        <v>26049.5</v>
      </c>
    </row>
    <row r="1674" spans="1:15" ht="14.45">
      <c r="A1674" s="86">
        <v>45454</v>
      </c>
      <c r="B1674" s="87">
        <v>280354</v>
      </c>
      <c r="C1674" s="30">
        <f>168772.35*3.1065</f>
        <v>524291.30527500005</v>
      </c>
      <c r="D1674" s="117">
        <v>79105.600000000006</v>
      </c>
      <c r="E1674" s="119">
        <f t="shared" si="52"/>
        <v>445185.70527500007</v>
      </c>
      <c r="F1674" s="119">
        <f t="shared" si="53"/>
        <v>1.587941335864657</v>
      </c>
      <c r="G1674" s="212" t="s">
        <v>19662</v>
      </c>
      <c r="H1674" s="109" t="s">
        <v>19397</v>
      </c>
      <c r="I1674" s="214">
        <v>45447</v>
      </c>
      <c r="J1674" s="117">
        <f>25%*64681.5</f>
        <v>16170.375</v>
      </c>
      <c r="N1674" s="66" t="s">
        <v>19432</v>
      </c>
      <c r="O1674" s="651">
        <v>25322.62</v>
      </c>
    </row>
    <row r="1675" spans="1:15" ht="14.45">
      <c r="A1675" s="86">
        <v>45454</v>
      </c>
      <c r="B1675" s="87">
        <v>160032</v>
      </c>
      <c r="C1675" s="30">
        <v>297659.52000000002</v>
      </c>
      <c r="D1675" s="116">
        <v>0</v>
      </c>
      <c r="E1675" s="119">
        <f t="shared" si="52"/>
        <v>297659.52000000002</v>
      </c>
      <c r="F1675" s="119">
        <f t="shared" si="53"/>
        <v>1.86</v>
      </c>
      <c r="G1675" s="212" t="s">
        <v>19873</v>
      </c>
      <c r="H1675" s="109" t="s">
        <v>19383</v>
      </c>
      <c r="I1675" s="214">
        <v>45427</v>
      </c>
      <c r="J1675" s="116">
        <v>0</v>
      </c>
      <c r="N1675" s="66" t="s">
        <v>19433</v>
      </c>
      <c r="O1675" s="651">
        <v>0</v>
      </c>
    </row>
    <row r="1676" spans="1:15" ht="14.45">
      <c r="A1676" s="86">
        <v>45454</v>
      </c>
      <c r="B1676" s="87">
        <v>19200</v>
      </c>
      <c r="C1676" s="30">
        <v>39552</v>
      </c>
      <c r="D1676" s="116">
        <v>0</v>
      </c>
      <c r="E1676" s="119">
        <f t="shared" si="52"/>
        <v>39552</v>
      </c>
      <c r="F1676" s="119">
        <f t="shared" si="53"/>
        <v>2.06</v>
      </c>
      <c r="G1676" s="212" t="s">
        <v>19656</v>
      </c>
      <c r="H1676" s="109" t="s">
        <v>19396</v>
      </c>
      <c r="I1676" s="214">
        <v>45446</v>
      </c>
      <c r="J1676" s="116">
        <v>0</v>
      </c>
      <c r="N1676" s="66" t="s">
        <v>19434</v>
      </c>
      <c r="O1676" s="651">
        <v>34230.370000000003</v>
      </c>
    </row>
    <row r="1677" spans="1:15" ht="14.45">
      <c r="A1677" s="86">
        <v>45455</v>
      </c>
      <c r="B1677" s="87">
        <v>45800</v>
      </c>
      <c r="C1677" s="30">
        <f>30399*3.37025</f>
        <v>102452.22975</v>
      </c>
      <c r="D1677" s="116">
        <v>13947.11</v>
      </c>
      <c r="E1677" s="119">
        <f t="shared" si="52"/>
        <v>88505.119749999998</v>
      </c>
      <c r="F1677" s="119">
        <f t="shared" si="53"/>
        <v>1.9324261954148472</v>
      </c>
      <c r="G1677" s="212" t="s">
        <v>19651</v>
      </c>
      <c r="H1677" s="109" t="s">
        <v>19399</v>
      </c>
      <c r="I1677" s="214">
        <v>45447</v>
      </c>
      <c r="J1677" s="116">
        <f>25%*10678.08</f>
        <v>2669.52</v>
      </c>
      <c r="N1677" s="66" t="s">
        <v>19435</v>
      </c>
      <c r="O1677" s="651">
        <v>0</v>
      </c>
    </row>
    <row r="1678" spans="1:15" ht="14.45">
      <c r="A1678" s="86">
        <v>45456</v>
      </c>
      <c r="B1678" s="87">
        <v>76800</v>
      </c>
      <c r="C1678" s="30">
        <f>51640*3.37055</f>
        <v>174055.20200000002</v>
      </c>
      <c r="D1678" s="116">
        <v>21219.99</v>
      </c>
      <c r="E1678" s="119">
        <f t="shared" si="52"/>
        <v>152835.21200000003</v>
      </c>
      <c r="F1678" s="119">
        <f t="shared" si="53"/>
        <v>1.990041822916667</v>
      </c>
      <c r="G1678" s="212" t="s">
        <v>19831</v>
      </c>
      <c r="H1678" s="109" t="s">
        <v>19402</v>
      </c>
      <c r="I1678" s="214">
        <v>45453</v>
      </c>
      <c r="J1678" s="116">
        <f>25%*15000.16</f>
        <v>3750.04</v>
      </c>
      <c r="N1678" s="66" t="s">
        <v>19436</v>
      </c>
      <c r="O1678" s="651">
        <v>0</v>
      </c>
    </row>
    <row r="1679" spans="1:15" ht="14.45">
      <c r="A1679" s="86">
        <v>45456</v>
      </c>
      <c r="B1679" s="87">
        <v>27750</v>
      </c>
      <c r="C1679" s="30">
        <f>20088.75*3.1338</f>
        <v>62954.124749999995</v>
      </c>
      <c r="D1679" s="116">
        <v>8714.34</v>
      </c>
      <c r="E1679" s="119">
        <f t="shared" si="52"/>
        <v>54239.784749999992</v>
      </c>
      <c r="F1679" s="119">
        <f t="shared" si="53"/>
        <v>1.9545868378378375</v>
      </c>
      <c r="G1679" s="212" t="s">
        <v>19874</v>
      </c>
      <c r="H1679" s="109" t="s">
        <v>19394</v>
      </c>
      <c r="I1679" s="214">
        <v>45446</v>
      </c>
      <c r="J1679" s="116">
        <f>25%*6970.04</f>
        <v>1742.51</v>
      </c>
      <c r="N1679" s="66" t="s">
        <v>19437</v>
      </c>
      <c r="O1679" s="651">
        <v>0</v>
      </c>
    </row>
    <row r="1680" spans="1:15" ht="14.45">
      <c r="A1680" s="86">
        <v>45456</v>
      </c>
      <c r="B1680" s="87">
        <v>22500</v>
      </c>
      <c r="C1680" s="30">
        <f>44415*3.13105</f>
        <v>139065.58575</v>
      </c>
      <c r="D1680" s="116">
        <v>0</v>
      </c>
      <c r="E1680" s="119">
        <f t="shared" si="52"/>
        <v>139065.58575</v>
      </c>
      <c r="F1680" s="119">
        <f t="shared" si="53"/>
        <v>6.1806926999999998</v>
      </c>
      <c r="G1680" s="212" t="s">
        <v>19875</v>
      </c>
      <c r="H1680" s="109" t="s">
        <v>19400</v>
      </c>
      <c r="I1680" s="214">
        <v>45447</v>
      </c>
      <c r="J1680" s="116">
        <v>0</v>
      </c>
      <c r="N1680" s="66" t="s">
        <v>19438</v>
      </c>
      <c r="O1680" s="651">
        <v>0</v>
      </c>
    </row>
    <row r="1681" spans="1:15" ht="14.45">
      <c r="A1681" s="86">
        <v>45457</v>
      </c>
      <c r="B1681" s="87">
        <v>25212</v>
      </c>
      <c r="C1681" s="30">
        <f>23447.18*3.37055</f>
        <v>79029.892549000011</v>
      </c>
      <c r="D1681" s="116">
        <v>16224.08</v>
      </c>
      <c r="E1681" s="119">
        <f t="shared" si="52"/>
        <v>62805.812549000009</v>
      </c>
      <c r="F1681" s="119">
        <f t="shared" si="53"/>
        <v>2.4911079069094084</v>
      </c>
      <c r="G1681" s="212" t="s">
        <v>19661</v>
      </c>
      <c r="H1681" s="109" t="s">
        <v>19398</v>
      </c>
      <c r="I1681" s="214">
        <v>45447</v>
      </c>
      <c r="J1681" s="116">
        <f>25%*15077.6</f>
        <v>3769.4</v>
      </c>
      <c r="N1681" s="66" t="s">
        <v>19439</v>
      </c>
      <c r="O1681" s="651">
        <v>0</v>
      </c>
    </row>
    <row r="1682" spans="1:15" ht="14.45">
      <c r="A1682" s="86">
        <v>45457</v>
      </c>
      <c r="B1682" s="87">
        <v>163170</v>
      </c>
      <c r="C1682" s="30">
        <v>294012.5</v>
      </c>
      <c r="D1682" s="116">
        <v>0</v>
      </c>
      <c r="E1682" s="119">
        <f t="shared" si="52"/>
        <v>294012.5</v>
      </c>
      <c r="F1682" s="119">
        <f t="shared" si="53"/>
        <v>1.8018784090212661</v>
      </c>
      <c r="G1682" s="212" t="s">
        <v>19647</v>
      </c>
      <c r="H1682" s="109" t="s">
        <v>19401</v>
      </c>
      <c r="I1682" s="214">
        <v>45448</v>
      </c>
      <c r="J1682" s="116">
        <v>0</v>
      </c>
      <c r="N1682" s="66" t="s">
        <v>19440</v>
      </c>
      <c r="O1682" s="651">
        <v>0</v>
      </c>
    </row>
    <row r="1683" spans="1:15" ht="14.45">
      <c r="A1683" s="86">
        <v>45462</v>
      </c>
      <c r="B1683" s="87">
        <v>20500</v>
      </c>
      <c r="C1683" s="30">
        <v>51250</v>
      </c>
      <c r="D1683" s="116">
        <v>0</v>
      </c>
      <c r="E1683" s="119">
        <f t="shared" si="52"/>
        <v>51250</v>
      </c>
      <c r="F1683" s="119">
        <f t="shared" si="53"/>
        <v>2.5</v>
      </c>
      <c r="G1683" s="212" t="s">
        <v>17018</v>
      </c>
      <c r="H1683" s="109" t="s">
        <v>19403</v>
      </c>
      <c r="I1683" s="214">
        <v>45453</v>
      </c>
      <c r="J1683" s="116">
        <v>0</v>
      </c>
      <c r="N1683" s="66" t="s">
        <v>19441</v>
      </c>
      <c r="O1683" s="651">
        <v>30947.107</v>
      </c>
    </row>
    <row r="1684" spans="1:15" ht="14.45">
      <c r="A1684" s="86">
        <v>45464</v>
      </c>
      <c r="B1684" s="87">
        <v>23712</v>
      </c>
      <c r="C1684" s="30">
        <f>22299.68*3.36685</f>
        <v>75079.677607999998</v>
      </c>
      <c r="D1684" s="116">
        <v>16704.595000000001</v>
      </c>
      <c r="E1684" s="119">
        <f t="shared" si="52"/>
        <v>58375.082607999997</v>
      </c>
      <c r="F1684" s="119">
        <f t="shared" si="53"/>
        <v>2.4618371545209174</v>
      </c>
      <c r="G1684" s="212" t="s">
        <v>19661</v>
      </c>
      <c r="H1684" s="109" t="s">
        <v>19417</v>
      </c>
      <c r="I1684" s="214">
        <v>45462</v>
      </c>
      <c r="J1684" s="116">
        <f>25%*14931.9</f>
        <v>3732.9749999999999</v>
      </c>
      <c r="N1684" s="66" t="s">
        <v>19442</v>
      </c>
      <c r="O1684" s="651">
        <v>0</v>
      </c>
    </row>
    <row r="1685" spans="1:15" ht="14.45">
      <c r="A1685" s="86">
        <v>45467</v>
      </c>
      <c r="B1685" s="87">
        <v>20500</v>
      </c>
      <c r="C1685" s="30">
        <v>50225</v>
      </c>
      <c r="D1685" s="116">
        <v>0</v>
      </c>
      <c r="E1685" s="119">
        <f t="shared" si="52"/>
        <v>50225</v>
      </c>
      <c r="F1685" s="119">
        <f t="shared" si="53"/>
        <v>2.4500000000000002</v>
      </c>
      <c r="G1685" s="212" t="s">
        <v>17018</v>
      </c>
      <c r="H1685" s="109" t="s">
        <v>19411</v>
      </c>
      <c r="I1685" s="214">
        <v>45462</v>
      </c>
      <c r="J1685" s="116">
        <v>0</v>
      </c>
      <c r="N1685" s="66" t="s">
        <v>19444</v>
      </c>
      <c r="O1685" s="651">
        <v>8892.4549999999999</v>
      </c>
    </row>
    <row r="1686" spans="1:15" ht="14.45">
      <c r="A1686" s="86">
        <v>45467</v>
      </c>
      <c r="B1686" s="87">
        <v>106640</v>
      </c>
      <c r="C1686" s="30">
        <v>287752</v>
      </c>
      <c r="D1686" s="116">
        <v>0</v>
      </c>
      <c r="E1686" s="119">
        <f t="shared" si="52"/>
        <v>287752</v>
      </c>
      <c r="F1686" s="119">
        <f t="shared" si="53"/>
        <v>2.6983495873968493</v>
      </c>
      <c r="G1686" s="786" t="s">
        <v>17227</v>
      </c>
      <c r="H1686" s="109" t="s">
        <v>19410</v>
      </c>
      <c r="I1686" s="214">
        <v>45462</v>
      </c>
      <c r="J1686" s="116">
        <v>0</v>
      </c>
      <c r="N1686" s="66" t="s">
        <v>19445</v>
      </c>
      <c r="O1686" s="651">
        <v>0</v>
      </c>
    </row>
    <row r="1687" spans="1:15" ht="14.45">
      <c r="A1687" s="86">
        <v>45467</v>
      </c>
      <c r="B1687" s="87">
        <v>26000</v>
      </c>
      <c r="C1687" s="30">
        <f>15340*3.14685</f>
        <v>48272.679000000004</v>
      </c>
      <c r="D1687" s="119">
        <v>6469.05</v>
      </c>
      <c r="E1687" s="119">
        <v>41803.629000000001</v>
      </c>
      <c r="F1687" s="119">
        <v>1.6078318846153847</v>
      </c>
      <c r="G1687" s="212" t="s">
        <v>19876</v>
      </c>
      <c r="H1687" s="109" t="s">
        <v>19404</v>
      </c>
      <c r="I1687" s="214">
        <v>45453</v>
      </c>
      <c r="J1687" s="119">
        <f>25%*4737.7</f>
        <v>1184.425</v>
      </c>
      <c r="N1687" s="66" t="s">
        <v>19446</v>
      </c>
      <c r="O1687" s="651">
        <v>24810.53</v>
      </c>
    </row>
    <row r="1688" spans="1:15" ht="14.45">
      <c r="A1688" s="86">
        <v>45467</v>
      </c>
      <c r="B1688" s="87">
        <v>38400</v>
      </c>
      <c r="C1688" s="30">
        <v>79104</v>
      </c>
      <c r="D1688" s="116">
        <v>0</v>
      </c>
      <c r="E1688" s="119">
        <f t="shared" si="52"/>
        <v>79104</v>
      </c>
      <c r="F1688" s="119">
        <f t="shared" si="53"/>
        <v>2.06</v>
      </c>
      <c r="G1688" s="212" t="s">
        <v>19656</v>
      </c>
      <c r="H1688" s="109" t="s">
        <v>19407</v>
      </c>
      <c r="I1688" s="214">
        <v>45462</v>
      </c>
      <c r="J1688" s="116">
        <v>0</v>
      </c>
      <c r="N1688" s="66" t="s">
        <v>19447</v>
      </c>
      <c r="O1688" s="651">
        <v>0</v>
      </c>
    </row>
    <row r="1689" spans="1:15" ht="14.45">
      <c r="A1689" s="86">
        <v>45468</v>
      </c>
      <c r="B1689" s="87">
        <v>21600</v>
      </c>
      <c r="C1689" s="30">
        <v>58256</v>
      </c>
      <c r="D1689" s="116">
        <v>0</v>
      </c>
      <c r="E1689" s="119">
        <f t="shared" si="52"/>
        <v>58256</v>
      </c>
      <c r="F1689" s="119">
        <f t="shared" si="53"/>
        <v>2.6970370370370369</v>
      </c>
      <c r="G1689" s="212" t="s">
        <v>19833</v>
      </c>
      <c r="H1689" s="109" t="s">
        <v>19405</v>
      </c>
      <c r="I1689" s="214">
        <v>45456</v>
      </c>
      <c r="J1689" s="116">
        <v>0</v>
      </c>
      <c r="N1689" s="66" t="s">
        <v>19448</v>
      </c>
      <c r="O1689" s="651">
        <v>0</v>
      </c>
    </row>
    <row r="1690" spans="1:15" ht="14.45">
      <c r="A1690" s="86">
        <v>45468</v>
      </c>
      <c r="B1690" s="87">
        <v>54000</v>
      </c>
      <c r="C1690" s="30">
        <v>138540</v>
      </c>
      <c r="D1690" s="116">
        <v>0</v>
      </c>
      <c r="E1690" s="119">
        <f t="shared" si="52"/>
        <v>138540</v>
      </c>
      <c r="F1690" s="119">
        <f t="shared" si="53"/>
        <v>2.5655555555555556</v>
      </c>
      <c r="G1690" s="212" t="s">
        <v>17227</v>
      </c>
      <c r="H1690" s="109" t="s">
        <v>19409</v>
      </c>
      <c r="I1690" s="214">
        <v>45462</v>
      </c>
      <c r="J1690" s="116">
        <v>0</v>
      </c>
      <c r="N1690" s="66" t="s">
        <v>19449</v>
      </c>
      <c r="O1690" s="651">
        <v>0</v>
      </c>
    </row>
    <row r="1691" spans="1:15" ht="14.45">
      <c r="A1691" s="86">
        <v>45468</v>
      </c>
      <c r="B1691" s="87">
        <v>45000</v>
      </c>
      <c r="C1691" s="30">
        <f>31150*3.36785</f>
        <v>104908.5275</v>
      </c>
      <c r="D1691" s="116">
        <v>15197.145</v>
      </c>
      <c r="E1691" s="119">
        <f t="shared" si="52"/>
        <v>89711.382499999992</v>
      </c>
      <c r="F1691" s="119">
        <f t="shared" si="53"/>
        <v>1.9935862777777775</v>
      </c>
      <c r="G1691" s="212" t="s">
        <v>19651</v>
      </c>
      <c r="H1691" s="109" t="s">
        <v>19418</v>
      </c>
      <c r="I1691" s="214">
        <v>45462</v>
      </c>
      <c r="J1691" s="116">
        <f>25%*11787.04</f>
        <v>2946.76</v>
      </c>
      <c r="N1691" s="66" t="s">
        <v>19450</v>
      </c>
      <c r="O1691" s="651">
        <v>0</v>
      </c>
    </row>
    <row r="1692" spans="1:15" ht="14.45">
      <c r="A1692" s="86">
        <v>45468</v>
      </c>
      <c r="B1692" s="87">
        <v>90000</v>
      </c>
      <c r="C1692" s="30">
        <v>143550</v>
      </c>
      <c r="D1692" s="116">
        <v>0</v>
      </c>
      <c r="E1692" s="119">
        <f t="shared" si="52"/>
        <v>143550</v>
      </c>
      <c r="F1692" s="119">
        <f t="shared" si="53"/>
        <v>1.595</v>
      </c>
      <c r="G1692" s="212" t="s">
        <v>19647</v>
      </c>
      <c r="H1692" s="109" t="s">
        <v>19415</v>
      </c>
      <c r="I1692" s="214">
        <v>45462</v>
      </c>
      <c r="J1692" s="116">
        <v>0</v>
      </c>
      <c r="N1692" s="66" t="s">
        <v>19451</v>
      </c>
      <c r="O1692" s="651">
        <v>0</v>
      </c>
    </row>
    <row r="1693" spans="1:15" ht="14.45">
      <c r="A1693" s="86">
        <v>45469</v>
      </c>
      <c r="B1693" s="87">
        <v>139200</v>
      </c>
      <c r="C1693" s="30">
        <f>77332.32*3.36785</f>
        <v>260443.65391200001</v>
      </c>
      <c r="D1693" s="116">
        <v>41734.777999999998</v>
      </c>
      <c r="E1693" s="119">
        <f t="shared" si="52"/>
        <v>218708.87591200002</v>
      </c>
      <c r="F1693" s="119">
        <f t="shared" si="53"/>
        <v>1.5711844533908048</v>
      </c>
      <c r="G1693" s="212" t="s">
        <v>19804</v>
      </c>
      <c r="H1693" s="109" t="s">
        <v>19408</v>
      </c>
      <c r="I1693" s="214">
        <v>45462</v>
      </c>
      <c r="J1693" s="116">
        <f>25%*32519.98</f>
        <v>8129.9949999999999</v>
      </c>
      <c r="N1693" s="66" t="s">
        <v>19452</v>
      </c>
      <c r="O1693" s="651">
        <v>0</v>
      </c>
    </row>
    <row r="1694" spans="1:15" ht="14.45">
      <c r="A1694" s="86">
        <v>45469</v>
      </c>
      <c r="B1694" s="87">
        <v>13621</v>
      </c>
      <c r="C1694" s="30">
        <v>37420.160000000003</v>
      </c>
      <c r="D1694" s="116">
        <v>0</v>
      </c>
      <c r="E1694" s="119">
        <f t="shared" si="52"/>
        <v>37420.160000000003</v>
      </c>
      <c r="F1694" s="119">
        <f t="shared" si="53"/>
        <v>2.7472402907275533</v>
      </c>
      <c r="G1694" s="212" t="s">
        <v>17018</v>
      </c>
      <c r="H1694" s="109" t="s">
        <v>19392</v>
      </c>
      <c r="I1694" s="214">
        <v>45440</v>
      </c>
      <c r="J1694" s="116">
        <v>0</v>
      </c>
      <c r="N1694" s="66" t="s">
        <v>19453</v>
      </c>
      <c r="O1694" s="651">
        <v>0</v>
      </c>
    </row>
    <row r="1695" spans="1:15" ht="14.45">
      <c r="A1695" s="86">
        <v>45471</v>
      </c>
      <c r="B1695" s="87">
        <v>280090</v>
      </c>
      <c r="C1695" s="30">
        <f>195452.35*3.1396</f>
        <v>613642.19806000008</v>
      </c>
      <c r="D1695" s="116">
        <v>84154.52</v>
      </c>
      <c r="E1695" s="119">
        <f t="shared" si="52"/>
        <v>529487.67806000006</v>
      </c>
      <c r="F1695" s="119">
        <f t="shared" si="53"/>
        <v>1.8904197867114143</v>
      </c>
      <c r="G1695" s="212" t="s">
        <v>19662</v>
      </c>
      <c r="H1695" s="109" t="s">
        <v>19412</v>
      </c>
      <c r="I1695" s="214">
        <v>45462</v>
      </c>
      <c r="J1695" s="116">
        <f>25%*69195.1</f>
        <v>17298.775000000001</v>
      </c>
      <c r="N1695" s="66" t="s">
        <v>19454</v>
      </c>
      <c r="O1695" s="651">
        <v>0</v>
      </c>
    </row>
    <row r="1696" spans="1:15" ht="14.45">
      <c r="A1696" s="787">
        <v>45471</v>
      </c>
      <c r="B1696" s="788">
        <v>134050</v>
      </c>
      <c r="C1696" s="789">
        <f>75328.75*3.3688</f>
        <v>253767.49299999999</v>
      </c>
      <c r="D1696" s="303">
        <v>33161.25</v>
      </c>
      <c r="E1696" s="303">
        <f t="shared" si="52"/>
        <v>220606.24299999999</v>
      </c>
      <c r="F1696" s="303">
        <f t="shared" si="53"/>
        <v>1.6457011786646774</v>
      </c>
      <c r="G1696" s="212" t="s">
        <v>19877</v>
      </c>
      <c r="H1696" s="790" t="s">
        <v>19414</v>
      </c>
      <c r="I1696" s="791">
        <v>45462</v>
      </c>
      <c r="J1696" s="303">
        <f>25%*32553.75</f>
        <v>8138.4375</v>
      </c>
      <c r="N1696" s="66" t="s">
        <v>19455</v>
      </c>
      <c r="O1696" s="651">
        <v>13786.93</v>
      </c>
    </row>
    <row r="1697" spans="1:15" ht="14.45">
      <c r="A1697" s="216">
        <v>45472</v>
      </c>
      <c r="B1697" s="784">
        <v>341520</v>
      </c>
      <c r="C1697" s="202">
        <v>617555</v>
      </c>
      <c r="D1697" s="135">
        <v>0</v>
      </c>
      <c r="E1697" s="745">
        <f t="shared" si="52"/>
        <v>617555</v>
      </c>
      <c r="F1697" s="745">
        <f t="shared" si="53"/>
        <v>1.8082542750058561</v>
      </c>
      <c r="G1697" s="785" t="s">
        <v>19833</v>
      </c>
      <c r="H1697" s="746" t="s">
        <v>19406</v>
      </c>
      <c r="I1697" s="215">
        <v>45456</v>
      </c>
      <c r="J1697" s="135">
        <v>0</v>
      </c>
      <c r="N1697" s="66" t="s">
        <v>19456</v>
      </c>
      <c r="O1697" s="651">
        <v>7292.53</v>
      </c>
    </row>
    <row r="1698" spans="1:15" ht="14.45">
      <c r="A1698" s="216">
        <v>45474</v>
      </c>
      <c r="B1698" s="784">
        <v>113480</v>
      </c>
      <c r="C1698" s="202">
        <v>199530</v>
      </c>
      <c r="D1698" s="135">
        <v>0</v>
      </c>
      <c r="E1698" s="745">
        <f t="shared" si="52"/>
        <v>199530</v>
      </c>
      <c r="F1698" s="745">
        <f t="shared" si="53"/>
        <v>1.758283397955587</v>
      </c>
      <c r="G1698" s="785" t="s">
        <v>19833</v>
      </c>
      <c r="H1698" s="746" t="s">
        <v>19406</v>
      </c>
      <c r="I1698" s="215">
        <v>45456</v>
      </c>
      <c r="J1698" s="135">
        <v>0</v>
      </c>
      <c r="N1698" s="66" t="s">
        <v>19457</v>
      </c>
      <c r="O1698" s="651">
        <v>0</v>
      </c>
    </row>
    <row r="1699" spans="1:15" ht="14.45">
      <c r="A1699" s="86">
        <v>45483</v>
      </c>
      <c r="B1699" s="87">
        <v>100003</v>
      </c>
      <c r="C1699" s="30">
        <f>69002.21*3.124</f>
        <v>215562.90404000002</v>
      </c>
      <c r="D1699" s="116">
        <v>0</v>
      </c>
      <c r="E1699" s="119">
        <f t="shared" si="52"/>
        <v>215562.90404000002</v>
      </c>
      <c r="F1699" s="119">
        <f t="shared" si="53"/>
        <v>2.1555643734687964</v>
      </c>
      <c r="G1699" s="212" t="s">
        <v>19878</v>
      </c>
      <c r="H1699" s="109" t="s">
        <v>19423</v>
      </c>
      <c r="I1699" s="214">
        <v>45475</v>
      </c>
      <c r="J1699" s="116">
        <v>0</v>
      </c>
      <c r="N1699" s="66" t="s">
        <v>19458</v>
      </c>
      <c r="O1699" s="651">
        <v>0</v>
      </c>
    </row>
    <row r="1700" spans="1:15" ht="14.45">
      <c r="A1700" s="86">
        <v>45484</v>
      </c>
      <c r="B1700" s="87">
        <v>40300</v>
      </c>
      <c r="C1700" s="30">
        <f>36874.5*3.1232</f>
        <v>115166.43840000001</v>
      </c>
      <c r="D1700" s="116">
        <v>14658.7</v>
      </c>
      <c r="E1700" s="119">
        <f t="shared" si="52"/>
        <v>100507.73840000002</v>
      </c>
      <c r="F1700" s="119">
        <f t="shared" si="53"/>
        <v>2.4939885459057076</v>
      </c>
      <c r="G1700" s="212" t="s">
        <v>19659</v>
      </c>
      <c r="H1700" s="109" t="s">
        <v>19420</v>
      </c>
      <c r="I1700" s="214">
        <v>45467</v>
      </c>
      <c r="J1700" s="116">
        <f>15%*11618</f>
        <v>1742.7</v>
      </c>
      <c r="N1700" s="66" t="s">
        <v>19459</v>
      </c>
      <c r="O1700" s="651">
        <v>33826.618999999999</v>
      </c>
    </row>
    <row r="1701" spans="1:15" ht="14.45">
      <c r="A1701" s="86">
        <v>45484</v>
      </c>
      <c r="B1701" s="87">
        <v>38400</v>
      </c>
      <c r="C1701" s="30">
        <f>25628*3.37955</f>
        <v>86611.107400000008</v>
      </c>
      <c r="D1701" s="116">
        <v>8916.7950000000001</v>
      </c>
      <c r="E1701" s="119">
        <f t="shared" si="52"/>
        <v>77694.31240000001</v>
      </c>
      <c r="F1701" s="119">
        <f t="shared" si="53"/>
        <v>2.0232893854166671</v>
      </c>
      <c r="G1701" s="212" t="s">
        <v>19857</v>
      </c>
      <c r="H1701" s="109" t="s">
        <v>19421</v>
      </c>
      <c r="I1701" s="214">
        <v>45475</v>
      </c>
      <c r="J1701" s="116">
        <f>25%*5647.94</f>
        <v>1411.9849999999999</v>
      </c>
      <c r="N1701" s="66" t="s">
        <v>19460</v>
      </c>
      <c r="O1701" s="651">
        <v>7020.64</v>
      </c>
    </row>
    <row r="1702" spans="1:15" ht="14.45">
      <c r="A1702" s="86">
        <v>45484</v>
      </c>
      <c r="B1702" s="87">
        <v>21920</v>
      </c>
      <c r="C1702" s="30">
        <f>27962.02*3.124</f>
        <v>87353.350480000008</v>
      </c>
      <c r="D1702" s="116">
        <v>2455.4699999999998</v>
      </c>
      <c r="E1702" s="119">
        <f t="shared" si="52"/>
        <v>84897.880480000007</v>
      </c>
      <c r="F1702" s="119">
        <f t="shared" si="53"/>
        <v>3.8730784890510952</v>
      </c>
      <c r="G1702" s="212" t="s">
        <v>19653</v>
      </c>
      <c r="H1702" s="109" t="s">
        <v>19426</v>
      </c>
      <c r="I1702" s="214">
        <v>45481</v>
      </c>
      <c r="J1702" s="116">
        <v>0</v>
      </c>
      <c r="N1702" s="66" t="s">
        <v>19461</v>
      </c>
      <c r="O1702" s="651">
        <v>0</v>
      </c>
    </row>
    <row r="1703" spans="1:15" ht="14.45">
      <c r="A1703" s="86">
        <v>45485</v>
      </c>
      <c r="B1703" s="87">
        <v>25212</v>
      </c>
      <c r="C1703" s="30">
        <f>23447.18*3.3815</f>
        <v>79286.639169999995</v>
      </c>
      <c r="D1703" s="116">
        <v>16533.95</v>
      </c>
      <c r="E1703" s="119">
        <f t="shared" si="52"/>
        <v>62752.689169999998</v>
      </c>
      <c r="F1703" s="119">
        <f t="shared" si="53"/>
        <v>2.4890008396795178</v>
      </c>
      <c r="G1703" s="212" t="s">
        <v>19661</v>
      </c>
      <c r="H1703" s="109" t="s">
        <v>19429</v>
      </c>
      <c r="I1703" s="214">
        <v>45482</v>
      </c>
      <c r="J1703" s="116">
        <f>25%*14805</f>
        <v>3701.25</v>
      </c>
      <c r="N1703" s="66" t="s">
        <v>19462</v>
      </c>
      <c r="O1703" s="651">
        <v>2455.4699999999998</v>
      </c>
    </row>
    <row r="1704" spans="1:15" ht="14.45">
      <c r="A1704" s="86">
        <v>45485</v>
      </c>
      <c r="B1704" s="87">
        <v>25212</v>
      </c>
      <c r="C1704" s="30">
        <f>23447.18*3.38145</f>
        <v>79285.466811000006</v>
      </c>
      <c r="D1704" s="116">
        <v>16566.75</v>
      </c>
      <c r="E1704" s="119">
        <f t="shared" ref="E1704:E1767" si="54">(C1704-D1704)</f>
        <v>62718.716811000006</v>
      </c>
      <c r="F1704" s="119">
        <f t="shared" ref="F1704:F1767" si="55">(E1704/B1704)</f>
        <v>2.48765337184674</v>
      </c>
      <c r="G1704" s="212" t="s">
        <v>19661</v>
      </c>
      <c r="H1704" s="109" t="s">
        <v>19430</v>
      </c>
      <c r="I1704" s="214">
        <v>45482</v>
      </c>
      <c r="J1704" s="116">
        <f>25%*14805</f>
        <v>3701.25</v>
      </c>
      <c r="N1704" s="66" t="s">
        <v>19463</v>
      </c>
      <c r="O1704" s="651">
        <v>0</v>
      </c>
    </row>
    <row r="1705" spans="1:15" ht="14.45">
      <c r="A1705" s="86">
        <v>45485</v>
      </c>
      <c r="B1705" s="87">
        <v>84000</v>
      </c>
      <c r="C1705" s="30">
        <v>143080</v>
      </c>
      <c r="D1705" s="116">
        <v>0</v>
      </c>
      <c r="E1705" s="119">
        <f t="shared" si="54"/>
        <v>143080</v>
      </c>
      <c r="F1705" s="119">
        <f t="shared" si="55"/>
        <v>1.7033333333333334</v>
      </c>
      <c r="G1705" s="212" t="s">
        <v>19647</v>
      </c>
      <c r="H1705" s="109" t="s">
        <v>19422</v>
      </c>
      <c r="I1705" s="214">
        <v>45475</v>
      </c>
      <c r="J1705" s="116">
        <v>0</v>
      </c>
      <c r="N1705" s="66" t="s">
        <v>19464</v>
      </c>
      <c r="O1705" s="651">
        <v>0</v>
      </c>
    </row>
    <row r="1706" spans="1:15" ht="14.45">
      <c r="A1706" s="86">
        <v>45485</v>
      </c>
      <c r="B1706" s="87">
        <v>137500</v>
      </c>
      <c r="C1706" s="30">
        <f>70125*3.3815</f>
        <v>237127.6875</v>
      </c>
      <c r="D1706" s="116">
        <v>26049.5</v>
      </c>
      <c r="E1706" s="119">
        <f t="shared" si="54"/>
        <v>211078.1875</v>
      </c>
      <c r="F1706" s="119">
        <f t="shared" si="55"/>
        <v>1.535114090909091</v>
      </c>
      <c r="G1706" s="212" t="s">
        <v>19722</v>
      </c>
      <c r="H1706" s="109" t="s">
        <v>19431</v>
      </c>
      <c r="I1706" s="214">
        <v>45482</v>
      </c>
      <c r="J1706" s="116">
        <f>25%*17250</f>
        <v>4312.5</v>
      </c>
      <c r="N1706" s="66" t="s">
        <v>19465</v>
      </c>
      <c r="O1706" s="651">
        <v>0</v>
      </c>
    </row>
    <row r="1707" spans="1:15" ht="14.45">
      <c r="A1707" s="86">
        <v>45427</v>
      </c>
      <c r="B1707" s="87">
        <v>21600</v>
      </c>
      <c r="C1707" s="30">
        <v>44136</v>
      </c>
      <c r="D1707" s="116">
        <v>0</v>
      </c>
      <c r="E1707" s="119">
        <f t="shared" si="54"/>
        <v>44136</v>
      </c>
      <c r="F1707" s="119">
        <f t="shared" si="55"/>
        <v>2.0433333333333334</v>
      </c>
      <c r="G1707" s="212" t="s">
        <v>19655</v>
      </c>
      <c r="H1707" s="109" t="s">
        <v>19416</v>
      </c>
      <c r="I1707" s="214">
        <v>45462</v>
      </c>
      <c r="J1707" s="116">
        <v>0</v>
      </c>
      <c r="N1707" s="66" t="s">
        <v>19466</v>
      </c>
      <c r="O1707" s="651">
        <v>16990.68</v>
      </c>
    </row>
    <row r="1708" spans="1:15" ht="14.45">
      <c r="A1708" s="86">
        <v>45427</v>
      </c>
      <c r="B1708" s="87">
        <v>22008</v>
      </c>
      <c r="C1708" s="30">
        <v>44716.08</v>
      </c>
      <c r="D1708" s="116">
        <v>0</v>
      </c>
      <c r="E1708" s="119">
        <f t="shared" si="54"/>
        <v>44716.08</v>
      </c>
      <c r="F1708" s="119">
        <f t="shared" si="55"/>
        <v>2.0318102508178844</v>
      </c>
      <c r="G1708" s="212" t="s">
        <v>19655</v>
      </c>
      <c r="H1708" s="109" t="s">
        <v>19419</v>
      </c>
      <c r="I1708" s="214">
        <v>45467</v>
      </c>
      <c r="J1708" s="116">
        <v>0</v>
      </c>
      <c r="N1708" s="66" t="s">
        <v>19467</v>
      </c>
      <c r="O1708" s="651">
        <v>31322.63</v>
      </c>
    </row>
    <row r="1709" spans="1:15" ht="14.45">
      <c r="A1709" s="86">
        <v>45489</v>
      </c>
      <c r="B1709" s="87">
        <v>137500</v>
      </c>
      <c r="C1709" s="30">
        <f>70125* 3.3815</f>
        <v>237127.6875</v>
      </c>
      <c r="D1709" s="116">
        <v>25322.62</v>
      </c>
      <c r="E1709" s="119">
        <f t="shared" si="54"/>
        <v>211805.0675</v>
      </c>
      <c r="F1709" s="119">
        <f t="shared" si="55"/>
        <v>1.5404004909090909</v>
      </c>
      <c r="G1709" s="212" t="s">
        <v>19722</v>
      </c>
      <c r="H1709" s="109" t="s">
        <v>19432</v>
      </c>
      <c r="I1709" s="214">
        <v>45482</v>
      </c>
      <c r="J1709" s="116">
        <f>25%*17250</f>
        <v>4312.5</v>
      </c>
      <c r="N1709" s="66" t="s">
        <v>19468</v>
      </c>
      <c r="O1709" s="651">
        <v>0</v>
      </c>
    </row>
    <row r="1710" spans="1:15" ht="14.45">
      <c r="A1710" s="86">
        <v>45490</v>
      </c>
      <c r="B1710" s="87">
        <v>19200</v>
      </c>
      <c r="C1710" s="30">
        <v>38976</v>
      </c>
      <c r="D1710" s="116">
        <v>0</v>
      </c>
      <c r="E1710" s="119">
        <f t="shared" si="54"/>
        <v>38976</v>
      </c>
      <c r="F1710" s="119">
        <f t="shared" si="55"/>
        <v>2.0299999999999998</v>
      </c>
      <c r="G1710" s="212" t="s">
        <v>19655</v>
      </c>
      <c r="H1710" s="109" t="s">
        <v>19435</v>
      </c>
      <c r="I1710" s="214">
        <v>45483</v>
      </c>
      <c r="J1710" s="116">
        <v>0</v>
      </c>
      <c r="N1710" s="66" t="s">
        <v>19469</v>
      </c>
      <c r="O1710" s="651">
        <v>13637.43</v>
      </c>
    </row>
    <row r="1711" spans="1:15" ht="14.45">
      <c r="A1711" s="792">
        <v>45491</v>
      </c>
      <c r="B1711" s="793">
        <v>125000</v>
      </c>
      <c r="C1711" s="794">
        <f>67500* 3.38255</f>
        <v>228322.125</v>
      </c>
      <c r="D1711" s="303">
        <v>34230.370000000003</v>
      </c>
      <c r="E1711" s="303">
        <f t="shared" si="54"/>
        <v>194091.755</v>
      </c>
      <c r="F1711" s="303">
        <f t="shared" si="55"/>
        <v>1.55273404</v>
      </c>
      <c r="G1711" s="212" t="s">
        <v>19722</v>
      </c>
      <c r="H1711" s="795" t="s">
        <v>19434</v>
      </c>
      <c r="I1711" s="796">
        <v>45483</v>
      </c>
      <c r="J1711" s="303">
        <f>25%*25988.77</f>
        <v>6497.1925000000001</v>
      </c>
      <c r="N1711" s="66" t="s">
        <v>19470</v>
      </c>
      <c r="O1711" s="651">
        <v>34889.784</v>
      </c>
    </row>
    <row r="1712" spans="1:15" ht="14.45">
      <c r="A1712" s="86">
        <v>45491</v>
      </c>
      <c r="B1712" s="87">
        <v>22500</v>
      </c>
      <c r="C1712" s="30">
        <f>29855.55*3.1043</f>
        <v>92680.583864999993</v>
      </c>
      <c r="D1712" s="116">
        <v>2455.4699999999998</v>
      </c>
      <c r="E1712" s="119">
        <f t="shared" si="54"/>
        <v>90225.113864999992</v>
      </c>
      <c r="F1712" s="119">
        <f t="shared" si="55"/>
        <v>4.010005060666666</v>
      </c>
      <c r="G1712" s="212" t="s">
        <v>19653</v>
      </c>
      <c r="H1712" s="109" t="s">
        <v>19427</v>
      </c>
      <c r="I1712" s="214">
        <v>45481</v>
      </c>
      <c r="J1712" s="116">
        <v>0</v>
      </c>
      <c r="N1712" s="66" t="s">
        <v>19471</v>
      </c>
      <c r="O1712" s="651">
        <v>35887.332000000002</v>
      </c>
    </row>
    <row r="1713" spans="1:15" ht="14.45">
      <c r="A1713" s="86">
        <v>45491</v>
      </c>
      <c r="B1713" s="87">
        <v>20750</v>
      </c>
      <c r="C1713" s="30">
        <f>22124.48*3.1043</f>
        <v>68681.023263999989</v>
      </c>
      <c r="D1713" s="116">
        <v>2455.4699999999998</v>
      </c>
      <c r="E1713" s="119">
        <f t="shared" si="54"/>
        <v>66225.553263999987</v>
      </c>
      <c r="F1713" s="119">
        <f t="shared" si="55"/>
        <v>3.1915929283855418</v>
      </c>
      <c r="G1713" s="212" t="s">
        <v>19653</v>
      </c>
      <c r="H1713" s="109" t="s">
        <v>19428</v>
      </c>
      <c r="I1713" s="214">
        <v>45481</v>
      </c>
      <c r="J1713" s="116">
        <v>0</v>
      </c>
      <c r="N1713" s="66" t="s">
        <v>19472</v>
      </c>
      <c r="O1713" s="651">
        <v>0</v>
      </c>
    </row>
    <row r="1714" spans="1:15" ht="14.45">
      <c r="A1714" s="86">
        <v>45492</v>
      </c>
      <c r="B1714" s="87">
        <v>24616</v>
      </c>
      <c r="C1714" s="30">
        <f>27397.51*3.38425</f>
        <v>92720.023217499998</v>
      </c>
      <c r="D1714" s="116">
        <v>30947.107</v>
      </c>
      <c r="E1714" s="119">
        <f t="shared" si="54"/>
        <v>61772.916217499995</v>
      </c>
      <c r="F1714" s="119">
        <f t="shared" si="55"/>
        <v>2.5094619847863178</v>
      </c>
      <c r="G1714" s="212" t="s">
        <v>17303</v>
      </c>
      <c r="H1714" s="109" t="s">
        <v>19441</v>
      </c>
      <c r="I1714" s="214">
        <v>45490</v>
      </c>
      <c r="J1714" s="116">
        <f>15%*12371.47</f>
        <v>1855.7204999999999</v>
      </c>
      <c r="N1714" s="66" t="s">
        <v>19473</v>
      </c>
      <c r="O1714" s="651">
        <v>0</v>
      </c>
    </row>
    <row r="1715" spans="1:15" ht="14.45">
      <c r="A1715" s="86">
        <v>45492</v>
      </c>
      <c r="B1715" s="87">
        <v>38400</v>
      </c>
      <c r="C1715" s="30">
        <f>25628*3.38425</f>
        <v>86731.559000000008</v>
      </c>
      <c r="D1715" s="116">
        <v>8892.4549999999999</v>
      </c>
      <c r="E1715" s="119">
        <f t="shared" si="54"/>
        <v>77839.104000000007</v>
      </c>
      <c r="F1715" s="119">
        <f t="shared" si="55"/>
        <v>2.0270600000000001</v>
      </c>
      <c r="G1715" s="212" t="s">
        <v>19857</v>
      </c>
      <c r="H1715" s="109" t="s">
        <v>19444</v>
      </c>
      <c r="I1715" s="214">
        <v>45490</v>
      </c>
      <c r="J1715" s="116">
        <f>25%*5583.86</f>
        <v>1395.9649999999999</v>
      </c>
      <c r="N1715" s="66" t="s">
        <v>19474</v>
      </c>
      <c r="O1715" s="651">
        <v>32359</v>
      </c>
    </row>
    <row r="1716" spans="1:15" ht="14.45">
      <c r="A1716" s="86">
        <v>45495</v>
      </c>
      <c r="B1716" s="87">
        <v>365213</v>
      </c>
      <c r="C1716" s="30">
        <f>255648.96*3.1001</f>
        <v>792537.34089599992</v>
      </c>
      <c r="D1716" s="116">
        <v>0</v>
      </c>
      <c r="E1716" s="119">
        <f t="shared" si="54"/>
        <v>792537.34089599992</v>
      </c>
      <c r="F1716" s="119">
        <f t="shared" si="55"/>
        <v>2.1700688116140441</v>
      </c>
      <c r="G1716" s="212" t="s">
        <v>19688</v>
      </c>
      <c r="H1716" s="109" t="s">
        <v>19440</v>
      </c>
      <c r="I1716" s="214">
        <v>45489</v>
      </c>
      <c r="J1716" s="116">
        <v>0</v>
      </c>
      <c r="N1716" s="66" t="s">
        <v>19475</v>
      </c>
      <c r="O1716" s="651">
        <v>16994.88</v>
      </c>
    </row>
    <row r="1717" spans="1:15" ht="14.45">
      <c r="A1717" s="86">
        <v>45496</v>
      </c>
      <c r="B1717" s="87">
        <v>62250</v>
      </c>
      <c r="C1717" s="30">
        <v>119831.25</v>
      </c>
      <c r="D1717" s="116">
        <v>0</v>
      </c>
      <c r="E1717" s="119">
        <f t="shared" si="54"/>
        <v>119831.25</v>
      </c>
      <c r="F1717" s="119">
        <f t="shared" si="55"/>
        <v>1.925</v>
      </c>
      <c r="G1717" s="212" t="s">
        <v>17018</v>
      </c>
      <c r="H1717" s="109" t="s">
        <v>19438</v>
      </c>
      <c r="I1717" s="214">
        <v>45485</v>
      </c>
      <c r="J1717" s="116">
        <v>0</v>
      </c>
      <c r="N1717" s="66" t="s">
        <v>19476</v>
      </c>
      <c r="O1717" s="651">
        <v>16974.88</v>
      </c>
    </row>
    <row r="1718" spans="1:15" ht="14.45">
      <c r="A1718" s="86">
        <v>45496</v>
      </c>
      <c r="B1718" s="87">
        <v>81000</v>
      </c>
      <c r="C1718" s="30">
        <f>55245*3.38105</f>
        <v>186786.10725</v>
      </c>
      <c r="D1718" s="116">
        <v>20498.794999999998</v>
      </c>
      <c r="E1718" s="119">
        <f t="shared" si="54"/>
        <v>166287.31225000002</v>
      </c>
      <c r="F1718" s="119">
        <f t="shared" si="55"/>
        <v>2.0529297808641975</v>
      </c>
      <c r="G1718" s="212" t="s">
        <v>19879</v>
      </c>
      <c r="H1718" s="109" t="s">
        <v>19425</v>
      </c>
      <c r="I1718" s="214">
        <v>45478</v>
      </c>
      <c r="J1718" s="116">
        <f>25%*15676.65</f>
        <v>3919.1624999999999</v>
      </c>
      <c r="N1718" s="66" t="s">
        <v>19477</v>
      </c>
      <c r="O1718" s="651">
        <v>32319.526000000002</v>
      </c>
    </row>
    <row r="1719" spans="1:15" ht="14.45">
      <c r="A1719" s="86">
        <v>45497</v>
      </c>
      <c r="B1719" s="87">
        <v>41000</v>
      </c>
      <c r="C1719" s="30">
        <v>78925</v>
      </c>
      <c r="D1719" s="116">
        <v>0</v>
      </c>
      <c r="E1719" s="119">
        <f t="shared" si="54"/>
        <v>78925</v>
      </c>
      <c r="F1719" s="119">
        <f t="shared" si="55"/>
        <v>1.925</v>
      </c>
      <c r="G1719" s="212" t="s">
        <v>17018</v>
      </c>
      <c r="H1719" s="109" t="s">
        <v>19436</v>
      </c>
      <c r="I1719" s="214">
        <v>45485</v>
      </c>
      <c r="J1719" s="116">
        <v>0</v>
      </c>
      <c r="N1719" s="66" t="s">
        <v>19478</v>
      </c>
      <c r="O1719" s="651">
        <v>0</v>
      </c>
    </row>
    <row r="1720" spans="1:15" ht="14.45">
      <c r="A1720" s="86">
        <v>45497</v>
      </c>
      <c r="B1720" s="87">
        <v>20500</v>
      </c>
      <c r="C1720" s="30">
        <v>39462.5</v>
      </c>
      <c r="D1720" s="116">
        <v>0</v>
      </c>
      <c r="E1720" s="119">
        <f t="shared" si="54"/>
        <v>39462.5</v>
      </c>
      <c r="F1720" s="119">
        <f t="shared" si="55"/>
        <v>1.925</v>
      </c>
      <c r="G1720" s="212" t="s">
        <v>17018</v>
      </c>
      <c r="H1720" s="109" t="s">
        <v>19437</v>
      </c>
      <c r="I1720" s="214">
        <v>45485</v>
      </c>
      <c r="J1720" s="116">
        <v>0</v>
      </c>
      <c r="N1720" s="66" t="s">
        <v>19479</v>
      </c>
      <c r="O1720" s="651">
        <v>0</v>
      </c>
    </row>
    <row r="1721" spans="1:15" ht="14.45">
      <c r="A1721" s="86">
        <v>45499</v>
      </c>
      <c r="B1721" s="87">
        <v>20150</v>
      </c>
      <c r="C1721" s="30">
        <f>15918.5*3.1127</f>
        <v>49549.514949999997</v>
      </c>
      <c r="D1721" s="116">
        <v>7275.9</v>
      </c>
      <c r="E1721" s="119">
        <f t="shared" si="54"/>
        <v>42273.614949999996</v>
      </c>
      <c r="F1721" s="119">
        <f t="shared" si="55"/>
        <v>2.0979461513647641</v>
      </c>
      <c r="G1721" s="212" t="s">
        <v>19659</v>
      </c>
      <c r="H1721" s="109" t="s">
        <v>19413</v>
      </c>
      <c r="I1721" s="214">
        <v>45462</v>
      </c>
      <c r="J1721" s="116">
        <f>15%*5809</f>
        <v>871.35</v>
      </c>
      <c r="N1721" s="66" t="s">
        <v>19480</v>
      </c>
      <c r="O1721" s="651">
        <v>32319.526000000002</v>
      </c>
    </row>
    <row r="1722" spans="1:15" ht="14.45">
      <c r="A1722" s="86">
        <v>45502</v>
      </c>
      <c r="B1722" s="87">
        <v>560000</v>
      </c>
      <c r="C1722" s="30">
        <v>879200</v>
      </c>
      <c r="D1722" s="116">
        <v>0</v>
      </c>
      <c r="E1722" s="119">
        <f t="shared" si="54"/>
        <v>879200</v>
      </c>
      <c r="F1722" s="119">
        <f t="shared" si="55"/>
        <v>1.57</v>
      </c>
      <c r="G1722" s="212" t="s">
        <v>19656</v>
      </c>
      <c r="H1722" s="109" t="s">
        <v>19433</v>
      </c>
      <c r="I1722" s="214">
        <v>45482</v>
      </c>
      <c r="J1722" s="116">
        <v>0</v>
      </c>
      <c r="N1722" s="66" t="s">
        <v>19481</v>
      </c>
      <c r="O1722" s="651">
        <v>41734.777999999998</v>
      </c>
    </row>
    <row r="1723" spans="1:15" ht="14.45">
      <c r="A1723" s="86">
        <v>45502</v>
      </c>
      <c r="B1723" s="87">
        <v>52928</v>
      </c>
      <c r="C1723" s="30">
        <v>95729.2</v>
      </c>
      <c r="D1723" s="116">
        <v>0</v>
      </c>
      <c r="E1723" s="119">
        <f t="shared" si="54"/>
        <v>95729.2</v>
      </c>
      <c r="F1723" s="119">
        <f t="shared" si="55"/>
        <v>1.8086683796856107</v>
      </c>
      <c r="G1723" s="212" t="s">
        <v>19647</v>
      </c>
      <c r="H1723" s="109" t="s">
        <v>19448</v>
      </c>
      <c r="I1723" s="214">
        <v>45497</v>
      </c>
      <c r="J1723" s="116">
        <v>0</v>
      </c>
      <c r="N1723" s="66" t="s">
        <v>19482</v>
      </c>
      <c r="O1723" s="651">
        <v>14687.2</v>
      </c>
    </row>
    <row r="1724" spans="1:15" ht="14.45">
      <c r="A1724" s="86">
        <v>45503</v>
      </c>
      <c r="B1724" s="87">
        <v>139008</v>
      </c>
      <c r="C1724" s="30">
        <f>94384.7*3.1001</f>
        <v>292602.00847</v>
      </c>
      <c r="D1724" s="116">
        <v>0</v>
      </c>
      <c r="E1724" s="119">
        <f t="shared" si="54"/>
        <v>292602.00847</v>
      </c>
      <c r="F1724" s="119">
        <f t="shared" si="55"/>
        <v>2.1049292736389273</v>
      </c>
      <c r="G1724" s="212" t="s">
        <v>19878</v>
      </c>
      <c r="H1724" s="109" t="s">
        <v>19439</v>
      </c>
      <c r="I1724" s="214">
        <v>45486</v>
      </c>
      <c r="J1724" s="116">
        <v>0</v>
      </c>
      <c r="N1724" s="66" t="s">
        <v>19483</v>
      </c>
      <c r="O1724" s="651">
        <v>13090.4</v>
      </c>
    </row>
    <row r="1725" spans="1:15" ht="14.45">
      <c r="A1725" s="86">
        <v>45503</v>
      </c>
      <c r="B1725" s="87">
        <v>38400</v>
      </c>
      <c r="C1725" s="30">
        <v>79104</v>
      </c>
      <c r="D1725" s="116">
        <v>0</v>
      </c>
      <c r="E1725" s="119">
        <f t="shared" si="54"/>
        <v>79104</v>
      </c>
      <c r="F1725" s="119">
        <f t="shared" si="55"/>
        <v>2.06</v>
      </c>
      <c r="G1725" s="212" t="s">
        <v>19656</v>
      </c>
      <c r="H1725" s="109" t="s">
        <v>19449</v>
      </c>
      <c r="I1725" s="214">
        <v>45497</v>
      </c>
      <c r="J1725" s="116">
        <v>0</v>
      </c>
      <c r="N1725" s="66" t="s">
        <v>19484</v>
      </c>
      <c r="O1725" s="651">
        <v>22813.4</v>
      </c>
    </row>
    <row r="1726" spans="1:15" ht="14.45">
      <c r="A1726" s="86">
        <v>45504</v>
      </c>
      <c r="B1726" s="87">
        <v>133500</v>
      </c>
      <c r="C1726" s="30">
        <v>217897.5</v>
      </c>
      <c r="D1726" s="116">
        <v>0</v>
      </c>
      <c r="E1726" s="119">
        <f t="shared" si="54"/>
        <v>217897.5</v>
      </c>
      <c r="F1726" s="119">
        <f t="shared" si="55"/>
        <v>1.632191011235955</v>
      </c>
      <c r="G1726" s="212" t="s">
        <v>19652</v>
      </c>
      <c r="H1726" s="109" t="s">
        <v>19447</v>
      </c>
      <c r="I1726" s="214">
        <v>45497</v>
      </c>
      <c r="J1726" s="116">
        <v>0</v>
      </c>
      <c r="N1726" s="66" t="s">
        <v>19485</v>
      </c>
      <c r="O1726" s="651">
        <v>0</v>
      </c>
    </row>
    <row r="1727" spans="1:15" ht="14.45">
      <c r="A1727" s="792" t="s">
        <v>19880</v>
      </c>
      <c r="B1727" s="793">
        <v>75200</v>
      </c>
      <c r="C1727" s="794">
        <f>49236*3.37445</f>
        <v>166144.42019999999</v>
      </c>
      <c r="D1727" s="303">
        <v>24810.53</v>
      </c>
      <c r="E1727" s="303">
        <f t="shared" si="54"/>
        <v>141333.89019999999</v>
      </c>
      <c r="F1727" s="303">
        <f t="shared" si="55"/>
        <v>1.8794400292553191</v>
      </c>
      <c r="G1727" s="212" t="s">
        <v>19881</v>
      </c>
      <c r="H1727" s="795" t="s">
        <v>19446</v>
      </c>
      <c r="I1727" s="796">
        <v>45496</v>
      </c>
      <c r="J1727" s="303">
        <f>25%*19769.4</f>
        <v>4942.3500000000004</v>
      </c>
      <c r="N1727" s="66" t="s">
        <v>19486</v>
      </c>
      <c r="O1727" s="651">
        <v>0</v>
      </c>
    </row>
    <row r="1728" spans="1:15" ht="14.45">
      <c r="A1728" s="86">
        <v>45504</v>
      </c>
      <c r="B1728" s="87">
        <v>54000</v>
      </c>
      <c r="C1728" s="30">
        <v>139440</v>
      </c>
      <c r="D1728" s="116">
        <v>0</v>
      </c>
      <c r="E1728" s="119">
        <f t="shared" si="54"/>
        <v>139440</v>
      </c>
      <c r="F1728" s="119">
        <f t="shared" si="55"/>
        <v>2.5822222222222222</v>
      </c>
      <c r="G1728" s="212" t="s">
        <v>17227</v>
      </c>
      <c r="H1728" s="109" t="s">
        <v>19445</v>
      </c>
      <c r="I1728" s="214">
        <v>45490</v>
      </c>
      <c r="J1728" s="116">
        <v>0</v>
      </c>
      <c r="N1728" s="66" t="s">
        <v>19487</v>
      </c>
      <c r="O1728" s="651">
        <v>0</v>
      </c>
    </row>
    <row r="1729" spans="1:15" ht="14.45">
      <c r="A1729" s="86">
        <v>45504</v>
      </c>
      <c r="B1729" s="87">
        <v>43200</v>
      </c>
      <c r="C1729" s="30">
        <v>88992</v>
      </c>
      <c r="D1729" s="116">
        <v>0</v>
      </c>
      <c r="E1729" s="119">
        <f t="shared" si="54"/>
        <v>88992</v>
      </c>
      <c r="F1729" s="119">
        <f t="shared" si="55"/>
        <v>2.06</v>
      </c>
      <c r="G1729" s="212" t="s">
        <v>19655</v>
      </c>
      <c r="H1729" s="109" t="s">
        <v>19450</v>
      </c>
      <c r="I1729" s="214">
        <v>45499</v>
      </c>
      <c r="J1729" s="116">
        <v>0</v>
      </c>
      <c r="N1729" s="66" t="s">
        <v>19488</v>
      </c>
      <c r="O1729" s="651">
        <v>0</v>
      </c>
    </row>
    <row r="1730" spans="1:15" ht="14.45">
      <c r="A1730" s="86">
        <v>45504</v>
      </c>
      <c r="B1730" s="87">
        <v>44016</v>
      </c>
      <c r="C1730" s="30">
        <v>88472.16</v>
      </c>
      <c r="D1730" s="116">
        <v>0</v>
      </c>
      <c r="E1730" s="119">
        <f t="shared" si="54"/>
        <v>88472.16</v>
      </c>
      <c r="F1730" s="119">
        <f t="shared" si="55"/>
        <v>2.0100000000000002</v>
      </c>
      <c r="G1730" s="212" t="s">
        <v>19655</v>
      </c>
      <c r="H1730" s="109" t="s">
        <v>19451</v>
      </c>
      <c r="I1730" s="214">
        <v>45408</v>
      </c>
      <c r="J1730" s="116">
        <v>0</v>
      </c>
      <c r="N1730" s="66" t="s">
        <v>19489</v>
      </c>
      <c r="O1730" s="651">
        <v>0</v>
      </c>
    </row>
    <row r="1731" spans="1:15" ht="14.45">
      <c r="A1731" s="86">
        <v>45505</v>
      </c>
      <c r="B1731" s="87">
        <v>52000</v>
      </c>
      <c r="C1731" s="30">
        <v>79300</v>
      </c>
      <c r="D1731" s="116">
        <v>0</v>
      </c>
      <c r="E1731" s="119">
        <f t="shared" si="54"/>
        <v>79300</v>
      </c>
      <c r="F1731" s="119">
        <f t="shared" si="55"/>
        <v>1.5249999999999999</v>
      </c>
      <c r="G1731" s="212" t="s">
        <v>17380</v>
      </c>
      <c r="H1731" s="109" t="s">
        <v>19442</v>
      </c>
      <c r="I1731" s="214">
        <v>45490</v>
      </c>
      <c r="J1731" s="116">
        <v>0</v>
      </c>
      <c r="N1731" s="66" t="s">
        <v>19490</v>
      </c>
      <c r="O1731" s="651">
        <v>14634.26</v>
      </c>
    </row>
    <row r="1732" spans="1:15" ht="14.45">
      <c r="A1732" s="86">
        <v>45512</v>
      </c>
      <c r="B1732" s="87">
        <v>43200</v>
      </c>
      <c r="C1732" s="30">
        <v>88992</v>
      </c>
      <c r="D1732" s="116">
        <v>0</v>
      </c>
      <c r="E1732" s="119">
        <f t="shared" si="54"/>
        <v>88992</v>
      </c>
      <c r="F1732" s="119">
        <f t="shared" si="55"/>
        <v>2.06</v>
      </c>
      <c r="G1732" s="212" t="s">
        <v>19655</v>
      </c>
      <c r="H1732" s="109" t="s">
        <v>19454</v>
      </c>
      <c r="I1732" s="214">
        <v>45509</v>
      </c>
      <c r="J1732" s="116">
        <v>0</v>
      </c>
      <c r="N1732" s="66" t="s">
        <v>19491</v>
      </c>
      <c r="O1732" s="651">
        <v>0</v>
      </c>
    </row>
    <row r="1733" spans="1:15" ht="14.45">
      <c r="A1733" s="86">
        <v>45513</v>
      </c>
      <c r="B1733" s="87">
        <v>60000</v>
      </c>
      <c r="C1733" s="30">
        <v>126000</v>
      </c>
      <c r="D1733" s="116">
        <v>0</v>
      </c>
      <c r="E1733" s="119">
        <f t="shared" si="54"/>
        <v>126000</v>
      </c>
      <c r="F1733" s="119">
        <f t="shared" si="55"/>
        <v>2.1</v>
      </c>
      <c r="G1733" s="212" t="s">
        <v>19679</v>
      </c>
      <c r="H1733" s="109" t="s">
        <v>19452</v>
      </c>
      <c r="I1733" s="214">
        <v>45504</v>
      </c>
      <c r="J1733" s="116">
        <v>0</v>
      </c>
      <c r="N1733" s="66" t="s">
        <v>19492</v>
      </c>
      <c r="O1733" s="651">
        <v>27369.210999999999</v>
      </c>
    </row>
    <row r="1734" spans="1:15" ht="14.45">
      <c r="A1734" s="86">
        <v>45518</v>
      </c>
      <c r="B1734" s="87">
        <v>40300</v>
      </c>
      <c r="C1734" s="30">
        <f>36874.5*3.0883</f>
        <v>113879.51835</v>
      </c>
      <c r="D1734" s="116">
        <v>13786.93</v>
      </c>
      <c r="E1734" s="119">
        <f t="shared" si="54"/>
        <v>100092.58835000001</v>
      </c>
      <c r="F1734" s="119">
        <f t="shared" si="55"/>
        <v>2.4836870558312656</v>
      </c>
      <c r="G1734" s="212" t="s">
        <v>19659</v>
      </c>
      <c r="H1734" s="109" t="s">
        <v>19455</v>
      </c>
      <c r="I1734" s="214">
        <v>45509</v>
      </c>
      <c r="J1734" s="116">
        <f>25%*11536.6</f>
        <v>2884.15</v>
      </c>
      <c r="N1734" s="66" t="s">
        <v>19493</v>
      </c>
      <c r="O1734" s="651">
        <v>13642.495999999999</v>
      </c>
    </row>
    <row r="1735" spans="1:15" ht="14.45">
      <c r="A1735" s="86">
        <v>45518</v>
      </c>
      <c r="B1735" s="87">
        <v>20150</v>
      </c>
      <c r="C1735" s="30">
        <f>15918.5*3.0883</f>
        <v>49161.10355</v>
      </c>
      <c r="D1735" s="116">
        <v>7292.53</v>
      </c>
      <c r="E1735" s="119">
        <f t="shared" si="54"/>
        <v>41868.573550000001</v>
      </c>
      <c r="F1735" s="119">
        <f t="shared" si="55"/>
        <v>2.0778448411910668</v>
      </c>
      <c r="G1735" s="212" t="s">
        <v>19659</v>
      </c>
      <c r="H1735" s="109" t="s">
        <v>19456</v>
      </c>
      <c r="I1735" s="214">
        <v>45509</v>
      </c>
      <c r="J1735" s="116">
        <f>15%*5768.3</f>
        <v>865.245</v>
      </c>
      <c r="N1735" s="66" t="s">
        <v>19494</v>
      </c>
      <c r="O1735" s="651">
        <v>13642.495999999999</v>
      </c>
    </row>
    <row r="1736" spans="1:15" ht="14.45">
      <c r="A1736" s="86">
        <v>45520</v>
      </c>
      <c r="B1736" s="87">
        <v>266534</v>
      </c>
      <c r="C1736" s="30">
        <f>186574.08*3.07435</f>
        <v>573594.02284799994</v>
      </c>
      <c r="D1736" s="116">
        <v>0</v>
      </c>
      <c r="E1736" s="119">
        <f t="shared" si="54"/>
        <v>573594.02284799994</v>
      </c>
      <c r="F1736" s="119">
        <f t="shared" si="55"/>
        <v>2.1520482296742629</v>
      </c>
      <c r="G1736" s="212" t="s">
        <v>19688</v>
      </c>
      <c r="H1736" s="109" t="s">
        <v>19453</v>
      </c>
      <c r="I1736" s="214">
        <v>45506</v>
      </c>
      <c r="J1736" s="116">
        <v>0</v>
      </c>
      <c r="N1736" s="66" t="s">
        <v>19495</v>
      </c>
      <c r="O1736" s="651">
        <v>0</v>
      </c>
    </row>
    <row r="1737" spans="1:15" ht="14.45">
      <c r="A1737" s="86">
        <v>45525</v>
      </c>
      <c r="B1737" s="87">
        <v>96000</v>
      </c>
      <c r="C1737" s="30">
        <v>197760</v>
      </c>
      <c r="D1737" s="116">
        <v>0</v>
      </c>
      <c r="E1737" s="119">
        <f t="shared" si="54"/>
        <v>197760</v>
      </c>
      <c r="F1737" s="119">
        <f t="shared" si="55"/>
        <v>2.06</v>
      </c>
      <c r="G1737" s="212" t="s">
        <v>19656</v>
      </c>
      <c r="H1737" s="109" t="s">
        <v>19461</v>
      </c>
      <c r="I1737" s="214">
        <v>45518</v>
      </c>
      <c r="J1737" s="116">
        <v>0</v>
      </c>
      <c r="N1737" s="66" t="s">
        <v>19496</v>
      </c>
      <c r="O1737" s="651">
        <v>16390.52</v>
      </c>
    </row>
    <row r="1738" spans="1:15" ht="14.45">
      <c r="A1738" s="86">
        <v>45525</v>
      </c>
      <c r="B1738" s="87">
        <v>280000</v>
      </c>
      <c r="C1738" s="30">
        <v>417200</v>
      </c>
      <c r="D1738" s="116">
        <v>0</v>
      </c>
      <c r="E1738" s="119">
        <f t="shared" si="54"/>
        <v>417200</v>
      </c>
      <c r="F1738" s="119">
        <f t="shared" si="55"/>
        <v>1.49</v>
      </c>
      <c r="G1738" s="212" t="s">
        <v>19652</v>
      </c>
      <c r="H1738" s="109" t="s">
        <v>19458</v>
      </c>
      <c r="I1738" s="214">
        <v>45513</v>
      </c>
      <c r="J1738" s="116">
        <v>0</v>
      </c>
      <c r="N1738" s="66" t="s">
        <v>19497</v>
      </c>
      <c r="O1738" s="651">
        <v>8592.76</v>
      </c>
    </row>
    <row r="1739" spans="1:15" s="72" customFormat="1" ht="14.45">
      <c r="A1739" s="797">
        <v>45526</v>
      </c>
      <c r="B1739" s="798">
        <v>22070</v>
      </c>
      <c r="C1739" s="799">
        <f>32282.32*3.0518</f>
        <v>98519.184175999995</v>
      </c>
      <c r="D1739" s="174">
        <v>2455.4699999999998</v>
      </c>
      <c r="E1739" s="174">
        <f t="shared" si="54"/>
        <v>96063.714175999994</v>
      </c>
      <c r="F1739" s="174">
        <f t="shared" si="55"/>
        <v>4.3526830165835975</v>
      </c>
      <c r="G1739" s="166" t="s">
        <v>19653</v>
      </c>
      <c r="H1739" s="800" t="s">
        <v>19462</v>
      </c>
      <c r="I1739" s="801">
        <v>45518</v>
      </c>
      <c r="J1739" s="174">
        <v>0</v>
      </c>
      <c r="N1739" s="66" t="s">
        <v>19498</v>
      </c>
      <c r="O1739" s="651">
        <v>0</v>
      </c>
    </row>
    <row r="1740" spans="1:15" ht="14.45">
      <c r="A1740" s="86">
        <v>45526</v>
      </c>
      <c r="B1740" s="87">
        <v>27600</v>
      </c>
      <c r="C1740" s="30">
        <v>56856</v>
      </c>
      <c r="D1740" s="116">
        <v>0</v>
      </c>
      <c r="E1740" s="119">
        <f t="shared" si="54"/>
        <v>56856</v>
      </c>
      <c r="F1740" s="119">
        <f t="shared" si="55"/>
        <v>2.06</v>
      </c>
      <c r="G1740" s="212" t="s">
        <v>19833</v>
      </c>
      <c r="H1740" s="109" t="s">
        <v>19464</v>
      </c>
      <c r="I1740" s="214">
        <v>45518</v>
      </c>
      <c r="J1740" s="116">
        <v>0</v>
      </c>
      <c r="N1740" s="66" t="s">
        <v>19499</v>
      </c>
      <c r="O1740" s="651">
        <v>0</v>
      </c>
    </row>
    <row r="1741" spans="1:15" ht="14.45">
      <c r="A1741" s="86">
        <v>45526</v>
      </c>
      <c r="B1741" s="87">
        <v>84000</v>
      </c>
      <c r="C1741" s="30">
        <v>132720</v>
      </c>
      <c r="D1741" s="116">
        <v>0</v>
      </c>
      <c r="E1741" s="119">
        <f t="shared" si="54"/>
        <v>132720</v>
      </c>
      <c r="F1741" s="119">
        <f t="shared" si="55"/>
        <v>1.58</v>
      </c>
      <c r="G1741" s="212" t="s">
        <v>19656</v>
      </c>
      <c r="H1741" s="109" t="s">
        <v>19457</v>
      </c>
      <c r="I1741" s="214">
        <v>45513</v>
      </c>
      <c r="J1741" s="116">
        <v>0</v>
      </c>
      <c r="N1741" s="66" t="s">
        <v>19500</v>
      </c>
      <c r="O1741" s="651">
        <v>14956.254999999999</v>
      </c>
    </row>
    <row r="1742" spans="1:15" ht="14.45">
      <c r="A1742" s="86">
        <v>45526</v>
      </c>
      <c r="B1742" s="87">
        <v>43200</v>
      </c>
      <c r="C1742" s="30">
        <v>88992</v>
      </c>
      <c r="D1742" s="116">
        <v>0</v>
      </c>
      <c r="E1742" s="119">
        <f t="shared" si="54"/>
        <v>88992</v>
      </c>
      <c r="F1742" s="119">
        <f t="shared" si="55"/>
        <v>2.06</v>
      </c>
      <c r="G1742" s="212" t="s">
        <v>19655</v>
      </c>
      <c r="H1742" s="109" t="s">
        <v>19465</v>
      </c>
      <c r="I1742" s="214">
        <v>45518</v>
      </c>
      <c r="J1742" s="116">
        <v>0</v>
      </c>
      <c r="N1742" s="66" t="s">
        <v>19501</v>
      </c>
      <c r="O1742" s="651">
        <v>19793.419999999998</v>
      </c>
    </row>
    <row r="1743" spans="1:15" ht="14.45">
      <c r="A1743" s="86">
        <v>45527</v>
      </c>
      <c r="B1743" s="87">
        <v>134400</v>
      </c>
      <c r="C1743" s="30">
        <f>88354*3.38965</f>
        <v>299489.1361</v>
      </c>
      <c r="D1743" s="116">
        <v>31322.63</v>
      </c>
      <c r="E1743" s="119">
        <f t="shared" si="54"/>
        <v>268166.5061</v>
      </c>
      <c r="F1743" s="119">
        <f t="shared" si="55"/>
        <v>1.9952865037202381</v>
      </c>
      <c r="G1743" s="212" t="s">
        <v>19857</v>
      </c>
      <c r="H1743" s="109" t="s">
        <v>19467</v>
      </c>
      <c r="I1743" s="214">
        <v>45518</v>
      </c>
      <c r="J1743" s="116">
        <f>25%*20601.7</f>
        <v>5150.4250000000002</v>
      </c>
      <c r="N1743" s="66" t="s">
        <v>19502</v>
      </c>
      <c r="O1743" s="651">
        <v>0</v>
      </c>
    </row>
    <row r="1744" spans="1:15" ht="14.45">
      <c r="A1744" s="86">
        <v>45527</v>
      </c>
      <c r="B1744" s="87">
        <v>22152</v>
      </c>
      <c r="C1744" s="30">
        <f>22416.1*3.39225</f>
        <v>76041.015224999996</v>
      </c>
      <c r="D1744" s="116">
        <v>34889.784</v>
      </c>
      <c r="E1744" s="303">
        <f t="shared" si="54"/>
        <v>41151.231224999996</v>
      </c>
      <c r="F1744" s="303">
        <f t="shared" si="55"/>
        <v>1.8576756602112674</v>
      </c>
      <c r="G1744" s="212" t="s">
        <v>17303</v>
      </c>
      <c r="H1744" s="109" t="s">
        <v>19470</v>
      </c>
      <c r="I1744" s="214">
        <v>45524</v>
      </c>
      <c r="J1744" s="116">
        <f>15%*12422.01</f>
        <v>1863.3015</v>
      </c>
      <c r="N1744" s="66" t="s">
        <v>19503</v>
      </c>
      <c r="O1744" s="651">
        <v>6755.3</v>
      </c>
    </row>
    <row r="1745" spans="1:15" ht="14.45">
      <c r="A1745" s="86">
        <v>45527</v>
      </c>
      <c r="B1745" s="87">
        <v>22444</v>
      </c>
      <c r="C1745" s="30">
        <f>25393.03*3.39225</f>
        <v>86139.506017499996</v>
      </c>
      <c r="D1745" s="116">
        <v>35887.332000000002</v>
      </c>
      <c r="E1745" s="119">
        <f t="shared" si="54"/>
        <v>50252.174017499994</v>
      </c>
      <c r="F1745" s="119">
        <f t="shared" si="55"/>
        <v>2.2390025849893065</v>
      </c>
      <c r="G1745" s="212" t="s">
        <v>17303</v>
      </c>
      <c r="H1745" s="109" t="s">
        <v>19471</v>
      </c>
      <c r="I1745" s="214">
        <v>45524</v>
      </c>
      <c r="J1745" s="116">
        <f>15%*12422.01</f>
        <v>1863.3015</v>
      </c>
      <c r="N1745" s="66" t="s">
        <v>19504</v>
      </c>
      <c r="O1745" s="651">
        <v>12186.28</v>
      </c>
    </row>
    <row r="1746" spans="1:15" ht="14.45">
      <c r="A1746" s="86">
        <v>45531</v>
      </c>
      <c r="B1746" s="87">
        <v>54000</v>
      </c>
      <c r="C1746" s="30">
        <f>36830*3.39055</f>
        <v>124873.9565</v>
      </c>
      <c r="D1746" s="116">
        <v>13637.43</v>
      </c>
      <c r="E1746" s="119">
        <f t="shared" si="54"/>
        <v>111236.52650000001</v>
      </c>
      <c r="F1746" s="119">
        <f t="shared" si="55"/>
        <v>2.0599356759259262</v>
      </c>
      <c r="G1746" s="212" t="s">
        <v>19879</v>
      </c>
      <c r="H1746" s="109" t="s">
        <v>19469</v>
      </c>
      <c r="I1746" s="214">
        <v>45523</v>
      </c>
      <c r="J1746" s="116">
        <f>25%*10223.4</f>
        <v>2555.85</v>
      </c>
      <c r="N1746" s="66" t="s">
        <v>19505</v>
      </c>
      <c r="O1746" s="651">
        <v>0</v>
      </c>
    </row>
    <row r="1747" spans="1:15" ht="14.45">
      <c r="A1747" s="86">
        <v>45531</v>
      </c>
      <c r="B1747" s="87">
        <v>56000</v>
      </c>
      <c r="C1747" s="30">
        <v>88480</v>
      </c>
      <c r="D1747" s="116">
        <v>0</v>
      </c>
      <c r="E1747" s="119">
        <f t="shared" si="54"/>
        <v>88480</v>
      </c>
      <c r="F1747" s="119">
        <f t="shared" si="55"/>
        <v>1.58</v>
      </c>
      <c r="G1747" s="212" t="s">
        <v>19655</v>
      </c>
      <c r="H1747" s="109" t="s">
        <v>19468</v>
      </c>
      <c r="I1747" s="214">
        <v>45523</v>
      </c>
      <c r="J1747" s="116">
        <v>0</v>
      </c>
      <c r="N1747" s="66" t="s">
        <v>19506</v>
      </c>
      <c r="O1747" s="651">
        <v>18640.810000000001</v>
      </c>
    </row>
    <row r="1748" spans="1:15" ht="14.45">
      <c r="A1748" s="86">
        <v>45532</v>
      </c>
      <c r="B1748" s="87">
        <v>25212</v>
      </c>
      <c r="C1748" s="30">
        <f>23447.18*3.39435</f>
        <v>79587.935433000006</v>
      </c>
      <c r="D1748" s="116">
        <v>16990.68</v>
      </c>
      <c r="E1748" s="119">
        <f t="shared" si="54"/>
        <v>62597.255433000006</v>
      </c>
      <c r="F1748" s="119">
        <f t="shared" si="55"/>
        <v>2.4828357699904808</v>
      </c>
      <c r="G1748" s="212" t="s">
        <v>19661</v>
      </c>
      <c r="H1748" s="109" t="s">
        <v>19466</v>
      </c>
      <c r="I1748" s="214">
        <v>45518</v>
      </c>
      <c r="J1748" s="116">
        <f>25%*14918.4</f>
        <v>3729.6</v>
      </c>
      <c r="N1748" s="66" t="s">
        <v>19507</v>
      </c>
      <c r="O1748" s="651">
        <v>0</v>
      </c>
    </row>
    <row r="1749" spans="1:15" ht="14.45">
      <c r="A1749" s="86">
        <v>45532</v>
      </c>
      <c r="B1749" s="87">
        <v>24792</v>
      </c>
      <c r="C1749" s="30">
        <f>23125.88*3.39435</f>
        <v>78497.330778000003</v>
      </c>
      <c r="D1749" s="116">
        <v>16994.88</v>
      </c>
      <c r="E1749" s="119">
        <f t="shared" si="54"/>
        <v>61502.450777999999</v>
      </c>
      <c r="F1749" s="119">
        <f t="shared" si="55"/>
        <v>2.4807377693610841</v>
      </c>
      <c r="G1749" s="212" t="s">
        <v>19661</v>
      </c>
      <c r="H1749" s="109" t="s">
        <v>19475</v>
      </c>
      <c r="I1749" s="214">
        <v>45526</v>
      </c>
      <c r="J1749" s="116">
        <f>25%*14918.4</f>
        <v>3729.6</v>
      </c>
      <c r="N1749" s="66" t="s">
        <v>19508</v>
      </c>
      <c r="O1749" s="651">
        <v>0</v>
      </c>
    </row>
    <row r="1750" spans="1:15" ht="14.45">
      <c r="A1750" s="86">
        <v>45532</v>
      </c>
      <c r="B1750" s="87">
        <v>23868</v>
      </c>
      <c r="C1750" s="30">
        <f>22449.02*3.39435</f>
        <v>76199.831037000011</v>
      </c>
      <c r="D1750" s="116">
        <v>16974.88</v>
      </c>
      <c r="E1750" s="119">
        <f t="shared" si="54"/>
        <v>59224.951037000006</v>
      </c>
      <c r="F1750" s="119">
        <f t="shared" si="55"/>
        <v>2.4813537387715772</v>
      </c>
      <c r="G1750" s="212" t="s">
        <v>19661</v>
      </c>
      <c r="H1750" s="109" t="s">
        <v>19476</v>
      </c>
      <c r="I1750" s="214">
        <v>45526</v>
      </c>
      <c r="J1750" s="116">
        <f>25%*14918.4</f>
        <v>3729.6</v>
      </c>
      <c r="N1750" s="66" t="s">
        <v>19509</v>
      </c>
      <c r="O1750" s="651">
        <v>9495.91</v>
      </c>
    </row>
    <row r="1751" spans="1:15" ht="14.45">
      <c r="A1751" s="86">
        <v>45532</v>
      </c>
      <c r="B1751" s="87">
        <v>52040</v>
      </c>
      <c r="C1751" s="30">
        <v>91240.4</v>
      </c>
      <c r="D1751" s="116">
        <v>0</v>
      </c>
      <c r="E1751" s="119">
        <f t="shared" si="54"/>
        <v>91240.4</v>
      </c>
      <c r="F1751" s="119">
        <f t="shared" si="55"/>
        <v>1.7532744043043811</v>
      </c>
      <c r="G1751" s="212" t="s">
        <v>19655</v>
      </c>
      <c r="H1751" s="109" t="s">
        <v>19485</v>
      </c>
      <c r="I1751" s="214">
        <v>45530</v>
      </c>
      <c r="J1751" s="116">
        <v>0</v>
      </c>
      <c r="N1751" s="66" t="s">
        <v>19510</v>
      </c>
      <c r="O1751" s="651">
        <v>13447.91</v>
      </c>
    </row>
    <row r="1752" spans="1:15" ht="14.45">
      <c r="A1752" s="86">
        <v>45533</v>
      </c>
      <c r="B1752" s="87">
        <v>57600</v>
      </c>
      <c r="C1752" s="30">
        <f>45558*3.03935</f>
        <v>138466.70730000001</v>
      </c>
      <c r="D1752" s="116">
        <v>32359</v>
      </c>
      <c r="E1752" s="119">
        <f t="shared" si="54"/>
        <v>106107.70730000001</v>
      </c>
      <c r="F1752" s="119">
        <f t="shared" si="55"/>
        <v>1.8421476961805556</v>
      </c>
      <c r="G1752" s="212" t="s">
        <v>19863</v>
      </c>
      <c r="H1752" s="109" t="s">
        <v>19474</v>
      </c>
      <c r="I1752" s="214">
        <v>45525</v>
      </c>
      <c r="J1752" s="116">
        <f>25%*27435</f>
        <v>6858.75</v>
      </c>
      <c r="N1752" s="66" t="s">
        <v>19511</v>
      </c>
      <c r="O1752" s="651">
        <v>0</v>
      </c>
    </row>
    <row r="1753" spans="1:15" ht="14.45">
      <c r="A1753" s="86">
        <v>45533</v>
      </c>
      <c r="B1753" s="87">
        <v>165000</v>
      </c>
      <c r="C1753" s="30">
        <f>82000*3.39435</f>
        <v>278336.7</v>
      </c>
      <c r="D1753" s="116">
        <v>32319.526000000002</v>
      </c>
      <c r="E1753" s="119">
        <f t="shared" si="54"/>
        <v>246017.174</v>
      </c>
      <c r="F1753" s="119">
        <f t="shared" si="55"/>
        <v>1.4910131757575757</v>
      </c>
      <c r="G1753" s="212" t="s">
        <v>19722</v>
      </c>
      <c r="H1753" s="109" t="s">
        <v>19477</v>
      </c>
      <c r="I1753" s="214">
        <v>45530</v>
      </c>
      <c r="J1753" s="116">
        <f>25%*18608.85</f>
        <v>4652.2124999999996</v>
      </c>
      <c r="N1753" s="66" t="s">
        <v>19512</v>
      </c>
      <c r="O1753" s="651">
        <v>11801.305</v>
      </c>
    </row>
    <row r="1754" spans="1:15" ht="14.45">
      <c r="A1754" s="86">
        <v>45534</v>
      </c>
      <c r="B1754" s="87">
        <v>96000</v>
      </c>
      <c r="C1754" s="30">
        <f>64070*3.3843</f>
        <v>216832.101</v>
      </c>
      <c r="D1754" s="116">
        <v>22813.4</v>
      </c>
      <c r="E1754" s="119">
        <f t="shared" si="54"/>
        <v>194018.701</v>
      </c>
      <c r="F1754" s="119">
        <f t="shared" si="55"/>
        <v>2.0210281354166666</v>
      </c>
      <c r="G1754" s="212" t="s">
        <v>19857</v>
      </c>
      <c r="H1754" s="109" t="s">
        <v>19484</v>
      </c>
      <c r="I1754" s="214">
        <v>45530</v>
      </c>
      <c r="J1754" s="116">
        <f>25%*14725</f>
        <v>3681.25</v>
      </c>
      <c r="N1754" s="66" t="s">
        <v>19513</v>
      </c>
      <c r="O1754" s="651">
        <v>103408.48</v>
      </c>
    </row>
    <row r="1755" spans="1:15" s="72" customFormat="1" ht="14.45">
      <c r="A1755" s="797">
        <v>45534</v>
      </c>
      <c r="B1755" s="798">
        <v>272160</v>
      </c>
      <c r="C1755" s="799">
        <f>149311.2*3.39125</f>
        <v>506351.60700000002</v>
      </c>
      <c r="D1755" s="174">
        <v>41734.777999999998</v>
      </c>
      <c r="E1755" s="174">
        <f t="shared" si="54"/>
        <v>464616.82900000003</v>
      </c>
      <c r="F1755" s="174">
        <f t="shared" si="55"/>
        <v>1.7071459031452088</v>
      </c>
      <c r="G1755" s="166" t="s">
        <v>19804</v>
      </c>
      <c r="H1755" s="800" t="s">
        <v>19481</v>
      </c>
      <c r="I1755" s="801">
        <v>45530</v>
      </c>
      <c r="J1755" s="174">
        <f>25%*46394.885</f>
        <v>11598.721250000001</v>
      </c>
      <c r="N1755" s="66" t="s">
        <v>19514</v>
      </c>
      <c r="O1755" s="651">
        <v>0</v>
      </c>
    </row>
    <row r="1756" spans="1:15" ht="14.45">
      <c r="A1756" s="86">
        <v>45535</v>
      </c>
      <c r="B1756" s="87">
        <v>165000</v>
      </c>
      <c r="C1756" s="30">
        <f>82000*3.3843</f>
        <v>277512.60000000003</v>
      </c>
      <c r="D1756" s="116">
        <v>32319.526000000002</v>
      </c>
      <c r="E1756" s="119">
        <f t="shared" si="54"/>
        <v>245193.07400000002</v>
      </c>
      <c r="F1756" s="119">
        <f t="shared" si="55"/>
        <v>1.4860186303030305</v>
      </c>
      <c r="G1756" s="212" t="s">
        <v>19722</v>
      </c>
      <c r="H1756" s="109" t="s">
        <v>19480</v>
      </c>
      <c r="I1756" s="214">
        <v>45530</v>
      </c>
      <c r="J1756" s="116">
        <f>25%*18608.85</f>
        <v>4652.2124999999996</v>
      </c>
      <c r="N1756" s="66" t="s">
        <v>19515</v>
      </c>
      <c r="O1756" s="651">
        <v>0</v>
      </c>
    </row>
    <row r="1757" spans="1:15" ht="14.45">
      <c r="A1757" s="86">
        <v>45535</v>
      </c>
      <c r="B1757" s="87">
        <v>134050</v>
      </c>
      <c r="C1757" s="30">
        <f>74483.5*3.3843</f>
        <v>252074.50904999999</v>
      </c>
      <c r="D1757" s="116">
        <v>33826.618999999999</v>
      </c>
      <c r="E1757" s="119">
        <f t="shared" si="54"/>
        <v>218247.89004999999</v>
      </c>
      <c r="F1757" s="119">
        <f t="shared" si="55"/>
        <v>1.628108094367773</v>
      </c>
      <c r="G1757" s="212" t="s">
        <v>19877</v>
      </c>
      <c r="H1757" s="109" t="s">
        <v>19459</v>
      </c>
      <c r="I1757" s="214">
        <v>45518</v>
      </c>
      <c r="J1757" s="116">
        <f>25%*25320.76</f>
        <v>6330.19</v>
      </c>
      <c r="N1757" s="66" t="s">
        <v>19516</v>
      </c>
      <c r="O1757" s="651">
        <v>0</v>
      </c>
    </row>
    <row r="1758" spans="1:15" ht="14.45">
      <c r="A1758" s="86">
        <v>45535</v>
      </c>
      <c r="B1758" s="87">
        <v>23608</v>
      </c>
      <c r="C1758" s="30">
        <f>32412.04*2.26765</f>
        <v>73499.162506000008</v>
      </c>
      <c r="D1758" s="116">
        <v>14687.2</v>
      </c>
      <c r="E1758" s="119">
        <f t="shared" si="54"/>
        <v>58811.962506000011</v>
      </c>
      <c r="F1758" s="119">
        <f t="shared" si="55"/>
        <v>2.4911878391223317</v>
      </c>
      <c r="G1758" s="212" t="s">
        <v>17305</v>
      </c>
      <c r="H1758" s="109" t="s">
        <v>19482</v>
      </c>
      <c r="I1758" s="214">
        <v>45530</v>
      </c>
      <c r="J1758" s="116">
        <f>15%*12958</f>
        <v>1943.6999999999998</v>
      </c>
      <c r="N1758" s="66" t="s">
        <v>19517</v>
      </c>
      <c r="O1758" s="651">
        <v>0</v>
      </c>
    </row>
    <row r="1759" spans="1:15" ht="14.45">
      <c r="A1759" s="86">
        <v>45535</v>
      </c>
      <c r="B1759" s="87">
        <v>25370</v>
      </c>
      <c r="C1759" s="30">
        <f>36510.06*2.26765</f>
        <v>82792.037559000004</v>
      </c>
      <c r="D1759" s="116">
        <v>13090.4</v>
      </c>
      <c r="E1759" s="119">
        <f t="shared" si="54"/>
        <v>69701.63755900001</v>
      </c>
      <c r="F1759" s="119">
        <f t="shared" si="55"/>
        <v>2.7474039242806469</v>
      </c>
      <c r="G1759" s="212" t="s">
        <v>17305</v>
      </c>
      <c r="H1759" s="109" t="s">
        <v>19483</v>
      </c>
      <c r="I1759" s="214">
        <v>45530</v>
      </c>
      <c r="J1759" s="116">
        <f>15%*11098</f>
        <v>1664.7</v>
      </c>
      <c r="N1759" s="66" t="s">
        <v>19518</v>
      </c>
      <c r="O1759" s="651">
        <v>0</v>
      </c>
    </row>
    <row r="1760" spans="1:15" ht="14.45">
      <c r="A1760" s="86">
        <v>45535</v>
      </c>
      <c r="B1760" s="87">
        <v>69509</v>
      </c>
      <c r="C1760" s="30">
        <f>147126.24</f>
        <v>147126.24</v>
      </c>
      <c r="D1760" s="116">
        <v>0</v>
      </c>
      <c r="E1760" s="303">
        <f t="shared" si="54"/>
        <v>147126.24</v>
      </c>
      <c r="F1760" s="303">
        <f t="shared" si="55"/>
        <v>2.1166502179573867</v>
      </c>
      <c r="G1760" s="212" t="s">
        <v>19878</v>
      </c>
      <c r="H1760" s="109" t="s">
        <v>19478</v>
      </c>
      <c r="I1760" s="214">
        <v>45530</v>
      </c>
      <c r="J1760" s="116">
        <v>0</v>
      </c>
      <c r="N1760" s="66" t="s">
        <v>19519</v>
      </c>
      <c r="O1760" s="651">
        <v>0</v>
      </c>
    </row>
    <row r="1761" spans="1:15" ht="14.45">
      <c r="A1761" s="86">
        <v>45535</v>
      </c>
      <c r="B1761" s="87">
        <v>55824</v>
      </c>
      <c r="C1761" s="30">
        <f>39076.8*3.051</f>
        <v>119223.31680000002</v>
      </c>
      <c r="D1761" s="116">
        <v>0</v>
      </c>
      <c r="E1761" s="119">
        <f t="shared" si="54"/>
        <v>119223.31680000002</v>
      </c>
      <c r="F1761" s="119">
        <f t="shared" si="55"/>
        <v>2.1357000000000004</v>
      </c>
      <c r="G1761" s="212" t="s">
        <v>19688</v>
      </c>
      <c r="H1761" s="109" t="s">
        <v>19488</v>
      </c>
      <c r="I1761" s="214">
        <v>45532</v>
      </c>
      <c r="J1761" s="116">
        <v>0</v>
      </c>
      <c r="N1761" s="66" t="s">
        <v>19520</v>
      </c>
      <c r="O1761" s="651">
        <v>12064.96</v>
      </c>
    </row>
    <row r="1762" spans="1:15" ht="12.95">
      <c r="A1762" s="86">
        <v>45538</v>
      </c>
      <c r="B1762" s="87">
        <v>135000</v>
      </c>
      <c r="C1762" s="30">
        <v>222075</v>
      </c>
      <c r="D1762" s="116">
        <v>0</v>
      </c>
      <c r="E1762" s="119">
        <f t="shared" si="54"/>
        <v>222075</v>
      </c>
      <c r="F1762" s="119">
        <f t="shared" si="55"/>
        <v>1.645</v>
      </c>
      <c r="G1762" s="212" t="s">
        <v>19647</v>
      </c>
      <c r="H1762" s="104" t="s">
        <v>19463</v>
      </c>
      <c r="I1762" s="214">
        <v>45518</v>
      </c>
      <c r="J1762" s="116">
        <v>0</v>
      </c>
      <c r="N1762" s="66" t="s">
        <v>19521</v>
      </c>
      <c r="O1762" s="651">
        <v>32196.115000000002</v>
      </c>
    </row>
    <row r="1763" spans="1:15" ht="12.95">
      <c r="A1763" s="86">
        <v>45538</v>
      </c>
      <c r="B1763" s="87">
        <v>19160</v>
      </c>
      <c r="C1763" s="30">
        <f>13973.1*3.05155</f>
        <v>42639.613305000006</v>
      </c>
      <c r="D1763" s="116">
        <v>7020.64</v>
      </c>
      <c r="E1763" s="119">
        <f t="shared" si="54"/>
        <v>35618.973305000007</v>
      </c>
      <c r="F1763" s="119">
        <f t="shared" si="55"/>
        <v>1.8590278342901883</v>
      </c>
      <c r="G1763" s="212" t="s">
        <v>17360</v>
      </c>
      <c r="H1763" s="104" t="s">
        <v>19460</v>
      </c>
      <c r="I1763" s="214">
        <v>45518</v>
      </c>
      <c r="J1763" s="116">
        <f>25%*5792.04</f>
        <v>1448.01</v>
      </c>
      <c r="N1763" s="66" t="s">
        <v>19522</v>
      </c>
      <c r="O1763" s="651">
        <v>7360.8149999999996</v>
      </c>
    </row>
    <row r="1764" spans="1:15" ht="14.45">
      <c r="A1764" s="86">
        <v>45538</v>
      </c>
      <c r="B1764" s="87">
        <v>57600</v>
      </c>
      <c r="C1764" s="30">
        <v>115200</v>
      </c>
      <c r="D1764" s="116">
        <v>0</v>
      </c>
      <c r="E1764" s="119">
        <f t="shared" si="54"/>
        <v>115200</v>
      </c>
      <c r="F1764" s="119">
        <f t="shared" si="55"/>
        <v>2</v>
      </c>
      <c r="G1764" s="88" t="s">
        <v>19652</v>
      </c>
      <c r="H1764" s="109" t="s">
        <v>19473</v>
      </c>
      <c r="I1764" s="214">
        <v>45525</v>
      </c>
      <c r="J1764" s="116">
        <v>0</v>
      </c>
      <c r="N1764" s="66" t="s">
        <v>19523</v>
      </c>
      <c r="O1764" s="651">
        <v>8990.6149999999998</v>
      </c>
    </row>
    <row r="1765" spans="1:15" ht="14.45">
      <c r="A1765" s="86">
        <v>45540</v>
      </c>
      <c r="B1765" s="87">
        <v>330000</v>
      </c>
      <c r="C1765" s="30">
        <v>478500</v>
      </c>
      <c r="D1765" s="116">
        <v>0</v>
      </c>
      <c r="E1765" s="119">
        <f t="shared" si="54"/>
        <v>478500</v>
      </c>
      <c r="F1765" s="119">
        <f t="shared" si="55"/>
        <v>1.45</v>
      </c>
      <c r="G1765" s="88" t="s">
        <v>19652</v>
      </c>
      <c r="H1765" s="109" t="s">
        <v>19489</v>
      </c>
      <c r="I1765" s="214">
        <v>45534</v>
      </c>
      <c r="J1765" s="116">
        <v>0</v>
      </c>
      <c r="N1765" s="66" t="s">
        <v>19524</v>
      </c>
      <c r="O1765" s="651">
        <v>2381.37</v>
      </c>
    </row>
    <row r="1766" spans="1:15" ht="14.45">
      <c r="A1766" s="86">
        <v>45540</v>
      </c>
      <c r="B1766" s="87">
        <v>19200</v>
      </c>
      <c r="C1766" s="30">
        <v>39552</v>
      </c>
      <c r="D1766" s="116">
        <v>0</v>
      </c>
      <c r="E1766" s="119">
        <f t="shared" si="54"/>
        <v>39552</v>
      </c>
      <c r="F1766" s="119">
        <f t="shared" si="55"/>
        <v>2.06</v>
      </c>
      <c r="G1766" s="88" t="s">
        <v>19655</v>
      </c>
      <c r="H1766" s="109" t="s">
        <v>19491</v>
      </c>
      <c r="I1766" s="214">
        <v>45538</v>
      </c>
      <c r="J1766" s="116">
        <v>0</v>
      </c>
      <c r="N1766" s="66" t="s">
        <v>19525</v>
      </c>
      <c r="O1766" s="651">
        <v>0</v>
      </c>
    </row>
    <row r="1767" spans="1:15" ht="14.45">
      <c r="A1767" s="86">
        <v>45540</v>
      </c>
      <c r="B1767" s="87">
        <v>63808</v>
      </c>
      <c r="C1767" s="30">
        <v>118127.08</v>
      </c>
      <c r="D1767" s="116">
        <v>0</v>
      </c>
      <c r="E1767" s="119">
        <f t="shared" si="54"/>
        <v>118127.08</v>
      </c>
      <c r="F1767" s="119">
        <f t="shared" si="55"/>
        <v>1.8512894934804414</v>
      </c>
      <c r="G1767" s="88" t="s">
        <v>19656</v>
      </c>
      <c r="H1767" s="109" t="s">
        <v>19472</v>
      </c>
      <c r="I1767" s="214">
        <v>45525</v>
      </c>
      <c r="J1767" s="116">
        <v>0</v>
      </c>
      <c r="N1767" s="66" t="s">
        <v>19526</v>
      </c>
      <c r="O1767" s="651">
        <v>0</v>
      </c>
    </row>
    <row r="1768" spans="1:15" ht="14.45">
      <c r="A1768" s="86">
        <v>45541</v>
      </c>
      <c r="B1768" s="87">
        <v>55000</v>
      </c>
      <c r="C1768" s="30">
        <f>33055*3.38165</f>
        <v>111780.44074999999</v>
      </c>
      <c r="D1768" s="116">
        <v>14634.26</v>
      </c>
      <c r="E1768" s="119">
        <f t="shared" ref="E1768:E1831" si="56">(C1768-D1768)</f>
        <v>97146.18075</v>
      </c>
      <c r="F1768" s="119">
        <f t="shared" ref="F1768:F1831" si="57">(E1768/B1768)</f>
        <v>1.7662941954545455</v>
      </c>
      <c r="G1768" s="88" t="s">
        <v>19879</v>
      </c>
      <c r="H1768" s="109" t="s">
        <v>19490</v>
      </c>
      <c r="I1768" s="214">
        <v>45537</v>
      </c>
      <c r="J1768" s="116">
        <f>25%*10594.4</f>
        <v>2648.6</v>
      </c>
      <c r="N1768" s="66" t="s">
        <v>19527</v>
      </c>
      <c r="O1768" s="651">
        <v>0</v>
      </c>
    </row>
    <row r="1769" spans="1:15" ht="14.45">
      <c r="A1769" s="86">
        <v>45541</v>
      </c>
      <c r="B1769" s="87">
        <v>22800</v>
      </c>
      <c r="C1769" s="30">
        <v>42408</v>
      </c>
      <c r="D1769" s="116">
        <v>0</v>
      </c>
      <c r="E1769" s="119">
        <f t="shared" si="56"/>
        <v>42408</v>
      </c>
      <c r="F1769" s="119">
        <f t="shared" si="57"/>
        <v>1.86</v>
      </c>
      <c r="G1769" s="88" t="s">
        <v>19647</v>
      </c>
      <c r="H1769" s="109" t="s">
        <v>19487</v>
      </c>
      <c r="I1769" s="214">
        <v>45532</v>
      </c>
      <c r="J1769" s="116">
        <v>0</v>
      </c>
      <c r="N1769" s="66" t="s">
        <v>19528</v>
      </c>
      <c r="O1769" s="651">
        <v>0</v>
      </c>
    </row>
    <row r="1770" spans="1:15" ht="14.45">
      <c r="A1770" s="86">
        <v>45542</v>
      </c>
      <c r="B1770" s="87">
        <v>24008</v>
      </c>
      <c r="C1770" s="30">
        <f>19493.14*3.38305</f>
        <v>65946.267276999992</v>
      </c>
      <c r="D1770" s="116">
        <v>13642.495999999999</v>
      </c>
      <c r="E1770" s="119">
        <f t="shared" si="56"/>
        <v>52303.771276999993</v>
      </c>
      <c r="F1770" s="119">
        <f t="shared" si="57"/>
        <v>2.1785976040069972</v>
      </c>
      <c r="G1770" s="88" t="s">
        <v>17343</v>
      </c>
      <c r="H1770" s="109" t="s">
        <v>19493</v>
      </c>
      <c r="I1770" s="214">
        <v>45541</v>
      </c>
      <c r="J1770" s="116">
        <f>15%*12389.52</f>
        <v>1858.4279999999999</v>
      </c>
      <c r="N1770" s="66" t="s">
        <v>19529</v>
      </c>
      <c r="O1770" s="651">
        <v>0</v>
      </c>
    </row>
    <row r="1771" spans="1:15" ht="14.45">
      <c r="A1771" s="86">
        <v>45542</v>
      </c>
      <c r="B1771" s="87">
        <v>23832</v>
      </c>
      <c r="C1771" s="30">
        <f>21471.44*3.38305</f>
        <v>72638.955091999989</v>
      </c>
      <c r="D1771" s="116">
        <v>13642.495999999999</v>
      </c>
      <c r="E1771" s="119">
        <f t="shared" si="56"/>
        <v>58996.45909199999</v>
      </c>
      <c r="F1771" s="119">
        <f t="shared" si="57"/>
        <v>2.4755143962739168</v>
      </c>
      <c r="G1771" s="88" t="s">
        <v>17343</v>
      </c>
      <c r="H1771" s="109" t="s">
        <v>19494</v>
      </c>
      <c r="I1771" s="214">
        <v>45541</v>
      </c>
      <c r="J1771" s="116">
        <f>15%*12389.52</f>
        <v>1858.4279999999999</v>
      </c>
      <c r="N1771" s="66" t="s">
        <v>19531</v>
      </c>
      <c r="O1771" s="651">
        <v>12100.96</v>
      </c>
    </row>
    <row r="1772" spans="1:15" ht="14.45">
      <c r="A1772" s="86">
        <v>45545</v>
      </c>
      <c r="B1772" s="87">
        <v>22456</v>
      </c>
      <c r="C1772" s="30">
        <f>23849.31*3.38455</f>
        <v>80719.1821605</v>
      </c>
      <c r="D1772" s="116">
        <v>27369.210999999999</v>
      </c>
      <c r="E1772" s="119">
        <f t="shared" si="56"/>
        <v>53349.971160500005</v>
      </c>
      <c r="F1772" s="119">
        <f t="shared" si="57"/>
        <v>2.3757557517144638</v>
      </c>
      <c r="G1772" s="88" t="s">
        <v>17303</v>
      </c>
      <c r="H1772" s="109" t="s">
        <v>19492</v>
      </c>
      <c r="I1772" s="214">
        <v>45538</v>
      </c>
      <c r="J1772" s="116">
        <v>10303.23</v>
      </c>
      <c r="N1772" s="66" t="s">
        <v>19532</v>
      </c>
      <c r="O1772" s="651">
        <v>18351.61</v>
      </c>
    </row>
    <row r="1773" spans="1:15" ht="12.95">
      <c r="A1773" s="86">
        <v>45546</v>
      </c>
      <c r="B1773" s="87">
        <v>16500</v>
      </c>
      <c r="C1773" s="30">
        <v>60600</v>
      </c>
      <c r="D1773" s="116">
        <v>0</v>
      </c>
      <c r="E1773" s="119">
        <f t="shared" si="56"/>
        <v>60600</v>
      </c>
      <c r="F1773" s="119">
        <f t="shared" si="57"/>
        <v>3.6727272727272728</v>
      </c>
      <c r="G1773" s="212" t="s">
        <v>17018</v>
      </c>
      <c r="H1773" s="104" t="s">
        <v>19486</v>
      </c>
      <c r="I1773" s="214">
        <v>45532</v>
      </c>
      <c r="J1773" s="116">
        <v>0</v>
      </c>
      <c r="N1773" s="66" t="s">
        <v>19533</v>
      </c>
      <c r="O1773" s="651">
        <v>13645.665000000001</v>
      </c>
    </row>
    <row r="1774" spans="1:15" ht="14.45">
      <c r="A1774" s="86">
        <v>45547</v>
      </c>
      <c r="B1774" s="87">
        <v>275000</v>
      </c>
      <c r="C1774" s="30">
        <v>404250</v>
      </c>
      <c r="D1774" s="116">
        <v>0</v>
      </c>
      <c r="E1774" s="119">
        <f t="shared" si="56"/>
        <v>404250</v>
      </c>
      <c r="F1774" s="119">
        <f t="shared" si="57"/>
        <v>1.47</v>
      </c>
      <c r="G1774" s="88" t="s">
        <v>19652</v>
      </c>
      <c r="H1774" s="109" t="s">
        <v>19495</v>
      </c>
      <c r="I1774" s="214">
        <v>45541</v>
      </c>
      <c r="J1774" s="116">
        <v>0</v>
      </c>
      <c r="N1774" s="66" t="s">
        <v>19534</v>
      </c>
      <c r="O1774" s="651">
        <v>0</v>
      </c>
    </row>
    <row r="1775" spans="1:15" ht="14.45">
      <c r="A1775" s="86">
        <v>45548</v>
      </c>
      <c r="B1775" s="87">
        <v>57600</v>
      </c>
      <c r="C1775" s="30">
        <f>38442*3.3738</f>
        <v>129695.61960000001</v>
      </c>
      <c r="D1775" s="116">
        <v>14956.254999999999</v>
      </c>
      <c r="E1775" s="119">
        <f t="shared" si="56"/>
        <v>114739.3646</v>
      </c>
      <c r="F1775" s="119">
        <f t="shared" si="57"/>
        <v>1.9920028576388888</v>
      </c>
      <c r="G1775" s="88" t="s">
        <v>19857</v>
      </c>
      <c r="H1775" s="109" t="s">
        <v>19500</v>
      </c>
      <c r="I1775" s="214">
        <v>45546</v>
      </c>
      <c r="J1775" s="116">
        <f>25%*10206.9</f>
        <v>2551.7249999999999</v>
      </c>
      <c r="N1775" s="66" t="s">
        <v>19535</v>
      </c>
      <c r="O1775" s="651">
        <v>0</v>
      </c>
    </row>
    <row r="1776" spans="1:15" ht="12.95">
      <c r="A1776" s="86">
        <v>45548</v>
      </c>
      <c r="B1776" s="87">
        <v>24792</v>
      </c>
      <c r="C1776" s="30">
        <f>23125.88*3.3738</f>
        <v>78022.093944000007</v>
      </c>
      <c r="D1776" s="116">
        <v>16390.52</v>
      </c>
      <c r="E1776" s="119">
        <f t="shared" si="56"/>
        <v>61631.573944000003</v>
      </c>
      <c r="F1776" s="119">
        <f t="shared" si="57"/>
        <v>2.4859460287189417</v>
      </c>
      <c r="G1776" s="212" t="s">
        <v>19661</v>
      </c>
      <c r="H1776" s="104" t="s">
        <v>19496</v>
      </c>
      <c r="I1776" s="214">
        <v>45546</v>
      </c>
      <c r="J1776" s="116">
        <f>25%*14841.6</f>
        <v>3710.4</v>
      </c>
      <c r="N1776" s="66" t="s">
        <v>19536</v>
      </c>
      <c r="O1776" s="651">
        <v>72333.119999999995</v>
      </c>
    </row>
    <row r="1777" spans="1:15" ht="14.45">
      <c r="A1777" s="802">
        <v>45553</v>
      </c>
      <c r="B1777" s="803">
        <v>28020</v>
      </c>
      <c r="C1777" s="804">
        <f>19765.7*3.04105</f>
        <v>60108.481984999999</v>
      </c>
      <c r="D1777" s="805">
        <v>8592.76</v>
      </c>
      <c r="E1777" s="805">
        <f t="shared" si="56"/>
        <v>51515.721984999996</v>
      </c>
      <c r="F1777" s="805">
        <f t="shared" si="57"/>
        <v>1.8385339751962881</v>
      </c>
      <c r="G1777" s="88" t="s">
        <v>19848</v>
      </c>
      <c r="H1777" s="709" t="s">
        <v>19497</v>
      </c>
      <c r="I1777" s="670">
        <v>45546</v>
      </c>
      <c r="J1777" s="805">
        <f>25%*6977.46</f>
        <v>1744.365</v>
      </c>
      <c r="N1777" s="66" t="s">
        <v>19537</v>
      </c>
      <c r="O1777" s="651">
        <v>0</v>
      </c>
    </row>
    <row r="1778" spans="1:15" ht="14.45">
      <c r="A1778" s="86">
        <v>45554</v>
      </c>
      <c r="B1778" s="87">
        <v>38400</v>
      </c>
      <c r="C1778" s="30">
        <v>76416</v>
      </c>
      <c r="D1778" s="116">
        <v>0</v>
      </c>
      <c r="E1778" s="119">
        <f t="shared" si="56"/>
        <v>76416</v>
      </c>
      <c r="F1778" s="119">
        <f t="shared" si="57"/>
        <v>1.99</v>
      </c>
      <c r="G1778" s="88" t="s">
        <v>19655</v>
      </c>
      <c r="H1778" s="109" t="s">
        <v>19502</v>
      </c>
      <c r="I1778" s="214">
        <v>45547</v>
      </c>
      <c r="J1778" s="116">
        <v>0</v>
      </c>
      <c r="N1778" s="66" t="s">
        <v>19538</v>
      </c>
      <c r="O1778" s="651">
        <v>16275.725</v>
      </c>
    </row>
    <row r="1779" spans="1:15" ht="14.45">
      <c r="A1779" s="86">
        <v>45556</v>
      </c>
      <c r="B1779" s="87">
        <v>112500</v>
      </c>
      <c r="C1779" s="30">
        <v>180000</v>
      </c>
      <c r="D1779" s="116">
        <v>0</v>
      </c>
      <c r="E1779" s="119">
        <f t="shared" si="56"/>
        <v>180000</v>
      </c>
      <c r="F1779" s="119">
        <f t="shared" si="57"/>
        <v>1.6</v>
      </c>
      <c r="G1779" s="88" t="s">
        <v>19647</v>
      </c>
      <c r="H1779" s="109" t="s">
        <v>19498</v>
      </c>
      <c r="I1779" s="214">
        <v>45546</v>
      </c>
      <c r="J1779" s="116">
        <v>0</v>
      </c>
      <c r="N1779" s="66" t="s">
        <v>19539</v>
      </c>
      <c r="O1779" s="651">
        <v>16305.115</v>
      </c>
    </row>
    <row r="1780" spans="1:15" ht="14.45">
      <c r="A1780" s="86">
        <v>45558</v>
      </c>
      <c r="B1780" s="87">
        <v>104000</v>
      </c>
      <c r="C1780" s="30">
        <f>54760*3.38805</f>
        <v>185529.61799999999</v>
      </c>
      <c r="D1780" s="116">
        <v>19793.419999999998</v>
      </c>
      <c r="E1780" s="119">
        <f t="shared" si="56"/>
        <v>165736.19799999997</v>
      </c>
      <c r="F1780" s="119">
        <f t="shared" si="57"/>
        <v>1.5936172884615383</v>
      </c>
      <c r="G1780" s="88" t="s">
        <v>19879</v>
      </c>
      <c r="H1780" s="109" t="s">
        <v>19501</v>
      </c>
      <c r="I1780" s="214">
        <v>45485</v>
      </c>
      <c r="J1780" s="116">
        <f>13604.8*25%</f>
        <v>3401.2</v>
      </c>
      <c r="N1780" s="66" t="s">
        <v>19540</v>
      </c>
      <c r="O1780" s="651">
        <v>12064.96</v>
      </c>
    </row>
    <row r="1781" spans="1:15" ht="14.45">
      <c r="A1781" s="86">
        <v>45559</v>
      </c>
      <c r="B1781" s="87">
        <v>38400</v>
      </c>
      <c r="C1781" s="30">
        <v>71808</v>
      </c>
      <c r="D1781" s="116">
        <v>0</v>
      </c>
      <c r="E1781" s="119">
        <f t="shared" si="56"/>
        <v>71808</v>
      </c>
      <c r="F1781" s="119">
        <f t="shared" si="57"/>
        <v>1.87</v>
      </c>
      <c r="G1781" s="88" t="s">
        <v>17385</v>
      </c>
      <c r="H1781" s="109" t="s">
        <v>19505</v>
      </c>
      <c r="I1781" s="214">
        <v>45554</v>
      </c>
      <c r="J1781" s="116">
        <v>0</v>
      </c>
      <c r="N1781" s="66" t="s">
        <v>19541</v>
      </c>
      <c r="O1781" s="651">
        <v>0</v>
      </c>
    </row>
    <row r="1782" spans="1:15" ht="14.45">
      <c r="A1782" s="86">
        <v>45559</v>
      </c>
      <c r="B1782" s="87">
        <v>112000</v>
      </c>
      <c r="C1782" s="30">
        <v>229600</v>
      </c>
      <c r="D1782" s="116">
        <v>0</v>
      </c>
      <c r="E1782" s="119">
        <f t="shared" si="56"/>
        <v>229600</v>
      </c>
      <c r="F1782" s="119">
        <f t="shared" si="57"/>
        <v>2.0499999999999998</v>
      </c>
      <c r="G1782" s="88" t="s">
        <v>19833</v>
      </c>
      <c r="H1782" s="109" t="s">
        <v>19499</v>
      </c>
      <c r="I1782" s="214">
        <v>45546</v>
      </c>
      <c r="J1782" s="116">
        <v>0</v>
      </c>
      <c r="N1782" s="66" t="s">
        <v>19542</v>
      </c>
      <c r="O1782" s="651">
        <v>7050.915</v>
      </c>
    </row>
    <row r="1783" spans="1:15" ht="14.45">
      <c r="A1783" s="86">
        <v>45560</v>
      </c>
      <c r="B1783" s="87">
        <v>23112</v>
      </c>
      <c r="C1783" s="30">
        <f>18668.94*3.38505</f>
        <v>63195.295346999999</v>
      </c>
      <c r="D1783" s="116">
        <v>12186.28</v>
      </c>
      <c r="E1783" s="119">
        <f t="shared" si="56"/>
        <v>51009.015347</v>
      </c>
      <c r="F1783" s="119">
        <f t="shared" si="57"/>
        <v>2.2070359703617171</v>
      </c>
      <c r="G1783" s="88" t="s">
        <v>17343</v>
      </c>
      <c r="H1783" s="109" t="s">
        <v>19504</v>
      </c>
      <c r="I1783" s="214">
        <v>45554</v>
      </c>
      <c r="J1783" s="116">
        <f>15%*12185.28</f>
        <v>1827.7920000000001</v>
      </c>
      <c r="N1783" s="66" t="s">
        <v>19543</v>
      </c>
      <c r="O1783" s="651">
        <v>15373.945</v>
      </c>
    </row>
    <row r="1784" spans="1:15" ht="14.45">
      <c r="A1784" s="86">
        <v>45560</v>
      </c>
      <c r="B1784" s="87">
        <v>55840</v>
      </c>
      <c r="C1784" s="30">
        <v>101024.4</v>
      </c>
      <c r="D1784" s="116">
        <v>0</v>
      </c>
      <c r="E1784" s="119">
        <f t="shared" si="56"/>
        <v>101024.4</v>
      </c>
      <c r="F1784" s="119">
        <f t="shared" si="57"/>
        <v>1.8091762177650428</v>
      </c>
      <c r="G1784" s="88" t="s">
        <v>19655</v>
      </c>
      <c r="H1784" s="109" t="s">
        <v>19508</v>
      </c>
      <c r="I1784" s="214">
        <v>45555</v>
      </c>
      <c r="J1784" s="116">
        <v>0</v>
      </c>
      <c r="N1784" s="66" t="s">
        <v>19544</v>
      </c>
      <c r="O1784" s="651">
        <v>0</v>
      </c>
    </row>
    <row r="1785" spans="1:15" ht="14.45">
      <c r="A1785" s="86">
        <v>45560</v>
      </c>
      <c r="B1785" s="87">
        <v>100020</v>
      </c>
      <c r="C1785" s="30">
        <f>214042.8</f>
        <v>214042.8</v>
      </c>
      <c r="D1785" s="116">
        <v>0</v>
      </c>
      <c r="E1785" s="119">
        <f t="shared" si="56"/>
        <v>214042.8</v>
      </c>
      <c r="F1785" s="119">
        <f t="shared" si="57"/>
        <v>2.1399999999999997</v>
      </c>
      <c r="G1785" s="88" t="s">
        <v>19878</v>
      </c>
      <c r="H1785" s="109" t="s">
        <v>19479</v>
      </c>
      <c r="I1785" s="214">
        <v>45530</v>
      </c>
      <c r="J1785" s="116">
        <v>0</v>
      </c>
      <c r="N1785" s="66" t="s">
        <v>19545</v>
      </c>
      <c r="O1785" s="651">
        <v>0</v>
      </c>
    </row>
    <row r="1786" spans="1:15" ht="14.45">
      <c r="A1786" s="86">
        <v>45561</v>
      </c>
      <c r="B1786" s="87">
        <v>44016</v>
      </c>
      <c r="C1786" s="30">
        <v>85391.039999999994</v>
      </c>
      <c r="D1786" s="116">
        <v>0</v>
      </c>
      <c r="E1786" s="119">
        <f t="shared" si="56"/>
        <v>85391.039999999994</v>
      </c>
      <c r="F1786" s="119">
        <f t="shared" si="57"/>
        <v>1.94</v>
      </c>
      <c r="G1786" s="88" t="s">
        <v>19655</v>
      </c>
      <c r="H1786" s="109" t="s">
        <v>19507</v>
      </c>
      <c r="I1786" s="214">
        <v>45555</v>
      </c>
      <c r="J1786" s="116">
        <v>0</v>
      </c>
      <c r="N1786" s="66" t="s">
        <v>19546</v>
      </c>
      <c r="O1786" s="651">
        <v>0</v>
      </c>
    </row>
    <row r="1787" spans="1:15" ht="14.45">
      <c r="A1787" s="86">
        <v>45561</v>
      </c>
      <c r="B1787" s="87">
        <v>22680</v>
      </c>
      <c r="C1787" s="30">
        <f>18840.2*3.0468</f>
        <v>57402.321360000009</v>
      </c>
      <c r="D1787" s="116">
        <v>6755.3</v>
      </c>
      <c r="E1787" s="119">
        <f t="shared" si="56"/>
        <v>50647.021360000006</v>
      </c>
      <c r="F1787" s="119">
        <f t="shared" si="57"/>
        <v>2.2331138165784834</v>
      </c>
      <c r="G1787" s="88" t="s">
        <v>19811</v>
      </c>
      <c r="H1787" s="109" t="s">
        <v>19503</v>
      </c>
      <c r="I1787" s="214">
        <v>45548</v>
      </c>
      <c r="J1787" s="116">
        <f>15%*4727.5</f>
        <v>709.125</v>
      </c>
      <c r="N1787" s="66" t="s">
        <v>19547</v>
      </c>
      <c r="O1787" s="651">
        <v>0</v>
      </c>
    </row>
    <row r="1788" spans="1:15" ht="14.45">
      <c r="A1788" s="86">
        <v>45561</v>
      </c>
      <c r="B1788" s="87">
        <v>25644</v>
      </c>
      <c r="C1788" s="30">
        <f>23777.66*3.38555</f>
        <v>80500.456812999997</v>
      </c>
      <c r="D1788" s="116">
        <v>18640.810000000001</v>
      </c>
      <c r="E1788" s="119">
        <f t="shared" si="56"/>
        <v>61859.646812999999</v>
      </c>
      <c r="F1788" s="119">
        <f t="shared" si="57"/>
        <v>2.4122464051240056</v>
      </c>
      <c r="G1788" s="88" t="s">
        <v>19661</v>
      </c>
      <c r="H1788" s="109" t="s">
        <v>19506</v>
      </c>
      <c r="I1788" s="214">
        <v>45555</v>
      </c>
      <c r="J1788" s="116">
        <f>25%*14812.8</f>
        <v>3703.2</v>
      </c>
      <c r="N1788" s="66" t="s">
        <v>19548</v>
      </c>
      <c r="O1788" s="651">
        <v>0</v>
      </c>
    </row>
    <row r="1789" spans="1:15" ht="14.45">
      <c r="A1789" s="86">
        <v>45563</v>
      </c>
      <c r="B1789" s="87">
        <v>40300</v>
      </c>
      <c r="C1789" s="30">
        <f>36874.5*3.04145</f>
        <v>112151.94802500001</v>
      </c>
      <c r="D1789" s="116">
        <v>13447.91</v>
      </c>
      <c r="E1789" s="119">
        <f t="shared" si="56"/>
        <v>98704.038025000002</v>
      </c>
      <c r="F1789" s="119">
        <f t="shared" si="57"/>
        <v>2.4492317127791563</v>
      </c>
      <c r="G1789" s="88" t="s">
        <v>19659</v>
      </c>
      <c r="H1789" s="109" t="s">
        <v>19510</v>
      </c>
      <c r="I1789" s="214">
        <v>45559</v>
      </c>
      <c r="J1789" s="116">
        <f>15%*11492.2</f>
        <v>1723.8300000000002</v>
      </c>
      <c r="N1789" s="66" t="s">
        <v>19549</v>
      </c>
      <c r="O1789" s="651">
        <v>0</v>
      </c>
    </row>
    <row r="1790" spans="1:15" ht="12.95">
      <c r="A1790" s="779">
        <v>45567</v>
      </c>
      <c r="B1790" s="763">
        <v>275000</v>
      </c>
      <c r="C1790" s="253">
        <v>398750</v>
      </c>
      <c r="D1790" s="116">
        <v>0</v>
      </c>
      <c r="E1790" s="119">
        <f t="shared" si="56"/>
        <v>398750</v>
      </c>
      <c r="F1790" s="119">
        <f t="shared" si="57"/>
        <v>1.45</v>
      </c>
      <c r="G1790" s="760" t="s">
        <v>19652</v>
      </c>
      <c r="H1790" s="806" t="s">
        <v>19511</v>
      </c>
      <c r="I1790" s="762">
        <v>45560</v>
      </c>
      <c r="J1790" s="116">
        <v>0</v>
      </c>
      <c r="N1790" s="66" t="s">
        <v>19550</v>
      </c>
      <c r="O1790" s="651">
        <v>0</v>
      </c>
    </row>
    <row r="1791" spans="1:15" ht="12.95">
      <c r="A1791" s="779">
        <v>45567</v>
      </c>
      <c r="B1791" s="763">
        <v>43200</v>
      </c>
      <c r="C1791" s="253">
        <v>76896</v>
      </c>
      <c r="D1791" s="116">
        <v>0</v>
      </c>
      <c r="E1791" s="119">
        <f t="shared" si="56"/>
        <v>76896</v>
      </c>
      <c r="F1791" s="119">
        <f t="shared" si="57"/>
        <v>1.78</v>
      </c>
      <c r="G1791" s="760" t="s">
        <v>19655</v>
      </c>
      <c r="H1791" s="806" t="s">
        <v>19516</v>
      </c>
      <c r="I1791" s="762">
        <v>45562</v>
      </c>
      <c r="J1791" s="116">
        <v>0</v>
      </c>
      <c r="N1791" s="66" t="s">
        <v>19551</v>
      </c>
      <c r="O1791" s="651">
        <v>0</v>
      </c>
    </row>
    <row r="1792" spans="1:15" ht="12.95">
      <c r="A1792" s="86">
        <v>45568</v>
      </c>
      <c r="B1792" s="87">
        <v>130000</v>
      </c>
      <c r="C1792" s="30">
        <v>208000</v>
      </c>
      <c r="D1792" s="116">
        <v>0</v>
      </c>
      <c r="E1792" s="119">
        <f t="shared" si="56"/>
        <v>208000</v>
      </c>
      <c r="F1792" s="119">
        <f t="shared" si="57"/>
        <v>1.6</v>
      </c>
      <c r="G1792" s="212" t="s">
        <v>19655</v>
      </c>
      <c r="H1792" s="104" t="s">
        <v>19515</v>
      </c>
      <c r="I1792" s="214">
        <v>45562</v>
      </c>
      <c r="J1792" s="116">
        <v>0</v>
      </c>
      <c r="N1792" s="66" t="s">
        <v>19552</v>
      </c>
      <c r="O1792" s="651">
        <v>0</v>
      </c>
    </row>
    <row r="1793" spans="1:15" ht="14.45">
      <c r="A1793" s="86">
        <v>45569</v>
      </c>
      <c r="B1793" s="87">
        <v>23968</v>
      </c>
      <c r="C1793" s="30">
        <f>21186.97*3.37875</f>
        <v>71585.474887500008</v>
      </c>
      <c r="D1793" s="116">
        <v>12064.96</v>
      </c>
      <c r="E1793" s="119">
        <f t="shared" si="56"/>
        <v>59520.514887500009</v>
      </c>
      <c r="F1793" s="119">
        <f t="shared" si="57"/>
        <v>2.4833325637308081</v>
      </c>
      <c r="G1793" s="88" t="s">
        <v>17343</v>
      </c>
      <c r="H1793" s="109" t="s">
        <v>19520</v>
      </c>
      <c r="I1793" s="214">
        <v>45567</v>
      </c>
      <c r="J1793" s="116">
        <f>15%*12064.96</f>
        <v>1809.7439999999999</v>
      </c>
      <c r="N1793" s="66" t="s">
        <v>19553</v>
      </c>
      <c r="O1793" s="651">
        <v>0</v>
      </c>
    </row>
    <row r="1794" spans="1:15" ht="12.95">
      <c r="A1794" s="86">
        <v>45572</v>
      </c>
      <c r="B1794" s="87">
        <v>41000</v>
      </c>
      <c r="C1794" s="30">
        <v>95530</v>
      </c>
      <c r="D1794" s="116">
        <v>0</v>
      </c>
      <c r="E1794" s="119">
        <f t="shared" si="56"/>
        <v>95530</v>
      </c>
      <c r="F1794" s="119">
        <f t="shared" si="57"/>
        <v>2.33</v>
      </c>
      <c r="G1794" s="212" t="s">
        <v>19679</v>
      </c>
      <c r="H1794" s="104" t="s">
        <v>19517</v>
      </c>
      <c r="I1794" s="214">
        <v>45567</v>
      </c>
      <c r="J1794" s="116">
        <v>0</v>
      </c>
      <c r="N1794" s="66" t="s">
        <v>19554</v>
      </c>
      <c r="O1794" s="651">
        <v>0</v>
      </c>
    </row>
    <row r="1795" spans="1:15" ht="12.95">
      <c r="A1795" s="86">
        <v>45574</v>
      </c>
      <c r="B1795" s="87">
        <v>56000</v>
      </c>
      <c r="C1795" s="30">
        <v>94360</v>
      </c>
      <c r="D1795" s="116">
        <v>0</v>
      </c>
      <c r="E1795" s="119">
        <f t="shared" si="56"/>
        <v>94360</v>
      </c>
      <c r="F1795" s="119">
        <f t="shared" si="57"/>
        <v>1.6850000000000001</v>
      </c>
      <c r="G1795" s="212" t="s">
        <v>19655</v>
      </c>
      <c r="H1795" s="104" t="s">
        <v>19514</v>
      </c>
      <c r="I1795" s="214">
        <v>45562</v>
      </c>
      <c r="J1795" s="116">
        <v>0</v>
      </c>
      <c r="N1795" s="66" t="s">
        <v>19555</v>
      </c>
      <c r="O1795" s="651">
        <v>0</v>
      </c>
    </row>
    <row r="1796" spans="1:15" ht="12.95">
      <c r="A1796" s="86">
        <v>45574</v>
      </c>
      <c r="B1796" s="87">
        <v>38400</v>
      </c>
      <c r="C1796" s="30">
        <v>76416</v>
      </c>
      <c r="D1796" s="116">
        <v>0</v>
      </c>
      <c r="E1796" s="119">
        <f t="shared" si="56"/>
        <v>76416</v>
      </c>
      <c r="F1796" s="119">
        <f t="shared" si="57"/>
        <v>1.99</v>
      </c>
      <c r="G1796" s="212" t="s">
        <v>19656</v>
      </c>
      <c r="H1796" s="104" t="s">
        <v>19518</v>
      </c>
      <c r="I1796" s="214">
        <v>45567</v>
      </c>
      <c r="J1796" s="116">
        <v>0</v>
      </c>
      <c r="N1796" s="66" t="s">
        <v>19556</v>
      </c>
      <c r="O1796" s="651">
        <v>0</v>
      </c>
    </row>
    <row r="1797" spans="1:15" ht="12.95">
      <c r="A1797" s="86">
        <v>45575</v>
      </c>
      <c r="B1797" s="87">
        <v>20150</v>
      </c>
      <c r="C1797" s="30">
        <f>15918.5*3.076</f>
        <v>48965.306000000004</v>
      </c>
      <c r="D1797" s="116">
        <v>7360.8149999999996</v>
      </c>
      <c r="E1797" s="119">
        <f t="shared" si="56"/>
        <v>41604.491000000002</v>
      </c>
      <c r="F1797" s="119">
        <f t="shared" si="57"/>
        <v>2.0647390074441687</v>
      </c>
      <c r="G1797" s="212" t="s">
        <v>19659</v>
      </c>
      <c r="H1797" s="104" t="s">
        <v>19522</v>
      </c>
      <c r="I1797" s="214">
        <v>45572</v>
      </c>
      <c r="J1797" s="116">
        <f>15%*5807.15</f>
        <v>871.07249999999988</v>
      </c>
      <c r="N1797" s="66" t="s">
        <v>19557</v>
      </c>
      <c r="O1797" s="651">
        <v>0</v>
      </c>
    </row>
    <row r="1798" spans="1:15" ht="12.95">
      <c r="A1798" s="86">
        <v>45575</v>
      </c>
      <c r="B1798" s="87">
        <v>56400</v>
      </c>
      <c r="C1798" s="30">
        <f>45010*3.0719</f>
        <v>138266.21899999998</v>
      </c>
      <c r="D1798" s="116">
        <v>32196.115000000002</v>
      </c>
      <c r="E1798" s="119">
        <f t="shared" si="56"/>
        <v>106070.10399999998</v>
      </c>
      <c r="F1798" s="119">
        <f t="shared" si="57"/>
        <v>1.880675602836879</v>
      </c>
      <c r="G1798" s="212" t="s">
        <v>19863</v>
      </c>
      <c r="H1798" s="104" t="s">
        <v>19521</v>
      </c>
      <c r="I1798" s="214">
        <v>45572</v>
      </c>
      <c r="J1798" s="116">
        <f>25%*27780.15</f>
        <v>6945.0375000000004</v>
      </c>
      <c r="N1798" s="66" t="s">
        <v>19558</v>
      </c>
      <c r="O1798" s="651">
        <v>0</v>
      </c>
    </row>
    <row r="1799" spans="1:15" ht="14.45">
      <c r="A1799" s="86">
        <v>45576</v>
      </c>
      <c r="B1799" s="87">
        <v>22264</v>
      </c>
      <c r="C1799" s="30">
        <f>18347.9*3.37355</f>
        <v>61897.558045000005</v>
      </c>
      <c r="D1799" s="116">
        <v>12100.96</v>
      </c>
      <c r="E1799" s="119">
        <f t="shared" si="56"/>
        <v>49796.598045000006</v>
      </c>
      <c r="F1799" s="119">
        <f t="shared" si="57"/>
        <v>2.2366420250179666</v>
      </c>
      <c r="G1799" s="88" t="s">
        <v>17343</v>
      </c>
      <c r="H1799" s="109" t="s">
        <v>19531</v>
      </c>
      <c r="I1799" s="214">
        <v>45575</v>
      </c>
      <c r="J1799" s="116">
        <f>15%*12100.96</f>
        <v>1815.1439999999998</v>
      </c>
      <c r="N1799" s="66" t="s">
        <v>19559</v>
      </c>
      <c r="O1799" s="651">
        <v>37957.131999999998</v>
      </c>
    </row>
    <row r="1800" spans="1:15" ht="12.95">
      <c r="A1800" s="86">
        <v>45579</v>
      </c>
      <c r="B1800" s="87">
        <v>68400</v>
      </c>
      <c r="C1800" s="30">
        <v>130704</v>
      </c>
      <c r="D1800" s="116">
        <v>0</v>
      </c>
      <c r="E1800" s="119">
        <f t="shared" si="56"/>
        <v>130704</v>
      </c>
      <c r="F1800" s="119">
        <f t="shared" si="57"/>
        <v>1.9108771929824562</v>
      </c>
      <c r="G1800" s="212" t="s">
        <v>19656</v>
      </c>
      <c r="H1800" s="104" t="s">
        <v>19519</v>
      </c>
      <c r="I1800" s="214">
        <v>45567</v>
      </c>
      <c r="J1800" s="116">
        <v>0</v>
      </c>
      <c r="N1800" s="66" t="s">
        <v>19560</v>
      </c>
      <c r="O1800" s="651">
        <v>18250.848000000002</v>
      </c>
    </row>
    <row r="1801" spans="1:15" ht="12.95">
      <c r="A1801" s="86">
        <v>45581</v>
      </c>
      <c r="B1801" s="87">
        <v>187432</v>
      </c>
      <c r="C1801" s="30">
        <f>277962.12*3.0854</f>
        <v>857624.32504799997</v>
      </c>
      <c r="D1801" s="116">
        <v>0</v>
      </c>
      <c r="E1801" s="119">
        <f t="shared" si="56"/>
        <v>857624.32504799997</v>
      </c>
      <c r="F1801" s="119">
        <f t="shared" si="57"/>
        <v>4.5756558381066199</v>
      </c>
      <c r="G1801" s="212" t="s">
        <v>19688</v>
      </c>
      <c r="H1801" s="104" t="s">
        <v>19528</v>
      </c>
      <c r="I1801" s="214">
        <v>45575</v>
      </c>
      <c r="J1801" s="116">
        <v>0</v>
      </c>
      <c r="N1801" s="66" t="s">
        <v>19561</v>
      </c>
      <c r="O1801" s="651">
        <v>2619.37</v>
      </c>
    </row>
    <row r="1802" spans="1:15" ht="12.95">
      <c r="A1802" s="86">
        <v>45581</v>
      </c>
      <c r="B1802" s="87">
        <v>27600</v>
      </c>
      <c r="C1802" s="30">
        <f>18882*3.3728</f>
        <v>63685.209599999995</v>
      </c>
      <c r="D1802" s="116">
        <v>8990.6149999999998</v>
      </c>
      <c r="E1802" s="119">
        <f t="shared" si="56"/>
        <v>54694.594599999997</v>
      </c>
      <c r="F1802" s="119">
        <f t="shared" si="57"/>
        <v>1.9816882101449274</v>
      </c>
      <c r="G1802" s="212" t="s">
        <v>19796</v>
      </c>
      <c r="H1802" s="104" t="s">
        <v>19523</v>
      </c>
      <c r="I1802" s="214">
        <v>45572</v>
      </c>
      <c r="J1802" s="116">
        <f>25%*7242.7</f>
        <v>1810.675</v>
      </c>
      <c r="N1802" s="66" t="s">
        <v>19562</v>
      </c>
      <c r="O1802" s="651">
        <v>27056.400000000001</v>
      </c>
    </row>
    <row r="1803" spans="1:15" ht="14.45">
      <c r="A1803" s="86">
        <v>45581</v>
      </c>
      <c r="B1803" s="87">
        <v>19300</v>
      </c>
      <c r="C1803" s="30">
        <f>25955.89*3.0819</f>
        <v>79993.457391000004</v>
      </c>
      <c r="D1803" s="116">
        <v>2381.37</v>
      </c>
      <c r="E1803" s="119">
        <f t="shared" si="56"/>
        <v>77612.087391000008</v>
      </c>
      <c r="F1803" s="119">
        <f t="shared" si="57"/>
        <v>4.0213516782901557</v>
      </c>
      <c r="G1803" s="88" t="s">
        <v>19653</v>
      </c>
      <c r="H1803" s="109" t="s">
        <v>19524</v>
      </c>
      <c r="I1803" s="214">
        <v>45572</v>
      </c>
      <c r="J1803" s="116"/>
      <c r="N1803" s="66" t="s">
        <v>19563</v>
      </c>
      <c r="O1803" s="651">
        <v>4587.55</v>
      </c>
    </row>
    <row r="1804" spans="1:15" ht="12.95">
      <c r="A1804" s="86">
        <v>45582</v>
      </c>
      <c r="B1804" s="87">
        <v>275000</v>
      </c>
      <c r="C1804" s="30">
        <v>398750</v>
      </c>
      <c r="D1804" s="116">
        <v>0</v>
      </c>
      <c r="E1804" s="119">
        <f t="shared" si="56"/>
        <v>398750</v>
      </c>
      <c r="F1804" s="119">
        <f t="shared" si="57"/>
        <v>1.45</v>
      </c>
      <c r="G1804" s="212" t="s">
        <v>19652</v>
      </c>
      <c r="H1804" s="104" t="s">
        <v>19526</v>
      </c>
      <c r="I1804" s="214">
        <v>45572</v>
      </c>
      <c r="J1804" s="116">
        <v>0</v>
      </c>
      <c r="N1804" s="66" t="s">
        <v>19564</v>
      </c>
      <c r="O1804" s="651">
        <v>0</v>
      </c>
    </row>
    <row r="1805" spans="1:15" ht="12.95">
      <c r="A1805" s="86">
        <v>45582</v>
      </c>
      <c r="B1805" s="87">
        <v>19200</v>
      </c>
      <c r="C1805" s="30">
        <v>38208</v>
      </c>
      <c r="D1805" s="116">
        <v>0</v>
      </c>
      <c r="E1805" s="119">
        <f t="shared" si="56"/>
        <v>38208</v>
      </c>
      <c r="F1805" s="119">
        <f t="shared" si="57"/>
        <v>1.99</v>
      </c>
      <c r="G1805" s="212" t="s">
        <v>19655</v>
      </c>
      <c r="H1805" s="104" t="s">
        <v>19534</v>
      </c>
      <c r="I1805" s="214">
        <v>45579</v>
      </c>
      <c r="J1805" s="116">
        <v>0</v>
      </c>
      <c r="N1805" s="66" t="s">
        <v>19565</v>
      </c>
      <c r="O1805" s="651">
        <v>0</v>
      </c>
    </row>
    <row r="1806" spans="1:15" ht="12.95">
      <c r="A1806" s="86">
        <v>45583</v>
      </c>
      <c r="B1806" s="87">
        <v>22680</v>
      </c>
      <c r="C1806" s="30">
        <f>20579.6*3.36785</f>
        <v>69309.00585999999</v>
      </c>
      <c r="D1806" s="116">
        <v>18351.61</v>
      </c>
      <c r="E1806" s="119">
        <f t="shared" si="56"/>
        <v>50957.39585999999</v>
      </c>
      <c r="F1806" s="119">
        <f t="shared" si="57"/>
        <v>2.2467987592592586</v>
      </c>
      <c r="G1806" s="212" t="s">
        <v>19661</v>
      </c>
      <c r="H1806" s="104" t="s">
        <v>19532</v>
      </c>
      <c r="I1806" s="214">
        <v>45579</v>
      </c>
      <c r="J1806" s="116">
        <f>25%*15187.2</f>
        <v>3796.8</v>
      </c>
      <c r="N1806" s="66" t="s">
        <v>19566</v>
      </c>
      <c r="O1806" s="651">
        <v>4320.652</v>
      </c>
    </row>
    <row r="1807" spans="1:15" ht="12.95">
      <c r="A1807" s="221">
        <v>45583</v>
      </c>
      <c r="B1807" s="807">
        <v>20912</v>
      </c>
      <c r="C1807" s="223">
        <f>17666.2*3.36785</f>
        <v>59497.111669999998</v>
      </c>
      <c r="D1807" s="117">
        <v>12064.96</v>
      </c>
      <c r="E1807" s="174">
        <f t="shared" si="56"/>
        <v>47432.151669999999</v>
      </c>
      <c r="F1807" s="174">
        <f t="shared" si="57"/>
        <v>2.2681786376243305</v>
      </c>
      <c r="G1807" s="808" t="s">
        <v>19882</v>
      </c>
      <c r="H1807" s="809" t="s">
        <v>19540</v>
      </c>
      <c r="I1807" s="810">
        <v>45582</v>
      </c>
      <c r="J1807" s="117">
        <f>15%*8521.85</f>
        <v>1278.2774999999999</v>
      </c>
      <c r="N1807" s="66" t="s">
        <v>19567</v>
      </c>
      <c r="O1807" s="651">
        <v>0</v>
      </c>
    </row>
    <row r="1808" spans="1:15" ht="12.95">
      <c r="A1808" s="221">
        <v>45588</v>
      </c>
      <c r="B1808" s="807">
        <v>24408</v>
      </c>
      <c r="C1808" s="223">
        <f>4964.99*3.36465</f>
        <v>16705.453603499998</v>
      </c>
      <c r="D1808" s="117">
        <v>0</v>
      </c>
      <c r="E1808" s="174">
        <f t="shared" si="56"/>
        <v>16705.453603499998</v>
      </c>
      <c r="F1808" s="174">
        <f t="shared" si="57"/>
        <v>0.68442533609881995</v>
      </c>
      <c r="G1808" s="808" t="s">
        <v>17343</v>
      </c>
      <c r="H1808" s="104" t="s">
        <v>19548</v>
      </c>
      <c r="I1808" s="810">
        <v>45583</v>
      </c>
      <c r="J1808" s="117">
        <v>0</v>
      </c>
      <c r="N1808" s="66" t="s">
        <v>19568</v>
      </c>
      <c r="O1808" s="651">
        <v>7057.7</v>
      </c>
    </row>
    <row r="1809" spans="1:15" ht="12.95">
      <c r="A1809" s="221">
        <v>45588</v>
      </c>
      <c r="B1809" s="807">
        <v>22712</v>
      </c>
      <c r="C1809" s="223">
        <f>5295.43*3.36465</f>
        <v>17817.268549500001</v>
      </c>
      <c r="D1809" s="117">
        <v>0</v>
      </c>
      <c r="E1809" s="174">
        <f t="shared" si="56"/>
        <v>17817.268549500001</v>
      </c>
      <c r="F1809" s="174">
        <f t="shared" si="57"/>
        <v>0.78448699143624523</v>
      </c>
      <c r="G1809" s="808" t="s">
        <v>17343</v>
      </c>
      <c r="H1809" s="104" t="s">
        <v>19549</v>
      </c>
      <c r="I1809" s="810">
        <v>45583</v>
      </c>
      <c r="J1809" s="117">
        <v>0</v>
      </c>
      <c r="N1809" s="66" t="s">
        <v>19569</v>
      </c>
      <c r="O1809" s="651">
        <v>14470.555</v>
      </c>
    </row>
    <row r="1810" spans="1:15" ht="12.95">
      <c r="A1810" s="86">
        <v>45588</v>
      </c>
      <c r="B1810" s="87">
        <v>44400</v>
      </c>
      <c r="C1810" s="30">
        <v>75924</v>
      </c>
      <c r="D1810" s="116">
        <v>0</v>
      </c>
      <c r="E1810" s="119">
        <f t="shared" si="56"/>
        <v>75924</v>
      </c>
      <c r="F1810" s="119">
        <f t="shared" si="57"/>
        <v>1.71</v>
      </c>
      <c r="G1810" s="212" t="s">
        <v>19655</v>
      </c>
      <c r="H1810" s="104" t="s">
        <v>19537</v>
      </c>
      <c r="I1810" s="214">
        <v>45580</v>
      </c>
      <c r="J1810" s="116">
        <v>0</v>
      </c>
      <c r="N1810" s="66" t="s">
        <v>19570</v>
      </c>
      <c r="O1810" s="651">
        <v>0</v>
      </c>
    </row>
    <row r="1811" spans="1:15" ht="12.95">
      <c r="A1811" s="86">
        <v>45588</v>
      </c>
      <c r="B1811" s="87">
        <v>104000</v>
      </c>
      <c r="C1811" s="30">
        <v>153920</v>
      </c>
      <c r="D1811" s="116">
        <v>0</v>
      </c>
      <c r="E1811" s="119">
        <f t="shared" si="56"/>
        <v>153920</v>
      </c>
      <c r="F1811" s="119">
        <f t="shared" si="57"/>
        <v>1.48</v>
      </c>
      <c r="G1811" s="212" t="s">
        <v>17380</v>
      </c>
      <c r="H1811" s="104" t="s">
        <v>19527</v>
      </c>
      <c r="I1811" s="214">
        <v>45574</v>
      </c>
      <c r="J1811" s="116">
        <v>0</v>
      </c>
      <c r="N1811" s="66" t="s">
        <v>19571</v>
      </c>
      <c r="O1811" s="651">
        <v>16286.254000000001</v>
      </c>
    </row>
    <row r="1812" spans="1:15" ht="12.95">
      <c r="A1812" s="86">
        <v>45588</v>
      </c>
      <c r="B1812" s="87">
        <v>112500</v>
      </c>
      <c r="C1812" s="30">
        <v>180000</v>
      </c>
      <c r="D1812" s="116">
        <v>0</v>
      </c>
      <c r="E1812" s="119">
        <f t="shared" si="56"/>
        <v>180000</v>
      </c>
      <c r="F1812" s="119">
        <f t="shared" si="57"/>
        <v>1.6</v>
      </c>
      <c r="G1812" s="212" t="s">
        <v>19647</v>
      </c>
      <c r="H1812" s="104" t="s">
        <v>19541</v>
      </c>
      <c r="I1812" s="214">
        <v>45582</v>
      </c>
      <c r="J1812" s="116">
        <v>0</v>
      </c>
      <c r="N1812" s="66" t="s">
        <v>19572</v>
      </c>
      <c r="O1812" s="651">
        <v>24080.75</v>
      </c>
    </row>
    <row r="1813" spans="1:15" ht="12.95">
      <c r="A1813" s="221">
        <v>45589</v>
      </c>
      <c r="B1813" s="807">
        <v>23256</v>
      </c>
      <c r="C1813" s="223">
        <f>5204.28*3.36465</f>
        <v>17510.580701999999</v>
      </c>
      <c r="D1813" s="117">
        <v>0</v>
      </c>
      <c r="E1813" s="174">
        <f t="shared" si="56"/>
        <v>17510.580701999999</v>
      </c>
      <c r="F1813" s="174">
        <f t="shared" si="57"/>
        <v>0.75294894659442724</v>
      </c>
      <c r="G1813" s="808" t="s">
        <v>17343</v>
      </c>
      <c r="H1813" s="104" t="s">
        <v>19552</v>
      </c>
      <c r="I1813" s="810">
        <v>45587</v>
      </c>
      <c r="J1813" s="117">
        <v>0</v>
      </c>
      <c r="N1813" s="66" t="s">
        <v>19573</v>
      </c>
      <c r="O1813" s="651">
        <v>0</v>
      </c>
    </row>
    <row r="1814" spans="1:15" ht="12.95">
      <c r="A1814" s="221">
        <v>45589</v>
      </c>
      <c r="B1814" s="807">
        <v>46024</v>
      </c>
      <c r="C1814" s="223">
        <f>12599.03*3.36465</f>
        <v>42391.326289500001</v>
      </c>
      <c r="D1814" s="117">
        <v>0</v>
      </c>
      <c r="E1814" s="174">
        <f t="shared" si="56"/>
        <v>42391.326289500001</v>
      </c>
      <c r="F1814" s="174">
        <f t="shared" si="57"/>
        <v>0.92107001324309057</v>
      </c>
      <c r="G1814" s="808" t="s">
        <v>17343</v>
      </c>
      <c r="H1814" s="104" t="s">
        <v>19553</v>
      </c>
      <c r="I1814" s="810">
        <v>45587</v>
      </c>
      <c r="J1814" s="117">
        <v>0</v>
      </c>
      <c r="N1814" s="66" t="s">
        <v>19574</v>
      </c>
      <c r="O1814" s="651">
        <v>24328.799999999999</v>
      </c>
    </row>
    <row r="1815" spans="1:15" ht="12.95">
      <c r="A1815" s="86">
        <v>45589</v>
      </c>
      <c r="B1815" s="87">
        <v>20750</v>
      </c>
      <c r="C1815" s="30">
        <v>39632.5</v>
      </c>
      <c r="D1815" s="116">
        <v>0</v>
      </c>
      <c r="E1815" s="119">
        <f t="shared" si="56"/>
        <v>39632.5</v>
      </c>
      <c r="F1815" s="119">
        <f t="shared" si="57"/>
        <v>1.91</v>
      </c>
      <c r="G1815" s="212" t="s">
        <v>19655</v>
      </c>
      <c r="H1815" s="104" t="s">
        <v>19550</v>
      </c>
      <c r="I1815" s="214">
        <v>45586</v>
      </c>
      <c r="J1815" s="116">
        <v>0</v>
      </c>
      <c r="N1815" s="66" t="s">
        <v>19575</v>
      </c>
      <c r="O1815" s="651">
        <v>35359.72</v>
      </c>
    </row>
    <row r="1816" spans="1:15" ht="12.95">
      <c r="A1816" s="86">
        <v>45589</v>
      </c>
      <c r="B1816" s="87">
        <v>20750</v>
      </c>
      <c r="C1816" s="30">
        <v>39632.5</v>
      </c>
      <c r="D1816" s="116">
        <v>0</v>
      </c>
      <c r="E1816" s="119">
        <f t="shared" si="56"/>
        <v>39632.5</v>
      </c>
      <c r="F1816" s="119">
        <f t="shared" si="57"/>
        <v>1.91</v>
      </c>
      <c r="G1816" s="212" t="s">
        <v>19655</v>
      </c>
      <c r="H1816" s="104" t="s">
        <v>19544</v>
      </c>
      <c r="I1816" s="214">
        <v>45583</v>
      </c>
      <c r="J1816" s="116">
        <v>0</v>
      </c>
      <c r="N1816" s="66" t="s">
        <v>19576</v>
      </c>
      <c r="O1816" s="651">
        <v>0</v>
      </c>
    </row>
    <row r="1817" spans="1:15" ht="12.95">
      <c r="A1817" s="86">
        <v>45589</v>
      </c>
      <c r="B1817" s="87">
        <v>40300</v>
      </c>
      <c r="C1817" s="30">
        <f>36874.5*3.1039</f>
        <v>114454.76054999999</v>
      </c>
      <c r="D1817" s="116">
        <v>13645.665000000001</v>
      </c>
      <c r="E1817" s="119">
        <f t="shared" si="56"/>
        <v>100809.09555</v>
      </c>
      <c r="F1817" s="119">
        <f t="shared" si="57"/>
        <v>2.5014663908188584</v>
      </c>
      <c r="G1817" s="212" t="s">
        <v>19659</v>
      </c>
      <c r="H1817" s="104" t="s">
        <v>19533</v>
      </c>
      <c r="I1817" s="214">
        <v>45579</v>
      </c>
      <c r="J1817" s="116">
        <f>15%*11688.3</f>
        <v>1753.2449999999999</v>
      </c>
      <c r="N1817" s="66" t="s">
        <v>19577</v>
      </c>
      <c r="O1817" s="651">
        <v>0</v>
      </c>
    </row>
    <row r="1818" spans="1:15" ht="12.95">
      <c r="A1818" s="86">
        <v>45589</v>
      </c>
      <c r="B1818" s="87">
        <v>20150</v>
      </c>
      <c r="C1818" s="30">
        <f>15918.5*3.1039</f>
        <v>49409.432150000001</v>
      </c>
      <c r="D1818" s="116">
        <v>7050.915</v>
      </c>
      <c r="E1818" s="119">
        <f t="shared" si="56"/>
        <v>42358.51715</v>
      </c>
      <c r="F1818" s="119">
        <f t="shared" si="57"/>
        <v>2.1021596600496277</v>
      </c>
      <c r="G1818" s="212" t="s">
        <v>19659</v>
      </c>
      <c r="H1818" s="104" t="s">
        <v>19542</v>
      </c>
      <c r="I1818" s="214">
        <v>45582</v>
      </c>
      <c r="J1818" s="116">
        <f>15%*5844.15</f>
        <v>876.62249999999995</v>
      </c>
      <c r="N1818" s="66" t="s">
        <v>19578</v>
      </c>
      <c r="O1818" s="651">
        <v>0</v>
      </c>
    </row>
    <row r="1819" spans="1:15" ht="12.95">
      <c r="A1819" s="86">
        <v>45590</v>
      </c>
      <c r="B1819" s="87">
        <v>56000</v>
      </c>
      <c r="C1819" s="30">
        <v>91160</v>
      </c>
      <c r="D1819" s="116">
        <v>0</v>
      </c>
      <c r="E1819" s="119">
        <f t="shared" si="56"/>
        <v>91160</v>
      </c>
      <c r="F1819" s="119">
        <f t="shared" si="57"/>
        <v>1.6278571428571429</v>
      </c>
      <c r="G1819" s="212" t="s">
        <v>19647</v>
      </c>
      <c r="H1819" s="104" t="s">
        <v>19547</v>
      </c>
      <c r="I1819" s="214">
        <v>45583</v>
      </c>
      <c r="J1819" s="116">
        <v>0</v>
      </c>
      <c r="N1819" s="66" t="s">
        <v>19579</v>
      </c>
      <c r="O1819" s="651">
        <v>0</v>
      </c>
    </row>
    <row r="1820" spans="1:15" ht="14.45">
      <c r="A1820" s="86">
        <v>45590</v>
      </c>
      <c r="B1820" s="87">
        <v>90000</v>
      </c>
      <c r="C1820" s="107">
        <v>139500</v>
      </c>
      <c r="D1820" s="116">
        <v>0</v>
      </c>
      <c r="E1820" s="119">
        <f t="shared" si="56"/>
        <v>139500</v>
      </c>
      <c r="F1820" s="119">
        <f t="shared" si="57"/>
        <v>1.55</v>
      </c>
      <c r="G1820" s="212" t="s">
        <v>19647</v>
      </c>
      <c r="H1820" s="104" t="s">
        <v>19535</v>
      </c>
      <c r="I1820" s="214">
        <v>45580</v>
      </c>
      <c r="J1820" s="116">
        <v>0</v>
      </c>
      <c r="N1820" s="66" t="s">
        <v>19580</v>
      </c>
      <c r="O1820" s="651">
        <v>69015.327000000005</v>
      </c>
    </row>
    <row r="1821" spans="1:15" ht="12.95">
      <c r="A1821" s="86">
        <v>45590</v>
      </c>
      <c r="B1821" s="87">
        <v>372000</v>
      </c>
      <c r="C1821" s="30">
        <v>644220</v>
      </c>
      <c r="D1821" s="116">
        <v>0</v>
      </c>
      <c r="E1821" s="119">
        <f t="shared" si="56"/>
        <v>644220</v>
      </c>
      <c r="F1821" s="119">
        <f t="shared" si="57"/>
        <v>1.731774193548387</v>
      </c>
      <c r="G1821" s="212" t="s">
        <v>19833</v>
      </c>
      <c r="H1821" s="104" t="s">
        <v>19525</v>
      </c>
      <c r="I1821" s="214">
        <v>45572</v>
      </c>
      <c r="J1821" s="116">
        <v>0</v>
      </c>
      <c r="N1821" s="66" t="s">
        <v>19581</v>
      </c>
      <c r="O1821" s="651">
        <v>116565.1</v>
      </c>
    </row>
    <row r="1822" spans="1:15" ht="12.95">
      <c r="A1822" s="86">
        <v>45593</v>
      </c>
      <c r="B1822" s="87">
        <v>21200</v>
      </c>
      <c r="C1822" s="30">
        <v>40558</v>
      </c>
      <c r="D1822" s="116">
        <v>0</v>
      </c>
      <c r="E1822" s="119">
        <f t="shared" si="56"/>
        <v>40558</v>
      </c>
      <c r="F1822" s="119">
        <f t="shared" si="57"/>
        <v>1.9131132075471697</v>
      </c>
      <c r="G1822" s="212" t="s">
        <v>19647</v>
      </c>
      <c r="H1822" s="104" t="s">
        <v>19546</v>
      </c>
      <c r="I1822" s="214">
        <v>45583</v>
      </c>
      <c r="J1822" s="116">
        <v>0</v>
      </c>
      <c r="N1822" s="66" t="s">
        <v>19582</v>
      </c>
      <c r="O1822" s="651">
        <v>50342.998</v>
      </c>
    </row>
    <row r="1823" spans="1:15" ht="12.95">
      <c r="A1823" s="221">
        <v>45594</v>
      </c>
      <c r="B1823" s="807">
        <v>23664</v>
      </c>
      <c r="C1823" s="223">
        <f>4699.08*3.36445</f>
        <v>15809.819706</v>
      </c>
      <c r="D1823" s="117">
        <v>0</v>
      </c>
      <c r="E1823" s="174">
        <f t="shared" si="56"/>
        <v>15809.819706</v>
      </c>
      <c r="F1823" s="174">
        <f t="shared" si="57"/>
        <v>0.66809582936105483</v>
      </c>
      <c r="G1823" s="808" t="s">
        <v>17343</v>
      </c>
      <c r="H1823" s="104" t="s">
        <v>19554</v>
      </c>
      <c r="I1823" s="810">
        <v>45590</v>
      </c>
      <c r="J1823" s="117">
        <v>0</v>
      </c>
      <c r="N1823" s="66" t="s">
        <v>19583</v>
      </c>
      <c r="O1823" s="651">
        <v>28803.215</v>
      </c>
    </row>
    <row r="1824" spans="1:15" ht="12.95">
      <c r="A1824" s="86">
        <v>45594</v>
      </c>
      <c r="B1824" s="87">
        <v>22680</v>
      </c>
      <c r="C1824" s="30">
        <f>20579.6*3.36515</f>
        <v>69253.440939999986</v>
      </c>
      <c r="D1824" s="116">
        <v>16305.115</v>
      </c>
      <c r="E1824" s="119">
        <f t="shared" si="56"/>
        <v>52948.325939999988</v>
      </c>
      <c r="F1824" s="119">
        <f t="shared" si="57"/>
        <v>2.334582272486772</v>
      </c>
      <c r="G1824" s="212" t="s">
        <v>16481</v>
      </c>
      <c r="H1824" s="104" t="s">
        <v>19539</v>
      </c>
      <c r="I1824" s="214">
        <v>45582</v>
      </c>
      <c r="J1824" s="116">
        <f>15115.2*25%</f>
        <v>3778.8</v>
      </c>
      <c r="N1824" s="66" t="s">
        <v>19584</v>
      </c>
      <c r="O1824" s="651">
        <v>26760.44</v>
      </c>
    </row>
    <row r="1825" spans="1:15" ht="12.95">
      <c r="A1825" s="86">
        <v>45594</v>
      </c>
      <c r="B1825" s="87">
        <v>52000</v>
      </c>
      <c r="C1825" s="30">
        <f>26420*3.36515</f>
        <v>88907.262999999992</v>
      </c>
      <c r="D1825" s="116">
        <v>11801.305</v>
      </c>
      <c r="E1825" s="119">
        <f t="shared" si="56"/>
        <v>77105.957999999984</v>
      </c>
      <c r="F1825" s="119">
        <f t="shared" si="57"/>
        <v>1.4828068846153843</v>
      </c>
      <c r="G1825" s="212" t="s">
        <v>19857</v>
      </c>
      <c r="H1825" s="104" t="s">
        <v>19512</v>
      </c>
      <c r="I1825" s="214">
        <v>45561</v>
      </c>
      <c r="J1825" s="116">
        <f>25%*9034.74</f>
        <v>2258.6849999999999</v>
      </c>
      <c r="N1825" s="66" t="s">
        <v>19585</v>
      </c>
      <c r="O1825" s="651">
        <v>20906.472000000002</v>
      </c>
    </row>
    <row r="1826" spans="1:15" ht="12.95">
      <c r="A1826" s="86">
        <v>45595</v>
      </c>
      <c r="B1826" s="87">
        <v>38400</v>
      </c>
      <c r="C1826" s="30">
        <f>26708*3.36445</f>
        <v>89857.73060000001</v>
      </c>
      <c r="D1826" s="116">
        <v>15373.945</v>
      </c>
      <c r="E1826" s="119">
        <f t="shared" si="56"/>
        <v>74483.785600000003</v>
      </c>
      <c r="F1826" s="119">
        <f t="shared" si="57"/>
        <v>1.9396819166666668</v>
      </c>
      <c r="G1826" s="212" t="s">
        <v>19796</v>
      </c>
      <c r="H1826" s="104" t="s">
        <v>19543</v>
      </c>
      <c r="I1826" s="214">
        <v>45583</v>
      </c>
      <c r="J1826" s="116">
        <f>25%*12501.53</f>
        <v>3125.3825000000002</v>
      </c>
      <c r="N1826" s="66" t="s">
        <v>19586</v>
      </c>
      <c r="O1826" s="651">
        <v>7415.6</v>
      </c>
    </row>
    <row r="1827" spans="1:15" ht="12.95">
      <c r="A1827" s="86">
        <v>45595</v>
      </c>
      <c r="B1827" s="87">
        <v>109274</v>
      </c>
      <c r="C1827" s="30">
        <v>206194.06</v>
      </c>
      <c r="D1827" s="116">
        <v>0</v>
      </c>
      <c r="E1827" s="119">
        <f t="shared" si="56"/>
        <v>206194.06</v>
      </c>
      <c r="F1827" s="119">
        <f t="shared" si="57"/>
        <v>1.8869452934824387</v>
      </c>
      <c r="G1827" s="212" t="s">
        <v>19656</v>
      </c>
      <c r="H1827" s="104" t="s">
        <v>19545</v>
      </c>
      <c r="I1827" s="214">
        <v>45583</v>
      </c>
      <c r="J1827" s="116">
        <v>0</v>
      </c>
      <c r="N1827" s="66" t="s">
        <v>19587</v>
      </c>
      <c r="O1827" s="651">
        <v>15611.485000000001</v>
      </c>
    </row>
    <row r="1828" spans="1:15" ht="12.95">
      <c r="A1828" s="221">
        <v>45596</v>
      </c>
      <c r="B1828" s="807">
        <v>23608</v>
      </c>
      <c r="C1828" s="223">
        <f>32412.04*2.24055</f>
        <v>72620.79622199999</v>
      </c>
      <c r="D1828" s="117">
        <v>16275.725</v>
      </c>
      <c r="E1828" s="174">
        <f t="shared" si="56"/>
        <v>56345.071221999991</v>
      </c>
      <c r="F1828" s="174">
        <f t="shared" si="57"/>
        <v>2.3866939690782782</v>
      </c>
      <c r="G1828" s="808" t="s">
        <v>17305</v>
      </c>
      <c r="H1828" s="104" t="s">
        <v>19538</v>
      </c>
      <c r="I1828" s="810">
        <v>45580</v>
      </c>
      <c r="J1828" s="117">
        <f>15%*14491.75</f>
        <v>2173.7624999999998</v>
      </c>
      <c r="N1828" s="66" t="s">
        <v>19588</v>
      </c>
      <c r="O1828" s="651">
        <v>15890.885</v>
      </c>
    </row>
    <row r="1829" spans="1:15" ht="12.95">
      <c r="A1829" s="86">
        <v>45596</v>
      </c>
      <c r="B1829" s="87">
        <v>278400</v>
      </c>
      <c r="C1829" s="30">
        <f>144990.72*3.3642</f>
        <v>487777.78022399999</v>
      </c>
      <c r="D1829" s="116">
        <v>72333.119999999995</v>
      </c>
      <c r="E1829" s="119">
        <f t="shared" si="56"/>
        <v>415444.66022399999</v>
      </c>
      <c r="F1829" s="119">
        <f t="shared" si="57"/>
        <v>1.4922581186206896</v>
      </c>
      <c r="G1829" s="212" t="s">
        <v>19804</v>
      </c>
      <c r="H1829" s="104" t="s">
        <v>19536</v>
      </c>
      <c r="I1829" s="214">
        <v>45580</v>
      </c>
      <c r="J1829" s="116">
        <f>25%*55413.02</f>
        <v>13853.254999999999</v>
      </c>
      <c r="N1829" s="66" t="s">
        <v>19589</v>
      </c>
      <c r="O1829" s="651">
        <v>9971</v>
      </c>
    </row>
    <row r="1830" spans="1:15" ht="12.95" hidden="1">
      <c r="A1830" s="86">
        <v>45596</v>
      </c>
      <c r="B1830" s="87">
        <v>20500</v>
      </c>
      <c r="C1830" s="30">
        <v>45100</v>
      </c>
      <c r="D1830" s="116">
        <v>0</v>
      </c>
      <c r="E1830" s="119">
        <f t="shared" si="56"/>
        <v>45100</v>
      </c>
      <c r="F1830" s="119">
        <f t="shared" si="57"/>
        <v>2.2000000000000002</v>
      </c>
      <c r="G1830" s="212" t="s">
        <v>17018</v>
      </c>
      <c r="H1830" s="104" t="s">
        <v>19557</v>
      </c>
      <c r="I1830" s="810"/>
      <c r="J1830" s="116">
        <v>0</v>
      </c>
      <c r="N1830" s="66" t="s">
        <v>19590</v>
      </c>
      <c r="O1830" s="651">
        <v>0</v>
      </c>
    </row>
    <row r="1831" spans="1:15" ht="12.95" hidden="1">
      <c r="A1831" s="779">
        <v>45596</v>
      </c>
      <c r="B1831" s="763">
        <v>19200</v>
      </c>
      <c r="C1831" s="253">
        <v>38208</v>
      </c>
      <c r="D1831" s="116">
        <v>0</v>
      </c>
      <c r="E1831" s="119">
        <f t="shared" si="56"/>
        <v>38208</v>
      </c>
      <c r="F1831" s="119">
        <f t="shared" si="57"/>
        <v>1.99</v>
      </c>
      <c r="G1831" s="760" t="s">
        <v>19655</v>
      </c>
      <c r="H1831" s="806" t="s">
        <v>19558</v>
      </c>
      <c r="I1831" s="810"/>
      <c r="J1831" s="116">
        <v>0</v>
      </c>
      <c r="N1831" s="66" t="s">
        <v>19591</v>
      </c>
      <c r="O1831" s="651">
        <v>0</v>
      </c>
    </row>
    <row r="1832" spans="1:15" ht="12.95">
      <c r="A1832" s="86">
        <v>45597</v>
      </c>
      <c r="B1832" s="87">
        <v>150000</v>
      </c>
      <c r="C1832" s="30">
        <f>315000</f>
        <v>315000</v>
      </c>
      <c r="D1832" s="116">
        <v>0</v>
      </c>
      <c r="E1832" s="119">
        <f t="shared" ref="E1832:E1895" si="58">(C1832-D1832)</f>
        <v>315000</v>
      </c>
      <c r="F1832" s="119">
        <f t="shared" ref="F1832:F1895" si="59">(E1832/B1832)</f>
        <v>2.1</v>
      </c>
      <c r="G1832" s="212" t="s">
        <v>19878</v>
      </c>
      <c r="H1832" s="104" t="s">
        <v>19555</v>
      </c>
      <c r="I1832" s="214">
        <v>45590</v>
      </c>
      <c r="J1832" s="116">
        <v>0</v>
      </c>
      <c r="N1832" s="66" t="s">
        <v>19592</v>
      </c>
      <c r="O1832" s="651">
        <v>0</v>
      </c>
    </row>
    <row r="1833" spans="1:15" ht="12.95">
      <c r="A1833" s="86">
        <v>45604</v>
      </c>
      <c r="B1833" s="87">
        <v>60019.199999999997</v>
      </c>
      <c r="C1833" s="30">
        <f>141045.12</f>
        <v>141045.12</v>
      </c>
      <c r="D1833" s="116">
        <v>0</v>
      </c>
      <c r="E1833" s="119">
        <f t="shared" si="58"/>
        <v>141045.12</v>
      </c>
      <c r="F1833" s="119">
        <f t="shared" si="59"/>
        <v>2.35</v>
      </c>
      <c r="G1833" s="212" t="s">
        <v>19883</v>
      </c>
      <c r="H1833" s="104" t="s">
        <v>19567</v>
      </c>
      <c r="I1833" s="214">
        <v>45600</v>
      </c>
      <c r="J1833" s="116">
        <v>0</v>
      </c>
      <c r="N1833" s="66" t="s">
        <v>19593</v>
      </c>
      <c r="O1833" s="651">
        <v>19200.62</v>
      </c>
    </row>
    <row r="1834" spans="1:15" ht="12.95">
      <c r="A1834" s="86">
        <v>45604</v>
      </c>
      <c r="B1834" s="87">
        <v>162750</v>
      </c>
      <c r="C1834" s="30">
        <v>258382.5</v>
      </c>
      <c r="D1834" s="116">
        <v>0</v>
      </c>
      <c r="E1834" s="119">
        <f t="shared" si="58"/>
        <v>258382.5</v>
      </c>
      <c r="F1834" s="119">
        <f t="shared" si="59"/>
        <v>1.5876036866359446</v>
      </c>
      <c r="G1834" s="212" t="s">
        <v>19833</v>
      </c>
      <c r="H1834" s="104" t="s">
        <v>19564</v>
      </c>
      <c r="I1834" s="214">
        <v>45600</v>
      </c>
      <c r="J1834" s="116">
        <v>0</v>
      </c>
      <c r="N1834" s="66" t="s">
        <v>19594</v>
      </c>
      <c r="O1834" s="651">
        <v>17639.189999999999</v>
      </c>
    </row>
    <row r="1835" spans="1:15" ht="12.95">
      <c r="A1835" s="86">
        <v>45607</v>
      </c>
      <c r="B1835" s="87">
        <v>20000</v>
      </c>
      <c r="C1835" s="30">
        <v>40500</v>
      </c>
      <c r="D1835" s="116">
        <v>0</v>
      </c>
      <c r="E1835" s="119">
        <f t="shared" si="58"/>
        <v>40500</v>
      </c>
      <c r="F1835" s="119">
        <f t="shared" si="59"/>
        <v>2.0249999999999999</v>
      </c>
      <c r="G1835" s="212" t="s">
        <v>19679</v>
      </c>
      <c r="H1835" s="104" t="s">
        <v>19551</v>
      </c>
      <c r="I1835" s="214">
        <v>45586</v>
      </c>
      <c r="J1835" s="116">
        <v>0</v>
      </c>
      <c r="N1835" s="66" t="s">
        <v>19595</v>
      </c>
      <c r="O1835" s="651">
        <v>0</v>
      </c>
    </row>
    <row r="1836" spans="1:15" ht="12.95">
      <c r="A1836" s="86">
        <v>45607</v>
      </c>
      <c r="B1836" s="87">
        <v>93600</v>
      </c>
      <c r="C1836" s="30">
        <f>51012*3.3601</f>
        <v>171405.42120000001</v>
      </c>
      <c r="D1836" s="116">
        <v>27056.400000000001</v>
      </c>
      <c r="E1836" s="119">
        <f t="shared" si="58"/>
        <v>144349.02120000002</v>
      </c>
      <c r="F1836" s="119">
        <f t="shared" si="59"/>
        <v>1.5421903974358977</v>
      </c>
      <c r="G1836" s="212" t="s">
        <v>19884</v>
      </c>
      <c r="H1836" s="104" t="s">
        <v>19562</v>
      </c>
      <c r="I1836" s="214">
        <v>45594</v>
      </c>
      <c r="J1836" s="116">
        <f>25%*19547.2</f>
        <v>4886.8</v>
      </c>
      <c r="N1836" s="66" t="s">
        <v>19596</v>
      </c>
      <c r="O1836" s="651">
        <v>0</v>
      </c>
    </row>
    <row r="1837" spans="1:15" ht="12.95">
      <c r="A1837" s="86">
        <v>45609</v>
      </c>
      <c r="B1837" s="87">
        <v>23504</v>
      </c>
      <c r="C1837" s="30">
        <f>10105.47*3.34515</f>
        <v>33804.312970499996</v>
      </c>
      <c r="D1837" s="116">
        <v>16286.254000000001</v>
      </c>
      <c r="E1837" s="119">
        <f t="shared" si="58"/>
        <v>17518.058970499995</v>
      </c>
      <c r="F1837" s="119">
        <f t="shared" si="59"/>
        <v>0.74532245449710666</v>
      </c>
      <c r="G1837" s="212" t="s">
        <v>17343</v>
      </c>
      <c r="H1837" s="104" t="s">
        <v>19571</v>
      </c>
      <c r="I1837" s="214">
        <v>45608</v>
      </c>
      <c r="J1837" s="116">
        <f>15%*10547.607</f>
        <v>1582.14105</v>
      </c>
      <c r="N1837" s="66" t="s">
        <v>19597</v>
      </c>
      <c r="O1837" s="651">
        <v>0</v>
      </c>
    </row>
    <row r="1838" spans="1:15" ht="12.95">
      <c r="A1838" s="86">
        <v>45610</v>
      </c>
      <c r="B1838" s="87">
        <v>338000</v>
      </c>
      <c r="C1838" s="30">
        <f>182210*3.3601</f>
        <v>612243.821</v>
      </c>
      <c r="D1838" s="116">
        <v>103408.48</v>
      </c>
      <c r="E1838" s="119">
        <f t="shared" si="58"/>
        <v>508835.34100000001</v>
      </c>
      <c r="F1838" s="119">
        <f t="shared" si="59"/>
        <v>1.5054300029585799</v>
      </c>
      <c r="G1838" s="212" t="s">
        <v>19857</v>
      </c>
      <c r="H1838" s="104" t="s">
        <v>19513</v>
      </c>
      <c r="I1838" s="214">
        <v>45561</v>
      </c>
      <c r="J1838" s="116">
        <f>25%*82882.8</f>
        <v>20720.7</v>
      </c>
      <c r="N1838" s="66" t="s">
        <v>19598</v>
      </c>
      <c r="O1838" s="651">
        <v>0</v>
      </c>
    </row>
    <row r="1839" spans="1:15" ht="12.95">
      <c r="A1839" s="86">
        <v>45610</v>
      </c>
      <c r="B1839" s="87">
        <v>52000</v>
      </c>
      <c r="C1839" s="30">
        <v>76960</v>
      </c>
      <c r="D1839" s="116">
        <v>0</v>
      </c>
      <c r="E1839" s="119">
        <f t="shared" si="58"/>
        <v>76960</v>
      </c>
      <c r="F1839" s="119">
        <f t="shared" si="59"/>
        <v>1.48</v>
      </c>
      <c r="G1839" s="212" t="s">
        <v>17380</v>
      </c>
      <c r="H1839" s="104" t="s">
        <v>19573</v>
      </c>
      <c r="I1839" s="214">
        <v>45608</v>
      </c>
      <c r="J1839" s="116">
        <v>0</v>
      </c>
      <c r="N1839" s="66" t="s">
        <v>19599</v>
      </c>
      <c r="O1839" s="651">
        <v>0</v>
      </c>
    </row>
    <row r="1840" spans="1:15" ht="12.95">
      <c r="A1840" s="86">
        <v>45610</v>
      </c>
      <c r="B1840" s="87">
        <v>20820</v>
      </c>
      <c r="C1840" s="30">
        <f>24420.62*3.14585</f>
        <v>76823.607426999995</v>
      </c>
      <c r="D1840" s="116">
        <v>2619.37</v>
      </c>
      <c r="E1840" s="119">
        <f t="shared" si="58"/>
        <v>74204.237427</v>
      </c>
      <c r="F1840" s="119">
        <f t="shared" si="59"/>
        <v>3.5640844105187321</v>
      </c>
      <c r="G1840" s="212" t="s">
        <v>19653</v>
      </c>
      <c r="H1840" s="104" t="s">
        <v>19561</v>
      </c>
      <c r="I1840" s="214">
        <v>45594</v>
      </c>
      <c r="J1840" s="116">
        <v>0</v>
      </c>
      <c r="N1840" s="66" t="s">
        <v>19600</v>
      </c>
      <c r="O1840" s="651">
        <v>12150</v>
      </c>
    </row>
    <row r="1841" spans="1:15" ht="12.95">
      <c r="A1841" s="86">
        <v>45610</v>
      </c>
      <c r="B1841" s="87">
        <v>20150</v>
      </c>
      <c r="C1841" s="30">
        <f>15011.75*3.14585</f>
        <v>47224.713737499995</v>
      </c>
      <c r="D1841" s="116">
        <v>7057.7</v>
      </c>
      <c r="E1841" s="119">
        <f t="shared" si="58"/>
        <v>40167.013737499998</v>
      </c>
      <c r="F1841" s="119">
        <f t="shared" si="59"/>
        <v>1.9934001854838708</v>
      </c>
      <c r="G1841" s="212" t="s">
        <v>19659</v>
      </c>
      <c r="H1841" s="104" t="s">
        <v>19568</v>
      </c>
      <c r="I1841" s="214">
        <v>45604</v>
      </c>
      <c r="J1841" s="116">
        <f>15%*5957</f>
        <v>893.55</v>
      </c>
      <c r="N1841" s="66" t="s">
        <v>19601</v>
      </c>
      <c r="O1841" s="651">
        <v>0</v>
      </c>
    </row>
    <row r="1842" spans="1:15" ht="12.95">
      <c r="A1842" s="86">
        <v>45611</v>
      </c>
      <c r="B1842" s="87">
        <v>45436</v>
      </c>
      <c r="C1842" s="30">
        <f>23423.12*3.3454</f>
        <v>78359.705648000003</v>
      </c>
      <c r="D1842" s="116">
        <f>12164.4+12164.4</f>
        <v>24328.799999999999</v>
      </c>
      <c r="E1842" s="119">
        <f t="shared" si="58"/>
        <v>54030.905648</v>
      </c>
      <c r="F1842" s="119">
        <f t="shared" si="59"/>
        <v>1.1891651036182762</v>
      </c>
      <c r="G1842" s="212" t="s">
        <v>17343</v>
      </c>
      <c r="H1842" s="104" t="s">
        <v>19574</v>
      </c>
      <c r="I1842" s="214">
        <v>45609</v>
      </c>
      <c r="J1842" s="116">
        <f>15%*(9322.66+9322.66)</f>
        <v>2796.7979999999998</v>
      </c>
      <c r="N1842" s="66" t="s">
        <v>19602</v>
      </c>
      <c r="O1842" s="651">
        <v>0</v>
      </c>
    </row>
    <row r="1843" spans="1:15" ht="12.95">
      <c r="A1843" s="86">
        <v>45611</v>
      </c>
      <c r="B1843" s="87">
        <v>15795</v>
      </c>
      <c r="C1843" s="30">
        <f>22727.24*2.2593</f>
        <v>51347.653332000009</v>
      </c>
      <c r="D1843" s="116">
        <v>9495.91</v>
      </c>
      <c r="E1843" s="119">
        <f t="shared" si="58"/>
        <v>41851.743332000013</v>
      </c>
      <c r="F1843" s="119">
        <f t="shared" si="59"/>
        <v>2.6496830219689782</v>
      </c>
      <c r="G1843" s="212" t="s">
        <v>17305</v>
      </c>
      <c r="H1843" s="104" t="s">
        <v>19509</v>
      </c>
      <c r="I1843" s="214">
        <v>45555</v>
      </c>
      <c r="J1843" s="116">
        <f>15%*8564.8</f>
        <v>1284.7199999999998</v>
      </c>
      <c r="N1843" s="66" t="s">
        <v>19603</v>
      </c>
      <c r="O1843" s="651">
        <v>14328.155000000001</v>
      </c>
    </row>
    <row r="1844" spans="1:15" ht="12.95">
      <c r="A1844" s="86">
        <v>45611</v>
      </c>
      <c r="B1844" s="87">
        <v>38400</v>
      </c>
      <c r="C1844" s="30">
        <v>76416</v>
      </c>
      <c r="D1844" s="116">
        <v>0</v>
      </c>
      <c r="E1844" s="119">
        <f t="shared" si="58"/>
        <v>76416</v>
      </c>
      <c r="F1844" s="119">
        <f t="shared" si="59"/>
        <v>1.99</v>
      </c>
      <c r="G1844" s="212" t="s">
        <v>19656</v>
      </c>
      <c r="H1844" s="104" t="s">
        <v>19570</v>
      </c>
      <c r="I1844" s="214">
        <v>45604</v>
      </c>
      <c r="J1844" s="116">
        <v>0</v>
      </c>
      <c r="N1844" s="66" t="s">
        <v>19604</v>
      </c>
      <c r="O1844" s="651">
        <v>17088.365000000002</v>
      </c>
    </row>
    <row r="1845" spans="1:15" ht="12.95">
      <c r="A1845" s="86">
        <v>45611</v>
      </c>
      <c r="B1845" s="87">
        <v>20000</v>
      </c>
      <c r="C1845" s="30">
        <v>43000</v>
      </c>
      <c r="D1845" s="116">
        <v>0</v>
      </c>
      <c r="E1845" s="119">
        <f t="shared" si="58"/>
        <v>43000</v>
      </c>
      <c r="F1845" s="119">
        <f t="shared" si="59"/>
        <v>2.15</v>
      </c>
      <c r="G1845" s="212" t="s">
        <v>17018</v>
      </c>
      <c r="H1845" s="104" t="s">
        <v>19565</v>
      </c>
      <c r="I1845" s="214">
        <v>45600</v>
      </c>
      <c r="J1845" s="116">
        <v>0</v>
      </c>
      <c r="N1845" s="66" t="s">
        <v>19605</v>
      </c>
      <c r="O1845" s="651">
        <v>17290.064999999999</v>
      </c>
    </row>
    <row r="1846" spans="1:15" ht="12.95">
      <c r="A1846" s="86">
        <v>45614</v>
      </c>
      <c r="B1846" s="87">
        <v>26000</v>
      </c>
      <c r="C1846" s="30">
        <f>15730*3.16375</f>
        <v>49765.787499999999</v>
      </c>
      <c r="D1846" s="116">
        <v>4587.55</v>
      </c>
      <c r="E1846" s="119">
        <f t="shared" si="58"/>
        <v>45178.237499999996</v>
      </c>
      <c r="F1846" s="119">
        <f t="shared" si="59"/>
        <v>1.7376245192307691</v>
      </c>
      <c r="G1846" s="212" t="s">
        <v>19876</v>
      </c>
      <c r="H1846" s="104" t="s">
        <v>19563</v>
      </c>
      <c r="I1846" s="214">
        <v>45600</v>
      </c>
      <c r="J1846" s="116">
        <f>5647.25*25%</f>
        <v>1411.8125</v>
      </c>
      <c r="N1846" s="66" t="s">
        <v>19606</v>
      </c>
      <c r="O1846" s="651">
        <v>0</v>
      </c>
    </row>
    <row r="1847" spans="1:15" ht="12.95">
      <c r="A1847" s="86">
        <v>45614</v>
      </c>
      <c r="B1847" s="87">
        <v>110000</v>
      </c>
      <c r="C1847" s="30">
        <f>53900*3.3403</f>
        <v>180042.17</v>
      </c>
      <c r="D1847" s="116">
        <v>24080.75</v>
      </c>
      <c r="E1847" s="119">
        <f t="shared" si="58"/>
        <v>155961.42000000001</v>
      </c>
      <c r="F1847" s="119">
        <f t="shared" si="59"/>
        <v>1.417831090909091</v>
      </c>
      <c r="G1847" s="212" t="s">
        <v>19884</v>
      </c>
      <c r="H1847" s="104" t="s">
        <v>19572</v>
      </c>
      <c r="I1847" s="214">
        <v>45608</v>
      </c>
      <c r="J1847" s="116">
        <f>25%*17193.2</f>
        <v>4298.3</v>
      </c>
      <c r="N1847" s="66" t="s">
        <v>19607</v>
      </c>
      <c r="O1847" s="651">
        <v>34709</v>
      </c>
    </row>
    <row r="1848" spans="1:15" ht="12.95">
      <c r="A1848" s="86">
        <v>45615</v>
      </c>
      <c r="B1848" s="87">
        <v>57600</v>
      </c>
      <c r="C1848" s="30">
        <v>114048</v>
      </c>
      <c r="D1848" s="116">
        <v>0</v>
      </c>
      <c r="E1848" s="119">
        <f t="shared" si="58"/>
        <v>114048</v>
      </c>
      <c r="F1848" s="119">
        <f t="shared" si="59"/>
        <v>1.98</v>
      </c>
      <c r="G1848" s="212" t="s">
        <v>19656</v>
      </c>
      <c r="H1848" s="104" t="s">
        <v>19576</v>
      </c>
      <c r="I1848" s="214">
        <v>45609</v>
      </c>
      <c r="J1848" s="116">
        <v>0</v>
      </c>
      <c r="N1848" s="66" t="s">
        <v>19608</v>
      </c>
      <c r="O1848" s="651">
        <v>11333.912</v>
      </c>
    </row>
    <row r="1849" spans="1:15" ht="12.95">
      <c r="A1849" s="86">
        <v>45615</v>
      </c>
      <c r="B1849" s="87">
        <v>32070</v>
      </c>
      <c r="C1849" s="30">
        <f>44898*3.1633</f>
        <v>142025.84340000001</v>
      </c>
      <c r="D1849" s="116">
        <v>0</v>
      </c>
      <c r="E1849" s="119">
        <f t="shared" si="58"/>
        <v>142025.84340000001</v>
      </c>
      <c r="F1849" s="119">
        <f t="shared" si="59"/>
        <v>4.4286200000000004</v>
      </c>
      <c r="G1849" s="212" t="s">
        <v>19688</v>
      </c>
      <c r="H1849" s="104" t="s">
        <v>19577</v>
      </c>
      <c r="I1849" s="214">
        <v>45611</v>
      </c>
      <c r="J1849" s="116">
        <v>0</v>
      </c>
      <c r="N1849" s="66" t="s">
        <v>19609</v>
      </c>
      <c r="O1849" s="651">
        <v>0</v>
      </c>
    </row>
    <row r="1850" spans="1:15" ht="12.95">
      <c r="A1850" s="86">
        <v>45615</v>
      </c>
      <c r="B1850" s="87">
        <v>48216</v>
      </c>
      <c r="C1850" s="30">
        <f>48714.16*3.1633</f>
        <v>154097.502328</v>
      </c>
      <c r="D1850" s="116">
        <v>35359.72</v>
      </c>
      <c r="E1850" s="119">
        <f t="shared" si="58"/>
        <v>118737.782328</v>
      </c>
      <c r="F1850" s="119">
        <f t="shared" si="59"/>
        <v>2.46262199950224</v>
      </c>
      <c r="G1850" s="212" t="s">
        <v>19779</v>
      </c>
      <c r="H1850" s="104" t="s">
        <v>19575</v>
      </c>
      <c r="I1850" s="214">
        <v>45609</v>
      </c>
      <c r="J1850" s="116">
        <f>15%*31996.8</f>
        <v>4799.5199999999995</v>
      </c>
      <c r="N1850" s="66" t="s">
        <v>19610</v>
      </c>
      <c r="O1850" s="651">
        <v>17178.764999999999</v>
      </c>
    </row>
    <row r="1851" spans="1:15" ht="12.95">
      <c r="A1851" s="86">
        <v>45615</v>
      </c>
      <c r="B1851" s="87">
        <v>45611</v>
      </c>
      <c r="C1851" s="30">
        <f>32917.48*3.1633</f>
        <v>104127.86448400001</v>
      </c>
      <c r="D1851" s="116">
        <v>4320.652</v>
      </c>
      <c r="E1851" s="119">
        <f t="shared" si="58"/>
        <v>99807.212484000003</v>
      </c>
      <c r="F1851" s="119">
        <f t="shared" si="59"/>
        <v>2.1882267980092522</v>
      </c>
      <c r="G1851" s="212" t="s">
        <v>19841</v>
      </c>
      <c r="H1851" s="104" t="s">
        <v>19566</v>
      </c>
      <c r="I1851" s="214">
        <v>45600</v>
      </c>
      <c r="J1851" s="116">
        <f>25%*1500</f>
        <v>375</v>
      </c>
      <c r="N1851" s="66" t="s">
        <v>19611</v>
      </c>
      <c r="O1851" s="651">
        <v>13319.4</v>
      </c>
    </row>
    <row r="1852" spans="1:15" ht="12.95">
      <c r="A1852" s="86">
        <v>45615</v>
      </c>
      <c r="B1852" s="87">
        <v>40300</v>
      </c>
      <c r="C1852" s="30">
        <f>34859.5*3.1633</f>
        <v>110271.05635</v>
      </c>
      <c r="D1852" s="116">
        <v>14470.555</v>
      </c>
      <c r="E1852" s="119">
        <f t="shared" si="58"/>
        <v>95800.501350000006</v>
      </c>
      <c r="F1852" s="119">
        <f t="shared" si="59"/>
        <v>2.3771836563275435</v>
      </c>
      <c r="G1852" s="212" t="s">
        <v>19659</v>
      </c>
      <c r="H1852" s="104" t="s">
        <v>19569</v>
      </c>
      <c r="I1852" s="214">
        <v>45604</v>
      </c>
      <c r="J1852" s="116">
        <f>15%*11888.1</f>
        <v>1783.2149999999999</v>
      </c>
      <c r="N1852" s="66" t="s">
        <v>19612</v>
      </c>
      <c r="O1852" s="651">
        <v>6930.527</v>
      </c>
    </row>
    <row r="1853" spans="1:15" ht="12.95">
      <c r="A1853" s="86">
        <v>45616</v>
      </c>
      <c r="B1853" s="87">
        <v>20750</v>
      </c>
      <c r="C1853" s="30">
        <v>39632.5</v>
      </c>
      <c r="D1853" s="116">
        <v>0</v>
      </c>
      <c r="E1853" s="119">
        <f t="shared" si="58"/>
        <v>39632.5</v>
      </c>
      <c r="F1853" s="119">
        <f t="shared" si="59"/>
        <v>1.91</v>
      </c>
      <c r="G1853" s="212" t="s">
        <v>19655</v>
      </c>
      <c r="H1853" s="104" t="s">
        <v>19556</v>
      </c>
      <c r="I1853" s="214">
        <v>45593</v>
      </c>
      <c r="J1853" s="116">
        <v>0</v>
      </c>
      <c r="N1853" s="66" t="s">
        <v>19613</v>
      </c>
      <c r="O1853" s="651">
        <v>13973.355</v>
      </c>
    </row>
    <row r="1854" spans="1:15" ht="12.95">
      <c r="A1854" s="86">
        <v>45616</v>
      </c>
      <c r="B1854" s="87">
        <v>53180</v>
      </c>
      <c r="C1854" s="30">
        <f>36925.4*3.1645</f>
        <v>116850.4283</v>
      </c>
      <c r="D1854" s="116">
        <v>18250.848000000002</v>
      </c>
      <c r="E1854" s="119">
        <f t="shared" si="58"/>
        <v>98599.580300000001</v>
      </c>
      <c r="F1854" s="119">
        <f t="shared" si="59"/>
        <v>1.8540725893192931</v>
      </c>
      <c r="G1854" s="212" t="s">
        <v>19839</v>
      </c>
      <c r="H1854" s="104" t="s">
        <v>19560</v>
      </c>
      <c r="I1854" s="214">
        <v>45594</v>
      </c>
      <c r="J1854" s="116">
        <f>25%*14734.248</f>
        <v>3683.5619999999999</v>
      </c>
      <c r="N1854" s="66" t="s">
        <v>19614</v>
      </c>
      <c r="O1854" s="651">
        <v>0</v>
      </c>
    </row>
    <row r="1855" spans="1:15" ht="12.95">
      <c r="A1855" s="86">
        <v>45618</v>
      </c>
      <c r="B1855" s="87">
        <v>156000</v>
      </c>
      <c r="C1855" s="30">
        <f>90480*3.1571</f>
        <v>285654.408</v>
      </c>
      <c r="D1855" s="116">
        <v>37957.131999999998</v>
      </c>
      <c r="E1855" s="119">
        <f t="shared" si="58"/>
        <v>247697.27600000001</v>
      </c>
      <c r="F1855" s="119">
        <f t="shared" si="59"/>
        <v>1.5878030512820513</v>
      </c>
      <c r="G1855" s="212" t="s">
        <v>19876</v>
      </c>
      <c r="H1855" s="104" t="s">
        <v>19559</v>
      </c>
      <c r="I1855" s="214">
        <v>45594</v>
      </c>
      <c r="J1855" s="116">
        <f>25%*27638.88</f>
        <v>6909.72</v>
      </c>
      <c r="N1855" s="66" t="s">
        <v>19615</v>
      </c>
      <c r="O1855" s="651">
        <v>0</v>
      </c>
    </row>
    <row r="1856" spans="1:15" ht="12.95">
      <c r="A1856" s="86">
        <v>45618</v>
      </c>
      <c r="B1856" s="87">
        <v>180818</v>
      </c>
      <c r="C1856" s="30">
        <v>341911.64</v>
      </c>
      <c r="D1856" s="116">
        <v>0</v>
      </c>
      <c r="E1856" s="119">
        <f t="shared" si="58"/>
        <v>341911.64</v>
      </c>
      <c r="F1856" s="119">
        <f t="shared" si="59"/>
        <v>1.8909159486334326</v>
      </c>
      <c r="G1856" s="212" t="s">
        <v>19656</v>
      </c>
      <c r="H1856" s="104" t="s">
        <v>19578</v>
      </c>
      <c r="I1856" s="214">
        <v>45614</v>
      </c>
      <c r="J1856" s="116">
        <v>0</v>
      </c>
      <c r="N1856" s="66" t="s">
        <v>19616</v>
      </c>
      <c r="O1856" s="651">
        <v>12424.6</v>
      </c>
    </row>
    <row r="1857" spans="1:15" ht="12.95">
      <c r="A1857" s="86">
        <v>45618</v>
      </c>
      <c r="B1857" s="87">
        <v>24056</v>
      </c>
      <c r="C1857" s="30">
        <f>8616.08*3.3374</f>
        <v>28755.305392000002</v>
      </c>
      <c r="D1857" s="116">
        <v>9971</v>
      </c>
      <c r="E1857" s="119">
        <f t="shared" si="58"/>
        <v>18784.305392000002</v>
      </c>
      <c r="F1857" s="119">
        <f t="shared" si="59"/>
        <v>0.78085739075490534</v>
      </c>
      <c r="G1857" s="212" t="s">
        <v>17343</v>
      </c>
      <c r="H1857" s="104" t="s">
        <v>19589</v>
      </c>
      <c r="I1857" s="214">
        <v>45616</v>
      </c>
      <c r="J1857" s="116">
        <f>15%*7128.42</f>
        <v>1069.2629999999999</v>
      </c>
      <c r="N1857" s="66" t="s">
        <v>19617</v>
      </c>
      <c r="O1857" s="651">
        <v>12021.64</v>
      </c>
    </row>
    <row r="1858" spans="1:15" ht="12.95">
      <c r="A1858" s="86">
        <v>45621</v>
      </c>
      <c r="B1858" s="87">
        <v>137500</v>
      </c>
      <c r="C1858" s="30">
        <f>68750*3.33285</f>
        <v>229133.4375</v>
      </c>
      <c r="D1858" s="116">
        <v>28803.215</v>
      </c>
      <c r="E1858" s="119">
        <f t="shared" si="58"/>
        <v>200330.2225</v>
      </c>
      <c r="F1858" s="119">
        <f t="shared" si="59"/>
        <v>1.4569470727272729</v>
      </c>
      <c r="G1858" s="212" t="s">
        <v>19722</v>
      </c>
      <c r="H1858" s="104" t="s">
        <v>19583</v>
      </c>
      <c r="I1858" s="214">
        <v>45614</v>
      </c>
      <c r="J1858" s="116">
        <f>25%*17793.34</f>
        <v>4448.335</v>
      </c>
      <c r="N1858" s="66" t="s">
        <v>19618</v>
      </c>
      <c r="O1858" s="651">
        <v>19812.2</v>
      </c>
    </row>
    <row r="1859" spans="1:15" ht="12.95">
      <c r="A1859" s="86">
        <v>45621</v>
      </c>
      <c r="B1859" s="87">
        <v>23280</v>
      </c>
      <c r="C1859" s="30">
        <f>23429.4*3.17505</f>
        <v>74389.516470000002</v>
      </c>
      <c r="D1859" s="116">
        <v>7415.6</v>
      </c>
      <c r="E1859" s="119">
        <f t="shared" si="58"/>
        <v>66973.916469999996</v>
      </c>
      <c r="F1859" s="119">
        <f t="shared" si="59"/>
        <v>2.8768864463058419</v>
      </c>
      <c r="G1859" s="212" t="s">
        <v>19885</v>
      </c>
      <c r="H1859" s="104" t="s">
        <v>19586</v>
      </c>
      <c r="I1859" s="214">
        <v>45604</v>
      </c>
      <c r="J1859" s="116">
        <f>15%*4947.1</f>
        <v>742.06500000000005</v>
      </c>
      <c r="N1859" s="66" t="s">
        <v>19619</v>
      </c>
      <c r="O1859" s="651">
        <v>0</v>
      </c>
    </row>
    <row r="1860" spans="1:15" ht="12.95">
      <c r="A1860" s="86">
        <v>45621</v>
      </c>
      <c r="B1860" s="87">
        <v>288000</v>
      </c>
      <c r="C1860" s="30">
        <f>192960*3.16655</f>
        <v>611017.48800000001</v>
      </c>
      <c r="D1860" s="116">
        <v>0</v>
      </c>
      <c r="E1860" s="119">
        <f t="shared" si="58"/>
        <v>611017.48800000001</v>
      </c>
      <c r="F1860" s="119">
        <f t="shared" si="59"/>
        <v>2.1215885000000001</v>
      </c>
      <c r="G1860" s="212" t="s">
        <v>19688</v>
      </c>
      <c r="H1860" s="104" t="s">
        <v>19595</v>
      </c>
      <c r="I1860" s="214">
        <v>45616</v>
      </c>
      <c r="J1860" s="116">
        <v>0</v>
      </c>
      <c r="N1860" s="66" t="s">
        <v>19620</v>
      </c>
      <c r="O1860" s="651">
        <v>0</v>
      </c>
    </row>
    <row r="1861" spans="1:15" ht="12.95">
      <c r="A1861" s="86">
        <v>45622</v>
      </c>
      <c r="B1861" s="87">
        <v>137500</v>
      </c>
      <c r="C1861" s="30">
        <f>68750*3.33285</f>
        <v>229133.4375</v>
      </c>
      <c r="D1861" s="116">
        <v>26760.44</v>
      </c>
      <c r="E1861" s="119">
        <f t="shared" si="58"/>
        <v>202372.9975</v>
      </c>
      <c r="F1861" s="119">
        <f t="shared" si="59"/>
        <v>1.4718036181818182</v>
      </c>
      <c r="G1861" s="212" t="s">
        <v>19722</v>
      </c>
      <c r="H1861" s="104" t="s">
        <v>19584</v>
      </c>
      <c r="I1861" s="214">
        <v>45614</v>
      </c>
      <c r="J1861" s="116">
        <f>25%*17793.34</f>
        <v>4448.335</v>
      </c>
      <c r="N1861" s="66" t="s">
        <v>19621</v>
      </c>
      <c r="O1861" s="651">
        <v>0</v>
      </c>
    </row>
    <row r="1862" spans="1:15" ht="12.95">
      <c r="A1862" s="86">
        <v>45623</v>
      </c>
      <c r="B1862" s="87">
        <v>26484</v>
      </c>
      <c r="C1862" s="30">
        <f>23198.48*3.3271</f>
        <v>77183.662808000008</v>
      </c>
      <c r="D1862" s="116">
        <v>19200.62</v>
      </c>
      <c r="E1862" s="119">
        <f t="shared" si="58"/>
        <v>57983.042808000013</v>
      </c>
      <c r="F1862" s="119">
        <f t="shared" si="59"/>
        <v>2.1893612297236071</v>
      </c>
      <c r="G1862" s="212" t="s">
        <v>19661</v>
      </c>
      <c r="H1862" s="104" t="s">
        <v>19593</v>
      </c>
      <c r="I1862" s="214">
        <v>45616</v>
      </c>
      <c r="J1862" s="116">
        <f>25%*15427.2</f>
        <v>3856.8</v>
      </c>
      <c r="N1862" s="66" t="s">
        <v>19622</v>
      </c>
      <c r="O1862" s="651">
        <v>0</v>
      </c>
    </row>
    <row r="1863" spans="1:15" ht="12.95">
      <c r="A1863" s="86">
        <v>45623</v>
      </c>
      <c r="B1863" s="87">
        <v>23664</v>
      </c>
      <c r="C1863" s="30">
        <f>21258.08*3.3271</f>
        <v>70727.757968000005</v>
      </c>
      <c r="D1863" s="116">
        <v>17639.189999999999</v>
      </c>
      <c r="E1863" s="119">
        <f t="shared" si="58"/>
        <v>53088.567968000003</v>
      </c>
      <c r="F1863" s="119">
        <f t="shared" si="59"/>
        <v>2.2434317092630156</v>
      </c>
      <c r="G1863" s="212" t="s">
        <v>19661</v>
      </c>
      <c r="H1863" s="104" t="s">
        <v>19594</v>
      </c>
      <c r="I1863" s="214">
        <v>45616</v>
      </c>
      <c r="J1863" s="116">
        <f>25%*15427.2</f>
        <v>3856.8</v>
      </c>
      <c r="N1863" s="66" t="s">
        <v>19623</v>
      </c>
      <c r="O1863" s="651">
        <v>23168.445</v>
      </c>
    </row>
    <row r="1864" spans="1:15" ht="12.95">
      <c r="A1864" s="86">
        <v>45624</v>
      </c>
      <c r="B1864" s="87">
        <v>110000</v>
      </c>
      <c r="C1864" s="30">
        <f>55000*3.33285</f>
        <v>183306.75</v>
      </c>
      <c r="D1864" s="116">
        <v>20906.472000000002</v>
      </c>
      <c r="E1864" s="119">
        <f t="shared" si="58"/>
        <v>162400.27799999999</v>
      </c>
      <c r="F1864" s="119">
        <f t="shared" si="59"/>
        <v>1.4763661636363636</v>
      </c>
      <c r="G1864" s="212" t="s">
        <v>19722</v>
      </c>
      <c r="H1864" s="104" t="s">
        <v>19585</v>
      </c>
      <c r="I1864" s="214">
        <v>45614</v>
      </c>
      <c r="J1864" s="116">
        <f>25%*14234.672</f>
        <v>3558.6680000000001</v>
      </c>
      <c r="N1864" s="66" t="s">
        <v>19624</v>
      </c>
      <c r="O1864" s="651">
        <v>14283.355</v>
      </c>
    </row>
    <row r="1865" spans="1:15" ht="12.95">
      <c r="A1865" s="86">
        <v>45625</v>
      </c>
      <c r="B1865" s="87">
        <v>25000</v>
      </c>
      <c r="C1865" s="30">
        <f>40107*2.25605</f>
        <v>90483.397349999999</v>
      </c>
      <c r="D1865" s="116">
        <v>15611.485000000001</v>
      </c>
      <c r="E1865" s="119">
        <f t="shared" si="58"/>
        <v>74871.912349999999</v>
      </c>
      <c r="F1865" s="119">
        <f t="shared" si="59"/>
        <v>2.9948764940000001</v>
      </c>
      <c r="G1865" s="212" t="s">
        <v>17305</v>
      </c>
      <c r="H1865" s="104" t="s">
        <v>19587</v>
      </c>
      <c r="I1865" s="214">
        <v>45615</v>
      </c>
      <c r="J1865" s="116">
        <f>15%*13729.98</f>
        <v>2059.4969999999998</v>
      </c>
      <c r="N1865" s="66" t="s">
        <v>19625</v>
      </c>
      <c r="O1865" s="651">
        <v>75746.399999999994</v>
      </c>
    </row>
    <row r="1866" spans="1:15" ht="12.95">
      <c r="A1866" s="86">
        <v>45625</v>
      </c>
      <c r="B1866" s="87">
        <v>24904</v>
      </c>
      <c r="C1866" s="30">
        <f>36762.3*2.25605</f>
        <v>82937.586915000007</v>
      </c>
      <c r="D1866" s="116">
        <v>15890.885</v>
      </c>
      <c r="E1866" s="119">
        <f t="shared" si="58"/>
        <v>67046.701915000012</v>
      </c>
      <c r="F1866" s="119">
        <f t="shared" si="59"/>
        <v>2.6922061482091237</v>
      </c>
      <c r="G1866" s="212" t="s">
        <v>17305</v>
      </c>
      <c r="H1866" s="104" t="s">
        <v>19588</v>
      </c>
      <c r="I1866" s="214">
        <v>45616</v>
      </c>
      <c r="J1866" s="116">
        <f>15%*13729.98</f>
        <v>2059.4969999999998</v>
      </c>
      <c r="N1866" s="66" t="s">
        <v>19626</v>
      </c>
      <c r="O1866" s="651">
        <v>12997.584000000001</v>
      </c>
    </row>
    <row r="1867" spans="1:15" ht="12.95">
      <c r="A1867" s="86">
        <v>45626</v>
      </c>
      <c r="B1867" s="87">
        <v>315144</v>
      </c>
      <c r="C1867" s="30">
        <f>221212.6*3.1787</f>
        <v>703168.49161999999</v>
      </c>
      <c r="D1867" s="116">
        <v>116565.1</v>
      </c>
      <c r="E1867" s="119">
        <f t="shared" si="58"/>
        <v>586603.39162000001</v>
      </c>
      <c r="F1867" s="119">
        <f t="shared" si="59"/>
        <v>1.8613820717513263</v>
      </c>
      <c r="G1867" s="212" t="s">
        <v>19662</v>
      </c>
      <c r="H1867" s="104" t="s">
        <v>19581</v>
      </c>
      <c r="I1867" s="214">
        <v>45614</v>
      </c>
      <c r="J1867" s="116">
        <f>25%*93619.2</f>
        <v>23404.799999999999</v>
      </c>
      <c r="N1867" s="66" t="s">
        <v>19627</v>
      </c>
      <c r="O1867" s="651">
        <v>17683.465</v>
      </c>
    </row>
    <row r="1868" spans="1:15" ht="12.95">
      <c r="A1868" s="86">
        <v>45628</v>
      </c>
      <c r="B1868" s="87">
        <v>39984</v>
      </c>
      <c r="C1868" s="30">
        <f>93962.4*1</f>
        <v>93962.4</v>
      </c>
      <c r="D1868" s="116">
        <v>0</v>
      </c>
      <c r="E1868" s="119">
        <f t="shared" si="58"/>
        <v>93962.4</v>
      </c>
      <c r="F1868" s="119">
        <f t="shared" si="59"/>
        <v>2.3499999999999996</v>
      </c>
      <c r="G1868" s="212" t="s">
        <v>19883</v>
      </c>
      <c r="H1868" s="104" t="s">
        <v>19598</v>
      </c>
      <c r="I1868" s="214">
        <v>45618</v>
      </c>
      <c r="J1868" s="116">
        <v>0</v>
      </c>
      <c r="N1868" s="66" t="s">
        <v>19628</v>
      </c>
      <c r="O1868" s="651">
        <v>0</v>
      </c>
    </row>
    <row r="1869" spans="1:15" ht="12.95">
      <c r="A1869" s="86">
        <v>45628</v>
      </c>
      <c r="B1869" s="87">
        <v>47820</v>
      </c>
      <c r="C1869" s="30">
        <f>19003.28*3.3455</f>
        <v>63575.473239999992</v>
      </c>
      <c r="D1869" s="116">
        <v>12150</v>
      </c>
      <c r="E1869" s="119">
        <f t="shared" si="58"/>
        <v>51425.473239999992</v>
      </c>
      <c r="F1869" s="119">
        <f t="shared" si="59"/>
        <v>1.0753967636971977</v>
      </c>
      <c r="G1869" s="212" t="s">
        <v>17343</v>
      </c>
      <c r="H1869" s="104" t="s">
        <v>19600</v>
      </c>
      <c r="I1869" s="214">
        <v>45623</v>
      </c>
      <c r="J1869" s="116">
        <f>15%*8906.625</f>
        <v>1335.9937499999999</v>
      </c>
      <c r="N1869" s="66" t="s">
        <v>19629</v>
      </c>
      <c r="O1869" s="651">
        <v>21012.5</v>
      </c>
    </row>
    <row r="1870" spans="1:15" ht="12.95">
      <c r="A1870" s="86">
        <v>45629</v>
      </c>
      <c r="B1870" s="87">
        <v>56000</v>
      </c>
      <c r="C1870" s="30">
        <v>95200</v>
      </c>
      <c r="D1870" s="116">
        <v>0</v>
      </c>
      <c r="E1870" s="119">
        <f t="shared" si="58"/>
        <v>95200</v>
      </c>
      <c r="F1870" s="119">
        <f t="shared" si="59"/>
        <v>1.7</v>
      </c>
      <c r="G1870" s="212" t="s">
        <v>19647</v>
      </c>
      <c r="H1870" s="104" t="s">
        <v>19579</v>
      </c>
      <c r="I1870" s="214">
        <v>45614</v>
      </c>
      <c r="J1870" s="116">
        <v>0</v>
      </c>
      <c r="N1870" s="66" t="s">
        <v>19630</v>
      </c>
      <c r="O1870" s="651">
        <v>25551.200000000001</v>
      </c>
    </row>
    <row r="1871" spans="1:15" ht="12.95">
      <c r="A1871" s="86">
        <v>45630</v>
      </c>
      <c r="B1871" s="87">
        <v>290400</v>
      </c>
      <c r="C1871" s="30">
        <f>194568*3.16755</f>
        <v>616303.86839999992</v>
      </c>
      <c r="D1871" s="116">
        <v>0</v>
      </c>
      <c r="E1871" s="119">
        <f t="shared" si="58"/>
        <v>616303.86839999992</v>
      </c>
      <c r="F1871" s="119">
        <f t="shared" si="59"/>
        <v>2.1222584999999996</v>
      </c>
      <c r="G1871" s="212" t="s">
        <v>19688</v>
      </c>
      <c r="H1871" s="104" t="s">
        <v>19602</v>
      </c>
      <c r="I1871" s="214">
        <v>45628</v>
      </c>
      <c r="J1871" s="116">
        <v>0</v>
      </c>
      <c r="N1871" s="66" t="s">
        <v>19631</v>
      </c>
      <c r="O1871" s="651">
        <v>0</v>
      </c>
    </row>
    <row r="1872" spans="1:15" ht="12.95">
      <c r="A1872" s="86">
        <v>45631</v>
      </c>
      <c r="B1872" s="87">
        <v>100003</v>
      </c>
      <c r="C1872" s="30">
        <f>210006.72</f>
        <v>210006.72</v>
      </c>
      <c r="D1872" s="116">
        <v>0</v>
      </c>
      <c r="E1872" s="119">
        <f t="shared" si="58"/>
        <v>210006.72</v>
      </c>
      <c r="F1872" s="119">
        <f t="shared" si="59"/>
        <v>2.1000041998740038</v>
      </c>
      <c r="G1872" s="212" t="s">
        <v>19878</v>
      </c>
      <c r="H1872" s="104" t="s">
        <v>19601</v>
      </c>
      <c r="I1872" s="214">
        <v>45625</v>
      </c>
      <c r="J1872" s="116">
        <v>0</v>
      </c>
      <c r="N1872" s="66" t="s">
        <v>19632</v>
      </c>
      <c r="O1872" s="651">
        <v>0</v>
      </c>
    </row>
    <row r="1873" spans="1:15" ht="12.95">
      <c r="A1873" s="86">
        <v>45631</v>
      </c>
      <c r="B1873" s="87">
        <v>19200</v>
      </c>
      <c r="C1873" s="30">
        <v>39068</v>
      </c>
      <c r="D1873" s="116">
        <v>0</v>
      </c>
      <c r="E1873" s="119">
        <f t="shared" si="58"/>
        <v>39068</v>
      </c>
      <c r="F1873" s="119">
        <f t="shared" si="59"/>
        <v>2.0347916666666666</v>
      </c>
      <c r="G1873" s="212" t="s">
        <v>19652</v>
      </c>
      <c r="H1873" s="104" t="s">
        <v>19591</v>
      </c>
      <c r="I1873" s="214">
        <v>45616</v>
      </c>
      <c r="J1873" s="116">
        <v>0</v>
      </c>
      <c r="N1873" s="66" t="s">
        <v>19633</v>
      </c>
      <c r="O1873" s="651">
        <v>12997.584000000001</v>
      </c>
    </row>
    <row r="1874" spans="1:15" ht="12.95">
      <c r="A1874" s="86">
        <v>45635</v>
      </c>
      <c r="B1874" s="87">
        <v>19200</v>
      </c>
      <c r="C1874" s="30">
        <v>38208</v>
      </c>
      <c r="D1874" s="116">
        <v>0</v>
      </c>
      <c r="E1874" s="119">
        <f t="shared" si="58"/>
        <v>38208</v>
      </c>
      <c r="F1874" s="119">
        <f t="shared" si="59"/>
        <v>1.99</v>
      </c>
      <c r="G1874" s="212" t="s">
        <v>19655</v>
      </c>
      <c r="H1874" s="104" t="s">
        <v>19596</v>
      </c>
      <c r="I1874" s="214">
        <v>45617</v>
      </c>
      <c r="J1874" s="116">
        <v>0</v>
      </c>
      <c r="N1874" s="66" t="s">
        <v>19634</v>
      </c>
      <c r="O1874" s="651">
        <v>0</v>
      </c>
    </row>
    <row r="1875" spans="1:15" ht="12.95">
      <c r="A1875" s="86">
        <v>45635</v>
      </c>
      <c r="B1875" s="87">
        <v>78000</v>
      </c>
      <c r="C1875" s="30">
        <v>115440</v>
      </c>
      <c r="D1875" s="116">
        <v>0</v>
      </c>
      <c r="E1875" s="119">
        <f t="shared" si="58"/>
        <v>115440</v>
      </c>
      <c r="F1875" s="119">
        <f t="shared" si="59"/>
        <v>1.48</v>
      </c>
      <c r="G1875" s="212" t="s">
        <v>17380</v>
      </c>
      <c r="H1875" s="104" t="s">
        <v>19590</v>
      </c>
      <c r="I1875" s="214">
        <v>45616</v>
      </c>
      <c r="J1875" s="116">
        <v>0</v>
      </c>
      <c r="N1875" s="66" t="s">
        <v>19635</v>
      </c>
      <c r="O1875" s="651">
        <v>0</v>
      </c>
    </row>
    <row r="1876" spans="1:15" ht="12.95">
      <c r="A1876" s="86">
        <v>45636</v>
      </c>
      <c r="B1876" s="87">
        <v>23704</v>
      </c>
      <c r="C1876" s="30">
        <f>9295.12*3.3306</f>
        <v>30958.326672000003</v>
      </c>
      <c r="D1876" s="116">
        <v>13319.4</v>
      </c>
      <c r="E1876" s="119">
        <f t="shared" si="58"/>
        <v>17638.926672000001</v>
      </c>
      <c r="F1876" s="119">
        <f t="shared" si="59"/>
        <v>0.74413291731353359</v>
      </c>
      <c r="G1876" s="212" t="s">
        <v>17343</v>
      </c>
      <c r="H1876" s="104" t="s">
        <v>19611</v>
      </c>
      <c r="I1876" s="214">
        <v>45635</v>
      </c>
      <c r="J1876" s="116">
        <f>15%*10537.5</f>
        <v>1580.625</v>
      </c>
      <c r="N1876" s="66" t="s">
        <v>19886</v>
      </c>
      <c r="O1876" s="651">
        <v>0</v>
      </c>
    </row>
    <row r="1877" spans="1:15" ht="12.95">
      <c r="A1877" s="86">
        <v>45637</v>
      </c>
      <c r="B1877" s="87">
        <v>55000</v>
      </c>
      <c r="C1877" s="30">
        <f>27500*3.3306</f>
        <v>91591.5</v>
      </c>
      <c r="D1877" s="116">
        <v>11333.912</v>
      </c>
      <c r="E1877" s="119">
        <f t="shared" si="58"/>
        <v>80257.588000000003</v>
      </c>
      <c r="F1877" s="119">
        <f t="shared" si="59"/>
        <v>1.4592288727272729</v>
      </c>
      <c r="G1877" s="212" t="s">
        <v>19722</v>
      </c>
      <c r="H1877" s="104" t="s">
        <v>19608</v>
      </c>
      <c r="I1877" s="214">
        <v>45631</v>
      </c>
      <c r="J1877" s="116">
        <f>25%*7775.712</f>
        <v>1943.9280000000001</v>
      </c>
      <c r="N1877" s="66" t="s">
        <v>19887</v>
      </c>
      <c r="O1877" s="651">
        <v>0</v>
      </c>
    </row>
    <row r="1878" spans="1:15" ht="12.95">
      <c r="A1878" s="86">
        <v>45637</v>
      </c>
      <c r="B1878" s="87">
        <v>39200</v>
      </c>
      <c r="C1878" s="30">
        <v>77078</v>
      </c>
      <c r="D1878" s="116">
        <v>0</v>
      </c>
      <c r="E1878" s="119">
        <f t="shared" si="58"/>
        <v>77078</v>
      </c>
      <c r="F1878" s="119">
        <f t="shared" si="59"/>
        <v>1.9662755102040816</v>
      </c>
      <c r="G1878" s="212" t="s">
        <v>19652</v>
      </c>
      <c r="H1878" s="104" t="s">
        <v>19592</v>
      </c>
      <c r="I1878" s="214">
        <v>45616</v>
      </c>
      <c r="J1878" s="116">
        <v>0</v>
      </c>
      <c r="N1878" s="66" t="s">
        <v>19888</v>
      </c>
      <c r="O1878" s="651">
        <v>0</v>
      </c>
    </row>
    <row r="1879" spans="1:15" ht="12.95">
      <c r="A1879" s="86">
        <v>45637</v>
      </c>
      <c r="B1879" s="87">
        <v>84000</v>
      </c>
      <c r="C1879" s="30">
        <v>128520</v>
      </c>
      <c r="D1879" s="116">
        <v>0</v>
      </c>
      <c r="E1879" s="119">
        <f t="shared" si="58"/>
        <v>128520</v>
      </c>
      <c r="F1879" s="119">
        <f t="shared" si="59"/>
        <v>1.53</v>
      </c>
      <c r="G1879" s="212" t="s">
        <v>19656</v>
      </c>
      <c r="H1879" s="104" t="s">
        <v>19609</v>
      </c>
      <c r="I1879" s="214">
        <v>45631</v>
      </c>
      <c r="J1879" s="116">
        <v>0</v>
      </c>
      <c r="N1879" s="66" t="s">
        <v>19889</v>
      </c>
      <c r="O1879" s="651">
        <v>0</v>
      </c>
    </row>
    <row r="1880" spans="1:15" ht="14.45">
      <c r="A1880" s="232">
        <v>45637</v>
      </c>
      <c r="B1880" s="668">
        <v>19552</v>
      </c>
      <c r="C1880" s="108">
        <f>4393.44*3.3306</f>
        <v>14632.791264</v>
      </c>
      <c r="D1880" s="116">
        <v>0</v>
      </c>
      <c r="E1880" s="119">
        <f t="shared" si="58"/>
        <v>14632.791264</v>
      </c>
      <c r="F1880" s="119">
        <f t="shared" si="59"/>
        <v>0.74840380851063826</v>
      </c>
      <c r="G1880" s="88" t="s">
        <v>17343</v>
      </c>
      <c r="H1880" s="709" t="s">
        <v>19599</v>
      </c>
      <c r="I1880" s="670">
        <v>45623</v>
      </c>
      <c r="J1880" s="116">
        <v>0</v>
      </c>
      <c r="N1880" s="66" t="s">
        <v>19890</v>
      </c>
      <c r="O1880" s="651">
        <v>2578.8200000000002</v>
      </c>
    </row>
    <row r="1881" spans="1:15" ht="12.95">
      <c r="A1881" s="86">
        <v>45638</v>
      </c>
      <c r="B1881" s="87">
        <v>27336</v>
      </c>
      <c r="C1881" s="30">
        <f>23811.92*3.3256</f>
        <v>79188.921151999995</v>
      </c>
      <c r="D1881" s="116">
        <v>17088.365000000002</v>
      </c>
      <c r="E1881" s="119">
        <f t="shared" si="58"/>
        <v>62100.55615199999</v>
      </c>
      <c r="F1881" s="119">
        <f t="shared" si="59"/>
        <v>2.2717499323968391</v>
      </c>
      <c r="G1881" s="212" t="s">
        <v>19661</v>
      </c>
      <c r="H1881" s="104" t="s">
        <v>19604</v>
      </c>
      <c r="I1881" s="214">
        <v>45631</v>
      </c>
      <c r="J1881" s="116">
        <f>25%*15451.2</f>
        <v>3862.8</v>
      </c>
      <c r="N1881" s="66" t="s">
        <v>19891</v>
      </c>
      <c r="O1881" s="651">
        <v>2578.8200000000002</v>
      </c>
    </row>
    <row r="1882" spans="1:15" ht="12.95">
      <c r="A1882" s="86">
        <v>45638</v>
      </c>
      <c r="B1882" s="87">
        <v>27505</v>
      </c>
      <c r="C1882" s="30">
        <f>23503.5*3.3256</f>
        <v>78163.239600000001</v>
      </c>
      <c r="D1882" s="116">
        <v>17290.064999999999</v>
      </c>
      <c r="E1882" s="119">
        <f t="shared" si="58"/>
        <v>60873.174599999998</v>
      </c>
      <c r="F1882" s="119">
        <f t="shared" si="59"/>
        <v>2.2131675913470277</v>
      </c>
      <c r="G1882" s="212" t="s">
        <v>19661</v>
      </c>
      <c r="H1882" s="104" t="s">
        <v>19605</v>
      </c>
      <c r="I1882" s="214">
        <v>45631</v>
      </c>
      <c r="J1882" s="116">
        <f>25%*15451.2</f>
        <v>3862.8</v>
      </c>
      <c r="N1882" s="66" t="s">
        <v>19892</v>
      </c>
      <c r="O1882" s="651">
        <v>0</v>
      </c>
    </row>
    <row r="1883" spans="1:15" ht="14.45">
      <c r="A1883" s="792">
        <v>45642</v>
      </c>
      <c r="B1883" s="793">
        <v>23300</v>
      </c>
      <c r="C1883" s="794">
        <f>24406*3.17895</f>
        <v>77585.453699999998</v>
      </c>
      <c r="D1883" s="303">
        <v>6930.527</v>
      </c>
      <c r="E1883" s="303">
        <f t="shared" si="58"/>
        <v>70654.926699999996</v>
      </c>
      <c r="F1883" s="303">
        <f t="shared" si="59"/>
        <v>3.032400287553648</v>
      </c>
      <c r="G1883" s="212" t="s">
        <v>19811</v>
      </c>
      <c r="H1883" s="795" t="s">
        <v>19612</v>
      </c>
      <c r="I1883" s="796">
        <v>45638</v>
      </c>
      <c r="J1883" s="303">
        <f>15%*4953.2</f>
        <v>742.9799999999999</v>
      </c>
      <c r="N1883" s="66" t="s">
        <v>19893</v>
      </c>
      <c r="O1883" s="651">
        <v>0</v>
      </c>
    </row>
    <row r="1884" spans="1:15" ht="12.95">
      <c r="A1884" s="86">
        <v>45644</v>
      </c>
      <c r="B1884" s="87">
        <v>110040</v>
      </c>
      <c r="C1884" s="30">
        <f>68272*3.3247</f>
        <v>226983.9184</v>
      </c>
      <c r="D1884" s="116">
        <v>34709</v>
      </c>
      <c r="E1884" s="119">
        <f t="shared" si="58"/>
        <v>192274.9184</v>
      </c>
      <c r="F1884" s="119">
        <f t="shared" si="59"/>
        <v>1.7473184151217738</v>
      </c>
      <c r="G1884" s="212" t="s">
        <v>19852</v>
      </c>
      <c r="H1884" s="104" t="s">
        <v>19607</v>
      </c>
      <c r="I1884" s="214">
        <v>45631</v>
      </c>
      <c r="J1884" s="116">
        <f>15%*26406</f>
        <v>3960.8999999999996</v>
      </c>
      <c r="N1884" s="66" t="s">
        <v>19894</v>
      </c>
      <c r="O1884" s="651">
        <v>0</v>
      </c>
    </row>
    <row r="1885" spans="1:15" ht="12.95">
      <c r="A1885" s="86">
        <v>45644</v>
      </c>
      <c r="B1885" s="87">
        <v>6450</v>
      </c>
      <c r="C1885" s="30">
        <v>18480</v>
      </c>
      <c r="D1885" s="116">
        <v>0</v>
      </c>
      <c r="E1885" s="119">
        <f t="shared" si="58"/>
        <v>18480</v>
      </c>
      <c r="F1885" s="119">
        <f t="shared" si="59"/>
        <v>2.8651162790697673</v>
      </c>
      <c r="G1885" s="212" t="s">
        <v>17018</v>
      </c>
      <c r="H1885" s="104" t="s">
        <v>19597</v>
      </c>
      <c r="I1885" s="214">
        <v>45622</v>
      </c>
      <c r="J1885" s="116">
        <v>0</v>
      </c>
      <c r="N1885" s="66" t="s">
        <v>19895</v>
      </c>
      <c r="O1885" s="651">
        <v>0</v>
      </c>
    </row>
    <row r="1886" spans="1:15" ht="12.95">
      <c r="A1886" s="86">
        <v>45644</v>
      </c>
      <c r="B1886" s="87">
        <v>43200</v>
      </c>
      <c r="C1886" s="30">
        <v>76464</v>
      </c>
      <c r="D1886" s="116">
        <v>0</v>
      </c>
      <c r="E1886" s="119">
        <f t="shared" si="58"/>
        <v>76464</v>
      </c>
      <c r="F1886" s="119">
        <f t="shared" si="59"/>
        <v>1.77</v>
      </c>
      <c r="G1886" s="212" t="s">
        <v>19655</v>
      </c>
      <c r="H1886" s="104" t="s">
        <v>19606</v>
      </c>
      <c r="I1886" s="214">
        <v>45631</v>
      </c>
      <c r="J1886" s="116">
        <v>0</v>
      </c>
      <c r="N1886" s="66" t="s">
        <v>19896</v>
      </c>
      <c r="O1886" s="651">
        <v>0</v>
      </c>
    </row>
    <row r="1887" spans="1:15" ht="12.95">
      <c r="A1887" s="86">
        <v>45645</v>
      </c>
      <c r="B1887" s="87">
        <v>38400</v>
      </c>
      <c r="C1887" s="30">
        <v>72960</v>
      </c>
      <c r="D1887" s="116">
        <v>0</v>
      </c>
      <c r="E1887" s="119">
        <f t="shared" si="58"/>
        <v>72960</v>
      </c>
      <c r="F1887" s="119">
        <f t="shared" si="59"/>
        <v>1.9</v>
      </c>
      <c r="G1887" s="212" t="s">
        <v>19833</v>
      </c>
      <c r="H1887" s="104" t="s">
        <v>19614</v>
      </c>
      <c r="I1887" s="214">
        <v>45638</v>
      </c>
      <c r="J1887" s="116">
        <v>0</v>
      </c>
      <c r="N1887" s="66" t="s">
        <v>19897</v>
      </c>
      <c r="O1887" s="651">
        <v>0</v>
      </c>
    </row>
    <row r="1888" spans="1:15" ht="12.95">
      <c r="A1888" s="86">
        <v>45645</v>
      </c>
      <c r="B1888" s="87">
        <v>272208</v>
      </c>
      <c r="C1888" s="30">
        <f>141922.32*3.3247</f>
        <v>471849.13730400003</v>
      </c>
      <c r="D1888" s="116">
        <v>69015.327000000005</v>
      </c>
      <c r="E1888" s="119">
        <f t="shared" si="58"/>
        <v>402833.81030400004</v>
      </c>
      <c r="F1888" s="119">
        <f t="shared" si="59"/>
        <v>1.4798749864221479</v>
      </c>
      <c r="G1888" s="212" t="s">
        <v>19804</v>
      </c>
      <c r="H1888" s="104" t="s">
        <v>19580</v>
      </c>
      <c r="I1888" s="214">
        <v>45614</v>
      </c>
      <c r="J1888" s="116">
        <f>25%*46891.8</f>
        <v>11722.95</v>
      </c>
      <c r="N1888" s="66" t="s">
        <v>19898</v>
      </c>
      <c r="O1888" s="651">
        <v>15964.754999999999</v>
      </c>
    </row>
    <row r="1889" spans="1:15" ht="12.95">
      <c r="A1889" s="86">
        <v>45646</v>
      </c>
      <c r="B1889" s="87">
        <v>175000</v>
      </c>
      <c r="C1889" s="30">
        <f>93625*3.331</f>
        <v>311864.875</v>
      </c>
      <c r="D1889" s="116">
        <v>50342.998</v>
      </c>
      <c r="E1889" s="119">
        <f t="shared" si="58"/>
        <v>261521.87700000001</v>
      </c>
      <c r="F1889" s="119">
        <f t="shared" si="59"/>
        <v>1.4944107257142858</v>
      </c>
      <c r="G1889" s="212" t="s">
        <v>19722</v>
      </c>
      <c r="H1889" s="104" t="s">
        <v>19582</v>
      </c>
      <c r="I1889" s="214">
        <v>45614</v>
      </c>
      <c r="J1889" s="116">
        <f>25%*34197.66</f>
        <v>8549.4150000000009</v>
      </c>
      <c r="N1889" s="66" t="s">
        <v>19899</v>
      </c>
      <c r="O1889" s="651">
        <v>29884.6</v>
      </c>
    </row>
    <row r="1890" spans="1:15" ht="12.95">
      <c r="A1890" s="86">
        <v>45646</v>
      </c>
      <c r="B1890" s="87">
        <v>22972</v>
      </c>
      <c r="C1890" s="30">
        <f>9982.64*3.32125</f>
        <v>33154.843099999998</v>
      </c>
      <c r="D1890" s="116">
        <v>12424.6</v>
      </c>
      <c r="E1890" s="119">
        <f t="shared" si="58"/>
        <v>20730.2431</v>
      </c>
      <c r="F1890" s="119">
        <f t="shared" si="59"/>
        <v>0.90241350774856344</v>
      </c>
      <c r="G1890" s="212" t="s">
        <v>17343</v>
      </c>
      <c r="H1890" s="104" t="s">
        <v>19616</v>
      </c>
      <c r="I1890" s="214">
        <v>45644</v>
      </c>
      <c r="J1890" s="116">
        <f>15%*9452.77</f>
        <v>1417.9155000000001</v>
      </c>
      <c r="N1890" s="66" t="s">
        <v>19900</v>
      </c>
      <c r="O1890" s="651">
        <v>12048.41</v>
      </c>
    </row>
    <row r="1891" spans="1:15" ht="12.95">
      <c r="A1891" s="86">
        <v>45646</v>
      </c>
      <c r="B1891" s="87">
        <v>24256</v>
      </c>
      <c r="C1891" s="30">
        <f>9361.28*3.32125</f>
        <v>31091.151200000004</v>
      </c>
      <c r="D1891" s="116">
        <v>12021.64</v>
      </c>
      <c r="E1891" s="119">
        <f t="shared" si="58"/>
        <v>19069.511200000004</v>
      </c>
      <c r="F1891" s="119">
        <f t="shared" si="59"/>
        <v>0.78617707783641178</v>
      </c>
      <c r="G1891" s="212" t="s">
        <v>17343</v>
      </c>
      <c r="H1891" s="104" t="s">
        <v>19617</v>
      </c>
      <c r="I1891" s="214">
        <v>45644</v>
      </c>
      <c r="J1891" s="116">
        <f>15%*8861.762</f>
        <v>1329.2643</v>
      </c>
      <c r="N1891" s="66" t="s">
        <v>19901</v>
      </c>
      <c r="O1891" s="651">
        <v>43435.05</v>
      </c>
    </row>
    <row r="1892" spans="1:15" ht="12.95">
      <c r="A1892" s="86">
        <v>45646</v>
      </c>
      <c r="B1892" s="87">
        <v>44624</v>
      </c>
      <c r="C1892" s="30">
        <f>18113.4*3.32125</f>
        <v>60159.129750000007</v>
      </c>
      <c r="D1892" s="116">
        <v>19812.2</v>
      </c>
      <c r="E1892" s="119">
        <f t="shared" si="58"/>
        <v>40346.92975000001</v>
      </c>
      <c r="F1892" s="119">
        <f t="shared" si="59"/>
        <v>0.90415314068662622</v>
      </c>
      <c r="G1892" s="212" t="s">
        <v>17343</v>
      </c>
      <c r="H1892" s="104" t="s">
        <v>19618</v>
      </c>
      <c r="I1892" s="214">
        <v>45644</v>
      </c>
      <c r="J1892" s="116">
        <f>15%*13761.08</f>
        <v>2064.1619999999998</v>
      </c>
      <c r="N1892" s="66" t="s">
        <v>19902</v>
      </c>
      <c r="O1892" s="651">
        <v>28660.95</v>
      </c>
    </row>
    <row r="1893" spans="1:15" ht="12.95">
      <c r="A1893" s="86">
        <v>45649</v>
      </c>
      <c r="B1893" s="87">
        <v>40300</v>
      </c>
      <c r="C1893" s="30">
        <f>34859.5*3.1721</f>
        <v>110577.81994999999</v>
      </c>
      <c r="D1893" s="116">
        <v>14328.155000000001</v>
      </c>
      <c r="E1893" s="119">
        <f t="shared" si="58"/>
        <v>96249.664949999991</v>
      </c>
      <c r="F1893" s="119">
        <f t="shared" si="59"/>
        <v>2.3883291550868484</v>
      </c>
      <c r="G1893" s="212" t="s">
        <v>19659</v>
      </c>
      <c r="H1893" s="104" t="s">
        <v>19603</v>
      </c>
      <c r="I1893" s="214">
        <v>45631</v>
      </c>
      <c r="J1893" s="116">
        <f>15%*12036.1</f>
        <v>1805.415</v>
      </c>
      <c r="N1893" s="66" t="s">
        <v>19903</v>
      </c>
      <c r="O1893" s="651">
        <v>62089.62</v>
      </c>
    </row>
    <row r="1894" spans="1:15" ht="12.95">
      <c r="A1894" s="86">
        <v>45650</v>
      </c>
      <c r="B1894" s="87">
        <v>40300</v>
      </c>
      <c r="C1894" s="30">
        <f>34729.73*3.19365</f>
        <v>110914.6022145</v>
      </c>
      <c r="D1894" s="116">
        <v>13973.355</v>
      </c>
      <c r="E1894" s="119">
        <f t="shared" si="58"/>
        <v>96941.247214500007</v>
      </c>
      <c r="F1894" s="119">
        <f t="shared" si="59"/>
        <v>2.4054900053225809</v>
      </c>
      <c r="G1894" s="212" t="s">
        <v>19659</v>
      </c>
      <c r="H1894" s="104" t="s">
        <v>19613</v>
      </c>
      <c r="I1894" s="214">
        <v>45638</v>
      </c>
      <c r="J1894" s="116">
        <f>12036.1*15%</f>
        <v>1805.415</v>
      </c>
      <c r="N1894" s="66" t="s">
        <v>19904</v>
      </c>
      <c r="O1894" s="651">
        <v>0</v>
      </c>
    </row>
    <row r="1895" spans="1:15" ht="12.95">
      <c r="A1895" s="86">
        <v>45650</v>
      </c>
      <c r="B1895" s="87">
        <v>40300</v>
      </c>
      <c r="C1895" s="30">
        <f>30023.5*3.19365</f>
        <v>95884.550774999996</v>
      </c>
      <c r="D1895" s="116">
        <v>14283.355</v>
      </c>
      <c r="E1895" s="119">
        <f t="shared" si="58"/>
        <v>81601.195775</v>
      </c>
      <c r="F1895" s="119">
        <f t="shared" si="59"/>
        <v>2.0248435676178662</v>
      </c>
      <c r="G1895" s="212" t="s">
        <v>19659</v>
      </c>
      <c r="H1895" s="104" t="s">
        <v>19624</v>
      </c>
      <c r="I1895" s="214">
        <v>45645</v>
      </c>
      <c r="J1895" s="116">
        <f>15%*12036.1</f>
        <v>1805.415</v>
      </c>
      <c r="N1895" s="66" t="s">
        <v>19905</v>
      </c>
      <c r="O1895" s="651">
        <v>0</v>
      </c>
    </row>
    <row r="1896" spans="1:15" ht="12.95">
      <c r="A1896" s="86">
        <v>45651</v>
      </c>
      <c r="B1896" s="87">
        <v>52000</v>
      </c>
      <c r="C1896" s="30">
        <v>80340</v>
      </c>
      <c r="D1896" s="116">
        <v>0</v>
      </c>
      <c r="E1896" s="119">
        <f t="shared" ref="E1896:E1959" si="60">(C1896-D1896)</f>
        <v>80340</v>
      </c>
      <c r="F1896" s="119">
        <f t="shared" ref="F1896:F1959" si="61">(E1896/B1896)</f>
        <v>1.5449999999999999</v>
      </c>
      <c r="G1896" s="212" t="s">
        <v>19906</v>
      </c>
      <c r="H1896" s="104" t="s">
        <v>19529</v>
      </c>
      <c r="I1896" s="214">
        <v>45575</v>
      </c>
      <c r="J1896" s="116">
        <v>0</v>
      </c>
      <c r="N1896" s="66" t="s">
        <v>19907</v>
      </c>
      <c r="O1896" s="651">
        <v>0</v>
      </c>
    </row>
    <row r="1897" spans="1:15" ht="12.95">
      <c r="A1897" s="86">
        <v>45651</v>
      </c>
      <c r="B1897" s="87">
        <v>23608</v>
      </c>
      <c r="C1897" s="30">
        <f>35977.04*2.2212</f>
        <v>79912.201247999998</v>
      </c>
      <c r="D1897" s="116">
        <v>23168.445</v>
      </c>
      <c r="E1897" s="119">
        <f t="shared" si="60"/>
        <v>56743.756247999998</v>
      </c>
      <c r="F1897" s="119">
        <f t="shared" si="61"/>
        <v>2.4035816777363603</v>
      </c>
      <c r="G1897" s="212" t="s">
        <v>17305</v>
      </c>
      <c r="H1897" s="104" t="s">
        <v>19623</v>
      </c>
      <c r="I1897" s="214">
        <v>45645</v>
      </c>
      <c r="J1897" s="116">
        <f>15%*21338.94</f>
        <v>3200.8409999999999</v>
      </c>
      <c r="N1897" s="66" t="s">
        <v>19908</v>
      </c>
      <c r="O1897" s="651">
        <v>0</v>
      </c>
    </row>
    <row r="1898" spans="1:15" ht="12.95">
      <c r="A1898" s="86">
        <v>45652</v>
      </c>
      <c r="B1898" s="87">
        <v>275000</v>
      </c>
      <c r="C1898" s="30">
        <v>398750</v>
      </c>
      <c r="D1898" s="116">
        <v>0</v>
      </c>
      <c r="E1898" s="119">
        <f t="shared" si="60"/>
        <v>398750</v>
      </c>
      <c r="F1898" s="119">
        <f t="shared" si="61"/>
        <v>1.45</v>
      </c>
      <c r="G1898" s="212" t="s">
        <v>19652</v>
      </c>
      <c r="H1898" s="104" t="s">
        <v>19622</v>
      </c>
      <c r="I1898" s="214">
        <v>45644</v>
      </c>
      <c r="J1898" s="116">
        <v>0</v>
      </c>
      <c r="N1898" s="66" t="s">
        <v>19909</v>
      </c>
      <c r="O1898" s="651">
        <v>24469.599999999999</v>
      </c>
    </row>
    <row r="1899" spans="1:15" ht="14.45">
      <c r="A1899" s="792">
        <v>45652</v>
      </c>
      <c r="B1899" s="793">
        <v>28016</v>
      </c>
      <c r="C1899" s="794">
        <f>19224.78*3.19795</f>
        <v>61479.885200999997</v>
      </c>
      <c r="D1899" s="303">
        <v>12997.584000000001</v>
      </c>
      <c r="E1899" s="303">
        <f t="shared" si="60"/>
        <v>48482.301200999995</v>
      </c>
      <c r="F1899" s="303">
        <f t="shared" si="61"/>
        <v>1.7305218875285548</v>
      </c>
      <c r="G1899" s="212" t="s">
        <v>19726</v>
      </c>
      <c r="H1899" s="795" t="s">
        <v>19626</v>
      </c>
      <c r="I1899" s="796">
        <v>45645</v>
      </c>
      <c r="J1899" s="303">
        <f>25%*5198.604</f>
        <v>1299.6510000000001</v>
      </c>
      <c r="N1899" s="66" t="s">
        <v>19910</v>
      </c>
      <c r="O1899" s="651">
        <v>0</v>
      </c>
    </row>
    <row r="1900" spans="1:15" ht="12.95">
      <c r="A1900" s="86">
        <v>45652</v>
      </c>
      <c r="B1900" s="87">
        <v>24825</v>
      </c>
      <c r="C1900" s="30">
        <v>48528</v>
      </c>
      <c r="D1900" s="116">
        <v>0</v>
      </c>
      <c r="E1900" s="119">
        <f t="shared" si="60"/>
        <v>48528</v>
      </c>
      <c r="F1900" s="119">
        <f t="shared" si="61"/>
        <v>1.9548036253776435</v>
      </c>
      <c r="G1900" s="212" t="s">
        <v>19647</v>
      </c>
      <c r="H1900" s="104" t="s">
        <v>19619</v>
      </c>
      <c r="I1900" s="214">
        <v>45644</v>
      </c>
      <c r="J1900" s="116">
        <v>0</v>
      </c>
      <c r="N1900" s="66" t="s">
        <v>19911</v>
      </c>
      <c r="O1900" s="651">
        <v>0</v>
      </c>
    </row>
    <row r="1901" spans="1:15" ht="12.95">
      <c r="A1901" s="86">
        <v>45652</v>
      </c>
      <c r="B1901" s="87">
        <v>21958</v>
      </c>
      <c r="C1901" s="30">
        <v>40618.699999999997</v>
      </c>
      <c r="D1901" s="116">
        <v>0</v>
      </c>
      <c r="E1901" s="119">
        <f t="shared" si="60"/>
        <v>40618.699999999997</v>
      </c>
      <c r="F1901" s="119">
        <f t="shared" si="61"/>
        <v>1.8498360506421347</v>
      </c>
      <c r="G1901" s="212" t="s">
        <v>19655</v>
      </c>
      <c r="H1901" s="104" t="s">
        <v>19621</v>
      </c>
      <c r="I1901" s="214">
        <v>45644</v>
      </c>
      <c r="J1901" s="116">
        <v>0</v>
      </c>
      <c r="N1901" s="66" t="s">
        <v>19912</v>
      </c>
      <c r="O1901" s="651">
        <v>12529.41</v>
      </c>
    </row>
    <row r="1902" spans="1:15" ht="12.95">
      <c r="A1902" s="86">
        <v>45652</v>
      </c>
      <c r="B1902" s="87">
        <v>20300</v>
      </c>
      <c r="C1902" s="30">
        <f>28117*3.323</f>
        <v>93432.790999999997</v>
      </c>
      <c r="D1902" s="116">
        <v>17683.465</v>
      </c>
      <c r="E1902" s="119">
        <f t="shared" si="60"/>
        <v>75749.326000000001</v>
      </c>
      <c r="F1902" s="119">
        <f t="shared" si="61"/>
        <v>3.731493891625616</v>
      </c>
      <c r="G1902" s="212" t="s">
        <v>19661</v>
      </c>
      <c r="H1902" s="104" t="s">
        <v>19627</v>
      </c>
      <c r="I1902" s="214">
        <v>45649</v>
      </c>
      <c r="J1902" s="116">
        <f>25%*15643.2</f>
        <v>3910.8</v>
      </c>
      <c r="N1902" s="66" t="s">
        <v>19913</v>
      </c>
      <c r="O1902" s="651">
        <v>22144.13</v>
      </c>
    </row>
    <row r="1903" spans="1:15" ht="12.95">
      <c r="A1903" s="86">
        <v>45653</v>
      </c>
      <c r="B1903" s="87">
        <v>100003.2</v>
      </c>
      <c r="C1903" s="30">
        <v>180005.76000000001</v>
      </c>
      <c r="D1903" s="116">
        <v>0</v>
      </c>
      <c r="E1903" s="119">
        <f t="shared" si="60"/>
        <v>180005.76000000001</v>
      </c>
      <c r="F1903" s="119">
        <f t="shared" si="61"/>
        <v>1.8</v>
      </c>
      <c r="G1903" s="212" t="s">
        <v>19883</v>
      </c>
      <c r="H1903" s="104" t="s">
        <v>19628</v>
      </c>
      <c r="I1903" s="214">
        <v>45649</v>
      </c>
      <c r="J1903" s="116">
        <v>0</v>
      </c>
      <c r="N1903" s="66" t="s">
        <v>19914</v>
      </c>
      <c r="O1903" s="651">
        <v>12209.25</v>
      </c>
    </row>
    <row r="1904" spans="1:15" ht="12.95">
      <c r="A1904" s="86">
        <v>45653</v>
      </c>
      <c r="B1904" s="87">
        <v>39584</v>
      </c>
      <c r="C1904" s="30">
        <f>18701.67*3.3247</f>
        <v>62177.442248999992</v>
      </c>
      <c r="D1904" s="116">
        <v>21012.5</v>
      </c>
      <c r="E1904" s="119">
        <f t="shared" si="60"/>
        <v>41164.942248999992</v>
      </c>
      <c r="F1904" s="119">
        <f t="shared" si="61"/>
        <v>1.0399389210034355</v>
      </c>
      <c r="G1904" s="212" t="s">
        <v>17343</v>
      </c>
      <c r="H1904" s="104" t="s">
        <v>19629</v>
      </c>
      <c r="I1904" s="214">
        <v>45650</v>
      </c>
      <c r="J1904" s="116">
        <f>15%*16177.944</f>
        <v>2426.6915999999997</v>
      </c>
      <c r="N1904" s="66" t="s">
        <v>19915</v>
      </c>
      <c r="O1904" s="651">
        <v>24036.12</v>
      </c>
    </row>
    <row r="1905" spans="1:15" ht="12.95">
      <c r="A1905" s="86">
        <v>45654</v>
      </c>
      <c r="B1905" s="87">
        <v>76800</v>
      </c>
      <c r="C1905" s="30">
        <v>157056</v>
      </c>
      <c r="D1905" s="116">
        <v>0</v>
      </c>
      <c r="E1905" s="119">
        <f t="shared" si="60"/>
        <v>157056</v>
      </c>
      <c r="F1905" s="119">
        <f t="shared" si="61"/>
        <v>2.0449999999999999</v>
      </c>
      <c r="G1905" s="212" t="s">
        <v>19656</v>
      </c>
      <c r="H1905" s="104" t="s">
        <v>19620</v>
      </c>
      <c r="I1905" s="214">
        <v>45644</v>
      </c>
      <c r="J1905" s="116">
        <v>0</v>
      </c>
      <c r="N1905" s="66" t="s">
        <v>19916</v>
      </c>
      <c r="O1905" s="651">
        <v>12018.06</v>
      </c>
    </row>
    <row r="1906" spans="1:15" ht="12.95">
      <c r="A1906" s="86">
        <v>45654</v>
      </c>
      <c r="B1906" s="87">
        <v>418500</v>
      </c>
      <c r="C1906" s="30">
        <v>705716.01</v>
      </c>
      <c r="D1906" s="116">
        <v>0</v>
      </c>
      <c r="E1906" s="119">
        <f t="shared" si="60"/>
        <v>705716.01</v>
      </c>
      <c r="F1906" s="119">
        <f t="shared" si="61"/>
        <v>1.6862987096774193</v>
      </c>
      <c r="G1906" s="212" t="s">
        <v>19833</v>
      </c>
      <c r="H1906" s="104" t="s">
        <v>19615</v>
      </c>
      <c r="I1906" s="214">
        <v>45638</v>
      </c>
      <c r="J1906" s="116">
        <v>0</v>
      </c>
      <c r="N1906" s="66" t="s">
        <v>19917</v>
      </c>
      <c r="O1906" s="651">
        <v>0</v>
      </c>
    </row>
    <row r="1907" spans="1:15" ht="12.95">
      <c r="A1907" s="86">
        <v>45656</v>
      </c>
      <c r="B1907" s="87">
        <v>44848</v>
      </c>
      <c r="C1907" s="30">
        <f>14556.52*3.3241</f>
        <v>48387.328132000002</v>
      </c>
      <c r="D1907" s="116">
        <v>25551.200000000001</v>
      </c>
      <c r="E1907" s="119">
        <f t="shared" si="60"/>
        <v>22836.128132000002</v>
      </c>
      <c r="F1907" s="119">
        <f t="shared" si="61"/>
        <v>0.50918944282911172</v>
      </c>
      <c r="G1907" s="212" t="s">
        <v>17343</v>
      </c>
      <c r="H1907" s="104" t="s">
        <v>19630</v>
      </c>
      <c r="I1907" s="214">
        <v>45650</v>
      </c>
      <c r="J1907" s="116">
        <f>15%*19747.648</f>
        <v>2962.1471999999999</v>
      </c>
      <c r="N1907" s="66" t="s">
        <v>19918</v>
      </c>
      <c r="O1907" s="651">
        <v>0</v>
      </c>
    </row>
    <row r="1908" spans="1:15" ht="12.95">
      <c r="A1908" s="86">
        <v>45656</v>
      </c>
      <c r="B1908" s="87">
        <v>49220</v>
      </c>
      <c r="C1908" s="30">
        <f>33261.1*3.19745</f>
        <v>106350.704195</v>
      </c>
      <c r="D1908" s="116">
        <v>12997.584000000001</v>
      </c>
      <c r="E1908" s="119">
        <f t="shared" si="60"/>
        <v>93353.120194999996</v>
      </c>
      <c r="F1908" s="119">
        <f t="shared" si="61"/>
        <v>1.8966501461804144</v>
      </c>
      <c r="G1908" s="212" t="s">
        <v>19726</v>
      </c>
      <c r="H1908" s="104" t="s">
        <v>19633</v>
      </c>
      <c r="I1908" s="214">
        <v>45653</v>
      </c>
      <c r="J1908" s="116">
        <f>25%*9315.384</f>
        <v>2328.846</v>
      </c>
      <c r="N1908" s="66" t="s">
        <v>19919</v>
      </c>
      <c r="O1908" s="651">
        <v>0</v>
      </c>
    </row>
    <row r="1909" spans="1:15" ht="12.95">
      <c r="A1909" s="86">
        <v>45656</v>
      </c>
      <c r="B1909" s="87">
        <v>156000</v>
      </c>
      <c r="C1909" s="30">
        <v>230880</v>
      </c>
      <c r="D1909" s="116">
        <v>0</v>
      </c>
      <c r="E1909" s="119">
        <f t="shared" si="60"/>
        <v>230880</v>
      </c>
      <c r="F1909" s="119">
        <f t="shared" si="61"/>
        <v>1.48</v>
      </c>
      <c r="G1909" s="212" t="s">
        <v>17380</v>
      </c>
      <c r="H1909" s="104" t="s">
        <v>19634</v>
      </c>
      <c r="I1909" s="214">
        <v>45650</v>
      </c>
      <c r="J1909" s="116">
        <v>0</v>
      </c>
      <c r="N1909" s="66" t="s">
        <v>19920</v>
      </c>
      <c r="O1909" s="651">
        <v>0</v>
      </c>
    </row>
    <row r="1910" spans="1:15" ht="12.95">
      <c r="A1910" s="86">
        <v>45657</v>
      </c>
      <c r="B1910" s="87">
        <v>262620</v>
      </c>
      <c r="C1910" s="30">
        <f>179843*3.19745</f>
        <v>575039.00034999999</v>
      </c>
      <c r="D1910" s="116">
        <v>75746.399999999994</v>
      </c>
      <c r="E1910" s="119">
        <f t="shared" si="60"/>
        <v>499292.60034999996</v>
      </c>
      <c r="F1910" s="119">
        <f t="shared" si="61"/>
        <v>1.9011979298987127</v>
      </c>
      <c r="G1910" s="212" t="s">
        <v>19662</v>
      </c>
      <c r="H1910" s="104" t="s">
        <v>19625</v>
      </c>
      <c r="I1910" s="214">
        <v>45644</v>
      </c>
      <c r="J1910" s="116">
        <f>25%*58732.4</f>
        <v>14683.1</v>
      </c>
      <c r="N1910" s="66" t="s">
        <v>19921</v>
      </c>
      <c r="O1910" s="651">
        <v>0</v>
      </c>
    </row>
    <row r="1911" spans="1:15" ht="12.95">
      <c r="A1911" s="86">
        <v>45657</v>
      </c>
      <c r="B1911" s="87">
        <v>19200</v>
      </c>
      <c r="C1911" s="30">
        <v>38208</v>
      </c>
      <c r="D1911" s="116">
        <v>0</v>
      </c>
      <c r="E1911" s="119">
        <f t="shared" si="60"/>
        <v>38208</v>
      </c>
      <c r="F1911" s="119">
        <f t="shared" si="61"/>
        <v>1.99</v>
      </c>
      <c r="G1911" s="212" t="s">
        <v>19655</v>
      </c>
      <c r="H1911" s="104" t="s">
        <v>19631</v>
      </c>
      <c r="I1911" s="214">
        <v>45652</v>
      </c>
      <c r="J1911" s="116">
        <v>0</v>
      </c>
      <c r="N1911" s="66" t="s">
        <v>19922</v>
      </c>
      <c r="O1911" s="651">
        <v>0</v>
      </c>
    </row>
    <row r="1912" spans="1:15" ht="12.95">
      <c r="A1912" s="86">
        <v>45657</v>
      </c>
      <c r="B1912" s="87">
        <v>43200</v>
      </c>
      <c r="C1912" s="30">
        <v>90720</v>
      </c>
      <c r="D1912" s="116">
        <v>0</v>
      </c>
      <c r="E1912" s="119">
        <f t="shared" si="60"/>
        <v>90720</v>
      </c>
      <c r="F1912" s="119">
        <f t="shared" si="61"/>
        <v>2.1</v>
      </c>
      <c r="G1912" s="212" t="s">
        <v>19655</v>
      </c>
      <c r="H1912" s="104" t="s">
        <v>19632</v>
      </c>
      <c r="I1912" s="214">
        <v>45652</v>
      </c>
      <c r="J1912" s="116">
        <v>0</v>
      </c>
      <c r="N1912" s="66" t="s">
        <v>19923</v>
      </c>
      <c r="O1912" s="651">
        <v>0</v>
      </c>
    </row>
    <row r="1913" spans="1:15" ht="14.45">
      <c r="A1913" s="802">
        <v>45657</v>
      </c>
      <c r="B1913" s="803">
        <v>22680</v>
      </c>
      <c r="C1913" s="804">
        <f>20579.6*3.3274</f>
        <v>68476.561040000001</v>
      </c>
      <c r="D1913" s="805">
        <v>17178.764999999999</v>
      </c>
      <c r="E1913" s="805">
        <f t="shared" si="60"/>
        <v>51297.796040000001</v>
      </c>
      <c r="F1913" s="805">
        <f t="shared" si="61"/>
        <v>2.2618075855379187</v>
      </c>
      <c r="G1913" s="781" t="s">
        <v>19661</v>
      </c>
      <c r="H1913" s="814" t="s">
        <v>19610</v>
      </c>
      <c r="I1913" s="815">
        <v>45632</v>
      </c>
      <c r="J1913" s="805">
        <f>25%*15643.2</f>
        <v>3910.8</v>
      </c>
      <c r="N1913" s="66" t="s">
        <v>19924</v>
      </c>
      <c r="O1913" s="651">
        <v>7055.4750000000004</v>
      </c>
    </row>
    <row r="1914" spans="1:15">
      <c r="A1914" s="843">
        <v>45667</v>
      </c>
      <c r="B1914" s="844">
        <v>180000</v>
      </c>
      <c r="C1914" s="845">
        <v>288000</v>
      </c>
      <c r="D1914" s="116">
        <v>0</v>
      </c>
      <c r="E1914" s="119">
        <f t="shared" si="60"/>
        <v>288000</v>
      </c>
      <c r="F1914" s="119">
        <f t="shared" si="61"/>
        <v>1.6</v>
      </c>
      <c r="G1914" s="846" t="s">
        <v>19647</v>
      </c>
      <c r="H1914" s="847" t="s">
        <v>19635</v>
      </c>
      <c r="I1914" s="848">
        <v>45663</v>
      </c>
      <c r="J1914" s="116">
        <v>0</v>
      </c>
      <c r="N1914" s="66" t="s">
        <v>19925</v>
      </c>
      <c r="O1914" s="651">
        <v>25896.210999999999</v>
      </c>
    </row>
    <row r="1915" spans="1:15">
      <c r="A1915" s="843">
        <v>45304</v>
      </c>
      <c r="B1915" s="844">
        <v>43200</v>
      </c>
      <c r="C1915" s="845">
        <v>90720</v>
      </c>
      <c r="D1915" s="116">
        <v>0</v>
      </c>
      <c r="E1915" s="119">
        <f t="shared" si="60"/>
        <v>90720</v>
      </c>
      <c r="F1915" s="119">
        <f t="shared" si="61"/>
        <v>2.1</v>
      </c>
      <c r="G1915" s="846" t="s">
        <v>19655</v>
      </c>
      <c r="H1915" s="847" t="s">
        <v>19887</v>
      </c>
      <c r="I1915" s="848">
        <v>45665</v>
      </c>
      <c r="J1915" s="116">
        <v>0</v>
      </c>
      <c r="N1915" s="66" t="s">
        <v>19926</v>
      </c>
      <c r="O1915" s="651">
        <v>45464.358</v>
      </c>
    </row>
    <row r="1916" spans="1:15">
      <c r="A1916" s="843">
        <v>45671</v>
      </c>
      <c r="B1916" s="844">
        <v>57600</v>
      </c>
      <c r="C1916" s="845">
        <v>109440</v>
      </c>
      <c r="D1916" s="116">
        <v>0</v>
      </c>
      <c r="E1916" s="119">
        <f t="shared" si="60"/>
        <v>109440</v>
      </c>
      <c r="F1916" s="119">
        <f t="shared" si="61"/>
        <v>1.9</v>
      </c>
      <c r="G1916" s="846" t="s">
        <v>19833</v>
      </c>
      <c r="H1916" s="847" t="s">
        <v>19886</v>
      </c>
      <c r="I1916" s="848">
        <v>45665</v>
      </c>
      <c r="J1916" s="116">
        <v>0</v>
      </c>
      <c r="N1916" s="66" t="s">
        <v>19927</v>
      </c>
      <c r="O1916" s="651">
        <v>0</v>
      </c>
    </row>
    <row r="1917" spans="1:15">
      <c r="A1917" s="843" t="s">
        <v>19928</v>
      </c>
      <c r="B1917" s="844">
        <v>200000</v>
      </c>
      <c r="C1917" s="845">
        <v>451073</v>
      </c>
      <c r="D1917" s="116">
        <v>0</v>
      </c>
      <c r="E1917" s="119">
        <f t="shared" si="60"/>
        <v>451073</v>
      </c>
      <c r="F1917" s="119">
        <f t="shared" si="61"/>
        <v>2.2553649999999998</v>
      </c>
      <c r="G1917" s="846" t="s">
        <v>19929</v>
      </c>
      <c r="H1917" s="847" t="s">
        <v>19894</v>
      </c>
      <c r="I1917" s="848">
        <v>45668</v>
      </c>
      <c r="J1917" s="116">
        <v>0</v>
      </c>
      <c r="N1917" s="66" t="s">
        <v>19930</v>
      </c>
      <c r="O1917" s="651">
        <v>0</v>
      </c>
    </row>
    <row r="1918" spans="1:15">
      <c r="A1918" s="843">
        <v>45674</v>
      </c>
      <c r="B1918" s="844">
        <v>41000</v>
      </c>
      <c r="C1918" s="845">
        <v>77900</v>
      </c>
      <c r="D1918" s="116">
        <v>0</v>
      </c>
      <c r="E1918" s="119">
        <f t="shared" si="60"/>
        <v>77900</v>
      </c>
      <c r="F1918" s="119">
        <f t="shared" si="61"/>
        <v>1.9</v>
      </c>
      <c r="G1918" s="846" t="s">
        <v>17018</v>
      </c>
      <c r="H1918" s="847" t="s">
        <v>19888</v>
      </c>
      <c r="I1918" s="848">
        <v>45665</v>
      </c>
      <c r="J1918" s="116">
        <v>0</v>
      </c>
      <c r="N1918" s="66" t="s">
        <v>19931</v>
      </c>
      <c r="O1918" s="651">
        <v>116227.162</v>
      </c>
    </row>
    <row r="1919" spans="1:15">
      <c r="A1919" s="843">
        <v>45674</v>
      </c>
      <c r="B1919" s="844">
        <v>20500</v>
      </c>
      <c r="C1919" s="845">
        <v>38950</v>
      </c>
      <c r="D1919" s="116">
        <v>0</v>
      </c>
      <c r="E1919" s="119">
        <f t="shared" si="60"/>
        <v>38950</v>
      </c>
      <c r="F1919" s="119">
        <f t="shared" si="61"/>
        <v>1.9</v>
      </c>
      <c r="G1919" s="846" t="s">
        <v>17018</v>
      </c>
      <c r="H1919" s="847" t="s">
        <v>19892</v>
      </c>
      <c r="I1919" s="848">
        <v>45667</v>
      </c>
      <c r="J1919" s="116">
        <v>0</v>
      </c>
      <c r="N1919" s="66" t="s">
        <v>19932</v>
      </c>
      <c r="O1919" s="651">
        <v>96327.96</v>
      </c>
    </row>
    <row r="1920" spans="1:15">
      <c r="A1920" s="843">
        <v>45674</v>
      </c>
      <c r="B1920" s="844">
        <v>61500</v>
      </c>
      <c r="C1920" s="845">
        <v>116850</v>
      </c>
      <c r="D1920" s="116">
        <v>0</v>
      </c>
      <c r="E1920" s="119">
        <f t="shared" si="60"/>
        <v>116850</v>
      </c>
      <c r="F1920" s="119">
        <f t="shared" si="61"/>
        <v>1.9</v>
      </c>
      <c r="G1920" s="846" t="s">
        <v>17018</v>
      </c>
      <c r="H1920" s="847" t="s">
        <v>19893</v>
      </c>
      <c r="I1920" s="848">
        <v>45667</v>
      </c>
      <c r="J1920" s="116">
        <v>0</v>
      </c>
      <c r="N1920" s="66" t="s">
        <v>19933</v>
      </c>
      <c r="O1920" s="651">
        <v>0</v>
      </c>
    </row>
    <row r="1921" spans="1:15">
      <c r="A1921" s="843">
        <v>45674</v>
      </c>
      <c r="B1921" s="844">
        <v>46872</v>
      </c>
      <c r="C1921" s="845">
        <v>88059.009420000002</v>
      </c>
      <c r="D1921" s="116">
        <f>12234.8*2</f>
        <v>24469.599999999999</v>
      </c>
      <c r="E1921" s="119">
        <f t="shared" si="60"/>
        <v>63589.409420000004</v>
      </c>
      <c r="F1921" s="119">
        <f t="shared" si="61"/>
        <v>1.3566608939238778</v>
      </c>
      <c r="G1921" s="846" t="s">
        <v>17343</v>
      </c>
      <c r="H1921" s="847" t="s">
        <v>19909</v>
      </c>
      <c r="I1921" s="848">
        <v>45674</v>
      </c>
      <c r="J1921" s="116">
        <f>+(8745.368*2)*13%</f>
        <v>2273.7956800000002</v>
      </c>
      <c r="N1921" s="66" t="s">
        <v>19934</v>
      </c>
      <c r="O1921" s="651">
        <v>0</v>
      </c>
    </row>
    <row r="1922" spans="1:15">
      <c r="A1922" s="843">
        <v>45679</v>
      </c>
      <c r="B1922" s="844">
        <v>275000</v>
      </c>
      <c r="C1922" s="845">
        <v>398750</v>
      </c>
      <c r="D1922" s="116">
        <v>0</v>
      </c>
      <c r="E1922" s="119">
        <f t="shared" si="60"/>
        <v>398750</v>
      </c>
      <c r="F1922" s="119">
        <f t="shared" si="61"/>
        <v>1.45</v>
      </c>
      <c r="G1922" s="846" t="s">
        <v>19652</v>
      </c>
      <c r="H1922" s="847" t="s">
        <v>19895</v>
      </c>
      <c r="I1922" s="848">
        <v>45672</v>
      </c>
      <c r="J1922" s="116">
        <v>0</v>
      </c>
      <c r="N1922" s="66" t="s">
        <v>19935</v>
      </c>
      <c r="O1922" s="651">
        <v>36150.839999999997</v>
      </c>
    </row>
    <row r="1923" spans="1:15">
      <c r="A1923" s="843">
        <v>45679</v>
      </c>
      <c r="B1923" s="844">
        <v>20500</v>
      </c>
      <c r="C1923" s="845">
        <v>92348.056710000004</v>
      </c>
      <c r="D1923" s="116">
        <v>2578.8200000000002</v>
      </c>
      <c r="E1923" s="119">
        <f t="shared" si="60"/>
        <v>89769.236709999997</v>
      </c>
      <c r="F1923" s="119">
        <f t="shared" si="61"/>
        <v>4.3789871565853655</v>
      </c>
      <c r="G1923" s="846" t="s">
        <v>19653</v>
      </c>
      <c r="H1923" s="847" t="s">
        <v>19891</v>
      </c>
      <c r="I1923" s="848">
        <v>45665</v>
      </c>
      <c r="J1923" s="116">
        <v>0</v>
      </c>
      <c r="N1923" s="66" t="s">
        <v>19936</v>
      </c>
      <c r="O1923" s="651">
        <v>0</v>
      </c>
    </row>
    <row r="1924" spans="1:15">
      <c r="A1924" s="843">
        <v>45679</v>
      </c>
      <c r="B1924" s="844">
        <v>19700</v>
      </c>
      <c r="C1924" s="845">
        <v>86763.118977000006</v>
      </c>
      <c r="D1924" s="116">
        <v>2578.8200000000002</v>
      </c>
      <c r="E1924" s="119">
        <f t="shared" si="60"/>
        <v>84184.298976999999</v>
      </c>
      <c r="F1924" s="119">
        <f t="shared" si="61"/>
        <v>4.2733146688832484</v>
      </c>
      <c r="G1924" s="846" t="s">
        <v>19653</v>
      </c>
      <c r="H1924" s="847" t="s">
        <v>19890</v>
      </c>
      <c r="I1924" s="848">
        <v>45665</v>
      </c>
      <c r="J1924" s="116">
        <v>0</v>
      </c>
      <c r="N1924" s="66" t="s">
        <v>19937</v>
      </c>
      <c r="O1924" s="651">
        <v>11986.81</v>
      </c>
    </row>
    <row r="1925" spans="1:15">
      <c r="A1925" s="843">
        <v>45680</v>
      </c>
      <c r="B1925" s="844">
        <v>40300</v>
      </c>
      <c r="C1925" s="845">
        <v>95587.483887499999</v>
      </c>
      <c r="D1925" s="116">
        <v>12048.41</v>
      </c>
      <c r="E1925" s="119">
        <f t="shared" si="60"/>
        <v>83539.073887499995</v>
      </c>
      <c r="F1925" s="119">
        <f t="shared" si="61"/>
        <v>2.0729298731389578</v>
      </c>
      <c r="G1925" s="846" t="s">
        <v>19659</v>
      </c>
      <c r="H1925" s="847" t="s">
        <v>19900</v>
      </c>
      <c r="I1925" s="848">
        <v>45672</v>
      </c>
      <c r="J1925" s="116">
        <f>10064.6*13%</f>
        <v>1308.3980000000001</v>
      </c>
      <c r="N1925" s="66" t="s">
        <v>19938</v>
      </c>
      <c r="O1925" s="651">
        <v>0</v>
      </c>
    </row>
    <row r="1926" spans="1:15">
      <c r="A1926" s="843">
        <v>45681</v>
      </c>
      <c r="B1926" s="844">
        <v>40300</v>
      </c>
      <c r="C1926" s="845">
        <v>111398.76117500001</v>
      </c>
      <c r="D1926" s="116">
        <v>12529.41</v>
      </c>
      <c r="E1926" s="119">
        <f t="shared" si="60"/>
        <v>98869.351175000003</v>
      </c>
      <c r="F1926" s="119">
        <f t="shared" si="61"/>
        <v>2.4533337760545906</v>
      </c>
      <c r="G1926" s="846" t="s">
        <v>19659</v>
      </c>
      <c r="H1926" s="847" t="s">
        <v>19912</v>
      </c>
      <c r="I1926" s="848">
        <v>45677</v>
      </c>
      <c r="J1926" s="116">
        <f>10062.6*13%</f>
        <v>1308.1380000000001</v>
      </c>
      <c r="N1926" s="66" t="s">
        <v>19939</v>
      </c>
      <c r="O1926" s="651">
        <v>29014.59</v>
      </c>
    </row>
    <row r="1927" spans="1:15">
      <c r="A1927" s="843">
        <v>45681</v>
      </c>
      <c r="B1927" s="844">
        <v>86040</v>
      </c>
      <c r="C1927" s="845">
        <v>187089.80711999998</v>
      </c>
      <c r="D1927" s="116">
        <v>29884.6</v>
      </c>
      <c r="E1927" s="119">
        <f t="shared" si="60"/>
        <v>157205.20711999998</v>
      </c>
      <c r="F1927" s="119">
        <f t="shared" si="61"/>
        <v>1.82711770246397</v>
      </c>
      <c r="G1927" s="846" t="s">
        <v>19651</v>
      </c>
      <c r="H1927" s="847" t="s">
        <v>19899</v>
      </c>
      <c r="I1927" s="848">
        <v>45672</v>
      </c>
      <c r="J1927" s="116">
        <f>23400*20%</f>
        <v>4680</v>
      </c>
      <c r="N1927" s="66" t="s">
        <v>19940</v>
      </c>
      <c r="O1927" s="651">
        <v>0</v>
      </c>
    </row>
    <row r="1928" spans="1:15">
      <c r="A1928" s="843">
        <v>45681</v>
      </c>
      <c r="B1928" s="844">
        <v>76800</v>
      </c>
      <c r="C1928" s="845">
        <v>157056</v>
      </c>
      <c r="D1928" s="116">
        <v>0</v>
      </c>
      <c r="E1928" s="119">
        <f t="shared" si="60"/>
        <v>157056</v>
      </c>
      <c r="F1928" s="119">
        <f t="shared" si="61"/>
        <v>2.0449999999999999</v>
      </c>
      <c r="G1928" s="846" t="s">
        <v>19656</v>
      </c>
      <c r="H1928" s="847" t="s">
        <v>19897</v>
      </c>
      <c r="I1928" s="848">
        <v>45672</v>
      </c>
      <c r="J1928" s="116">
        <v>0</v>
      </c>
      <c r="N1928" s="66" t="s">
        <v>19941</v>
      </c>
      <c r="O1928" s="651">
        <v>50077.9</v>
      </c>
    </row>
    <row r="1929" spans="1:15">
      <c r="A1929" s="843">
        <v>45685</v>
      </c>
      <c r="B1929" s="844">
        <v>25702</v>
      </c>
      <c r="C1929" s="845">
        <v>94457.560104000004</v>
      </c>
      <c r="D1929" s="116">
        <v>15964.754999999999</v>
      </c>
      <c r="E1929" s="303">
        <f t="shared" si="60"/>
        <v>78492.805103999999</v>
      </c>
      <c r="F1929" s="303">
        <f t="shared" si="61"/>
        <v>3.0539570890981245</v>
      </c>
      <c r="G1929" s="846" t="s">
        <v>17305</v>
      </c>
      <c r="H1929" s="847" t="s">
        <v>19898</v>
      </c>
      <c r="I1929" s="848">
        <v>45672</v>
      </c>
      <c r="J1929" s="116">
        <f>12361.4*13%</f>
        <v>1606.982</v>
      </c>
      <c r="N1929" s="66" t="s">
        <v>19942</v>
      </c>
      <c r="O1929" s="651">
        <v>6916.13</v>
      </c>
    </row>
    <row r="1930" spans="1:15">
      <c r="A1930" s="843">
        <v>45685</v>
      </c>
      <c r="B1930" s="844">
        <v>20750</v>
      </c>
      <c r="C1930" s="845">
        <v>45235</v>
      </c>
      <c r="D1930" s="116">
        <v>0</v>
      </c>
      <c r="E1930" s="119">
        <f t="shared" si="60"/>
        <v>45235</v>
      </c>
      <c r="F1930" s="119">
        <f t="shared" si="61"/>
        <v>2.1800000000000002</v>
      </c>
      <c r="G1930" s="846" t="s">
        <v>17018</v>
      </c>
      <c r="H1930" s="847" t="s">
        <v>19896</v>
      </c>
      <c r="I1930" s="848">
        <v>45672</v>
      </c>
      <c r="J1930" s="116">
        <v>0</v>
      </c>
      <c r="N1930" s="66" t="s">
        <v>19943</v>
      </c>
      <c r="O1930" s="651">
        <v>7056.13</v>
      </c>
    </row>
    <row r="1931" spans="1:15">
      <c r="A1931" s="843">
        <v>45685</v>
      </c>
      <c r="B1931" s="844">
        <v>284786</v>
      </c>
      <c r="C1931" s="845">
        <v>567467.6</v>
      </c>
      <c r="D1931" s="116">
        <v>0</v>
      </c>
      <c r="E1931" s="119">
        <f t="shared" si="60"/>
        <v>567467.6</v>
      </c>
      <c r="F1931" s="119">
        <f t="shared" si="61"/>
        <v>1.9926105918127996</v>
      </c>
      <c r="G1931" s="846" t="s">
        <v>19656</v>
      </c>
      <c r="H1931" s="847" t="s">
        <v>19911</v>
      </c>
      <c r="I1931" s="848">
        <v>45673</v>
      </c>
      <c r="J1931" s="116">
        <v>0</v>
      </c>
      <c r="N1931" s="66" t="s">
        <v>19944</v>
      </c>
      <c r="O1931" s="651">
        <v>7056.13</v>
      </c>
    </row>
    <row r="1932" spans="1:15">
      <c r="A1932" s="843">
        <v>45686</v>
      </c>
      <c r="B1932" s="844">
        <v>84000</v>
      </c>
      <c r="C1932" s="845">
        <v>140990</v>
      </c>
      <c r="D1932" s="116">
        <v>0</v>
      </c>
      <c r="E1932" s="119">
        <f t="shared" si="60"/>
        <v>140990</v>
      </c>
      <c r="F1932" s="119">
        <f t="shared" si="61"/>
        <v>1.678452380952381</v>
      </c>
      <c r="G1932" s="846" t="s">
        <v>19655</v>
      </c>
      <c r="H1932" s="847" t="s">
        <v>19905</v>
      </c>
      <c r="I1932" s="848">
        <v>45672</v>
      </c>
      <c r="J1932" s="116">
        <v>0</v>
      </c>
      <c r="N1932" s="66" t="s">
        <v>19945</v>
      </c>
      <c r="O1932" s="651">
        <v>13372.9</v>
      </c>
    </row>
    <row r="1933" spans="1:15">
      <c r="A1933" s="843">
        <v>45687</v>
      </c>
      <c r="B1933" s="844">
        <v>460000</v>
      </c>
      <c r="C1933" s="845">
        <v>772500</v>
      </c>
      <c r="D1933" s="116">
        <v>0</v>
      </c>
      <c r="E1933" s="119">
        <f t="shared" si="60"/>
        <v>772500</v>
      </c>
      <c r="F1933" s="119">
        <f t="shared" si="61"/>
        <v>1.6793478260869565</v>
      </c>
      <c r="G1933" s="846" t="s">
        <v>19833</v>
      </c>
      <c r="H1933" s="847" t="s">
        <v>19907</v>
      </c>
      <c r="I1933" s="848">
        <v>45672</v>
      </c>
      <c r="J1933" s="116">
        <v>0</v>
      </c>
      <c r="N1933" s="66" t="s">
        <v>19946</v>
      </c>
      <c r="O1933" s="651">
        <v>0</v>
      </c>
    </row>
    <row r="1934" spans="1:15">
      <c r="A1934" s="843">
        <v>45687</v>
      </c>
      <c r="B1934" s="844">
        <v>210096</v>
      </c>
      <c r="C1934" s="845">
        <v>469635.24005999998</v>
      </c>
      <c r="D1934" s="116">
        <v>62089.62</v>
      </c>
      <c r="E1934" s="119">
        <f t="shared" si="60"/>
        <v>407545.62005999999</v>
      </c>
      <c r="F1934" s="119">
        <f t="shared" si="61"/>
        <v>1.9398066600982407</v>
      </c>
      <c r="G1934" s="846" t="s">
        <v>19662</v>
      </c>
      <c r="H1934" s="847" t="s">
        <v>19903</v>
      </c>
      <c r="I1934" s="848">
        <v>45672</v>
      </c>
      <c r="J1934" s="116">
        <f>47201.32*20%</f>
        <v>9440.264000000001</v>
      </c>
      <c r="N1934" s="66" t="s">
        <v>19947</v>
      </c>
      <c r="O1934" s="651">
        <v>0</v>
      </c>
    </row>
    <row r="1935" spans="1:15">
      <c r="A1935" s="843">
        <v>45688</v>
      </c>
      <c r="B1935" s="844">
        <v>157500</v>
      </c>
      <c r="C1935" s="845">
        <v>252000</v>
      </c>
      <c r="D1935" s="116">
        <v>0</v>
      </c>
      <c r="E1935" s="119">
        <f t="shared" si="60"/>
        <v>252000</v>
      </c>
      <c r="F1935" s="119">
        <f t="shared" si="61"/>
        <v>1.6</v>
      </c>
      <c r="G1935" s="846" t="s">
        <v>19647</v>
      </c>
      <c r="H1935" s="847" t="s">
        <v>19910</v>
      </c>
      <c r="I1935" s="848">
        <v>45673</v>
      </c>
      <c r="J1935" s="116">
        <v>0</v>
      </c>
      <c r="N1935" s="66" t="s">
        <v>19948</v>
      </c>
      <c r="O1935" s="651">
        <v>0</v>
      </c>
    </row>
    <row r="1936" spans="1:15">
      <c r="A1936" s="843">
        <v>45688</v>
      </c>
      <c r="B1936" s="844">
        <v>312000</v>
      </c>
      <c r="C1936" s="845">
        <v>483600</v>
      </c>
      <c r="D1936" s="116">
        <v>0</v>
      </c>
      <c r="E1936" s="119">
        <f t="shared" si="60"/>
        <v>483600</v>
      </c>
      <c r="F1936" s="119">
        <f t="shared" si="61"/>
        <v>1.55</v>
      </c>
      <c r="G1936" s="846" t="s">
        <v>19833</v>
      </c>
      <c r="H1936" s="847" t="s">
        <v>19908</v>
      </c>
      <c r="I1936" s="848">
        <v>45672</v>
      </c>
      <c r="J1936" s="116">
        <v>0</v>
      </c>
      <c r="N1936" s="66" t="s">
        <v>19949</v>
      </c>
      <c r="O1936" s="651">
        <v>9245.5</v>
      </c>
    </row>
    <row r="1937" spans="1:15">
      <c r="A1937" s="843">
        <v>45688</v>
      </c>
      <c r="B1937" s="844">
        <v>23112</v>
      </c>
      <c r="C1937" s="845">
        <v>27908.279627999997</v>
      </c>
      <c r="D1937" s="119">
        <v>12209.25</v>
      </c>
      <c r="E1937" s="119">
        <f t="shared" si="60"/>
        <v>15699.029627999997</v>
      </c>
      <c r="F1937" s="119">
        <f t="shared" si="61"/>
        <v>0.67925881048805803</v>
      </c>
      <c r="G1937" s="846" t="s">
        <v>17343</v>
      </c>
      <c r="H1937" s="847" t="s">
        <v>19914</v>
      </c>
      <c r="I1937" s="848">
        <v>45685</v>
      </c>
      <c r="J1937" s="119">
        <f>9412.83*13%</f>
        <v>1223.6679000000001</v>
      </c>
      <c r="N1937" s="66" t="s">
        <v>19950</v>
      </c>
      <c r="O1937" s="651">
        <v>31569.18</v>
      </c>
    </row>
    <row r="1938" spans="1:15">
      <c r="A1938" s="843">
        <v>45691</v>
      </c>
      <c r="B1938" s="844">
        <v>43608</v>
      </c>
      <c r="C1938" s="845">
        <v>90476.4</v>
      </c>
      <c r="D1938" s="116">
        <v>0</v>
      </c>
      <c r="E1938" s="119">
        <f t="shared" si="60"/>
        <v>90476.4</v>
      </c>
      <c r="F1938" s="119">
        <f t="shared" si="61"/>
        <v>2.0747660979636762</v>
      </c>
      <c r="G1938" s="846" t="s">
        <v>19655</v>
      </c>
      <c r="H1938" s="847" t="s">
        <v>19904</v>
      </c>
      <c r="I1938" s="848">
        <v>45672</v>
      </c>
      <c r="J1938" s="116">
        <v>0</v>
      </c>
      <c r="N1938" s="66" t="s">
        <v>19951</v>
      </c>
      <c r="O1938" s="651">
        <v>0</v>
      </c>
    </row>
    <row r="1939" spans="1:15">
      <c r="A1939" s="849">
        <v>45695</v>
      </c>
      <c r="B1939" s="850">
        <v>45640</v>
      </c>
      <c r="C1939" s="851">
        <f>22185.64*3.3195</f>
        <v>73645.231979999997</v>
      </c>
      <c r="D1939" s="239">
        <v>24036.12</v>
      </c>
      <c r="E1939" s="241">
        <f t="shared" si="60"/>
        <v>49609.111980000001</v>
      </c>
      <c r="F1939" s="241">
        <f t="shared" si="61"/>
        <v>1.0869656437335671</v>
      </c>
      <c r="G1939" s="857" t="s">
        <v>17343</v>
      </c>
      <c r="H1939" s="858" t="s">
        <v>19915</v>
      </c>
      <c r="I1939" s="859">
        <v>45686</v>
      </c>
      <c r="J1939" s="239">
        <f>13%*17046.84</f>
        <v>2216.0891999999999</v>
      </c>
      <c r="N1939" s="66" t="s">
        <v>19952</v>
      </c>
      <c r="O1939" s="651">
        <v>0</v>
      </c>
    </row>
    <row r="1940" spans="1:15">
      <c r="A1940" s="849">
        <v>45695</v>
      </c>
      <c r="B1940" s="850">
        <v>24000</v>
      </c>
      <c r="C1940" s="851">
        <f>9840.32*3.317</f>
        <v>32640.34144</v>
      </c>
      <c r="D1940" s="239">
        <v>12018.06</v>
      </c>
      <c r="E1940" s="241">
        <f t="shared" si="60"/>
        <v>20622.281439999999</v>
      </c>
      <c r="F1940" s="241">
        <f t="shared" si="61"/>
        <v>0.85926172666666667</v>
      </c>
      <c r="G1940" s="857" t="s">
        <v>17343</v>
      </c>
      <c r="H1940" s="858" t="s">
        <v>19916</v>
      </c>
      <c r="I1940" s="859">
        <v>45686</v>
      </c>
      <c r="J1940" s="239">
        <f>13%*8523.42</f>
        <v>1108.0445999999999</v>
      </c>
      <c r="N1940" s="66" t="s">
        <v>19953</v>
      </c>
      <c r="O1940" s="651">
        <v>0</v>
      </c>
    </row>
    <row r="1941" spans="1:15">
      <c r="A1941" s="843">
        <v>45695</v>
      </c>
      <c r="B1941" s="844">
        <v>84000</v>
      </c>
      <c r="C1941" s="845">
        <v>139440</v>
      </c>
      <c r="D1941" s="116">
        <v>0</v>
      </c>
      <c r="E1941" s="119">
        <f t="shared" si="60"/>
        <v>139440</v>
      </c>
      <c r="F1941" s="119">
        <f t="shared" si="61"/>
        <v>1.66</v>
      </c>
      <c r="G1941" s="846" t="s">
        <v>19647</v>
      </c>
      <c r="H1941" s="847" t="s">
        <v>19889</v>
      </c>
      <c r="I1941" s="848">
        <v>45665</v>
      </c>
      <c r="J1941" s="116">
        <v>0</v>
      </c>
      <c r="N1941" s="66" t="s">
        <v>19954</v>
      </c>
      <c r="O1941" s="651">
        <v>18179.43</v>
      </c>
    </row>
    <row r="1942" spans="1:15">
      <c r="A1942" s="843">
        <v>45698</v>
      </c>
      <c r="B1942" s="844">
        <v>231728</v>
      </c>
      <c r="C1942" s="845">
        <v>384686.6</v>
      </c>
      <c r="D1942" s="116">
        <v>0</v>
      </c>
      <c r="E1942" s="119">
        <f t="shared" si="60"/>
        <v>384686.6</v>
      </c>
      <c r="F1942" s="119">
        <f t="shared" si="61"/>
        <v>1.6600781951253192</v>
      </c>
      <c r="G1942" s="846" t="s">
        <v>19656</v>
      </c>
      <c r="H1942" s="847" t="s">
        <v>19919</v>
      </c>
      <c r="I1942" s="848">
        <v>45693</v>
      </c>
      <c r="J1942" s="116">
        <v>0</v>
      </c>
      <c r="N1942" s="66" t="s">
        <v>19955</v>
      </c>
      <c r="O1942" s="651">
        <v>0</v>
      </c>
    </row>
    <row r="1943" spans="1:15">
      <c r="A1943" s="843">
        <v>45700</v>
      </c>
      <c r="B1943" s="844">
        <v>200006</v>
      </c>
      <c r="C1943" s="845">
        <v>394012.61</v>
      </c>
      <c r="D1943" s="116">
        <v>0</v>
      </c>
      <c r="E1943" s="119">
        <f t="shared" si="60"/>
        <v>394012.61</v>
      </c>
      <c r="F1943" s="119">
        <f t="shared" si="61"/>
        <v>1.9700039498815034</v>
      </c>
      <c r="G1943" s="846" t="s">
        <v>19878</v>
      </c>
      <c r="H1943" s="847" t="s">
        <v>19923</v>
      </c>
      <c r="I1943" s="848">
        <v>45698</v>
      </c>
      <c r="J1943" s="116">
        <v>0</v>
      </c>
      <c r="N1943" s="66" t="s">
        <v>19956</v>
      </c>
      <c r="O1943" s="651">
        <v>0</v>
      </c>
    </row>
    <row r="1944" spans="1:15">
      <c r="A1944" s="843">
        <v>45700</v>
      </c>
      <c r="B1944" s="844">
        <v>8452</v>
      </c>
      <c r="C1944" s="845">
        <v>29927.599999999999</v>
      </c>
      <c r="D1944" s="116">
        <v>0</v>
      </c>
      <c r="E1944" s="119">
        <f t="shared" si="60"/>
        <v>29927.599999999999</v>
      </c>
      <c r="F1944" s="119">
        <f t="shared" si="61"/>
        <v>3.5408897302413629</v>
      </c>
      <c r="G1944" s="846" t="s">
        <v>17018</v>
      </c>
      <c r="H1944" s="847" t="s">
        <v>19918</v>
      </c>
      <c r="I1944" s="848">
        <v>45688</v>
      </c>
      <c r="J1944" s="116">
        <v>0</v>
      </c>
      <c r="N1944" s="66" t="s">
        <v>19957</v>
      </c>
      <c r="O1944" s="651">
        <v>0</v>
      </c>
    </row>
    <row r="1945" spans="1:15">
      <c r="A1945" s="849">
        <v>45700</v>
      </c>
      <c r="B1945" s="850">
        <v>112500</v>
      </c>
      <c r="C1945" s="851">
        <f>62225*3.3165</f>
        <v>206369.21249999999</v>
      </c>
      <c r="D1945" s="239">
        <v>28660.95</v>
      </c>
      <c r="E1945" s="241">
        <f t="shared" si="60"/>
        <v>177708.26249999998</v>
      </c>
      <c r="F1945" s="241">
        <f t="shared" si="61"/>
        <v>1.5796289999999999</v>
      </c>
      <c r="G1945" s="857" t="s">
        <v>19857</v>
      </c>
      <c r="H1945" s="858" t="s">
        <v>19902</v>
      </c>
      <c r="I1945" s="859">
        <v>45672</v>
      </c>
      <c r="J1945" s="239">
        <f>20%*21125</f>
        <v>4225</v>
      </c>
      <c r="N1945" s="66" t="s">
        <v>19958</v>
      </c>
      <c r="O1945" s="651">
        <v>7292.43</v>
      </c>
    </row>
    <row r="1946" spans="1:15">
      <c r="A1946" s="849">
        <v>45701</v>
      </c>
      <c r="B1946" s="850">
        <v>12200</v>
      </c>
      <c r="C1946" s="851">
        <f>21194*2.24005</f>
        <v>47475.619700000003</v>
      </c>
      <c r="D1946" s="239">
        <v>7055.4750000000004</v>
      </c>
      <c r="E1946" s="241">
        <f t="shared" si="60"/>
        <v>40420.144700000004</v>
      </c>
      <c r="F1946" s="241">
        <f t="shared" si="61"/>
        <v>3.3131266147540988</v>
      </c>
      <c r="G1946" s="857" t="s">
        <v>19857</v>
      </c>
      <c r="H1946" s="858" t="s">
        <v>19924</v>
      </c>
      <c r="I1946" s="859">
        <v>45695</v>
      </c>
      <c r="J1946" s="239">
        <f>20%*6093.75</f>
        <v>1218.75</v>
      </c>
      <c r="N1946" s="66" t="s">
        <v>19959</v>
      </c>
      <c r="O1946" s="651">
        <v>19038.63</v>
      </c>
    </row>
    <row r="1947" spans="1:15">
      <c r="A1947" s="849">
        <v>45702</v>
      </c>
      <c r="B1947" s="850">
        <v>69264</v>
      </c>
      <c r="C1947" s="851">
        <f>29556.52*3.3246</f>
        <v>98263.606392000002</v>
      </c>
      <c r="D1947" s="239">
        <v>36150.839999999997</v>
      </c>
      <c r="E1947" s="241">
        <f t="shared" si="60"/>
        <v>62112.766392000005</v>
      </c>
      <c r="F1947" s="241">
        <f t="shared" si="61"/>
        <v>0.89675396153846165</v>
      </c>
      <c r="G1947" s="857" t="s">
        <v>17343</v>
      </c>
      <c r="H1947" s="858" t="s">
        <v>19935</v>
      </c>
      <c r="I1947" s="859">
        <v>45700</v>
      </c>
      <c r="J1947" s="239">
        <f>13%*25638.822</f>
        <v>3333.0468599999999</v>
      </c>
      <c r="N1947" s="66" t="s">
        <v>19960</v>
      </c>
      <c r="O1947" s="651">
        <v>26315.781999999999</v>
      </c>
    </row>
    <row r="1948" spans="1:15">
      <c r="A1948" s="843">
        <v>45703</v>
      </c>
      <c r="B1948" s="844">
        <v>91000</v>
      </c>
      <c r="C1948" s="845">
        <f>121005*3.19655</f>
        <v>386798.53274999995</v>
      </c>
      <c r="D1948" s="116">
        <v>0</v>
      </c>
      <c r="E1948" s="119">
        <f t="shared" si="60"/>
        <v>386798.53274999995</v>
      </c>
      <c r="F1948" s="119">
        <f t="shared" si="61"/>
        <v>4.2505333269230761</v>
      </c>
      <c r="G1948" s="846" t="s">
        <v>19961</v>
      </c>
      <c r="H1948" s="847" t="s">
        <v>19922</v>
      </c>
      <c r="I1948" s="848">
        <v>45698</v>
      </c>
      <c r="J1948" s="116">
        <v>0</v>
      </c>
      <c r="N1948" s="66" t="s">
        <v>19962</v>
      </c>
      <c r="O1948" s="651">
        <v>26315.781999999999</v>
      </c>
    </row>
    <row r="1949" spans="1:15">
      <c r="A1949" s="849" t="s">
        <v>19963</v>
      </c>
      <c r="B1949" s="850">
        <v>110000</v>
      </c>
      <c r="C1949" s="851">
        <f>53900*3.3252</f>
        <v>179228.28</v>
      </c>
      <c r="D1949" s="239">
        <v>25896.210999999999</v>
      </c>
      <c r="E1949" s="241">
        <f t="shared" si="60"/>
        <v>153332.06899999999</v>
      </c>
      <c r="F1949" s="241">
        <f t="shared" si="61"/>
        <v>1.3939279</v>
      </c>
      <c r="G1949" s="857" t="s">
        <v>19964</v>
      </c>
      <c r="H1949" s="858" t="s">
        <v>19925</v>
      </c>
      <c r="I1949" s="859">
        <v>45698</v>
      </c>
      <c r="J1949" s="239">
        <f>20%*17975.52</f>
        <v>3595.1040000000003</v>
      </c>
      <c r="N1949" s="66" t="s">
        <v>19965</v>
      </c>
      <c r="O1949" s="651">
        <v>25780.281999999999</v>
      </c>
    </row>
    <row r="1950" spans="1:15">
      <c r="A1950" s="852">
        <v>45706</v>
      </c>
      <c r="B1950" s="853">
        <v>11280</v>
      </c>
      <c r="C1950" s="846">
        <f>2783.64*3.3267</f>
        <v>9260.3351880000009</v>
      </c>
      <c r="D1950" s="119">
        <v>0</v>
      </c>
      <c r="E1950" s="119">
        <f t="shared" si="60"/>
        <v>9260.3351880000009</v>
      </c>
      <c r="F1950" s="119">
        <f t="shared" si="61"/>
        <v>0.82095170106382986</v>
      </c>
      <c r="G1950" s="846" t="s">
        <v>17343</v>
      </c>
      <c r="H1950" s="860" t="s">
        <v>19917</v>
      </c>
      <c r="I1950" s="861">
        <v>45685</v>
      </c>
      <c r="J1950" s="119">
        <v>0</v>
      </c>
      <c r="N1950" s="66" t="s">
        <v>19966</v>
      </c>
      <c r="O1950" s="651">
        <v>11663.125</v>
      </c>
    </row>
    <row r="1951" spans="1:15">
      <c r="A1951" s="843">
        <v>45706</v>
      </c>
      <c r="B1951" s="844">
        <v>268800</v>
      </c>
      <c r="C1951" s="845">
        <f>180096*3.17685</f>
        <v>572137.97759999998</v>
      </c>
      <c r="D1951" s="116">
        <v>0</v>
      </c>
      <c r="E1951" s="119">
        <f t="shared" si="60"/>
        <v>572137.97759999998</v>
      </c>
      <c r="F1951" s="119">
        <f t="shared" si="61"/>
        <v>2.1284895000000001</v>
      </c>
      <c r="G1951" s="846" t="s">
        <v>19961</v>
      </c>
      <c r="H1951" s="847" t="s">
        <v>19921</v>
      </c>
      <c r="I1951" s="848">
        <v>45698</v>
      </c>
      <c r="J1951" s="116">
        <v>0</v>
      </c>
      <c r="N1951" s="66" t="s">
        <v>19967</v>
      </c>
      <c r="O1951" s="651">
        <v>7257.61</v>
      </c>
    </row>
    <row r="1952" spans="1:15">
      <c r="A1952" s="849">
        <v>45707</v>
      </c>
      <c r="B1952" s="850">
        <v>134400</v>
      </c>
      <c r="C1952" s="851">
        <f>89084*3.3252</f>
        <v>296222.11680000002</v>
      </c>
      <c r="D1952" s="239">
        <v>43435.05</v>
      </c>
      <c r="E1952" s="241">
        <f t="shared" si="60"/>
        <v>252787.06680000003</v>
      </c>
      <c r="F1952" s="241">
        <f t="shared" si="61"/>
        <v>1.8808561517857145</v>
      </c>
      <c r="G1952" s="857" t="s">
        <v>19857</v>
      </c>
      <c r="H1952" s="858" t="s">
        <v>19901</v>
      </c>
      <c r="I1952" s="859">
        <v>45672</v>
      </c>
      <c r="J1952" s="239">
        <f>20%*31858.68</f>
        <v>6371.7360000000008</v>
      </c>
      <c r="N1952" s="66" t="s">
        <v>19968</v>
      </c>
      <c r="O1952" s="651">
        <v>94407.06</v>
      </c>
    </row>
    <row r="1953" spans="1:15">
      <c r="A1953" s="843">
        <v>45707</v>
      </c>
      <c r="B1953" s="844">
        <v>55000</v>
      </c>
      <c r="C1953" s="845">
        <v>77550</v>
      </c>
      <c r="D1953" s="116">
        <v>0</v>
      </c>
      <c r="E1953" s="303">
        <f t="shared" si="60"/>
        <v>77550</v>
      </c>
      <c r="F1953" s="303">
        <f t="shared" si="61"/>
        <v>1.41</v>
      </c>
      <c r="G1953" s="846" t="s">
        <v>19652</v>
      </c>
      <c r="H1953" s="847" t="s">
        <v>19930</v>
      </c>
      <c r="I1953" s="848">
        <v>45698</v>
      </c>
      <c r="J1953" s="116">
        <v>0</v>
      </c>
      <c r="N1953" s="66" t="s">
        <v>19969</v>
      </c>
      <c r="O1953" s="651">
        <v>92902.66</v>
      </c>
    </row>
    <row r="1954" spans="1:15">
      <c r="A1954" s="843">
        <v>45707</v>
      </c>
      <c r="B1954" s="844">
        <v>40000</v>
      </c>
      <c r="C1954" s="845">
        <f>64800*3.19265</f>
        <v>206883.72</v>
      </c>
      <c r="D1954" s="116">
        <v>0</v>
      </c>
      <c r="E1954" s="119">
        <f t="shared" si="60"/>
        <v>206883.72</v>
      </c>
      <c r="F1954" s="119">
        <f t="shared" si="61"/>
        <v>5.1720930000000003</v>
      </c>
      <c r="G1954" s="846" t="s">
        <v>19875</v>
      </c>
      <c r="H1954" s="847" t="s">
        <v>19920</v>
      </c>
      <c r="I1954" s="848">
        <v>45694</v>
      </c>
      <c r="J1954" s="116">
        <v>0</v>
      </c>
      <c r="N1954" s="66" t="s">
        <v>19970</v>
      </c>
      <c r="O1954" s="651">
        <v>0</v>
      </c>
    </row>
    <row r="1955" spans="1:15">
      <c r="A1955" s="843">
        <v>45708</v>
      </c>
      <c r="B1955" s="844">
        <v>275000</v>
      </c>
      <c r="C1955" s="845">
        <v>398750</v>
      </c>
      <c r="D1955" s="116">
        <v>0</v>
      </c>
      <c r="E1955" s="119">
        <f t="shared" si="60"/>
        <v>398750</v>
      </c>
      <c r="F1955" s="119">
        <f t="shared" si="61"/>
        <v>1.45</v>
      </c>
      <c r="G1955" s="846" t="s">
        <v>19652</v>
      </c>
      <c r="H1955" s="847" t="s">
        <v>19936</v>
      </c>
      <c r="I1955" s="848">
        <v>45701</v>
      </c>
      <c r="J1955" s="116">
        <v>0</v>
      </c>
      <c r="N1955" s="66" t="s">
        <v>19971</v>
      </c>
      <c r="O1955" s="651">
        <v>0</v>
      </c>
    </row>
    <row r="1956" spans="1:15">
      <c r="A1956" s="854">
        <v>45708</v>
      </c>
      <c r="B1956" s="855">
        <v>110040</v>
      </c>
      <c r="C1956" s="856">
        <f>74699.1*3.3235</f>
        <v>248262.45885000002</v>
      </c>
      <c r="D1956" s="198">
        <v>29014.59</v>
      </c>
      <c r="E1956" s="198">
        <f t="shared" si="60"/>
        <v>219247.86885000003</v>
      </c>
      <c r="F1956" s="198">
        <f t="shared" si="61"/>
        <v>1.9924379212104693</v>
      </c>
      <c r="G1956" s="856" t="s">
        <v>19852</v>
      </c>
      <c r="H1956" s="862" t="s">
        <v>19939</v>
      </c>
      <c r="I1956" s="863">
        <v>45702</v>
      </c>
      <c r="J1956" s="198">
        <f>20%*25936</f>
        <v>5187.2000000000007</v>
      </c>
      <c r="N1956" s="66" t="s">
        <v>19972</v>
      </c>
      <c r="O1956" s="651">
        <v>0</v>
      </c>
    </row>
    <row r="1957" spans="1:15">
      <c r="A1957" s="849">
        <v>45708</v>
      </c>
      <c r="B1957" s="850">
        <v>60800</v>
      </c>
      <c r="C1957" s="851">
        <f>44410*3.1757</f>
        <v>141032.837</v>
      </c>
      <c r="D1957" s="239">
        <v>22144.13</v>
      </c>
      <c r="E1957" s="241">
        <f t="shared" si="60"/>
        <v>118888.70699999999</v>
      </c>
      <c r="F1957" s="241">
        <f t="shared" si="61"/>
        <v>1.9554063651315789</v>
      </c>
      <c r="G1957" s="857" t="s">
        <v>19863</v>
      </c>
      <c r="H1957" s="858" t="s">
        <v>19913</v>
      </c>
      <c r="I1957" s="859">
        <v>45685</v>
      </c>
      <c r="J1957" s="239">
        <f>20%*19776</f>
        <v>3955.2000000000003</v>
      </c>
      <c r="N1957" s="66" t="s">
        <v>19973</v>
      </c>
      <c r="O1957" s="651">
        <v>0</v>
      </c>
    </row>
    <row r="1958" spans="1:15">
      <c r="A1958" s="843">
        <v>45709</v>
      </c>
      <c r="B1958" s="844">
        <v>44400</v>
      </c>
      <c r="C1958" s="845">
        <v>75324</v>
      </c>
      <c r="D1958" s="116">
        <v>0</v>
      </c>
      <c r="E1958" s="119">
        <f t="shared" si="60"/>
        <v>75324</v>
      </c>
      <c r="F1958" s="119">
        <f t="shared" si="61"/>
        <v>1.6964864864864866</v>
      </c>
      <c r="G1958" s="846" t="s">
        <v>19833</v>
      </c>
      <c r="H1958" s="847" t="s">
        <v>19927</v>
      </c>
      <c r="I1958" s="848">
        <v>45698</v>
      </c>
      <c r="J1958" s="116">
        <v>0</v>
      </c>
      <c r="N1958" s="66" t="s">
        <v>19974</v>
      </c>
      <c r="O1958" s="651">
        <v>0</v>
      </c>
    </row>
    <row r="1959" spans="1:15">
      <c r="A1959" s="854">
        <v>45709</v>
      </c>
      <c r="B1959" s="855">
        <v>40300</v>
      </c>
      <c r="C1959" s="856">
        <f>30023.5*3.179</f>
        <v>95444.7065</v>
      </c>
      <c r="D1959" s="198">
        <v>11986.81</v>
      </c>
      <c r="E1959" s="198">
        <f t="shared" si="60"/>
        <v>83457.896500000003</v>
      </c>
      <c r="F1959" s="198">
        <f t="shared" si="61"/>
        <v>2.0709155459057071</v>
      </c>
      <c r="G1959" s="856" t="s">
        <v>19659</v>
      </c>
      <c r="H1959" s="862" t="s">
        <v>19937</v>
      </c>
      <c r="I1959" s="863">
        <v>45701</v>
      </c>
      <c r="J1959" s="198">
        <f>13%*9498</f>
        <v>1234.74</v>
      </c>
      <c r="N1959" s="66" t="s">
        <v>19975</v>
      </c>
      <c r="O1959" s="651">
        <v>0</v>
      </c>
    </row>
    <row r="1960" spans="1:15">
      <c r="A1960" s="849">
        <v>45709</v>
      </c>
      <c r="B1960" s="850">
        <v>24588</v>
      </c>
      <c r="C1960" s="851">
        <f>9873.84*3.3176</f>
        <v>32757.451584000002</v>
      </c>
      <c r="D1960" s="239">
        <v>9245.5</v>
      </c>
      <c r="E1960" s="241">
        <f t="shared" ref="E1960:E2023" si="62">(C1960-D1960)</f>
        <v>23511.951584000002</v>
      </c>
      <c r="F1960" s="241">
        <f t="shared" ref="F1960:F2023" si="63">(E1960/B1960)</f>
        <v>0.9562368465918335</v>
      </c>
      <c r="G1960" s="857" t="s">
        <v>17343</v>
      </c>
      <c r="H1960" s="858" t="s">
        <v>19949</v>
      </c>
      <c r="I1960" s="859">
        <v>45706</v>
      </c>
      <c r="J1960" s="239">
        <f>5678.418*13%</f>
        <v>738.19434000000001</v>
      </c>
      <c r="N1960" s="66" t="s">
        <v>19976</v>
      </c>
      <c r="O1960" s="651">
        <v>0</v>
      </c>
    </row>
    <row r="1961" spans="1:15">
      <c r="A1961" s="849">
        <v>45709</v>
      </c>
      <c r="B1961" s="850">
        <v>53916</v>
      </c>
      <c r="C1961" s="851">
        <f>27582.2*3.3176</f>
        <v>91506.706720000002</v>
      </c>
      <c r="D1961" s="239">
        <v>31569.18</v>
      </c>
      <c r="E1961" s="241">
        <f t="shared" si="62"/>
        <v>59937.526720000002</v>
      </c>
      <c r="F1961" s="241">
        <f t="shared" si="63"/>
        <v>1.1116834839379777</v>
      </c>
      <c r="G1961" s="857" t="s">
        <v>17343</v>
      </c>
      <c r="H1961" s="858" t="s">
        <v>19950</v>
      </c>
      <c r="I1961" s="859">
        <v>45707</v>
      </c>
      <c r="J1961" s="239">
        <f>13%*22424.536</f>
        <v>2915.18968</v>
      </c>
      <c r="N1961" s="66" t="s">
        <v>19977</v>
      </c>
      <c r="O1961" s="651">
        <v>4000</v>
      </c>
    </row>
    <row r="1962" spans="1:15">
      <c r="A1962" s="843">
        <v>45712</v>
      </c>
      <c r="B1962" s="844">
        <v>19204</v>
      </c>
      <c r="C1962" s="845">
        <v>38265.96</v>
      </c>
      <c r="D1962" s="116">
        <v>0</v>
      </c>
      <c r="E1962" s="119">
        <f t="shared" si="62"/>
        <v>38265.96</v>
      </c>
      <c r="F1962" s="119">
        <f t="shared" si="63"/>
        <v>1.992603624244949</v>
      </c>
      <c r="G1962" s="846" t="s">
        <v>19655</v>
      </c>
      <c r="H1962" s="847" t="s">
        <v>19940</v>
      </c>
      <c r="I1962" s="848">
        <v>45702</v>
      </c>
      <c r="J1962" s="116">
        <v>0</v>
      </c>
      <c r="N1962" s="66" t="s">
        <v>19978</v>
      </c>
      <c r="O1962" s="651">
        <v>0</v>
      </c>
    </row>
    <row r="1963" spans="1:15">
      <c r="A1963" s="843">
        <v>45712</v>
      </c>
      <c r="B1963" s="844">
        <v>48816</v>
      </c>
      <c r="C1963" s="845">
        <v>85788.479999999996</v>
      </c>
      <c r="D1963" s="116">
        <v>0</v>
      </c>
      <c r="E1963" s="119">
        <f t="shared" si="62"/>
        <v>85788.479999999996</v>
      </c>
      <c r="F1963" s="119">
        <f t="shared" si="63"/>
        <v>1.7573844641101277</v>
      </c>
      <c r="G1963" s="846" t="s">
        <v>19656</v>
      </c>
      <c r="H1963" s="847" t="s">
        <v>19933</v>
      </c>
      <c r="I1963" s="848">
        <v>45698</v>
      </c>
      <c r="J1963" s="116">
        <v>0</v>
      </c>
      <c r="N1963" s="66" t="s">
        <v>19979</v>
      </c>
      <c r="O1963" s="651">
        <v>0</v>
      </c>
    </row>
    <row r="1964" spans="1:15">
      <c r="A1964" s="843">
        <v>45713</v>
      </c>
      <c r="B1964" s="844">
        <v>174598</v>
      </c>
      <c r="C1964" s="845">
        <v>372093.2</v>
      </c>
      <c r="D1964" s="116">
        <v>0</v>
      </c>
      <c r="E1964" s="119">
        <f t="shared" si="62"/>
        <v>372093.2</v>
      </c>
      <c r="F1964" s="119">
        <f t="shared" si="63"/>
        <v>2.1311423956746354</v>
      </c>
      <c r="G1964" s="846" t="s">
        <v>19656</v>
      </c>
      <c r="H1964" s="847" t="s">
        <v>19948</v>
      </c>
      <c r="I1964" s="848">
        <v>45706</v>
      </c>
      <c r="J1964" s="116">
        <v>0</v>
      </c>
      <c r="N1964" s="66" t="s">
        <v>19980</v>
      </c>
      <c r="O1964" s="651">
        <v>0</v>
      </c>
    </row>
    <row r="1965" spans="1:15">
      <c r="A1965" s="849">
        <v>45713</v>
      </c>
      <c r="B1965" s="850">
        <v>408250</v>
      </c>
      <c r="C1965" s="851">
        <f>217528.03*3.3176</f>
        <v>721670.99232800002</v>
      </c>
      <c r="D1965" s="239">
        <v>116227.162</v>
      </c>
      <c r="E1965" s="241">
        <f t="shared" si="62"/>
        <v>605443.83032800001</v>
      </c>
      <c r="F1965" s="241">
        <f t="shared" si="63"/>
        <v>1.4830222420771586</v>
      </c>
      <c r="G1965" s="857" t="s">
        <v>19804</v>
      </c>
      <c r="H1965" s="858" t="s">
        <v>19931</v>
      </c>
      <c r="I1965" s="859">
        <v>45698</v>
      </c>
      <c r="J1965" s="239">
        <f>20%*80299.17</f>
        <v>16059.834000000001</v>
      </c>
      <c r="N1965" s="66" t="s">
        <v>19981</v>
      </c>
      <c r="O1965" s="651">
        <v>0</v>
      </c>
    </row>
    <row r="1966" spans="1:15">
      <c r="A1966" s="854">
        <v>45713</v>
      </c>
      <c r="B1966" s="855">
        <v>49600</v>
      </c>
      <c r="C1966" s="856">
        <f>33852*3.3233</f>
        <v>112500.35160000001</v>
      </c>
      <c r="D1966" s="198">
        <v>13372.9</v>
      </c>
      <c r="E1966" s="198">
        <f t="shared" si="62"/>
        <v>99127.451600000015</v>
      </c>
      <c r="F1966" s="198">
        <f t="shared" si="63"/>
        <v>1.9985373306451615</v>
      </c>
      <c r="G1966" s="856" t="s">
        <v>19796</v>
      </c>
      <c r="H1966" s="862" t="s">
        <v>19945</v>
      </c>
      <c r="I1966" s="863">
        <v>45702</v>
      </c>
      <c r="J1966" s="198">
        <f>20%*12357.7</f>
        <v>2471.5400000000004</v>
      </c>
      <c r="N1966" s="66" t="s">
        <v>19982</v>
      </c>
      <c r="O1966" s="651">
        <v>16559.45</v>
      </c>
    </row>
    <row r="1967" spans="1:15">
      <c r="A1967" s="849">
        <v>45714</v>
      </c>
      <c r="B1967" s="850">
        <v>147600</v>
      </c>
      <c r="C1967" s="851">
        <f>82122*3.3244</f>
        <v>273006.37679999997</v>
      </c>
      <c r="D1967" s="239">
        <v>45464.358</v>
      </c>
      <c r="E1967" s="241">
        <f t="shared" si="62"/>
        <v>227542.01879999996</v>
      </c>
      <c r="F1967" s="241">
        <f t="shared" si="63"/>
        <v>1.5416125934959346</v>
      </c>
      <c r="G1967" s="857" t="s">
        <v>19964</v>
      </c>
      <c r="H1967" s="858" t="s">
        <v>19926</v>
      </c>
      <c r="I1967" s="859">
        <v>45698</v>
      </c>
      <c r="J1967" s="239">
        <f>32224.5*20%</f>
        <v>6444.9000000000005</v>
      </c>
      <c r="N1967" s="66" t="s">
        <v>19983</v>
      </c>
      <c r="O1967" s="651">
        <v>18357.75</v>
      </c>
    </row>
    <row r="1968" spans="1:15">
      <c r="A1968" s="843">
        <v>45714</v>
      </c>
      <c r="B1968" s="844">
        <v>45400</v>
      </c>
      <c r="C1968" s="845">
        <v>77384</v>
      </c>
      <c r="D1968" s="116">
        <v>0</v>
      </c>
      <c r="E1968" s="119">
        <f t="shared" si="62"/>
        <v>77384</v>
      </c>
      <c r="F1968" s="119">
        <f t="shared" si="63"/>
        <v>1.7044933920704846</v>
      </c>
      <c r="G1968" s="846" t="s">
        <v>19655</v>
      </c>
      <c r="H1968" s="847" t="s">
        <v>19934</v>
      </c>
      <c r="I1968" s="848">
        <v>45698</v>
      </c>
      <c r="J1968" s="116">
        <v>0</v>
      </c>
      <c r="N1968" s="66" t="s">
        <v>19984</v>
      </c>
      <c r="O1968" s="651">
        <v>16550.45</v>
      </c>
    </row>
    <row r="1969" spans="1:15">
      <c r="A1969" s="849">
        <v>45715</v>
      </c>
      <c r="B1969" s="850">
        <v>336300</v>
      </c>
      <c r="C1969" s="851">
        <f>237718.84*3.16655</f>
        <v>752748.592802</v>
      </c>
      <c r="D1969" s="239">
        <v>96327.96</v>
      </c>
      <c r="E1969" s="241">
        <f t="shared" si="62"/>
        <v>656420.63280200004</v>
      </c>
      <c r="F1969" s="241">
        <f t="shared" si="63"/>
        <v>1.9518900767231639</v>
      </c>
      <c r="G1969" s="857" t="s">
        <v>19662</v>
      </c>
      <c r="H1969" s="858" t="s">
        <v>19932</v>
      </c>
      <c r="I1969" s="859">
        <v>45698</v>
      </c>
      <c r="J1969" s="239">
        <f>20%*73862.46</f>
        <v>14772.492000000002</v>
      </c>
      <c r="N1969" s="66" t="s">
        <v>19985</v>
      </c>
      <c r="O1969" s="651">
        <v>0</v>
      </c>
    </row>
    <row r="1970" spans="1:15">
      <c r="A1970" s="854">
        <v>45716</v>
      </c>
      <c r="B1970" s="855">
        <v>182050</v>
      </c>
      <c r="C1970" s="856">
        <f>118109.23*3.17195</f>
        <v>374636.57209849998</v>
      </c>
      <c r="D1970" s="198">
        <v>50077.9</v>
      </c>
      <c r="E1970" s="198">
        <f t="shared" si="62"/>
        <v>324558.67209849996</v>
      </c>
      <c r="F1970" s="198">
        <f t="shared" si="63"/>
        <v>1.7827996270173028</v>
      </c>
      <c r="G1970" s="856" t="s">
        <v>19986</v>
      </c>
      <c r="H1970" s="862" t="s">
        <v>19941</v>
      </c>
      <c r="I1970" s="863">
        <v>45702</v>
      </c>
      <c r="J1970" s="198">
        <f>20%*38710.7</f>
        <v>7742.1399999999994</v>
      </c>
      <c r="N1970" s="66" t="s">
        <v>19987</v>
      </c>
      <c r="O1970" s="651">
        <v>2729.5639999999999</v>
      </c>
    </row>
    <row r="1971" spans="1:15">
      <c r="A1971" s="843">
        <v>45716</v>
      </c>
      <c r="B1971" s="844">
        <v>23060</v>
      </c>
      <c r="C1971" s="845">
        <f>24179.2*3.17195</f>
        <v>76695.213439999992</v>
      </c>
      <c r="D1971" s="116">
        <v>6916.13</v>
      </c>
      <c r="E1971" s="119">
        <f t="shared" si="62"/>
        <v>69779.083439999988</v>
      </c>
      <c r="F1971" s="119">
        <f t="shared" si="63"/>
        <v>3.0259793339115344</v>
      </c>
      <c r="G1971" s="846" t="s">
        <v>19811</v>
      </c>
      <c r="H1971" s="847" t="s">
        <v>19942</v>
      </c>
      <c r="I1971" s="848">
        <v>45702</v>
      </c>
      <c r="J1971" s="116">
        <f>13%*4869.48</f>
        <v>633.03239999999994</v>
      </c>
      <c r="N1971" s="66" t="s">
        <v>19988</v>
      </c>
      <c r="O1971" s="651">
        <v>0</v>
      </c>
    </row>
    <row r="1972" spans="1:15">
      <c r="A1972" s="854">
        <v>45716</v>
      </c>
      <c r="B1972" s="855">
        <v>20760</v>
      </c>
      <c r="C1972" s="856">
        <f>24097.2*3.17195</f>
        <v>76435.113539999991</v>
      </c>
      <c r="D1972" s="198">
        <v>7056.13</v>
      </c>
      <c r="E1972" s="198">
        <f t="shared" si="62"/>
        <v>69378.983539999987</v>
      </c>
      <c r="F1972" s="198">
        <f t="shared" si="63"/>
        <v>3.3419548911368011</v>
      </c>
      <c r="G1972" s="856" t="s">
        <v>19811</v>
      </c>
      <c r="H1972" s="862" t="s">
        <v>19943</v>
      </c>
      <c r="I1972" s="863">
        <v>45702</v>
      </c>
      <c r="J1972" s="198">
        <f>13%*4869.48</f>
        <v>633.03239999999994</v>
      </c>
      <c r="N1972" s="66" t="s">
        <v>19989</v>
      </c>
      <c r="O1972" s="651">
        <v>0</v>
      </c>
    </row>
    <row r="1973" spans="1:15">
      <c r="A1973" s="854">
        <v>45716</v>
      </c>
      <c r="B1973" s="855">
        <v>22780</v>
      </c>
      <c r="C1973" s="856">
        <f>20780*3.17195</f>
        <v>65913.120999999999</v>
      </c>
      <c r="D1973" s="198">
        <v>7056.13</v>
      </c>
      <c r="E1973" s="198">
        <f t="shared" si="62"/>
        <v>58856.991000000002</v>
      </c>
      <c r="F1973" s="198">
        <f t="shared" si="63"/>
        <v>2.5837133889376647</v>
      </c>
      <c r="G1973" s="856" t="s">
        <v>19811</v>
      </c>
      <c r="H1973" s="862" t="s">
        <v>19944</v>
      </c>
      <c r="I1973" s="863">
        <v>45702</v>
      </c>
      <c r="J1973" s="198">
        <f>13%*4869.48</f>
        <v>633.03239999999994</v>
      </c>
      <c r="N1973" s="66" t="s">
        <v>19990</v>
      </c>
      <c r="O1973" s="651">
        <v>30980.7</v>
      </c>
    </row>
    <row r="1974" spans="1:15">
      <c r="A1974" s="843">
        <v>45716</v>
      </c>
      <c r="B1974" s="844">
        <v>239550</v>
      </c>
      <c r="C1974" s="845">
        <v>404023</v>
      </c>
      <c r="D1974" s="116">
        <v>0</v>
      </c>
      <c r="E1974" s="119">
        <f t="shared" si="62"/>
        <v>404023</v>
      </c>
      <c r="F1974" s="119">
        <f t="shared" si="63"/>
        <v>1.6865915257774995</v>
      </c>
      <c r="G1974" s="846" t="s">
        <v>19647</v>
      </c>
      <c r="H1974" s="847" t="s">
        <v>19947</v>
      </c>
      <c r="I1974" s="848">
        <v>45706</v>
      </c>
      <c r="J1974" s="116">
        <v>0</v>
      </c>
      <c r="N1974" s="66" t="s">
        <v>19991</v>
      </c>
      <c r="O1974" s="651">
        <v>6936.3940000000002</v>
      </c>
    </row>
    <row r="1975" spans="1:15">
      <c r="A1975" s="843">
        <v>45716</v>
      </c>
      <c r="B1975" s="844">
        <v>22500</v>
      </c>
      <c r="C1975" s="845">
        <v>35325</v>
      </c>
      <c r="D1975" s="116">
        <v>0</v>
      </c>
      <c r="E1975" s="119">
        <f t="shared" si="62"/>
        <v>35325</v>
      </c>
      <c r="F1975" s="119">
        <f t="shared" si="63"/>
        <v>1.57</v>
      </c>
      <c r="G1975" s="846" t="s">
        <v>19647</v>
      </c>
      <c r="H1975" s="847" t="s">
        <v>19946</v>
      </c>
      <c r="I1975" s="848">
        <v>45702</v>
      </c>
      <c r="J1975" s="116">
        <v>0</v>
      </c>
      <c r="N1975" s="66" t="s">
        <v>19992</v>
      </c>
      <c r="O1975" s="651">
        <v>0</v>
      </c>
    </row>
    <row r="1976" spans="1:15">
      <c r="A1976" s="864">
        <v>45719</v>
      </c>
      <c r="B1976" s="865">
        <v>45000</v>
      </c>
      <c r="C1976" s="866">
        <v>70650</v>
      </c>
      <c r="D1976" s="116">
        <v>0</v>
      </c>
      <c r="E1976" s="119">
        <f t="shared" si="62"/>
        <v>70650</v>
      </c>
      <c r="F1976" s="119">
        <f t="shared" si="63"/>
        <v>1.57</v>
      </c>
      <c r="G1976" s="867" t="s">
        <v>19647</v>
      </c>
      <c r="H1976" s="868" t="s">
        <v>19946</v>
      </c>
      <c r="I1976" s="869">
        <v>45702</v>
      </c>
      <c r="J1976" s="116">
        <v>0</v>
      </c>
      <c r="N1976" s="66" t="s">
        <v>19993</v>
      </c>
      <c r="O1976" s="651">
        <v>0</v>
      </c>
    </row>
    <row r="1977" spans="1:15">
      <c r="A1977" s="843">
        <v>45723</v>
      </c>
      <c r="B1977" s="844">
        <v>235200</v>
      </c>
      <c r="C1977" s="845">
        <f>157854*3.10455</f>
        <v>490065.63570000004</v>
      </c>
      <c r="D1977" s="116">
        <v>0</v>
      </c>
      <c r="E1977" s="119">
        <f t="shared" si="62"/>
        <v>490065.63570000004</v>
      </c>
      <c r="F1977" s="119">
        <f t="shared" si="63"/>
        <v>2.0836123966836735</v>
      </c>
      <c r="G1977" s="846" t="s">
        <v>19994</v>
      </c>
      <c r="H1977" s="847" t="s">
        <v>19953</v>
      </c>
      <c r="I1977" s="848">
        <v>45723</v>
      </c>
      <c r="J1977" s="116">
        <v>0</v>
      </c>
      <c r="N1977" s="66" t="s">
        <v>19995</v>
      </c>
      <c r="O1977" s="651">
        <v>15582.258</v>
      </c>
    </row>
    <row r="1978" spans="1:15">
      <c r="A1978" s="843">
        <v>45726</v>
      </c>
      <c r="B1978" s="844">
        <v>84000</v>
      </c>
      <c r="C1978" s="845">
        <v>130200</v>
      </c>
      <c r="D1978" s="116">
        <v>0</v>
      </c>
      <c r="E1978" s="119">
        <f t="shared" si="62"/>
        <v>130200</v>
      </c>
      <c r="F1978" s="119">
        <f t="shared" si="63"/>
        <v>1.55</v>
      </c>
      <c r="G1978" s="846" t="s">
        <v>19656</v>
      </c>
      <c r="H1978" s="847" t="s">
        <v>19956</v>
      </c>
      <c r="I1978" s="848">
        <v>45721</v>
      </c>
      <c r="J1978" s="116">
        <v>0</v>
      </c>
      <c r="N1978" s="66" t="s">
        <v>19996</v>
      </c>
      <c r="O1978" s="651">
        <v>21825.606</v>
      </c>
    </row>
    <row r="1979" spans="1:15">
      <c r="A1979" s="843">
        <v>45727</v>
      </c>
      <c r="B1979" s="844">
        <v>84000</v>
      </c>
      <c r="C1979" s="845">
        <v>139440</v>
      </c>
      <c r="D1979" s="116">
        <v>0</v>
      </c>
      <c r="E1979" s="119">
        <f t="shared" si="62"/>
        <v>139440</v>
      </c>
      <c r="F1979" s="119">
        <f t="shared" si="63"/>
        <v>1.66</v>
      </c>
      <c r="G1979" s="846" t="s">
        <v>19647</v>
      </c>
      <c r="H1979" s="847" t="s">
        <v>19957</v>
      </c>
      <c r="I1979" s="848">
        <v>45721</v>
      </c>
      <c r="J1979" s="116">
        <v>0</v>
      </c>
      <c r="N1979" s="66" t="s">
        <v>19997</v>
      </c>
      <c r="O1979" s="651">
        <v>19036.16</v>
      </c>
    </row>
    <row r="1980" spans="1:15">
      <c r="A1980" s="843">
        <v>45727</v>
      </c>
      <c r="B1980" s="844">
        <v>166000</v>
      </c>
      <c r="C1980" s="845">
        <v>354805</v>
      </c>
      <c r="D1980" s="116">
        <v>0</v>
      </c>
      <c r="E1980" s="119">
        <f t="shared" si="62"/>
        <v>354805</v>
      </c>
      <c r="F1980" s="119">
        <f t="shared" si="63"/>
        <v>2.1373795180722892</v>
      </c>
      <c r="G1980" s="846" t="s">
        <v>19833</v>
      </c>
      <c r="H1980" s="847" t="s">
        <v>19951</v>
      </c>
      <c r="I1980" s="848">
        <v>45720</v>
      </c>
      <c r="J1980" s="116">
        <v>0</v>
      </c>
      <c r="N1980" s="66" t="s">
        <v>19998</v>
      </c>
      <c r="O1980" s="651">
        <v>6836.69</v>
      </c>
    </row>
    <row r="1981" spans="1:15">
      <c r="A1981" s="843">
        <v>45728</v>
      </c>
      <c r="B1981" s="844">
        <v>82500</v>
      </c>
      <c r="C1981" s="845">
        <f>42075*3.3596</f>
        <v>141355.16999999998</v>
      </c>
      <c r="D1981" s="116">
        <v>19038.63</v>
      </c>
      <c r="E1981" s="119">
        <f t="shared" si="62"/>
        <v>122316.53999999998</v>
      </c>
      <c r="F1981" s="119">
        <f t="shared" si="63"/>
        <v>1.4826247272727271</v>
      </c>
      <c r="G1981" s="846" t="s">
        <v>19722</v>
      </c>
      <c r="H1981" s="847" t="s">
        <v>19959</v>
      </c>
      <c r="I1981" s="848">
        <v>45723</v>
      </c>
      <c r="J1981" s="116">
        <f>20%*13675.38</f>
        <v>2735.076</v>
      </c>
      <c r="N1981" s="66" t="s">
        <v>19999</v>
      </c>
      <c r="O1981" s="651">
        <v>18609.36</v>
      </c>
    </row>
    <row r="1982" spans="1:15">
      <c r="A1982" s="843">
        <v>45728</v>
      </c>
      <c r="B1982" s="844">
        <v>23971</v>
      </c>
      <c r="C1982" s="845">
        <f>24716.67*3.1008</f>
        <v>76641.450335999994</v>
      </c>
      <c r="D1982" s="116">
        <v>18179.43</v>
      </c>
      <c r="E1982" s="119">
        <f t="shared" si="62"/>
        <v>58462.020335999994</v>
      </c>
      <c r="F1982" s="119">
        <f t="shared" si="63"/>
        <v>2.4388644752409157</v>
      </c>
      <c r="G1982" s="846" t="s">
        <v>19779</v>
      </c>
      <c r="H1982" s="847" t="s">
        <v>19954</v>
      </c>
      <c r="I1982" s="848">
        <v>45720</v>
      </c>
      <c r="J1982" s="116">
        <f>13%*16263.7</f>
        <v>2114.2809999999999</v>
      </c>
      <c r="N1982" s="66" t="s">
        <v>20000</v>
      </c>
      <c r="O1982" s="651">
        <v>0</v>
      </c>
    </row>
    <row r="1983" spans="1:15">
      <c r="A1983" s="843">
        <v>45728</v>
      </c>
      <c r="B1983" s="844">
        <v>6000</v>
      </c>
      <c r="C1983" s="845">
        <v>16500</v>
      </c>
      <c r="D1983" s="116">
        <v>0</v>
      </c>
      <c r="E1983" s="119">
        <f t="shared" si="62"/>
        <v>16500</v>
      </c>
      <c r="F1983" s="119">
        <f t="shared" si="63"/>
        <v>2.75</v>
      </c>
      <c r="G1983" s="846" t="s">
        <v>17018</v>
      </c>
      <c r="H1983" s="847" t="s">
        <v>19952</v>
      </c>
      <c r="I1983" s="848">
        <v>45720</v>
      </c>
      <c r="J1983" s="116">
        <v>0</v>
      </c>
      <c r="N1983" s="66" t="s">
        <v>20001</v>
      </c>
      <c r="O1983" s="651">
        <v>0</v>
      </c>
    </row>
    <row r="1984" spans="1:15">
      <c r="A1984" s="843">
        <v>45701</v>
      </c>
      <c r="B1984" s="844">
        <v>86400</v>
      </c>
      <c r="C1984" s="845">
        <v>185760</v>
      </c>
      <c r="D1984" s="116">
        <v>0</v>
      </c>
      <c r="E1984" s="119">
        <f t="shared" si="62"/>
        <v>185760</v>
      </c>
      <c r="F1984" s="119">
        <f t="shared" si="63"/>
        <v>2.15</v>
      </c>
      <c r="G1984" s="846" t="s">
        <v>19655</v>
      </c>
      <c r="H1984" s="847" t="s">
        <v>19955</v>
      </c>
      <c r="I1984" s="848">
        <v>45720</v>
      </c>
      <c r="J1984" s="116">
        <v>0</v>
      </c>
      <c r="N1984" s="66" t="s">
        <v>20002</v>
      </c>
      <c r="O1984" s="651">
        <v>0</v>
      </c>
    </row>
    <row r="1985" spans="1:15">
      <c r="A1985" s="843">
        <v>45730</v>
      </c>
      <c r="B1985" s="844">
        <v>110000</v>
      </c>
      <c r="C1985" s="845">
        <f>55100*3.3596</f>
        <v>185113.96</v>
      </c>
      <c r="D1985" s="116">
        <v>26315.781999999999</v>
      </c>
      <c r="E1985" s="119">
        <f t="shared" si="62"/>
        <v>158798.17799999999</v>
      </c>
      <c r="F1985" s="119">
        <f t="shared" si="63"/>
        <v>1.4436197999999998</v>
      </c>
      <c r="G1985" s="846" t="s">
        <v>19722</v>
      </c>
      <c r="H1985" s="847" t="s">
        <v>19960</v>
      </c>
      <c r="I1985" s="848">
        <v>45723</v>
      </c>
      <c r="J1985" s="116">
        <f>16319.16*20%</f>
        <v>3263.8320000000003</v>
      </c>
      <c r="N1985" s="66" t="s">
        <v>20003</v>
      </c>
      <c r="O1985" s="651">
        <v>19042.29</v>
      </c>
    </row>
    <row r="1986" spans="1:15">
      <c r="A1986" s="843">
        <v>45733</v>
      </c>
      <c r="B1986" s="844">
        <v>110000</v>
      </c>
      <c r="C1986" s="845">
        <f>55100*3.36965</f>
        <v>185667.715</v>
      </c>
      <c r="D1986" s="116">
        <v>26315.781999999999</v>
      </c>
      <c r="E1986" s="119">
        <f t="shared" si="62"/>
        <v>159351.93299999999</v>
      </c>
      <c r="F1986" s="119">
        <f t="shared" si="63"/>
        <v>1.4486539363636364</v>
      </c>
      <c r="G1986" s="846" t="s">
        <v>19722</v>
      </c>
      <c r="H1986" s="847" t="s">
        <v>19962</v>
      </c>
      <c r="I1986" s="848">
        <v>45723</v>
      </c>
      <c r="J1986" s="116">
        <f>20%*16319.16</f>
        <v>3263.8320000000003</v>
      </c>
      <c r="N1986" s="66" t="s">
        <v>20004</v>
      </c>
      <c r="O1986" s="651">
        <v>0</v>
      </c>
    </row>
    <row r="1987" spans="1:15">
      <c r="A1987" s="843">
        <v>45733</v>
      </c>
      <c r="B1987" s="844">
        <v>110000</v>
      </c>
      <c r="C1987" s="845">
        <f>55100*3.3623</f>
        <v>185262.72999999998</v>
      </c>
      <c r="D1987" s="116">
        <v>25780.281999999999</v>
      </c>
      <c r="E1987" s="119">
        <f t="shared" si="62"/>
        <v>159482.44799999997</v>
      </c>
      <c r="F1987" s="119">
        <f t="shared" si="63"/>
        <v>1.4498404363636361</v>
      </c>
      <c r="G1987" s="846" t="s">
        <v>19722</v>
      </c>
      <c r="H1987" s="847" t="s">
        <v>19965</v>
      </c>
      <c r="I1987" s="848">
        <v>45723</v>
      </c>
      <c r="J1987" s="116">
        <f>20%*16319.16</f>
        <v>3263.8320000000003</v>
      </c>
      <c r="N1987" s="66" t="s">
        <v>20005</v>
      </c>
      <c r="O1987" s="651">
        <v>0</v>
      </c>
    </row>
    <row r="1988" spans="1:15">
      <c r="A1988" s="843">
        <v>45735</v>
      </c>
      <c r="B1988" s="844">
        <v>19200</v>
      </c>
      <c r="C1988" s="845">
        <f>13804*3.36635</f>
        <v>46469.095400000006</v>
      </c>
      <c r="D1988" s="116">
        <v>7292.43</v>
      </c>
      <c r="E1988" s="119">
        <f t="shared" si="62"/>
        <v>39176.665400000005</v>
      </c>
      <c r="F1988" s="119">
        <f t="shared" si="63"/>
        <v>2.0404513229166668</v>
      </c>
      <c r="G1988" s="846" t="s">
        <v>19796</v>
      </c>
      <c r="H1988" s="847" t="s">
        <v>19958</v>
      </c>
      <c r="I1988" s="848">
        <v>45721</v>
      </c>
      <c r="J1988" s="116">
        <f>20%*5701.5</f>
        <v>1140.3</v>
      </c>
      <c r="N1988" s="66" t="s">
        <v>20006</v>
      </c>
      <c r="O1988" s="651">
        <v>4500</v>
      </c>
    </row>
    <row r="1989" spans="1:15">
      <c r="A1989" s="843">
        <v>45735</v>
      </c>
      <c r="B1989" s="844">
        <v>20500</v>
      </c>
      <c r="C1989" s="845">
        <v>47150</v>
      </c>
      <c r="D1989" s="116">
        <v>0</v>
      </c>
      <c r="E1989" s="119">
        <f t="shared" si="62"/>
        <v>47150</v>
      </c>
      <c r="F1989" s="119">
        <f t="shared" si="63"/>
        <v>2.2999999999999998</v>
      </c>
      <c r="G1989" s="846" t="s">
        <v>17018</v>
      </c>
      <c r="H1989" s="847" t="s">
        <v>19973</v>
      </c>
      <c r="I1989" s="848">
        <v>45728</v>
      </c>
      <c r="J1989" s="116">
        <v>0</v>
      </c>
      <c r="N1989" s="66" t="s">
        <v>20007</v>
      </c>
      <c r="O1989" s="651">
        <v>60395.15</v>
      </c>
    </row>
    <row r="1990" spans="1:15">
      <c r="A1990" s="843">
        <v>45737</v>
      </c>
      <c r="B1990" s="844">
        <v>20000</v>
      </c>
      <c r="C1990" s="845">
        <v>44000</v>
      </c>
      <c r="D1990" s="116">
        <v>0</v>
      </c>
      <c r="E1990" s="119">
        <f t="shared" si="62"/>
        <v>44000</v>
      </c>
      <c r="F1990" s="119">
        <f t="shared" si="63"/>
        <v>2.2000000000000002</v>
      </c>
      <c r="G1990" s="846" t="s">
        <v>17018</v>
      </c>
      <c r="H1990" s="847" t="s">
        <v>19938</v>
      </c>
      <c r="I1990" s="848">
        <v>45702</v>
      </c>
      <c r="J1990" s="116">
        <v>0</v>
      </c>
      <c r="N1990" s="66" t="s">
        <v>20008</v>
      </c>
      <c r="O1990" s="651">
        <v>4349.5200000000004</v>
      </c>
    </row>
    <row r="1991" spans="1:15">
      <c r="A1991" s="843">
        <v>45740</v>
      </c>
      <c r="B1991" s="844">
        <v>336300</v>
      </c>
      <c r="C1991" s="845">
        <f>237718.84*3.0898</f>
        <v>734503.67183199991</v>
      </c>
      <c r="D1991" s="116">
        <v>94407.06</v>
      </c>
      <c r="E1991" s="119">
        <f t="shared" si="62"/>
        <v>640096.61183199985</v>
      </c>
      <c r="F1991" s="119">
        <f t="shared" si="63"/>
        <v>1.9033500203151943</v>
      </c>
      <c r="G1991" s="846" t="s">
        <v>19662</v>
      </c>
      <c r="H1991" s="847" t="s">
        <v>19968</v>
      </c>
      <c r="I1991" s="848">
        <v>45726</v>
      </c>
      <c r="J1991" s="116">
        <f>20%*72160.56</f>
        <v>14432.112000000001</v>
      </c>
      <c r="N1991" s="66" t="s">
        <v>20009</v>
      </c>
      <c r="O1991" s="651">
        <v>12358.16</v>
      </c>
    </row>
    <row r="1992" spans="1:15">
      <c r="A1992" s="843">
        <v>45741</v>
      </c>
      <c r="B1992" s="844">
        <v>44016</v>
      </c>
      <c r="C1992" s="845">
        <v>90232.8</v>
      </c>
      <c r="D1992" s="116">
        <v>0</v>
      </c>
      <c r="E1992" s="119">
        <f t="shared" si="62"/>
        <v>90232.8</v>
      </c>
      <c r="F1992" s="119">
        <f t="shared" si="63"/>
        <v>2.0500000000000003</v>
      </c>
      <c r="G1992" s="846" t="s">
        <v>19647</v>
      </c>
      <c r="H1992" s="847" t="s">
        <v>19972</v>
      </c>
      <c r="I1992" s="848">
        <v>45728</v>
      </c>
      <c r="J1992" s="116">
        <v>0</v>
      </c>
      <c r="N1992" s="66" t="s">
        <v>20010</v>
      </c>
      <c r="O1992" s="651">
        <v>0</v>
      </c>
    </row>
    <row r="1993" spans="1:15">
      <c r="A1993" s="843">
        <v>45742</v>
      </c>
      <c r="B1993" s="844">
        <v>22008</v>
      </c>
      <c r="C1993" s="845">
        <v>47317.2</v>
      </c>
      <c r="D1993" s="116">
        <v>0</v>
      </c>
      <c r="E1993" s="119">
        <f t="shared" si="62"/>
        <v>47317.2</v>
      </c>
      <c r="F1993" s="119">
        <f t="shared" si="63"/>
        <v>2.15</v>
      </c>
      <c r="G1993" s="846" t="s">
        <v>19655</v>
      </c>
      <c r="H1993" s="847" t="s">
        <v>19971</v>
      </c>
      <c r="I1993" s="848">
        <v>45728</v>
      </c>
      <c r="J1993" s="116">
        <v>0</v>
      </c>
      <c r="N1993" s="66" t="s">
        <v>20011</v>
      </c>
      <c r="O1993" s="651">
        <v>0</v>
      </c>
    </row>
    <row r="1994" spans="1:15">
      <c r="A1994" s="843">
        <v>45742</v>
      </c>
      <c r="B1994" s="844">
        <v>336300</v>
      </c>
      <c r="C1994" s="845">
        <f>237718.84*3.094</f>
        <v>735502.09095999994</v>
      </c>
      <c r="D1994" s="116">
        <v>92902.66</v>
      </c>
      <c r="E1994" s="119">
        <f t="shared" si="62"/>
        <v>642599.43095999991</v>
      </c>
      <c r="F1994" s="119">
        <f t="shared" si="63"/>
        <v>1.9107922419268508</v>
      </c>
      <c r="G1994" s="846" t="s">
        <v>19662</v>
      </c>
      <c r="H1994" s="847" t="s">
        <v>19969</v>
      </c>
      <c r="I1994" s="848">
        <v>45726</v>
      </c>
      <c r="J1994" s="116">
        <f>20%*72160.56</f>
        <v>14432.112000000001</v>
      </c>
      <c r="N1994" s="66" t="s">
        <v>20012</v>
      </c>
      <c r="O1994" s="651">
        <v>0</v>
      </c>
    </row>
    <row r="1995" spans="1:15">
      <c r="A1995" s="843">
        <v>45742</v>
      </c>
      <c r="B1995" s="844">
        <v>42200</v>
      </c>
      <c r="C1995" s="845">
        <v>74272</v>
      </c>
      <c r="D1995" s="116">
        <v>0</v>
      </c>
      <c r="E1995" s="119">
        <f t="shared" si="62"/>
        <v>74272</v>
      </c>
      <c r="F1995" s="119">
        <f t="shared" si="63"/>
        <v>1.76</v>
      </c>
      <c r="G1995" s="846" t="s">
        <v>19655</v>
      </c>
      <c r="H1995" s="847" t="s">
        <v>19970</v>
      </c>
      <c r="I1995" s="848">
        <v>45726</v>
      </c>
      <c r="J1995" s="116">
        <v>0</v>
      </c>
      <c r="N1995" s="66" t="s">
        <v>20013</v>
      </c>
      <c r="O1995" s="651">
        <v>0</v>
      </c>
    </row>
    <row r="1996" spans="1:15">
      <c r="A1996" s="843">
        <v>45744</v>
      </c>
      <c r="B1996" s="844">
        <v>275000</v>
      </c>
      <c r="C1996" s="845">
        <v>398750</v>
      </c>
      <c r="D1996" s="116">
        <v>0</v>
      </c>
      <c r="E1996" s="119">
        <f t="shared" si="62"/>
        <v>398750</v>
      </c>
      <c r="F1996" s="119">
        <f t="shared" si="63"/>
        <v>1.45</v>
      </c>
      <c r="G1996" s="846" t="s">
        <v>19652</v>
      </c>
      <c r="H1996" s="847" t="s">
        <v>19974</v>
      </c>
      <c r="I1996" s="848">
        <v>45730</v>
      </c>
      <c r="J1996" s="116">
        <v>0</v>
      </c>
      <c r="N1996" s="66" t="s">
        <v>20014</v>
      </c>
      <c r="O1996" s="651">
        <v>0</v>
      </c>
    </row>
    <row r="1997" spans="1:15">
      <c r="A1997" s="843">
        <v>45744</v>
      </c>
      <c r="B1997" s="844">
        <v>16500</v>
      </c>
      <c r="C1997" s="845">
        <f>15448.52*3.35635</f>
        <v>51850.640101999998</v>
      </c>
      <c r="D1997" s="116">
        <v>7257.61</v>
      </c>
      <c r="E1997" s="119">
        <f t="shared" si="62"/>
        <v>44593.030101999997</v>
      </c>
      <c r="F1997" s="119">
        <f t="shared" si="63"/>
        <v>2.7026078849696966</v>
      </c>
      <c r="G1997" s="846" t="s">
        <v>17397</v>
      </c>
      <c r="H1997" s="847" t="s">
        <v>19967</v>
      </c>
      <c r="I1997" s="848">
        <v>45726</v>
      </c>
      <c r="J1997" s="116">
        <f>13%*5857.1</f>
        <v>761.42300000000012</v>
      </c>
      <c r="N1997" s="66" t="s">
        <v>20015</v>
      </c>
      <c r="O1997" s="651">
        <v>0</v>
      </c>
    </row>
    <row r="1998" spans="1:15">
      <c r="A1998" s="843">
        <v>45744</v>
      </c>
      <c r="B1998" s="844">
        <v>19200</v>
      </c>
      <c r="C1998" s="845">
        <v>40780</v>
      </c>
      <c r="D1998" s="116">
        <v>0</v>
      </c>
      <c r="E1998" s="119">
        <f t="shared" si="62"/>
        <v>40780</v>
      </c>
      <c r="F1998" s="119">
        <f t="shared" si="63"/>
        <v>2.1239583333333334</v>
      </c>
      <c r="G1998" s="846" t="s">
        <v>19656</v>
      </c>
      <c r="H1998" s="847" t="s">
        <v>19979</v>
      </c>
      <c r="I1998" s="848">
        <v>45735</v>
      </c>
      <c r="J1998" s="116">
        <v>0</v>
      </c>
      <c r="N1998" s="66" t="s">
        <v>20016</v>
      </c>
      <c r="O1998" s="651">
        <v>15435.2</v>
      </c>
    </row>
    <row r="1999" spans="1:15">
      <c r="A1999" s="843">
        <v>45749</v>
      </c>
      <c r="B1999" s="845">
        <v>44016</v>
      </c>
      <c r="C1999" s="845">
        <v>90232.8</v>
      </c>
      <c r="D1999" s="116">
        <v>0</v>
      </c>
      <c r="E1999" s="119">
        <f t="shared" si="62"/>
        <v>90232.8</v>
      </c>
      <c r="F1999" s="119">
        <f t="shared" si="63"/>
        <v>2.0500000000000003</v>
      </c>
      <c r="G1999" s="924" t="s">
        <v>19655</v>
      </c>
      <c r="H1999" s="847" t="s">
        <v>19981</v>
      </c>
      <c r="I1999" s="848">
        <v>45737</v>
      </c>
      <c r="J1999" s="116">
        <v>0</v>
      </c>
      <c r="N1999" s="66" t="s">
        <v>20017</v>
      </c>
      <c r="O1999" s="651">
        <v>14219.495999999999</v>
      </c>
    </row>
    <row r="2000" spans="1:15">
      <c r="A2000" s="843">
        <v>45750</v>
      </c>
      <c r="B2000" s="844">
        <v>132750</v>
      </c>
      <c r="C2000" s="845">
        <v>236070</v>
      </c>
      <c r="D2000" s="116">
        <v>0</v>
      </c>
      <c r="E2000" s="119">
        <f t="shared" si="62"/>
        <v>236070</v>
      </c>
      <c r="F2000" s="119">
        <f t="shared" si="63"/>
        <v>1.7783050847457627</v>
      </c>
      <c r="G2000" s="846" t="s">
        <v>19647</v>
      </c>
      <c r="H2000" s="847" t="s">
        <v>19978</v>
      </c>
      <c r="I2000" s="848">
        <v>45735</v>
      </c>
      <c r="J2000" s="116">
        <v>0</v>
      </c>
      <c r="N2000" s="66" t="s">
        <v>20018</v>
      </c>
      <c r="O2000" s="651">
        <v>7010.0050000000001</v>
      </c>
    </row>
    <row r="2001" spans="1:15">
      <c r="A2001" s="913">
        <v>45751</v>
      </c>
      <c r="B2001" s="914">
        <v>27972</v>
      </c>
      <c r="C2001" s="915">
        <f>24239.84*3.35505</f>
        <v>81325.875191999992</v>
      </c>
      <c r="D2001" s="919">
        <v>16559.45</v>
      </c>
      <c r="E2001" s="920">
        <f t="shared" si="62"/>
        <v>64766.425191999995</v>
      </c>
      <c r="F2001" s="920">
        <f t="shared" si="63"/>
        <v>2.3154020160160158</v>
      </c>
      <c r="G2001" s="925" t="s">
        <v>19661</v>
      </c>
      <c r="H2001" s="926" t="s">
        <v>19982</v>
      </c>
      <c r="I2001" s="927">
        <v>45742</v>
      </c>
      <c r="J2001" s="919">
        <f>20%*14640</f>
        <v>2928</v>
      </c>
      <c r="N2001" s="66" t="s">
        <v>20019</v>
      </c>
      <c r="O2001" s="651">
        <v>24495.34</v>
      </c>
    </row>
    <row r="2002" spans="1:15">
      <c r="A2002" s="913">
        <v>45751</v>
      </c>
      <c r="B2002" s="914">
        <v>25980</v>
      </c>
      <c r="C2002" s="915">
        <f>22835.6*3.35505</f>
        <v>76614.579779999985</v>
      </c>
      <c r="D2002" s="919">
        <v>18357.75</v>
      </c>
      <c r="E2002" s="920">
        <f t="shared" si="62"/>
        <v>58256.829779999985</v>
      </c>
      <c r="F2002" s="920">
        <f t="shared" si="63"/>
        <v>2.242372200923787</v>
      </c>
      <c r="G2002" s="925" t="s">
        <v>19661</v>
      </c>
      <c r="H2002" s="926" t="s">
        <v>19983</v>
      </c>
      <c r="I2002" s="927">
        <v>45742</v>
      </c>
      <c r="J2002" s="919">
        <f>20%*14640</f>
        <v>2928</v>
      </c>
      <c r="N2002" s="66" t="s">
        <v>20020</v>
      </c>
      <c r="O2002" s="651">
        <v>28326.47</v>
      </c>
    </row>
    <row r="2003" spans="1:15">
      <c r="A2003" s="913">
        <v>45751</v>
      </c>
      <c r="B2003" s="914">
        <v>26124</v>
      </c>
      <c r="C2003" s="915">
        <f>22939.28*3.35505</f>
        <v>76962.431363999989</v>
      </c>
      <c r="D2003" s="919">
        <v>16550.45</v>
      </c>
      <c r="E2003" s="920">
        <f t="shared" si="62"/>
        <v>60411.981363999992</v>
      </c>
      <c r="F2003" s="920">
        <f t="shared" si="63"/>
        <v>2.3125088563772773</v>
      </c>
      <c r="G2003" s="925" t="s">
        <v>19661</v>
      </c>
      <c r="H2003" s="926" t="s">
        <v>19984</v>
      </c>
      <c r="I2003" s="927">
        <v>45742</v>
      </c>
      <c r="J2003" s="919">
        <f>20%*14640</f>
        <v>2928</v>
      </c>
      <c r="N2003" s="66" t="s">
        <v>20021</v>
      </c>
      <c r="O2003" s="651">
        <v>56599.05</v>
      </c>
    </row>
    <row r="2004" spans="1:15">
      <c r="A2004" s="913">
        <v>45754</v>
      </c>
      <c r="B2004" s="914">
        <v>27600</v>
      </c>
      <c r="C2004" s="915">
        <f>19188*3.06215</f>
        <v>58756.534200000002</v>
      </c>
      <c r="D2004" s="919">
        <v>0</v>
      </c>
      <c r="E2004" s="920">
        <f t="shared" si="62"/>
        <v>58756.534200000002</v>
      </c>
      <c r="F2004" s="920">
        <f t="shared" si="63"/>
        <v>2.1288599347826089</v>
      </c>
      <c r="G2004" s="925" t="s">
        <v>19726</v>
      </c>
      <c r="H2004" s="926" t="s">
        <v>19985</v>
      </c>
      <c r="I2004" s="927">
        <v>45749</v>
      </c>
      <c r="J2004" s="919">
        <v>0</v>
      </c>
      <c r="N2004" s="66" t="s">
        <v>20022</v>
      </c>
      <c r="O2004" s="651">
        <v>25710.962</v>
      </c>
    </row>
    <row r="2005" spans="1:15">
      <c r="A2005" s="843">
        <v>45758</v>
      </c>
      <c r="B2005" s="844">
        <v>76800</v>
      </c>
      <c r="C2005" s="845">
        <v>167808</v>
      </c>
      <c r="D2005" s="116">
        <v>0</v>
      </c>
      <c r="E2005" s="119">
        <f t="shared" si="62"/>
        <v>167808</v>
      </c>
      <c r="F2005" s="119">
        <f t="shared" si="63"/>
        <v>2.1850000000000001</v>
      </c>
      <c r="G2005" s="846" t="s">
        <v>19656</v>
      </c>
      <c r="H2005" s="847" t="s">
        <v>19975</v>
      </c>
      <c r="I2005" s="848">
        <v>45733</v>
      </c>
      <c r="J2005" s="116">
        <v>0</v>
      </c>
      <c r="N2005" s="66" t="s">
        <v>20023</v>
      </c>
      <c r="O2005" s="651">
        <v>25710.962</v>
      </c>
    </row>
    <row r="2006" spans="1:15">
      <c r="A2006" s="916">
        <v>45758</v>
      </c>
      <c r="B2006" s="917">
        <v>40300</v>
      </c>
      <c r="C2006" s="918">
        <f>33449*3.0813</f>
        <v>103066.40370000001</v>
      </c>
      <c r="D2006" s="921">
        <v>11663.125</v>
      </c>
      <c r="E2006" s="922">
        <f t="shared" si="62"/>
        <v>91403.27870000001</v>
      </c>
      <c r="F2006" s="922">
        <f t="shared" si="63"/>
        <v>2.2680714317617867</v>
      </c>
      <c r="G2006" s="928" t="s">
        <v>19659</v>
      </c>
      <c r="H2006" s="929" t="s">
        <v>19966</v>
      </c>
      <c r="I2006" s="930">
        <v>45723</v>
      </c>
      <c r="J2006" s="923">
        <f>13%*9165</f>
        <v>1191.45</v>
      </c>
      <c r="N2006" s="66" t="s">
        <v>20024</v>
      </c>
      <c r="O2006" s="651">
        <v>26514.148000000001</v>
      </c>
    </row>
    <row r="2007" spans="1:15">
      <c r="A2007" s="843">
        <v>45761</v>
      </c>
      <c r="B2007" s="844">
        <v>275000</v>
      </c>
      <c r="C2007" s="845">
        <v>398750</v>
      </c>
      <c r="D2007" s="116">
        <v>0</v>
      </c>
      <c r="E2007" s="119">
        <f t="shared" si="62"/>
        <v>398750</v>
      </c>
      <c r="F2007" s="119">
        <f t="shared" si="63"/>
        <v>1.45</v>
      </c>
      <c r="G2007" s="846" t="s">
        <v>19652</v>
      </c>
      <c r="H2007" s="847" t="s">
        <v>19992</v>
      </c>
      <c r="I2007" s="848">
        <v>45751</v>
      </c>
      <c r="J2007" s="116">
        <v>0</v>
      </c>
      <c r="N2007" s="66" t="s">
        <v>20025</v>
      </c>
      <c r="O2007" s="651">
        <v>19930.885999999999</v>
      </c>
    </row>
    <row r="2008" spans="1:15">
      <c r="A2008" s="916">
        <v>45762</v>
      </c>
      <c r="B2008" s="917">
        <v>110040</v>
      </c>
      <c r="C2008" s="918">
        <f>76825.2*3.41085</f>
        <v>262039.23341999998</v>
      </c>
      <c r="D2008" s="922">
        <v>30980.7</v>
      </c>
      <c r="E2008" s="922">
        <f t="shared" si="62"/>
        <v>231058.53341999996</v>
      </c>
      <c r="F2008" s="922">
        <f t="shared" si="63"/>
        <v>2.0997685697928024</v>
      </c>
      <c r="G2008" s="928" t="s">
        <v>19852</v>
      </c>
      <c r="H2008" s="929" t="s">
        <v>19990</v>
      </c>
      <c r="I2008" s="930">
        <v>45751</v>
      </c>
      <c r="J2008" s="922">
        <f>20%*24408</f>
        <v>4881.6000000000004</v>
      </c>
      <c r="N2008" s="66" t="s">
        <v>20026</v>
      </c>
      <c r="O2008" s="651">
        <v>25657.348000000002</v>
      </c>
    </row>
    <row r="2009" spans="1:15">
      <c r="A2009" s="843">
        <v>45763</v>
      </c>
      <c r="B2009" s="844">
        <v>38400</v>
      </c>
      <c r="C2009" s="845">
        <v>77087.520000000004</v>
      </c>
      <c r="D2009" s="116">
        <v>0</v>
      </c>
      <c r="E2009" s="119">
        <f t="shared" si="62"/>
        <v>77087.520000000004</v>
      </c>
      <c r="F2009" s="119">
        <f t="shared" si="63"/>
        <v>2.0074875000000003</v>
      </c>
      <c r="G2009" s="846" t="s">
        <v>17385</v>
      </c>
      <c r="H2009" s="847" t="s">
        <v>19988</v>
      </c>
      <c r="I2009" s="848">
        <v>45751</v>
      </c>
      <c r="J2009" s="116">
        <v>0</v>
      </c>
      <c r="N2009" s="66" t="s">
        <v>20027</v>
      </c>
      <c r="O2009" s="651">
        <v>12210.53</v>
      </c>
    </row>
    <row r="2010" spans="1:15">
      <c r="A2010" s="913">
        <v>45763</v>
      </c>
      <c r="B2010" s="914">
        <v>52000</v>
      </c>
      <c r="C2010" s="915">
        <f>33120*2.99445</f>
        <v>99176.184000000008</v>
      </c>
      <c r="D2010" s="919">
        <v>15582.258</v>
      </c>
      <c r="E2010" s="920">
        <f t="shared" si="62"/>
        <v>83593.926000000007</v>
      </c>
      <c r="F2010" s="920">
        <f t="shared" si="63"/>
        <v>1.6075755</v>
      </c>
      <c r="G2010" s="925" t="s">
        <v>19726</v>
      </c>
      <c r="H2010" s="926" t="s">
        <v>19995</v>
      </c>
      <c r="I2010" s="927">
        <v>45751</v>
      </c>
      <c r="J2010" s="919">
        <f>20%*12355.6</f>
        <v>2471.1200000000003</v>
      </c>
      <c r="N2010" s="66" t="s">
        <v>20028</v>
      </c>
      <c r="O2010" s="651">
        <v>16916.794999999998</v>
      </c>
    </row>
    <row r="2011" spans="1:15">
      <c r="A2011" s="913">
        <v>45763</v>
      </c>
      <c r="B2011" s="914">
        <v>41800</v>
      </c>
      <c r="C2011" s="915">
        <f>32514*2.99445</f>
        <v>97361.547300000006</v>
      </c>
      <c r="D2011" s="919">
        <v>21825.606</v>
      </c>
      <c r="E2011" s="920">
        <f t="shared" si="62"/>
        <v>75535.941300000006</v>
      </c>
      <c r="F2011" s="920">
        <f t="shared" si="63"/>
        <v>1.8070799354066986</v>
      </c>
      <c r="G2011" s="925" t="s">
        <v>19726</v>
      </c>
      <c r="H2011" s="926" t="s">
        <v>19996</v>
      </c>
      <c r="I2011" s="927">
        <v>45751</v>
      </c>
      <c r="J2011" s="919">
        <f>20%*18567.808</f>
        <v>3713.5616000000005</v>
      </c>
      <c r="N2011" s="66" t="s">
        <v>20029</v>
      </c>
      <c r="O2011" s="651">
        <v>13949.92</v>
      </c>
    </row>
    <row r="2012" spans="1:15">
      <c r="A2012" s="913">
        <v>45764</v>
      </c>
      <c r="B2012" s="914">
        <v>20480</v>
      </c>
      <c r="C2012" s="915">
        <f>10172.16*3.40895</f>
        <v>34676.384831999996</v>
      </c>
      <c r="D2012" s="919">
        <v>12358.16</v>
      </c>
      <c r="E2012" s="920">
        <f t="shared" si="62"/>
        <v>22318.224831999996</v>
      </c>
      <c r="F2012" s="920">
        <f t="shared" si="63"/>
        <v>1.0897570718749998</v>
      </c>
      <c r="G2012" s="925" t="s">
        <v>17343</v>
      </c>
      <c r="H2012" s="926" t="s">
        <v>20009</v>
      </c>
      <c r="I2012" s="927">
        <v>45762</v>
      </c>
      <c r="J2012" s="919">
        <f>13%*8864.74</f>
        <v>1152.4162000000001</v>
      </c>
      <c r="N2012" s="66" t="s">
        <v>20030</v>
      </c>
      <c r="O2012" s="651">
        <v>13984.63</v>
      </c>
    </row>
    <row r="2013" spans="1:15">
      <c r="A2013" s="916">
        <v>45764</v>
      </c>
      <c r="B2013" s="917">
        <v>17192</v>
      </c>
      <c r="C2013" s="918">
        <f>7216.32*3.40895</f>
        <v>24600.074063999997</v>
      </c>
      <c r="D2013" s="922">
        <v>4349.5200000000004</v>
      </c>
      <c r="E2013" s="922">
        <f t="shared" si="62"/>
        <v>20250.554063999996</v>
      </c>
      <c r="F2013" s="922">
        <f t="shared" si="63"/>
        <v>1.177905657515123</v>
      </c>
      <c r="G2013" s="928" t="s">
        <v>17343</v>
      </c>
      <c r="H2013" s="929" t="s">
        <v>20008</v>
      </c>
      <c r="I2013" s="930">
        <v>45761</v>
      </c>
      <c r="J2013" s="922">
        <f>13%*2466.454</f>
        <v>320.63902000000002</v>
      </c>
      <c r="N2013" s="66" t="s">
        <v>20031</v>
      </c>
      <c r="O2013" s="651">
        <v>150180.42199999999</v>
      </c>
    </row>
    <row r="2014" spans="1:15">
      <c r="A2014" s="913">
        <v>45764</v>
      </c>
      <c r="B2014" s="914">
        <v>19200</v>
      </c>
      <c r="C2014" s="915">
        <f>13804*3.40895</f>
        <v>47057.145799999998</v>
      </c>
      <c r="D2014" s="919">
        <v>6836.69</v>
      </c>
      <c r="E2014" s="920">
        <f t="shared" si="62"/>
        <v>40220.455799999996</v>
      </c>
      <c r="F2014" s="920">
        <f t="shared" si="63"/>
        <v>2.09481540625</v>
      </c>
      <c r="G2014" s="925" t="s">
        <v>19796</v>
      </c>
      <c r="H2014" s="926" t="s">
        <v>19998</v>
      </c>
      <c r="I2014" s="927">
        <v>45751</v>
      </c>
      <c r="J2014" s="919">
        <f>20%*4733.7</f>
        <v>946.74</v>
      </c>
      <c r="N2014" s="66" t="s">
        <v>20032</v>
      </c>
      <c r="O2014" s="651">
        <v>0</v>
      </c>
    </row>
    <row r="2015" spans="1:15">
      <c r="A2015" s="913">
        <v>45765</v>
      </c>
      <c r="B2015" s="914">
        <v>56000</v>
      </c>
      <c r="C2015" s="915">
        <f>36036*2.99505</f>
        <v>107929.62179999999</v>
      </c>
      <c r="D2015" s="919">
        <v>19042.29</v>
      </c>
      <c r="E2015" s="920">
        <f t="shared" si="62"/>
        <v>88887.331799999985</v>
      </c>
      <c r="F2015" s="920">
        <f t="shared" si="63"/>
        <v>1.5872737821428569</v>
      </c>
      <c r="G2015" s="925" t="s">
        <v>19837</v>
      </c>
      <c r="H2015" s="926" t="s">
        <v>20003</v>
      </c>
      <c r="I2015" s="927">
        <v>45761</v>
      </c>
      <c r="J2015" s="919">
        <f>20%*14964.6</f>
        <v>2992.92</v>
      </c>
      <c r="N2015" s="66" t="s">
        <v>20033</v>
      </c>
      <c r="O2015" s="651">
        <v>0</v>
      </c>
    </row>
    <row r="2016" spans="1:15">
      <c r="A2016" s="843">
        <v>45765</v>
      </c>
      <c r="B2016" s="844">
        <v>171288</v>
      </c>
      <c r="C2016" s="845">
        <v>359941.08</v>
      </c>
      <c r="D2016" s="116">
        <v>0</v>
      </c>
      <c r="E2016" s="119">
        <f t="shared" si="62"/>
        <v>359941.08</v>
      </c>
      <c r="F2016" s="119">
        <f t="shared" si="63"/>
        <v>2.1013794311335294</v>
      </c>
      <c r="G2016" s="846" t="s">
        <v>19656</v>
      </c>
      <c r="H2016" s="847" t="s">
        <v>19993</v>
      </c>
      <c r="I2016" s="848">
        <v>45751</v>
      </c>
      <c r="J2016" s="116">
        <v>0</v>
      </c>
      <c r="N2016" s="66" t="s">
        <v>20034</v>
      </c>
      <c r="O2016" s="651">
        <v>0</v>
      </c>
    </row>
    <row r="2017" spans="1:15">
      <c r="A2017" s="913">
        <v>45770</v>
      </c>
      <c r="B2017" s="914">
        <v>56000</v>
      </c>
      <c r="C2017" s="915">
        <f>35510*3.40695</f>
        <v>120980.7945</v>
      </c>
      <c r="D2017" s="919">
        <v>18609.36</v>
      </c>
      <c r="E2017" s="920">
        <f t="shared" si="62"/>
        <v>102371.4345</v>
      </c>
      <c r="F2017" s="920">
        <f t="shared" si="63"/>
        <v>1.8280613303571429</v>
      </c>
      <c r="G2017" s="925" t="s">
        <v>19796</v>
      </c>
      <c r="H2017" s="926" t="s">
        <v>19999</v>
      </c>
      <c r="I2017" s="927">
        <v>45751</v>
      </c>
      <c r="J2017" s="919">
        <f>20%*15585.6</f>
        <v>3117.1200000000003</v>
      </c>
      <c r="N2017" s="66" t="s">
        <v>20035</v>
      </c>
      <c r="O2017" s="651">
        <v>0</v>
      </c>
    </row>
    <row r="2018" spans="1:15">
      <c r="A2018" s="843">
        <v>45771</v>
      </c>
      <c r="B2018" s="844">
        <v>180000</v>
      </c>
      <c r="C2018" s="845">
        <v>293400</v>
      </c>
      <c r="D2018" s="116">
        <v>0</v>
      </c>
      <c r="E2018" s="119">
        <f t="shared" si="62"/>
        <v>293400</v>
      </c>
      <c r="F2018" s="119">
        <f t="shared" si="63"/>
        <v>1.63</v>
      </c>
      <c r="G2018" s="846" t="s">
        <v>19647</v>
      </c>
      <c r="H2018" s="847" t="s">
        <v>20002</v>
      </c>
      <c r="I2018" s="848">
        <v>45761</v>
      </c>
      <c r="J2018" s="116">
        <v>0</v>
      </c>
      <c r="N2018" s="66" t="s">
        <v>20036</v>
      </c>
      <c r="O2018" s="651">
        <v>0</v>
      </c>
    </row>
    <row r="2019" spans="1:15">
      <c r="A2019" s="913">
        <v>45772</v>
      </c>
      <c r="B2019" s="914">
        <v>27500</v>
      </c>
      <c r="C2019" s="915">
        <f>47029*2.97065</f>
        <v>139706.69884999999</v>
      </c>
      <c r="D2019" s="922">
        <v>4000</v>
      </c>
      <c r="E2019" s="922">
        <f t="shared" si="62"/>
        <v>135706.69884999999</v>
      </c>
      <c r="F2019" s="922">
        <f t="shared" si="63"/>
        <v>4.9347890490909085</v>
      </c>
      <c r="G2019" s="928" t="s">
        <v>19789</v>
      </c>
      <c r="H2019" s="929" t="s">
        <v>19977</v>
      </c>
      <c r="I2019" s="927">
        <v>45734</v>
      </c>
      <c r="J2019" s="921">
        <v>0</v>
      </c>
      <c r="N2019" s="66" t="s">
        <v>20037</v>
      </c>
      <c r="O2019" s="651">
        <v>0</v>
      </c>
    </row>
    <row r="2020" spans="1:15">
      <c r="A2020" s="913">
        <v>45772</v>
      </c>
      <c r="B2020" s="914">
        <v>47942</v>
      </c>
      <c r="C2020" s="915">
        <f>49153.92*2.97065</f>
        <v>146019.09244799998</v>
      </c>
      <c r="D2020" s="117">
        <v>19036.16</v>
      </c>
      <c r="E2020" s="920">
        <f t="shared" si="62"/>
        <v>126982.93244799998</v>
      </c>
      <c r="F2020" s="920">
        <f t="shared" si="63"/>
        <v>2.6486782455467019</v>
      </c>
      <c r="G2020" s="925" t="s">
        <v>19779</v>
      </c>
      <c r="H2020" s="926" t="s">
        <v>19997</v>
      </c>
      <c r="I2020" s="927">
        <v>45751</v>
      </c>
      <c r="J2020" s="117">
        <f>15738.4*13%</f>
        <v>2045.992</v>
      </c>
      <c r="N2020" s="66" t="s">
        <v>20038</v>
      </c>
      <c r="O2020" s="651">
        <v>0</v>
      </c>
    </row>
    <row r="2021" spans="1:15">
      <c r="A2021" s="913">
        <v>45773</v>
      </c>
      <c r="B2021" s="914">
        <v>16700</v>
      </c>
      <c r="C2021" s="915">
        <f>18843*2.99315</f>
        <v>56399.925450000002</v>
      </c>
      <c r="D2021" s="919">
        <v>6936.3940000000002</v>
      </c>
      <c r="E2021" s="920">
        <f t="shared" si="62"/>
        <v>49463.531450000002</v>
      </c>
      <c r="F2021" s="920">
        <f t="shared" si="63"/>
        <v>2.9618881107784434</v>
      </c>
      <c r="G2021" s="925" t="s">
        <v>17403</v>
      </c>
      <c r="H2021" s="926" t="s">
        <v>19991</v>
      </c>
      <c r="I2021" s="927">
        <v>45751</v>
      </c>
      <c r="J2021" s="919">
        <f>13%*3817.744</f>
        <v>496.30672000000004</v>
      </c>
      <c r="N2021" s="66" t="s">
        <v>20039</v>
      </c>
      <c r="O2021" s="651">
        <v>16535.41</v>
      </c>
    </row>
    <row r="2022" spans="1:15">
      <c r="A2022" s="843">
        <v>45775</v>
      </c>
      <c r="B2022" s="844">
        <v>38400</v>
      </c>
      <c r="C2022" s="845">
        <v>84480</v>
      </c>
      <c r="D2022" s="116">
        <v>0</v>
      </c>
      <c r="E2022" s="119">
        <f t="shared" si="62"/>
        <v>84480</v>
      </c>
      <c r="F2022" s="119">
        <f t="shared" si="63"/>
        <v>2.2000000000000002</v>
      </c>
      <c r="G2022" s="846" t="s">
        <v>19655</v>
      </c>
      <c r="H2022" s="847" t="s">
        <v>19989</v>
      </c>
      <c r="I2022" s="848">
        <v>45751</v>
      </c>
      <c r="J2022" s="116">
        <v>0</v>
      </c>
      <c r="N2022" s="66" t="s">
        <v>20040</v>
      </c>
      <c r="O2022" s="651">
        <v>16175.21</v>
      </c>
    </row>
    <row r="2023" spans="1:15">
      <c r="A2023" s="843">
        <v>45775</v>
      </c>
      <c r="B2023" s="844">
        <v>41500</v>
      </c>
      <c r="C2023" s="845">
        <v>85490</v>
      </c>
      <c r="D2023" s="116">
        <v>0</v>
      </c>
      <c r="E2023" s="119">
        <f t="shared" si="62"/>
        <v>85490</v>
      </c>
      <c r="F2023" s="119">
        <f t="shared" si="63"/>
        <v>2.06</v>
      </c>
      <c r="G2023" s="846" t="s">
        <v>19655</v>
      </c>
      <c r="H2023" s="847" t="s">
        <v>20011</v>
      </c>
      <c r="I2023" s="848">
        <v>45770</v>
      </c>
      <c r="J2023" s="116">
        <v>0</v>
      </c>
      <c r="N2023" s="66" t="s">
        <v>20041</v>
      </c>
      <c r="O2023" s="651">
        <v>16174.41</v>
      </c>
    </row>
    <row r="2024" spans="1:15">
      <c r="A2024" s="913">
        <v>45775</v>
      </c>
      <c r="B2024" s="914">
        <v>192000</v>
      </c>
      <c r="C2024" s="915">
        <f>134760*3.41865</f>
        <v>460697.27399999998</v>
      </c>
      <c r="D2024" s="919">
        <v>60395.15</v>
      </c>
      <c r="E2024" s="920">
        <f t="shared" ref="E2024:E2087" si="64">(C2024-D2024)</f>
        <v>400302.12399999995</v>
      </c>
      <c r="F2024" s="920">
        <f t="shared" ref="F2024:F2087" si="65">(E2024/B2024)</f>
        <v>2.084906895833333</v>
      </c>
      <c r="G2024" s="925" t="s">
        <v>19857</v>
      </c>
      <c r="H2024" s="926" t="s">
        <v>20007</v>
      </c>
      <c r="I2024" s="927">
        <v>45761</v>
      </c>
      <c r="J2024" s="919">
        <f>20%*42090</f>
        <v>8418</v>
      </c>
      <c r="N2024" s="66" t="s">
        <v>20042</v>
      </c>
      <c r="O2024" s="651">
        <v>16165.21</v>
      </c>
    </row>
    <row r="2025" spans="1:15">
      <c r="A2025" s="843">
        <v>45776</v>
      </c>
      <c r="B2025" s="844">
        <v>15500</v>
      </c>
      <c r="C2025" s="845">
        <v>55475</v>
      </c>
      <c r="D2025" s="116">
        <v>0</v>
      </c>
      <c r="E2025" s="119">
        <f t="shared" si="64"/>
        <v>55475</v>
      </c>
      <c r="F2025" s="119">
        <f t="shared" si="65"/>
        <v>3.5790322580645162</v>
      </c>
      <c r="G2025" s="846" t="s">
        <v>17018</v>
      </c>
      <c r="H2025" s="847" t="s">
        <v>19980</v>
      </c>
      <c r="I2025" s="848">
        <v>45735</v>
      </c>
      <c r="J2025" s="116">
        <v>0</v>
      </c>
      <c r="N2025" s="66" t="s">
        <v>20043</v>
      </c>
      <c r="O2025" s="651">
        <v>0</v>
      </c>
    </row>
    <row r="2026" spans="1:15">
      <c r="A2026" s="843">
        <v>45777</v>
      </c>
      <c r="B2026" s="844">
        <v>137500</v>
      </c>
      <c r="C2026" s="845">
        <v>206250</v>
      </c>
      <c r="D2026" s="116">
        <v>0</v>
      </c>
      <c r="E2026" s="119">
        <f t="shared" si="64"/>
        <v>206250</v>
      </c>
      <c r="F2026" s="119">
        <f t="shared" si="65"/>
        <v>1.5</v>
      </c>
      <c r="G2026" s="846" t="s">
        <v>19655</v>
      </c>
      <c r="H2026" s="847" t="s">
        <v>20005</v>
      </c>
      <c r="I2026" s="848">
        <v>45761</v>
      </c>
      <c r="J2026" s="116">
        <v>0</v>
      </c>
      <c r="N2026" s="66" t="s">
        <v>20044</v>
      </c>
      <c r="O2026" s="651">
        <v>31695.974999999999</v>
      </c>
    </row>
    <row r="2027" spans="1:15">
      <c r="A2027" s="843">
        <v>45777</v>
      </c>
      <c r="B2027" s="844">
        <v>76800</v>
      </c>
      <c r="C2027" s="845">
        <v>161280</v>
      </c>
      <c r="D2027" s="116">
        <v>0</v>
      </c>
      <c r="E2027" s="119">
        <f t="shared" si="64"/>
        <v>161280</v>
      </c>
      <c r="F2027" s="119">
        <f t="shared" si="65"/>
        <v>2.1</v>
      </c>
      <c r="G2027" s="846" t="s">
        <v>19833</v>
      </c>
      <c r="H2027" s="847" t="s">
        <v>20000</v>
      </c>
      <c r="I2027" s="848">
        <v>45751</v>
      </c>
      <c r="J2027" s="116">
        <v>0</v>
      </c>
      <c r="N2027" s="66" t="s">
        <v>20045</v>
      </c>
      <c r="O2027" s="651">
        <v>5043.9889999999996</v>
      </c>
    </row>
    <row r="2028" spans="1:15">
      <c r="A2028" s="843">
        <v>45777</v>
      </c>
      <c r="B2028" s="844">
        <v>491000</v>
      </c>
      <c r="C2028" s="845">
        <v>806137</v>
      </c>
      <c r="D2028" s="116">
        <v>0</v>
      </c>
      <c r="E2028" s="119">
        <f t="shared" si="64"/>
        <v>806137</v>
      </c>
      <c r="F2028" s="119">
        <f t="shared" si="65"/>
        <v>1.6418268839103869</v>
      </c>
      <c r="G2028" s="846" t="s">
        <v>19833</v>
      </c>
      <c r="H2028" s="847" t="s">
        <v>20001</v>
      </c>
      <c r="I2028" s="848">
        <v>45761</v>
      </c>
      <c r="J2028" s="116">
        <v>0</v>
      </c>
      <c r="N2028" s="66" t="s">
        <v>20046</v>
      </c>
      <c r="O2028" s="651">
        <v>22935.360000000001</v>
      </c>
    </row>
    <row r="2029" spans="1:15">
      <c r="A2029" s="843">
        <v>45777</v>
      </c>
      <c r="B2029" s="844">
        <v>157500</v>
      </c>
      <c r="C2029" s="845">
        <v>256725</v>
      </c>
      <c r="D2029" s="116">
        <v>0</v>
      </c>
      <c r="E2029" s="119">
        <f t="shared" si="64"/>
        <v>256725</v>
      </c>
      <c r="F2029" s="119">
        <f t="shared" si="65"/>
        <v>1.63</v>
      </c>
      <c r="G2029" s="846" t="s">
        <v>19647</v>
      </c>
      <c r="H2029" s="847" t="s">
        <v>20010</v>
      </c>
      <c r="I2029" s="848">
        <v>45770</v>
      </c>
      <c r="J2029" s="116">
        <v>0</v>
      </c>
      <c r="N2029" s="66" t="s">
        <v>20047</v>
      </c>
      <c r="O2029" s="651">
        <v>0</v>
      </c>
    </row>
    <row r="2030" spans="1:15">
      <c r="A2030" s="843">
        <v>45777</v>
      </c>
      <c r="B2030" s="844">
        <v>240080</v>
      </c>
      <c r="C2030" s="845">
        <f>176713.6*2.99975</f>
        <v>530096.62160000007</v>
      </c>
      <c r="D2030" s="116">
        <v>0</v>
      </c>
      <c r="E2030" s="119">
        <f t="shared" si="64"/>
        <v>530096.62160000007</v>
      </c>
      <c r="F2030" s="119">
        <f t="shared" si="65"/>
        <v>2.2079999233588805</v>
      </c>
      <c r="G2030" s="846" t="s">
        <v>20048</v>
      </c>
      <c r="H2030" s="847" t="s">
        <v>20012</v>
      </c>
      <c r="I2030" s="848">
        <v>45772</v>
      </c>
      <c r="J2030" s="116">
        <v>0</v>
      </c>
      <c r="N2030" s="66" t="s">
        <v>20049</v>
      </c>
      <c r="O2030" s="651">
        <v>0</v>
      </c>
    </row>
    <row r="2031" spans="1:15">
      <c r="A2031" s="843">
        <v>45784</v>
      </c>
      <c r="B2031" s="931">
        <v>137500</v>
      </c>
      <c r="C2031" s="845">
        <f>412500/2</f>
        <v>206250</v>
      </c>
      <c r="D2031" s="116">
        <v>0</v>
      </c>
      <c r="E2031" s="119">
        <f t="shared" si="64"/>
        <v>206250</v>
      </c>
      <c r="F2031" s="119">
        <f t="shared" si="65"/>
        <v>1.5</v>
      </c>
      <c r="G2031" s="948" t="s">
        <v>19655</v>
      </c>
      <c r="H2031" s="847" t="s">
        <v>20005</v>
      </c>
      <c r="I2031" s="848">
        <v>45761</v>
      </c>
      <c r="J2031" s="116">
        <v>0</v>
      </c>
      <c r="N2031" s="66" t="s">
        <v>20050</v>
      </c>
      <c r="O2031" s="651">
        <v>7769.0649999999996</v>
      </c>
    </row>
    <row r="2032" spans="1:15">
      <c r="A2032" s="843">
        <v>45784</v>
      </c>
      <c r="B2032" s="931">
        <v>39200</v>
      </c>
      <c r="C2032" s="845">
        <v>83350</v>
      </c>
      <c r="D2032" s="116">
        <v>0</v>
      </c>
      <c r="E2032" s="119">
        <f t="shared" si="64"/>
        <v>83350</v>
      </c>
      <c r="F2032" s="119">
        <f t="shared" si="65"/>
        <v>2.1262755102040818</v>
      </c>
      <c r="G2032" s="948" t="s">
        <v>19652</v>
      </c>
      <c r="H2032" s="847" t="s">
        <v>20004</v>
      </c>
      <c r="I2032" s="848">
        <v>45761</v>
      </c>
      <c r="J2032" s="116">
        <v>0</v>
      </c>
      <c r="N2032" s="66" t="s">
        <v>20051</v>
      </c>
      <c r="O2032" s="651">
        <v>0</v>
      </c>
    </row>
    <row r="2033" spans="1:15">
      <c r="A2033" s="843">
        <v>45785</v>
      </c>
      <c r="B2033" s="931">
        <v>6000</v>
      </c>
      <c r="C2033" s="845">
        <f>5340*2.99725</f>
        <v>16005.315000000001</v>
      </c>
      <c r="D2033" s="116">
        <v>0</v>
      </c>
      <c r="E2033" s="119">
        <f t="shared" si="64"/>
        <v>16005.315000000001</v>
      </c>
      <c r="F2033" s="119">
        <f t="shared" si="65"/>
        <v>2.6675525000000002</v>
      </c>
      <c r="G2033" s="948" t="s">
        <v>20052</v>
      </c>
      <c r="H2033" s="847" t="s">
        <v>19976</v>
      </c>
      <c r="I2033" s="848">
        <v>45733</v>
      </c>
      <c r="J2033" s="116">
        <v>0</v>
      </c>
      <c r="N2033" s="66" t="s">
        <v>20053</v>
      </c>
      <c r="O2033" s="651">
        <v>0</v>
      </c>
    </row>
    <row r="2034" spans="1:15">
      <c r="A2034" s="843">
        <v>45785</v>
      </c>
      <c r="B2034" s="931">
        <v>57600</v>
      </c>
      <c r="C2034" s="845">
        <v>126144</v>
      </c>
      <c r="D2034" s="116">
        <v>0</v>
      </c>
      <c r="E2034" s="119">
        <f t="shared" si="64"/>
        <v>126144</v>
      </c>
      <c r="F2034" s="119">
        <f t="shared" si="65"/>
        <v>2.19</v>
      </c>
      <c r="G2034" s="948" t="s">
        <v>19656</v>
      </c>
      <c r="H2034" s="847" t="s">
        <v>20013</v>
      </c>
      <c r="I2034" s="848">
        <v>45776</v>
      </c>
      <c r="J2034" s="116">
        <v>0</v>
      </c>
      <c r="N2034" s="66" t="s">
        <v>20054</v>
      </c>
      <c r="O2034" s="651">
        <v>5526.125</v>
      </c>
    </row>
    <row r="2035" spans="1:15">
      <c r="A2035" s="843">
        <v>45786</v>
      </c>
      <c r="B2035" s="931">
        <v>76800</v>
      </c>
      <c r="C2035" s="845">
        <v>168960</v>
      </c>
      <c r="D2035" s="116">
        <v>0</v>
      </c>
      <c r="E2035" s="119">
        <f t="shared" si="64"/>
        <v>168960</v>
      </c>
      <c r="F2035" s="119">
        <f t="shared" si="65"/>
        <v>2.2000000000000002</v>
      </c>
      <c r="G2035" s="948" t="s">
        <v>19656</v>
      </c>
      <c r="H2035" s="847" t="s">
        <v>20014</v>
      </c>
      <c r="I2035" s="848">
        <v>45782</v>
      </c>
      <c r="J2035" s="116">
        <v>0</v>
      </c>
      <c r="N2035" s="66" t="s">
        <v>20055</v>
      </c>
      <c r="O2035" s="651">
        <v>0</v>
      </c>
    </row>
    <row r="2036" spans="1:15">
      <c r="A2036" s="843">
        <v>45792</v>
      </c>
      <c r="B2036" s="931">
        <v>275000</v>
      </c>
      <c r="C2036" s="845">
        <v>412500</v>
      </c>
      <c r="D2036" s="116">
        <v>0</v>
      </c>
      <c r="E2036" s="119">
        <f t="shared" si="64"/>
        <v>412500</v>
      </c>
      <c r="F2036" s="119">
        <f t="shared" si="65"/>
        <v>1.5</v>
      </c>
      <c r="G2036" s="948" t="s">
        <v>19655</v>
      </c>
      <c r="H2036" s="847" t="s">
        <v>20015</v>
      </c>
      <c r="I2036" s="848">
        <v>45786</v>
      </c>
      <c r="J2036" s="116">
        <v>0</v>
      </c>
      <c r="N2036" s="66" t="s">
        <v>20056</v>
      </c>
      <c r="O2036" s="651">
        <v>40553.285000000003</v>
      </c>
    </row>
    <row r="2037" spans="1:15">
      <c r="A2037" s="843">
        <v>45792</v>
      </c>
      <c r="B2037" s="931">
        <v>52000</v>
      </c>
      <c r="C2037" s="845">
        <f>33120*3.03685</f>
        <v>100580.47199999999</v>
      </c>
      <c r="D2037" s="116">
        <v>15435.2</v>
      </c>
      <c r="E2037" s="119">
        <f t="shared" si="64"/>
        <v>85145.271999999997</v>
      </c>
      <c r="F2037" s="119">
        <f t="shared" si="65"/>
        <v>1.6374090769230769</v>
      </c>
      <c r="G2037" s="948" t="s">
        <v>19726</v>
      </c>
      <c r="H2037" s="847" t="s">
        <v>20016</v>
      </c>
      <c r="I2037" s="848">
        <v>45782</v>
      </c>
      <c r="J2037" s="116">
        <f>20%*12181.8</f>
        <v>2436.36</v>
      </c>
      <c r="N2037" s="66" t="s">
        <v>20057</v>
      </c>
      <c r="O2037" s="651">
        <v>0</v>
      </c>
    </row>
    <row r="2038" spans="1:15">
      <c r="A2038" s="843">
        <v>45796</v>
      </c>
      <c r="B2038" s="931">
        <v>96000</v>
      </c>
      <c r="C2038" s="845">
        <f>68900*3.3816</f>
        <v>232992.24000000002</v>
      </c>
      <c r="D2038" s="116">
        <v>28326.47</v>
      </c>
      <c r="E2038" s="119">
        <f t="shared" si="64"/>
        <v>204665.77000000002</v>
      </c>
      <c r="F2038" s="119">
        <f t="shared" si="65"/>
        <v>2.1319351041666668</v>
      </c>
      <c r="G2038" s="948" t="s">
        <v>19857</v>
      </c>
      <c r="H2038" s="847" t="s">
        <v>20020</v>
      </c>
      <c r="I2038" s="848">
        <v>45786</v>
      </c>
      <c r="J2038" s="116">
        <f>20%*20851.8</f>
        <v>4170.3599999999997</v>
      </c>
      <c r="N2038" s="66" t="s">
        <v>20058</v>
      </c>
      <c r="O2038" s="651">
        <v>36115.915000000001</v>
      </c>
    </row>
    <row r="2039" spans="1:15">
      <c r="A2039" s="843">
        <v>45796</v>
      </c>
      <c r="B2039" s="931">
        <v>62000</v>
      </c>
      <c r="C2039" s="845">
        <f>49564*3.37915</f>
        <v>167484.1906</v>
      </c>
      <c r="D2039" s="116">
        <v>24495.34</v>
      </c>
      <c r="E2039" s="119">
        <f t="shared" si="64"/>
        <v>142988.85060000001</v>
      </c>
      <c r="F2039" s="119">
        <f t="shared" si="65"/>
        <v>2.3062717838709679</v>
      </c>
      <c r="G2039" s="948" t="s">
        <v>20059</v>
      </c>
      <c r="H2039" s="847" t="s">
        <v>20019</v>
      </c>
      <c r="I2039" s="848">
        <v>45786</v>
      </c>
      <c r="J2039" s="116">
        <f>20%*19762.8</f>
        <v>3952.56</v>
      </c>
      <c r="N2039" s="66" t="s">
        <v>20060</v>
      </c>
      <c r="O2039" s="651">
        <v>6045.4</v>
      </c>
    </row>
    <row r="2040" spans="1:15">
      <c r="A2040" s="843">
        <v>45796</v>
      </c>
      <c r="B2040" s="931">
        <v>82500</v>
      </c>
      <c r="C2040" s="845">
        <f>41075*3.37915</f>
        <v>138798.58624999999</v>
      </c>
      <c r="D2040" s="116">
        <v>19930.885999999999</v>
      </c>
      <c r="E2040" s="119">
        <f t="shared" si="64"/>
        <v>118867.70024999999</v>
      </c>
      <c r="F2040" s="119">
        <f t="shared" si="65"/>
        <v>1.440820609090909</v>
      </c>
      <c r="G2040" s="948" t="s">
        <v>19722</v>
      </c>
      <c r="H2040" s="847" t="s">
        <v>20025</v>
      </c>
      <c r="I2040" s="848">
        <v>45786</v>
      </c>
      <c r="J2040" s="116">
        <f>20%*14507.136</f>
        <v>2901.4272000000001</v>
      </c>
      <c r="N2040" s="66" t="s">
        <v>20061</v>
      </c>
      <c r="O2040" s="651">
        <v>0</v>
      </c>
    </row>
    <row r="2041" spans="1:15">
      <c r="A2041" s="843">
        <v>45797</v>
      </c>
      <c r="B2041" s="931">
        <v>76800</v>
      </c>
      <c r="C2041" s="845">
        <v>168960</v>
      </c>
      <c r="D2041" s="116">
        <v>0</v>
      </c>
      <c r="E2041" s="119">
        <f t="shared" si="64"/>
        <v>168960</v>
      </c>
      <c r="F2041" s="119">
        <f t="shared" si="65"/>
        <v>2.2000000000000002</v>
      </c>
      <c r="G2041" s="948" t="s">
        <v>19656</v>
      </c>
      <c r="H2041" s="847" t="s">
        <v>20032</v>
      </c>
      <c r="I2041" s="848">
        <v>45789</v>
      </c>
      <c r="J2041" s="116">
        <v>0</v>
      </c>
      <c r="N2041" s="66" t="s">
        <v>20062</v>
      </c>
      <c r="O2041" s="651">
        <v>0</v>
      </c>
    </row>
    <row r="2042" spans="1:15">
      <c r="A2042" s="843">
        <v>45797</v>
      </c>
      <c r="B2042" s="931">
        <v>24720</v>
      </c>
      <c r="C2042" s="845">
        <f>23407.78*3.37915</f>
        <v>79098.399787000002</v>
      </c>
      <c r="D2042" s="116">
        <v>16535.41</v>
      </c>
      <c r="E2042" s="119">
        <f t="shared" si="64"/>
        <v>62562.989786999999</v>
      </c>
      <c r="F2042" s="119">
        <f t="shared" si="65"/>
        <v>2.5308652826456308</v>
      </c>
      <c r="G2042" s="948" t="s">
        <v>19661</v>
      </c>
      <c r="H2042" s="847" t="s">
        <v>20039</v>
      </c>
      <c r="I2042" s="848">
        <v>45790</v>
      </c>
      <c r="J2042" s="116">
        <f>20%*14524.8</f>
        <v>2904.96</v>
      </c>
      <c r="N2042" s="66" t="s">
        <v>20063</v>
      </c>
      <c r="O2042" s="651">
        <v>0</v>
      </c>
    </row>
    <row r="2043" spans="1:15">
      <c r="A2043" s="843">
        <v>45797</v>
      </c>
      <c r="B2043" s="931">
        <v>110000</v>
      </c>
      <c r="C2043" s="845">
        <f>55100*3.37915</f>
        <v>186191.16500000001</v>
      </c>
      <c r="D2043" s="116">
        <v>26514.148000000001</v>
      </c>
      <c r="E2043" s="119">
        <f t="shared" si="64"/>
        <v>159677.01699999999</v>
      </c>
      <c r="F2043" s="119">
        <f t="shared" si="65"/>
        <v>1.4516092454545453</v>
      </c>
      <c r="G2043" s="948" t="s">
        <v>19722</v>
      </c>
      <c r="H2043" s="847" t="s">
        <v>20024</v>
      </c>
      <c r="I2043" s="848">
        <v>45786</v>
      </c>
      <c r="J2043" s="116">
        <f>20%*19342.848</f>
        <v>3868.5696000000007</v>
      </c>
      <c r="N2043" s="66" t="s">
        <v>20064</v>
      </c>
      <c r="O2043" s="651">
        <v>0</v>
      </c>
    </row>
    <row r="2044" spans="1:15">
      <c r="A2044" s="843">
        <v>45798</v>
      </c>
      <c r="B2044" s="931">
        <v>110000</v>
      </c>
      <c r="C2044" s="845">
        <f>55100*3.38145</f>
        <v>186317.89499999999</v>
      </c>
      <c r="D2044" s="116">
        <v>25657.348000000002</v>
      </c>
      <c r="E2044" s="119">
        <f t="shared" si="64"/>
        <v>160660.54699999999</v>
      </c>
      <c r="F2044" s="119">
        <f t="shared" si="65"/>
        <v>1.4605504272727272</v>
      </c>
      <c r="G2044" s="948" t="s">
        <v>19722</v>
      </c>
      <c r="H2044" s="847" t="s">
        <v>20026</v>
      </c>
      <c r="I2044" s="848">
        <v>45786</v>
      </c>
      <c r="J2044" s="116">
        <f>20%*19342.848</f>
        <v>3868.5696000000007</v>
      </c>
      <c r="N2044" s="66" t="s">
        <v>20065</v>
      </c>
      <c r="O2044" s="651">
        <v>0</v>
      </c>
    </row>
    <row r="2045" spans="1:15">
      <c r="A2045" s="843">
        <v>45799</v>
      </c>
      <c r="B2045" s="931">
        <v>52216</v>
      </c>
      <c r="C2045" s="845">
        <v>93134.36</v>
      </c>
      <c r="D2045" s="116">
        <v>0</v>
      </c>
      <c r="E2045" s="119">
        <f t="shared" si="64"/>
        <v>93134.36</v>
      </c>
      <c r="F2045" s="119">
        <f t="shared" si="65"/>
        <v>1.7836364332771564</v>
      </c>
      <c r="G2045" s="948" t="s">
        <v>19655</v>
      </c>
      <c r="H2045" s="847" t="s">
        <v>20038</v>
      </c>
      <c r="I2045" s="848">
        <v>45790</v>
      </c>
      <c r="J2045" s="116">
        <v>0</v>
      </c>
      <c r="N2045" s="66" t="s">
        <v>20066</v>
      </c>
      <c r="O2045" s="651">
        <v>0</v>
      </c>
    </row>
    <row r="2046" spans="1:15">
      <c r="A2046" s="843">
        <v>45799</v>
      </c>
      <c r="B2046" s="931">
        <v>43200</v>
      </c>
      <c r="C2046" s="845">
        <v>92880</v>
      </c>
      <c r="D2046" s="116">
        <v>0</v>
      </c>
      <c r="E2046" s="119">
        <f t="shared" si="64"/>
        <v>92880</v>
      </c>
      <c r="F2046" s="119">
        <f t="shared" si="65"/>
        <v>2.15</v>
      </c>
      <c r="G2046" s="948" t="s">
        <v>19655</v>
      </c>
      <c r="H2046" s="847" t="s">
        <v>20033</v>
      </c>
      <c r="I2046" s="848">
        <v>45789</v>
      </c>
      <c r="J2046" s="116">
        <v>0</v>
      </c>
      <c r="N2046" s="66" t="s">
        <v>20067</v>
      </c>
      <c r="O2046" s="651">
        <v>0</v>
      </c>
    </row>
    <row r="2047" spans="1:15">
      <c r="A2047" s="843">
        <v>45799</v>
      </c>
      <c r="B2047" s="931">
        <v>56000</v>
      </c>
      <c r="C2047" s="845">
        <v>96160</v>
      </c>
      <c r="D2047" s="116">
        <v>0</v>
      </c>
      <c r="E2047" s="119">
        <f t="shared" si="64"/>
        <v>96160</v>
      </c>
      <c r="F2047" s="119">
        <f t="shared" si="65"/>
        <v>1.7171428571428571</v>
      </c>
      <c r="G2047" s="948" t="s">
        <v>19655</v>
      </c>
      <c r="H2047" s="847" t="s">
        <v>20037</v>
      </c>
      <c r="I2047" s="848">
        <v>45789</v>
      </c>
      <c r="J2047" s="116">
        <v>0</v>
      </c>
      <c r="N2047" s="66" t="s">
        <v>20068</v>
      </c>
      <c r="O2047" s="651">
        <v>0</v>
      </c>
    </row>
    <row r="2048" spans="1:15">
      <c r="A2048" s="843">
        <v>45799</v>
      </c>
      <c r="B2048" s="931">
        <v>24000</v>
      </c>
      <c r="C2048" s="845">
        <f>27570*3.00125</f>
        <v>82744.462500000009</v>
      </c>
      <c r="D2048" s="116">
        <v>0</v>
      </c>
      <c r="E2048" s="119">
        <f t="shared" si="64"/>
        <v>82744.462500000009</v>
      </c>
      <c r="F2048" s="119">
        <f t="shared" si="65"/>
        <v>3.4476859375000002</v>
      </c>
      <c r="G2048" s="846" t="s">
        <v>20048</v>
      </c>
      <c r="H2048" s="847" t="s">
        <v>20043</v>
      </c>
      <c r="I2048" s="848">
        <v>45791</v>
      </c>
      <c r="J2048" s="116">
        <v>0</v>
      </c>
      <c r="N2048" s="66" t="s">
        <v>20069</v>
      </c>
      <c r="O2048" s="651">
        <v>0</v>
      </c>
    </row>
    <row r="2049" spans="1:15">
      <c r="A2049" s="932">
        <v>45800</v>
      </c>
      <c r="B2049" s="933">
        <v>8400</v>
      </c>
      <c r="C2049" s="934">
        <f>6552*2.9923</f>
        <v>19605.549600000002</v>
      </c>
      <c r="D2049" s="935">
        <v>4500</v>
      </c>
      <c r="E2049" s="936">
        <f t="shared" si="64"/>
        <v>15105.549600000002</v>
      </c>
      <c r="F2049" s="936">
        <f t="shared" si="65"/>
        <v>1.7982797142857145</v>
      </c>
      <c r="G2049" s="949" t="s">
        <v>17403</v>
      </c>
      <c r="H2049" s="950" t="s">
        <v>20006</v>
      </c>
      <c r="I2049" s="951">
        <v>45761</v>
      </c>
      <c r="J2049" s="935">
        <f>4000*13%</f>
        <v>520</v>
      </c>
      <c r="N2049" s="66" t="s">
        <v>20070</v>
      </c>
      <c r="O2049" s="651">
        <v>0</v>
      </c>
    </row>
    <row r="2050" spans="1:15">
      <c r="A2050" s="843">
        <v>45800</v>
      </c>
      <c r="B2050" s="931">
        <v>54000</v>
      </c>
      <c r="C2050" s="845">
        <f>35986*2.9923</f>
        <v>107680.9078</v>
      </c>
      <c r="D2050" s="116">
        <v>14219.495999999999</v>
      </c>
      <c r="E2050" s="119">
        <f t="shared" si="64"/>
        <v>93461.411800000002</v>
      </c>
      <c r="F2050" s="119">
        <f t="shared" si="65"/>
        <v>1.7307668851851852</v>
      </c>
      <c r="G2050" s="948" t="s">
        <v>19726</v>
      </c>
      <c r="H2050" s="952" t="s">
        <v>20017</v>
      </c>
      <c r="I2050" s="848">
        <v>45786</v>
      </c>
      <c r="J2050" s="116">
        <f>20%*10533.246</f>
        <v>2106.6491999999998</v>
      </c>
      <c r="N2050" s="66" t="s">
        <v>20071</v>
      </c>
      <c r="O2050" s="651">
        <v>74420.796000000002</v>
      </c>
    </row>
    <row r="2051" spans="1:15">
      <c r="A2051" s="843">
        <v>45800</v>
      </c>
      <c r="B2051" s="931">
        <v>19200</v>
      </c>
      <c r="C2051" s="845">
        <f>12248*3.39085</f>
        <v>41531.130799999999</v>
      </c>
      <c r="D2051" s="116">
        <v>7010.0050000000001</v>
      </c>
      <c r="E2051" s="119">
        <f t="shared" si="64"/>
        <v>34521.125800000002</v>
      </c>
      <c r="F2051" s="119">
        <f t="shared" si="65"/>
        <v>1.7979753020833333</v>
      </c>
      <c r="G2051" s="948" t="s">
        <v>20059</v>
      </c>
      <c r="H2051" s="847" t="s">
        <v>20018</v>
      </c>
      <c r="I2051" s="848">
        <v>45786</v>
      </c>
      <c r="J2051" s="116">
        <f>20%*5085.36</f>
        <v>1017.072</v>
      </c>
      <c r="N2051" s="66" t="s">
        <v>20072</v>
      </c>
      <c r="O2051" s="651">
        <v>0</v>
      </c>
    </row>
    <row r="2052" spans="1:15">
      <c r="A2052" s="937">
        <v>45803</v>
      </c>
      <c r="B2052" s="938">
        <v>125100</v>
      </c>
      <c r="C2052" s="939">
        <f>75060*3.39085</f>
        <v>254517.201</v>
      </c>
      <c r="D2052" s="940">
        <v>25710.962</v>
      </c>
      <c r="E2052" s="941">
        <f t="shared" si="64"/>
        <v>228806.239</v>
      </c>
      <c r="F2052" s="941">
        <f t="shared" si="65"/>
        <v>1.8289867226219025</v>
      </c>
      <c r="G2052" s="953" t="s">
        <v>19964</v>
      </c>
      <c r="H2052" s="954" t="s">
        <v>20023</v>
      </c>
      <c r="I2052" s="955">
        <v>45786</v>
      </c>
      <c r="J2052" s="940">
        <f>20%*16797</f>
        <v>3359.4</v>
      </c>
      <c r="N2052" s="66" t="s">
        <v>20073</v>
      </c>
      <c r="O2052" s="651">
        <v>0</v>
      </c>
    </row>
    <row r="2053" spans="1:15">
      <c r="A2053" s="843">
        <v>45803</v>
      </c>
      <c r="B2053" s="931">
        <v>111360</v>
      </c>
      <c r="C2053" s="845">
        <f>57907.2*3.38915</f>
        <v>196256.18687999999</v>
      </c>
      <c r="D2053" s="116">
        <v>25710.962</v>
      </c>
      <c r="E2053" s="119">
        <f t="shared" si="64"/>
        <v>170545.22487999999</v>
      </c>
      <c r="F2053" s="119">
        <f t="shared" si="65"/>
        <v>1.5314765165229884</v>
      </c>
      <c r="G2053" s="948" t="s">
        <v>19964</v>
      </c>
      <c r="H2053" s="847" t="s">
        <v>20022</v>
      </c>
      <c r="I2053" s="848">
        <v>45786</v>
      </c>
      <c r="J2053" s="116">
        <f>20%*16797</f>
        <v>3359.4</v>
      </c>
      <c r="N2053" s="66" t="s">
        <v>20074</v>
      </c>
      <c r="O2053" s="651">
        <v>36168.11</v>
      </c>
    </row>
    <row r="2054" spans="1:15">
      <c r="A2054" s="937">
        <v>45804</v>
      </c>
      <c r="B2054" s="942">
        <v>110040</v>
      </c>
      <c r="C2054" s="939">
        <f>75724.8*3.38915</f>
        <v>256642.70592000001</v>
      </c>
      <c r="D2054" s="940">
        <v>31695.974999999999</v>
      </c>
      <c r="E2054" s="941">
        <f t="shared" si="64"/>
        <v>224946.73092</v>
      </c>
      <c r="F2054" s="941">
        <f t="shared" si="65"/>
        <v>2.0442269258451473</v>
      </c>
      <c r="G2054" s="953" t="s">
        <v>19852</v>
      </c>
      <c r="H2054" s="956" t="s">
        <v>20044</v>
      </c>
      <c r="I2054" s="955">
        <v>45793</v>
      </c>
      <c r="J2054" s="940">
        <f>24827.475*20%</f>
        <v>4965.4949999999999</v>
      </c>
      <c r="N2054" s="66" t="s">
        <v>20075</v>
      </c>
      <c r="O2054" s="651">
        <v>2608.1750000000002</v>
      </c>
    </row>
    <row r="2055" spans="1:15">
      <c r="A2055" s="843">
        <v>45804</v>
      </c>
      <c r="B2055" s="931">
        <v>18614</v>
      </c>
      <c r="C2055" s="845">
        <f>27933.82*2.16395</f>
        <v>60447.389788999993</v>
      </c>
      <c r="D2055" s="116">
        <v>16916.794999999998</v>
      </c>
      <c r="E2055" s="119">
        <f t="shared" si="64"/>
        <v>43530.594788999995</v>
      </c>
      <c r="F2055" s="119">
        <f t="shared" si="65"/>
        <v>2.3385943262598041</v>
      </c>
      <c r="G2055" s="948" t="s">
        <v>17305</v>
      </c>
      <c r="H2055" s="952" t="s">
        <v>20028</v>
      </c>
      <c r="I2055" s="848">
        <v>45789</v>
      </c>
      <c r="J2055" s="116">
        <f>13%*15286.35</f>
        <v>1987.2255</v>
      </c>
      <c r="N2055" s="66" t="s">
        <v>20076</v>
      </c>
      <c r="O2055" s="651">
        <v>2608.1750000000002</v>
      </c>
    </row>
    <row r="2056" spans="1:15">
      <c r="A2056" s="943">
        <v>45805</v>
      </c>
      <c r="B2056" s="944">
        <v>12368</v>
      </c>
      <c r="C2056" s="945">
        <f>21989.42*2.1726</f>
        <v>47774.213892</v>
      </c>
      <c r="D2056" s="946">
        <v>13984.63</v>
      </c>
      <c r="E2056" s="947">
        <f t="shared" si="64"/>
        <v>33789.583892000002</v>
      </c>
      <c r="F2056" s="947">
        <f t="shared" si="65"/>
        <v>2.7320168088615784</v>
      </c>
      <c r="G2056" s="957" t="s">
        <v>17305</v>
      </c>
      <c r="H2056" s="958" t="s">
        <v>20030</v>
      </c>
      <c r="I2056" s="959">
        <v>45789</v>
      </c>
      <c r="J2056" s="946">
        <f>12079.1*13%</f>
        <v>1570.2830000000001</v>
      </c>
      <c r="N2056" s="66" t="s">
        <v>20077</v>
      </c>
      <c r="O2056" s="651">
        <v>23991.119999999999</v>
      </c>
    </row>
    <row r="2057" spans="1:15">
      <c r="A2057" s="843">
        <v>45805</v>
      </c>
      <c r="B2057" s="931">
        <v>27840</v>
      </c>
      <c r="C2057" s="845">
        <f>22397.6*2.97785</f>
        <v>66696.693159999995</v>
      </c>
      <c r="D2057" s="116">
        <v>5043.9889999999996</v>
      </c>
      <c r="E2057" s="119">
        <f t="shared" si="64"/>
        <v>61652.704159999994</v>
      </c>
      <c r="F2057" s="119">
        <f t="shared" si="65"/>
        <v>2.2145367873563218</v>
      </c>
      <c r="G2057" s="948" t="s">
        <v>17403</v>
      </c>
      <c r="H2057" s="847" t="s">
        <v>20045</v>
      </c>
      <c r="I2057" s="848">
        <v>45793</v>
      </c>
      <c r="J2057" s="116">
        <f>13%*2977.65</f>
        <v>387.09450000000004</v>
      </c>
      <c r="N2057" s="66" t="s">
        <v>20078</v>
      </c>
      <c r="O2057" s="651">
        <v>13778.18</v>
      </c>
    </row>
    <row r="2058" spans="1:15">
      <c r="A2058" s="843">
        <v>45806</v>
      </c>
      <c r="B2058" s="931">
        <v>12418</v>
      </c>
      <c r="C2058" s="845">
        <f>21767.85*2.17</f>
        <v>47236.234499999999</v>
      </c>
      <c r="D2058" s="116">
        <v>13949.92</v>
      </c>
      <c r="E2058" s="119">
        <f t="shared" si="64"/>
        <v>33286.3145</v>
      </c>
      <c r="F2058" s="119">
        <f t="shared" si="65"/>
        <v>2.6804891689483008</v>
      </c>
      <c r="G2058" s="948" t="s">
        <v>17305</v>
      </c>
      <c r="H2058" s="847" t="s">
        <v>20029</v>
      </c>
      <c r="I2058" s="848">
        <v>45789</v>
      </c>
      <c r="J2058" s="116">
        <f>12055.4*13%</f>
        <v>1567.202</v>
      </c>
      <c r="N2058" s="66" t="s">
        <v>20079</v>
      </c>
      <c r="O2058" s="651">
        <v>30881.4</v>
      </c>
    </row>
    <row r="2059" spans="1:15">
      <c r="A2059" s="843">
        <v>45806</v>
      </c>
      <c r="B2059" s="931">
        <v>21600</v>
      </c>
      <c r="C2059" s="845">
        <v>46440</v>
      </c>
      <c r="D2059" s="116">
        <v>0</v>
      </c>
      <c r="E2059" s="119">
        <f t="shared" si="64"/>
        <v>46440</v>
      </c>
      <c r="F2059" s="119">
        <f t="shared" si="65"/>
        <v>2.15</v>
      </c>
      <c r="G2059" s="948" t="s">
        <v>19655</v>
      </c>
      <c r="H2059" s="847" t="s">
        <v>20034</v>
      </c>
      <c r="I2059" s="848">
        <v>45789</v>
      </c>
      <c r="J2059" s="116">
        <v>0</v>
      </c>
      <c r="N2059" s="66" t="s">
        <v>20080</v>
      </c>
      <c r="O2059" s="651">
        <v>0</v>
      </c>
    </row>
    <row r="2060" spans="1:15">
      <c r="A2060" s="843">
        <v>45806</v>
      </c>
      <c r="B2060" s="931">
        <v>19204</v>
      </c>
      <c r="C2060" s="845">
        <v>42298.8</v>
      </c>
      <c r="D2060" s="116">
        <v>0</v>
      </c>
      <c r="E2060" s="119">
        <f t="shared" si="64"/>
        <v>42298.8</v>
      </c>
      <c r="F2060" s="119">
        <f t="shared" si="65"/>
        <v>2.2026036242449489</v>
      </c>
      <c r="G2060" s="948" t="s">
        <v>19655</v>
      </c>
      <c r="H2060" s="847" t="s">
        <v>20035</v>
      </c>
      <c r="I2060" s="848">
        <v>45789</v>
      </c>
      <c r="J2060" s="116">
        <v>0</v>
      </c>
      <c r="N2060" s="66" t="s">
        <v>20081</v>
      </c>
      <c r="O2060" s="651">
        <v>0</v>
      </c>
    </row>
    <row r="2061" spans="1:15">
      <c r="A2061" s="843">
        <v>45806</v>
      </c>
      <c r="B2061" s="931">
        <v>19204</v>
      </c>
      <c r="C2061" s="845">
        <v>42298.8</v>
      </c>
      <c r="D2061" s="116">
        <v>0</v>
      </c>
      <c r="E2061" s="119">
        <f t="shared" si="64"/>
        <v>42298.8</v>
      </c>
      <c r="F2061" s="119">
        <f t="shared" si="65"/>
        <v>2.2026036242449489</v>
      </c>
      <c r="G2061" s="948" t="s">
        <v>19655</v>
      </c>
      <c r="H2061" s="847" t="s">
        <v>20036</v>
      </c>
      <c r="I2061" s="848">
        <v>45789</v>
      </c>
      <c r="J2061" s="116">
        <v>0</v>
      </c>
      <c r="N2061" s="66" t="s">
        <v>20082</v>
      </c>
      <c r="O2061" s="651">
        <v>16649.71</v>
      </c>
    </row>
    <row r="2062" spans="1:15">
      <c r="A2062" s="943">
        <v>45806</v>
      </c>
      <c r="B2062" s="944">
        <v>42422</v>
      </c>
      <c r="C2062" s="945">
        <f>18219.57*3.3914</f>
        <v>61789.849697999998</v>
      </c>
      <c r="D2062" s="946">
        <v>22935.360000000001</v>
      </c>
      <c r="E2062" s="947">
        <f t="shared" si="64"/>
        <v>38854.489697999998</v>
      </c>
      <c r="F2062" s="947">
        <f t="shared" si="65"/>
        <v>0.91590424067700715</v>
      </c>
      <c r="G2062" s="957" t="s">
        <v>17343</v>
      </c>
      <c r="H2062" s="958" t="s">
        <v>20046</v>
      </c>
      <c r="I2062" s="960">
        <v>45803</v>
      </c>
      <c r="J2062" s="946">
        <f>15819.26*13%</f>
        <v>2056.5038</v>
      </c>
      <c r="N2062" s="66" t="s">
        <v>20083</v>
      </c>
      <c r="O2062" s="651">
        <v>16386.509999999998</v>
      </c>
    </row>
    <row r="2063" spans="1:15">
      <c r="A2063" s="843">
        <v>45806</v>
      </c>
      <c r="B2063" s="931">
        <v>27370</v>
      </c>
      <c r="C2063" s="845">
        <f>37849.77*2.98575</f>
        <v>113009.95077749998</v>
      </c>
      <c r="D2063" s="116">
        <v>2729.5639999999999</v>
      </c>
      <c r="E2063" s="119">
        <f t="shared" si="64"/>
        <v>110280.38677749998</v>
      </c>
      <c r="F2063" s="119">
        <f t="shared" si="65"/>
        <v>4.0292432143770549</v>
      </c>
      <c r="G2063" s="948" t="s">
        <v>19653</v>
      </c>
      <c r="H2063" s="847" t="s">
        <v>19987</v>
      </c>
      <c r="I2063" s="848">
        <v>45751</v>
      </c>
      <c r="J2063" s="116">
        <v>0</v>
      </c>
      <c r="N2063" s="66" t="s">
        <v>20084</v>
      </c>
      <c r="O2063" s="651">
        <v>16629.71</v>
      </c>
    </row>
    <row r="2064" spans="1:15">
      <c r="A2064" s="843">
        <v>45807</v>
      </c>
      <c r="B2064" s="931">
        <v>23720</v>
      </c>
      <c r="C2064" s="845">
        <f>22536.53*3.38895</f>
        <v>76375.173343499991</v>
      </c>
      <c r="D2064" s="116">
        <v>16165.21</v>
      </c>
      <c r="E2064" s="119">
        <f t="shared" si="64"/>
        <v>60209.963343499992</v>
      </c>
      <c r="F2064" s="119">
        <f t="shared" si="65"/>
        <v>2.5383627041947721</v>
      </c>
      <c r="G2064" s="948" t="s">
        <v>19661</v>
      </c>
      <c r="H2064" s="847" t="s">
        <v>20042</v>
      </c>
      <c r="I2064" s="848">
        <v>45790</v>
      </c>
      <c r="J2064" s="116">
        <f>20%*14524.8</f>
        <v>2904.96</v>
      </c>
      <c r="N2064" s="66" t="s">
        <v>20085</v>
      </c>
      <c r="O2064" s="651">
        <v>7273.6450000000004</v>
      </c>
    </row>
    <row r="2065" spans="1:15">
      <c r="A2065" s="843">
        <v>45807</v>
      </c>
      <c r="B2065" s="931">
        <v>59150</v>
      </c>
      <c r="C2065" s="845">
        <f>37971.25*3.00085</f>
        <v>113946.0255625</v>
      </c>
      <c r="D2065" s="116">
        <v>12210.53</v>
      </c>
      <c r="E2065" s="119">
        <f t="shared" si="64"/>
        <v>101735.4955625</v>
      </c>
      <c r="F2065" s="119">
        <f t="shared" si="65"/>
        <v>1.7199576595519865</v>
      </c>
      <c r="G2065" s="948" t="s">
        <v>20086</v>
      </c>
      <c r="H2065" s="847" t="s">
        <v>20027</v>
      </c>
      <c r="I2065" s="848">
        <v>45789</v>
      </c>
      <c r="J2065" s="116">
        <f>6072.78*20%</f>
        <v>1214.556</v>
      </c>
      <c r="N2065" s="66" t="s">
        <v>20087</v>
      </c>
      <c r="O2065" s="651">
        <v>0</v>
      </c>
    </row>
    <row r="2066" spans="1:15">
      <c r="A2066" s="943">
        <v>45807</v>
      </c>
      <c r="B2066" s="944">
        <v>234066</v>
      </c>
      <c r="C2066" s="945">
        <f>148450.96*2.99095</f>
        <v>444009.398812</v>
      </c>
      <c r="D2066" s="946">
        <v>56599.05</v>
      </c>
      <c r="E2066" s="947">
        <f t="shared" si="64"/>
        <v>387410.34881200001</v>
      </c>
      <c r="F2066" s="947">
        <f t="shared" si="65"/>
        <v>1.6551329488776669</v>
      </c>
      <c r="G2066" s="957" t="s">
        <v>20088</v>
      </c>
      <c r="H2066" s="958" t="s">
        <v>20021</v>
      </c>
      <c r="I2066" s="959">
        <v>45786</v>
      </c>
      <c r="J2066" s="946">
        <f>39711.15*20%</f>
        <v>7942.2300000000005</v>
      </c>
      <c r="N2066" s="66" t="s">
        <v>20089</v>
      </c>
      <c r="O2066" s="651">
        <v>20512.343000000001</v>
      </c>
    </row>
    <row r="2067" spans="1:15">
      <c r="A2067" s="843">
        <v>45808</v>
      </c>
      <c r="B2067" s="931">
        <v>20916</v>
      </c>
      <c r="C2067" s="845">
        <f>21851.52*3.38895</f>
        <v>74053.708704000004</v>
      </c>
      <c r="D2067" s="116">
        <v>16175.21</v>
      </c>
      <c r="E2067" s="119">
        <f t="shared" si="64"/>
        <v>57878.498704000005</v>
      </c>
      <c r="F2067" s="119">
        <f t="shared" si="65"/>
        <v>2.7671877368521707</v>
      </c>
      <c r="G2067" s="948" t="s">
        <v>19661</v>
      </c>
      <c r="H2067" s="847" t="s">
        <v>20040</v>
      </c>
      <c r="I2067" s="848">
        <v>45790</v>
      </c>
      <c r="J2067" s="116">
        <f>14524.8*20%</f>
        <v>2904.96</v>
      </c>
      <c r="N2067" s="66" t="s">
        <v>20090</v>
      </c>
      <c r="O2067" s="651">
        <v>0</v>
      </c>
    </row>
    <row r="2068" spans="1:15">
      <c r="A2068" s="843">
        <v>45808</v>
      </c>
      <c r="B2068" s="931">
        <v>24434</v>
      </c>
      <c r="C2068" s="845">
        <f>22333.48*3.38895</f>
        <v>75687.047045999992</v>
      </c>
      <c r="D2068" s="116">
        <v>16174.41</v>
      </c>
      <c r="E2068" s="119">
        <f t="shared" si="64"/>
        <v>59512.637045999989</v>
      </c>
      <c r="F2068" s="119">
        <f t="shared" si="65"/>
        <v>2.4356485653597439</v>
      </c>
      <c r="G2068" s="948" t="s">
        <v>19661</v>
      </c>
      <c r="H2068" s="847" t="s">
        <v>20041</v>
      </c>
      <c r="I2068" s="848">
        <v>45790</v>
      </c>
      <c r="J2068" s="116">
        <f>14524.8*20%</f>
        <v>2904.96</v>
      </c>
      <c r="N2068" s="66" t="s">
        <v>20091</v>
      </c>
      <c r="O2068" s="651">
        <v>7613.61</v>
      </c>
    </row>
    <row r="2069" spans="1:15">
      <c r="A2069" s="943">
        <v>45808</v>
      </c>
      <c r="B2069" s="944">
        <v>330000</v>
      </c>
      <c r="C2069" s="945">
        <f>236674.8*3.3914</f>
        <v>802658.91671999998</v>
      </c>
      <c r="D2069" s="946">
        <v>150180.42199999999</v>
      </c>
      <c r="E2069" s="947">
        <f t="shared" si="64"/>
        <v>652478.49471999996</v>
      </c>
      <c r="F2069" s="947">
        <f t="shared" si="65"/>
        <v>1.9772075597575756</v>
      </c>
      <c r="G2069" s="957" t="s">
        <v>19804</v>
      </c>
      <c r="H2069" s="958" t="s">
        <v>20031</v>
      </c>
      <c r="I2069" s="960">
        <v>45789</v>
      </c>
      <c r="J2069" s="946">
        <f>115314.89*20%</f>
        <v>23062.978000000003</v>
      </c>
      <c r="N2069" s="66" t="s">
        <v>20092</v>
      </c>
      <c r="O2069" s="651">
        <v>7614.41</v>
      </c>
    </row>
    <row r="2070" spans="1:15">
      <c r="A2070" s="843">
        <v>45824</v>
      </c>
      <c r="B2070" s="931">
        <v>23100</v>
      </c>
      <c r="C2070" s="845">
        <f>20718*2.95745</f>
        <v>61272.449100000005</v>
      </c>
      <c r="D2070" s="116">
        <v>5526.125</v>
      </c>
      <c r="E2070" s="119">
        <f t="shared" si="64"/>
        <v>55746.324100000005</v>
      </c>
      <c r="F2070" s="119">
        <f t="shared" si="65"/>
        <v>2.4132607835497839</v>
      </c>
      <c r="G2070" s="948" t="s">
        <v>19811</v>
      </c>
      <c r="H2070" s="847" t="s">
        <v>20054</v>
      </c>
      <c r="I2070" s="848">
        <v>45819</v>
      </c>
      <c r="J2070" s="116">
        <f>13%*3872.175</f>
        <v>503.38275000000004</v>
      </c>
      <c r="N2070" s="66" t="s">
        <v>20093</v>
      </c>
      <c r="O2070" s="651">
        <v>7327.61</v>
      </c>
    </row>
    <row r="2071" spans="1:15">
      <c r="A2071" s="843">
        <v>45824</v>
      </c>
      <c r="B2071" s="931">
        <v>200011</v>
      </c>
      <c r="C2071" s="845">
        <f>404022.38</f>
        <v>404022.38</v>
      </c>
      <c r="D2071" s="116">
        <v>0</v>
      </c>
      <c r="E2071" s="119">
        <f t="shared" si="64"/>
        <v>404022.38</v>
      </c>
      <c r="F2071" s="119">
        <f t="shared" si="65"/>
        <v>2.0200007999560023</v>
      </c>
      <c r="G2071" s="948" t="s">
        <v>19878</v>
      </c>
      <c r="H2071" s="847" t="s">
        <v>20049</v>
      </c>
      <c r="I2071" s="848">
        <v>45817</v>
      </c>
      <c r="J2071" s="116">
        <v>0</v>
      </c>
      <c r="N2071" s="66" t="s">
        <v>20094</v>
      </c>
      <c r="O2071" s="651">
        <v>7617.61</v>
      </c>
    </row>
    <row r="2072" spans="1:15">
      <c r="A2072" s="843">
        <v>45828</v>
      </c>
      <c r="B2072" s="931">
        <v>134400</v>
      </c>
      <c r="C2072" s="845">
        <f>93804*3.41675</f>
        <v>320504.81699999998</v>
      </c>
      <c r="D2072" s="116">
        <v>40553.285000000003</v>
      </c>
      <c r="E2072" s="119">
        <f t="shared" si="64"/>
        <v>279951.53200000001</v>
      </c>
      <c r="F2072" s="119">
        <f t="shared" si="65"/>
        <v>2.0829727083333336</v>
      </c>
      <c r="G2072" s="948" t="s">
        <v>19857</v>
      </c>
      <c r="H2072" s="847" t="s">
        <v>20056</v>
      </c>
      <c r="I2072" s="848">
        <v>45821</v>
      </c>
      <c r="J2072" s="116">
        <f>20%*29202.18</f>
        <v>5840.4360000000006</v>
      </c>
      <c r="N2072" s="66" t="s">
        <v>20095</v>
      </c>
      <c r="O2072" s="651">
        <v>7624.41</v>
      </c>
    </row>
    <row r="2073" spans="1:15">
      <c r="A2073" s="843">
        <v>45828</v>
      </c>
      <c r="B2073" s="931">
        <v>227920</v>
      </c>
      <c r="C2073" s="845">
        <f>173446.4*2.9513</f>
        <v>511892.36031999998</v>
      </c>
      <c r="D2073" s="116">
        <v>0</v>
      </c>
      <c r="E2073" s="119">
        <f t="shared" si="64"/>
        <v>511892.36031999998</v>
      </c>
      <c r="F2073" s="119">
        <f t="shared" si="65"/>
        <v>2.2459299768339767</v>
      </c>
      <c r="G2073" s="846" t="s">
        <v>20048</v>
      </c>
      <c r="H2073" s="847" t="s">
        <v>20057</v>
      </c>
      <c r="I2073" s="848">
        <v>45821</v>
      </c>
      <c r="J2073" s="116">
        <v>0</v>
      </c>
      <c r="N2073" s="66" t="s">
        <v>20096</v>
      </c>
      <c r="O2073" s="651">
        <v>0</v>
      </c>
    </row>
    <row r="2074" spans="1:15">
      <c r="A2074" s="843">
        <v>45831</v>
      </c>
      <c r="B2074" s="931">
        <v>16250</v>
      </c>
      <c r="C2074" s="845">
        <f>26875*2.9513</f>
        <v>79316.1875</v>
      </c>
      <c r="D2074" s="116">
        <v>0</v>
      </c>
      <c r="E2074" s="119">
        <f t="shared" si="64"/>
        <v>79316.1875</v>
      </c>
      <c r="F2074" s="119">
        <f t="shared" si="65"/>
        <v>4.8809961538461542</v>
      </c>
      <c r="G2074" s="846" t="s">
        <v>20048</v>
      </c>
      <c r="H2074" s="847" t="s">
        <v>20047</v>
      </c>
      <c r="I2074" s="848">
        <v>45817</v>
      </c>
      <c r="J2074" s="116">
        <v>0</v>
      </c>
      <c r="N2074" s="66" t="s">
        <v>20097</v>
      </c>
      <c r="O2074" s="651">
        <v>0</v>
      </c>
    </row>
    <row r="2075" spans="1:15">
      <c r="A2075" s="843">
        <v>45831</v>
      </c>
      <c r="B2075" s="931">
        <v>26000</v>
      </c>
      <c r="C2075" s="845">
        <f>14960*3.40825</f>
        <v>50987.42</v>
      </c>
      <c r="D2075" s="116">
        <v>7769.0649999999996</v>
      </c>
      <c r="E2075" s="119">
        <f t="shared" si="64"/>
        <v>43218.354999999996</v>
      </c>
      <c r="F2075" s="119">
        <f t="shared" si="65"/>
        <v>1.6622444230769229</v>
      </c>
      <c r="G2075" s="948" t="s">
        <v>19796</v>
      </c>
      <c r="H2075" s="847" t="s">
        <v>20050</v>
      </c>
      <c r="I2075" s="848">
        <v>45819</v>
      </c>
      <c r="J2075" s="116">
        <f>20%*5867.55</f>
        <v>1173.51</v>
      </c>
      <c r="N2075" s="66" t="s">
        <v>20098</v>
      </c>
      <c r="O2075" s="651">
        <v>0</v>
      </c>
    </row>
    <row r="2076" spans="1:15">
      <c r="A2076" s="843">
        <v>45831</v>
      </c>
      <c r="B2076" s="931">
        <v>84000</v>
      </c>
      <c r="C2076" s="845">
        <v>144480</v>
      </c>
      <c r="D2076" s="116">
        <v>0</v>
      </c>
      <c r="E2076" s="119">
        <f t="shared" si="64"/>
        <v>144480</v>
      </c>
      <c r="F2076" s="119">
        <f t="shared" si="65"/>
        <v>1.72</v>
      </c>
      <c r="G2076" s="948" t="s">
        <v>19655</v>
      </c>
      <c r="H2076" s="847" t="s">
        <v>20062</v>
      </c>
      <c r="I2076" s="848">
        <v>45825</v>
      </c>
      <c r="J2076" s="116">
        <v>0</v>
      </c>
      <c r="N2076" s="66" t="s">
        <v>20099</v>
      </c>
      <c r="O2076" s="651">
        <v>0</v>
      </c>
    </row>
    <row r="2077" spans="1:15">
      <c r="A2077" s="843">
        <v>45832</v>
      </c>
      <c r="B2077" s="931">
        <v>20000</v>
      </c>
      <c r="C2077" s="845">
        <v>44000</v>
      </c>
      <c r="D2077" s="116">
        <v>0</v>
      </c>
      <c r="E2077" s="119">
        <f t="shared" si="64"/>
        <v>44000</v>
      </c>
      <c r="F2077" s="119">
        <f t="shared" si="65"/>
        <v>2.2000000000000002</v>
      </c>
      <c r="G2077" s="948" t="s">
        <v>17018</v>
      </c>
      <c r="H2077" s="847" t="s">
        <v>20051</v>
      </c>
      <c r="I2077" s="848">
        <v>45819</v>
      </c>
      <c r="J2077" s="116">
        <v>0</v>
      </c>
      <c r="N2077" s="66" t="s">
        <v>20100</v>
      </c>
      <c r="O2077" s="651">
        <v>0</v>
      </c>
    </row>
    <row r="2078" spans="1:15">
      <c r="A2078" s="843">
        <v>45832</v>
      </c>
      <c r="B2078" s="931">
        <v>21600</v>
      </c>
      <c r="C2078" s="845">
        <v>45684</v>
      </c>
      <c r="D2078" s="116">
        <v>0</v>
      </c>
      <c r="E2078" s="119">
        <f t="shared" si="64"/>
        <v>45684</v>
      </c>
      <c r="F2078" s="119">
        <f t="shared" si="65"/>
        <v>2.1150000000000002</v>
      </c>
      <c r="G2078" s="948" t="s">
        <v>19656</v>
      </c>
      <c r="H2078" s="847" t="s">
        <v>20053</v>
      </c>
      <c r="I2078" s="848">
        <v>45819</v>
      </c>
      <c r="J2078" s="116">
        <v>0</v>
      </c>
      <c r="N2078" s="66" t="s">
        <v>20101</v>
      </c>
      <c r="O2078" s="651">
        <v>0</v>
      </c>
    </row>
    <row r="2079" spans="1:15">
      <c r="A2079" s="843">
        <v>45832</v>
      </c>
      <c r="B2079" s="931">
        <v>56000</v>
      </c>
      <c r="C2079" s="845">
        <v>86800</v>
      </c>
      <c r="D2079" s="116">
        <v>0</v>
      </c>
      <c r="E2079" s="119">
        <f t="shared" si="64"/>
        <v>86800</v>
      </c>
      <c r="F2079" s="119">
        <f t="shared" si="65"/>
        <v>1.55</v>
      </c>
      <c r="G2079" s="948" t="s">
        <v>19656</v>
      </c>
      <c r="H2079" s="847" t="s">
        <v>20055</v>
      </c>
      <c r="I2079" s="848">
        <v>45820</v>
      </c>
      <c r="J2079" s="116">
        <v>0</v>
      </c>
      <c r="N2079" s="66" t="s">
        <v>20102</v>
      </c>
      <c r="O2079" s="651">
        <v>0</v>
      </c>
    </row>
    <row r="2080" spans="1:15">
      <c r="A2080" s="843">
        <v>45833</v>
      </c>
      <c r="B2080" s="931">
        <v>87600</v>
      </c>
      <c r="C2080" s="845">
        <f>61970*2.96395</f>
        <v>183675.98149999999</v>
      </c>
      <c r="D2080" s="116">
        <v>36115.915000000001</v>
      </c>
      <c r="E2080" s="119">
        <f t="shared" si="64"/>
        <v>147560.06649999999</v>
      </c>
      <c r="F2080" s="119">
        <f t="shared" si="65"/>
        <v>1.6844756449771687</v>
      </c>
      <c r="G2080" s="948" t="s">
        <v>19849</v>
      </c>
      <c r="H2080" s="847" t="s">
        <v>20058</v>
      </c>
      <c r="I2080" s="848">
        <v>45824</v>
      </c>
      <c r="J2080" s="116">
        <f>20%*30090</f>
        <v>6018</v>
      </c>
      <c r="N2080" s="66" t="s">
        <v>20103</v>
      </c>
      <c r="O2080" s="651">
        <v>0</v>
      </c>
    </row>
    <row r="2081" spans="1:15">
      <c r="A2081" s="961">
        <v>45835</v>
      </c>
      <c r="B2081" s="962">
        <v>20150</v>
      </c>
      <c r="C2081" s="963">
        <f>14981.5*2.94625</f>
        <v>44139.244375000002</v>
      </c>
      <c r="D2081" s="923">
        <v>6045.4</v>
      </c>
      <c r="E2081" s="964">
        <f t="shared" si="64"/>
        <v>38093.844375000001</v>
      </c>
      <c r="F2081" s="964">
        <f t="shared" si="65"/>
        <v>1.8905133684863524</v>
      </c>
      <c r="G2081" s="963" t="s">
        <v>19659</v>
      </c>
      <c r="H2081" s="965" t="s">
        <v>20060</v>
      </c>
      <c r="I2081" s="966">
        <v>45825</v>
      </c>
      <c r="J2081" s="923">
        <f>4590*13%</f>
        <v>596.70000000000005</v>
      </c>
      <c r="N2081" s="66" t="s">
        <v>20104</v>
      </c>
      <c r="O2081" s="651">
        <v>0</v>
      </c>
    </row>
    <row r="2082" spans="1:15">
      <c r="A2082" s="843">
        <v>45838</v>
      </c>
      <c r="B2082" s="931">
        <v>78000</v>
      </c>
      <c r="C2082" s="845">
        <v>120510</v>
      </c>
      <c r="D2082" s="116">
        <v>0</v>
      </c>
      <c r="E2082" s="119">
        <f t="shared" si="64"/>
        <v>120510</v>
      </c>
      <c r="F2082" s="119">
        <f t="shared" si="65"/>
        <v>1.5449999999999999</v>
      </c>
      <c r="G2082" s="948" t="s">
        <v>20105</v>
      </c>
      <c r="H2082" s="847" t="s">
        <v>20072</v>
      </c>
      <c r="I2082" s="848">
        <v>45828</v>
      </c>
      <c r="J2082" s="116">
        <v>0</v>
      </c>
      <c r="N2082" s="66" t="s">
        <v>20106</v>
      </c>
      <c r="O2082" s="651">
        <v>12000</v>
      </c>
    </row>
    <row r="2083" spans="1:15">
      <c r="A2083" s="843">
        <v>45838</v>
      </c>
      <c r="B2083" s="931">
        <v>156000</v>
      </c>
      <c r="C2083" s="845">
        <v>272220</v>
      </c>
      <c r="D2083" s="116">
        <v>0</v>
      </c>
      <c r="E2083" s="119">
        <f t="shared" si="64"/>
        <v>272220</v>
      </c>
      <c r="F2083" s="119">
        <f t="shared" si="65"/>
        <v>1.7450000000000001</v>
      </c>
      <c r="G2083" s="948" t="s">
        <v>19655</v>
      </c>
      <c r="H2083" s="847" t="s">
        <v>20061</v>
      </c>
      <c r="I2083" s="848">
        <v>45825</v>
      </c>
      <c r="J2083" s="116">
        <v>0</v>
      </c>
      <c r="N2083" s="66" t="s">
        <v>20107</v>
      </c>
      <c r="O2083" s="651">
        <v>11953.8</v>
      </c>
    </row>
    <row r="2084" spans="1:15">
      <c r="A2084" s="843">
        <v>45840</v>
      </c>
      <c r="B2084" s="931">
        <v>87600</v>
      </c>
      <c r="C2084" s="845">
        <f>61970*2.9214</f>
        <v>181039.15800000002</v>
      </c>
      <c r="D2084" s="116">
        <v>36168.11</v>
      </c>
      <c r="E2084" s="119">
        <f t="shared" si="64"/>
        <v>144871.04800000001</v>
      </c>
      <c r="F2084" s="119">
        <f t="shared" si="65"/>
        <v>1.6537790867579909</v>
      </c>
      <c r="G2084" s="948" t="s">
        <v>19849</v>
      </c>
      <c r="H2084" s="847" t="s">
        <v>20074</v>
      </c>
      <c r="I2084" s="848">
        <v>45831</v>
      </c>
      <c r="J2084" s="116">
        <f>20%*29860</f>
        <v>5972</v>
      </c>
      <c r="N2084" s="66" t="s">
        <v>20108</v>
      </c>
      <c r="O2084" s="651"/>
    </row>
    <row r="2085" spans="1:15" ht="12.95">
      <c r="A2085" s="843">
        <v>45841</v>
      </c>
      <c r="B2085" s="931">
        <v>76800</v>
      </c>
      <c r="C2085" s="845">
        <v>168960</v>
      </c>
      <c r="D2085" s="116">
        <v>0</v>
      </c>
      <c r="E2085" s="119">
        <f t="shared" si="64"/>
        <v>168960</v>
      </c>
      <c r="F2085" s="119">
        <f t="shared" si="65"/>
        <v>2.2000000000000002</v>
      </c>
      <c r="G2085" s="948" t="s">
        <v>19656</v>
      </c>
      <c r="H2085" s="847" t="s">
        <v>20067</v>
      </c>
      <c r="I2085" s="848">
        <v>45825</v>
      </c>
      <c r="J2085" s="116">
        <v>0</v>
      </c>
      <c r="N2085" s="811" t="s">
        <v>17442</v>
      </c>
      <c r="O2085" s="812">
        <v>20709414.900000002</v>
      </c>
    </row>
    <row r="2086" spans="1:15">
      <c r="A2086" s="843">
        <v>45841</v>
      </c>
      <c r="B2086" s="931">
        <v>45512</v>
      </c>
      <c r="C2086" s="845">
        <f>16765.2*3.42695</f>
        <v>57453.502140000004</v>
      </c>
      <c r="D2086" s="116">
        <v>23991.119999999999</v>
      </c>
      <c r="E2086" s="119">
        <f t="shared" si="64"/>
        <v>33462.382140000002</v>
      </c>
      <c r="F2086" s="119">
        <f t="shared" si="65"/>
        <v>0.73524305985234661</v>
      </c>
      <c r="G2086" s="948" t="s">
        <v>17343</v>
      </c>
      <c r="H2086" s="847" t="s">
        <v>20077</v>
      </c>
      <c r="I2086" s="848">
        <v>45831</v>
      </c>
      <c r="J2086" s="116">
        <f>13%*17159.163</f>
        <v>2230.69119</v>
      </c>
    </row>
    <row r="2087" spans="1:15">
      <c r="A2087" s="843">
        <v>45842</v>
      </c>
      <c r="B2087" s="931">
        <v>18500</v>
      </c>
      <c r="C2087" s="845">
        <f>23954.6*2.9214</f>
        <v>69980.968439999997</v>
      </c>
      <c r="D2087" s="116">
        <v>2608.1750000000002</v>
      </c>
      <c r="E2087" s="119">
        <f t="shared" si="64"/>
        <v>67372.793439999994</v>
      </c>
      <c r="F2087" s="119">
        <f t="shared" si="65"/>
        <v>3.6417726183783778</v>
      </c>
      <c r="G2087" s="948" t="s">
        <v>19653</v>
      </c>
      <c r="H2087" s="847" t="s">
        <v>20075</v>
      </c>
      <c r="I2087" s="848">
        <v>45831</v>
      </c>
      <c r="J2087" s="116">
        <v>0</v>
      </c>
    </row>
    <row r="2088" spans="1:15">
      <c r="A2088" s="843">
        <v>45842</v>
      </c>
      <c r="B2088" s="931">
        <v>20000</v>
      </c>
      <c r="C2088" s="845">
        <f>29287.5*2.9214</f>
        <v>85560.502500000002</v>
      </c>
      <c r="D2088" s="116">
        <v>2608.1750000000002</v>
      </c>
      <c r="E2088" s="119">
        <f t="shared" ref="E2088:E2124" si="66">(C2088-D2088)</f>
        <v>82952.327499999999</v>
      </c>
      <c r="F2088" s="119">
        <f t="shared" ref="F2088:F2124" si="67">(E2088/B2088)</f>
        <v>4.1476163750000001</v>
      </c>
      <c r="G2088" s="948" t="s">
        <v>19653</v>
      </c>
      <c r="H2088" s="847" t="s">
        <v>20076</v>
      </c>
      <c r="I2088" s="848">
        <v>45831</v>
      </c>
      <c r="J2088" s="116">
        <v>0</v>
      </c>
    </row>
    <row r="2089" spans="1:15">
      <c r="A2089" s="843">
        <v>45846</v>
      </c>
      <c r="B2089" s="931">
        <v>22560</v>
      </c>
      <c r="C2089" s="845">
        <v>39367.199999999997</v>
      </c>
      <c r="D2089" s="116">
        <v>0</v>
      </c>
      <c r="E2089" s="119">
        <f t="shared" si="66"/>
        <v>39367.199999999997</v>
      </c>
      <c r="F2089" s="119">
        <f t="shared" si="67"/>
        <v>1.7449999999999999</v>
      </c>
      <c r="G2089" s="948" t="s">
        <v>19656</v>
      </c>
      <c r="H2089" s="847" t="s">
        <v>20066</v>
      </c>
      <c r="I2089" s="848">
        <v>45825</v>
      </c>
      <c r="J2089" s="116">
        <v>0</v>
      </c>
    </row>
    <row r="2090" spans="1:15">
      <c r="A2090" s="843">
        <v>45846</v>
      </c>
      <c r="B2090" s="931">
        <v>28000</v>
      </c>
      <c r="C2090" s="845">
        <v>49000</v>
      </c>
      <c r="D2090" s="116">
        <v>0</v>
      </c>
      <c r="E2090" s="119">
        <f t="shared" si="66"/>
        <v>49000</v>
      </c>
      <c r="F2090" s="119">
        <f t="shared" si="67"/>
        <v>1.75</v>
      </c>
      <c r="G2090" s="948" t="s">
        <v>19656</v>
      </c>
      <c r="H2090" s="847" t="s">
        <v>20080</v>
      </c>
      <c r="I2090" s="848">
        <v>45842</v>
      </c>
      <c r="J2090" s="116">
        <v>0</v>
      </c>
    </row>
    <row r="2091" spans="1:15">
      <c r="A2091" s="843">
        <v>45847</v>
      </c>
      <c r="B2091" s="931">
        <v>110400</v>
      </c>
      <c r="C2091" s="845">
        <v>190540</v>
      </c>
      <c r="D2091" s="116">
        <v>0</v>
      </c>
      <c r="E2091" s="119">
        <f t="shared" si="66"/>
        <v>190540</v>
      </c>
      <c r="F2091" s="119">
        <f t="shared" si="67"/>
        <v>1.7259057971014493</v>
      </c>
      <c r="G2091" s="948" t="s">
        <v>19647</v>
      </c>
      <c r="H2091" s="847" t="s">
        <v>20069</v>
      </c>
      <c r="I2091" s="848">
        <v>45825</v>
      </c>
      <c r="J2091" s="116">
        <v>0</v>
      </c>
    </row>
    <row r="2092" spans="1:15">
      <c r="A2092" s="843">
        <v>45847</v>
      </c>
      <c r="B2092" s="931">
        <v>48000</v>
      </c>
      <c r="C2092" s="845">
        <v>83880</v>
      </c>
      <c r="D2092" s="116">
        <v>0</v>
      </c>
      <c r="E2092" s="119">
        <f t="shared" si="66"/>
        <v>83880</v>
      </c>
      <c r="F2092" s="119">
        <f t="shared" si="67"/>
        <v>1.7475000000000001</v>
      </c>
      <c r="G2092" s="948" t="s">
        <v>19655</v>
      </c>
      <c r="H2092" s="847" t="s">
        <v>20065</v>
      </c>
      <c r="I2092" s="848">
        <v>45825</v>
      </c>
      <c r="J2092" s="116">
        <v>0</v>
      </c>
    </row>
    <row r="2093" spans="1:15">
      <c r="A2093" s="843">
        <v>45847</v>
      </c>
      <c r="B2093" s="931">
        <v>21600</v>
      </c>
      <c r="C2093" s="845">
        <v>47520</v>
      </c>
      <c r="D2093" s="116">
        <v>0</v>
      </c>
      <c r="E2093" s="119">
        <f t="shared" si="66"/>
        <v>47520</v>
      </c>
      <c r="F2093" s="119">
        <f t="shared" si="67"/>
        <v>2.2000000000000002</v>
      </c>
      <c r="G2093" s="948" t="s">
        <v>19655</v>
      </c>
      <c r="H2093" s="847" t="s">
        <v>20064</v>
      </c>
      <c r="I2093" s="848">
        <v>45825</v>
      </c>
      <c r="J2093" s="116">
        <v>0</v>
      </c>
    </row>
    <row r="2094" spans="1:15">
      <c r="A2094" s="843">
        <v>45847</v>
      </c>
      <c r="B2094" s="931">
        <v>43200</v>
      </c>
      <c r="C2094" s="845">
        <v>94176</v>
      </c>
      <c r="D2094" s="116">
        <v>0</v>
      </c>
      <c r="E2094" s="119">
        <f t="shared" si="66"/>
        <v>94176</v>
      </c>
      <c r="F2094" s="119">
        <f t="shared" si="67"/>
        <v>2.1800000000000002</v>
      </c>
      <c r="G2094" s="948" t="s">
        <v>19655</v>
      </c>
      <c r="H2094" s="847" t="s">
        <v>20063</v>
      </c>
      <c r="I2094" s="848">
        <v>45825</v>
      </c>
      <c r="J2094" s="116">
        <v>0</v>
      </c>
    </row>
    <row r="2095" spans="1:15">
      <c r="A2095" s="843">
        <v>45848</v>
      </c>
      <c r="B2095" s="931">
        <v>110040</v>
      </c>
      <c r="C2095" s="845">
        <f>75724.8*3.42255</f>
        <v>259171.91424000001</v>
      </c>
      <c r="D2095" s="116">
        <v>30881.4</v>
      </c>
      <c r="E2095" s="119">
        <f t="shared" si="66"/>
        <v>228290.51424000002</v>
      </c>
      <c r="F2095" s="119">
        <f t="shared" si="67"/>
        <v>2.0746139062159217</v>
      </c>
      <c r="G2095" s="948" t="s">
        <v>19852</v>
      </c>
      <c r="H2095" s="847" t="s">
        <v>20079</v>
      </c>
      <c r="I2095" s="848">
        <v>45839</v>
      </c>
      <c r="J2095" s="116">
        <f>24426.9*20%</f>
        <v>4885.38</v>
      </c>
    </row>
    <row r="2096" spans="1:15">
      <c r="A2096" s="843">
        <v>45849</v>
      </c>
      <c r="B2096" s="931">
        <v>22008</v>
      </c>
      <c r="C2096" s="845">
        <v>47317.2</v>
      </c>
      <c r="D2096" s="116">
        <v>0</v>
      </c>
      <c r="E2096" s="119">
        <f t="shared" si="66"/>
        <v>47317.2</v>
      </c>
      <c r="F2096" s="119">
        <f t="shared" si="67"/>
        <v>2.15</v>
      </c>
      <c r="G2096" s="948" t="s">
        <v>19655</v>
      </c>
      <c r="H2096" s="847" t="s">
        <v>20073</v>
      </c>
      <c r="I2096" s="848">
        <v>45828</v>
      </c>
      <c r="J2096" s="116">
        <v>0</v>
      </c>
    </row>
    <row r="2097" spans="1:10">
      <c r="A2097" s="843">
        <v>45849</v>
      </c>
      <c r="B2097" s="931">
        <v>17880</v>
      </c>
      <c r="C2097" s="845">
        <f>27009.6*2.13565</f>
        <v>57683.052239999997</v>
      </c>
      <c r="D2097" s="116">
        <v>13778.18</v>
      </c>
      <c r="E2097" s="119">
        <f t="shared" si="66"/>
        <v>43904.872239999997</v>
      </c>
      <c r="F2097" s="119">
        <f t="shared" si="67"/>
        <v>2.4555297673378074</v>
      </c>
      <c r="G2097" s="948" t="s">
        <v>17305</v>
      </c>
      <c r="H2097" s="847" t="s">
        <v>20078</v>
      </c>
      <c r="I2097" s="848">
        <v>45839</v>
      </c>
      <c r="J2097" s="116">
        <f>13%*11802.6</f>
        <v>1534.3380000000002</v>
      </c>
    </row>
    <row r="2098" spans="1:10">
      <c r="A2098" s="843">
        <v>45852</v>
      </c>
      <c r="B2098" s="931">
        <v>165654</v>
      </c>
      <c r="C2098" s="845">
        <v>287391.03999999998</v>
      </c>
      <c r="D2098" s="116">
        <v>0</v>
      </c>
      <c r="E2098" s="119">
        <f t="shared" si="66"/>
        <v>287391.03999999998</v>
      </c>
      <c r="F2098" s="119">
        <f t="shared" si="67"/>
        <v>1.7348874159392467</v>
      </c>
      <c r="G2098" s="948" t="s">
        <v>19647</v>
      </c>
      <c r="H2098" s="847" t="s">
        <v>20068</v>
      </c>
      <c r="I2098" s="848">
        <v>45825</v>
      </c>
      <c r="J2098" s="116">
        <v>0</v>
      </c>
    </row>
    <row r="2099" spans="1:10">
      <c r="A2099" s="843">
        <v>45854</v>
      </c>
      <c r="B2099" s="931">
        <v>19200</v>
      </c>
      <c r="C2099" s="845">
        <f>13508*3.42585</f>
        <v>46276.381800000003</v>
      </c>
      <c r="D2099" s="116">
        <v>7273.6450000000004</v>
      </c>
      <c r="E2099" s="119">
        <f t="shared" si="66"/>
        <v>39002.736799999999</v>
      </c>
      <c r="F2099" s="119">
        <f t="shared" si="67"/>
        <v>2.0313925416666665</v>
      </c>
      <c r="G2099" s="948" t="s">
        <v>19796</v>
      </c>
      <c r="H2099" s="847" t="s">
        <v>20085</v>
      </c>
      <c r="I2099" s="848">
        <v>45845</v>
      </c>
      <c r="J2099" s="116">
        <f>20%*5655.45</f>
        <v>1131.0899999999999</v>
      </c>
    </row>
    <row r="2100" spans="1:10">
      <c r="A2100" s="843">
        <v>45855</v>
      </c>
      <c r="B2100" s="931">
        <v>188640</v>
      </c>
      <c r="C2100" s="845">
        <f>129172.9*2.918</f>
        <v>376926.52220000001</v>
      </c>
      <c r="D2100" s="116">
        <v>74420.796000000002</v>
      </c>
      <c r="E2100" s="119">
        <f t="shared" si="66"/>
        <v>302505.72620000003</v>
      </c>
      <c r="F2100" s="119">
        <f t="shared" si="67"/>
        <v>1.6036139005513148</v>
      </c>
      <c r="G2100" s="948" t="s">
        <v>19804</v>
      </c>
      <c r="H2100" s="847" t="s">
        <v>20071</v>
      </c>
      <c r="I2100" s="848">
        <v>45825</v>
      </c>
      <c r="J2100" s="116">
        <f>20%*57884.75</f>
        <v>11576.95</v>
      </c>
    </row>
    <row r="2101" spans="1:10">
      <c r="A2101" s="843">
        <v>45856</v>
      </c>
      <c r="B2101" s="931">
        <v>220000</v>
      </c>
      <c r="C2101" s="845">
        <v>330000</v>
      </c>
      <c r="D2101" s="116">
        <v>0</v>
      </c>
      <c r="E2101" s="119">
        <f t="shared" si="66"/>
        <v>330000</v>
      </c>
      <c r="F2101" s="119">
        <f t="shared" si="67"/>
        <v>1.5</v>
      </c>
      <c r="G2101" s="948" t="s">
        <v>19655</v>
      </c>
      <c r="H2101" s="847" t="s">
        <v>20090</v>
      </c>
      <c r="I2101" s="848">
        <v>45849</v>
      </c>
      <c r="J2101" s="116">
        <v>0</v>
      </c>
    </row>
    <row r="2102" spans="1:10">
      <c r="A2102" s="843">
        <v>45857</v>
      </c>
      <c r="B2102" s="931">
        <v>279864</v>
      </c>
      <c r="C2102" s="845">
        <v>591784.31999999995</v>
      </c>
      <c r="D2102" s="116">
        <v>0</v>
      </c>
      <c r="E2102" s="119">
        <f t="shared" si="66"/>
        <v>591784.31999999995</v>
      </c>
      <c r="F2102" s="119">
        <f t="shared" si="67"/>
        <v>2.1145424920675753</v>
      </c>
      <c r="G2102" s="948" t="s">
        <v>19656</v>
      </c>
      <c r="H2102" s="847" t="s">
        <v>20081</v>
      </c>
      <c r="I2102" s="848">
        <v>45845</v>
      </c>
      <c r="J2102" s="116">
        <v>0</v>
      </c>
    </row>
    <row r="2103" spans="1:10">
      <c r="A2103" s="843">
        <v>45859</v>
      </c>
      <c r="B2103" s="931">
        <v>260000</v>
      </c>
      <c r="C2103" s="845">
        <f>141700*2.94105</f>
        <v>416746.78500000003</v>
      </c>
      <c r="D2103" s="116">
        <v>20512.343000000001</v>
      </c>
      <c r="E2103" s="119">
        <f t="shared" si="66"/>
        <v>396234.44200000004</v>
      </c>
      <c r="F2103" s="119">
        <f t="shared" si="67"/>
        <v>1.5239786230769232</v>
      </c>
      <c r="G2103" s="948" t="s">
        <v>17330</v>
      </c>
      <c r="H2103" s="847" t="s">
        <v>20089</v>
      </c>
      <c r="I2103" s="848">
        <v>45848</v>
      </c>
      <c r="J2103" s="116">
        <v>0</v>
      </c>
    </row>
    <row r="2104" spans="1:10">
      <c r="A2104" s="843">
        <v>45859</v>
      </c>
      <c r="B2104" s="931">
        <v>28000</v>
      </c>
      <c r="C2104" s="845">
        <f>23240*2.93825</f>
        <v>68284.930000000008</v>
      </c>
      <c r="D2104" s="116">
        <v>7613.61</v>
      </c>
      <c r="E2104" s="119">
        <f t="shared" si="66"/>
        <v>60671.320000000007</v>
      </c>
      <c r="F2104" s="119">
        <f t="shared" si="67"/>
        <v>2.1668328571428574</v>
      </c>
      <c r="G2104" s="948" t="s">
        <v>20109</v>
      </c>
      <c r="H2104" s="847" t="s">
        <v>20091</v>
      </c>
      <c r="I2104" s="848">
        <v>45849</v>
      </c>
      <c r="J2104" s="116">
        <f>13%*5900.7</f>
        <v>767.09100000000001</v>
      </c>
    </row>
    <row r="2105" spans="1:10">
      <c r="A2105" s="843">
        <v>45859</v>
      </c>
      <c r="B2105" s="931">
        <v>28000</v>
      </c>
      <c r="C2105" s="845">
        <f>23240*2.93825</f>
        <v>68284.930000000008</v>
      </c>
      <c r="D2105" s="116">
        <v>7614.41</v>
      </c>
      <c r="E2105" s="119">
        <f t="shared" si="66"/>
        <v>60670.520000000004</v>
      </c>
      <c r="F2105" s="119">
        <f t="shared" si="67"/>
        <v>2.166804285714286</v>
      </c>
      <c r="G2105" s="948" t="s">
        <v>20109</v>
      </c>
      <c r="H2105" s="847" t="s">
        <v>20092</v>
      </c>
      <c r="I2105" s="848">
        <v>45849</v>
      </c>
      <c r="J2105" s="116">
        <f>5900.7*13%</f>
        <v>767.09100000000001</v>
      </c>
    </row>
    <row r="2106" spans="1:10">
      <c r="A2106" s="843">
        <v>45859</v>
      </c>
      <c r="B2106" s="931">
        <v>100003</v>
      </c>
      <c r="C2106" s="845">
        <v>207006.62</v>
      </c>
      <c r="D2106" s="116">
        <v>0</v>
      </c>
      <c r="E2106" s="119">
        <f t="shared" si="66"/>
        <v>207006.62</v>
      </c>
      <c r="F2106" s="119">
        <f t="shared" si="67"/>
        <v>2.0700040998770035</v>
      </c>
      <c r="G2106" s="948" t="s">
        <v>19878</v>
      </c>
      <c r="H2106" s="847" t="s">
        <v>20087</v>
      </c>
      <c r="I2106" s="848">
        <v>45848</v>
      </c>
      <c r="J2106" s="116">
        <v>0</v>
      </c>
    </row>
    <row r="2107" spans="1:10">
      <c r="A2107" s="843">
        <v>45860</v>
      </c>
      <c r="B2107" s="931">
        <v>28000</v>
      </c>
      <c r="C2107" s="845">
        <f>23240*2.93825</f>
        <v>68284.930000000008</v>
      </c>
      <c r="D2107" s="116">
        <v>7327.61</v>
      </c>
      <c r="E2107" s="119">
        <f t="shared" si="66"/>
        <v>60957.320000000007</v>
      </c>
      <c r="F2107" s="119">
        <f t="shared" si="67"/>
        <v>2.177047142857143</v>
      </c>
      <c r="G2107" s="948" t="s">
        <v>20109</v>
      </c>
      <c r="H2107" s="847" t="s">
        <v>20093</v>
      </c>
      <c r="I2107" s="848">
        <v>45848</v>
      </c>
      <c r="J2107" s="116">
        <f>13%*5900.7</f>
        <v>767.09100000000001</v>
      </c>
    </row>
    <row r="2108" spans="1:10">
      <c r="A2108" s="843">
        <v>45860</v>
      </c>
      <c r="B2108" s="931">
        <v>28000</v>
      </c>
      <c r="C2108" s="845">
        <f>23240*2.93825</f>
        <v>68284.930000000008</v>
      </c>
      <c r="D2108" s="116">
        <v>7617.61</v>
      </c>
      <c r="E2108" s="119">
        <f t="shared" si="66"/>
        <v>60667.320000000007</v>
      </c>
      <c r="F2108" s="119">
        <f t="shared" si="67"/>
        <v>2.1666900000000004</v>
      </c>
      <c r="G2108" s="948" t="s">
        <v>20109</v>
      </c>
      <c r="H2108" s="847" t="s">
        <v>20094</v>
      </c>
      <c r="I2108" s="848">
        <v>45848</v>
      </c>
      <c r="J2108" s="116">
        <f>13%*2900.7</f>
        <v>377.09100000000001</v>
      </c>
    </row>
    <row r="2109" spans="1:10">
      <c r="A2109" s="843">
        <v>45860</v>
      </c>
      <c r="B2109" s="931">
        <v>28000</v>
      </c>
      <c r="C2109" s="845">
        <f>23240*2.93825</f>
        <v>68284.930000000008</v>
      </c>
      <c r="D2109" s="116">
        <v>7624.41</v>
      </c>
      <c r="E2109" s="119">
        <f t="shared" si="66"/>
        <v>60660.520000000004</v>
      </c>
      <c r="F2109" s="119">
        <f t="shared" si="67"/>
        <v>2.1664471428571428</v>
      </c>
      <c r="G2109" s="948" t="s">
        <v>20109</v>
      </c>
      <c r="H2109" s="847" t="s">
        <v>20095</v>
      </c>
      <c r="I2109" s="848">
        <v>45848</v>
      </c>
      <c r="J2109" s="116">
        <f>13%*5900.7</f>
        <v>767.09100000000001</v>
      </c>
    </row>
    <row r="2110" spans="1:10">
      <c r="A2110" s="843">
        <v>45861</v>
      </c>
      <c r="B2110" s="931">
        <v>16932</v>
      </c>
      <c r="C2110" s="845">
        <v>60678.84</v>
      </c>
      <c r="D2110" s="116">
        <v>0</v>
      </c>
      <c r="E2110" s="119">
        <f t="shared" si="66"/>
        <v>60678.84</v>
      </c>
      <c r="F2110" s="119">
        <f t="shared" si="67"/>
        <v>3.5836782423812896</v>
      </c>
      <c r="G2110" s="948" t="s">
        <v>17018</v>
      </c>
      <c r="H2110" s="847" t="s">
        <v>20070</v>
      </c>
      <c r="I2110" s="848">
        <v>45825</v>
      </c>
      <c r="J2110" s="116">
        <v>0</v>
      </c>
    </row>
    <row r="2111" spans="1:10">
      <c r="A2111" s="843">
        <v>45861</v>
      </c>
      <c r="B2111" s="931">
        <v>38400</v>
      </c>
      <c r="C2111" s="845">
        <v>82752</v>
      </c>
      <c r="D2111" s="116">
        <v>0</v>
      </c>
      <c r="E2111" s="119">
        <f t="shared" si="66"/>
        <v>82752</v>
      </c>
      <c r="F2111" s="119">
        <f t="shared" si="67"/>
        <v>2.1549999999999998</v>
      </c>
      <c r="G2111" s="948" t="s">
        <v>19833</v>
      </c>
      <c r="H2111" s="847" t="s">
        <v>20097</v>
      </c>
      <c r="I2111" s="848">
        <v>45855</v>
      </c>
      <c r="J2111" s="116">
        <v>0</v>
      </c>
    </row>
    <row r="2112" spans="1:10">
      <c r="A2112" s="843">
        <v>45862</v>
      </c>
      <c r="B2112" s="931">
        <v>55904</v>
      </c>
      <c r="C2112" s="845">
        <v>107521.8</v>
      </c>
      <c r="D2112" s="116">
        <v>0</v>
      </c>
      <c r="E2112" s="119">
        <f t="shared" si="66"/>
        <v>107521.8</v>
      </c>
      <c r="F2112" s="119">
        <f t="shared" si="67"/>
        <v>1.9233292787635947</v>
      </c>
      <c r="G2112" s="948" t="s">
        <v>19655</v>
      </c>
      <c r="H2112" s="847" t="s">
        <v>20098</v>
      </c>
      <c r="I2112" s="848">
        <v>45855</v>
      </c>
      <c r="J2112" s="116">
        <v>0</v>
      </c>
    </row>
    <row r="2113" spans="1:10">
      <c r="A2113" s="843">
        <v>45862</v>
      </c>
      <c r="B2113" s="931">
        <v>24034</v>
      </c>
      <c r="C2113" s="845">
        <f>22383.73*3.42405</f>
        <v>76643.01070649999</v>
      </c>
      <c r="D2113" s="116">
        <v>16649.71</v>
      </c>
      <c r="E2113" s="119">
        <f t="shared" si="66"/>
        <v>59993.300706499991</v>
      </c>
      <c r="F2113" s="119">
        <f t="shared" si="67"/>
        <v>2.4961846012523923</v>
      </c>
      <c r="G2113" s="948" t="s">
        <v>19661</v>
      </c>
      <c r="H2113" s="847" t="s">
        <v>20082</v>
      </c>
      <c r="I2113" s="848">
        <v>45845</v>
      </c>
      <c r="J2113" s="116">
        <f>20%*14676.1</f>
        <v>2935.2200000000003</v>
      </c>
    </row>
    <row r="2114" spans="1:10">
      <c r="A2114" s="843">
        <v>45862</v>
      </c>
      <c r="B2114" s="931">
        <v>23408</v>
      </c>
      <c r="C2114" s="845">
        <f>22079.26*3.42775</f>
        <v>75682.183464999995</v>
      </c>
      <c r="D2114" s="116">
        <v>16386.509999999998</v>
      </c>
      <c r="E2114" s="119">
        <f t="shared" si="66"/>
        <v>59295.673465</v>
      </c>
      <c r="F2114" s="119">
        <f t="shared" si="67"/>
        <v>2.5331371097488038</v>
      </c>
      <c r="G2114" s="948" t="s">
        <v>19661</v>
      </c>
      <c r="H2114" s="847" t="s">
        <v>20083</v>
      </c>
      <c r="I2114" s="848">
        <v>45845</v>
      </c>
      <c r="J2114" s="116">
        <f>14676.1*20%</f>
        <v>2935.2200000000003</v>
      </c>
    </row>
    <row r="2115" spans="1:10">
      <c r="A2115" s="843">
        <v>45862</v>
      </c>
      <c r="B2115" s="931">
        <v>24932</v>
      </c>
      <c r="C2115" s="845">
        <f>23180.04*3.42775</f>
        <v>79455.382110000006</v>
      </c>
      <c r="D2115" s="116">
        <v>16629.71</v>
      </c>
      <c r="E2115" s="119">
        <f t="shared" si="66"/>
        <v>62825.672110000007</v>
      </c>
      <c r="F2115" s="119">
        <f t="shared" si="67"/>
        <v>2.5198809606128671</v>
      </c>
      <c r="G2115" s="948" t="s">
        <v>19661</v>
      </c>
      <c r="H2115" s="847" t="s">
        <v>20084</v>
      </c>
      <c r="I2115" s="848">
        <v>45845</v>
      </c>
      <c r="J2115" s="116">
        <f>20%*14676.1</f>
        <v>2935.2200000000003</v>
      </c>
    </row>
    <row r="2116" spans="1:10">
      <c r="A2116" s="843">
        <v>45867</v>
      </c>
      <c r="B2116" s="931">
        <v>490000</v>
      </c>
      <c r="C2116" s="845">
        <f>817130.4</f>
        <v>817130.4</v>
      </c>
      <c r="D2116" s="116">
        <v>0</v>
      </c>
      <c r="E2116" s="119">
        <f t="shared" si="66"/>
        <v>817130.4</v>
      </c>
      <c r="F2116" s="119">
        <f t="shared" si="67"/>
        <v>1.6676130612244899</v>
      </c>
      <c r="G2116" s="948" t="s">
        <v>19833</v>
      </c>
      <c r="H2116" s="847" t="s">
        <v>20096</v>
      </c>
      <c r="I2116" s="848">
        <v>45855</v>
      </c>
      <c r="J2116" s="116">
        <v>0</v>
      </c>
    </row>
    <row r="2117" spans="1:10">
      <c r="A2117" s="843">
        <v>45867</v>
      </c>
      <c r="B2117" s="931">
        <v>44520</v>
      </c>
      <c r="C2117" s="845">
        <v>80364</v>
      </c>
      <c r="D2117" s="116">
        <v>0</v>
      </c>
      <c r="E2117" s="119">
        <f t="shared" si="66"/>
        <v>80364</v>
      </c>
      <c r="F2117" s="119">
        <f t="shared" si="67"/>
        <v>1.805121293800539</v>
      </c>
      <c r="G2117" s="948" t="s">
        <v>19656</v>
      </c>
      <c r="H2117" s="847" t="s">
        <v>20102</v>
      </c>
      <c r="I2117" s="848">
        <v>45856</v>
      </c>
      <c r="J2117" s="116">
        <v>0</v>
      </c>
    </row>
    <row r="2118" spans="1:10">
      <c r="A2118" s="843">
        <v>45867</v>
      </c>
      <c r="B2118" s="931">
        <v>49400</v>
      </c>
      <c r="C2118" s="845">
        <f>50948*2.9146</f>
        <v>148493.04080000002</v>
      </c>
      <c r="D2118" s="116">
        <v>0</v>
      </c>
      <c r="E2118" s="119">
        <f t="shared" si="66"/>
        <v>148493.04080000002</v>
      </c>
      <c r="F2118" s="119">
        <f t="shared" si="67"/>
        <v>3.0059320000000005</v>
      </c>
      <c r="G2118" s="846" t="s">
        <v>20048</v>
      </c>
      <c r="H2118" s="847" t="s">
        <v>20099</v>
      </c>
      <c r="I2118" s="848">
        <v>45855</v>
      </c>
      <c r="J2118" s="116">
        <v>0</v>
      </c>
    </row>
    <row r="2119" spans="1:10">
      <c r="A2119" s="843">
        <v>45867</v>
      </c>
      <c r="B2119" s="931">
        <v>144000</v>
      </c>
      <c r="C2119" s="845">
        <f>96480*2.9146</f>
        <v>281200.60800000001</v>
      </c>
      <c r="D2119" s="116">
        <v>0</v>
      </c>
      <c r="E2119" s="119">
        <f t="shared" si="66"/>
        <v>281200.60800000001</v>
      </c>
      <c r="F2119" s="119">
        <f t="shared" si="67"/>
        <v>1.952782</v>
      </c>
      <c r="G2119" s="846" t="s">
        <v>20048</v>
      </c>
      <c r="H2119" s="847" t="s">
        <v>20100</v>
      </c>
      <c r="I2119" s="848">
        <v>45855</v>
      </c>
      <c r="J2119" s="116">
        <v>0</v>
      </c>
    </row>
    <row r="2120" spans="1:10">
      <c r="A2120" s="843">
        <v>45868</v>
      </c>
      <c r="B2120" s="931">
        <v>20750</v>
      </c>
      <c r="C2120" s="845">
        <v>45650</v>
      </c>
      <c r="D2120" s="116">
        <v>0</v>
      </c>
      <c r="E2120" s="119">
        <f t="shared" si="66"/>
        <v>45650</v>
      </c>
      <c r="F2120" s="119">
        <f t="shared" si="67"/>
        <v>2.2000000000000002</v>
      </c>
      <c r="G2120" s="948" t="s">
        <v>17018</v>
      </c>
      <c r="H2120" s="847" t="s">
        <v>20103</v>
      </c>
      <c r="I2120" s="848">
        <v>45859</v>
      </c>
      <c r="J2120" s="116">
        <v>0</v>
      </c>
    </row>
    <row r="2121" spans="1:10">
      <c r="A2121" s="843">
        <v>45868</v>
      </c>
      <c r="B2121" s="931">
        <v>20500</v>
      </c>
      <c r="C2121" s="845">
        <v>45100</v>
      </c>
      <c r="D2121" s="116">
        <v>0</v>
      </c>
      <c r="E2121" s="119">
        <f t="shared" si="66"/>
        <v>45100</v>
      </c>
      <c r="F2121" s="119">
        <f t="shared" si="67"/>
        <v>2.2000000000000002</v>
      </c>
      <c r="G2121" s="948" t="s">
        <v>17018</v>
      </c>
      <c r="H2121" s="847" t="s">
        <v>20101</v>
      </c>
      <c r="I2121" s="848">
        <v>45859</v>
      </c>
      <c r="J2121" s="116">
        <v>0</v>
      </c>
    </row>
    <row r="2122" spans="1:10">
      <c r="A2122" s="843">
        <v>45869</v>
      </c>
      <c r="B2122" s="931">
        <v>192500</v>
      </c>
      <c r="C2122" s="845">
        <v>288750</v>
      </c>
      <c r="D2122" s="116">
        <v>0</v>
      </c>
      <c r="E2122" s="119">
        <f t="shared" si="66"/>
        <v>288750</v>
      </c>
      <c r="F2122" s="119">
        <f t="shared" si="67"/>
        <v>1.5</v>
      </c>
      <c r="G2122" s="948" t="s">
        <v>19655</v>
      </c>
      <c r="H2122" s="847" t="s">
        <v>20104</v>
      </c>
      <c r="I2122" s="848">
        <v>45861</v>
      </c>
      <c r="J2122" s="116">
        <v>0</v>
      </c>
    </row>
    <row r="2123" spans="1:10">
      <c r="A2123" s="967">
        <v>45869</v>
      </c>
      <c r="B2123" s="968">
        <v>51816</v>
      </c>
      <c r="C2123" s="969">
        <f>24711.12*3.41025</f>
        <v>84271.096980000002</v>
      </c>
      <c r="D2123" s="154">
        <v>12000</v>
      </c>
      <c r="E2123" s="154">
        <f t="shared" si="66"/>
        <v>72271.096980000002</v>
      </c>
      <c r="F2123" s="154">
        <f t="shared" si="67"/>
        <v>1.3947641072255674</v>
      </c>
      <c r="G2123" s="969" t="s">
        <v>17343</v>
      </c>
      <c r="H2123" s="970" t="s">
        <v>20106</v>
      </c>
      <c r="I2123" s="971">
        <v>45862</v>
      </c>
      <c r="J2123" s="154">
        <v>1200</v>
      </c>
    </row>
    <row r="2124" spans="1:10">
      <c r="A2124" s="843">
        <v>45869</v>
      </c>
      <c r="B2124" s="931">
        <v>14192</v>
      </c>
      <c r="C2124" s="845">
        <f>9824.2*3.41025</f>
        <v>33502.978050000005</v>
      </c>
      <c r="D2124" s="116">
        <v>11953.8</v>
      </c>
      <c r="E2124" s="119">
        <f t="shared" si="66"/>
        <v>21549.178050000006</v>
      </c>
      <c r="F2124" s="119">
        <f t="shared" si="67"/>
        <v>1.5184031884160094</v>
      </c>
      <c r="G2124" s="948" t="s">
        <v>17343</v>
      </c>
      <c r="H2124" s="847" t="s">
        <v>20107</v>
      </c>
      <c r="I2124" s="848">
        <v>45866</v>
      </c>
      <c r="J2124" s="116">
        <f>13%*8549.72</f>
        <v>1111.4636</v>
      </c>
    </row>
  </sheetData>
  <autoFilter ref="A6:J1913" xr:uid="{00000000-0009-0000-0000-000008000000}">
    <filterColumn colId="8">
      <filters>
        <dateGroupItem year="2024" dateTimeGrouping="year"/>
      </filters>
    </filterColumn>
  </autoFilter>
  <conditionalFormatting sqref="G905:G926">
    <cfRule type="duplicateValues" dxfId="67" priority="9" stopIfTrue="1"/>
    <cfRule type="duplicateValues" dxfId="66" priority="10" stopIfTrue="1"/>
  </conditionalFormatting>
  <conditionalFormatting sqref="H34:H66">
    <cfRule type="duplicateValues" dxfId="65" priority="13" stopIfTrue="1"/>
  </conditionalFormatting>
  <conditionalFormatting sqref="H663:H688 G689:G724 G636:G662">
    <cfRule type="duplicateValues" dxfId="64" priority="11" stopIfTrue="1"/>
    <cfRule type="duplicateValues" dxfId="63" priority="12" stopIfTrue="1"/>
  </conditionalFormatting>
  <conditionalFormatting sqref="H1327:H1344">
    <cfRule type="duplicateValues" dxfId="62" priority="7" stopIfTrue="1"/>
    <cfRule type="duplicateValues" dxfId="61" priority="8" stopIfTrue="1"/>
  </conditionalFormatting>
  <conditionalFormatting sqref="H1392:H1429">
    <cfRule type="duplicateValues" dxfId="60" priority="5" stopIfTrue="1"/>
    <cfRule type="duplicateValues" dxfId="59" priority="6" stopIfTrue="1"/>
  </conditionalFormatting>
  <conditionalFormatting sqref="H1430:H1431">
    <cfRule type="duplicateValues" dxfId="58" priority="3" stopIfTrue="1"/>
    <cfRule type="duplicateValues" dxfId="57" priority="4" stopIfTrue="1"/>
  </conditionalFormatting>
  <conditionalFormatting sqref="H1468:H1511">
    <cfRule type="duplicateValues" dxfId="56" priority="1" stopIfTrue="1"/>
    <cfRule type="duplicateValues" dxfId="55" priority="2" stopIfTrue="1"/>
  </conditionalFormatting>
  <conditionalFormatting sqref="J888:J890 J870:J879 J834:J840 J783:J787 J757 H2:H635 I1 H905:H1326 G891:G904 G880:G887 G841:G869 G788:G833 G758:G782 G725:G756 H1345:H1391 H1432:H1467 H1512:H65536">
    <cfRule type="duplicateValues" dxfId="54" priority="14" stopIfTrue="1"/>
    <cfRule type="duplicateValues" dxfId="53" priority="15" stopIfTrue="1"/>
  </conditionalFormatting>
  <pageMargins left="0.7" right="0.7" top="0.75" bottom="0.75" header="0.3" footer="0.3"/>
  <pageSetup paperSize="9" orientation="portrait" verticalDpi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3">
    <tabColor rgb="FF00B050"/>
    <pageSetUpPr fitToPage="1"/>
  </sheetPr>
  <dimension ref="A1:AO2140"/>
  <sheetViews>
    <sheetView tabSelected="1" topLeftCell="AF1" zoomScale="80" zoomScaleNormal="80" workbookViewId="0">
      <pane ySplit="2" topLeftCell="A2123" activePane="bottomLeft" state="frozen"/>
      <selection pane="bottomLeft" activeCell="M2133" sqref="M2133"/>
    </sheetView>
  </sheetViews>
  <sheetFormatPr defaultColWidth="6.85546875" defaultRowHeight="11.45"/>
  <cols>
    <col min="1" max="1" width="8.5703125" style="1" bestFit="1" customWidth="1"/>
    <col min="2" max="2" width="10.28515625" style="1" bestFit="1" customWidth="1"/>
    <col min="3" max="3" width="14" style="1" bestFit="1" customWidth="1"/>
    <col min="4" max="4" width="12.42578125" style="1" bestFit="1" customWidth="1"/>
    <col min="5" max="5" width="9.140625" style="1" bestFit="1" customWidth="1"/>
    <col min="6" max="6" width="13.85546875" style="1" bestFit="1" customWidth="1"/>
    <col min="7" max="7" width="9.42578125" style="1" bestFit="1" customWidth="1"/>
    <col min="8" max="8" width="9" style="1" bestFit="1" customWidth="1"/>
    <col min="9" max="9" width="35.42578125" style="1" bestFit="1" customWidth="1"/>
    <col min="10" max="10" width="9.7109375" style="1" bestFit="1" customWidth="1"/>
    <col min="11" max="11" width="12.140625" style="36" bestFit="1" customWidth="1"/>
    <col min="12" max="12" width="8.140625" style="1" bestFit="1" customWidth="1"/>
    <col min="13" max="13" width="20.85546875" style="37" bestFit="1" customWidth="1"/>
    <col min="14" max="14" width="12.5703125" style="1" bestFit="1" customWidth="1"/>
    <col min="15" max="15" width="18.42578125" style="1" bestFit="1" customWidth="1"/>
    <col min="16" max="16" width="20.7109375" style="876" bestFit="1" customWidth="1"/>
    <col min="17" max="17" width="17.85546875" style="3" customWidth="1"/>
    <col min="18" max="18" width="18.42578125" style="3" customWidth="1"/>
    <col min="19" max="19" width="15.28515625" style="3" customWidth="1"/>
    <col min="20" max="20" width="17.28515625" style="3" customWidth="1"/>
    <col min="21" max="21" width="14.5703125" style="3" customWidth="1"/>
    <col min="22" max="22" width="13.85546875" style="1" customWidth="1"/>
    <col min="23" max="23" width="21.28515625" style="39" bestFit="1" customWidth="1"/>
    <col min="24" max="24" width="19.28515625" style="39" bestFit="1" customWidth="1"/>
    <col min="25" max="25" width="16.28515625" style="39" bestFit="1" customWidth="1"/>
    <col min="26" max="26" width="18.140625" style="39" bestFit="1" customWidth="1"/>
    <col min="27" max="27" width="22" style="40" bestFit="1" customWidth="1"/>
    <col min="28" max="28" width="22.5703125" style="40" customWidth="1"/>
    <col min="29" max="29" width="17" style="40" bestFit="1" customWidth="1"/>
    <col min="30" max="30" width="18.85546875" style="40" bestFit="1" customWidth="1"/>
    <col min="31" max="31" width="15.5703125" style="41" customWidth="1"/>
    <col min="32" max="32" width="17.140625" style="42" customWidth="1"/>
    <col min="33" max="33" width="12.42578125" style="42" customWidth="1"/>
    <col min="34" max="34" width="20.140625" style="43" bestFit="1" customWidth="1"/>
    <col min="35" max="35" width="23.85546875" style="43" bestFit="1" customWidth="1"/>
    <col min="36" max="36" width="21.140625" style="43" bestFit="1" customWidth="1"/>
    <col min="37" max="37" width="23.140625" style="43" bestFit="1" customWidth="1"/>
    <col min="38" max="38" width="17.85546875" style="41" customWidth="1"/>
    <col min="39" max="39" width="23.140625" style="44" customWidth="1"/>
    <col min="40" max="40" width="21.28515625" style="44" customWidth="1"/>
    <col min="41" max="41" width="19.28515625" style="44" customWidth="1"/>
    <col min="42" max="16384" width="6.85546875" style="1"/>
  </cols>
  <sheetData>
    <row r="1" spans="1:41" ht="13.5" thickBot="1">
      <c r="A1" s="402"/>
      <c r="C1" s="620" t="s">
        <v>20110</v>
      </c>
      <c r="D1" s="621"/>
      <c r="E1" s="621"/>
      <c r="F1" s="621"/>
      <c r="G1" s="621"/>
      <c r="H1" s="621"/>
      <c r="I1" s="622"/>
      <c r="J1" s="620" t="s">
        <v>20111</v>
      </c>
      <c r="K1" s="621"/>
      <c r="L1" s="621"/>
      <c r="M1" s="622"/>
      <c r="N1" s="620" t="s">
        <v>20112</v>
      </c>
      <c r="O1" s="621"/>
      <c r="P1" s="871"/>
      <c r="Q1" s="979" t="s">
        <v>20113</v>
      </c>
      <c r="R1" s="980"/>
      <c r="S1" s="980"/>
      <c r="T1" s="980"/>
      <c r="U1" s="981"/>
      <c r="V1" s="45" t="s">
        <v>20114</v>
      </c>
      <c r="W1" s="982" t="s">
        <v>20115</v>
      </c>
      <c r="X1" s="983"/>
      <c r="Y1" s="983"/>
      <c r="Z1" s="984"/>
      <c r="AA1" s="985" t="s">
        <v>20116</v>
      </c>
      <c r="AB1" s="986"/>
      <c r="AC1" s="986"/>
      <c r="AD1" s="987"/>
      <c r="AE1" s="46" t="s">
        <v>20117</v>
      </c>
      <c r="AF1" s="974" t="s">
        <v>20118</v>
      </c>
      <c r="AG1" s="975"/>
      <c r="AH1" s="976" t="s">
        <v>20119</v>
      </c>
      <c r="AI1" s="977"/>
      <c r="AJ1" s="977"/>
      <c r="AK1" s="978"/>
    </row>
    <row r="2" spans="1:41" s="624" customFormat="1" ht="28.5" customHeight="1">
      <c r="A2" s="624" t="s">
        <v>20120</v>
      </c>
      <c r="B2" s="624" t="s">
        <v>20121</v>
      </c>
      <c r="C2" s="624" t="s">
        <v>20122</v>
      </c>
      <c r="D2" s="624" t="s">
        <v>17406</v>
      </c>
      <c r="E2" s="624" t="s">
        <v>20123</v>
      </c>
      <c r="F2" s="624" t="s">
        <v>17407</v>
      </c>
      <c r="G2" s="624" t="s">
        <v>20124</v>
      </c>
      <c r="H2" s="624" t="s">
        <v>17408</v>
      </c>
      <c r="I2" s="624" t="s">
        <v>17409</v>
      </c>
      <c r="J2" s="624" t="s">
        <v>20125</v>
      </c>
      <c r="K2" s="625" t="s">
        <v>20126</v>
      </c>
      <c r="L2" s="624" t="s">
        <v>20127</v>
      </c>
      <c r="M2" s="626" t="s">
        <v>20128</v>
      </c>
      <c r="N2" s="624" t="s">
        <v>20112</v>
      </c>
      <c r="O2" s="624" t="s">
        <v>20129</v>
      </c>
      <c r="P2" s="627" t="s">
        <v>20130</v>
      </c>
      <c r="Q2" s="628" t="s">
        <v>20131</v>
      </c>
      <c r="R2" s="628" t="s">
        <v>20132</v>
      </c>
      <c r="S2" s="628" t="s">
        <v>20133</v>
      </c>
      <c r="T2" s="628" t="s">
        <v>20134</v>
      </c>
      <c r="U2" s="628" t="s">
        <v>20135</v>
      </c>
      <c r="V2" s="624" t="s">
        <v>20136</v>
      </c>
      <c r="W2" s="629" t="s">
        <v>20137</v>
      </c>
      <c r="X2" s="629" t="s">
        <v>20138</v>
      </c>
      <c r="Y2" s="629" t="s">
        <v>20139</v>
      </c>
      <c r="Z2" s="629" t="s">
        <v>20140</v>
      </c>
      <c r="AA2" s="630" t="s">
        <v>20141</v>
      </c>
      <c r="AB2" s="630" t="s">
        <v>20142</v>
      </c>
      <c r="AC2" s="630" t="s">
        <v>20143</v>
      </c>
      <c r="AD2" s="630" t="s">
        <v>20144</v>
      </c>
      <c r="AE2" s="631" t="s">
        <v>20145</v>
      </c>
      <c r="AF2" s="632" t="s">
        <v>20118</v>
      </c>
      <c r="AG2" s="632" t="s">
        <v>20146</v>
      </c>
      <c r="AH2" s="633" t="s">
        <v>20147</v>
      </c>
      <c r="AI2" s="633" t="s">
        <v>20148</v>
      </c>
      <c r="AJ2" s="633" t="s">
        <v>20149</v>
      </c>
      <c r="AK2" s="633" t="s">
        <v>20150</v>
      </c>
      <c r="AL2" s="631" t="s">
        <v>20151</v>
      </c>
      <c r="AM2" s="634" t="s">
        <v>20152</v>
      </c>
      <c r="AN2" s="634" t="s">
        <v>20153</v>
      </c>
      <c r="AO2" s="634" t="s">
        <v>20154</v>
      </c>
    </row>
    <row r="3" spans="1:41" hidden="1">
      <c r="A3" s="623">
        <v>1</v>
      </c>
      <c r="B3" s="11" t="s">
        <v>13</v>
      </c>
      <c r="C3" s="14">
        <v>0</v>
      </c>
      <c r="D3" s="623" t="s">
        <v>17421</v>
      </c>
      <c r="E3" s="11" t="s">
        <v>13</v>
      </c>
      <c r="F3" s="403">
        <v>43467</v>
      </c>
      <c r="G3" s="11">
        <v>2019</v>
      </c>
      <c r="H3" s="11" t="s">
        <v>16838</v>
      </c>
      <c r="I3" s="11" t="s">
        <v>16839</v>
      </c>
      <c r="J3" s="11" t="s">
        <v>3</v>
      </c>
      <c r="K3" s="404">
        <v>142831.92000000001</v>
      </c>
      <c r="L3" s="14">
        <v>1</v>
      </c>
      <c r="M3" s="405">
        <v>142831.92000000001</v>
      </c>
      <c r="N3" s="11" t="s">
        <v>20155</v>
      </c>
      <c r="O3" s="11" t="s">
        <v>17798</v>
      </c>
      <c r="P3" s="872">
        <v>43472</v>
      </c>
      <c r="Q3" s="406">
        <v>0</v>
      </c>
      <c r="R3" s="406">
        <v>110040</v>
      </c>
      <c r="S3" s="406">
        <v>0</v>
      </c>
      <c r="T3" s="406">
        <v>0</v>
      </c>
      <c r="U3" s="406">
        <v>110040</v>
      </c>
      <c r="V3" s="11" t="s">
        <v>20155</v>
      </c>
      <c r="W3" s="407">
        <v>0</v>
      </c>
      <c r="X3" s="407">
        <v>142831.92000000001</v>
      </c>
      <c r="Y3" s="407">
        <v>0</v>
      </c>
      <c r="Z3" s="407">
        <v>0</v>
      </c>
      <c r="AA3" s="408"/>
      <c r="AB3" s="408">
        <v>1.298</v>
      </c>
      <c r="AC3" s="408"/>
      <c r="AD3" s="408"/>
      <c r="AE3" s="409"/>
      <c r="AF3" s="410">
        <v>0</v>
      </c>
      <c r="AG3" s="410">
        <v>0</v>
      </c>
      <c r="AH3" s="411"/>
      <c r="AI3" s="412">
        <v>1.298</v>
      </c>
      <c r="AJ3" s="411"/>
      <c r="AK3" s="411"/>
      <c r="AL3" s="18"/>
      <c r="AM3" s="49"/>
      <c r="AN3" s="2"/>
      <c r="AO3" s="2"/>
    </row>
    <row r="4" spans="1:41" hidden="1">
      <c r="A4" s="14">
        <v>2</v>
      </c>
      <c r="B4" s="11" t="s">
        <v>14</v>
      </c>
      <c r="C4" s="14">
        <v>0</v>
      </c>
      <c r="D4" s="11" t="s">
        <v>17423</v>
      </c>
      <c r="E4" s="11" t="s">
        <v>14</v>
      </c>
      <c r="F4" s="403">
        <v>43467</v>
      </c>
      <c r="G4" s="11">
        <v>2019</v>
      </c>
      <c r="H4" s="11" t="s">
        <v>16972</v>
      </c>
      <c r="I4" s="11" t="s">
        <v>16973</v>
      </c>
      <c r="J4" s="11" t="s">
        <v>3</v>
      </c>
      <c r="K4" s="404">
        <v>165200</v>
      </c>
      <c r="L4" s="14">
        <v>1</v>
      </c>
      <c r="M4" s="405">
        <v>165200</v>
      </c>
      <c r="N4" s="11" t="s">
        <v>20155</v>
      </c>
      <c r="O4" s="11" t="s">
        <v>17801</v>
      </c>
      <c r="P4" s="872">
        <v>43472</v>
      </c>
      <c r="Q4" s="406">
        <v>0</v>
      </c>
      <c r="R4" s="406">
        <v>0</v>
      </c>
      <c r="S4" s="406">
        <v>140000</v>
      </c>
      <c r="T4" s="406">
        <v>0</v>
      </c>
      <c r="U4" s="406">
        <v>140000</v>
      </c>
      <c r="V4" s="11" t="s">
        <v>20155</v>
      </c>
      <c r="W4" s="407">
        <v>0</v>
      </c>
      <c r="X4" s="407">
        <v>0</v>
      </c>
      <c r="Y4" s="407">
        <v>165200</v>
      </c>
      <c r="Z4" s="407">
        <v>0</v>
      </c>
      <c r="AA4" s="408"/>
      <c r="AB4" s="408"/>
      <c r="AC4" s="408">
        <v>1.18</v>
      </c>
      <c r="AD4" s="408"/>
      <c r="AE4" s="409"/>
      <c r="AF4" s="410">
        <v>0</v>
      </c>
      <c r="AG4" s="410">
        <v>0</v>
      </c>
      <c r="AH4" s="411"/>
      <c r="AI4" s="412"/>
      <c r="AJ4" s="411">
        <v>1.18</v>
      </c>
      <c r="AK4" s="411"/>
      <c r="AL4" s="18"/>
      <c r="AM4" s="49"/>
      <c r="AN4" s="2"/>
      <c r="AO4" s="2"/>
    </row>
    <row r="5" spans="1:41" hidden="1">
      <c r="A5" s="14">
        <v>3</v>
      </c>
      <c r="B5" s="11" t="s">
        <v>15</v>
      </c>
      <c r="C5" s="14">
        <v>0</v>
      </c>
      <c r="D5" s="11" t="s">
        <v>17426</v>
      </c>
      <c r="E5" s="11" t="s">
        <v>15</v>
      </c>
      <c r="F5" s="403">
        <v>43467</v>
      </c>
      <c r="G5" s="11">
        <v>2019</v>
      </c>
      <c r="H5" s="11" t="s">
        <v>16880</v>
      </c>
      <c r="I5" s="11" t="s">
        <v>16881</v>
      </c>
      <c r="J5" s="11" t="s">
        <v>16401</v>
      </c>
      <c r="K5" s="404">
        <v>68149.133000000002</v>
      </c>
      <c r="L5" s="404">
        <v>3.0168499999999998</v>
      </c>
      <c r="M5" s="405">
        <v>22589.499975139635</v>
      </c>
      <c r="N5" s="11" t="s">
        <v>20155</v>
      </c>
      <c r="O5" s="11" t="s">
        <v>20156</v>
      </c>
      <c r="P5" s="872">
        <v>43472</v>
      </c>
      <c r="Q5" s="406">
        <v>6000</v>
      </c>
      <c r="R5" s="406">
        <v>12850</v>
      </c>
      <c r="S5" s="406">
        <v>0</v>
      </c>
      <c r="T5" s="406">
        <v>0</v>
      </c>
      <c r="U5" s="406">
        <v>18850</v>
      </c>
      <c r="V5" s="11" t="s">
        <v>20155</v>
      </c>
      <c r="W5" s="407">
        <v>20906.770499999999</v>
      </c>
      <c r="X5" s="407">
        <v>47242.362575000006</v>
      </c>
      <c r="Y5" s="407">
        <v>0</v>
      </c>
      <c r="Z5" s="407">
        <v>0</v>
      </c>
      <c r="AA5" s="408">
        <v>3.4844617499999999</v>
      </c>
      <c r="AB5" s="408">
        <v>3.676448449416343</v>
      </c>
      <c r="AC5" s="408"/>
      <c r="AD5" s="408"/>
      <c r="AE5" s="409"/>
      <c r="AF5" s="410">
        <v>1483.3</v>
      </c>
      <c r="AG5" s="410">
        <v>7.8689655172413789E-2</v>
      </c>
      <c r="AH5" s="411">
        <v>3.405772094827586</v>
      </c>
      <c r="AI5" s="412">
        <v>3.5977587942439291</v>
      </c>
      <c r="AJ5" s="411"/>
      <c r="AK5" s="411"/>
      <c r="AL5" s="18"/>
      <c r="AM5" s="49"/>
      <c r="AN5" s="2"/>
      <c r="AO5" s="2"/>
    </row>
    <row r="6" spans="1:41" hidden="1">
      <c r="A6" s="14">
        <v>4</v>
      </c>
      <c r="B6" s="11" t="s">
        <v>16</v>
      </c>
      <c r="C6" s="14">
        <v>0</v>
      </c>
      <c r="D6" s="11" t="s">
        <v>17428</v>
      </c>
      <c r="E6" s="11" t="s">
        <v>16</v>
      </c>
      <c r="F6" s="403">
        <v>43497</v>
      </c>
      <c r="G6" s="11">
        <v>2019</v>
      </c>
      <c r="H6" s="11" t="s">
        <v>16977</v>
      </c>
      <c r="I6" s="11" t="s">
        <v>16978</v>
      </c>
      <c r="J6" s="11" t="s">
        <v>16401</v>
      </c>
      <c r="K6" s="404">
        <v>33787.563999999998</v>
      </c>
      <c r="L6" s="404">
        <v>3.3845000000000001</v>
      </c>
      <c r="M6" s="405">
        <v>9983.0296941941197</v>
      </c>
      <c r="N6" s="11" t="s">
        <v>20155</v>
      </c>
      <c r="O6" s="11" t="s">
        <v>20157</v>
      </c>
      <c r="P6" s="872">
        <v>43510</v>
      </c>
      <c r="Q6" s="406">
        <v>0</v>
      </c>
      <c r="R6" s="406">
        <v>0</v>
      </c>
      <c r="S6" s="406">
        <v>0</v>
      </c>
      <c r="T6" s="406">
        <v>8000</v>
      </c>
      <c r="U6" s="406">
        <v>8000</v>
      </c>
      <c r="V6" s="11" t="s">
        <v>20155</v>
      </c>
      <c r="W6" s="407">
        <v>0</v>
      </c>
      <c r="X6" s="407">
        <v>0</v>
      </c>
      <c r="Y6" s="407">
        <v>0</v>
      </c>
      <c r="Z6" s="407">
        <v>33787.564000000006</v>
      </c>
      <c r="AA6" s="408"/>
      <c r="AB6" s="408"/>
      <c r="AC6" s="408"/>
      <c r="AD6" s="408">
        <v>4.2234455000000004</v>
      </c>
      <c r="AE6" s="409"/>
      <c r="AF6" s="410">
        <v>843.2</v>
      </c>
      <c r="AG6" s="410">
        <v>0.10540000000000001</v>
      </c>
      <c r="AH6" s="411"/>
      <c r="AI6" s="412"/>
      <c r="AJ6" s="411"/>
      <c r="AK6" s="411">
        <v>4.1180455</v>
      </c>
      <c r="AL6" s="18"/>
      <c r="AM6" s="49"/>
      <c r="AN6" s="2"/>
      <c r="AO6" s="2"/>
    </row>
    <row r="7" spans="1:41" hidden="1">
      <c r="A7" s="14">
        <v>5</v>
      </c>
      <c r="B7" s="11" t="s">
        <v>17</v>
      </c>
      <c r="C7" s="14">
        <v>0</v>
      </c>
      <c r="D7" s="11" t="s">
        <v>17429</v>
      </c>
      <c r="E7" s="11" t="s">
        <v>17</v>
      </c>
      <c r="F7" s="403">
        <v>43467</v>
      </c>
      <c r="G7" s="11">
        <v>2019</v>
      </c>
      <c r="H7" s="11" t="s">
        <v>17017</v>
      </c>
      <c r="I7" s="11" t="s">
        <v>17018</v>
      </c>
      <c r="J7" s="11" t="s">
        <v>3</v>
      </c>
      <c r="K7" s="404">
        <v>50400</v>
      </c>
      <c r="L7" s="14">
        <v>1</v>
      </c>
      <c r="M7" s="405">
        <v>50400</v>
      </c>
      <c r="N7" s="11" t="s">
        <v>20155</v>
      </c>
      <c r="O7" s="11" t="s">
        <v>20158</v>
      </c>
      <c r="P7" s="872">
        <v>43473</v>
      </c>
      <c r="Q7" s="406">
        <v>0</v>
      </c>
      <c r="R7" s="406">
        <v>0</v>
      </c>
      <c r="S7" s="406">
        <v>33600</v>
      </c>
      <c r="T7" s="406">
        <v>0</v>
      </c>
      <c r="U7" s="406">
        <v>33600</v>
      </c>
      <c r="V7" s="11" t="s">
        <v>20155</v>
      </c>
      <c r="W7" s="407">
        <v>0</v>
      </c>
      <c r="X7" s="407">
        <v>0</v>
      </c>
      <c r="Y7" s="407">
        <v>50400</v>
      </c>
      <c r="Z7" s="407">
        <v>0</v>
      </c>
      <c r="AA7" s="408"/>
      <c r="AB7" s="408"/>
      <c r="AC7" s="408">
        <v>1.5</v>
      </c>
      <c r="AD7" s="408"/>
      <c r="AE7" s="409"/>
      <c r="AF7" s="410">
        <v>0</v>
      </c>
      <c r="AG7" s="410">
        <v>0</v>
      </c>
      <c r="AH7" s="411"/>
      <c r="AI7" s="412"/>
      <c r="AJ7" s="411">
        <v>1.5</v>
      </c>
      <c r="AK7" s="411"/>
      <c r="AL7" s="18"/>
      <c r="AM7" s="49"/>
      <c r="AN7" s="2"/>
      <c r="AO7" s="2"/>
    </row>
    <row r="8" spans="1:41" hidden="1">
      <c r="A8" s="14">
        <v>6</v>
      </c>
      <c r="B8" s="11" t="s">
        <v>18</v>
      </c>
      <c r="C8" s="14">
        <v>0</v>
      </c>
      <c r="D8" s="11" t="s">
        <v>17432</v>
      </c>
      <c r="E8" s="11" t="s">
        <v>18</v>
      </c>
      <c r="F8" s="403">
        <v>43467</v>
      </c>
      <c r="G8" s="11">
        <v>2019</v>
      </c>
      <c r="H8" s="11" t="s">
        <v>16643</v>
      </c>
      <c r="I8" s="11" t="s">
        <v>16644</v>
      </c>
      <c r="J8" s="11" t="s">
        <v>16482</v>
      </c>
      <c r="K8" s="404">
        <v>71516.544999999998</v>
      </c>
      <c r="L8" s="404">
        <v>3.4254500000000001</v>
      </c>
      <c r="M8" s="405">
        <v>20877.999970806755</v>
      </c>
      <c r="N8" s="11" t="s">
        <v>20155</v>
      </c>
      <c r="O8" s="11" t="s">
        <v>20159</v>
      </c>
      <c r="P8" s="872">
        <v>43470</v>
      </c>
      <c r="Q8" s="406">
        <v>0</v>
      </c>
      <c r="R8" s="406">
        <v>40200</v>
      </c>
      <c r="S8" s="406">
        <v>0</v>
      </c>
      <c r="T8" s="406">
        <v>0</v>
      </c>
      <c r="U8" s="406">
        <v>40200</v>
      </c>
      <c r="V8" s="11" t="s">
        <v>20155</v>
      </c>
      <c r="W8" s="407">
        <v>0</v>
      </c>
      <c r="X8" s="407">
        <v>53704.205099999999</v>
      </c>
      <c r="Y8" s="407">
        <v>0</v>
      </c>
      <c r="Z8" s="407">
        <v>0</v>
      </c>
      <c r="AA8" s="408"/>
      <c r="AB8" s="408">
        <v>1.3359254999999999</v>
      </c>
      <c r="AC8" s="408"/>
      <c r="AD8" s="408"/>
      <c r="AE8" s="409"/>
      <c r="AF8" s="410">
        <v>21067.9</v>
      </c>
      <c r="AG8" s="410">
        <v>0.52407711442786076</v>
      </c>
      <c r="AH8" s="411"/>
      <c r="AI8" s="412">
        <v>0.81184838557213912</v>
      </c>
      <c r="AJ8" s="411"/>
      <c r="AK8" s="411"/>
      <c r="AL8" s="18"/>
      <c r="AM8" s="49"/>
      <c r="AN8" s="2"/>
      <c r="AO8" s="2"/>
    </row>
    <row r="9" spans="1:41" hidden="1">
      <c r="A9" s="14">
        <v>7</v>
      </c>
      <c r="B9" s="11" t="s">
        <v>19</v>
      </c>
      <c r="C9" s="14">
        <v>0</v>
      </c>
      <c r="D9" s="11" t="s">
        <v>17434</v>
      </c>
      <c r="E9" s="11" t="s">
        <v>19</v>
      </c>
      <c r="F9" s="403">
        <v>43473</v>
      </c>
      <c r="G9" s="11">
        <v>2019</v>
      </c>
      <c r="H9" s="11" t="s">
        <v>16838</v>
      </c>
      <c r="I9" s="11" t="s">
        <v>16839</v>
      </c>
      <c r="J9" s="11" t="s">
        <v>3</v>
      </c>
      <c r="K9" s="404">
        <v>144152.4</v>
      </c>
      <c r="L9" s="14">
        <v>1</v>
      </c>
      <c r="M9" s="405">
        <v>144152.4</v>
      </c>
      <c r="N9" s="11" t="s">
        <v>20155</v>
      </c>
      <c r="O9" s="11" t="s">
        <v>17798</v>
      </c>
      <c r="P9" s="872">
        <v>43480</v>
      </c>
      <c r="Q9" s="406">
        <v>0</v>
      </c>
      <c r="R9" s="406">
        <v>110040</v>
      </c>
      <c r="S9" s="406">
        <v>0</v>
      </c>
      <c r="T9" s="406">
        <v>0</v>
      </c>
      <c r="U9" s="406">
        <v>110040</v>
      </c>
      <c r="V9" s="11" t="s">
        <v>20155</v>
      </c>
      <c r="W9" s="407">
        <v>0</v>
      </c>
      <c r="X9" s="407">
        <v>144152.4</v>
      </c>
      <c r="Y9" s="407">
        <v>0</v>
      </c>
      <c r="Z9" s="407">
        <v>0</v>
      </c>
      <c r="AA9" s="408"/>
      <c r="AB9" s="408">
        <v>1.31</v>
      </c>
      <c r="AC9" s="408"/>
      <c r="AD9" s="408"/>
      <c r="AE9" s="409"/>
      <c r="AF9" s="410">
        <v>0</v>
      </c>
      <c r="AG9" s="410">
        <v>0</v>
      </c>
      <c r="AH9" s="411"/>
      <c r="AI9" s="412">
        <v>1.31</v>
      </c>
      <c r="AJ9" s="411"/>
      <c r="AK9" s="411"/>
      <c r="AL9" s="18"/>
      <c r="AM9" s="49"/>
      <c r="AN9" s="2"/>
      <c r="AO9" s="2"/>
    </row>
    <row r="10" spans="1:41" hidden="1">
      <c r="A10" s="14">
        <v>8</v>
      </c>
      <c r="B10" s="11" t="s">
        <v>20</v>
      </c>
      <c r="C10" s="14">
        <v>0</v>
      </c>
      <c r="D10" s="11" t="s">
        <v>17435</v>
      </c>
      <c r="E10" s="11" t="s">
        <v>20</v>
      </c>
      <c r="F10" s="403">
        <v>43473</v>
      </c>
      <c r="G10" s="11">
        <v>2019</v>
      </c>
      <c r="H10" s="11" t="s">
        <v>16444</v>
      </c>
      <c r="I10" s="11" t="s">
        <v>16445</v>
      </c>
      <c r="J10" s="11" t="s">
        <v>3</v>
      </c>
      <c r="K10" s="404">
        <v>107367.6</v>
      </c>
      <c r="L10" s="14">
        <v>1</v>
      </c>
      <c r="M10" s="405">
        <v>107367.6</v>
      </c>
      <c r="N10" s="11" t="s">
        <v>20155</v>
      </c>
      <c r="O10" s="11" t="s">
        <v>18248</v>
      </c>
      <c r="P10" s="872">
        <v>43480</v>
      </c>
      <c r="Q10" s="406">
        <v>39216</v>
      </c>
      <c r="R10" s="406">
        <v>36792</v>
      </c>
      <c r="S10" s="406">
        <v>0</v>
      </c>
      <c r="T10" s="406">
        <v>0</v>
      </c>
      <c r="U10" s="406">
        <v>76008</v>
      </c>
      <c r="V10" s="11" t="s">
        <v>20155</v>
      </c>
      <c r="W10" s="407">
        <v>55858.8</v>
      </c>
      <c r="X10" s="407">
        <v>51508.800000000003</v>
      </c>
      <c r="Y10" s="407">
        <v>0</v>
      </c>
      <c r="Z10" s="407">
        <v>0</v>
      </c>
      <c r="AA10" s="408">
        <v>1.424388004895961</v>
      </c>
      <c r="AB10" s="408">
        <v>1.4</v>
      </c>
      <c r="AC10" s="408"/>
      <c r="AD10" s="408"/>
      <c r="AE10" s="409"/>
      <c r="AF10" s="410">
        <v>0</v>
      </c>
      <c r="AG10" s="410">
        <v>0</v>
      </c>
      <c r="AH10" s="411">
        <v>1.424388004895961</v>
      </c>
      <c r="AI10" s="412">
        <v>1.4</v>
      </c>
      <c r="AJ10" s="411"/>
      <c r="AK10" s="411"/>
      <c r="AL10" s="18"/>
      <c r="AM10" s="49"/>
      <c r="AN10" s="2"/>
      <c r="AO10" s="2"/>
    </row>
    <row r="11" spans="1:41" hidden="1">
      <c r="A11" s="14">
        <v>9</v>
      </c>
      <c r="B11" s="11" t="s">
        <v>21</v>
      </c>
      <c r="C11" s="14">
        <v>0</v>
      </c>
      <c r="D11" s="11" t="s">
        <v>17439</v>
      </c>
      <c r="E11" s="11" t="s">
        <v>21</v>
      </c>
      <c r="F11" s="403">
        <v>43473</v>
      </c>
      <c r="G11" s="11">
        <v>2019</v>
      </c>
      <c r="H11" s="11" t="s">
        <v>16904</v>
      </c>
      <c r="I11" s="11" t="s">
        <v>16905</v>
      </c>
      <c r="J11" s="11" t="s">
        <v>16482</v>
      </c>
      <c r="K11" s="404">
        <v>51091.335999999996</v>
      </c>
      <c r="L11" s="404">
        <v>3.44265</v>
      </c>
      <c r="M11" s="405">
        <v>14840.700042118715</v>
      </c>
      <c r="N11" s="11" t="s">
        <v>20155</v>
      </c>
      <c r="O11" s="11" t="s">
        <v>20160</v>
      </c>
      <c r="P11" s="872">
        <v>43490</v>
      </c>
      <c r="Q11" s="406">
        <v>0</v>
      </c>
      <c r="R11" s="406">
        <v>18216</v>
      </c>
      <c r="S11" s="406">
        <v>8400</v>
      </c>
      <c r="T11" s="406">
        <v>606</v>
      </c>
      <c r="U11" s="406">
        <v>27222</v>
      </c>
      <c r="V11" s="11" t="s">
        <v>20155</v>
      </c>
      <c r="W11" s="407">
        <v>0</v>
      </c>
      <c r="X11" s="407">
        <v>27906.534018000002</v>
      </c>
      <c r="Y11" s="407">
        <v>12620.7549</v>
      </c>
      <c r="Z11" s="407">
        <v>2353.3266869999998</v>
      </c>
      <c r="AA11" s="408"/>
      <c r="AB11" s="408">
        <v>1.53197925</v>
      </c>
      <c r="AC11" s="408">
        <v>1.5024708214285714</v>
      </c>
      <c r="AD11" s="408">
        <v>3.8833773712871285</v>
      </c>
      <c r="AE11" s="409"/>
      <c r="AF11" s="410">
        <v>10080</v>
      </c>
      <c r="AG11" s="410">
        <v>0.3702887370509147</v>
      </c>
      <c r="AH11" s="411"/>
      <c r="AI11" s="412">
        <v>1.1616905129490853</v>
      </c>
      <c r="AJ11" s="411">
        <v>1.1321820843776567</v>
      </c>
      <c r="AK11" s="411">
        <v>3.5130886342362135</v>
      </c>
      <c r="AL11" s="18"/>
      <c r="AM11" s="49"/>
      <c r="AN11" s="2"/>
      <c r="AO11" s="2"/>
    </row>
    <row r="12" spans="1:41" hidden="1">
      <c r="A12" s="14">
        <v>10</v>
      </c>
      <c r="B12" s="11" t="s">
        <v>22</v>
      </c>
      <c r="C12" s="14">
        <v>0</v>
      </c>
      <c r="D12" s="11" t="s">
        <v>17443</v>
      </c>
      <c r="E12" s="11" t="s">
        <v>22</v>
      </c>
      <c r="F12" s="403">
        <v>43473</v>
      </c>
      <c r="G12" s="11">
        <v>2019</v>
      </c>
      <c r="H12" s="11" t="s">
        <v>16904</v>
      </c>
      <c r="I12" s="11" t="s">
        <v>16905</v>
      </c>
      <c r="J12" s="11" t="s">
        <v>16482</v>
      </c>
      <c r="K12" s="404">
        <v>40186.053</v>
      </c>
      <c r="L12" s="404">
        <v>3.44265</v>
      </c>
      <c r="M12" s="405">
        <v>11672.999869286741</v>
      </c>
      <c r="N12" s="11" t="s">
        <v>20155</v>
      </c>
      <c r="O12" s="11" t="s">
        <v>20160</v>
      </c>
      <c r="P12" s="872">
        <v>43490</v>
      </c>
      <c r="Q12" s="406">
        <v>0</v>
      </c>
      <c r="R12" s="406">
        <v>21600</v>
      </c>
      <c r="S12" s="406">
        <v>0</v>
      </c>
      <c r="T12" s="406">
        <v>0</v>
      </c>
      <c r="U12" s="406">
        <v>21600</v>
      </c>
      <c r="V12" s="11" t="s">
        <v>20155</v>
      </c>
      <c r="W12" s="407">
        <v>0</v>
      </c>
      <c r="X12" s="407">
        <v>31975.333199999997</v>
      </c>
      <c r="Y12" s="407">
        <v>0</v>
      </c>
      <c r="Z12" s="407">
        <v>0</v>
      </c>
      <c r="AA12" s="408"/>
      <c r="AB12" s="408">
        <v>1.4803394999999999</v>
      </c>
      <c r="AC12" s="408"/>
      <c r="AD12" s="408"/>
      <c r="AE12" s="409"/>
      <c r="AF12" s="410">
        <v>10080</v>
      </c>
      <c r="AG12" s="410">
        <v>0.46666666666666667</v>
      </c>
      <c r="AH12" s="411"/>
      <c r="AI12" s="412">
        <v>1.0136728333333331</v>
      </c>
      <c r="AJ12" s="411"/>
      <c r="AK12" s="411"/>
      <c r="AL12" s="18"/>
      <c r="AM12" s="49"/>
      <c r="AN12" s="2"/>
      <c r="AO12" s="2"/>
    </row>
    <row r="13" spans="1:41" hidden="1">
      <c r="A13" s="14">
        <v>11</v>
      </c>
      <c r="B13" s="11" t="s">
        <v>23</v>
      </c>
      <c r="C13" s="14">
        <v>0</v>
      </c>
      <c r="D13" s="11" t="s">
        <v>17445</v>
      </c>
      <c r="E13" s="11" t="s">
        <v>23</v>
      </c>
      <c r="F13" s="403">
        <v>43473</v>
      </c>
      <c r="G13" s="11">
        <v>2019</v>
      </c>
      <c r="H13" s="11" t="s">
        <v>16904</v>
      </c>
      <c r="I13" s="11" t="s">
        <v>16905</v>
      </c>
      <c r="J13" s="11" t="s">
        <v>16482</v>
      </c>
      <c r="K13" s="404">
        <v>40186.053</v>
      </c>
      <c r="L13" s="404">
        <v>3.44265</v>
      </c>
      <c r="M13" s="405">
        <v>11672.999869286741</v>
      </c>
      <c r="N13" s="11" t="s">
        <v>20155</v>
      </c>
      <c r="O13" s="11" t="s">
        <v>20160</v>
      </c>
      <c r="P13" s="872">
        <v>43490</v>
      </c>
      <c r="Q13" s="406">
        <v>0</v>
      </c>
      <c r="R13" s="406">
        <v>21600</v>
      </c>
      <c r="S13" s="406">
        <v>0</v>
      </c>
      <c r="T13" s="406">
        <v>0</v>
      </c>
      <c r="U13" s="406">
        <v>21600</v>
      </c>
      <c r="V13" s="11" t="s">
        <v>20155</v>
      </c>
      <c r="W13" s="407">
        <v>0</v>
      </c>
      <c r="X13" s="407">
        <v>31975.333199999997</v>
      </c>
      <c r="Y13" s="407">
        <v>0</v>
      </c>
      <c r="Z13" s="407">
        <v>0</v>
      </c>
      <c r="AA13" s="408"/>
      <c r="AB13" s="408">
        <v>1.4803394999999999</v>
      </c>
      <c r="AC13" s="408"/>
      <c r="AD13" s="408"/>
      <c r="AE13" s="409"/>
      <c r="AF13" s="410">
        <v>10080</v>
      </c>
      <c r="AG13" s="410">
        <v>0.46666666666666667</v>
      </c>
      <c r="AH13" s="411"/>
      <c r="AI13" s="412">
        <v>1.0136728333333331</v>
      </c>
      <c r="AJ13" s="411"/>
      <c r="AK13" s="411"/>
      <c r="AL13" s="18"/>
      <c r="AM13" s="49"/>
      <c r="AN13" s="2"/>
      <c r="AO13" s="2"/>
    </row>
    <row r="14" spans="1:41" hidden="1">
      <c r="A14" s="14">
        <v>12</v>
      </c>
      <c r="B14" s="11" t="s">
        <v>24</v>
      </c>
      <c r="C14" s="14">
        <v>0</v>
      </c>
      <c r="D14" s="11" t="s">
        <v>17447</v>
      </c>
      <c r="E14" s="11" t="s">
        <v>24</v>
      </c>
      <c r="F14" s="403">
        <v>43473</v>
      </c>
      <c r="G14" s="11">
        <v>2019</v>
      </c>
      <c r="H14" s="11" t="s">
        <v>17119</v>
      </c>
      <c r="I14" s="11" t="s">
        <v>17120</v>
      </c>
      <c r="J14" s="11" t="s">
        <v>16401</v>
      </c>
      <c r="K14" s="404">
        <v>78333.710000000006</v>
      </c>
      <c r="L14" s="404">
        <v>3.0055499999999999</v>
      </c>
      <c r="M14" s="405">
        <v>26063.02007951956</v>
      </c>
      <c r="N14" s="11" t="s">
        <v>20155</v>
      </c>
      <c r="O14" s="11" t="s">
        <v>17965</v>
      </c>
      <c r="P14" s="872">
        <v>43483</v>
      </c>
      <c r="Q14" s="406">
        <v>33012</v>
      </c>
      <c r="R14" s="406">
        <v>11004</v>
      </c>
      <c r="S14" s="406">
        <v>0</v>
      </c>
      <c r="T14" s="406">
        <v>0</v>
      </c>
      <c r="U14" s="406">
        <v>44016</v>
      </c>
      <c r="V14" s="11" t="s">
        <v>20155</v>
      </c>
      <c r="W14" s="407">
        <v>50601.800466000001</v>
      </c>
      <c r="X14" s="407">
        <v>15709.709295000001</v>
      </c>
      <c r="Y14" s="407">
        <v>0</v>
      </c>
      <c r="Z14" s="407">
        <v>0</v>
      </c>
      <c r="AA14" s="408">
        <v>1.5328305</v>
      </c>
      <c r="AB14" s="408">
        <v>1.4276362500000002</v>
      </c>
      <c r="AC14" s="408"/>
      <c r="AD14" s="408"/>
      <c r="AE14" s="409"/>
      <c r="AF14" s="410">
        <v>13884.44</v>
      </c>
      <c r="AG14" s="410">
        <v>0.31544074881861145</v>
      </c>
      <c r="AH14" s="411">
        <v>1.2173897511813885</v>
      </c>
      <c r="AI14" s="412">
        <v>1.1121955011813887</v>
      </c>
      <c r="AJ14" s="411"/>
      <c r="AK14" s="411"/>
      <c r="AL14" s="18"/>
      <c r="AM14" s="49"/>
      <c r="AN14" s="2"/>
      <c r="AO14" s="2"/>
    </row>
    <row r="15" spans="1:41" hidden="1">
      <c r="A15" s="14">
        <v>13</v>
      </c>
      <c r="B15" s="11" t="s">
        <v>25</v>
      </c>
      <c r="C15" s="14">
        <v>0</v>
      </c>
      <c r="D15" s="11" t="s">
        <v>17449</v>
      </c>
      <c r="E15" s="11" t="s">
        <v>25</v>
      </c>
      <c r="F15" s="403">
        <v>43473</v>
      </c>
      <c r="G15" s="11">
        <v>2019</v>
      </c>
      <c r="H15" s="11" t="s">
        <v>16384</v>
      </c>
      <c r="I15" s="11" t="s">
        <v>16385</v>
      </c>
      <c r="J15" s="11" t="s">
        <v>3</v>
      </c>
      <c r="K15" s="404">
        <v>341600</v>
      </c>
      <c r="L15" s="14">
        <v>1</v>
      </c>
      <c r="M15" s="405">
        <v>341600</v>
      </c>
      <c r="N15" s="11" t="s">
        <v>20155</v>
      </c>
      <c r="O15" s="11" t="s">
        <v>17801</v>
      </c>
      <c r="P15" s="872">
        <v>43483</v>
      </c>
      <c r="Q15" s="406">
        <v>0</v>
      </c>
      <c r="R15" s="406">
        <v>0</v>
      </c>
      <c r="S15" s="406">
        <v>280000</v>
      </c>
      <c r="T15" s="406">
        <v>0</v>
      </c>
      <c r="U15" s="406">
        <v>280000</v>
      </c>
      <c r="V15" s="11" t="s">
        <v>20155</v>
      </c>
      <c r="W15" s="407">
        <v>0</v>
      </c>
      <c r="X15" s="407">
        <v>0</v>
      </c>
      <c r="Y15" s="407">
        <v>341600</v>
      </c>
      <c r="Z15" s="407">
        <v>0</v>
      </c>
      <c r="AA15" s="408"/>
      <c r="AB15" s="408"/>
      <c r="AC15" s="408">
        <v>1.22</v>
      </c>
      <c r="AD15" s="408"/>
      <c r="AE15" s="409"/>
      <c r="AF15" s="410">
        <v>0</v>
      </c>
      <c r="AG15" s="410">
        <v>0</v>
      </c>
      <c r="AH15" s="411"/>
      <c r="AI15" s="412"/>
      <c r="AJ15" s="411">
        <v>1.22</v>
      </c>
      <c r="AK15" s="411"/>
      <c r="AL15" s="18"/>
      <c r="AM15" s="49"/>
      <c r="AN15" s="2"/>
      <c r="AO15" s="2"/>
    </row>
    <row r="16" spans="1:41" hidden="1">
      <c r="A16" s="14">
        <v>14</v>
      </c>
      <c r="B16" s="11" t="s">
        <v>26</v>
      </c>
      <c r="C16" s="14">
        <v>0</v>
      </c>
      <c r="D16" s="11" t="s">
        <v>17450</v>
      </c>
      <c r="E16" s="11" t="s">
        <v>26</v>
      </c>
      <c r="F16" s="403">
        <v>43473</v>
      </c>
      <c r="G16" s="11">
        <v>2019</v>
      </c>
      <c r="H16" s="11" t="s">
        <v>16957</v>
      </c>
      <c r="I16" s="11" t="s">
        <v>16958</v>
      </c>
      <c r="J16" s="11" t="s">
        <v>16401</v>
      </c>
      <c r="K16" s="404">
        <v>41765.700000000004</v>
      </c>
      <c r="L16" s="404">
        <v>3.0265</v>
      </c>
      <c r="M16" s="405">
        <v>13800.000000000002</v>
      </c>
      <c r="N16" s="11" t="s">
        <v>20155</v>
      </c>
      <c r="O16" s="11" t="s">
        <v>20161</v>
      </c>
      <c r="P16" s="872">
        <v>43488</v>
      </c>
      <c r="Q16" s="406">
        <v>20000</v>
      </c>
      <c r="R16" s="406">
        <v>0</v>
      </c>
      <c r="S16" s="406">
        <v>0</v>
      </c>
      <c r="T16" s="406">
        <v>0</v>
      </c>
      <c r="U16" s="406">
        <v>20000</v>
      </c>
      <c r="V16" s="11" t="s">
        <v>20155</v>
      </c>
      <c r="W16" s="407">
        <v>41765.699999999997</v>
      </c>
      <c r="X16" s="407">
        <v>0</v>
      </c>
      <c r="Y16" s="407">
        <v>0</v>
      </c>
      <c r="Z16" s="407">
        <v>0</v>
      </c>
      <c r="AA16" s="408">
        <v>2.0882849999999999</v>
      </c>
      <c r="AB16" s="408"/>
      <c r="AC16" s="408"/>
      <c r="AD16" s="408"/>
      <c r="AE16" s="409"/>
      <c r="AF16" s="410">
        <v>4614.1779999999999</v>
      </c>
      <c r="AG16" s="410">
        <v>0.23070889999999999</v>
      </c>
      <c r="AH16" s="411">
        <v>1.8575761</v>
      </c>
      <c r="AI16" s="412"/>
      <c r="AJ16" s="411"/>
      <c r="AK16" s="411"/>
      <c r="AL16" s="18"/>
      <c r="AM16" s="49"/>
      <c r="AN16" s="2"/>
      <c r="AO16" s="2"/>
    </row>
    <row r="17" spans="1:41" hidden="1">
      <c r="A17" s="14">
        <v>15</v>
      </c>
      <c r="B17" s="11" t="s">
        <v>27</v>
      </c>
      <c r="C17" s="14">
        <v>0</v>
      </c>
      <c r="D17" s="11" t="s">
        <v>17453</v>
      </c>
      <c r="E17" s="11" t="s">
        <v>27</v>
      </c>
      <c r="F17" s="403">
        <v>43475</v>
      </c>
      <c r="G17" s="11">
        <v>2019</v>
      </c>
      <c r="H17" s="11" t="s">
        <v>17176</v>
      </c>
      <c r="I17" s="11" t="s">
        <v>17177</v>
      </c>
      <c r="J17" s="11" t="s">
        <v>16401</v>
      </c>
      <c r="K17" s="404">
        <v>498003</v>
      </c>
      <c r="L17" s="404">
        <v>3.0182000000000002</v>
      </c>
      <c r="M17" s="405">
        <v>165000</v>
      </c>
      <c r="N17" s="11" t="s">
        <v>20155</v>
      </c>
      <c r="O17" s="11" t="s">
        <v>17939</v>
      </c>
      <c r="P17" s="872">
        <v>43484</v>
      </c>
      <c r="Q17" s="406">
        <v>0</v>
      </c>
      <c r="R17" s="406">
        <v>249984</v>
      </c>
      <c r="S17" s="406">
        <v>50016</v>
      </c>
      <c r="T17" s="406">
        <v>0</v>
      </c>
      <c r="U17" s="406">
        <v>300000</v>
      </c>
      <c r="V17" s="11" t="s">
        <v>20155</v>
      </c>
      <c r="W17" s="407">
        <v>0</v>
      </c>
      <c r="X17" s="407">
        <v>414975.93983999937</v>
      </c>
      <c r="Y17" s="407">
        <v>83027.060159999994</v>
      </c>
      <c r="Z17" s="407">
        <v>0</v>
      </c>
      <c r="AA17" s="408"/>
      <c r="AB17" s="408">
        <v>1.6600099999999975</v>
      </c>
      <c r="AC17" s="408">
        <v>1.6600099999999998</v>
      </c>
      <c r="AD17" s="408"/>
      <c r="AE17" s="409"/>
      <c r="AF17" s="410">
        <v>0</v>
      </c>
      <c r="AG17" s="410">
        <v>0</v>
      </c>
      <c r="AH17" s="411"/>
      <c r="AI17" s="412">
        <v>1.6600099999999975</v>
      </c>
      <c r="AJ17" s="411">
        <v>1.6600099999999998</v>
      </c>
      <c r="AK17" s="411"/>
      <c r="AL17" s="18"/>
      <c r="AM17" s="49"/>
      <c r="AN17" s="2"/>
      <c r="AO17" s="2"/>
    </row>
    <row r="18" spans="1:41" hidden="1">
      <c r="A18" s="14">
        <v>16</v>
      </c>
      <c r="B18" s="11" t="s">
        <v>28</v>
      </c>
      <c r="C18" s="14">
        <v>0</v>
      </c>
      <c r="D18" s="11" t="s">
        <v>17455</v>
      </c>
      <c r="E18" s="11" t="s">
        <v>28</v>
      </c>
      <c r="F18" s="403">
        <v>43476</v>
      </c>
      <c r="G18" s="11">
        <v>2019</v>
      </c>
      <c r="H18" s="11" t="s">
        <v>16444</v>
      </c>
      <c r="I18" s="11" t="s">
        <v>16445</v>
      </c>
      <c r="J18" s="11" t="s">
        <v>3</v>
      </c>
      <c r="K18" s="404">
        <v>35850.239999999998</v>
      </c>
      <c r="L18" s="14">
        <v>1</v>
      </c>
      <c r="M18" s="405">
        <v>35850.239999999998</v>
      </c>
      <c r="N18" s="11" t="s">
        <v>20155</v>
      </c>
      <c r="O18" s="11" t="s">
        <v>17693</v>
      </c>
      <c r="P18" s="872">
        <v>43488</v>
      </c>
      <c r="Q18" s="406">
        <v>0</v>
      </c>
      <c r="R18" s="406">
        <v>0</v>
      </c>
      <c r="S18" s="406">
        <v>28008</v>
      </c>
      <c r="T18" s="406">
        <v>0</v>
      </c>
      <c r="U18" s="406">
        <v>28008</v>
      </c>
      <c r="V18" s="11" t="s">
        <v>20155</v>
      </c>
      <c r="W18" s="407">
        <v>0</v>
      </c>
      <c r="X18" s="407">
        <v>0</v>
      </c>
      <c r="Y18" s="407">
        <v>35850.239999999998</v>
      </c>
      <c r="Z18" s="407">
        <v>0</v>
      </c>
      <c r="AA18" s="408"/>
      <c r="AB18" s="408"/>
      <c r="AC18" s="408">
        <v>1.28</v>
      </c>
      <c r="AD18" s="408"/>
      <c r="AE18" s="409"/>
      <c r="AF18" s="410">
        <v>0</v>
      </c>
      <c r="AG18" s="410">
        <v>0</v>
      </c>
      <c r="AH18" s="411"/>
      <c r="AI18" s="412"/>
      <c r="AJ18" s="411">
        <v>1.28</v>
      </c>
      <c r="AK18" s="411"/>
      <c r="AL18" s="18"/>
      <c r="AM18" s="49"/>
      <c r="AN18" s="2"/>
      <c r="AO18" s="2"/>
    </row>
    <row r="19" spans="1:41" hidden="1">
      <c r="A19" s="14">
        <v>17</v>
      </c>
      <c r="B19" s="11" t="s">
        <v>29</v>
      </c>
      <c r="C19" s="14">
        <v>0</v>
      </c>
      <c r="D19" s="11" t="s">
        <v>17457</v>
      </c>
      <c r="E19" s="11" t="s">
        <v>29</v>
      </c>
      <c r="F19" s="403">
        <v>43476</v>
      </c>
      <c r="G19" s="11">
        <v>2019</v>
      </c>
      <c r="H19" s="11" t="s">
        <v>16444</v>
      </c>
      <c r="I19" s="11" t="s">
        <v>16445</v>
      </c>
      <c r="J19" s="11" t="s">
        <v>3</v>
      </c>
      <c r="K19" s="404">
        <v>35850.239999999998</v>
      </c>
      <c r="L19" s="14">
        <v>1</v>
      </c>
      <c r="M19" s="405">
        <v>35850.239999999998</v>
      </c>
      <c r="N19" s="11" t="s">
        <v>20155</v>
      </c>
      <c r="O19" s="11" t="s">
        <v>17693</v>
      </c>
      <c r="P19" s="872">
        <v>43488</v>
      </c>
      <c r="Q19" s="406">
        <v>0</v>
      </c>
      <c r="R19" s="406">
        <v>0</v>
      </c>
      <c r="S19" s="406">
        <v>28008</v>
      </c>
      <c r="T19" s="406">
        <v>0</v>
      </c>
      <c r="U19" s="406">
        <v>28008</v>
      </c>
      <c r="V19" s="11" t="s">
        <v>20155</v>
      </c>
      <c r="W19" s="407">
        <v>0</v>
      </c>
      <c r="X19" s="407">
        <v>0</v>
      </c>
      <c r="Y19" s="407">
        <v>35850.239999999998</v>
      </c>
      <c r="Z19" s="407">
        <v>0</v>
      </c>
      <c r="AA19" s="408"/>
      <c r="AB19" s="408"/>
      <c r="AC19" s="408">
        <v>1.28</v>
      </c>
      <c r="AD19" s="408"/>
      <c r="AE19" s="409"/>
      <c r="AF19" s="410">
        <v>0</v>
      </c>
      <c r="AG19" s="410">
        <v>0</v>
      </c>
      <c r="AH19" s="411"/>
      <c r="AI19" s="412"/>
      <c r="AJ19" s="411">
        <v>1.28</v>
      </c>
      <c r="AK19" s="411"/>
      <c r="AL19" s="18"/>
      <c r="AM19" s="49"/>
      <c r="AN19" s="2"/>
      <c r="AO19" s="2"/>
    </row>
    <row r="20" spans="1:41" hidden="1">
      <c r="A20" s="14">
        <v>18</v>
      </c>
      <c r="B20" s="11" t="s">
        <v>30</v>
      </c>
      <c r="C20" s="14">
        <v>0</v>
      </c>
      <c r="D20" s="11" t="s">
        <v>17458</v>
      </c>
      <c r="E20" s="11" t="s">
        <v>30</v>
      </c>
      <c r="F20" s="403">
        <v>43497</v>
      </c>
      <c r="G20" s="11">
        <v>2019</v>
      </c>
      <c r="H20" s="11" t="s">
        <v>16899</v>
      </c>
      <c r="I20" s="11" t="s">
        <v>16900</v>
      </c>
      <c r="J20" s="11" t="s">
        <v>3</v>
      </c>
      <c r="K20" s="404">
        <v>81024</v>
      </c>
      <c r="L20" s="14">
        <v>1</v>
      </c>
      <c r="M20" s="404">
        <v>81024</v>
      </c>
      <c r="N20" s="11" t="s">
        <v>20155</v>
      </c>
      <c r="O20" s="11" t="s">
        <v>17798</v>
      </c>
      <c r="P20" s="872">
        <v>43497</v>
      </c>
      <c r="Q20" s="406">
        <v>57600</v>
      </c>
      <c r="R20" s="406">
        <v>0</v>
      </c>
      <c r="S20" s="406">
        <v>0</v>
      </c>
      <c r="T20" s="406">
        <v>0</v>
      </c>
      <c r="U20" s="406">
        <v>57600</v>
      </c>
      <c r="V20" s="11" t="s">
        <v>20155</v>
      </c>
      <c r="W20" s="407">
        <v>81024</v>
      </c>
      <c r="X20" s="407">
        <v>0</v>
      </c>
      <c r="Y20" s="407">
        <v>0</v>
      </c>
      <c r="Z20" s="407">
        <v>0</v>
      </c>
      <c r="AA20" s="408">
        <v>1.4066666666666667</v>
      </c>
      <c r="AB20" s="408"/>
      <c r="AC20" s="408"/>
      <c r="AD20" s="408"/>
      <c r="AE20" s="409"/>
      <c r="AF20" s="410">
        <v>0</v>
      </c>
      <c r="AG20" s="410">
        <v>0</v>
      </c>
      <c r="AH20" s="411">
        <v>1.4066666666666667</v>
      </c>
      <c r="AI20" s="412"/>
      <c r="AJ20" s="411"/>
      <c r="AK20" s="411"/>
      <c r="AL20" s="18"/>
      <c r="AM20" s="49"/>
      <c r="AN20" s="2"/>
      <c r="AO20" s="2"/>
    </row>
    <row r="21" spans="1:41" hidden="1">
      <c r="A21" s="14">
        <v>19</v>
      </c>
      <c r="B21" s="11" t="s">
        <v>31</v>
      </c>
      <c r="C21" s="14">
        <v>0</v>
      </c>
      <c r="D21" s="11" t="s">
        <v>17461</v>
      </c>
      <c r="E21" s="11" t="s">
        <v>31</v>
      </c>
      <c r="F21" s="403">
        <v>43482</v>
      </c>
      <c r="G21" s="11">
        <v>2019</v>
      </c>
      <c r="H21" s="11" t="s">
        <v>17017</v>
      </c>
      <c r="I21" s="11" t="s">
        <v>17018</v>
      </c>
      <c r="J21" s="11" t="s">
        <v>3</v>
      </c>
      <c r="K21" s="404">
        <v>27600</v>
      </c>
      <c r="L21" s="14">
        <v>1</v>
      </c>
      <c r="M21" s="405">
        <v>27600</v>
      </c>
      <c r="N21" s="11" t="s">
        <v>20155</v>
      </c>
      <c r="O21" s="11" t="s">
        <v>18064</v>
      </c>
      <c r="P21" s="872">
        <v>43488</v>
      </c>
      <c r="Q21" s="406">
        <v>0</v>
      </c>
      <c r="R21" s="406">
        <v>20000</v>
      </c>
      <c r="S21" s="406">
        <v>0</v>
      </c>
      <c r="T21" s="406">
        <v>0</v>
      </c>
      <c r="U21" s="406">
        <v>20000</v>
      </c>
      <c r="V21" s="11" t="s">
        <v>20155</v>
      </c>
      <c r="W21" s="407">
        <v>0</v>
      </c>
      <c r="X21" s="407">
        <v>27600</v>
      </c>
      <c r="Y21" s="407">
        <v>0</v>
      </c>
      <c r="Z21" s="407">
        <v>0</v>
      </c>
      <c r="AA21" s="408"/>
      <c r="AB21" s="408">
        <v>1.38</v>
      </c>
      <c r="AC21" s="408"/>
      <c r="AD21" s="408"/>
      <c r="AE21" s="409"/>
      <c r="AF21" s="410">
        <v>0</v>
      </c>
      <c r="AG21" s="410">
        <v>0</v>
      </c>
      <c r="AH21" s="411"/>
      <c r="AI21" s="412">
        <v>1.38</v>
      </c>
      <c r="AJ21" s="411"/>
      <c r="AK21" s="411"/>
      <c r="AL21" s="18"/>
      <c r="AM21" s="49"/>
      <c r="AN21" s="2"/>
      <c r="AO21" s="2"/>
    </row>
    <row r="22" spans="1:41" hidden="1">
      <c r="A22" s="14">
        <v>20</v>
      </c>
      <c r="B22" s="11" t="s">
        <v>32</v>
      </c>
      <c r="C22" s="14">
        <v>0</v>
      </c>
      <c r="D22" s="11" t="s">
        <v>17463</v>
      </c>
      <c r="E22" s="11" t="s">
        <v>32</v>
      </c>
      <c r="F22" s="403">
        <v>43482</v>
      </c>
      <c r="G22" s="11">
        <v>2019</v>
      </c>
      <c r="H22" s="11" t="s">
        <v>17017</v>
      </c>
      <c r="I22" s="11" t="s">
        <v>17018</v>
      </c>
      <c r="J22" s="11" t="s">
        <v>3</v>
      </c>
      <c r="K22" s="404">
        <v>55200</v>
      </c>
      <c r="L22" s="14">
        <v>1</v>
      </c>
      <c r="M22" s="405">
        <v>55200</v>
      </c>
      <c r="N22" s="11" t="s">
        <v>20155</v>
      </c>
      <c r="O22" s="11" t="s">
        <v>18064</v>
      </c>
      <c r="P22" s="872">
        <v>43496</v>
      </c>
      <c r="Q22" s="406">
        <v>0</v>
      </c>
      <c r="R22" s="406">
        <v>40000</v>
      </c>
      <c r="S22" s="406">
        <v>0</v>
      </c>
      <c r="T22" s="406">
        <v>0</v>
      </c>
      <c r="U22" s="406">
        <v>40000</v>
      </c>
      <c r="V22" s="11" t="s">
        <v>20155</v>
      </c>
      <c r="W22" s="407">
        <v>0</v>
      </c>
      <c r="X22" s="407">
        <v>55200</v>
      </c>
      <c r="Y22" s="407">
        <v>0</v>
      </c>
      <c r="Z22" s="407">
        <v>0</v>
      </c>
      <c r="AA22" s="408"/>
      <c r="AB22" s="408">
        <v>1.38</v>
      </c>
      <c r="AC22" s="408"/>
      <c r="AD22" s="408"/>
      <c r="AE22" s="409"/>
      <c r="AF22" s="410">
        <v>0</v>
      </c>
      <c r="AG22" s="410">
        <v>0</v>
      </c>
      <c r="AH22" s="411"/>
      <c r="AI22" s="412">
        <v>1.38</v>
      </c>
      <c r="AJ22" s="411"/>
      <c r="AK22" s="411"/>
      <c r="AL22" s="18"/>
      <c r="AM22" s="49"/>
      <c r="AN22" s="2"/>
      <c r="AO22" s="2"/>
    </row>
    <row r="23" spans="1:41" hidden="1">
      <c r="A23" s="14">
        <v>21</v>
      </c>
      <c r="B23" s="11" t="s">
        <v>33</v>
      </c>
      <c r="C23" s="14">
        <v>0</v>
      </c>
      <c r="D23" s="11" t="s">
        <v>17465</v>
      </c>
      <c r="E23" s="11" t="s">
        <v>33</v>
      </c>
      <c r="F23" s="403">
        <v>43497</v>
      </c>
      <c r="G23" s="11">
        <v>2019</v>
      </c>
      <c r="H23" s="11" t="s">
        <v>17017</v>
      </c>
      <c r="I23" s="11" t="s">
        <v>17018</v>
      </c>
      <c r="J23" s="11" t="s">
        <v>3</v>
      </c>
      <c r="K23" s="404">
        <v>31887.360000000001</v>
      </c>
      <c r="L23" s="14">
        <v>1</v>
      </c>
      <c r="M23" s="405">
        <v>31887.360000000001</v>
      </c>
      <c r="N23" s="11" t="s">
        <v>20155</v>
      </c>
      <c r="O23" s="11" t="s">
        <v>20162</v>
      </c>
      <c r="P23" s="872">
        <v>43497</v>
      </c>
      <c r="Q23" s="406">
        <v>0</v>
      </c>
      <c r="R23" s="406">
        <v>20208</v>
      </c>
      <c r="S23" s="406">
        <v>1800</v>
      </c>
      <c r="T23" s="406">
        <v>0</v>
      </c>
      <c r="U23" s="406">
        <v>22008</v>
      </c>
      <c r="V23" s="11" t="s">
        <v>20155</v>
      </c>
      <c r="W23" s="407">
        <v>0</v>
      </c>
      <c r="X23" s="407">
        <v>26139.360000000001</v>
      </c>
      <c r="Y23" s="407">
        <v>3408</v>
      </c>
      <c r="Z23" s="407">
        <v>2340</v>
      </c>
      <c r="AA23" s="408"/>
      <c r="AB23" s="408">
        <v>1.2935154394299289</v>
      </c>
      <c r="AC23" s="408">
        <v>1.8933333333333333</v>
      </c>
      <c r="AD23" s="408"/>
      <c r="AE23" s="409"/>
      <c r="AF23" s="410">
        <v>0</v>
      </c>
      <c r="AG23" s="410">
        <v>0</v>
      </c>
      <c r="AH23" s="411"/>
      <c r="AI23" s="412">
        <v>1.2935154394299289</v>
      </c>
      <c r="AJ23" s="411">
        <v>1.8933333333333333</v>
      </c>
      <c r="AK23" s="411"/>
      <c r="AL23" s="18"/>
      <c r="AM23" s="49"/>
      <c r="AN23" s="2"/>
      <c r="AO23" s="2"/>
    </row>
    <row r="24" spans="1:41" hidden="1">
      <c r="A24" s="14">
        <v>22</v>
      </c>
      <c r="B24" s="11" t="s">
        <v>34</v>
      </c>
      <c r="C24" s="14">
        <v>0</v>
      </c>
      <c r="D24" s="11" t="s">
        <v>17467</v>
      </c>
      <c r="E24" s="11" t="s">
        <v>34</v>
      </c>
      <c r="F24" s="403">
        <v>43497</v>
      </c>
      <c r="G24" s="11">
        <v>2019</v>
      </c>
      <c r="H24" s="11" t="s">
        <v>17017</v>
      </c>
      <c r="I24" s="11" t="s">
        <v>17018</v>
      </c>
      <c r="J24" s="11" t="s">
        <v>3</v>
      </c>
      <c r="K24" s="404">
        <v>18295.36</v>
      </c>
      <c r="L24" s="14">
        <v>1</v>
      </c>
      <c r="M24" s="405">
        <v>18295.36</v>
      </c>
      <c r="N24" s="11" t="s">
        <v>20155</v>
      </c>
      <c r="O24" s="11" t="s">
        <v>20158</v>
      </c>
      <c r="P24" s="872">
        <v>43501</v>
      </c>
      <c r="Q24" s="406">
        <v>0</v>
      </c>
      <c r="R24" s="406">
        <v>2419.1999999999989</v>
      </c>
      <c r="S24" s="406">
        <v>9139.2000000000007</v>
      </c>
      <c r="T24" s="406">
        <v>250</v>
      </c>
      <c r="U24" s="406">
        <v>11808.4</v>
      </c>
      <c r="V24" s="11" t="s">
        <v>20155</v>
      </c>
      <c r="W24" s="407">
        <v>0</v>
      </c>
      <c r="X24" s="407">
        <v>3680.32</v>
      </c>
      <c r="Y24" s="407">
        <v>13499.04</v>
      </c>
      <c r="Z24" s="407">
        <v>1116</v>
      </c>
      <c r="AA24" s="408"/>
      <c r="AB24" s="408">
        <v>1.521296296296297</v>
      </c>
      <c r="AC24" s="408">
        <v>1.4770483193277311</v>
      </c>
      <c r="AD24" s="408">
        <v>4.4640000000000004</v>
      </c>
      <c r="AE24" s="409"/>
      <c r="AF24" s="410">
        <v>0</v>
      </c>
      <c r="AG24" s="410">
        <v>0</v>
      </c>
      <c r="AH24" s="411"/>
      <c r="AI24" s="412">
        <v>1.521296296296297</v>
      </c>
      <c r="AJ24" s="411">
        <v>1.4770483193277311</v>
      </c>
      <c r="AK24" s="411">
        <v>4.4640000000000004</v>
      </c>
      <c r="AL24" s="18"/>
      <c r="AM24" s="49"/>
      <c r="AN24" s="2"/>
      <c r="AO24" s="2"/>
    </row>
    <row r="25" spans="1:41" hidden="1">
      <c r="A25" s="14">
        <v>23</v>
      </c>
      <c r="B25" s="11" t="s">
        <v>35</v>
      </c>
      <c r="C25" s="14">
        <v>0</v>
      </c>
      <c r="D25" s="11" t="s">
        <v>17469</v>
      </c>
      <c r="E25" s="11" t="s">
        <v>35</v>
      </c>
      <c r="F25" s="403">
        <v>43486</v>
      </c>
      <c r="G25" s="11">
        <v>2019</v>
      </c>
      <c r="H25" s="11" t="s">
        <v>16838</v>
      </c>
      <c r="I25" s="11" t="s">
        <v>16839</v>
      </c>
      <c r="J25" s="11" t="s">
        <v>3</v>
      </c>
      <c r="K25" s="404">
        <v>34348.5</v>
      </c>
      <c r="L25" s="14">
        <v>1</v>
      </c>
      <c r="M25" s="405">
        <v>34348.5</v>
      </c>
      <c r="N25" s="11" t="s">
        <v>20155</v>
      </c>
      <c r="O25" s="11" t="s">
        <v>17771</v>
      </c>
      <c r="P25" s="872">
        <v>43489</v>
      </c>
      <c r="Q25" s="406">
        <v>0</v>
      </c>
      <c r="R25" s="406">
        <v>20400</v>
      </c>
      <c r="S25" s="406">
        <v>0</v>
      </c>
      <c r="T25" s="406">
        <v>2440</v>
      </c>
      <c r="U25" s="406">
        <v>22840</v>
      </c>
      <c r="V25" s="11" t="s">
        <v>20155</v>
      </c>
      <c r="W25" s="407">
        <v>0</v>
      </c>
      <c r="X25" s="407">
        <v>28560</v>
      </c>
      <c r="Y25" s="407">
        <v>0</v>
      </c>
      <c r="Z25" s="407">
        <v>5788.5</v>
      </c>
      <c r="AA25" s="408"/>
      <c r="AB25" s="408">
        <v>1.4</v>
      </c>
      <c r="AC25" s="408"/>
      <c r="AD25" s="408">
        <v>2.3723360655737706</v>
      </c>
      <c r="AE25" s="409"/>
      <c r="AF25" s="410">
        <v>0</v>
      </c>
      <c r="AG25" s="410">
        <v>0</v>
      </c>
      <c r="AH25" s="411"/>
      <c r="AI25" s="412">
        <v>1.4</v>
      </c>
      <c r="AJ25" s="411"/>
      <c r="AK25" s="411">
        <v>2.3723360655737706</v>
      </c>
      <c r="AL25" s="18"/>
      <c r="AM25" s="49"/>
      <c r="AN25" s="2"/>
      <c r="AO25" s="2"/>
    </row>
    <row r="26" spans="1:41" hidden="1">
      <c r="A26" s="413">
        <v>24</v>
      </c>
      <c r="B26" s="414" t="s">
        <v>36</v>
      </c>
      <c r="C26" s="413">
        <v>0</v>
      </c>
      <c r="D26" s="414" t="s">
        <v>20163</v>
      </c>
      <c r="E26" s="414" t="s">
        <v>36</v>
      </c>
      <c r="F26" s="415">
        <v>43486</v>
      </c>
      <c r="G26" s="414">
        <v>2019</v>
      </c>
      <c r="H26" s="414" t="s">
        <v>16444</v>
      </c>
      <c r="I26" s="414" t="s">
        <v>16445</v>
      </c>
      <c r="J26" s="414" t="s">
        <v>3</v>
      </c>
      <c r="K26" s="416"/>
      <c r="L26" s="413">
        <v>1</v>
      </c>
      <c r="M26" s="417"/>
      <c r="N26" s="414" t="s">
        <v>20164</v>
      </c>
      <c r="O26" s="414" t="s">
        <v>20164</v>
      </c>
      <c r="P26" s="873" t="s">
        <v>20164</v>
      </c>
      <c r="Q26" s="414"/>
      <c r="R26" s="414"/>
      <c r="S26" s="414"/>
      <c r="T26" s="414"/>
      <c r="U26" s="414"/>
      <c r="V26" s="418" t="s">
        <v>20164</v>
      </c>
      <c r="W26" s="419"/>
      <c r="X26" s="419"/>
      <c r="Y26" s="419"/>
      <c r="Z26" s="419"/>
      <c r="AA26" s="419"/>
      <c r="AB26" s="419"/>
      <c r="AC26" s="419"/>
      <c r="AD26" s="419"/>
      <c r="AE26" s="419"/>
      <c r="AF26" s="419">
        <v>0</v>
      </c>
      <c r="AG26" s="419"/>
      <c r="AH26" s="419">
        <v>0</v>
      </c>
      <c r="AI26" s="419">
        <v>0</v>
      </c>
      <c r="AJ26" s="419">
        <v>0</v>
      </c>
      <c r="AK26" s="419">
        <v>0</v>
      </c>
      <c r="AL26" s="420"/>
      <c r="AM26" s="421"/>
      <c r="AN26" s="422"/>
      <c r="AO26" s="422"/>
    </row>
    <row r="27" spans="1:41" hidden="1">
      <c r="A27" s="14">
        <v>25</v>
      </c>
      <c r="B27" s="11" t="s">
        <v>37</v>
      </c>
      <c r="C27" s="14">
        <v>0</v>
      </c>
      <c r="D27" s="11" t="s">
        <v>17471</v>
      </c>
      <c r="E27" s="11" t="s">
        <v>37</v>
      </c>
      <c r="F27" s="403">
        <v>43487</v>
      </c>
      <c r="G27" s="11">
        <v>2019</v>
      </c>
      <c r="H27" s="11" t="s">
        <v>17172</v>
      </c>
      <c r="I27" s="11" t="s">
        <v>17173</v>
      </c>
      <c r="J27" s="11" t="s">
        <v>16482</v>
      </c>
      <c r="K27" s="404">
        <v>43667.192000000003</v>
      </c>
      <c r="L27" s="404">
        <v>3.4560499999999998</v>
      </c>
      <c r="M27" s="405">
        <v>12635.000072336918</v>
      </c>
      <c r="N27" s="11" t="s">
        <v>20155</v>
      </c>
      <c r="O27" s="11" t="s">
        <v>17771</v>
      </c>
      <c r="P27" s="872">
        <v>43495</v>
      </c>
      <c r="Q27" s="406">
        <v>0</v>
      </c>
      <c r="R27" s="406">
        <v>0</v>
      </c>
      <c r="S27" s="406">
        <v>26000</v>
      </c>
      <c r="T27" s="406">
        <v>0</v>
      </c>
      <c r="U27" s="406">
        <v>26000</v>
      </c>
      <c r="V27" s="11" t="s">
        <v>20155</v>
      </c>
      <c r="W27" s="407">
        <v>0</v>
      </c>
      <c r="X27" s="407">
        <v>0</v>
      </c>
      <c r="Y27" s="407">
        <v>37446.301750000006</v>
      </c>
      <c r="Z27" s="407">
        <v>0</v>
      </c>
      <c r="AA27" s="408"/>
      <c r="AB27" s="408"/>
      <c r="AC27" s="408">
        <v>1.4402423750000002</v>
      </c>
      <c r="AD27" s="408"/>
      <c r="AE27" s="409"/>
      <c r="AF27" s="410">
        <v>7929.375</v>
      </c>
      <c r="AG27" s="410">
        <v>0.30497596153846152</v>
      </c>
      <c r="AH27" s="411"/>
      <c r="AI27" s="412"/>
      <c r="AJ27" s="411">
        <v>1.1352664134615387</v>
      </c>
      <c r="AK27" s="411"/>
      <c r="AL27" s="18"/>
      <c r="AM27" s="49"/>
      <c r="AN27" s="2"/>
      <c r="AO27" s="2"/>
    </row>
    <row r="28" spans="1:41" hidden="1">
      <c r="A28" s="14">
        <v>26</v>
      </c>
      <c r="B28" s="11" t="s">
        <v>38</v>
      </c>
      <c r="C28" s="14">
        <v>0</v>
      </c>
      <c r="D28" s="11" t="s">
        <v>17473</v>
      </c>
      <c r="E28" s="11" t="s">
        <v>38</v>
      </c>
      <c r="F28" s="403">
        <v>43487</v>
      </c>
      <c r="G28" s="11">
        <v>2019</v>
      </c>
      <c r="H28" s="11" t="s">
        <v>17172</v>
      </c>
      <c r="I28" s="11" t="s">
        <v>17173</v>
      </c>
      <c r="J28" s="11" t="s">
        <v>16482</v>
      </c>
      <c r="K28" s="404">
        <v>42850.387999999999</v>
      </c>
      <c r="L28" s="404">
        <v>3.4459499999999998</v>
      </c>
      <c r="M28" s="405">
        <v>12434.999927451066</v>
      </c>
      <c r="N28" s="11" t="s">
        <v>20155</v>
      </c>
      <c r="O28" s="11" t="s">
        <v>17771</v>
      </c>
      <c r="P28" s="872">
        <v>43491</v>
      </c>
      <c r="Q28" s="406">
        <v>0</v>
      </c>
      <c r="R28" s="406">
        <v>0</v>
      </c>
      <c r="S28" s="406">
        <v>26000</v>
      </c>
      <c r="T28" s="406">
        <v>0</v>
      </c>
      <c r="U28" s="406">
        <v>26000</v>
      </c>
      <c r="V28" s="11" t="s">
        <v>20155</v>
      </c>
      <c r="W28" s="407">
        <v>0</v>
      </c>
      <c r="X28" s="407">
        <v>0</v>
      </c>
      <c r="Y28" s="407">
        <v>37336.86825</v>
      </c>
      <c r="Z28" s="407">
        <v>0</v>
      </c>
      <c r="AA28" s="408"/>
      <c r="AB28" s="408"/>
      <c r="AC28" s="408">
        <v>1.4360333942307693</v>
      </c>
      <c r="AD28" s="408"/>
      <c r="AE28" s="409"/>
      <c r="AF28" s="410">
        <v>6030.5780000000004</v>
      </c>
      <c r="AG28" s="410">
        <v>0.2319453076923077</v>
      </c>
      <c r="AH28" s="411"/>
      <c r="AI28" s="412"/>
      <c r="AJ28" s="411">
        <v>1.2040880865384616</v>
      </c>
      <c r="AK28" s="411"/>
      <c r="AL28" s="18"/>
      <c r="AM28" s="49"/>
      <c r="AN28" s="2"/>
      <c r="AO28" s="2"/>
    </row>
    <row r="29" spans="1:41" hidden="1">
      <c r="A29" s="14">
        <v>27</v>
      </c>
      <c r="B29" s="11" t="s">
        <v>39</v>
      </c>
      <c r="C29" s="14">
        <v>0</v>
      </c>
      <c r="D29" s="11" t="s">
        <v>17475</v>
      </c>
      <c r="E29" s="11" t="s">
        <v>39</v>
      </c>
      <c r="F29" s="403">
        <v>43487</v>
      </c>
      <c r="G29" s="11">
        <v>2019</v>
      </c>
      <c r="H29" s="11" t="s">
        <v>16470</v>
      </c>
      <c r="I29" s="11" t="s">
        <v>16471</v>
      </c>
      <c r="J29" s="11" t="s">
        <v>16401</v>
      </c>
      <c r="K29" s="404">
        <v>184116.53100000002</v>
      </c>
      <c r="L29" s="404">
        <v>3.0384500000000001</v>
      </c>
      <c r="M29" s="405">
        <v>60595.544109661183</v>
      </c>
      <c r="N29" s="11" t="s">
        <v>20155</v>
      </c>
      <c r="O29" s="11" t="s">
        <v>20159</v>
      </c>
      <c r="P29" s="872">
        <v>43493</v>
      </c>
      <c r="Q29" s="406">
        <v>0</v>
      </c>
      <c r="R29" s="406">
        <v>111420</v>
      </c>
      <c r="S29" s="406">
        <v>0</v>
      </c>
      <c r="T29" s="406">
        <v>0</v>
      </c>
      <c r="U29" s="406">
        <v>111420</v>
      </c>
      <c r="V29" s="11" t="s">
        <v>20155</v>
      </c>
      <c r="W29" s="407">
        <v>0</v>
      </c>
      <c r="X29" s="407">
        <v>147958.97566679999</v>
      </c>
      <c r="Y29" s="407">
        <v>0</v>
      </c>
      <c r="Z29" s="407">
        <v>0</v>
      </c>
      <c r="AA29" s="408"/>
      <c r="AB29" s="408">
        <v>1.3279391102746365</v>
      </c>
      <c r="AC29" s="408"/>
      <c r="AD29" s="408"/>
      <c r="AE29" s="409"/>
      <c r="AF29" s="410">
        <v>41496.313999999998</v>
      </c>
      <c r="AG29" s="410">
        <v>0.37243146652306586</v>
      </c>
      <c r="AH29" s="411"/>
      <c r="AI29" s="412">
        <v>0.9555076437515706</v>
      </c>
      <c r="AJ29" s="411"/>
      <c r="AK29" s="411"/>
      <c r="AL29" s="18"/>
      <c r="AM29" s="49"/>
      <c r="AN29" s="2"/>
      <c r="AO29" s="2"/>
    </row>
    <row r="30" spans="1:41" hidden="1">
      <c r="A30" s="14">
        <v>28</v>
      </c>
      <c r="B30" s="11" t="s">
        <v>40</v>
      </c>
      <c r="C30" s="14">
        <v>0</v>
      </c>
      <c r="D30" s="11" t="s">
        <v>17476</v>
      </c>
      <c r="E30" s="11" t="s">
        <v>40</v>
      </c>
      <c r="F30" s="403">
        <v>43497</v>
      </c>
      <c r="G30" s="11">
        <v>2019</v>
      </c>
      <c r="H30" s="11" t="s">
        <v>16880</v>
      </c>
      <c r="I30" s="11" t="s">
        <v>16881</v>
      </c>
      <c r="J30" s="11" t="s">
        <v>16401</v>
      </c>
      <c r="K30" s="404">
        <v>62126.267999999996</v>
      </c>
      <c r="L30" s="404">
        <v>3.0400999999999998</v>
      </c>
      <c r="M30" s="405">
        <v>20435.600144732081</v>
      </c>
      <c r="N30" s="11" t="s">
        <v>20155</v>
      </c>
      <c r="O30" s="11" t="s">
        <v>20156</v>
      </c>
      <c r="P30" s="872">
        <v>43503</v>
      </c>
      <c r="Q30" s="406">
        <v>14000</v>
      </c>
      <c r="R30" s="406">
        <v>4480</v>
      </c>
      <c r="S30" s="406">
        <v>0</v>
      </c>
      <c r="T30" s="406">
        <v>0</v>
      </c>
      <c r="U30" s="406">
        <v>18480</v>
      </c>
      <c r="V30" s="11" t="s">
        <v>20155</v>
      </c>
      <c r="W30" s="407">
        <v>45540.697999999997</v>
      </c>
      <c r="X30" s="407">
        <v>16585.56956</v>
      </c>
      <c r="Y30" s="407">
        <v>0</v>
      </c>
      <c r="Z30" s="407">
        <v>0</v>
      </c>
      <c r="AA30" s="408">
        <v>3.2529069999999995</v>
      </c>
      <c r="AB30" s="408">
        <v>3.7021360625000002</v>
      </c>
      <c r="AC30" s="408"/>
      <c r="AD30" s="408"/>
      <c r="AE30" s="409"/>
      <c r="AF30" s="410">
        <v>1428.54</v>
      </c>
      <c r="AG30" s="410">
        <v>7.7301948051948052E-2</v>
      </c>
      <c r="AH30" s="411">
        <v>3.1756050519480516</v>
      </c>
      <c r="AI30" s="412">
        <v>3.6248341144480523</v>
      </c>
      <c r="AJ30" s="411"/>
      <c r="AK30" s="411"/>
      <c r="AL30" s="18"/>
      <c r="AM30" s="49"/>
      <c r="AN30" s="2"/>
      <c r="AO30" s="2"/>
    </row>
    <row r="31" spans="1:41" s="382" customFormat="1" hidden="1">
      <c r="A31" s="14">
        <v>29</v>
      </c>
      <c r="B31" s="11" t="s">
        <v>41</v>
      </c>
      <c r="C31" s="14">
        <v>0</v>
      </c>
      <c r="D31" s="11" t="s">
        <v>17478</v>
      </c>
      <c r="E31" s="11" t="s">
        <v>41</v>
      </c>
      <c r="F31" s="403">
        <v>43497</v>
      </c>
      <c r="G31" s="11">
        <v>2019</v>
      </c>
      <c r="H31" s="11" t="s">
        <v>16560</v>
      </c>
      <c r="I31" s="11" t="s">
        <v>16561</v>
      </c>
      <c r="J31" s="11" t="s">
        <v>16482</v>
      </c>
      <c r="K31" s="404">
        <v>153213.228</v>
      </c>
      <c r="L31" s="404">
        <v>3.4601000000000002</v>
      </c>
      <c r="M31" s="405">
        <v>44280</v>
      </c>
      <c r="N31" s="11" t="s">
        <v>20155</v>
      </c>
      <c r="O31" s="11" t="s">
        <v>17801</v>
      </c>
      <c r="P31" s="872">
        <v>43502</v>
      </c>
      <c r="Q31" s="406">
        <v>0</v>
      </c>
      <c r="R31" s="406">
        <v>0</v>
      </c>
      <c r="S31" s="406">
        <v>108000</v>
      </c>
      <c r="T31" s="406">
        <v>0</v>
      </c>
      <c r="U31" s="406">
        <v>108000</v>
      </c>
      <c r="V31" s="11" t="s">
        <v>20155</v>
      </c>
      <c r="W31" s="407">
        <v>0</v>
      </c>
      <c r="X31" s="407">
        <v>0</v>
      </c>
      <c r="Y31" s="407">
        <v>153213.228</v>
      </c>
      <c r="Z31" s="407">
        <v>0</v>
      </c>
      <c r="AA31" s="408"/>
      <c r="AB31" s="408"/>
      <c r="AC31" s="408">
        <v>1.418641</v>
      </c>
      <c r="AD31" s="408"/>
      <c r="AE31" s="409"/>
      <c r="AF31" s="410">
        <v>18059.240000000002</v>
      </c>
      <c r="AG31" s="410">
        <v>0.16721518518518519</v>
      </c>
      <c r="AH31" s="411"/>
      <c r="AI31" s="412"/>
      <c r="AJ31" s="411">
        <v>1.251425814814815</v>
      </c>
      <c r="AK31" s="411"/>
      <c r="AL31" s="18"/>
      <c r="AM31" s="49"/>
      <c r="AN31" s="2"/>
      <c r="AO31" s="2"/>
    </row>
    <row r="32" spans="1:41" hidden="1">
      <c r="A32" s="14">
        <v>30</v>
      </c>
      <c r="B32" s="11" t="s">
        <v>42</v>
      </c>
      <c r="C32" s="14">
        <v>0</v>
      </c>
      <c r="D32" s="11" t="s">
        <v>17480</v>
      </c>
      <c r="E32" s="11" t="s">
        <v>42</v>
      </c>
      <c r="F32" s="403">
        <v>43497</v>
      </c>
      <c r="G32" s="11">
        <v>2019</v>
      </c>
      <c r="H32" s="11" t="s">
        <v>16560</v>
      </c>
      <c r="I32" s="11" t="s">
        <v>16561</v>
      </c>
      <c r="J32" s="11" t="s">
        <v>16482</v>
      </c>
      <c r="K32" s="404">
        <v>153213.228</v>
      </c>
      <c r="L32" s="404">
        <v>3.4601000000000002</v>
      </c>
      <c r="M32" s="405">
        <v>44280</v>
      </c>
      <c r="N32" s="11" t="s">
        <v>20155</v>
      </c>
      <c r="O32" s="11" t="s">
        <v>17801</v>
      </c>
      <c r="P32" s="872">
        <v>43503</v>
      </c>
      <c r="Q32" s="406">
        <v>0</v>
      </c>
      <c r="R32" s="406">
        <v>0</v>
      </c>
      <c r="S32" s="406">
        <v>108000</v>
      </c>
      <c r="T32" s="406">
        <v>0</v>
      </c>
      <c r="U32" s="406">
        <v>108000</v>
      </c>
      <c r="V32" s="11" t="s">
        <v>20155</v>
      </c>
      <c r="W32" s="407">
        <v>0</v>
      </c>
      <c r="X32" s="407">
        <v>0</v>
      </c>
      <c r="Y32" s="407">
        <v>153213.228</v>
      </c>
      <c r="Z32" s="407">
        <v>0</v>
      </c>
      <c r="AA32" s="408"/>
      <c r="AB32" s="408"/>
      <c r="AC32" s="408">
        <v>1.418641</v>
      </c>
      <c r="AD32" s="408"/>
      <c r="AE32" s="409"/>
      <c r="AF32" s="410">
        <v>18059.240000000002</v>
      </c>
      <c r="AG32" s="410">
        <v>0.16721518518518519</v>
      </c>
      <c r="AH32" s="411"/>
      <c r="AI32" s="412"/>
      <c r="AJ32" s="411">
        <v>1.251425814814815</v>
      </c>
      <c r="AK32" s="411"/>
      <c r="AL32" s="18"/>
      <c r="AM32" s="49"/>
      <c r="AN32" s="2"/>
      <c r="AO32" s="2"/>
    </row>
    <row r="33" spans="1:41" hidden="1">
      <c r="A33" s="14">
        <v>31</v>
      </c>
      <c r="B33" s="11" t="s">
        <v>43</v>
      </c>
      <c r="C33" s="14">
        <v>0</v>
      </c>
      <c r="D33" s="11" t="s">
        <v>17481</v>
      </c>
      <c r="E33" s="11" t="s">
        <v>43</v>
      </c>
      <c r="F33" s="403">
        <v>43497</v>
      </c>
      <c r="G33" s="11">
        <v>2019</v>
      </c>
      <c r="H33" s="11" t="s">
        <v>16560</v>
      </c>
      <c r="I33" s="11" t="s">
        <v>16561</v>
      </c>
      <c r="J33" s="11" t="s">
        <v>16482</v>
      </c>
      <c r="K33" s="404">
        <v>153213.228</v>
      </c>
      <c r="L33" s="404">
        <v>3.4601000000000002</v>
      </c>
      <c r="M33" s="405">
        <v>44280</v>
      </c>
      <c r="N33" s="11" t="s">
        <v>20155</v>
      </c>
      <c r="O33" s="11" t="s">
        <v>17801</v>
      </c>
      <c r="P33" s="872">
        <v>43504</v>
      </c>
      <c r="Q33" s="406">
        <v>0</v>
      </c>
      <c r="R33" s="406">
        <v>0</v>
      </c>
      <c r="S33" s="406">
        <v>108000</v>
      </c>
      <c r="T33" s="406">
        <v>0</v>
      </c>
      <c r="U33" s="406">
        <v>108000</v>
      </c>
      <c r="V33" s="11" t="s">
        <v>20155</v>
      </c>
      <c r="W33" s="407">
        <v>0</v>
      </c>
      <c r="X33" s="407">
        <v>0</v>
      </c>
      <c r="Y33" s="407">
        <v>153213.228</v>
      </c>
      <c r="Z33" s="407">
        <v>0</v>
      </c>
      <c r="AA33" s="408"/>
      <c r="AB33" s="408"/>
      <c r="AC33" s="408">
        <v>1.418641</v>
      </c>
      <c r="AD33" s="408"/>
      <c r="AE33" s="409"/>
      <c r="AF33" s="410">
        <v>19000</v>
      </c>
      <c r="AG33" s="410">
        <v>0.17592592592592593</v>
      </c>
      <c r="AH33" s="411"/>
      <c r="AI33" s="412"/>
      <c r="AJ33" s="411">
        <v>1.242715074074074</v>
      </c>
      <c r="AK33" s="411"/>
      <c r="AL33" s="18"/>
      <c r="AM33" s="49"/>
      <c r="AN33" s="2"/>
      <c r="AO33" s="2"/>
    </row>
    <row r="34" spans="1:41" hidden="1">
      <c r="A34" s="14">
        <v>32</v>
      </c>
      <c r="B34" s="11" t="s">
        <v>44</v>
      </c>
      <c r="C34" s="14">
        <v>0</v>
      </c>
      <c r="D34" s="11" t="s">
        <v>17482</v>
      </c>
      <c r="E34" s="11" t="s">
        <v>44</v>
      </c>
      <c r="F34" s="403">
        <v>43497</v>
      </c>
      <c r="G34" s="11">
        <v>2019</v>
      </c>
      <c r="H34" s="11" t="s">
        <v>16560</v>
      </c>
      <c r="I34" s="11" t="s">
        <v>16561</v>
      </c>
      <c r="J34" s="11" t="s">
        <v>16482</v>
      </c>
      <c r="K34" s="404">
        <v>153213.228</v>
      </c>
      <c r="L34" s="404">
        <v>3.4601000000000002</v>
      </c>
      <c r="M34" s="405">
        <v>44280</v>
      </c>
      <c r="N34" s="11" t="s">
        <v>20155</v>
      </c>
      <c r="O34" s="11" t="s">
        <v>17801</v>
      </c>
      <c r="P34" s="872">
        <v>43505</v>
      </c>
      <c r="Q34" s="406">
        <v>0</v>
      </c>
      <c r="R34" s="406">
        <v>0</v>
      </c>
      <c r="S34" s="406">
        <v>108000</v>
      </c>
      <c r="T34" s="406">
        <v>0</v>
      </c>
      <c r="U34" s="406">
        <v>108000</v>
      </c>
      <c r="V34" s="11" t="s">
        <v>20155</v>
      </c>
      <c r="W34" s="407">
        <v>0</v>
      </c>
      <c r="X34" s="407">
        <v>0</v>
      </c>
      <c r="Y34" s="407">
        <v>153213.228</v>
      </c>
      <c r="Z34" s="407">
        <v>0</v>
      </c>
      <c r="AA34" s="408"/>
      <c r="AB34" s="408"/>
      <c r="AC34" s="408">
        <v>1.418641</v>
      </c>
      <c r="AD34" s="408"/>
      <c r="AE34" s="409"/>
      <c r="AF34" s="410">
        <v>19000</v>
      </c>
      <c r="AG34" s="410">
        <v>0.17592592592592593</v>
      </c>
      <c r="AH34" s="411"/>
      <c r="AI34" s="412"/>
      <c r="AJ34" s="411">
        <v>1.242715074074074</v>
      </c>
      <c r="AK34" s="411"/>
      <c r="AL34" s="18"/>
      <c r="AM34" s="49"/>
      <c r="AN34" s="2"/>
      <c r="AO34" s="2"/>
    </row>
    <row r="35" spans="1:41" ht="18.600000000000001" hidden="1" customHeight="1">
      <c r="A35" s="14">
        <v>33</v>
      </c>
      <c r="B35" s="11" t="s">
        <v>45</v>
      </c>
      <c r="C35" s="14">
        <v>0</v>
      </c>
      <c r="D35" s="11" t="s">
        <v>17483</v>
      </c>
      <c r="E35" s="11" t="s">
        <v>45</v>
      </c>
      <c r="F35" s="403">
        <v>43497</v>
      </c>
      <c r="G35" s="11">
        <v>2019</v>
      </c>
      <c r="H35" s="11" t="s">
        <v>16470</v>
      </c>
      <c r="I35" s="11" t="s">
        <v>16471</v>
      </c>
      <c r="J35" s="11" t="s">
        <v>16401</v>
      </c>
      <c r="K35" s="404">
        <v>185449.633</v>
      </c>
      <c r="L35" s="404">
        <v>3.0604499999999999</v>
      </c>
      <c r="M35" s="405">
        <v>60595.544119328857</v>
      </c>
      <c r="N35" s="11" t="s">
        <v>20155</v>
      </c>
      <c r="O35" s="11" t="s">
        <v>20159</v>
      </c>
      <c r="P35" s="872">
        <v>43517</v>
      </c>
      <c r="Q35" s="406">
        <v>0</v>
      </c>
      <c r="R35" s="406">
        <v>111420</v>
      </c>
      <c r="S35" s="406">
        <v>0</v>
      </c>
      <c r="T35" s="406">
        <v>0</v>
      </c>
      <c r="U35" s="406">
        <v>111420</v>
      </c>
      <c r="V35" s="11" t="s">
        <v>20155</v>
      </c>
      <c r="W35" s="407">
        <v>0</v>
      </c>
      <c r="X35" s="407">
        <v>149030.2776348</v>
      </c>
      <c r="Y35" s="407">
        <v>0</v>
      </c>
      <c r="Z35" s="407">
        <v>0</v>
      </c>
      <c r="AA35" s="408"/>
      <c r="AB35" s="408">
        <v>1.3375540983198708</v>
      </c>
      <c r="AC35" s="408"/>
      <c r="AD35" s="408"/>
      <c r="AE35" s="409"/>
      <c r="AF35" s="410">
        <v>40844.14</v>
      </c>
      <c r="AG35" s="410">
        <v>0.36657817267994974</v>
      </c>
      <c r="AH35" s="411"/>
      <c r="AI35" s="412">
        <v>0.97097592563992108</v>
      </c>
      <c r="AJ35" s="411"/>
      <c r="AK35" s="411"/>
      <c r="AL35" s="18"/>
      <c r="AM35" s="49"/>
      <c r="AN35" s="2"/>
      <c r="AO35" s="2"/>
    </row>
    <row r="36" spans="1:41" ht="18.600000000000001" hidden="1" customHeight="1">
      <c r="A36" s="14">
        <v>34</v>
      </c>
      <c r="B36" s="11" t="s">
        <v>46</v>
      </c>
      <c r="C36" s="14">
        <v>0</v>
      </c>
      <c r="D36" s="11" t="s">
        <v>17484</v>
      </c>
      <c r="E36" s="11" t="s">
        <v>46</v>
      </c>
      <c r="F36" s="403">
        <v>43497</v>
      </c>
      <c r="G36" s="11">
        <v>2019</v>
      </c>
      <c r="H36" s="11" t="s">
        <v>17119</v>
      </c>
      <c r="I36" s="11" t="s">
        <v>17120</v>
      </c>
      <c r="J36" s="11" t="s">
        <v>16401</v>
      </c>
      <c r="K36" s="404">
        <v>44057.129000000008</v>
      </c>
      <c r="L36" s="404">
        <v>3.0400999999999998</v>
      </c>
      <c r="M36" s="405">
        <v>14491.999934212694</v>
      </c>
      <c r="N36" s="11" t="s">
        <v>20155</v>
      </c>
      <c r="O36" s="11" t="s">
        <v>17965</v>
      </c>
      <c r="P36" s="872">
        <v>43503</v>
      </c>
      <c r="Q36" s="406">
        <v>0</v>
      </c>
      <c r="R36" s="406">
        <v>24600</v>
      </c>
      <c r="S36" s="406">
        <v>0</v>
      </c>
      <c r="T36" s="406">
        <v>0</v>
      </c>
      <c r="U36" s="406">
        <v>24600</v>
      </c>
      <c r="V36" s="11" t="s">
        <v>20155</v>
      </c>
      <c r="W36" s="407">
        <v>0</v>
      </c>
      <c r="X36" s="407">
        <v>35240.839200000002</v>
      </c>
      <c r="Y36" s="407">
        <v>0</v>
      </c>
      <c r="Z36" s="407">
        <v>0</v>
      </c>
      <c r="AA36" s="408"/>
      <c r="AB36" s="408">
        <v>1.4325544390243903</v>
      </c>
      <c r="AC36" s="408"/>
      <c r="AD36" s="408"/>
      <c r="AE36" s="409"/>
      <c r="AF36" s="410">
        <v>10074.65</v>
      </c>
      <c r="AG36" s="410">
        <v>0.40953861788617885</v>
      </c>
      <c r="AH36" s="411"/>
      <c r="AI36" s="412">
        <v>1.0230158211382114</v>
      </c>
      <c r="AJ36" s="411"/>
      <c r="AK36" s="411"/>
      <c r="AL36" s="18"/>
      <c r="AM36" s="49"/>
      <c r="AN36" s="2"/>
      <c r="AO36" s="2"/>
    </row>
    <row r="37" spans="1:41" ht="18.600000000000001" hidden="1" customHeight="1">
      <c r="A37" s="14">
        <v>35</v>
      </c>
      <c r="B37" s="11" t="s">
        <v>47</v>
      </c>
      <c r="C37" s="14">
        <v>0</v>
      </c>
      <c r="D37" s="11" t="s">
        <v>17486</v>
      </c>
      <c r="E37" s="11" t="s">
        <v>47</v>
      </c>
      <c r="F37" s="403">
        <v>43497</v>
      </c>
      <c r="G37" s="11">
        <v>2019</v>
      </c>
      <c r="H37" s="11" t="s">
        <v>17017</v>
      </c>
      <c r="I37" s="11" t="s">
        <v>17018</v>
      </c>
      <c r="J37" s="11" t="s">
        <v>3</v>
      </c>
      <c r="K37" s="404">
        <v>14419.4</v>
      </c>
      <c r="L37" s="14">
        <v>1</v>
      </c>
      <c r="M37" s="405">
        <v>14419.4</v>
      </c>
      <c r="N37" s="11" t="s">
        <v>20155</v>
      </c>
      <c r="O37" s="11" t="s">
        <v>20165</v>
      </c>
      <c r="P37" s="872">
        <v>43501</v>
      </c>
      <c r="Q37" s="406">
        <v>1200</v>
      </c>
      <c r="R37" s="406">
        <v>4296</v>
      </c>
      <c r="S37" s="406">
        <v>2220</v>
      </c>
      <c r="T37" s="406">
        <v>836</v>
      </c>
      <c r="U37" s="406">
        <v>8552</v>
      </c>
      <c r="V37" s="11" t="s">
        <v>20155</v>
      </c>
      <c r="W37" s="407">
        <v>1800</v>
      </c>
      <c r="X37" s="407">
        <v>6658.8</v>
      </c>
      <c r="Y37" s="407">
        <v>3330</v>
      </c>
      <c r="Z37" s="407">
        <v>2630.6</v>
      </c>
      <c r="AA37" s="408">
        <v>1.5</v>
      </c>
      <c r="AB37" s="408">
        <v>1.55</v>
      </c>
      <c r="AC37" s="408">
        <v>1.5</v>
      </c>
      <c r="AD37" s="408">
        <v>3.1466507177033494</v>
      </c>
      <c r="AE37" s="409"/>
      <c r="AF37" s="410">
        <v>0</v>
      </c>
      <c r="AG37" s="410">
        <v>0</v>
      </c>
      <c r="AH37" s="411">
        <v>1.5</v>
      </c>
      <c r="AI37" s="412">
        <v>1.55</v>
      </c>
      <c r="AJ37" s="411">
        <v>1.5</v>
      </c>
      <c r="AK37" s="411">
        <v>3.1466507177033494</v>
      </c>
      <c r="AL37" s="18"/>
      <c r="AM37" s="49"/>
      <c r="AN37" s="2"/>
      <c r="AO37" s="2"/>
    </row>
    <row r="38" spans="1:41" ht="18.600000000000001" hidden="1" customHeight="1">
      <c r="A38" s="14">
        <v>36</v>
      </c>
      <c r="B38" s="11" t="s">
        <v>48</v>
      </c>
      <c r="C38" s="14">
        <v>0</v>
      </c>
      <c r="D38" s="11" t="s">
        <v>17488</v>
      </c>
      <c r="E38" s="11" t="s">
        <v>48</v>
      </c>
      <c r="F38" s="403">
        <v>43525</v>
      </c>
      <c r="G38" s="11">
        <v>2019</v>
      </c>
      <c r="H38" s="11" t="s">
        <v>16594</v>
      </c>
      <c r="I38" s="11" t="s">
        <v>16595</v>
      </c>
      <c r="J38" s="11" t="s">
        <v>16401</v>
      </c>
      <c r="K38" s="404">
        <v>9157.3230000000003</v>
      </c>
      <c r="L38" s="404">
        <v>3.0156499999999999</v>
      </c>
      <c r="M38" s="405">
        <v>3036.6000696367287</v>
      </c>
      <c r="N38" s="11" t="s">
        <v>20155</v>
      </c>
      <c r="O38" s="11" t="s">
        <v>20158</v>
      </c>
      <c r="P38" s="872">
        <v>43536</v>
      </c>
      <c r="Q38" s="406">
        <v>4620</v>
      </c>
      <c r="R38" s="406">
        <v>60</v>
      </c>
      <c r="S38" s="406">
        <v>0</v>
      </c>
      <c r="T38" s="406">
        <v>0</v>
      </c>
      <c r="U38" s="406">
        <v>4680</v>
      </c>
      <c r="V38" s="11" t="s">
        <v>20155</v>
      </c>
      <c r="W38" s="407">
        <v>9041.5218299999997</v>
      </c>
      <c r="X38" s="407">
        <v>115.80096000000002</v>
      </c>
      <c r="Y38" s="407">
        <v>0</v>
      </c>
      <c r="Z38" s="407">
        <v>0</v>
      </c>
      <c r="AA38" s="408">
        <v>1.957039357142857</v>
      </c>
      <c r="AB38" s="408">
        <v>1.9300160000000004</v>
      </c>
      <c r="AC38" s="408"/>
      <c r="AD38" s="408"/>
      <c r="AE38" s="409"/>
      <c r="AF38" s="410">
        <v>1220.95</v>
      </c>
      <c r="AG38" s="410">
        <v>0.26088675213675216</v>
      </c>
      <c r="AH38" s="411">
        <v>1.6961526050061049</v>
      </c>
      <c r="AI38" s="412">
        <v>1.6691292478632482</v>
      </c>
      <c r="AJ38" s="411"/>
      <c r="AK38" s="411"/>
      <c r="AL38" s="18"/>
      <c r="AM38" s="49"/>
      <c r="AN38" s="2"/>
      <c r="AO38" s="2"/>
    </row>
    <row r="39" spans="1:41" ht="18.600000000000001" hidden="1" customHeight="1">
      <c r="A39" s="14">
        <v>37</v>
      </c>
      <c r="B39" s="11" t="s">
        <v>49</v>
      </c>
      <c r="C39" s="14">
        <v>0</v>
      </c>
      <c r="D39" s="11" t="s">
        <v>17490</v>
      </c>
      <c r="E39" s="11" t="s">
        <v>49</v>
      </c>
      <c r="F39" s="403">
        <v>43500</v>
      </c>
      <c r="G39" s="11">
        <v>2019</v>
      </c>
      <c r="H39" s="11" t="s">
        <v>16838</v>
      </c>
      <c r="I39" s="11" t="s">
        <v>16839</v>
      </c>
      <c r="J39" s="11" t="s">
        <v>3</v>
      </c>
      <c r="K39" s="404">
        <v>230643.84</v>
      </c>
      <c r="L39" s="14">
        <v>1</v>
      </c>
      <c r="M39" s="405">
        <v>230643.84</v>
      </c>
      <c r="N39" s="11" t="s">
        <v>20155</v>
      </c>
      <c r="O39" s="11" t="s">
        <v>17798</v>
      </c>
      <c r="P39" s="872">
        <v>43504</v>
      </c>
      <c r="Q39" s="406">
        <v>0</v>
      </c>
      <c r="R39" s="406">
        <v>176064</v>
      </c>
      <c r="S39" s="406">
        <v>0</v>
      </c>
      <c r="T39" s="406">
        <v>0</v>
      </c>
      <c r="U39" s="406">
        <v>176064</v>
      </c>
      <c r="V39" s="11" t="s">
        <v>20155</v>
      </c>
      <c r="W39" s="407">
        <v>0</v>
      </c>
      <c r="X39" s="407">
        <v>230643.84</v>
      </c>
      <c r="Y39" s="407">
        <v>0</v>
      </c>
      <c r="Z39" s="407">
        <v>0</v>
      </c>
      <c r="AA39" s="408"/>
      <c r="AB39" s="408">
        <v>1.31</v>
      </c>
      <c r="AC39" s="408"/>
      <c r="AD39" s="408"/>
      <c r="AE39" s="409"/>
      <c r="AF39" s="410">
        <v>0</v>
      </c>
      <c r="AG39" s="410">
        <v>0</v>
      </c>
      <c r="AH39" s="411"/>
      <c r="AI39" s="412">
        <v>1.31</v>
      </c>
      <c r="AJ39" s="411"/>
      <c r="AK39" s="411"/>
      <c r="AL39" s="18"/>
      <c r="AM39" s="49"/>
      <c r="AN39" s="2"/>
      <c r="AO39" s="2"/>
    </row>
    <row r="40" spans="1:41" ht="18.600000000000001" hidden="1" customHeight="1">
      <c r="A40" s="14">
        <v>38</v>
      </c>
      <c r="B40" s="11" t="s">
        <v>50</v>
      </c>
      <c r="C40" s="14">
        <v>0</v>
      </c>
      <c r="D40" s="11" t="s">
        <v>17491</v>
      </c>
      <c r="E40" s="11" t="s">
        <v>50</v>
      </c>
      <c r="F40" s="403">
        <v>43500</v>
      </c>
      <c r="G40" s="11">
        <v>2019</v>
      </c>
      <c r="H40" s="11" t="s">
        <v>16444</v>
      </c>
      <c r="I40" s="11" t="s">
        <v>16445</v>
      </c>
      <c r="J40" s="11" t="s">
        <v>3</v>
      </c>
      <c r="K40" s="404">
        <v>31251.360000000001</v>
      </c>
      <c r="L40" s="14">
        <v>1</v>
      </c>
      <c r="M40" s="405">
        <v>31251.360000000001</v>
      </c>
      <c r="N40" s="11" t="s">
        <v>20155</v>
      </c>
      <c r="O40" s="11" t="s">
        <v>18248</v>
      </c>
      <c r="P40" s="872">
        <v>43509</v>
      </c>
      <c r="Q40" s="406">
        <v>22008</v>
      </c>
      <c r="R40" s="406">
        <v>0</v>
      </c>
      <c r="S40" s="406">
        <v>0</v>
      </c>
      <c r="T40" s="406">
        <v>0</v>
      </c>
      <c r="U40" s="406">
        <v>22008</v>
      </c>
      <c r="V40" s="11" t="s">
        <v>20155</v>
      </c>
      <c r="W40" s="407">
        <v>31251.360000000001</v>
      </c>
      <c r="X40" s="407">
        <v>0</v>
      </c>
      <c r="Y40" s="407">
        <v>0</v>
      </c>
      <c r="Z40" s="407">
        <v>0</v>
      </c>
      <c r="AA40" s="408">
        <v>1.42</v>
      </c>
      <c r="AB40" s="408"/>
      <c r="AC40" s="408"/>
      <c r="AD40" s="408"/>
      <c r="AE40" s="409"/>
      <c r="AF40" s="410">
        <v>0</v>
      </c>
      <c r="AG40" s="410">
        <v>0</v>
      </c>
      <c r="AH40" s="411">
        <v>1.42</v>
      </c>
      <c r="AI40" s="412"/>
      <c r="AJ40" s="411"/>
      <c r="AK40" s="411"/>
      <c r="AL40" s="18"/>
      <c r="AM40" s="49"/>
      <c r="AN40" s="2"/>
      <c r="AO40" s="2"/>
    </row>
    <row r="41" spans="1:41" ht="18.600000000000001" hidden="1" customHeight="1">
      <c r="A41" s="14">
        <v>39</v>
      </c>
      <c r="B41" s="11" t="s">
        <v>51</v>
      </c>
      <c r="C41" s="14">
        <v>0</v>
      </c>
      <c r="D41" s="11" t="s">
        <v>17492</v>
      </c>
      <c r="E41" s="11" t="s">
        <v>51</v>
      </c>
      <c r="F41" s="403">
        <v>43525</v>
      </c>
      <c r="G41" s="11">
        <v>2019</v>
      </c>
      <c r="H41" s="11" t="s">
        <v>16904</v>
      </c>
      <c r="I41" s="11" t="s">
        <v>16905</v>
      </c>
      <c r="J41" s="11" t="s">
        <v>16482</v>
      </c>
      <c r="K41" s="404">
        <v>51287.750999999997</v>
      </c>
      <c r="L41" s="404">
        <v>3.4096500000000001</v>
      </c>
      <c r="M41" s="405">
        <v>15041.940081826579</v>
      </c>
      <c r="N41" s="11" t="s">
        <v>20155</v>
      </c>
      <c r="O41" s="11" t="s">
        <v>20160</v>
      </c>
      <c r="P41" s="872">
        <v>43531</v>
      </c>
      <c r="Q41" s="406">
        <v>0</v>
      </c>
      <c r="R41" s="406">
        <v>14976</v>
      </c>
      <c r="S41" s="406">
        <v>6000</v>
      </c>
      <c r="T41" s="406">
        <v>3850</v>
      </c>
      <c r="U41" s="406">
        <v>24826</v>
      </c>
      <c r="V41" s="11" t="s">
        <v>20155</v>
      </c>
      <c r="W41" s="407"/>
      <c r="X41" s="407">
        <v>22467.684096000001</v>
      </c>
      <c r="Y41" s="407">
        <v>8878.7285999999986</v>
      </c>
      <c r="Z41" s="407">
        <v>11417.213024999997</v>
      </c>
      <c r="AA41" s="408"/>
      <c r="AB41" s="408">
        <v>1.500246</v>
      </c>
      <c r="AC41" s="408">
        <v>1.4797880999999997</v>
      </c>
      <c r="AD41" s="408"/>
      <c r="AE41" s="409"/>
      <c r="AF41" s="410">
        <v>9932.259</v>
      </c>
      <c r="AG41" s="410">
        <v>0.4000748811729638</v>
      </c>
      <c r="AH41" s="411"/>
      <c r="AI41" s="412">
        <v>1.1001711188270362</v>
      </c>
      <c r="AJ41" s="411">
        <v>1.079713218827036</v>
      </c>
      <c r="AK41" s="411"/>
      <c r="AL41" s="18"/>
      <c r="AM41" s="49"/>
      <c r="AN41" s="2"/>
      <c r="AO41" s="2"/>
    </row>
    <row r="42" spans="1:41" ht="18.600000000000001" hidden="1" customHeight="1">
      <c r="A42" s="14">
        <v>40</v>
      </c>
      <c r="B42" s="11" t="s">
        <v>52</v>
      </c>
      <c r="C42" s="14">
        <v>0</v>
      </c>
      <c r="D42" s="11" t="s">
        <v>17494</v>
      </c>
      <c r="E42" s="11" t="s">
        <v>52</v>
      </c>
      <c r="F42" s="403">
        <v>43525</v>
      </c>
      <c r="G42" s="11">
        <v>2019</v>
      </c>
      <c r="H42" s="11" t="s">
        <v>17150</v>
      </c>
      <c r="I42" s="11" t="s">
        <v>17151</v>
      </c>
      <c r="J42" s="11" t="s">
        <v>16482</v>
      </c>
      <c r="K42" s="404">
        <v>30724.753000000001</v>
      </c>
      <c r="L42" s="404">
        <v>3.0145499999999998</v>
      </c>
      <c r="M42" s="405">
        <v>10192.152394221361</v>
      </c>
      <c r="N42" s="11" t="s">
        <v>20155</v>
      </c>
      <c r="O42" s="11" t="s">
        <v>20166</v>
      </c>
      <c r="P42" s="872">
        <v>43502</v>
      </c>
      <c r="Q42" s="406">
        <v>0</v>
      </c>
      <c r="R42" s="406">
        <v>9564</v>
      </c>
      <c r="S42" s="406">
        <v>3470</v>
      </c>
      <c r="T42" s="406">
        <v>0</v>
      </c>
      <c r="U42" s="406">
        <v>13034</v>
      </c>
      <c r="V42" s="11" t="s">
        <v>20155</v>
      </c>
      <c r="W42" s="407">
        <v>0</v>
      </c>
      <c r="X42" s="407">
        <v>9122.1096960000013</v>
      </c>
      <c r="Y42" s="407">
        <v>3790.8366300000007</v>
      </c>
      <c r="Z42" s="407">
        <v>12530.884569000002</v>
      </c>
      <c r="AA42" s="408"/>
      <c r="AB42" s="408">
        <v>0.95379649686323731</v>
      </c>
      <c r="AC42" s="408">
        <v>1.0924601239193086</v>
      </c>
      <c r="AD42" s="408"/>
      <c r="AE42" s="409"/>
      <c r="AF42" s="410">
        <v>6944.4849999999997</v>
      </c>
      <c r="AG42" s="410">
        <v>0.53279768298296759</v>
      </c>
      <c r="AH42" s="411"/>
      <c r="AI42" s="412">
        <v>0.42099881388026972</v>
      </c>
      <c r="AJ42" s="411">
        <v>0.55966244093634099</v>
      </c>
      <c r="AK42" s="411"/>
      <c r="AL42" s="18"/>
      <c r="AM42" s="49"/>
      <c r="AN42" s="2"/>
      <c r="AO42" s="2"/>
    </row>
    <row r="43" spans="1:41" ht="18.600000000000001" hidden="1" customHeight="1">
      <c r="A43" s="14">
        <v>41</v>
      </c>
      <c r="B43" s="11" t="s">
        <v>53</v>
      </c>
      <c r="C43" s="14">
        <v>0</v>
      </c>
      <c r="D43" s="11" t="s">
        <v>17496</v>
      </c>
      <c r="E43" s="11" t="s">
        <v>53</v>
      </c>
      <c r="F43" s="403">
        <v>43525</v>
      </c>
      <c r="G43" s="11">
        <v>2019</v>
      </c>
      <c r="H43" s="11" t="s">
        <v>17017</v>
      </c>
      <c r="I43" s="11" t="s">
        <v>17018</v>
      </c>
      <c r="J43" s="11" t="s">
        <v>3</v>
      </c>
      <c r="K43" s="404">
        <v>32127.759999999998</v>
      </c>
      <c r="L43" s="14">
        <v>1</v>
      </c>
      <c r="M43" s="405">
        <v>32127.759999999998</v>
      </c>
      <c r="N43" s="11" t="s">
        <v>20155</v>
      </c>
      <c r="O43" s="11" t="s">
        <v>17954</v>
      </c>
      <c r="P43" s="872">
        <v>43505</v>
      </c>
      <c r="Q43" s="406">
        <v>0</v>
      </c>
      <c r="R43" s="406">
        <v>18644</v>
      </c>
      <c r="S43" s="406">
        <v>5400</v>
      </c>
      <c r="T43" s="406">
        <v>0</v>
      </c>
      <c r="U43" s="406">
        <v>24044</v>
      </c>
      <c r="V43" s="11" t="s">
        <v>20155</v>
      </c>
      <c r="W43" s="407">
        <v>0</v>
      </c>
      <c r="X43" s="407">
        <v>24933.759999999998</v>
      </c>
      <c r="Y43" s="407">
        <v>7290</v>
      </c>
      <c r="Z43" s="407">
        <v>0</v>
      </c>
      <c r="AA43" s="408"/>
      <c r="AB43" s="408">
        <v>1.337361081313023</v>
      </c>
      <c r="AC43" s="408">
        <v>1.35</v>
      </c>
      <c r="AD43" s="408"/>
      <c r="AE43" s="409"/>
      <c r="AF43" s="410">
        <v>0</v>
      </c>
      <c r="AG43" s="410">
        <v>0</v>
      </c>
      <c r="AH43" s="411"/>
      <c r="AI43" s="412">
        <v>1.337361081313023</v>
      </c>
      <c r="AJ43" s="411">
        <v>1.35</v>
      </c>
      <c r="AK43" s="411"/>
      <c r="AL43" s="18"/>
      <c r="AM43" s="49"/>
      <c r="AN43" s="2"/>
      <c r="AO43" s="2"/>
    </row>
    <row r="44" spans="1:41" ht="18.600000000000001" hidden="1" customHeight="1">
      <c r="A44" s="14">
        <v>42</v>
      </c>
      <c r="B44" s="11" t="s">
        <v>54</v>
      </c>
      <c r="C44" s="14">
        <v>0</v>
      </c>
      <c r="D44" s="11" t="s">
        <v>17498</v>
      </c>
      <c r="E44" s="11" t="s">
        <v>54</v>
      </c>
      <c r="F44" s="403">
        <v>43502</v>
      </c>
      <c r="G44" s="11">
        <v>2019</v>
      </c>
      <c r="H44" s="11" t="s">
        <v>16384</v>
      </c>
      <c r="I44" s="11" t="s">
        <v>16385</v>
      </c>
      <c r="J44" s="11" t="s">
        <v>3</v>
      </c>
      <c r="K44" s="404">
        <v>655200</v>
      </c>
      <c r="L44" s="14">
        <v>1</v>
      </c>
      <c r="M44" s="405">
        <v>655200</v>
      </c>
      <c r="N44" s="11" t="s">
        <v>20155</v>
      </c>
      <c r="O44" s="11" t="s">
        <v>17801</v>
      </c>
      <c r="P44" s="872">
        <v>43511</v>
      </c>
      <c r="Q44" s="406">
        <v>0</v>
      </c>
      <c r="R44" s="406">
        <v>0</v>
      </c>
      <c r="S44" s="406">
        <v>520000</v>
      </c>
      <c r="T44" s="406">
        <v>0</v>
      </c>
      <c r="U44" s="406">
        <v>520000</v>
      </c>
      <c r="V44" s="11" t="s">
        <v>20155</v>
      </c>
      <c r="W44" s="407">
        <v>0</v>
      </c>
      <c r="X44" s="407">
        <v>0</v>
      </c>
      <c r="Y44" s="407">
        <v>655200</v>
      </c>
      <c r="Z44" s="407">
        <v>0</v>
      </c>
      <c r="AA44" s="408"/>
      <c r="AB44" s="408"/>
      <c r="AC44" s="408">
        <v>1.26</v>
      </c>
      <c r="AD44" s="408"/>
      <c r="AE44" s="409"/>
      <c r="AF44" s="410">
        <v>0</v>
      </c>
      <c r="AG44" s="410">
        <v>0</v>
      </c>
      <c r="AH44" s="411"/>
      <c r="AI44" s="412"/>
      <c r="AJ44" s="411">
        <v>1.26</v>
      </c>
      <c r="AK44" s="411"/>
      <c r="AL44" s="18"/>
      <c r="AM44" s="49"/>
      <c r="AN44" s="2"/>
      <c r="AO44" s="2"/>
    </row>
    <row r="45" spans="1:41" ht="18.600000000000001" hidden="1" customHeight="1">
      <c r="A45" s="14">
        <v>43</v>
      </c>
      <c r="B45" s="11" t="s">
        <v>55</v>
      </c>
      <c r="C45" s="14">
        <v>0</v>
      </c>
      <c r="D45" s="11" t="s">
        <v>17499</v>
      </c>
      <c r="E45" s="11" t="s">
        <v>55</v>
      </c>
      <c r="F45" s="403">
        <v>43504</v>
      </c>
      <c r="G45" s="11">
        <v>2019</v>
      </c>
      <c r="H45" s="11" t="s">
        <v>16838</v>
      </c>
      <c r="I45" s="11" t="s">
        <v>16839</v>
      </c>
      <c r="J45" s="11" t="s">
        <v>3</v>
      </c>
      <c r="K45" s="404">
        <v>101675.76</v>
      </c>
      <c r="L45" s="14">
        <v>1</v>
      </c>
      <c r="M45" s="405">
        <v>101675.76</v>
      </c>
      <c r="N45" s="11" t="s">
        <v>20155</v>
      </c>
      <c r="O45" s="11" t="s">
        <v>17771</v>
      </c>
      <c r="P45" s="872">
        <v>43515</v>
      </c>
      <c r="Q45" s="406">
        <v>20004</v>
      </c>
      <c r="R45" s="406">
        <v>0</v>
      </c>
      <c r="S45" s="406">
        <v>56000</v>
      </c>
      <c r="T45" s="406">
        <v>0</v>
      </c>
      <c r="U45" s="406">
        <v>76004</v>
      </c>
      <c r="V45" s="11" t="s">
        <v>20155</v>
      </c>
      <c r="W45" s="407">
        <v>28175.759999999998</v>
      </c>
      <c r="X45" s="407">
        <v>0</v>
      </c>
      <c r="Y45" s="407">
        <v>73500</v>
      </c>
      <c r="Z45" s="407">
        <v>0</v>
      </c>
      <c r="AA45" s="408">
        <v>1.4085062987402521</v>
      </c>
      <c r="AB45" s="408"/>
      <c r="AC45" s="408">
        <v>1.3125</v>
      </c>
      <c r="AD45" s="408"/>
      <c r="AE45" s="409"/>
      <c r="AF45" s="410">
        <v>0</v>
      </c>
      <c r="AG45" s="410">
        <v>0</v>
      </c>
      <c r="AH45" s="411">
        <v>1.4085062987402521</v>
      </c>
      <c r="AI45" s="412"/>
      <c r="AJ45" s="411">
        <v>1.3125</v>
      </c>
      <c r="AK45" s="411"/>
      <c r="AL45" s="18"/>
      <c r="AM45" s="49"/>
      <c r="AN45" s="2"/>
      <c r="AO45" s="2"/>
    </row>
    <row r="46" spans="1:41" ht="18.600000000000001" hidden="1" customHeight="1">
      <c r="A46" s="14">
        <v>44</v>
      </c>
      <c r="B46" s="11" t="s">
        <v>56</v>
      </c>
      <c r="C46" s="14">
        <v>0</v>
      </c>
      <c r="D46" s="11" t="s">
        <v>17501</v>
      </c>
      <c r="E46" s="11" t="s">
        <v>56</v>
      </c>
      <c r="F46" s="403">
        <v>43505</v>
      </c>
      <c r="G46" s="11">
        <v>2019</v>
      </c>
      <c r="H46" s="11" t="s">
        <v>17178</v>
      </c>
      <c r="I46" s="11" t="s">
        <v>17179</v>
      </c>
      <c r="J46" s="11" t="s">
        <v>3</v>
      </c>
      <c r="K46" s="404">
        <v>625213.70799999998</v>
      </c>
      <c r="L46" s="14">
        <v>1</v>
      </c>
      <c r="M46" s="405">
        <v>625213.70799999998</v>
      </c>
      <c r="N46" s="11" t="s">
        <v>20155</v>
      </c>
      <c r="O46" s="11" t="s">
        <v>17939</v>
      </c>
      <c r="P46" s="872">
        <v>43512</v>
      </c>
      <c r="Q46" s="406">
        <v>0</v>
      </c>
      <c r="R46" s="406">
        <v>263040</v>
      </c>
      <c r="S46" s="406">
        <v>144000</v>
      </c>
      <c r="T46" s="406">
        <v>0</v>
      </c>
      <c r="U46" s="406">
        <v>407040</v>
      </c>
      <c r="V46" s="11" t="s">
        <v>20155</v>
      </c>
      <c r="W46" s="407">
        <v>0</v>
      </c>
      <c r="X46" s="407">
        <v>404012.68379999994</v>
      </c>
      <c r="Y46" s="407">
        <v>221184.00000000003</v>
      </c>
      <c r="Z46" s="407">
        <v>0</v>
      </c>
      <c r="AA46" s="408"/>
      <c r="AB46" s="408">
        <v>1.5359362979014597</v>
      </c>
      <c r="AC46" s="408">
        <v>1.5360000000000003</v>
      </c>
      <c r="AD46" s="408"/>
      <c r="AE46" s="409"/>
      <c r="AF46" s="410">
        <v>0</v>
      </c>
      <c r="AG46" s="410">
        <v>0</v>
      </c>
      <c r="AH46" s="411"/>
      <c r="AI46" s="412">
        <v>1.5359362979014597</v>
      </c>
      <c r="AJ46" s="411">
        <v>1.5360000000000003</v>
      </c>
      <c r="AK46" s="411"/>
      <c r="AL46" s="18"/>
      <c r="AM46" s="49"/>
      <c r="AN46" s="2"/>
      <c r="AO46" s="2"/>
    </row>
    <row r="47" spans="1:41" ht="18.600000000000001" hidden="1" customHeight="1">
      <c r="A47" s="14">
        <v>45</v>
      </c>
      <c r="B47" s="11" t="s">
        <v>57</v>
      </c>
      <c r="C47" s="14">
        <v>0</v>
      </c>
      <c r="D47" s="11" t="s">
        <v>17504</v>
      </c>
      <c r="E47" s="11" t="s">
        <v>57</v>
      </c>
      <c r="F47" s="403">
        <v>43511</v>
      </c>
      <c r="G47" s="11">
        <v>2019</v>
      </c>
      <c r="H47" s="11" t="s">
        <v>16560</v>
      </c>
      <c r="I47" s="11" t="s">
        <v>16561</v>
      </c>
      <c r="J47" s="11" t="s">
        <v>16482</v>
      </c>
      <c r="K47" s="404">
        <v>152630.946</v>
      </c>
      <c r="L47" s="404">
        <v>3.4469500000000002</v>
      </c>
      <c r="M47" s="405">
        <v>44280</v>
      </c>
      <c r="N47" s="11" t="s">
        <v>20155</v>
      </c>
      <c r="O47" s="11" t="s">
        <v>17801</v>
      </c>
      <c r="P47" s="872">
        <v>43521</v>
      </c>
      <c r="Q47" s="406">
        <v>0</v>
      </c>
      <c r="R47" s="406">
        <v>0</v>
      </c>
      <c r="S47" s="406">
        <v>108000</v>
      </c>
      <c r="T47" s="406">
        <v>0</v>
      </c>
      <c r="U47" s="406">
        <v>108000</v>
      </c>
      <c r="V47" s="11" t="s">
        <v>20155</v>
      </c>
      <c r="W47" s="407">
        <v>0</v>
      </c>
      <c r="X47" s="407">
        <v>0</v>
      </c>
      <c r="Y47" s="407">
        <v>152630.946</v>
      </c>
      <c r="Z47" s="407">
        <v>0</v>
      </c>
      <c r="AA47" s="408"/>
      <c r="AB47" s="408"/>
      <c r="AC47" s="408">
        <v>1.4132495</v>
      </c>
      <c r="AD47" s="408"/>
      <c r="AE47" s="409"/>
      <c r="AF47" s="410">
        <v>18500</v>
      </c>
      <c r="AG47" s="410">
        <v>0.17129629629629631</v>
      </c>
      <c r="AH47" s="411"/>
      <c r="AI47" s="412"/>
      <c r="AJ47" s="411">
        <v>1.2419532037037038</v>
      </c>
      <c r="AK47" s="411"/>
      <c r="AL47" s="18"/>
      <c r="AM47" s="49"/>
      <c r="AN47" s="2"/>
      <c r="AO47" s="2"/>
    </row>
    <row r="48" spans="1:41" ht="18.600000000000001" hidden="1" customHeight="1">
      <c r="A48" s="14">
        <v>46</v>
      </c>
      <c r="B48" s="11" t="s">
        <v>58</v>
      </c>
      <c r="C48" s="14">
        <v>0</v>
      </c>
      <c r="D48" s="11" t="s">
        <v>17505</v>
      </c>
      <c r="E48" s="11" t="s">
        <v>58</v>
      </c>
      <c r="F48" s="403">
        <v>43511</v>
      </c>
      <c r="G48" s="11">
        <v>2019</v>
      </c>
      <c r="H48" s="11" t="s">
        <v>16560</v>
      </c>
      <c r="I48" s="11" t="s">
        <v>16561</v>
      </c>
      <c r="J48" s="11" t="s">
        <v>16482</v>
      </c>
      <c r="K48" s="404">
        <v>152637.58800000002</v>
      </c>
      <c r="L48" s="404">
        <v>3.4469500000000002</v>
      </c>
      <c r="M48" s="405">
        <v>44281.926920901089</v>
      </c>
      <c r="N48" s="11" t="s">
        <v>20155</v>
      </c>
      <c r="O48" s="11" t="s">
        <v>17801</v>
      </c>
      <c r="P48" s="872">
        <v>43522</v>
      </c>
      <c r="Q48" s="406">
        <v>0</v>
      </c>
      <c r="R48" s="406">
        <v>0</v>
      </c>
      <c r="S48" s="406">
        <v>108000</v>
      </c>
      <c r="T48" s="406">
        <v>0</v>
      </c>
      <c r="U48" s="406">
        <v>108000</v>
      </c>
      <c r="V48" s="11" t="s">
        <v>20155</v>
      </c>
      <c r="W48" s="407">
        <v>0</v>
      </c>
      <c r="X48" s="407">
        <v>0</v>
      </c>
      <c r="Y48" s="407">
        <v>152637.58800000002</v>
      </c>
      <c r="Z48" s="407">
        <v>0</v>
      </c>
      <c r="AA48" s="408"/>
      <c r="AB48" s="408"/>
      <c r="AC48" s="408">
        <v>1.4133110000000002</v>
      </c>
      <c r="AD48" s="408"/>
      <c r="AE48" s="409"/>
      <c r="AF48" s="410">
        <v>18500</v>
      </c>
      <c r="AG48" s="410">
        <v>0.17129629629629631</v>
      </c>
      <c r="AH48" s="411"/>
      <c r="AI48" s="412"/>
      <c r="AJ48" s="411">
        <v>1.2420147037037039</v>
      </c>
      <c r="AK48" s="411"/>
      <c r="AL48" s="18"/>
      <c r="AM48" s="49"/>
      <c r="AN48" s="2"/>
      <c r="AO48" s="2"/>
    </row>
    <row r="49" spans="1:41" ht="18.600000000000001" hidden="1" customHeight="1">
      <c r="A49" s="14">
        <v>47</v>
      </c>
      <c r="B49" s="11" t="s">
        <v>59</v>
      </c>
      <c r="C49" s="14">
        <v>0</v>
      </c>
      <c r="D49" s="11" t="s">
        <v>17506</v>
      </c>
      <c r="E49" s="11" t="s">
        <v>59</v>
      </c>
      <c r="F49" s="403">
        <v>43511</v>
      </c>
      <c r="G49" s="11">
        <v>2019</v>
      </c>
      <c r="H49" s="11" t="s">
        <v>16560</v>
      </c>
      <c r="I49" s="11" t="s">
        <v>16561</v>
      </c>
      <c r="J49" s="11" t="s">
        <v>16482</v>
      </c>
      <c r="K49" s="404">
        <v>152637.58800000002</v>
      </c>
      <c r="L49" s="404">
        <v>3.4470999999999998</v>
      </c>
      <c r="M49" s="405">
        <v>44280.000000000007</v>
      </c>
      <c r="N49" s="11" t="s">
        <v>20155</v>
      </c>
      <c r="O49" s="11" t="s">
        <v>17801</v>
      </c>
      <c r="P49" s="872">
        <v>43523</v>
      </c>
      <c r="Q49" s="406">
        <v>0</v>
      </c>
      <c r="R49" s="406">
        <v>0</v>
      </c>
      <c r="S49" s="406">
        <v>108000</v>
      </c>
      <c r="T49" s="406">
        <v>0</v>
      </c>
      <c r="U49" s="406">
        <v>108000</v>
      </c>
      <c r="V49" s="11" t="s">
        <v>20155</v>
      </c>
      <c r="W49" s="407">
        <v>0</v>
      </c>
      <c r="X49" s="407">
        <v>0</v>
      </c>
      <c r="Y49" s="407">
        <v>152637.58800000002</v>
      </c>
      <c r="Z49" s="407">
        <v>0</v>
      </c>
      <c r="AA49" s="408"/>
      <c r="AB49" s="408"/>
      <c r="AC49" s="408">
        <v>1.4133110000000002</v>
      </c>
      <c r="AD49" s="408"/>
      <c r="AE49" s="409"/>
      <c r="AF49" s="410">
        <v>18500</v>
      </c>
      <c r="AG49" s="410">
        <v>0.17129629629629631</v>
      </c>
      <c r="AH49" s="411"/>
      <c r="AI49" s="412"/>
      <c r="AJ49" s="411">
        <v>1.2420147037037039</v>
      </c>
      <c r="AK49" s="411"/>
      <c r="AL49" s="18"/>
      <c r="AM49" s="49"/>
      <c r="AN49" s="2"/>
      <c r="AO49" s="2"/>
    </row>
    <row r="50" spans="1:41" ht="18.600000000000001" hidden="1" customHeight="1">
      <c r="A50" s="14">
        <v>48</v>
      </c>
      <c r="B50" s="11" t="s">
        <v>60</v>
      </c>
      <c r="C50" s="14">
        <v>0</v>
      </c>
      <c r="D50" s="11" t="s">
        <v>17507</v>
      </c>
      <c r="E50" s="11" t="s">
        <v>60</v>
      </c>
      <c r="F50" s="403">
        <v>43511</v>
      </c>
      <c r="G50" s="11">
        <v>2019</v>
      </c>
      <c r="H50" s="11" t="s">
        <v>16560</v>
      </c>
      <c r="I50" s="11" t="s">
        <v>16561</v>
      </c>
      <c r="J50" s="11" t="s">
        <v>16482</v>
      </c>
      <c r="K50" s="404">
        <v>152320.986</v>
      </c>
      <c r="L50" s="404">
        <v>3.4399500000000001</v>
      </c>
      <c r="M50" s="405">
        <v>44280</v>
      </c>
      <c r="N50" s="11" t="s">
        <v>20155</v>
      </c>
      <c r="O50" s="11" t="s">
        <v>17801</v>
      </c>
      <c r="P50" s="872">
        <v>43524</v>
      </c>
      <c r="Q50" s="406">
        <v>0</v>
      </c>
      <c r="R50" s="406">
        <v>0</v>
      </c>
      <c r="S50" s="406">
        <v>108000</v>
      </c>
      <c r="T50" s="406">
        <v>0</v>
      </c>
      <c r="U50" s="406">
        <v>108000</v>
      </c>
      <c r="V50" s="11" t="s">
        <v>20155</v>
      </c>
      <c r="W50" s="407">
        <v>0</v>
      </c>
      <c r="X50" s="407">
        <v>0</v>
      </c>
      <c r="Y50" s="407">
        <v>152320.986</v>
      </c>
      <c r="Z50" s="407">
        <v>0</v>
      </c>
      <c r="AA50" s="408"/>
      <c r="AB50" s="408"/>
      <c r="AC50" s="408">
        <v>1.4103795000000001</v>
      </c>
      <c r="AD50" s="408"/>
      <c r="AE50" s="409"/>
      <c r="AF50" s="410">
        <v>18500</v>
      </c>
      <c r="AG50" s="410">
        <v>0.17129629629629631</v>
      </c>
      <c r="AH50" s="411"/>
      <c r="AI50" s="412"/>
      <c r="AJ50" s="411">
        <v>1.2390832037037038</v>
      </c>
      <c r="AK50" s="411"/>
      <c r="AL50" s="18"/>
      <c r="AM50" s="49"/>
      <c r="AN50" s="2"/>
      <c r="AO50" s="2"/>
    </row>
    <row r="51" spans="1:41" ht="18.600000000000001" hidden="1" customHeight="1">
      <c r="A51" s="14">
        <v>49</v>
      </c>
      <c r="B51" s="11" t="s">
        <v>61</v>
      </c>
      <c r="C51" s="14">
        <v>0</v>
      </c>
      <c r="D51" s="11" t="s">
        <v>17508</v>
      </c>
      <c r="E51" s="11" t="s">
        <v>61</v>
      </c>
      <c r="F51" s="403">
        <v>43515</v>
      </c>
      <c r="G51" s="11">
        <v>2019</v>
      </c>
      <c r="H51" s="11" t="s">
        <v>16783</v>
      </c>
      <c r="I51" s="11" t="s">
        <v>16784</v>
      </c>
      <c r="J51" s="11" t="s">
        <v>16401</v>
      </c>
      <c r="K51" s="404">
        <v>451173.69400000002</v>
      </c>
      <c r="L51" s="404">
        <v>3.0448499999999998</v>
      </c>
      <c r="M51" s="405">
        <v>148176.00013136936</v>
      </c>
      <c r="N51" s="11" t="s">
        <v>20155</v>
      </c>
      <c r="O51" s="11" t="s">
        <v>17939</v>
      </c>
      <c r="P51" s="872">
        <v>43519</v>
      </c>
      <c r="Q51" s="406">
        <v>0</v>
      </c>
      <c r="R51" s="406">
        <v>283200</v>
      </c>
      <c r="S51" s="406">
        <v>19200</v>
      </c>
      <c r="T51" s="406">
        <v>0</v>
      </c>
      <c r="U51" s="406">
        <v>302400</v>
      </c>
      <c r="V51" s="11" t="s">
        <v>20155</v>
      </c>
      <c r="W51" s="407">
        <v>0</v>
      </c>
      <c r="X51" s="407">
        <v>422384.51505600009</v>
      </c>
      <c r="Y51" s="407">
        <v>28789.178544000006</v>
      </c>
      <c r="Z51" s="407">
        <v>0</v>
      </c>
      <c r="AA51" s="408"/>
      <c r="AB51" s="408">
        <v>1.4914707452542375</v>
      </c>
      <c r="AC51" s="408">
        <v>1.4994363825000003</v>
      </c>
      <c r="AD51" s="408"/>
      <c r="AE51" s="409"/>
      <c r="AF51" s="410">
        <v>0</v>
      </c>
      <c r="AG51" s="410">
        <v>0</v>
      </c>
      <c r="AH51" s="411"/>
      <c r="AI51" s="412">
        <v>1.4914707452542375</v>
      </c>
      <c r="AJ51" s="411">
        <v>1.4994363825000003</v>
      </c>
      <c r="AK51" s="411"/>
      <c r="AL51" s="18"/>
      <c r="AM51" s="49"/>
      <c r="AN51" s="2"/>
      <c r="AO51" s="2"/>
    </row>
    <row r="52" spans="1:41" ht="18.600000000000001" hidden="1" customHeight="1">
      <c r="A52" s="14">
        <v>50</v>
      </c>
      <c r="B52" s="11" t="s">
        <v>62</v>
      </c>
      <c r="C52" s="14">
        <v>0</v>
      </c>
      <c r="D52" s="11" t="s">
        <v>17510</v>
      </c>
      <c r="E52" s="11" t="s">
        <v>62</v>
      </c>
      <c r="F52" s="403">
        <v>43516</v>
      </c>
      <c r="G52" s="11">
        <v>2019</v>
      </c>
      <c r="H52" s="11" t="s">
        <v>17150</v>
      </c>
      <c r="I52" s="11" t="s">
        <v>17151</v>
      </c>
      <c r="J52" s="11" t="s">
        <v>16482</v>
      </c>
      <c r="K52" s="404">
        <v>28117.305</v>
      </c>
      <c r="L52" s="404">
        <v>3.4470999999999998</v>
      </c>
      <c r="M52" s="405">
        <v>8156.7999187723017</v>
      </c>
      <c r="N52" s="11" t="s">
        <v>20155</v>
      </c>
      <c r="O52" s="11" t="s">
        <v>20166</v>
      </c>
      <c r="P52" s="872">
        <v>43522</v>
      </c>
      <c r="Q52" s="406">
        <v>540</v>
      </c>
      <c r="R52" s="406">
        <v>10380</v>
      </c>
      <c r="S52" s="406">
        <v>2640</v>
      </c>
      <c r="T52" s="406">
        <v>0</v>
      </c>
      <c r="U52" s="406">
        <v>13560</v>
      </c>
      <c r="V52" s="11" t="s">
        <v>20155</v>
      </c>
      <c r="W52" s="407">
        <v>841.16134199999999</v>
      </c>
      <c r="X52" s="407">
        <v>8895.1726079999989</v>
      </c>
      <c r="Y52" s="407">
        <v>8041.3948800000007</v>
      </c>
      <c r="Z52" s="407">
        <v>5082.7489500000001</v>
      </c>
      <c r="AA52" s="408">
        <v>1.5577061888888888</v>
      </c>
      <c r="AB52" s="408">
        <v>0.85695304508670511</v>
      </c>
      <c r="AC52" s="408">
        <v>3.0459829090909092</v>
      </c>
      <c r="AD52" s="408"/>
      <c r="AE52" s="409"/>
      <c r="AF52" s="410">
        <v>6535.3190000000004</v>
      </c>
      <c r="AG52" s="410">
        <v>0.48195567846607673</v>
      </c>
      <c r="AH52" s="411">
        <v>1.075750510422812</v>
      </c>
      <c r="AI52" s="412">
        <v>0.37499736662062838</v>
      </c>
      <c r="AJ52" s="411">
        <v>2.5640272306248324</v>
      </c>
      <c r="AK52" s="411"/>
      <c r="AL52" s="18"/>
      <c r="AM52" s="49"/>
      <c r="AN52" s="2"/>
      <c r="AO52" s="2"/>
    </row>
    <row r="53" spans="1:41" ht="18.600000000000001" hidden="1" customHeight="1">
      <c r="A53" s="14">
        <v>51</v>
      </c>
      <c r="B53" s="11" t="s">
        <v>63</v>
      </c>
      <c r="C53" s="14">
        <v>0</v>
      </c>
      <c r="D53" s="11" t="s">
        <v>17511</v>
      </c>
      <c r="E53" s="11" t="s">
        <v>63</v>
      </c>
      <c r="F53" s="403">
        <v>43525</v>
      </c>
      <c r="G53" s="11">
        <v>2019</v>
      </c>
      <c r="H53" s="11" t="s">
        <v>16470</v>
      </c>
      <c r="I53" s="11" t="s">
        <v>16471</v>
      </c>
      <c r="J53" s="11" t="s">
        <v>16401</v>
      </c>
      <c r="K53" s="404">
        <v>225767.27</v>
      </c>
      <c r="L53" s="404">
        <v>3.0145499999999998</v>
      </c>
      <c r="M53" s="405">
        <v>74892.527906321018</v>
      </c>
      <c r="N53" s="11" t="s">
        <v>20155</v>
      </c>
      <c r="O53" s="11" t="s">
        <v>20159</v>
      </c>
      <c r="P53" s="872">
        <v>43526</v>
      </c>
      <c r="Q53" s="406">
        <v>0</v>
      </c>
      <c r="R53" s="406">
        <v>137808</v>
      </c>
      <c r="S53" s="406">
        <v>0</v>
      </c>
      <c r="T53" s="406">
        <v>0</v>
      </c>
      <c r="U53" s="406">
        <v>137808</v>
      </c>
      <c r="V53" s="11" t="s">
        <v>20155</v>
      </c>
      <c r="W53" s="407">
        <v>0</v>
      </c>
      <c r="X53" s="407">
        <v>181001.20278240007</v>
      </c>
      <c r="Y53" s="407">
        <v>0</v>
      </c>
      <c r="Z53" s="407">
        <v>0</v>
      </c>
      <c r="AA53" s="408"/>
      <c r="AB53" s="408">
        <v>1.3134303000000005</v>
      </c>
      <c r="AC53" s="408"/>
      <c r="AD53" s="408"/>
      <c r="AE53" s="409"/>
      <c r="AF53" s="410">
        <v>50526.625</v>
      </c>
      <c r="AG53" s="410">
        <v>0.36664507866016488</v>
      </c>
      <c r="AH53" s="411"/>
      <c r="AI53" s="412">
        <v>0.94678522133983556</v>
      </c>
      <c r="AJ53" s="411"/>
      <c r="AK53" s="411"/>
      <c r="AL53" s="18"/>
      <c r="AM53" s="49"/>
      <c r="AN53" s="2"/>
      <c r="AO53" s="2"/>
    </row>
    <row r="54" spans="1:41" ht="18.600000000000001" hidden="1" customHeight="1">
      <c r="A54" s="14">
        <v>52</v>
      </c>
      <c r="B54" s="11" t="s">
        <v>64</v>
      </c>
      <c r="C54" s="14">
        <v>0</v>
      </c>
      <c r="D54" s="11" t="s">
        <v>17512</v>
      </c>
      <c r="E54" s="11" t="s">
        <v>64</v>
      </c>
      <c r="F54" s="403">
        <v>43516</v>
      </c>
      <c r="G54" s="11">
        <v>2019</v>
      </c>
      <c r="H54" s="11" t="s">
        <v>16444</v>
      </c>
      <c r="I54" s="11" t="s">
        <v>16445</v>
      </c>
      <c r="J54" s="11" t="s">
        <v>3</v>
      </c>
      <c r="K54" s="404">
        <v>39411.360000000001</v>
      </c>
      <c r="L54" s="14">
        <v>1</v>
      </c>
      <c r="M54" s="405">
        <v>39411.360000000001</v>
      </c>
      <c r="N54" s="11" t="s">
        <v>20155</v>
      </c>
      <c r="O54" s="11" t="s">
        <v>18248</v>
      </c>
      <c r="P54" s="872">
        <v>43521</v>
      </c>
      <c r="Q54" s="406">
        <v>10008</v>
      </c>
      <c r="R54" s="406">
        <v>18000</v>
      </c>
      <c r="S54" s="406">
        <v>0</v>
      </c>
      <c r="T54" s="406">
        <v>0</v>
      </c>
      <c r="U54" s="406">
        <v>28008</v>
      </c>
      <c r="V54" s="11" t="s">
        <v>20155</v>
      </c>
      <c r="W54" s="407">
        <v>14211.36</v>
      </c>
      <c r="X54" s="407">
        <v>25200</v>
      </c>
      <c r="Y54" s="407">
        <v>0</v>
      </c>
      <c r="Z54" s="407">
        <v>0</v>
      </c>
      <c r="AA54" s="408">
        <v>1.4200000000000002</v>
      </c>
      <c r="AB54" s="408">
        <v>1.4</v>
      </c>
      <c r="AC54" s="408"/>
      <c r="AD54" s="408"/>
      <c r="AE54" s="409"/>
      <c r="AF54" s="410">
        <v>0</v>
      </c>
      <c r="AG54" s="410">
        <v>0</v>
      </c>
      <c r="AH54" s="411">
        <v>1.4200000000000002</v>
      </c>
      <c r="AI54" s="412">
        <v>1.4</v>
      </c>
      <c r="AJ54" s="411"/>
      <c r="AK54" s="411"/>
      <c r="AL54" s="18"/>
      <c r="AM54" s="49"/>
      <c r="AN54" s="2"/>
      <c r="AO54" s="2"/>
    </row>
    <row r="55" spans="1:41" ht="18.600000000000001" hidden="1" customHeight="1">
      <c r="A55" s="14">
        <v>53</v>
      </c>
      <c r="B55" s="11" t="s">
        <v>65</v>
      </c>
      <c r="C55" s="14">
        <v>0</v>
      </c>
      <c r="D55" s="11" t="s">
        <v>17514</v>
      </c>
      <c r="E55" s="11" t="s">
        <v>65</v>
      </c>
      <c r="F55" s="403">
        <v>43525</v>
      </c>
      <c r="G55" s="11">
        <v>2019</v>
      </c>
      <c r="H55" s="11" t="s">
        <v>16384</v>
      </c>
      <c r="I55" s="11" t="s">
        <v>16385</v>
      </c>
      <c r="J55" s="11" t="s">
        <v>3</v>
      </c>
      <c r="K55" s="404">
        <v>1584</v>
      </c>
      <c r="L55" s="14">
        <v>1</v>
      </c>
      <c r="M55" s="405">
        <v>1584</v>
      </c>
      <c r="N55" s="11" t="s">
        <v>20155</v>
      </c>
      <c r="O55" s="11" t="s">
        <v>17689</v>
      </c>
      <c r="P55" s="872">
        <v>43535</v>
      </c>
      <c r="Q55" s="406">
        <v>0</v>
      </c>
      <c r="R55" s="406">
        <v>0</v>
      </c>
      <c r="S55" s="406">
        <v>0</v>
      </c>
      <c r="T55" s="406">
        <v>480</v>
      </c>
      <c r="U55" s="406">
        <v>480</v>
      </c>
      <c r="V55" s="11" t="s">
        <v>20155</v>
      </c>
      <c r="W55" s="407">
        <v>0</v>
      </c>
      <c r="X55" s="407">
        <v>0</v>
      </c>
      <c r="Y55" s="407">
        <v>0</v>
      </c>
      <c r="Z55" s="407">
        <v>1584</v>
      </c>
      <c r="AA55" s="408"/>
      <c r="AB55" s="408"/>
      <c r="AC55" s="408"/>
      <c r="AD55" s="408">
        <v>3.3</v>
      </c>
      <c r="AE55" s="409"/>
      <c r="AF55" s="410">
        <v>0</v>
      </c>
      <c r="AG55" s="410">
        <v>0</v>
      </c>
      <c r="AH55" s="411"/>
      <c r="AI55" s="412"/>
      <c r="AJ55" s="411"/>
      <c r="AK55" s="411">
        <v>3.3</v>
      </c>
      <c r="AL55" s="18"/>
      <c r="AM55" s="49"/>
      <c r="AN55" s="2"/>
      <c r="AO55" s="2"/>
    </row>
    <row r="56" spans="1:41" ht="18.600000000000001" hidden="1" customHeight="1">
      <c r="A56" s="14">
        <v>54</v>
      </c>
      <c r="B56" s="11" t="s">
        <v>66</v>
      </c>
      <c r="C56" s="14">
        <v>0</v>
      </c>
      <c r="D56" s="11" t="s">
        <v>17516</v>
      </c>
      <c r="E56" s="11" t="s">
        <v>66</v>
      </c>
      <c r="F56" s="403">
        <v>43525</v>
      </c>
      <c r="G56" s="11">
        <v>2019</v>
      </c>
      <c r="H56" s="11" t="s">
        <v>17017</v>
      </c>
      <c r="I56" s="11" t="s">
        <v>17018</v>
      </c>
      <c r="J56" s="11" t="s">
        <v>3</v>
      </c>
      <c r="K56" s="404">
        <v>14580</v>
      </c>
      <c r="L56" s="14">
        <v>1</v>
      </c>
      <c r="M56" s="405">
        <v>14580</v>
      </c>
      <c r="N56" s="11" t="s">
        <v>20155</v>
      </c>
      <c r="O56" s="11" t="s">
        <v>20167</v>
      </c>
      <c r="P56" s="872">
        <v>43529</v>
      </c>
      <c r="Q56" s="406">
        <v>0</v>
      </c>
      <c r="R56" s="406">
        <v>0</v>
      </c>
      <c r="S56" s="406">
        <v>0</v>
      </c>
      <c r="T56" s="406">
        <v>3600</v>
      </c>
      <c r="U56" s="406">
        <v>3600</v>
      </c>
      <c r="V56" s="11" t="s">
        <v>20155</v>
      </c>
      <c r="W56" s="407">
        <v>0</v>
      </c>
      <c r="X56" s="407">
        <v>0</v>
      </c>
      <c r="Y56" s="407">
        <v>0</v>
      </c>
      <c r="Z56" s="407">
        <v>14580</v>
      </c>
      <c r="AA56" s="408"/>
      <c r="AB56" s="408"/>
      <c r="AC56" s="408"/>
      <c r="AD56" s="408">
        <v>4.05</v>
      </c>
      <c r="AE56" s="409"/>
      <c r="AF56" s="410">
        <v>0</v>
      </c>
      <c r="AG56" s="410">
        <v>0</v>
      </c>
      <c r="AH56" s="411"/>
      <c r="AI56" s="412"/>
      <c r="AJ56" s="411"/>
      <c r="AK56" s="411">
        <v>4.05</v>
      </c>
      <c r="AL56" s="18"/>
      <c r="AM56" s="49"/>
      <c r="AN56" s="2"/>
      <c r="AO56" s="2"/>
    </row>
    <row r="57" spans="1:41" ht="18.600000000000001" hidden="1" customHeight="1">
      <c r="A57" s="14">
        <v>55</v>
      </c>
      <c r="B57" s="11" t="s">
        <v>67</v>
      </c>
      <c r="C57" s="14">
        <v>0</v>
      </c>
      <c r="D57" s="11" t="s">
        <v>17518</v>
      </c>
      <c r="E57" s="11" t="s">
        <v>67</v>
      </c>
      <c r="F57" s="403">
        <v>43525</v>
      </c>
      <c r="G57" s="11">
        <v>2019</v>
      </c>
      <c r="H57" s="11" t="s">
        <v>17017</v>
      </c>
      <c r="I57" s="11" t="s">
        <v>17018</v>
      </c>
      <c r="J57" s="11" t="s">
        <v>3</v>
      </c>
      <c r="K57" s="404">
        <v>18642.64</v>
      </c>
      <c r="L57" s="14">
        <v>1</v>
      </c>
      <c r="M57" s="405">
        <v>18642.64</v>
      </c>
      <c r="N57" s="11" t="s">
        <v>20155</v>
      </c>
      <c r="O57" s="11" t="s">
        <v>20158</v>
      </c>
      <c r="P57" s="872">
        <v>43525</v>
      </c>
      <c r="Q57" s="406">
        <v>0</v>
      </c>
      <c r="R57" s="406">
        <v>1747.1999999999989</v>
      </c>
      <c r="S57" s="406">
        <v>9139.2000000000007</v>
      </c>
      <c r="T57" s="406">
        <v>710</v>
      </c>
      <c r="U57" s="406">
        <v>11596.4</v>
      </c>
      <c r="V57" s="11" t="s">
        <v>20155</v>
      </c>
      <c r="W57" s="407">
        <v>0</v>
      </c>
      <c r="X57" s="407">
        <v>2638.72</v>
      </c>
      <c r="Y57" s="407">
        <v>13318.08</v>
      </c>
      <c r="Z57" s="407">
        <v>2685.84</v>
      </c>
      <c r="AA57" s="408"/>
      <c r="AB57" s="408">
        <v>1.5102564102564113</v>
      </c>
      <c r="AC57" s="408">
        <v>1.4572478991596638</v>
      </c>
      <c r="AD57" s="408">
        <v>3.7828732394366198</v>
      </c>
      <c r="AE57" s="409"/>
      <c r="AF57" s="410">
        <v>0</v>
      </c>
      <c r="AG57" s="410">
        <v>0</v>
      </c>
      <c r="AH57" s="411"/>
      <c r="AI57" s="412">
        <v>1.5102564102564113</v>
      </c>
      <c r="AJ57" s="411">
        <v>1.4572478991596638</v>
      </c>
      <c r="AK57" s="411">
        <v>3.7828732394366198</v>
      </c>
      <c r="AL57" s="18"/>
      <c r="AM57" s="49"/>
      <c r="AN57" s="2"/>
      <c r="AO57" s="2"/>
    </row>
    <row r="58" spans="1:41" ht="18.600000000000001" hidden="1" customHeight="1">
      <c r="A58" s="14">
        <v>56</v>
      </c>
      <c r="B58" s="11" t="s">
        <v>68</v>
      </c>
      <c r="C58" s="14">
        <v>0</v>
      </c>
      <c r="D58" s="11" t="s">
        <v>17520</v>
      </c>
      <c r="E58" s="11" t="s">
        <v>68</v>
      </c>
      <c r="F58" s="403">
        <v>43525</v>
      </c>
      <c r="G58" s="11">
        <v>2019</v>
      </c>
      <c r="H58" s="11" t="s">
        <v>16673</v>
      </c>
      <c r="I58" s="11" t="s">
        <v>16674</v>
      </c>
      <c r="J58" s="11" t="s">
        <v>3</v>
      </c>
      <c r="K58" s="404">
        <v>62957.4</v>
      </c>
      <c r="L58" s="14">
        <v>1</v>
      </c>
      <c r="M58" s="405">
        <v>62957.4</v>
      </c>
      <c r="N58" s="11" t="s">
        <v>20155</v>
      </c>
      <c r="O58" s="11" t="s">
        <v>20168</v>
      </c>
      <c r="P58" s="872">
        <v>43530</v>
      </c>
      <c r="Q58" s="406">
        <v>6000</v>
      </c>
      <c r="R58" s="406">
        <v>26880</v>
      </c>
      <c r="S58" s="406">
        <v>4800</v>
      </c>
      <c r="T58" s="406">
        <v>2500</v>
      </c>
      <c r="U58" s="406">
        <v>40180</v>
      </c>
      <c r="V58" s="11" t="s">
        <v>20155</v>
      </c>
      <c r="W58" s="407">
        <v>8580</v>
      </c>
      <c r="X58" s="407">
        <v>38438.400000000001</v>
      </c>
      <c r="Y58" s="407">
        <v>6864</v>
      </c>
      <c r="Z58" s="407">
        <v>9075</v>
      </c>
      <c r="AA58" s="408">
        <v>1.43</v>
      </c>
      <c r="AB58" s="408">
        <v>1.4300000000000002</v>
      </c>
      <c r="AC58" s="408">
        <v>1.43</v>
      </c>
      <c r="AD58" s="408">
        <v>3.63</v>
      </c>
      <c r="AE58" s="409"/>
      <c r="AF58" s="410">
        <v>0</v>
      </c>
      <c r="AG58" s="410">
        <v>0</v>
      </c>
      <c r="AH58" s="411">
        <v>1.43</v>
      </c>
      <c r="AI58" s="412">
        <v>1.4300000000000002</v>
      </c>
      <c r="AJ58" s="411">
        <v>1.43</v>
      </c>
      <c r="AK58" s="411">
        <v>3.63</v>
      </c>
      <c r="AL58" s="18"/>
      <c r="AM58" s="49"/>
      <c r="AN58" s="2"/>
      <c r="AO58" s="2"/>
    </row>
    <row r="59" spans="1:41" ht="18.600000000000001" hidden="1" customHeight="1">
      <c r="A59" s="14">
        <v>57</v>
      </c>
      <c r="B59" s="11" t="s">
        <v>69</v>
      </c>
      <c r="C59" s="14">
        <v>0</v>
      </c>
      <c r="D59" s="11" t="s">
        <v>17522</v>
      </c>
      <c r="E59" s="11" t="s">
        <v>69</v>
      </c>
      <c r="F59" s="403">
        <v>43530</v>
      </c>
      <c r="G59" s="11">
        <v>2019</v>
      </c>
      <c r="H59" s="11" t="s">
        <v>16838</v>
      </c>
      <c r="I59" s="11" t="s">
        <v>16839</v>
      </c>
      <c r="J59" s="11" t="s">
        <v>3</v>
      </c>
      <c r="K59" s="404">
        <v>200492.88</v>
      </c>
      <c r="L59" s="14">
        <v>1</v>
      </c>
      <c r="M59" s="405">
        <v>200492.88</v>
      </c>
      <c r="N59" s="11" t="s">
        <v>20155</v>
      </c>
      <c r="O59" s="11" t="s">
        <v>17798</v>
      </c>
      <c r="P59" s="872">
        <v>43531</v>
      </c>
      <c r="Q59" s="406">
        <v>0</v>
      </c>
      <c r="R59" s="406">
        <v>154056</v>
      </c>
      <c r="S59" s="406">
        <v>0</v>
      </c>
      <c r="T59" s="406">
        <v>0</v>
      </c>
      <c r="U59" s="406">
        <v>154056</v>
      </c>
      <c r="V59" s="11" t="s">
        <v>20155</v>
      </c>
      <c r="W59" s="407">
        <v>0</v>
      </c>
      <c r="X59" s="407">
        <v>200492.88</v>
      </c>
      <c r="Y59" s="407">
        <v>0</v>
      </c>
      <c r="Z59" s="407">
        <v>0</v>
      </c>
      <c r="AA59" s="408"/>
      <c r="AB59" s="408">
        <v>1.3014285714285714</v>
      </c>
      <c r="AC59" s="408"/>
      <c r="AD59" s="408"/>
      <c r="AE59" s="409"/>
      <c r="AF59" s="410">
        <v>0</v>
      </c>
      <c r="AG59" s="410">
        <v>0</v>
      </c>
      <c r="AH59" s="411"/>
      <c r="AI59" s="412">
        <v>1.3014285714285714</v>
      </c>
      <c r="AJ59" s="411"/>
      <c r="AK59" s="411"/>
      <c r="AL59" s="18"/>
      <c r="AM59" s="49"/>
      <c r="AN59" s="2"/>
      <c r="AO59" s="2"/>
    </row>
    <row r="60" spans="1:41" ht="18.600000000000001" hidden="1" customHeight="1">
      <c r="A60" s="14">
        <v>58</v>
      </c>
      <c r="B60" s="11" t="s">
        <v>70</v>
      </c>
      <c r="C60" s="14">
        <v>0</v>
      </c>
      <c r="D60" s="11" t="s">
        <v>17523</v>
      </c>
      <c r="E60" s="11" t="s">
        <v>70</v>
      </c>
      <c r="F60" s="403">
        <v>43525</v>
      </c>
      <c r="G60" s="11">
        <v>2019</v>
      </c>
      <c r="H60" s="11" t="s">
        <v>16972</v>
      </c>
      <c r="I60" s="11" t="s">
        <v>16973</v>
      </c>
      <c r="J60" s="11" t="s">
        <v>3</v>
      </c>
      <c r="K60" s="404">
        <v>341600</v>
      </c>
      <c r="L60" s="14">
        <v>1</v>
      </c>
      <c r="M60" s="405">
        <v>341600</v>
      </c>
      <c r="N60" s="11" t="s">
        <v>20155</v>
      </c>
      <c r="O60" s="11" t="s">
        <v>17801</v>
      </c>
      <c r="P60" s="872">
        <v>43529</v>
      </c>
      <c r="Q60" s="406">
        <v>0</v>
      </c>
      <c r="R60" s="406">
        <v>0</v>
      </c>
      <c r="S60" s="406">
        <v>280000</v>
      </c>
      <c r="T60" s="406">
        <v>0</v>
      </c>
      <c r="U60" s="406">
        <v>280000</v>
      </c>
      <c r="V60" s="11" t="s">
        <v>20155</v>
      </c>
      <c r="W60" s="407">
        <v>0</v>
      </c>
      <c r="X60" s="407">
        <v>0</v>
      </c>
      <c r="Y60" s="407">
        <v>341600</v>
      </c>
      <c r="Z60" s="407">
        <v>0</v>
      </c>
      <c r="AA60" s="408"/>
      <c r="AB60" s="408"/>
      <c r="AC60" s="408">
        <v>1.22</v>
      </c>
      <c r="AD60" s="408"/>
      <c r="AE60" s="409"/>
      <c r="AF60" s="410">
        <v>0</v>
      </c>
      <c r="AG60" s="410">
        <v>0</v>
      </c>
      <c r="AH60" s="411"/>
      <c r="AI60" s="412"/>
      <c r="AJ60" s="411">
        <v>1.22</v>
      </c>
      <c r="AK60" s="411"/>
      <c r="AL60" s="18"/>
      <c r="AM60" s="49"/>
      <c r="AN60" s="2"/>
      <c r="AO60" s="2"/>
    </row>
    <row r="61" spans="1:41" ht="18.600000000000001" hidden="1" customHeight="1">
      <c r="A61" s="14">
        <v>59</v>
      </c>
      <c r="B61" s="11" t="s">
        <v>71</v>
      </c>
      <c r="C61" s="14">
        <v>0</v>
      </c>
      <c r="D61" s="11" t="s">
        <v>17525</v>
      </c>
      <c r="E61" s="11" t="s">
        <v>71</v>
      </c>
      <c r="F61" s="403">
        <v>43525</v>
      </c>
      <c r="G61" s="11">
        <v>2019</v>
      </c>
      <c r="H61" s="11" t="s">
        <v>16972</v>
      </c>
      <c r="I61" s="11" t="s">
        <v>16973</v>
      </c>
      <c r="J61" s="11" t="s">
        <v>3</v>
      </c>
      <c r="K61" s="404">
        <v>327600</v>
      </c>
      <c r="L61" s="14">
        <v>1</v>
      </c>
      <c r="M61" s="405">
        <v>327600</v>
      </c>
      <c r="N61" s="11" t="s">
        <v>20155</v>
      </c>
      <c r="O61" s="11" t="s">
        <v>17801</v>
      </c>
      <c r="P61" s="872">
        <v>43538</v>
      </c>
      <c r="Q61" s="406">
        <v>0</v>
      </c>
      <c r="R61" s="406">
        <v>0</v>
      </c>
      <c r="S61" s="406">
        <v>260000</v>
      </c>
      <c r="T61" s="406">
        <v>0</v>
      </c>
      <c r="U61" s="406">
        <v>260000</v>
      </c>
      <c r="V61" s="11" t="s">
        <v>20155</v>
      </c>
      <c r="W61" s="407">
        <v>0</v>
      </c>
      <c r="X61" s="407">
        <v>0</v>
      </c>
      <c r="Y61" s="407">
        <v>327600</v>
      </c>
      <c r="Z61" s="407">
        <v>0</v>
      </c>
      <c r="AA61" s="408"/>
      <c r="AB61" s="408"/>
      <c r="AC61" s="408">
        <v>1.26</v>
      </c>
      <c r="AD61" s="408"/>
      <c r="AE61" s="409"/>
      <c r="AF61" s="410">
        <v>0</v>
      </c>
      <c r="AG61" s="410">
        <v>0</v>
      </c>
      <c r="AH61" s="411"/>
      <c r="AI61" s="412"/>
      <c r="AJ61" s="411">
        <v>1.26</v>
      </c>
      <c r="AK61" s="411"/>
      <c r="AL61" s="18"/>
      <c r="AM61" s="49"/>
      <c r="AN61" s="2"/>
      <c r="AO61" s="2"/>
    </row>
    <row r="62" spans="1:41" ht="18.600000000000001" hidden="1" customHeight="1">
      <c r="A62" s="14">
        <v>60</v>
      </c>
      <c r="B62" s="11" t="s">
        <v>72</v>
      </c>
      <c r="C62" s="14">
        <v>0</v>
      </c>
      <c r="D62" s="11" t="s">
        <v>17526</v>
      </c>
      <c r="E62" s="11" t="s">
        <v>72</v>
      </c>
      <c r="F62" s="403">
        <v>43525</v>
      </c>
      <c r="G62" s="11">
        <v>2019</v>
      </c>
      <c r="H62" s="11" t="s">
        <v>16872</v>
      </c>
      <c r="I62" s="11" t="s">
        <v>16873</v>
      </c>
      <c r="J62" s="11" t="s">
        <v>16401</v>
      </c>
      <c r="K62" s="404">
        <v>35803.81</v>
      </c>
      <c r="L62" s="404">
        <v>3.0145499999999998</v>
      </c>
      <c r="M62" s="405">
        <v>11876.999883896435</v>
      </c>
      <c r="N62" s="11" t="s">
        <v>20155</v>
      </c>
      <c r="O62" s="11" t="s">
        <v>20169</v>
      </c>
      <c r="P62" s="872">
        <v>43528</v>
      </c>
      <c r="Q62" s="406">
        <v>12000</v>
      </c>
      <c r="R62" s="406">
        <v>1050</v>
      </c>
      <c r="S62" s="406">
        <v>0</v>
      </c>
      <c r="T62" s="406">
        <v>0</v>
      </c>
      <c r="U62" s="406">
        <v>13050</v>
      </c>
      <c r="V62" s="11" t="s">
        <v>20155</v>
      </c>
      <c r="W62" s="407">
        <v>32195.394000000004</v>
      </c>
      <c r="X62" s="407">
        <v>3608.41635</v>
      </c>
      <c r="Y62" s="407">
        <v>0</v>
      </c>
      <c r="Z62" s="407">
        <v>0</v>
      </c>
      <c r="AA62" s="408">
        <v>2.6829495000000003</v>
      </c>
      <c r="AB62" s="408">
        <v>3.4365869999999998</v>
      </c>
      <c r="AC62" s="408"/>
      <c r="AD62" s="408"/>
      <c r="AE62" s="409"/>
      <c r="AF62" s="410">
        <v>1101.7</v>
      </c>
      <c r="AG62" s="410">
        <v>8.4421455938697321E-2</v>
      </c>
      <c r="AH62" s="411">
        <v>2.598528044061303</v>
      </c>
      <c r="AI62" s="412">
        <v>3.3521655440613025</v>
      </c>
      <c r="AJ62" s="411"/>
      <c r="AK62" s="411"/>
      <c r="AL62" s="18"/>
      <c r="AM62" s="49"/>
      <c r="AN62" s="2"/>
      <c r="AO62" s="2"/>
    </row>
    <row r="63" spans="1:41" ht="18.600000000000001" hidden="1" customHeight="1">
      <c r="A63" s="14">
        <v>61</v>
      </c>
      <c r="B63" s="11" t="s">
        <v>73</v>
      </c>
      <c r="C63" s="14">
        <v>0</v>
      </c>
      <c r="D63" s="11" t="s">
        <v>17528</v>
      </c>
      <c r="E63" s="11" t="s">
        <v>73</v>
      </c>
      <c r="F63" s="403">
        <v>43525</v>
      </c>
      <c r="G63" s="11">
        <v>2019</v>
      </c>
      <c r="H63" s="11" t="s">
        <v>16880</v>
      </c>
      <c r="I63" s="11" t="s">
        <v>16881</v>
      </c>
      <c r="J63" s="11" t="s">
        <v>16401</v>
      </c>
      <c r="K63" s="404">
        <v>64330.497000000003</v>
      </c>
      <c r="L63" s="404">
        <v>3.0145499999999998</v>
      </c>
      <c r="M63" s="405">
        <v>21340.000000000004</v>
      </c>
      <c r="N63" s="11" t="s">
        <v>20155</v>
      </c>
      <c r="O63" s="11" t="s">
        <v>20156</v>
      </c>
      <c r="P63" s="872">
        <v>43528</v>
      </c>
      <c r="Q63" s="406">
        <v>4000</v>
      </c>
      <c r="R63" s="406">
        <v>14000</v>
      </c>
      <c r="S63" s="406">
        <v>0</v>
      </c>
      <c r="T63" s="406">
        <v>0</v>
      </c>
      <c r="U63" s="406">
        <v>18000</v>
      </c>
      <c r="V63" s="11" t="s">
        <v>20155</v>
      </c>
      <c r="W63" s="407">
        <v>12902.273999999999</v>
      </c>
      <c r="X63" s="407">
        <v>51428.222999999998</v>
      </c>
      <c r="Y63" s="407">
        <v>0</v>
      </c>
      <c r="Z63" s="407">
        <v>0</v>
      </c>
      <c r="AA63" s="408">
        <v>3.2255685000000001</v>
      </c>
      <c r="AB63" s="408">
        <v>3.6734445</v>
      </c>
      <c r="AC63" s="408"/>
      <c r="AD63" s="408"/>
      <c r="AE63" s="409"/>
      <c r="AF63" s="410">
        <v>1101</v>
      </c>
      <c r="AG63" s="410">
        <v>6.1166666666666668E-2</v>
      </c>
      <c r="AH63" s="411">
        <v>3.1644018333333332</v>
      </c>
      <c r="AI63" s="412">
        <v>3.6122778333333332</v>
      </c>
      <c r="AJ63" s="411"/>
      <c r="AK63" s="411"/>
      <c r="AL63" s="18"/>
      <c r="AM63" s="49"/>
      <c r="AN63" s="2"/>
      <c r="AO63" s="2"/>
    </row>
    <row r="64" spans="1:41" ht="18.600000000000001" hidden="1" customHeight="1">
      <c r="A64" s="14">
        <v>62</v>
      </c>
      <c r="B64" s="11" t="s">
        <v>74</v>
      </c>
      <c r="C64" s="14">
        <v>0</v>
      </c>
      <c r="D64" s="11" t="s">
        <v>17530</v>
      </c>
      <c r="E64" s="11" t="s">
        <v>74</v>
      </c>
      <c r="F64" s="403">
        <v>43533</v>
      </c>
      <c r="G64" s="11">
        <v>2019</v>
      </c>
      <c r="H64" s="11" t="s">
        <v>17185</v>
      </c>
      <c r="I64" s="11" t="s">
        <v>17186</v>
      </c>
      <c r="J64" s="11" t="s">
        <v>3</v>
      </c>
      <c r="K64" s="404">
        <v>76176</v>
      </c>
      <c r="L64" s="14">
        <v>1</v>
      </c>
      <c r="M64" s="405">
        <v>76176</v>
      </c>
      <c r="N64" s="11" t="s">
        <v>20155</v>
      </c>
      <c r="O64" s="11" t="s">
        <v>18248</v>
      </c>
      <c r="P64" s="872">
        <v>43546</v>
      </c>
      <c r="Q64" s="406">
        <v>0</v>
      </c>
      <c r="R64" s="406">
        <v>0</v>
      </c>
      <c r="S64" s="406">
        <v>55200</v>
      </c>
      <c r="T64" s="406">
        <v>0</v>
      </c>
      <c r="U64" s="406">
        <v>55200</v>
      </c>
      <c r="V64" s="11" t="s">
        <v>20155</v>
      </c>
      <c r="W64" s="407">
        <v>0</v>
      </c>
      <c r="X64" s="407">
        <v>0</v>
      </c>
      <c r="Y64" s="407">
        <v>76176</v>
      </c>
      <c r="Z64" s="407">
        <v>0</v>
      </c>
      <c r="AA64" s="408"/>
      <c r="AB64" s="408"/>
      <c r="AC64" s="408">
        <v>1.38</v>
      </c>
      <c r="AD64" s="408"/>
      <c r="AE64" s="409"/>
      <c r="AF64" s="410">
        <v>0</v>
      </c>
      <c r="AG64" s="410">
        <v>0</v>
      </c>
      <c r="AH64" s="411"/>
      <c r="AI64" s="412"/>
      <c r="AJ64" s="411">
        <v>1.38</v>
      </c>
      <c r="AK64" s="411"/>
      <c r="AL64" s="18"/>
      <c r="AM64" s="49"/>
      <c r="AN64" s="2"/>
      <c r="AO64" s="2"/>
    </row>
    <row r="65" spans="1:41" ht="18.600000000000001" hidden="1" customHeight="1">
      <c r="A65" s="14">
        <v>63</v>
      </c>
      <c r="B65" s="11" t="s">
        <v>75</v>
      </c>
      <c r="C65" s="14">
        <v>0</v>
      </c>
      <c r="D65" s="11" t="s">
        <v>17533</v>
      </c>
      <c r="E65" s="11" t="s">
        <v>75</v>
      </c>
      <c r="F65" s="403">
        <v>43533</v>
      </c>
      <c r="G65" s="11">
        <v>2019</v>
      </c>
      <c r="H65" s="11" t="s">
        <v>16384</v>
      </c>
      <c r="I65" s="11" t="s">
        <v>16385</v>
      </c>
      <c r="J65" s="11" t="s">
        <v>3</v>
      </c>
      <c r="K65" s="404">
        <v>30600</v>
      </c>
      <c r="L65" s="14">
        <v>1</v>
      </c>
      <c r="M65" s="405">
        <v>30600</v>
      </c>
      <c r="N65" s="11" t="s">
        <v>20155</v>
      </c>
      <c r="O65" s="11" t="s">
        <v>20170</v>
      </c>
      <c r="P65" s="872">
        <v>43546</v>
      </c>
      <c r="Q65" s="406">
        <v>0</v>
      </c>
      <c r="R65" s="406">
        <v>20400</v>
      </c>
      <c r="S65" s="406">
        <v>1200</v>
      </c>
      <c r="T65" s="406">
        <v>0</v>
      </c>
      <c r="U65" s="406">
        <v>21600</v>
      </c>
      <c r="V65" s="11" t="s">
        <v>20155</v>
      </c>
      <c r="W65" s="407">
        <v>0</v>
      </c>
      <c r="X65" s="407">
        <v>28920</v>
      </c>
      <c r="Y65" s="407">
        <v>1680</v>
      </c>
      <c r="Z65" s="407">
        <v>0</v>
      </c>
      <c r="AA65" s="408"/>
      <c r="AB65" s="408">
        <v>1.4176470588235295</v>
      </c>
      <c r="AC65" s="408">
        <v>1.4</v>
      </c>
      <c r="AD65" s="408"/>
      <c r="AE65" s="409"/>
      <c r="AF65" s="410">
        <v>0</v>
      </c>
      <c r="AG65" s="410">
        <v>0</v>
      </c>
      <c r="AH65" s="411"/>
      <c r="AI65" s="412">
        <v>1.4176470588235295</v>
      </c>
      <c r="AJ65" s="411">
        <v>1.4</v>
      </c>
      <c r="AK65" s="411"/>
      <c r="AL65" s="18"/>
      <c r="AM65" s="49"/>
      <c r="AN65" s="2"/>
      <c r="AO65" s="2"/>
    </row>
    <row r="66" spans="1:41" ht="18.600000000000001" hidden="1" customHeight="1">
      <c r="A66" s="14">
        <v>64</v>
      </c>
      <c r="B66" s="11" t="s">
        <v>76</v>
      </c>
      <c r="C66" s="14">
        <v>0</v>
      </c>
      <c r="D66" s="11" t="s">
        <v>17534</v>
      </c>
      <c r="E66" s="11" t="s">
        <v>76</v>
      </c>
      <c r="F66" s="403">
        <v>43556</v>
      </c>
      <c r="G66" s="11">
        <v>2019</v>
      </c>
      <c r="H66" s="11" t="s">
        <v>16904</v>
      </c>
      <c r="I66" s="11" t="s">
        <v>16905</v>
      </c>
      <c r="J66" s="11" t="s">
        <v>16482</v>
      </c>
      <c r="K66" s="404">
        <v>46337.209000000003</v>
      </c>
      <c r="L66" s="404">
        <v>3.3714499999999998</v>
      </c>
      <c r="M66" s="405">
        <v>13744.000059321659</v>
      </c>
      <c r="N66" s="11" t="s">
        <v>20155</v>
      </c>
      <c r="O66" s="11" t="s">
        <v>20160</v>
      </c>
      <c r="P66" s="872">
        <v>43561</v>
      </c>
      <c r="Q66" s="406">
        <v>0</v>
      </c>
      <c r="R66" s="406">
        <v>12096</v>
      </c>
      <c r="S66" s="406">
        <v>3600</v>
      </c>
      <c r="T66" s="406">
        <v>5140</v>
      </c>
      <c r="U66" s="406">
        <v>20836</v>
      </c>
      <c r="V66" s="11" t="s">
        <v>20155</v>
      </c>
      <c r="W66" s="407">
        <v>0</v>
      </c>
      <c r="X66" s="407">
        <v>17943.666048000003</v>
      </c>
      <c r="Y66" s="407">
        <v>5219.0046000000002</v>
      </c>
      <c r="Z66" s="407">
        <v>14745.913151999999</v>
      </c>
      <c r="AA66" s="408"/>
      <c r="AB66" s="408">
        <v>1.4834380000000003</v>
      </c>
      <c r="AC66" s="408">
        <v>1.4497235000000002</v>
      </c>
      <c r="AD66" s="408">
        <v>2.8688546988326848</v>
      </c>
      <c r="AE66" s="409"/>
      <c r="AF66" s="410">
        <v>9871.4629999999997</v>
      </c>
      <c r="AG66" s="410">
        <v>0.47376958149356879</v>
      </c>
      <c r="AH66" s="411"/>
      <c r="AI66" s="412">
        <v>1.0096684185064315</v>
      </c>
      <c r="AJ66" s="411">
        <v>0.97595391850643143</v>
      </c>
      <c r="AK66" s="411">
        <v>2.3950851173391161</v>
      </c>
      <c r="AL66" s="18"/>
      <c r="AM66" s="49"/>
      <c r="AN66" s="2"/>
      <c r="AO66" s="2"/>
    </row>
    <row r="67" spans="1:41" ht="18.600000000000001" hidden="1" customHeight="1">
      <c r="A67" s="14">
        <v>65</v>
      </c>
      <c r="B67" s="11" t="s">
        <v>77</v>
      </c>
      <c r="C67" s="14">
        <v>0</v>
      </c>
      <c r="D67" s="11" t="s">
        <v>17536</v>
      </c>
      <c r="E67" s="11" t="s">
        <v>77</v>
      </c>
      <c r="F67" s="403">
        <v>43536</v>
      </c>
      <c r="G67" s="11">
        <v>2019</v>
      </c>
      <c r="H67" s="11" t="s">
        <v>17119</v>
      </c>
      <c r="I67" s="11" t="s">
        <v>17120</v>
      </c>
      <c r="J67" s="11" t="s">
        <v>16401</v>
      </c>
      <c r="K67" s="404">
        <v>121570.74800000001</v>
      </c>
      <c r="L67" s="404">
        <v>2.9808500000000002</v>
      </c>
      <c r="M67" s="405">
        <v>40783.920022812286</v>
      </c>
      <c r="N67" s="11" t="s">
        <v>20155</v>
      </c>
      <c r="O67" s="11" t="s">
        <v>17965</v>
      </c>
      <c r="P67" s="872">
        <v>43549</v>
      </c>
      <c r="Q67" s="406">
        <v>22008</v>
      </c>
      <c r="R67" s="406">
        <v>47208</v>
      </c>
      <c r="S67" s="406">
        <v>0</v>
      </c>
      <c r="T67" s="406">
        <v>0</v>
      </c>
      <c r="U67" s="406">
        <v>69216</v>
      </c>
      <c r="V67" s="11" t="s">
        <v>20155</v>
      </c>
      <c r="W67" s="407">
        <v>32801.273399999998</v>
      </c>
      <c r="X67" s="407">
        <v>68201.609532000002</v>
      </c>
      <c r="Y67" s="407">
        <v>0</v>
      </c>
      <c r="Z67" s="407">
        <v>0</v>
      </c>
      <c r="AA67" s="408">
        <v>1.4904249999999999</v>
      </c>
      <c r="AB67" s="408">
        <v>1.4447044893238434</v>
      </c>
      <c r="AC67" s="408"/>
      <c r="AD67" s="408"/>
      <c r="AE67" s="409"/>
      <c r="AF67" s="410">
        <v>23275.891</v>
      </c>
      <c r="AG67" s="410">
        <v>0.33627905397595931</v>
      </c>
      <c r="AH67" s="411">
        <v>1.1541459460240406</v>
      </c>
      <c r="AI67" s="412">
        <v>1.1084254353478842</v>
      </c>
      <c r="AJ67" s="411"/>
      <c r="AK67" s="411"/>
      <c r="AL67" s="18"/>
      <c r="AM67" s="49"/>
      <c r="AN67" s="2"/>
      <c r="AO67" s="2"/>
    </row>
    <row r="68" spans="1:41" ht="18.600000000000001" hidden="1" customHeight="1">
      <c r="A68" s="14">
        <v>66</v>
      </c>
      <c r="B68" s="11" t="s">
        <v>78</v>
      </c>
      <c r="C68" s="14">
        <v>0</v>
      </c>
      <c r="D68" s="11" t="s">
        <v>17538</v>
      </c>
      <c r="E68" s="11" t="s">
        <v>78</v>
      </c>
      <c r="F68" s="403">
        <v>43537</v>
      </c>
      <c r="G68" s="11">
        <v>2019</v>
      </c>
      <c r="H68" s="11" t="s">
        <v>16783</v>
      </c>
      <c r="I68" s="11" t="s">
        <v>16784</v>
      </c>
      <c r="J68" s="11" t="s">
        <v>16401</v>
      </c>
      <c r="K68" s="404">
        <v>313888.73300000001</v>
      </c>
      <c r="L68" s="404">
        <v>3.0012500000000002</v>
      </c>
      <c r="M68" s="405">
        <v>104586.00016659725</v>
      </c>
      <c r="N68" s="11" t="s">
        <v>20155</v>
      </c>
      <c r="O68" s="11" t="s">
        <v>17939</v>
      </c>
      <c r="P68" s="872">
        <v>43543</v>
      </c>
      <c r="Q68" s="406">
        <v>72000</v>
      </c>
      <c r="R68" s="406">
        <v>0</v>
      </c>
      <c r="S68" s="406">
        <v>14400</v>
      </c>
      <c r="T68" s="406">
        <v>60500</v>
      </c>
      <c r="U68" s="406">
        <v>146900</v>
      </c>
      <c r="V68" s="11" t="s">
        <v>20155</v>
      </c>
      <c r="W68" s="407">
        <v>111286.35</v>
      </c>
      <c r="X68" s="407">
        <v>0</v>
      </c>
      <c r="Y68" s="407">
        <v>21176.82</v>
      </c>
      <c r="Z68" s="407">
        <v>181425.5625</v>
      </c>
      <c r="AA68" s="408">
        <v>1.54564375</v>
      </c>
      <c r="AB68" s="408"/>
      <c r="AC68" s="408">
        <v>1.4706124999999999</v>
      </c>
      <c r="AD68" s="408">
        <v>2.9987696280991734</v>
      </c>
      <c r="AE68" s="409"/>
      <c r="AF68" s="410">
        <v>0</v>
      </c>
      <c r="AG68" s="410">
        <v>0</v>
      </c>
      <c r="AH68" s="411">
        <v>1.54564375</v>
      </c>
      <c r="AI68" s="412"/>
      <c r="AJ68" s="411">
        <v>1.4706124999999999</v>
      </c>
      <c r="AK68" s="411">
        <v>2.9987696280991734</v>
      </c>
      <c r="AL68" s="18"/>
      <c r="AM68" s="49"/>
      <c r="AN68" s="2"/>
      <c r="AO68" s="2"/>
    </row>
    <row r="69" spans="1:41" ht="18.600000000000001" hidden="1" customHeight="1">
      <c r="A69" s="14">
        <v>67</v>
      </c>
      <c r="B69" s="11" t="s">
        <v>79</v>
      </c>
      <c r="C69" s="14">
        <v>0</v>
      </c>
      <c r="D69" s="11" t="s">
        <v>17539</v>
      </c>
      <c r="E69" s="11" t="s">
        <v>79</v>
      </c>
      <c r="F69" s="403">
        <v>43539</v>
      </c>
      <c r="G69" s="11">
        <v>2019</v>
      </c>
      <c r="H69" s="11" t="s">
        <v>16972</v>
      </c>
      <c r="I69" s="11" t="s">
        <v>16973</v>
      </c>
      <c r="J69" s="11" t="s">
        <v>3</v>
      </c>
      <c r="K69" s="404">
        <v>352800</v>
      </c>
      <c r="L69" s="14">
        <v>1</v>
      </c>
      <c r="M69" s="405">
        <v>352800</v>
      </c>
      <c r="N69" s="11" t="s">
        <v>20155</v>
      </c>
      <c r="O69" s="11" t="s">
        <v>17801</v>
      </c>
      <c r="P69" s="872">
        <v>43550</v>
      </c>
      <c r="Q69" s="406">
        <v>0</v>
      </c>
      <c r="R69" s="406">
        <v>0</v>
      </c>
      <c r="S69" s="406">
        <v>280000</v>
      </c>
      <c r="T69" s="406">
        <v>0</v>
      </c>
      <c r="U69" s="406">
        <v>280000</v>
      </c>
      <c r="V69" s="11" t="s">
        <v>20155</v>
      </c>
      <c r="W69" s="407">
        <v>0</v>
      </c>
      <c r="X69" s="407">
        <v>0</v>
      </c>
      <c r="Y69" s="407">
        <v>352800</v>
      </c>
      <c r="Z69" s="407">
        <v>0</v>
      </c>
      <c r="AA69" s="408"/>
      <c r="AB69" s="408"/>
      <c r="AC69" s="408">
        <v>1.26</v>
      </c>
      <c r="AD69" s="408"/>
      <c r="AE69" s="409"/>
      <c r="AF69" s="410">
        <v>0</v>
      </c>
      <c r="AG69" s="410">
        <v>0</v>
      </c>
      <c r="AH69" s="411"/>
      <c r="AI69" s="412"/>
      <c r="AJ69" s="411">
        <v>1.26</v>
      </c>
      <c r="AK69" s="411"/>
      <c r="AL69" s="18"/>
      <c r="AM69" s="49"/>
      <c r="AN69" s="2"/>
      <c r="AO69" s="2"/>
    </row>
    <row r="70" spans="1:41" ht="18.600000000000001" hidden="1" customHeight="1">
      <c r="A70" s="14">
        <v>68</v>
      </c>
      <c r="B70" s="11" t="s">
        <v>80</v>
      </c>
      <c r="C70" s="14">
        <v>0</v>
      </c>
      <c r="D70" s="11" t="s">
        <v>17540</v>
      </c>
      <c r="E70" s="11" t="s">
        <v>80</v>
      </c>
      <c r="F70" s="403">
        <v>43556</v>
      </c>
      <c r="G70" s="11">
        <v>2019</v>
      </c>
      <c r="H70" s="11" t="s">
        <v>16643</v>
      </c>
      <c r="I70" s="11" t="s">
        <v>16644</v>
      </c>
      <c r="J70" s="11" t="s">
        <v>16482</v>
      </c>
      <c r="K70" s="404">
        <v>106269.402</v>
      </c>
      <c r="L70" s="404">
        <v>3.3815499999999998</v>
      </c>
      <c r="M70" s="405">
        <v>31426.240037852465</v>
      </c>
      <c r="N70" s="11" t="s">
        <v>20155</v>
      </c>
      <c r="O70" s="11" t="s">
        <v>20159</v>
      </c>
      <c r="P70" s="872">
        <v>43575</v>
      </c>
      <c r="Q70" s="406">
        <v>0</v>
      </c>
      <c r="R70" s="406">
        <v>64416</v>
      </c>
      <c r="S70" s="406">
        <v>0</v>
      </c>
      <c r="T70" s="406">
        <v>0</v>
      </c>
      <c r="U70" s="406">
        <v>64416</v>
      </c>
      <c r="V70" s="11" t="s">
        <v>20155</v>
      </c>
      <c r="W70" s="407">
        <v>0</v>
      </c>
      <c r="X70" s="407">
        <v>85641.946871999986</v>
      </c>
      <c r="Y70" s="407">
        <v>0</v>
      </c>
      <c r="Z70" s="407">
        <v>0</v>
      </c>
      <c r="AA70" s="408"/>
      <c r="AB70" s="408">
        <v>1.3295135815946346</v>
      </c>
      <c r="AC70" s="408"/>
      <c r="AD70" s="408"/>
      <c r="AE70" s="409"/>
      <c r="AF70" s="410">
        <v>24424.215</v>
      </c>
      <c r="AG70" s="410">
        <v>0.37916379470938899</v>
      </c>
      <c r="AH70" s="411"/>
      <c r="AI70" s="412">
        <v>0.95034978688524563</v>
      </c>
      <c r="AJ70" s="411"/>
      <c r="AK70" s="411"/>
      <c r="AL70" s="18"/>
      <c r="AM70" s="49"/>
      <c r="AN70" s="2"/>
      <c r="AO70" s="2"/>
    </row>
    <row r="71" spans="1:41" ht="18.600000000000001" hidden="1" customHeight="1">
      <c r="A71" s="14">
        <v>69</v>
      </c>
      <c r="B71" s="11" t="s">
        <v>81</v>
      </c>
      <c r="C71" s="14">
        <v>0</v>
      </c>
      <c r="D71" s="11" t="s">
        <v>17542</v>
      </c>
      <c r="E71" s="11" t="s">
        <v>81</v>
      </c>
      <c r="F71" s="403">
        <v>43539</v>
      </c>
      <c r="G71" s="11">
        <v>2019</v>
      </c>
      <c r="H71" s="11" t="s">
        <v>16673</v>
      </c>
      <c r="I71" s="11" t="s">
        <v>16674</v>
      </c>
      <c r="J71" s="11" t="s">
        <v>3</v>
      </c>
      <c r="K71" s="404">
        <v>34338</v>
      </c>
      <c r="L71" s="14">
        <v>1</v>
      </c>
      <c r="M71" s="405">
        <v>34338</v>
      </c>
      <c r="N71" s="11" t="s">
        <v>20155</v>
      </c>
      <c r="O71" s="11" t="s">
        <v>20168</v>
      </c>
      <c r="P71" s="872">
        <v>43547</v>
      </c>
      <c r="Q71" s="406">
        <v>0</v>
      </c>
      <c r="R71" s="406">
        <v>19200</v>
      </c>
      <c r="S71" s="406">
        <v>2400</v>
      </c>
      <c r="T71" s="406">
        <v>1000</v>
      </c>
      <c r="U71" s="406">
        <v>22600</v>
      </c>
      <c r="V71" s="11" t="s">
        <v>20155</v>
      </c>
      <c r="W71" s="407">
        <v>0</v>
      </c>
      <c r="X71" s="407">
        <v>27456</v>
      </c>
      <c r="Y71" s="407">
        <v>3432</v>
      </c>
      <c r="Z71" s="407">
        <v>3450</v>
      </c>
      <c r="AA71" s="408"/>
      <c r="AB71" s="408">
        <v>1.43</v>
      </c>
      <c r="AC71" s="408">
        <v>1.43</v>
      </c>
      <c r="AD71" s="408">
        <v>3.45</v>
      </c>
      <c r="AE71" s="409"/>
      <c r="AF71" s="410">
        <v>0</v>
      </c>
      <c r="AG71" s="410">
        <v>0</v>
      </c>
      <c r="AH71" s="411"/>
      <c r="AI71" s="412">
        <v>1.43</v>
      </c>
      <c r="AJ71" s="411">
        <v>1.43</v>
      </c>
      <c r="AK71" s="411">
        <v>3.45</v>
      </c>
      <c r="AL71" s="18"/>
      <c r="AM71" s="49"/>
      <c r="AN71" s="2"/>
      <c r="AO71" s="2"/>
    </row>
    <row r="72" spans="1:41" ht="18.600000000000001" hidden="1" customHeight="1">
      <c r="A72" s="14">
        <v>70</v>
      </c>
      <c r="B72" s="11" t="s">
        <v>82</v>
      </c>
      <c r="C72" s="14">
        <v>0</v>
      </c>
      <c r="D72" s="11" t="s">
        <v>17544</v>
      </c>
      <c r="E72" s="11" t="s">
        <v>82</v>
      </c>
      <c r="F72" s="403">
        <v>43545</v>
      </c>
      <c r="G72" s="11">
        <v>2019</v>
      </c>
      <c r="H72" s="11" t="s">
        <v>17017</v>
      </c>
      <c r="I72" s="11" t="s">
        <v>17018</v>
      </c>
      <c r="J72" s="11" t="s">
        <v>3</v>
      </c>
      <c r="K72" s="404">
        <v>28400</v>
      </c>
      <c r="L72" s="14">
        <v>1</v>
      </c>
      <c r="M72" s="405">
        <v>28400</v>
      </c>
      <c r="N72" s="11" t="s">
        <v>20155</v>
      </c>
      <c r="O72" s="11" t="s">
        <v>18064</v>
      </c>
      <c r="P72" s="872">
        <v>43547</v>
      </c>
      <c r="Q72" s="406">
        <v>0</v>
      </c>
      <c r="R72" s="406">
        <v>20000</v>
      </c>
      <c r="S72" s="406">
        <v>0</v>
      </c>
      <c r="T72" s="406">
        <v>0</v>
      </c>
      <c r="U72" s="406">
        <v>20000</v>
      </c>
      <c r="V72" s="11" t="s">
        <v>20155</v>
      </c>
      <c r="W72" s="407">
        <v>0</v>
      </c>
      <c r="X72" s="407">
        <v>28400</v>
      </c>
      <c r="Y72" s="407">
        <v>0</v>
      </c>
      <c r="Z72" s="407">
        <v>0</v>
      </c>
      <c r="AA72" s="408"/>
      <c r="AB72" s="408">
        <v>1.42</v>
      </c>
      <c r="AC72" s="408"/>
      <c r="AD72" s="408"/>
      <c r="AE72" s="409"/>
      <c r="AF72" s="410">
        <v>0</v>
      </c>
      <c r="AG72" s="410">
        <v>0</v>
      </c>
      <c r="AH72" s="411"/>
      <c r="AI72" s="412">
        <v>1.42</v>
      </c>
      <c r="AJ72" s="411"/>
      <c r="AK72" s="411"/>
      <c r="AL72" s="18"/>
      <c r="AM72" s="49"/>
      <c r="AN72" s="2"/>
      <c r="AO72" s="2"/>
    </row>
    <row r="73" spans="1:41" ht="18.600000000000001" hidden="1" customHeight="1">
      <c r="A73" s="14">
        <v>71</v>
      </c>
      <c r="B73" s="11" t="s">
        <v>83</v>
      </c>
      <c r="C73" s="14">
        <v>0</v>
      </c>
      <c r="D73" s="11" t="s">
        <v>17546</v>
      </c>
      <c r="E73" s="11" t="s">
        <v>83</v>
      </c>
      <c r="F73" s="403">
        <v>43545</v>
      </c>
      <c r="G73" s="11">
        <v>2019</v>
      </c>
      <c r="H73" s="11" t="s">
        <v>16838</v>
      </c>
      <c r="I73" s="11" t="s">
        <v>16839</v>
      </c>
      <c r="J73" s="11" t="s">
        <v>3</v>
      </c>
      <c r="K73" s="404">
        <v>214193</v>
      </c>
      <c r="L73" s="14">
        <v>1</v>
      </c>
      <c r="M73" s="405">
        <v>214193</v>
      </c>
      <c r="N73" s="11" t="s">
        <v>20155</v>
      </c>
      <c r="O73" s="11" t="s">
        <v>17771</v>
      </c>
      <c r="P73" s="872">
        <v>43554</v>
      </c>
      <c r="Q73" s="406">
        <v>20004</v>
      </c>
      <c r="R73" s="406">
        <v>21000</v>
      </c>
      <c r="S73" s="406">
        <v>112000</v>
      </c>
      <c r="T73" s="406">
        <v>1840</v>
      </c>
      <c r="U73" s="406">
        <v>154844</v>
      </c>
      <c r="V73" s="11" t="s">
        <v>20155</v>
      </c>
      <c r="W73" s="407">
        <v>28775.88</v>
      </c>
      <c r="X73" s="407">
        <v>29172</v>
      </c>
      <c r="Y73" s="407">
        <v>150360</v>
      </c>
      <c r="Z73" s="407">
        <v>5885.12</v>
      </c>
      <c r="AA73" s="408">
        <v>1.4385062987402519</v>
      </c>
      <c r="AB73" s="408">
        <v>1.3891428571428572</v>
      </c>
      <c r="AC73" s="408">
        <v>1.3425</v>
      </c>
      <c r="AD73" s="408">
        <v>3.1984347826086954</v>
      </c>
      <c r="AE73" s="409"/>
      <c r="AF73" s="410">
        <v>0</v>
      </c>
      <c r="AG73" s="410">
        <v>0</v>
      </c>
      <c r="AH73" s="411">
        <v>1.4385062987402519</v>
      </c>
      <c r="AI73" s="412">
        <v>1.3891428571428572</v>
      </c>
      <c r="AJ73" s="411">
        <v>1.3425</v>
      </c>
      <c r="AK73" s="411">
        <v>3.1984347826086954</v>
      </c>
      <c r="AL73" s="18"/>
      <c r="AM73" s="49"/>
      <c r="AN73" s="2"/>
      <c r="AO73" s="2"/>
    </row>
    <row r="74" spans="1:41" ht="18.600000000000001" hidden="1" customHeight="1">
      <c r="A74" s="14">
        <v>72</v>
      </c>
      <c r="B74" s="11" t="s">
        <v>84</v>
      </c>
      <c r="C74" s="14">
        <v>0</v>
      </c>
      <c r="D74" s="11" t="s">
        <v>17547</v>
      </c>
      <c r="E74" s="11" t="s">
        <v>84</v>
      </c>
      <c r="F74" s="403">
        <v>43546</v>
      </c>
      <c r="G74" s="11">
        <v>2019</v>
      </c>
      <c r="H74" s="11" t="s">
        <v>17017</v>
      </c>
      <c r="I74" s="11" t="s">
        <v>17018</v>
      </c>
      <c r="J74" s="11" t="s">
        <v>3</v>
      </c>
      <c r="K74" s="404">
        <v>28146.799999999999</v>
      </c>
      <c r="L74" s="14">
        <v>1</v>
      </c>
      <c r="M74" s="405">
        <v>28146.799999999999</v>
      </c>
      <c r="N74" s="11" t="s">
        <v>20155</v>
      </c>
      <c r="O74" s="11" t="s">
        <v>16394</v>
      </c>
      <c r="P74" s="872">
        <v>43550</v>
      </c>
      <c r="Q74" s="406">
        <v>0</v>
      </c>
      <c r="R74" s="406">
        <v>8136</v>
      </c>
      <c r="S74" s="406">
        <v>4500</v>
      </c>
      <c r="T74" s="406">
        <v>2680</v>
      </c>
      <c r="U74" s="406">
        <v>15316</v>
      </c>
      <c r="V74" s="11" t="s">
        <v>20155</v>
      </c>
      <c r="W74" s="407">
        <v>0</v>
      </c>
      <c r="X74" s="407">
        <v>12610.8</v>
      </c>
      <c r="Y74" s="407">
        <v>6750</v>
      </c>
      <c r="Z74" s="407">
        <v>8786</v>
      </c>
      <c r="AA74" s="408"/>
      <c r="AB74" s="408">
        <v>1.55</v>
      </c>
      <c r="AC74" s="408">
        <v>1.5</v>
      </c>
      <c r="AD74" s="408">
        <v>3.2783582089552237</v>
      </c>
      <c r="AE74" s="409"/>
      <c r="AF74" s="410">
        <v>0</v>
      </c>
      <c r="AG74" s="410">
        <v>0</v>
      </c>
      <c r="AH74" s="411"/>
      <c r="AI74" s="412">
        <v>1.55</v>
      </c>
      <c r="AJ74" s="411">
        <v>1.5</v>
      </c>
      <c r="AK74" s="411">
        <v>3.2783582089552237</v>
      </c>
      <c r="AL74" s="18"/>
      <c r="AM74" s="49"/>
      <c r="AN74" s="2"/>
      <c r="AO74" s="2"/>
    </row>
    <row r="75" spans="1:41" ht="18.600000000000001" hidden="1" customHeight="1">
      <c r="A75" s="14">
        <v>73</v>
      </c>
      <c r="B75" s="11" t="s">
        <v>85</v>
      </c>
      <c r="C75" s="14">
        <v>0</v>
      </c>
      <c r="D75" s="11" t="s">
        <v>17549</v>
      </c>
      <c r="E75" s="11" t="s">
        <v>85</v>
      </c>
      <c r="F75" s="403">
        <v>43546</v>
      </c>
      <c r="G75" s="11">
        <v>2019</v>
      </c>
      <c r="H75" s="11" t="s">
        <v>17017</v>
      </c>
      <c r="I75" s="11" t="s">
        <v>17018</v>
      </c>
      <c r="J75" s="11" t="s">
        <v>3</v>
      </c>
      <c r="K75" s="404">
        <v>20607.416000000001</v>
      </c>
      <c r="L75" s="14">
        <v>1</v>
      </c>
      <c r="M75" s="405">
        <v>20607.416000000001</v>
      </c>
      <c r="N75" s="11" t="s">
        <v>20155</v>
      </c>
      <c r="O75" s="11" t="s">
        <v>20158</v>
      </c>
      <c r="P75" s="872">
        <v>43554</v>
      </c>
      <c r="Q75" s="406">
        <v>0</v>
      </c>
      <c r="R75" s="406">
        <v>2553.6</v>
      </c>
      <c r="S75" s="406">
        <v>11020.8</v>
      </c>
      <c r="T75" s="406">
        <v>0</v>
      </c>
      <c r="U75" s="406">
        <v>13574.4</v>
      </c>
      <c r="V75" s="11" t="s">
        <v>20155</v>
      </c>
      <c r="W75" s="407">
        <v>0</v>
      </c>
      <c r="X75" s="407">
        <v>4014.08</v>
      </c>
      <c r="Y75" s="407">
        <v>16575.407999999999</v>
      </c>
      <c r="Z75" s="407">
        <v>0</v>
      </c>
      <c r="AA75" s="408"/>
      <c r="AB75" s="408">
        <v>1.5719298245614035</v>
      </c>
      <c r="AC75" s="408">
        <v>1.5040113240418118</v>
      </c>
      <c r="AD75" s="408"/>
      <c r="AE75" s="409"/>
      <c r="AF75" s="410">
        <v>0</v>
      </c>
      <c r="AG75" s="410">
        <v>0</v>
      </c>
      <c r="AH75" s="411"/>
      <c r="AI75" s="412">
        <v>1.5719298245614035</v>
      </c>
      <c r="AJ75" s="411">
        <v>1.5040113240418118</v>
      </c>
      <c r="AK75" s="411"/>
      <c r="AL75" s="18"/>
      <c r="AM75" s="49"/>
      <c r="AN75" s="2"/>
      <c r="AO75" s="2"/>
    </row>
    <row r="76" spans="1:41" ht="18.600000000000001" hidden="1" customHeight="1">
      <c r="A76" s="14">
        <v>74</v>
      </c>
      <c r="B76" s="11" t="s">
        <v>86</v>
      </c>
      <c r="C76" s="14">
        <v>0</v>
      </c>
      <c r="D76" s="11" t="s">
        <v>17551</v>
      </c>
      <c r="E76" s="11" t="s">
        <v>86</v>
      </c>
      <c r="F76" s="403">
        <v>43556</v>
      </c>
      <c r="G76" s="11">
        <v>2019</v>
      </c>
      <c r="H76" s="11" t="s">
        <v>16444</v>
      </c>
      <c r="I76" s="11" t="s">
        <v>16445</v>
      </c>
      <c r="J76" s="11" t="s">
        <v>3</v>
      </c>
      <c r="K76" s="404">
        <v>62502.720000000001</v>
      </c>
      <c r="L76" s="14">
        <v>1</v>
      </c>
      <c r="M76" s="405">
        <v>62502.720000000001</v>
      </c>
      <c r="N76" s="11" t="s">
        <v>20155</v>
      </c>
      <c r="O76" s="11" t="s">
        <v>18248</v>
      </c>
      <c r="P76" s="872">
        <v>43556</v>
      </c>
      <c r="Q76" s="406">
        <v>44016</v>
      </c>
      <c r="R76" s="406">
        <v>0</v>
      </c>
      <c r="S76" s="406">
        <v>0</v>
      </c>
      <c r="T76" s="406">
        <v>0</v>
      </c>
      <c r="U76" s="406">
        <v>44016</v>
      </c>
      <c r="V76" s="11" t="s">
        <v>20155</v>
      </c>
      <c r="W76" s="407">
        <v>62502.720000000001</v>
      </c>
      <c r="X76" s="407">
        <v>0</v>
      </c>
      <c r="Y76" s="407">
        <v>0</v>
      </c>
      <c r="Z76" s="407">
        <v>0</v>
      </c>
      <c r="AA76" s="408">
        <v>1.42</v>
      </c>
      <c r="AB76" s="408"/>
      <c r="AC76" s="408"/>
      <c r="AD76" s="408"/>
      <c r="AE76" s="409"/>
      <c r="AF76" s="410">
        <v>0</v>
      </c>
      <c r="AG76" s="410">
        <v>0</v>
      </c>
      <c r="AH76" s="411">
        <v>1.42</v>
      </c>
      <c r="AI76" s="412"/>
      <c r="AJ76" s="411"/>
      <c r="AK76" s="411"/>
      <c r="AL76" s="18"/>
      <c r="AM76" s="49"/>
      <c r="AN76" s="2"/>
      <c r="AO76" s="2"/>
    </row>
    <row r="77" spans="1:41" ht="18.600000000000001" hidden="1" customHeight="1">
      <c r="A77" s="14">
        <v>75</v>
      </c>
      <c r="B77" s="11" t="s">
        <v>87</v>
      </c>
      <c r="C77" s="14">
        <v>0</v>
      </c>
      <c r="D77" s="11" t="s">
        <v>17552</v>
      </c>
      <c r="E77" s="11" t="s">
        <v>87</v>
      </c>
      <c r="F77" s="403">
        <v>43556</v>
      </c>
      <c r="G77" s="11">
        <v>2019</v>
      </c>
      <c r="H77" s="11" t="s">
        <v>17181</v>
      </c>
      <c r="I77" s="11" t="s">
        <v>17182</v>
      </c>
      <c r="J77" s="11" t="s">
        <v>16401</v>
      </c>
      <c r="K77" s="404">
        <v>222179.94399999999</v>
      </c>
      <c r="L77" s="404">
        <v>2.9955500000000002</v>
      </c>
      <c r="M77" s="405">
        <v>74170.000166914251</v>
      </c>
      <c r="N77" s="11" t="s">
        <v>20155</v>
      </c>
      <c r="O77" s="11" t="s">
        <v>20171</v>
      </c>
      <c r="P77" s="872">
        <v>43567</v>
      </c>
      <c r="Q77" s="406">
        <v>0</v>
      </c>
      <c r="R77" s="406">
        <v>0</v>
      </c>
      <c r="S77" s="406">
        <v>130000</v>
      </c>
      <c r="T77" s="406">
        <v>0</v>
      </c>
      <c r="U77" s="406">
        <v>130000</v>
      </c>
      <c r="V77" s="11" t="s">
        <v>20155</v>
      </c>
      <c r="W77" s="407">
        <v>0</v>
      </c>
      <c r="X77" s="407">
        <v>0</v>
      </c>
      <c r="Y77" s="407">
        <v>200162.65100000001</v>
      </c>
      <c r="Z77" s="407">
        <v>0</v>
      </c>
      <c r="AA77" s="408"/>
      <c r="AB77" s="408"/>
      <c r="AC77" s="408">
        <v>1.5397127000000002</v>
      </c>
      <c r="AD77" s="408"/>
      <c r="AE77" s="409"/>
      <c r="AF77" s="410">
        <v>27825.215</v>
      </c>
      <c r="AG77" s="410">
        <v>0.2140401153846154</v>
      </c>
      <c r="AH77" s="411"/>
      <c r="AI77" s="412"/>
      <c r="AJ77" s="411">
        <v>1.3256725846153847</v>
      </c>
      <c r="AK77" s="411"/>
      <c r="AL77" s="18"/>
      <c r="AM77" s="49"/>
      <c r="AN77" s="2"/>
      <c r="AO77" s="2"/>
    </row>
    <row r="78" spans="1:41" ht="18.600000000000001" hidden="1" customHeight="1">
      <c r="A78" s="14">
        <v>76</v>
      </c>
      <c r="B78" s="11" t="s">
        <v>88</v>
      </c>
      <c r="C78" s="14">
        <v>0</v>
      </c>
      <c r="D78" s="11" t="s">
        <v>17555</v>
      </c>
      <c r="E78" s="11" t="s">
        <v>88</v>
      </c>
      <c r="F78" s="403">
        <v>43550</v>
      </c>
      <c r="G78" s="11">
        <v>2019</v>
      </c>
      <c r="H78" s="11" t="s">
        <v>17166</v>
      </c>
      <c r="I78" s="11" t="s">
        <v>17167</v>
      </c>
      <c r="J78" s="11" t="s">
        <v>3</v>
      </c>
      <c r="K78" s="404">
        <v>137250</v>
      </c>
      <c r="L78" s="14">
        <v>1</v>
      </c>
      <c r="M78" s="405">
        <v>137250</v>
      </c>
      <c r="N78" s="11" t="s">
        <v>20155</v>
      </c>
      <c r="O78" s="11" t="s">
        <v>17939</v>
      </c>
      <c r="P78" s="872">
        <v>43554</v>
      </c>
      <c r="Q78" s="406">
        <v>0</v>
      </c>
      <c r="R78" s="406">
        <v>78000</v>
      </c>
      <c r="S78" s="406">
        <v>12000</v>
      </c>
      <c r="T78" s="406">
        <v>0</v>
      </c>
      <c r="U78" s="406">
        <v>90000</v>
      </c>
      <c r="V78" s="11" t="s">
        <v>20155</v>
      </c>
      <c r="W78" s="407">
        <v>0</v>
      </c>
      <c r="X78" s="407">
        <v>118950</v>
      </c>
      <c r="Y78" s="407">
        <v>18300</v>
      </c>
      <c r="Z78" s="407">
        <v>0</v>
      </c>
      <c r="AA78" s="408"/>
      <c r="AB78" s="408">
        <v>1.5249999999999999</v>
      </c>
      <c r="AC78" s="408">
        <v>1.5249999999999999</v>
      </c>
      <c r="AD78" s="408"/>
      <c r="AE78" s="409"/>
      <c r="AF78" s="410">
        <v>0</v>
      </c>
      <c r="AG78" s="410">
        <v>0</v>
      </c>
      <c r="AH78" s="411"/>
      <c r="AI78" s="412">
        <v>1.5249999999999999</v>
      </c>
      <c r="AJ78" s="411">
        <v>1.5249999999999999</v>
      </c>
      <c r="AK78" s="411"/>
      <c r="AL78" s="18"/>
      <c r="AM78" s="49"/>
      <c r="AN78" s="2"/>
      <c r="AO78" s="2"/>
    </row>
    <row r="79" spans="1:41" ht="18.600000000000001" hidden="1" customHeight="1">
      <c r="A79" s="14">
        <v>77</v>
      </c>
      <c r="B79" s="11" t="s">
        <v>89</v>
      </c>
      <c r="C79" s="14">
        <v>0</v>
      </c>
      <c r="D79" s="11" t="s">
        <v>17556</v>
      </c>
      <c r="E79" s="11" t="s">
        <v>89</v>
      </c>
      <c r="F79" s="403">
        <v>43556</v>
      </c>
      <c r="G79" s="11">
        <v>2019</v>
      </c>
      <c r="H79" s="11" t="s">
        <v>17017</v>
      </c>
      <c r="I79" s="11" t="s">
        <v>17018</v>
      </c>
      <c r="J79" s="11" t="s">
        <v>3</v>
      </c>
      <c r="K79" s="404">
        <v>79632</v>
      </c>
      <c r="L79" s="14">
        <v>1</v>
      </c>
      <c r="M79" s="405">
        <v>79632</v>
      </c>
      <c r="N79" s="11" t="s">
        <v>20155</v>
      </c>
      <c r="O79" s="11" t="s">
        <v>20158</v>
      </c>
      <c r="P79" s="872">
        <v>43580</v>
      </c>
      <c r="Q79" s="406">
        <v>0</v>
      </c>
      <c r="R79" s="406">
        <v>0</v>
      </c>
      <c r="S79" s="406">
        <v>50400</v>
      </c>
      <c r="T79" s="406">
        <v>0</v>
      </c>
      <c r="U79" s="406">
        <v>50400</v>
      </c>
      <c r="V79" s="11" t="s">
        <v>20155</v>
      </c>
      <c r="W79" s="407">
        <v>0</v>
      </c>
      <c r="X79" s="407">
        <v>0</v>
      </c>
      <c r="Y79" s="407">
        <v>79632</v>
      </c>
      <c r="Z79" s="407">
        <v>0</v>
      </c>
      <c r="AA79" s="408"/>
      <c r="AB79" s="408"/>
      <c r="AC79" s="408">
        <v>1.58</v>
      </c>
      <c r="AD79" s="408"/>
      <c r="AE79" s="409"/>
      <c r="AF79" s="410">
        <v>0</v>
      </c>
      <c r="AG79" s="410">
        <v>0</v>
      </c>
      <c r="AH79" s="411"/>
      <c r="AI79" s="412"/>
      <c r="AJ79" s="411">
        <v>1.58</v>
      </c>
      <c r="AK79" s="411"/>
      <c r="AL79" s="18"/>
      <c r="AM79" s="49"/>
      <c r="AN79" s="2"/>
      <c r="AO79" s="2"/>
    </row>
    <row r="80" spans="1:41" ht="18.600000000000001" hidden="1" customHeight="1">
      <c r="A80" s="14">
        <v>78</v>
      </c>
      <c r="B80" s="11" t="s">
        <v>90</v>
      </c>
      <c r="C80" s="14">
        <v>0</v>
      </c>
      <c r="D80" s="11" t="s">
        <v>17557</v>
      </c>
      <c r="E80" s="11" t="s">
        <v>90</v>
      </c>
      <c r="F80" s="403">
        <v>43556</v>
      </c>
      <c r="G80" s="11">
        <v>2019</v>
      </c>
      <c r="H80" s="11" t="s">
        <v>16838</v>
      </c>
      <c r="I80" s="11" t="s">
        <v>16839</v>
      </c>
      <c r="J80" s="11" t="s">
        <v>3</v>
      </c>
      <c r="K80" s="404">
        <v>237026.16</v>
      </c>
      <c r="L80" s="14">
        <v>1</v>
      </c>
      <c r="M80" s="405">
        <v>237026.16</v>
      </c>
      <c r="N80" s="11" t="s">
        <v>20155</v>
      </c>
      <c r="O80" s="11" t="s">
        <v>17798</v>
      </c>
      <c r="P80" s="872">
        <v>43558</v>
      </c>
      <c r="Q80" s="406">
        <v>0</v>
      </c>
      <c r="R80" s="406">
        <v>176064</v>
      </c>
      <c r="S80" s="406">
        <v>0</v>
      </c>
      <c r="T80" s="406">
        <v>0</v>
      </c>
      <c r="U80" s="406">
        <v>176064</v>
      </c>
      <c r="V80" s="11" t="s">
        <v>20155</v>
      </c>
      <c r="W80" s="407">
        <v>0</v>
      </c>
      <c r="X80" s="407">
        <v>237026.16</v>
      </c>
      <c r="Y80" s="407">
        <v>0</v>
      </c>
      <c r="Z80" s="407">
        <v>0</v>
      </c>
      <c r="AA80" s="408"/>
      <c r="AB80" s="408">
        <v>1.3462499999999999</v>
      </c>
      <c r="AC80" s="408"/>
      <c r="AD80" s="408"/>
      <c r="AE80" s="409"/>
      <c r="AF80" s="410">
        <v>0</v>
      </c>
      <c r="AG80" s="410">
        <v>0</v>
      </c>
      <c r="AH80" s="411"/>
      <c r="AI80" s="412">
        <v>1.3462499999999999</v>
      </c>
      <c r="AJ80" s="411"/>
      <c r="AK80" s="411"/>
      <c r="AL80" s="18"/>
      <c r="AM80" s="49"/>
      <c r="AN80" s="2"/>
      <c r="AO80" s="2"/>
    </row>
    <row r="81" spans="1:41" ht="18.600000000000001" hidden="1" customHeight="1">
      <c r="A81" s="14">
        <v>79</v>
      </c>
      <c r="B81" s="11" t="s">
        <v>91</v>
      </c>
      <c r="C81" s="14">
        <v>0</v>
      </c>
      <c r="D81" s="11" t="s">
        <v>17558</v>
      </c>
      <c r="E81" s="11" t="s">
        <v>91</v>
      </c>
      <c r="F81" s="403">
        <v>43556</v>
      </c>
      <c r="G81" s="11">
        <v>2019</v>
      </c>
      <c r="H81" s="11" t="s">
        <v>16384</v>
      </c>
      <c r="I81" s="11" t="s">
        <v>16385</v>
      </c>
      <c r="J81" s="11" t="s">
        <v>3</v>
      </c>
      <c r="K81" s="404">
        <v>705600</v>
      </c>
      <c r="L81" s="14">
        <v>1</v>
      </c>
      <c r="M81" s="405">
        <v>705600</v>
      </c>
      <c r="N81" s="11" t="s">
        <v>20155</v>
      </c>
      <c r="O81" s="11" t="s">
        <v>17801</v>
      </c>
      <c r="P81" s="872">
        <v>43568</v>
      </c>
      <c r="Q81" s="406">
        <v>0</v>
      </c>
      <c r="R81" s="406">
        <v>0</v>
      </c>
      <c r="S81" s="406">
        <v>560000</v>
      </c>
      <c r="T81" s="406">
        <v>0</v>
      </c>
      <c r="U81" s="406">
        <v>560000</v>
      </c>
      <c r="V81" s="11" t="s">
        <v>20155</v>
      </c>
      <c r="W81" s="407">
        <v>0</v>
      </c>
      <c r="X81" s="407">
        <v>0</v>
      </c>
      <c r="Y81" s="407">
        <v>705600</v>
      </c>
      <c r="Z81" s="407">
        <v>0</v>
      </c>
      <c r="AA81" s="408"/>
      <c r="AB81" s="408"/>
      <c r="AC81" s="408">
        <v>1.26</v>
      </c>
      <c r="AD81" s="408"/>
      <c r="AE81" s="409"/>
      <c r="AF81" s="410">
        <v>0</v>
      </c>
      <c r="AG81" s="410">
        <v>0</v>
      </c>
      <c r="AH81" s="411"/>
      <c r="AI81" s="412"/>
      <c r="AJ81" s="411">
        <v>1.26</v>
      </c>
      <c r="AK81" s="411"/>
      <c r="AL81" s="18"/>
      <c r="AM81" s="49"/>
      <c r="AN81" s="2"/>
      <c r="AO81" s="2"/>
    </row>
    <row r="82" spans="1:41" ht="18.600000000000001" hidden="1" customHeight="1">
      <c r="A82" s="14">
        <v>80</v>
      </c>
      <c r="B82" s="11" t="s">
        <v>92</v>
      </c>
      <c r="C82" s="14">
        <v>0</v>
      </c>
      <c r="D82" s="11" t="s">
        <v>17559</v>
      </c>
      <c r="E82" s="11" t="s">
        <v>92</v>
      </c>
      <c r="F82" s="403">
        <v>43557</v>
      </c>
      <c r="G82" s="11">
        <v>2019</v>
      </c>
      <c r="H82" s="11" t="s">
        <v>16673</v>
      </c>
      <c r="I82" s="11" t="s">
        <v>16674</v>
      </c>
      <c r="J82" s="11" t="s">
        <v>3</v>
      </c>
      <c r="K82" s="404">
        <v>35646</v>
      </c>
      <c r="L82" s="14">
        <v>1</v>
      </c>
      <c r="M82" s="405">
        <v>35646</v>
      </c>
      <c r="N82" s="11" t="s">
        <v>20155</v>
      </c>
      <c r="O82" s="11" t="s">
        <v>20168</v>
      </c>
      <c r="P82" s="872">
        <v>43575</v>
      </c>
      <c r="Q82" s="406">
        <v>0</v>
      </c>
      <c r="R82" s="406">
        <v>18000</v>
      </c>
      <c r="S82" s="406">
        <v>4200</v>
      </c>
      <c r="T82" s="406">
        <v>1000</v>
      </c>
      <c r="U82" s="406">
        <v>23200</v>
      </c>
      <c r="V82" s="11" t="s">
        <v>20155</v>
      </c>
      <c r="W82" s="407">
        <v>0</v>
      </c>
      <c r="X82" s="407">
        <v>25740</v>
      </c>
      <c r="Y82" s="407">
        <v>6006</v>
      </c>
      <c r="Z82" s="407">
        <v>3900</v>
      </c>
      <c r="AA82" s="408"/>
      <c r="AB82" s="408">
        <v>1.43</v>
      </c>
      <c r="AC82" s="408">
        <v>1.43</v>
      </c>
      <c r="AD82" s="408">
        <v>3.9</v>
      </c>
      <c r="AE82" s="409"/>
      <c r="AF82" s="410">
        <v>0</v>
      </c>
      <c r="AG82" s="410">
        <v>0</v>
      </c>
      <c r="AH82" s="411"/>
      <c r="AI82" s="412">
        <v>1.43</v>
      </c>
      <c r="AJ82" s="411">
        <v>1.43</v>
      </c>
      <c r="AK82" s="411">
        <v>3.9</v>
      </c>
      <c r="AL82" s="18"/>
      <c r="AM82" s="49"/>
      <c r="AN82" s="2"/>
      <c r="AO82" s="2"/>
    </row>
    <row r="83" spans="1:41" ht="18.600000000000001" hidden="1" customHeight="1">
      <c r="A83" s="14">
        <v>81</v>
      </c>
      <c r="B83" s="11" t="s">
        <v>93</v>
      </c>
      <c r="C83" s="14">
        <v>0</v>
      </c>
      <c r="D83" s="11" t="s">
        <v>17561</v>
      </c>
      <c r="E83" s="11" t="s">
        <v>93</v>
      </c>
      <c r="F83" s="403">
        <v>43557</v>
      </c>
      <c r="G83" s="11">
        <v>2019</v>
      </c>
      <c r="H83" s="11" t="s">
        <v>16904</v>
      </c>
      <c r="I83" s="11" t="s">
        <v>16905</v>
      </c>
      <c r="J83" s="11" t="s">
        <v>16482</v>
      </c>
      <c r="K83" s="404">
        <v>47021.428</v>
      </c>
      <c r="L83" s="404">
        <v>3.3698999999999999</v>
      </c>
      <c r="M83" s="405">
        <v>13953.360040357282</v>
      </c>
      <c r="N83" s="11" t="s">
        <v>20155</v>
      </c>
      <c r="O83" s="11" t="s">
        <v>20160</v>
      </c>
      <c r="P83" s="872">
        <v>43577</v>
      </c>
      <c r="Q83" s="406">
        <v>0</v>
      </c>
      <c r="R83" s="406">
        <v>11880</v>
      </c>
      <c r="S83" s="406">
        <v>2400</v>
      </c>
      <c r="T83" s="406">
        <v>6144</v>
      </c>
      <c r="U83" s="406">
        <v>20424</v>
      </c>
      <c r="V83" s="11" t="s">
        <v>20155</v>
      </c>
      <c r="W83" s="407">
        <v>0</v>
      </c>
      <c r="X83" s="407">
        <v>17615.14128</v>
      </c>
      <c r="Y83" s="407">
        <v>3518.1756</v>
      </c>
      <c r="Z83" s="407">
        <v>17463.360983999999</v>
      </c>
      <c r="AA83" s="408"/>
      <c r="AB83" s="408">
        <v>1.482756</v>
      </c>
      <c r="AC83" s="408">
        <v>1.4659065</v>
      </c>
      <c r="AD83" s="408">
        <v>2.84234391015625</v>
      </c>
      <c r="AE83" s="409"/>
      <c r="AF83" s="410">
        <v>9900</v>
      </c>
      <c r="AG83" s="410">
        <v>0.48472385428907167</v>
      </c>
      <c r="AH83" s="411"/>
      <c r="AI83" s="412">
        <v>0.99803214571092824</v>
      </c>
      <c r="AJ83" s="411">
        <v>0.98118264571092828</v>
      </c>
      <c r="AK83" s="411">
        <v>2.3576200558671783</v>
      </c>
      <c r="AL83" s="18"/>
      <c r="AM83" s="49"/>
      <c r="AN83" s="2"/>
      <c r="AO83" s="2"/>
    </row>
    <row r="84" spans="1:41" ht="18.600000000000001" hidden="1" customHeight="1">
      <c r="A84" s="14">
        <v>82</v>
      </c>
      <c r="B84" s="11" t="s">
        <v>94</v>
      </c>
      <c r="C84" s="14">
        <v>0</v>
      </c>
      <c r="D84" s="11" t="s">
        <v>17563</v>
      </c>
      <c r="E84" s="11" t="s">
        <v>94</v>
      </c>
      <c r="F84" s="403">
        <v>43557</v>
      </c>
      <c r="G84" s="11">
        <v>2019</v>
      </c>
      <c r="H84" s="11" t="s">
        <v>16384</v>
      </c>
      <c r="I84" s="11" t="s">
        <v>16385</v>
      </c>
      <c r="J84" s="11" t="s">
        <v>3</v>
      </c>
      <c r="K84" s="404">
        <v>175738</v>
      </c>
      <c r="L84" s="14">
        <v>1</v>
      </c>
      <c r="M84" s="405">
        <v>175738</v>
      </c>
      <c r="N84" s="11" t="s">
        <v>20155</v>
      </c>
      <c r="O84" s="11" t="s">
        <v>17771</v>
      </c>
      <c r="P84" s="872">
        <v>43595</v>
      </c>
      <c r="Q84" s="406">
        <v>20000</v>
      </c>
      <c r="R84" s="406">
        <v>38400</v>
      </c>
      <c r="S84" s="406">
        <v>69000</v>
      </c>
      <c r="T84" s="406">
        <v>0</v>
      </c>
      <c r="U84" s="406">
        <v>127400</v>
      </c>
      <c r="V84" s="11" t="s">
        <v>20155</v>
      </c>
      <c r="W84" s="407">
        <v>28600</v>
      </c>
      <c r="X84" s="407">
        <v>52608</v>
      </c>
      <c r="Y84" s="407">
        <v>94530</v>
      </c>
      <c r="Z84" s="407">
        <v>0</v>
      </c>
      <c r="AA84" s="408">
        <v>1.43</v>
      </c>
      <c r="AB84" s="408">
        <v>1.37</v>
      </c>
      <c r="AC84" s="408">
        <v>1.37</v>
      </c>
      <c r="AD84" s="408"/>
      <c r="AE84" s="409"/>
      <c r="AF84" s="410">
        <v>0</v>
      </c>
      <c r="AG84" s="410">
        <v>0</v>
      </c>
      <c r="AH84" s="411">
        <v>1.43</v>
      </c>
      <c r="AI84" s="412">
        <v>1.37</v>
      </c>
      <c r="AJ84" s="411">
        <v>1.37</v>
      </c>
      <c r="AK84" s="411"/>
      <c r="AL84" s="18"/>
      <c r="AM84" s="49"/>
      <c r="AN84" s="2"/>
      <c r="AO84" s="2"/>
    </row>
    <row r="85" spans="1:41" ht="18.600000000000001" hidden="1" customHeight="1">
      <c r="A85" s="14">
        <v>83</v>
      </c>
      <c r="B85" s="11" t="s">
        <v>95</v>
      </c>
      <c r="C85" s="14">
        <v>0</v>
      </c>
      <c r="D85" s="11" t="s">
        <v>17564</v>
      </c>
      <c r="E85" s="11" t="s">
        <v>95</v>
      </c>
      <c r="F85" s="403">
        <v>43565</v>
      </c>
      <c r="G85" s="11">
        <v>2019</v>
      </c>
      <c r="H85" s="11" t="s">
        <v>17017</v>
      </c>
      <c r="I85" s="11" t="s">
        <v>17018</v>
      </c>
      <c r="J85" s="11" t="s">
        <v>3</v>
      </c>
      <c r="K85" s="404">
        <v>30646.400000000001</v>
      </c>
      <c r="L85" s="14">
        <v>1</v>
      </c>
      <c r="M85" s="405">
        <v>30646.400000000001</v>
      </c>
      <c r="N85" s="11" t="s">
        <v>20155</v>
      </c>
      <c r="O85" s="11" t="s">
        <v>16394</v>
      </c>
      <c r="P85" s="872">
        <v>43581</v>
      </c>
      <c r="Q85" s="406">
        <v>0</v>
      </c>
      <c r="R85" s="406">
        <v>14448</v>
      </c>
      <c r="S85" s="406">
        <v>3000</v>
      </c>
      <c r="T85" s="406">
        <v>1120</v>
      </c>
      <c r="U85" s="406">
        <v>18568</v>
      </c>
      <c r="V85" s="11" t="s">
        <v>20155</v>
      </c>
      <c r="W85" s="407">
        <v>0</v>
      </c>
      <c r="X85" s="407">
        <v>22394.400000000001</v>
      </c>
      <c r="Y85" s="407">
        <v>4500</v>
      </c>
      <c r="Z85" s="407">
        <v>3752</v>
      </c>
      <c r="AA85" s="408"/>
      <c r="AB85" s="408">
        <v>1.4384892086330936</v>
      </c>
      <c r="AC85" s="408">
        <v>1.5</v>
      </c>
      <c r="AD85" s="408">
        <v>3.35</v>
      </c>
      <c r="AE85" s="409"/>
      <c r="AF85" s="410">
        <v>0</v>
      </c>
      <c r="AG85" s="410">
        <v>0</v>
      </c>
      <c r="AH85" s="411"/>
      <c r="AI85" s="412">
        <v>1.4384892086330936</v>
      </c>
      <c r="AJ85" s="411">
        <v>1.5</v>
      </c>
      <c r="AK85" s="411">
        <v>3.35</v>
      </c>
      <c r="AL85" s="18"/>
      <c r="AM85" s="49"/>
      <c r="AN85" s="2"/>
      <c r="AO85" s="2"/>
    </row>
    <row r="86" spans="1:41" ht="18.600000000000001" hidden="1" customHeight="1">
      <c r="A86" s="14">
        <v>84</v>
      </c>
      <c r="B86" s="11" t="s">
        <v>96</v>
      </c>
      <c r="C86" s="14">
        <v>0</v>
      </c>
      <c r="D86" s="11" t="s">
        <v>17566</v>
      </c>
      <c r="E86" s="11" t="s">
        <v>96</v>
      </c>
      <c r="F86" s="403">
        <v>43565</v>
      </c>
      <c r="G86" s="11">
        <v>2019</v>
      </c>
      <c r="H86" s="11" t="s">
        <v>16444</v>
      </c>
      <c r="I86" s="11" t="s">
        <v>16445</v>
      </c>
      <c r="J86" s="11" t="s">
        <v>3</v>
      </c>
      <c r="K86" s="404">
        <v>31911.599999999999</v>
      </c>
      <c r="L86" s="14">
        <v>1</v>
      </c>
      <c r="M86" s="405">
        <v>31911.599999999999</v>
      </c>
      <c r="N86" s="11" t="s">
        <v>20155</v>
      </c>
      <c r="O86" s="11" t="s">
        <v>18248</v>
      </c>
      <c r="P86" s="872">
        <v>43572</v>
      </c>
      <c r="Q86" s="406">
        <v>22008</v>
      </c>
      <c r="R86" s="406">
        <v>0</v>
      </c>
      <c r="S86" s="406">
        <v>0</v>
      </c>
      <c r="T86" s="406">
        <v>0</v>
      </c>
      <c r="U86" s="406">
        <v>22008</v>
      </c>
      <c r="V86" s="11" t="s">
        <v>20155</v>
      </c>
      <c r="W86" s="407">
        <v>31911.599999999999</v>
      </c>
      <c r="X86" s="407">
        <v>0</v>
      </c>
      <c r="Y86" s="407">
        <v>0</v>
      </c>
      <c r="Z86" s="407">
        <v>0</v>
      </c>
      <c r="AA86" s="408">
        <v>1.4500000000000002</v>
      </c>
      <c r="AB86" s="408"/>
      <c r="AC86" s="408"/>
      <c r="AD86" s="408"/>
      <c r="AE86" s="409"/>
      <c r="AF86" s="410">
        <v>0</v>
      </c>
      <c r="AG86" s="410">
        <v>0</v>
      </c>
      <c r="AH86" s="411">
        <v>1.4500000000000002</v>
      </c>
      <c r="AI86" s="412"/>
      <c r="AJ86" s="411"/>
      <c r="AK86" s="411"/>
      <c r="AL86" s="18"/>
      <c r="AM86" s="49"/>
      <c r="AN86" s="2"/>
      <c r="AO86" s="2"/>
    </row>
    <row r="87" spans="1:41" ht="18.600000000000001" hidden="1" customHeight="1">
      <c r="A87" s="14">
        <v>85</v>
      </c>
      <c r="B87" s="11" t="s">
        <v>97</v>
      </c>
      <c r="C87" s="14">
        <v>0</v>
      </c>
      <c r="D87" s="11" t="s">
        <v>17568</v>
      </c>
      <c r="E87" s="11" t="s">
        <v>97</v>
      </c>
      <c r="F87" s="403">
        <v>43565</v>
      </c>
      <c r="G87" s="11">
        <v>2019</v>
      </c>
      <c r="H87" s="11" t="s">
        <v>16972</v>
      </c>
      <c r="I87" s="11" t="s">
        <v>16973</v>
      </c>
      <c r="J87" s="11" t="s">
        <v>3</v>
      </c>
      <c r="K87" s="404">
        <v>352800</v>
      </c>
      <c r="L87" s="14">
        <v>1</v>
      </c>
      <c r="M87" s="405">
        <v>352800</v>
      </c>
      <c r="N87" s="11" t="s">
        <v>20155</v>
      </c>
      <c r="O87" s="11" t="s">
        <v>17801</v>
      </c>
      <c r="P87" s="872">
        <v>43588</v>
      </c>
      <c r="Q87" s="406">
        <v>0</v>
      </c>
      <c r="R87" s="406">
        <v>0</v>
      </c>
      <c r="S87" s="406">
        <v>280000</v>
      </c>
      <c r="T87" s="406">
        <v>0</v>
      </c>
      <c r="U87" s="406">
        <v>280000</v>
      </c>
      <c r="V87" s="11" t="s">
        <v>20155</v>
      </c>
      <c r="W87" s="407">
        <v>0</v>
      </c>
      <c r="X87" s="407">
        <v>0</v>
      </c>
      <c r="Y87" s="407">
        <v>352800</v>
      </c>
      <c r="Z87" s="407">
        <v>0</v>
      </c>
      <c r="AA87" s="408"/>
      <c r="AB87" s="408"/>
      <c r="AC87" s="408">
        <v>1.26</v>
      </c>
      <c r="AD87" s="408"/>
      <c r="AE87" s="409"/>
      <c r="AF87" s="410">
        <v>0</v>
      </c>
      <c r="AG87" s="410">
        <v>0</v>
      </c>
      <c r="AH87" s="411"/>
      <c r="AI87" s="412"/>
      <c r="AJ87" s="411">
        <v>1.26</v>
      </c>
      <c r="AK87" s="411"/>
      <c r="AL87" s="18"/>
      <c r="AM87" s="49"/>
      <c r="AN87" s="2"/>
      <c r="AO87" s="2"/>
    </row>
    <row r="88" spans="1:41" ht="18.600000000000001" hidden="1" customHeight="1">
      <c r="A88" s="14">
        <v>86</v>
      </c>
      <c r="B88" s="11" t="s">
        <v>98</v>
      </c>
      <c r="C88" s="14">
        <v>0</v>
      </c>
      <c r="D88" s="11" t="s">
        <v>17569</v>
      </c>
      <c r="E88" s="11" t="s">
        <v>98</v>
      </c>
      <c r="F88" s="403">
        <v>43565</v>
      </c>
      <c r="G88" s="11">
        <v>2019</v>
      </c>
      <c r="H88" s="11" t="s">
        <v>16972</v>
      </c>
      <c r="I88" s="11" t="s">
        <v>16973</v>
      </c>
      <c r="J88" s="11" t="s">
        <v>3</v>
      </c>
      <c r="K88" s="404">
        <v>338000</v>
      </c>
      <c r="L88" s="14">
        <v>1</v>
      </c>
      <c r="M88" s="405">
        <v>338000</v>
      </c>
      <c r="N88" s="11" t="s">
        <v>20155</v>
      </c>
      <c r="O88" s="11" t="s">
        <v>17801</v>
      </c>
      <c r="P88" s="872">
        <v>43572</v>
      </c>
      <c r="Q88" s="406">
        <v>0</v>
      </c>
      <c r="R88" s="406">
        <v>0</v>
      </c>
      <c r="S88" s="406">
        <v>260000</v>
      </c>
      <c r="T88" s="406">
        <v>0</v>
      </c>
      <c r="U88" s="406">
        <v>260000</v>
      </c>
      <c r="V88" s="11" t="s">
        <v>20155</v>
      </c>
      <c r="W88" s="407">
        <v>0</v>
      </c>
      <c r="X88" s="407">
        <v>0</v>
      </c>
      <c r="Y88" s="407">
        <v>338000</v>
      </c>
      <c r="Z88" s="407">
        <v>0</v>
      </c>
      <c r="AA88" s="408"/>
      <c r="AB88" s="408"/>
      <c r="AC88" s="408">
        <v>1.3</v>
      </c>
      <c r="AD88" s="408"/>
      <c r="AE88" s="409"/>
      <c r="AF88" s="410">
        <v>0</v>
      </c>
      <c r="AG88" s="410">
        <v>0</v>
      </c>
      <c r="AH88" s="411"/>
      <c r="AI88" s="412"/>
      <c r="AJ88" s="411">
        <v>1.3</v>
      </c>
      <c r="AK88" s="411"/>
      <c r="AL88" s="18"/>
      <c r="AM88" s="49"/>
      <c r="AN88" s="2"/>
      <c r="AO88" s="2"/>
    </row>
    <row r="89" spans="1:41" ht="18.600000000000001" hidden="1" customHeight="1">
      <c r="A89" s="14">
        <v>87</v>
      </c>
      <c r="B89" s="11" t="s">
        <v>99</v>
      </c>
      <c r="C89" s="14">
        <v>0</v>
      </c>
      <c r="D89" s="11" t="s">
        <v>17570</v>
      </c>
      <c r="E89" s="11" t="s">
        <v>99</v>
      </c>
      <c r="F89" s="403">
        <v>43565</v>
      </c>
      <c r="G89" s="11">
        <v>2019</v>
      </c>
      <c r="H89" s="11" t="s">
        <v>16783</v>
      </c>
      <c r="I89" s="11" t="s">
        <v>16784</v>
      </c>
      <c r="J89" s="11" t="s">
        <v>16401</v>
      </c>
      <c r="K89" s="404">
        <v>317165.43600000005</v>
      </c>
      <c r="L89" s="404">
        <v>2.9966499999999998</v>
      </c>
      <c r="M89" s="405">
        <v>105840.00000000001</v>
      </c>
      <c r="N89" s="11" t="s">
        <v>20155</v>
      </c>
      <c r="O89" s="11" t="s">
        <v>17939</v>
      </c>
      <c r="P89" s="872">
        <v>43571</v>
      </c>
      <c r="Q89" s="406">
        <v>0</v>
      </c>
      <c r="R89" s="406">
        <v>182400</v>
      </c>
      <c r="S89" s="406">
        <v>33600</v>
      </c>
      <c r="T89" s="406">
        <v>0</v>
      </c>
      <c r="U89" s="406">
        <v>216000</v>
      </c>
      <c r="V89" s="11" t="s">
        <v>20155</v>
      </c>
      <c r="W89" s="407">
        <v>0</v>
      </c>
      <c r="X89" s="407">
        <v>267828.59039999999</v>
      </c>
      <c r="Y89" s="407">
        <v>49336.845600000008</v>
      </c>
      <c r="Z89" s="407">
        <v>0</v>
      </c>
      <c r="AA89" s="408"/>
      <c r="AB89" s="408"/>
      <c r="AC89" s="408"/>
      <c r="AD89" s="408"/>
      <c r="AE89" s="409"/>
      <c r="AF89" s="410">
        <v>0</v>
      </c>
      <c r="AG89" s="410">
        <v>0</v>
      </c>
      <c r="AH89" s="411"/>
      <c r="AI89" s="412"/>
      <c r="AJ89" s="411"/>
      <c r="AK89" s="411"/>
      <c r="AL89" s="18"/>
      <c r="AM89" s="49"/>
      <c r="AN89" s="2"/>
      <c r="AO89" s="2"/>
    </row>
    <row r="90" spans="1:41" ht="18.600000000000001" hidden="1" customHeight="1">
      <c r="A90" s="14">
        <v>88</v>
      </c>
      <c r="B90" s="11" t="s">
        <v>100</v>
      </c>
      <c r="C90" s="14">
        <v>0</v>
      </c>
      <c r="D90" s="11" t="s">
        <v>17572</v>
      </c>
      <c r="E90" s="11" t="s">
        <v>100</v>
      </c>
      <c r="F90" s="403">
        <v>43566</v>
      </c>
      <c r="G90" s="11">
        <v>2019</v>
      </c>
      <c r="H90" s="11" t="s">
        <v>16880</v>
      </c>
      <c r="I90" s="11" t="s">
        <v>16881</v>
      </c>
      <c r="J90" s="11" t="s">
        <v>16401</v>
      </c>
      <c r="K90" s="404">
        <v>66254.707999999999</v>
      </c>
      <c r="L90" s="404">
        <v>2.9883500000000001</v>
      </c>
      <c r="M90" s="405">
        <v>22171.000050194922</v>
      </c>
      <c r="N90" s="11" t="s">
        <v>20155</v>
      </c>
      <c r="O90" s="11" t="s">
        <v>20156</v>
      </c>
      <c r="P90" s="872">
        <v>43575</v>
      </c>
      <c r="Q90" s="406">
        <v>0</v>
      </c>
      <c r="R90" s="406">
        <v>18100</v>
      </c>
      <c r="S90" s="406">
        <v>0</v>
      </c>
      <c r="T90" s="406">
        <v>0</v>
      </c>
      <c r="U90" s="406">
        <v>18100</v>
      </c>
      <c r="V90" s="11" t="s">
        <v>20155</v>
      </c>
      <c r="W90" s="407">
        <v>0</v>
      </c>
      <c r="X90" s="407">
        <v>66254.707849999992</v>
      </c>
      <c r="Y90" s="407">
        <v>0</v>
      </c>
      <c r="Z90" s="407">
        <v>0</v>
      </c>
      <c r="AA90" s="408"/>
      <c r="AB90" s="408">
        <v>3.6604810966850825</v>
      </c>
      <c r="AC90" s="408"/>
      <c r="AD90" s="408"/>
      <c r="AE90" s="409"/>
      <c r="AF90" s="410">
        <v>1424.98</v>
      </c>
      <c r="AG90" s="410">
        <v>7.8728176795580113E-2</v>
      </c>
      <c r="AH90" s="411"/>
      <c r="AI90" s="412">
        <v>3.5817529198895022</v>
      </c>
      <c r="AJ90" s="411"/>
      <c r="AK90" s="411"/>
      <c r="AL90" s="18"/>
      <c r="AM90" s="49"/>
      <c r="AN90" s="2"/>
      <c r="AO90" s="2"/>
    </row>
    <row r="91" spans="1:41" ht="18.600000000000001" hidden="1" customHeight="1">
      <c r="A91" s="14">
        <v>89</v>
      </c>
      <c r="B91" s="11" t="s">
        <v>101</v>
      </c>
      <c r="C91" s="14">
        <v>0</v>
      </c>
      <c r="D91" s="11" t="s">
        <v>17574</v>
      </c>
      <c r="E91" s="11" t="s">
        <v>101</v>
      </c>
      <c r="F91" s="403">
        <v>43568</v>
      </c>
      <c r="G91" s="11">
        <v>2019</v>
      </c>
      <c r="H91" s="11" t="s">
        <v>17156</v>
      </c>
      <c r="I91" s="11" t="s">
        <v>17157</v>
      </c>
      <c r="J91" s="11" t="s">
        <v>3</v>
      </c>
      <c r="K91" s="404">
        <v>164000</v>
      </c>
      <c r="L91" s="14">
        <v>1</v>
      </c>
      <c r="M91" s="405">
        <v>164000</v>
      </c>
      <c r="N91" s="11" t="s">
        <v>20155</v>
      </c>
      <c r="O91" s="11" t="s">
        <v>20161</v>
      </c>
      <c r="P91" s="872">
        <v>43574</v>
      </c>
      <c r="Q91" s="406">
        <v>0</v>
      </c>
      <c r="R91" s="406">
        <v>102500</v>
      </c>
      <c r="S91" s="406">
        <v>0</v>
      </c>
      <c r="T91" s="406">
        <v>0</v>
      </c>
      <c r="U91" s="406">
        <v>102500</v>
      </c>
      <c r="V91" s="11" t="s">
        <v>20155</v>
      </c>
      <c r="W91" s="407">
        <v>0</v>
      </c>
      <c r="X91" s="407">
        <v>164000</v>
      </c>
      <c r="Y91" s="407">
        <v>0</v>
      </c>
      <c r="Z91" s="407">
        <v>0</v>
      </c>
      <c r="AA91" s="408"/>
      <c r="AB91" s="408">
        <v>1.6</v>
      </c>
      <c r="AC91" s="408"/>
      <c r="AD91" s="408"/>
      <c r="AE91" s="409"/>
      <c r="AF91" s="410">
        <v>0</v>
      </c>
      <c r="AG91" s="410">
        <v>0</v>
      </c>
      <c r="AH91" s="411"/>
      <c r="AI91" s="412">
        <v>1.6</v>
      </c>
      <c r="AJ91" s="411"/>
      <c r="AK91" s="411"/>
      <c r="AL91" s="18"/>
      <c r="AM91" s="49"/>
      <c r="AN91" s="2"/>
      <c r="AO91" s="2"/>
    </row>
    <row r="92" spans="1:41" ht="18.600000000000001" hidden="1" customHeight="1">
      <c r="A92" s="14">
        <v>90</v>
      </c>
      <c r="B92" s="11" t="s">
        <v>102</v>
      </c>
      <c r="C92" s="14">
        <v>0</v>
      </c>
      <c r="D92" s="11" t="s">
        <v>17577</v>
      </c>
      <c r="E92" s="11" t="s">
        <v>102</v>
      </c>
      <c r="F92" s="403">
        <v>43572</v>
      </c>
      <c r="G92" s="11">
        <v>2019</v>
      </c>
      <c r="H92" s="11" t="s">
        <v>16444</v>
      </c>
      <c r="I92" s="11" t="s">
        <v>16445</v>
      </c>
      <c r="J92" s="11" t="s">
        <v>3</v>
      </c>
      <c r="K92" s="404">
        <v>26496</v>
      </c>
      <c r="L92" s="14">
        <v>1</v>
      </c>
      <c r="M92" s="405">
        <v>26496</v>
      </c>
      <c r="N92" s="11" t="s">
        <v>20155</v>
      </c>
      <c r="O92" s="11" t="s">
        <v>17693</v>
      </c>
      <c r="P92" s="872">
        <v>43577</v>
      </c>
      <c r="Q92" s="406">
        <v>0</v>
      </c>
      <c r="R92" s="406">
        <v>20700</v>
      </c>
      <c r="S92" s="406">
        <v>0</v>
      </c>
      <c r="T92" s="406">
        <v>0</v>
      </c>
      <c r="U92" s="406">
        <v>20700</v>
      </c>
      <c r="V92" s="11" t="s">
        <v>20155</v>
      </c>
      <c r="W92" s="407">
        <v>0</v>
      </c>
      <c r="X92" s="407">
        <v>26496</v>
      </c>
      <c r="Y92" s="407">
        <v>0</v>
      </c>
      <c r="Z92" s="407">
        <v>0</v>
      </c>
      <c r="AA92" s="408"/>
      <c r="AB92" s="408">
        <v>1.28</v>
      </c>
      <c r="AC92" s="408"/>
      <c r="AD92" s="408"/>
      <c r="AE92" s="409"/>
      <c r="AF92" s="410">
        <v>0</v>
      </c>
      <c r="AG92" s="410">
        <v>0</v>
      </c>
      <c r="AH92" s="411"/>
      <c r="AI92" s="412">
        <v>1.28</v>
      </c>
      <c r="AJ92" s="411"/>
      <c r="AK92" s="411"/>
      <c r="AL92" s="18"/>
      <c r="AM92" s="49"/>
      <c r="AN92" s="2"/>
      <c r="AO92" s="2"/>
    </row>
    <row r="93" spans="1:41" ht="18.600000000000001" hidden="1" customHeight="1">
      <c r="A93" s="14">
        <v>91</v>
      </c>
      <c r="B93" s="11" t="s">
        <v>103</v>
      </c>
      <c r="C93" s="14">
        <v>0</v>
      </c>
      <c r="D93" s="11" t="s">
        <v>17578</v>
      </c>
      <c r="E93" s="11" t="s">
        <v>103</v>
      </c>
      <c r="F93" s="403">
        <v>43574</v>
      </c>
      <c r="G93" s="11">
        <v>2019</v>
      </c>
      <c r="H93" s="11" t="s">
        <v>16838</v>
      </c>
      <c r="I93" s="11" t="s">
        <v>16839</v>
      </c>
      <c r="J93" s="11" t="s">
        <v>3</v>
      </c>
      <c r="K93" s="404">
        <v>148554</v>
      </c>
      <c r="L93" s="14">
        <v>1</v>
      </c>
      <c r="M93" s="405">
        <v>148554</v>
      </c>
      <c r="N93" s="11" t="s">
        <v>20155</v>
      </c>
      <c r="O93" s="11" t="s">
        <v>17798</v>
      </c>
      <c r="P93" s="872">
        <v>43579</v>
      </c>
      <c r="Q93" s="406">
        <v>0</v>
      </c>
      <c r="R93" s="406">
        <v>110040</v>
      </c>
      <c r="S93" s="406">
        <v>0</v>
      </c>
      <c r="T93" s="406">
        <v>0</v>
      </c>
      <c r="U93" s="406">
        <v>110040</v>
      </c>
      <c r="V93" s="11" t="s">
        <v>20155</v>
      </c>
      <c r="W93" s="407">
        <v>0</v>
      </c>
      <c r="X93" s="407">
        <v>148554</v>
      </c>
      <c r="Y93" s="407">
        <v>0</v>
      </c>
      <c r="Z93" s="407">
        <v>0</v>
      </c>
      <c r="AA93" s="408"/>
      <c r="AB93" s="408">
        <v>1.35</v>
      </c>
      <c r="AC93" s="408"/>
      <c r="AD93" s="408"/>
      <c r="AE93" s="409"/>
      <c r="AF93" s="410">
        <v>0</v>
      </c>
      <c r="AG93" s="410">
        <v>0</v>
      </c>
      <c r="AH93" s="411"/>
      <c r="AI93" s="412">
        <v>1.35</v>
      </c>
      <c r="AJ93" s="411"/>
      <c r="AK93" s="411"/>
      <c r="AL93" s="18"/>
      <c r="AM93" s="49"/>
      <c r="AN93" s="2"/>
      <c r="AO93" s="2"/>
    </row>
    <row r="94" spans="1:41" ht="18.600000000000001" hidden="1" customHeight="1">
      <c r="A94" s="14">
        <v>92</v>
      </c>
      <c r="B94" s="11" t="s">
        <v>104</v>
      </c>
      <c r="C94" s="14">
        <v>0</v>
      </c>
      <c r="D94" s="11" t="s">
        <v>17579</v>
      </c>
      <c r="E94" s="11" t="s">
        <v>104</v>
      </c>
      <c r="F94" s="403">
        <v>43577</v>
      </c>
      <c r="G94" s="11">
        <v>2019</v>
      </c>
      <c r="H94" s="11" t="s">
        <v>17017</v>
      </c>
      <c r="I94" s="11" t="s">
        <v>17018</v>
      </c>
      <c r="J94" s="11" t="s">
        <v>3</v>
      </c>
      <c r="K94" s="404">
        <v>30135</v>
      </c>
      <c r="L94" s="14">
        <v>1</v>
      </c>
      <c r="M94" s="405">
        <v>30135</v>
      </c>
      <c r="N94" s="11" t="s">
        <v>20155</v>
      </c>
      <c r="O94" s="11" t="s">
        <v>18283</v>
      </c>
      <c r="P94" s="872">
        <v>43580</v>
      </c>
      <c r="Q94" s="406">
        <v>0</v>
      </c>
      <c r="R94" s="406">
        <v>20500</v>
      </c>
      <c r="S94" s="406">
        <v>0</v>
      </c>
      <c r="T94" s="406">
        <v>0</v>
      </c>
      <c r="U94" s="406">
        <v>20500</v>
      </c>
      <c r="V94" s="11" t="s">
        <v>20155</v>
      </c>
      <c r="W94" s="407">
        <v>0</v>
      </c>
      <c r="X94" s="407">
        <v>30135</v>
      </c>
      <c r="Y94" s="407">
        <v>0</v>
      </c>
      <c r="Z94" s="407">
        <v>0</v>
      </c>
      <c r="AA94" s="408"/>
      <c r="AB94" s="408">
        <v>1.47</v>
      </c>
      <c r="AC94" s="408"/>
      <c r="AD94" s="408"/>
      <c r="AE94" s="409"/>
      <c r="AF94" s="410">
        <v>0</v>
      </c>
      <c r="AG94" s="410">
        <v>0</v>
      </c>
      <c r="AH94" s="411"/>
      <c r="AI94" s="412">
        <v>1.47</v>
      </c>
      <c r="AJ94" s="411"/>
      <c r="AK94" s="411"/>
      <c r="AL94" s="18"/>
      <c r="AM94" s="49"/>
      <c r="AN94" s="2"/>
      <c r="AO94" s="2"/>
    </row>
    <row r="95" spans="1:41" ht="18.600000000000001" hidden="1" customHeight="1">
      <c r="A95" s="14">
        <v>93</v>
      </c>
      <c r="B95" s="11" t="s">
        <v>105</v>
      </c>
      <c r="C95" s="14">
        <v>0</v>
      </c>
      <c r="D95" s="11" t="s">
        <v>17581</v>
      </c>
      <c r="E95" s="11" t="s">
        <v>105</v>
      </c>
      <c r="F95" s="403">
        <v>43577</v>
      </c>
      <c r="G95" s="11">
        <v>2019</v>
      </c>
      <c r="H95" s="11" t="s">
        <v>17017</v>
      </c>
      <c r="I95" s="11" t="s">
        <v>17018</v>
      </c>
      <c r="J95" s="11" t="s">
        <v>3</v>
      </c>
      <c r="K95" s="404">
        <v>28400</v>
      </c>
      <c r="L95" s="14">
        <v>1</v>
      </c>
      <c r="M95" s="405">
        <v>28400</v>
      </c>
      <c r="N95" s="11" t="s">
        <v>20155</v>
      </c>
      <c r="O95" s="11" t="s">
        <v>18064</v>
      </c>
      <c r="P95" s="872">
        <v>43592</v>
      </c>
      <c r="Q95" s="406">
        <v>0</v>
      </c>
      <c r="R95" s="406">
        <v>20000</v>
      </c>
      <c r="S95" s="406">
        <v>0</v>
      </c>
      <c r="T95" s="406">
        <v>0</v>
      </c>
      <c r="U95" s="406">
        <v>20000</v>
      </c>
      <c r="V95" s="11" t="s">
        <v>20155</v>
      </c>
      <c r="W95" s="407">
        <v>0</v>
      </c>
      <c r="X95" s="407">
        <v>28400</v>
      </c>
      <c r="Y95" s="407">
        <v>0</v>
      </c>
      <c r="Z95" s="407">
        <v>0</v>
      </c>
      <c r="AA95" s="408"/>
      <c r="AB95" s="408">
        <v>1.42</v>
      </c>
      <c r="AC95" s="408"/>
      <c r="AD95" s="408"/>
      <c r="AE95" s="409"/>
      <c r="AF95" s="410">
        <v>0</v>
      </c>
      <c r="AG95" s="410">
        <v>0</v>
      </c>
      <c r="AH95" s="411"/>
      <c r="AI95" s="412">
        <v>1.42</v>
      </c>
      <c r="AJ95" s="411"/>
      <c r="AK95" s="411"/>
      <c r="AL95" s="18"/>
      <c r="AM95" s="49"/>
      <c r="AN95" s="2"/>
      <c r="AO95" s="2"/>
    </row>
    <row r="96" spans="1:41" ht="18.600000000000001" hidden="1" customHeight="1">
      <c r="A96" s="14">
        <v>94</v>
      </c>
      <c r="B96" s="11" t="s">
        <v>106</v>
      </c>
      <c r="C96" s="14">
        <v>0</v>
      </c>
      <c r="D96" s="11" t="s">
        <v>17582</v>
      </c>
      <c r="E96" s="11" t="s">
        <v>106</v>
      </c>
      <c r="F96" s="403">
        <v>43577</v>
      </c>
      <c r="G96" s="11">
        <v>2019</v>
      </c>
      <c r="H96" s="11" t="s">
        <v>17017</v>
      </c>
      <c r="I96" s="11" t="s">
        <v>17018</v>
      </c>
      <c r="J96" s="11" t="s">
        <v>3</v>
      </c>
      <c r="K96" s="404">
        <v>31751.8</v>
      </c>
      <c r="L96" s="14">
        <v>1</v>
      </c>
      <c r="M96" s="405">
        <v>31751.8</v>
      </c>
      <c r="N96" s="11" t="s">
        <v>20155</v>
      </c>
      <c r="O96" s="11" t="s">
        <v>16394</v>
      </c>
      <c r="P96" s="872">
        <v>43581</v>
      </c>
      <c r="Q96" s="406">
        <v>1200</v>
      </c>
      <c r="R96" s="406">
        <v>12936</v>
      </c>
      <c r="S96" s="406">
        <v>3000</v>
      </c>
      <c r="T96" s="406">
        <v>1880</v>
      </c>
      <c r="U96" s="406">
        <v>19016</v>
      </c>
      <c r="V96" s="11" t="s">
        <v>20155</v>
      </c>
      <c r="W96" s="407">
        <v>1860</v>
      </c>
      <c r="X96" s="407">
        <v>21940.799999999999</v>
      </c>
      <c r="Y96" s="407">
        <v>4500</v>
      </c>
      <c r="Z96" s="407">
        <v>3451</v>
      </c>
      <c r="AA96" s="408">
        <v>1.55</v>
      </c>
      <c r="AB96" s="408">
        <v>1.6961038961038961</v>
      </c>
      <c r="AC96" s="408">
        <v>1.5</v>
      </c>
      <c r="AD96" s="408">
        <v>1.8356382978723405</v>
      </c>
      <c r="AE96" s="409"/>
      <c r="AF96" s="410">
        <v>0</v>
      </c>
      <c r="AG96" s="410">
        <v>0</v>
      </c>
      <c r="AH96" s="411">
        <v>1.55</v>
      </c>
      <c r="AI96" s="412">
        <v>1.6961038961038961</v>
      </c>
      <c r="AJ96" s="411">
        <v>1.5</v>
      </c>
      <c r="AK96" s="411">
        <v>1.8356382978723405</v>
      </c>
      <c r="AL96" s="18"/>
      <c r="AM96" s="49"/>
      <c r="AN96" s="2"/>
      <c r="AO96" s="2"/>
    </row>
    <row r="97" spans="1:41" ht="18.600000000000001" hidden="1" customHeight="1">
      <c r="A97" s="14">
        <v>95</v>
      </c>
      <c r="B97" s="11" t="s">
        <v>107</v>
      </c>
      <c r="C97" s="14">
        <v>0</v>
      </c>
      <c r="D97" s="11" t="s">
        <v>17584</v>
      </c>
      <c r="E97" s="11" t="s">
        <v>107</v>
      </c>
      <c r="F97" s="403">
        <v>43577</v>
      </c>
      <c r="G97" s="11">
        <v>2019</v>
      </c>
      <c r="H97" s="11" t="s">
        <v>17191</v>
      </c>
      <c r="I97" s="11" t="s">
        <v>17192</v>
      </c>
      <c r="J97" s="11" t="s">
        <v>3</v>
      </c>
      <c r="K97" s="404">
        <v>3912</v>
      </c>
      <c r="L97" s="14">
        <v>1</v>
      </c>
      <c r="M97" s="405">
        <v>3912</v>
      </c>
      <c r="N97" s="11" t="s">
        <v>20155</v>
      </c>
      <c r="O97" s="11" t="s">
        <v>20172</v>
      </c>
      <c r="P97" s="872">
        <v>43599</v>
      </c>
      <c r="Q97" s="406">
        <v>0</v>
      </c>
      <c r="R97" s="406">
        <v>2400</v>
      </c>
      <c r="S97" s="406">
        <v>0</v>
      </c>
      <c r="T97" s="406">
        <v>0</v>
      </c>
      <c r="U97" s="406">
        <v>2400</v>
      </c>
      <c r="V97" s="11" t="s">
        <v>20155</v>
      </c>
      <c r="W97" s="407">
        <v>0</v>
      </c>
      <c r="X97" s="407">
        <v>3912</v>
      </c>
      <c r="Y97" s="407">
        <v>0</v>
      </c>
      <c r="Z97" s="407">
        <v>0</v>
      </c>
      <c r="AA97" s="408"/>
      <c r="AB97" s="408">
        <v>1.63</v>
      </c>
      <c r="AC97" s="408"/>
      <c r="AD97" s="408"/>
      <c r="AE97" s="409"/>
      <c r="AF97" s="410">
        <v>0</v>
      </c>
      <c r="AG97" s="410">
        <v>0</v>
      </c>
      <c r="AH97" s="411"/>
      <c r="AI97" s="412">
        <v>1.63</v>
      </c>
      <c r="AJ97" s="411"/>
      <c r="AK97" s="411"/>
      <c r="AL97" s="18"/>
      <c r="AM97" s="49"/>
      <c r="AN97" s="2"/>
      <c r="AO97" s="2"/>
    </row>
    <row r="98" spans="1:41" ht="18.600000000000001" hidden="1" customHeight="1">
      <c r="A98" s="14">
        <v>96</v>
      </c>
      <c r="B98" s="11" t="s">
        <v>108</v>
      </c>
      <c r="C98" s="14">
        <v>0</v>
      </c>
      <c r="D98" s="11" t="s">
        <v>17587</v>
      </c>
      <c r="E98" s="11" t="s">
        <v>108</v>
      </c>
      <c r="F98" s="403">
        <v>43577</v>
      </c>
      <c r="G98" s="11">
        <v>2019</v>
      </c>
      <c r="H98" s="11" t="s">
        <v>16384</v>
      </c>
      <c r="I98" s="11" t="s">
        <v>16385</v>
      </c>
      <c r="J98" s="11" t="s">
        <v>3</v>
      </c>
      <c r="K98" s="404">
        <v>30300</v>
      </c>
      <c r="L98" s="14">
        <v>1</v>
      </c>
      <c r="M98" s="405">
        <v>30300</v>
      </c>
      <c r="N98" s="11" t="s">
        <v>20155</v>
      </c>
      <c r="O98" s="11" t="s">
        <v>20170</v>
      </c>
      <c r="P98" s="872">
        <v>43594</v>
      </c>
      <c r="Q98" s="406">
        <v>0</v>
      </c>
      <c r="R98" s="406">
        <v>20400</v>
      </c>
      <c r="S98" s="406">
        <v>600</v>
      </c>
      <c r="T98" s="406">
        <v>0</v>
      </c>
      <c r="U98" s="406">
        <v>21000</v>
      </c>
      <c r="V98" s="11" t="s">
        <v>20155</v>
      </c>
      <c r="W98" s="407">
        <v>0</v>
      </c>
      <c r="X98" s="407">
        <v>29442</v>
      </c>
      <c r="Y98" s="407">
        <v>858</v>
      </c>
      <c r="Z98" s="407">
        <v>0</v>
      </c>
      <c r="AA98" s="408"/>
      <c r="AB98" s="408">
        <v>1.4432352941176469</v>
      </c>
      <c r="AC98" s="408">
        <v>1.43</v>
      </c>
      <c r="AD98" s="408"/>
      <c r="AE98" s="409"/>
      <c r="AF98" s="410">
        <v>0</v>
      </c>
      <c r="AG98" s="410">
        <v>0</v>
      </c>
      <c r="AH98" s="411"/>
      <c r="AI98" s="412">
        <v>1.4432352941176469</v>
      </c>
      <c r="AJ98" s="411">
        <v>1.43</v>
      </c>
      <c r="AK98" s="411"/>
      <c r="AL98" s="18"/>
      <c r="AM98" s="49"/>
      <c r="AN98" s="2"/>
      <c r="AO98" s="2"/>
    </row>
    <row r="99" spans="1:41" ht="18.600000000000001" hidden="1" customHeight="1">
      <c r="A99" s="14">
        <v>97</v>
      </c>
      <c r="B99" s="11" t="s">
        <v>109</v>
      </c>
      <c r="C99" s="14">
        <v>0</v>
      </c>
      <c r="D99" s="11" t="s">
        <v>17588</v>
      </c>
      <c r="E99" s="11" t="s">
        <v>109</v>
      </c>
      <c r="F99" s="403">
        <v>43577</v>
      </c>
      <c r="G99" s="11">
        <v>2019</v>
      </c>
      <c r="H99" s="11" t="s">
        <v>16444</v>
      </c>
      <c r="I99" s="11" t="s">
        <v>16445</v>
      </c>
      <c r="J99" s="11" t="s">
        <v>3</v>
      </c>
      <c r="K99" s="404">
        <v>25439</v>
      </c>
      <c r="L99" s="14">
        <v>1</v>
      </c>
      <c r="M99" s="405">
        <v>25439</v>
      </c>
      <c r="N99" s="11" t="s">
        <v>20155</v>
      </c>
      <c r="O99" s="11" t="s">
        <v>17693</v>
      </c>
      <c r="P99" s="872">
        <v>43591</v>
      </c>
      <c r="Q99" s="406">
        <v>14800</v>
      </c>
      <c r="R99" s="406">
        <v>2700</v>
      </c>
      <c r="S99" s="406">
        <v>0</v>
      </c>
      <c r="T99" s="406">
        <v>0</v>
      </c>
      <c r="U99" s="406">
        <v>17500</v>
      </c>
      <c r="V99" s="11" t="s">
        <v>20155</v>
      </c>
      <c r="W99" s="407">
        <v>21578</v>
      </c>
      <c r="X99" s="407">
        <v>3861</v>
      </c>
      <c r="Y99" s="407">
        <v>0</v>
      </c>
      <c r="Z99" s="407">
        <v>0</v>
      </c>
      <c r="AA99" s="408">
        <v>1.4579729729729729</v>
      </c>
      <c r="AB99" s="408">
        <v>1.43</v>
      </c>
      <c r="AC99" s="408"/>
      <c r="AD99" s="408"/>
      <c r="AE99" s="409"/>
      <c r="AF99" s="410">
        <v>0</v>
      </c>
      <c r="AG99" s="410">
        <v>0</v>
      </c>
      <c r="AH99" s="411">
        <v>1.4579729729729729</v>
      </c>
      <c r="AI99" s="412">
        <v>1.43</v>
      </c>
      <c r="AJ99" s="411"/>
      <c r="AK99" s="411"/>
      <c r="AL99" s="18"/>
      <c r="AM99" s="49"/>
      <c r="AN99" s="2"/>
      <c r="AO99" s="2"/>
    </row>
    <row r="100" spans="1:41" ht="18.600000000000001" hidden="1" customHeight="1">
      <c r="A100" s="14">
        <v>98</v>
      </c>
      <c r="B100" s="11" t="s">
        <v>110</v>
      </c>
      <c r="C100" s="14">
        <v>0</v>
      </c>
      <c r="D100" s="11" t="s">
        <v>17590</v>
      </c>
      <c r="E100" s="11" t="s">
        <v>110</v>
      </c>
      <c r="F100" s="403">
        <v>43581</v>
      </c>
      <c r="G100" s="11">
        <v>2019</v>
      </c>
      <c r="H100" s="11" t="s">
        <v>17017</v>
      </c>
      <c r="I100" s="11" t="s">
        <v>17018</v>
      </c>
      <c r="J100" s="11" t="s">
        <v>3</v>
      </c>
      <c r="K100" s="404">
        <v>26196.400000000001</v>
      </c>
      <c r="L100" s="14">
        <v>1</v>
      </c>
      <c r="M100" s="405">
        <v>26196.400000000001</v>
      </c>
      <c r="N100" s="11" t="s">
        <v>20155</v>
      </c>
      <c r="O100" s="11" t="s">
        <v>16394</v>
      </c>
      <c r="P100" s="872">
        <v>43585</v>
      </c>
      <c r="Q100" s="406">
        <v>0</v>
      </c>
      <c r="R100" s="406">
        <v>8928</v>
      </c>
      <c r="S100" s="406">
        <v>3000</v>
      </c>
      <c r="T100" s="406">
        <v>3120</v>
      </c>
      <c r="U100" s="406">
        <v>15048</v>
      </c>
      <c r="V100" s="11" t="s">
        <v>20155</v>
      </c>
      <c r="W100" s="407">
        <v>0</v>
      </c>
      <c r="X100" s="407">
        <v>16510.8</v>
      </c>
      <c r="Y100" s="407">
        <v>4500</v>
      </c>
      <c r="Z100" s="407">
        <v>5185.6000000000004</v>
      </c>
      <c r="AA100" s="408"/>
      <c r="AB100" s="408">
        <v>1.8493279569892471</v>
      </c>
      <c r="AC100" s="408">
        <v>1.5</v>
      </c>
      <c r="AD100" s="408">
        <v>1.6620512820512823</v>
      </c>
      <c r="AE100" s="409"/>
      <c r="AF100" s="410">
        <v>0</v>
      </c>
      <c r="AG100" s="410">
        <v>0</v>
      </c>
      <c r="AH100" s="411"/>
      <c r="AI100" s="412">
        <v>1.8493279569892471</v>
      </c>
      <c r="AJ100" s="411">
        <v>1.5</v>
      </c>
      <c r="AK100" s="411">
        <v>1.6620512820512823</v>
      </c>
      <c r="AL100" s="18"/>
      <c r="AM100" s="49"/>
      <c r="AN100" s="2"/>
      <c r="AO100" s="2"/>
    </row>
    <row r="101" spans="1:41" ht="18.600000000000001" hidden="1" customHeight="1">
      <c r="A101" s="14">
        <v>99</v>
      </c>
      <c r="B101" s="11" t="s">
        <v>111</v>
      </c>
      <c r="C101" s="14">
        <v>0</v>
      </c>
      <c r="D101" s="11" t="s">
        <v>17592</v>
      </c>
      <c r="E101" s="11" t="s">
        <v>111</v>
      </c>
      <c r="F101" s="403">
        <v>43581</v>
      </c>
      <c r="G101" s="11">
        <v>2019</v>
      </c>
      <c r="H101" s="11" t="s">
        <v>16444</v>
      </c>
      <c r="I101" s="11" t="s">
        <v>16445</v>
      </c>
      <c r="J101" s="11" t="s">
        <v>3</v>
      </c>
      <c r="K101" s="404">
        <v>117789.6</v>
      </c>
      <c r="L101" s="14">
        <v>1</v>
      </c>
      <c r="M101" s="405">
        <v>117789.6</v>
      </c>
      <c r="N101" s="11" t="s">
        <v>20155</v>
      </c>
      <c r="O101" s="11" t="s">
        <v>17693</v>
      </c>
      <c r="P101" s="872">
        <v>43591</v>
      </c>
      <c r="Q101" s="406">
        <v>28440</v>
      </c>
      <c r="R101" s="406">
        <v>53400</v>
      </c>
      <c r="S101" s="406">
        <v>0</v>
      </c>
      <c r="T101" s="406">
        <v>0</v>
      </c>
      <c r="U101" s="406">
        <v>81840</v>
      </c>
      <c r="V101" s="11" t="s">
        <v>20155</v>
      </c>
      <c r="W101" s="407">
        <v>41427.599999999999</v>
      </c>
      <c r="X101" s="407">
        <v>76362</v>
      </c>
      <c r="Y101" s="407">
        <v>0</v>
      </c>
      <c r="Z101" s="407">
        <v>0</v>
      </c>
      <c r="AA101" s="408">
        <v>1.4566666666666666</v>
      </c>
      <c r="AB101" s="408">
        <v>1.43</v>
      </c>
      <c r="AC101" s="408"/>
      <c r="AD101" s="408"/>
      <c r="AE101" s="409"/>
      <c r="AF101" s="410">
        <v>0</v>
      </c>
      <c r="AG101" s="410">
        <v>0</v>
      </c>
      <c r="AH101" s="411">
        <v>1.4566666666666666</v>
      </c>
      <c r="AI101" s="412">
        <v>1.43</v>
      </c>
      <c r="AJ101" s="411"/>
      <c r="AK101" s="411"/>
      <c r="AL101" s="18"/>
      <c r="AM101" s="49"/>
      <c r="AN101" s="2"/>
      <c r="AO101" s="2"/>
    </row>
    <row r="102" spans="1:41" ht="18.600000000000001" hidden="1" customHeight="1">
      <c r="A102" s="14">
        <v>100</v>
      </c>
      <c r="B102" s="11" t="s">
        <v>112</v>
      </c>
      <c r="C102" s="14">
        <v>0</v>
      </c>
      <c r="D102" s="11" t="s">
        <v>17594</v>
      </c>
      <c r="E102" s="11" t="s">
        <v>112</v>
      </c>
      <c r="F102" s="12">
        <v>43588</v>
      </c>
      <c r="G102" s="11">
        <v>2019</v>
      </c>
      <c r="H102" s="11" t="s">
        <v>16384</v>
      </c>
      <c r="I102" s="11" t="s">
        <v>16385</v>
      </c>
      <c r="J102" s="11" t="s">
        <v>3</v>
      </c>
      <c r="K102" s="404">
        <v>94711.2</v>
      </c>
      <c r="L102" s="14">
        <v>1</v>
      </c>
      <c r="M102" s="405">
        <v>94711.2</v>
      </c>
      <c r="N102" s="11" t="s">
        <v>20155</v>
      </c>
      <c r="O102" s="11" t="s">
        <v>17949</v>
      </c>
      <c r="P102" s="872">
        <v>43642</v>
      </c>
      <c r="Q102" s="406">
        <v>44016</v>
      </c>
      <c r="R102" s="406">
        <v>21600</v>
      </c>
      <c r="S102" s="406">
        <v>0</v>
      </c>
      <c r="T102" s="406">
        <v>0</v>
      </c>
      <c r="U102" s="406">
        <v>65616</v>
      </c>
      <c r="V102" s="11" t="s">
        <v>20155</v>
      </c>
      <c r="W102" s="407">
        <v>63823.199999999997</v>
      </c>
      <c r="X102" s="407">
        <v>30888</v>
      </c>
      <c r="Y102" s="407">
        <v>0</v>
      </c>
      <c r="Z102" s="407">
        <v>0</v>
      </c>
      <c r="AA102" s="408">
        <v>1.4500000000000002</v>
      </c>
      <c r="AB102" s="408">
        <v>1.43</v>
      </c>
      <c r="AC102" s="408"/>
      <c r="AD102" s="408"/>
      <c r="AE102" s="409"/>
      <c r="AF102" s="410">
        <v>0</v>
      </c>
      <c r="AG102" s="410">
        <v>0</v>
      </c>
      <c r="AH102" s="411">
        <v>1.4500000000000002</v>
      </c>
      <c r="AI102" s="412">
        <v>1.43</v>
      </c>
      <c r="AJ102" s="411"/>
      <c r="AK102" s="411"/>
      <c r="AL102" s="18"/>
      <c r="AM102" s="49"/>
      <c r="AN102" s="2"/>
      <c r="AO102" s="2"/>
    </row>
    <row r="103" spans="1:41" ht="18.600000000000001" hidden="1" customHeight="1">
      <c r="A103" s="14">
        <v>101</v>
      </c>
      <c r="B103" s="11" t="s">
        <v>113</v>
      </c>
      <c r="C103" s="14">
        <v>0</v>
      </c>
      <c r="D103" s="11" t="s">
        <v>17596</v>
      </c>
      <c r="E103" s="11" t="s">
        <v>113</v>
      </c>
      <c r="F103" s="12">
        <v>43588</v>
      </c>
      <c r="G103" s="11">
        <v>2019</v>
      </c>
      <c r="H103" s="11" t="s">
        <v>16384</v>
      </c>
      <c r="I103" s="11" t="s">
        <v>16385</v>
      </c>
      <c r="J103" s="11" t="s">
        <v>3</v>
      </c>
      <c r="K103" s="404">
        <v>38360</v>
      </c>
      <c r="L103" s="14">
        <v>1</v>
      </c>
      <c r="M103" s="405">
        <v>38360</v>
      </c>
      <c r="N103" s="11" t="s">
        <v>20155</v>
      </c>
      <c r="O103" s="11" t="s">
        <v>20173</v>
      </c>
      <c r="P103" s="872">
        <v>43613</v>
      </c>
      <c r="Q103" s="406">
        <v>0</v>
      </c>
      <c r="R103" s="406">
        <v>0</v>
      </c>
      <c r="S103" s="406">
        <v>28000</v>
      </c>
      <c r="T103" s="406">
        <v>0</v>
      </c>
      <c r="U103" s="406">
        <v>28000</v>
      </c>
      <c r="V103" s="11" t="s">
        <v>20155</v>
      </c>
      <c r="W103" s="407">
        <v>0</v>
      </c>
      <c r="X103" s="407">
        <v>0</v>
      </c>
      <c r="Y103" s="407">
        <v>38360</v>
      </c>
      <c r="Z103" s="407">
        <v>0</v>
      </c>
      <c r="AA103" s="408"/>
      <c r="AB103" s="408"/>
      <c r="AC103" s="408">
        <v>1.37</v>
      </c>
      <c r="AD103" s="408"/>
      <c r="AE103" s="409"/>
      <c r="AF103" s="410">
        <v>0</v>
      </c>
      <c r="AG103" s="410">
        <v>0</v>
      </c>
      <c r="AH103" s="411"/>
      <c r="AI103" s="412"/>
      <c r="AJ103" s="411">
        <v>1.37</v>
      </c>
      <c r="AK103" s="411"/>
      <c r="AL103" s="18"/>
      <c r="AM103" s="49"/>
      <c r="AN103" s="2"/>
      <c r="AO103" s="2"/>
    </row>
    <row r="104" spans="1:41" ht="18.600000000000001" hidden="1" customHeight="1">
      <c r="A104" s="14">
        <v>102</v>
      </c>
      <c r="B104" s="11" t="s">
        <v>114</v>
      </c>
      <c r="C104" s="14">
        <v>0</v>
      </c>
      <c r="D104" s="11" t="s">
        <v>17598</v>
      </c>
      <c r="E104" s="11" t="s">
        <v>114</v>
      </c>
      <c r="F104" s="12">
        <v>43588</v>
      </c>
      <c r="G104" s="11">
        <v>2019</v>
      </c>
      <c r="H104" s="11" t="s">
        <v>16492</v>
      </c>
      <c r="I104" s="11" t="s">
        <v>16493</v>
      </c>
      <c r="J104" s="11" t="s">
        <v>16401</v>
      </c>
      <c r="K104" s="404">
        <v>51758.883000000002</v>
      </c>
      <c r="L104" s="404">
        <v>2.9808500000000002</v>
      </c>
      <c r="M104" s="405">
        <v>17363.799922840801</v>
      </c>
      <c r="N104" s="11" t="s">
        <v>20155</v>
      </c>
      <c r="O104" s="11" t="s">
        <v>20174</v>
      </c>
      <c r="P104" s="872">
        <v>43598</v>
      </c>
      <c r="Q104" s="406">
        <v>1200</v>
      </c>
      <c r="R104" s="406">
        <v>13660</v>
      </c>
      <c r="S104" s="406">
        <v>12170</v>
      </c>
      <c r="T104" s="406">
        <v>900</v>
      </c>
      <c r="U104" s="406">
        <v>27930</v>
      </c>
      <c r="V104" s="11" t="s">
        <v>20155</v>
      </c>
      <c r="W104" s="407">
        <v>1860.0504000000001</v>
      </c>
      <c r="X104" s="407">
        <v>20359.2055</v>
      </c>
      <c r="Y104" s="407">
        <v>18682.6264175</v>
      </c>
      <c r="Z104" s="407">
        <v>3120.9499500000002</v>
      </c>
      <c r="AA104" s="408">
        <v>1.5500420000000001</v>
      </c>
      <c r="AB104" s="408">
        <v>1.4904250000000001</v>
      </c>
      <c r="AC104" s="408">
        <v>1.5351377500000001</v>
      </c>
      <c r="AD104" s="408">
        <v>3.4677221666666669</v>
      </c>
      <c r="AE104" s="409"/>
      <c r="AF104" s="410">
        <v>8951.66</v>
      </c>
      <c r="AG104" s="410">
        <v>0.32050340136054423</v>
      </c>
      <c r="AH104" s="411">
        <v>1.229538598639456</v>
      </c>
      <c r="AI104" s="412">
        <v>1.1699215986394558</v>
      </c>
      <c r="AJ104" s="411">
        <v>1.2146343486394557</v>
      </c>
      <c r="AK104" s="411">
        <v>3.1472187653061225</v>
      </c>
      <c r="AL104" s="18"/>
      <c r="AM104" s="49"/>
      <c r="AN104" s="2"/>
      <c r="AO104" s="2"/>
    </row>
    <row r="105" spans="1:41" ht="18.600000000000001" hidden="1" customHeight="1">
      <c r="A105" s="14">
        <v>103</v>
      </c>
      <c r="B105" s="11" t="s">
        <v>115</v>
      </c>
      <c r="C105" s="14">
        <v>0</v>
      </c>
      <c r="D105" s="11" t="s">
        <v>17601</v>
      </c>
      <c r="E105" s="11" t="s">
        <v>115</v>
      </c>
      <c r="F105" s="12">
        <v>43589</v>
      </c>
      <c r="G105" s="11">
        <v>2019</v>
      </c>
      <c r="H105" s="11" t="s">
        <v>17017</v>
      </c>
      <c r="I105" s="11" t="s">
        <v>17018</v>
      </c>
      <c r="J105" s="11" t="s">
        <v>3</v>
      </c>
      <c r="K105" s="404">
        <v>59254.656000000003</v>
      </c>
      <c r="L105" s="14">
        <v>1</v>
      </c>
      <c r="M105" s="405">
        <v>59254.656000000003</v>
      </c>
      <c r="N105" s="11" t="s">
        <v>20155</v>
      </c>
      <c r="O105" s="11" t="s">
        <v>20175</v>
      </c>
      <c r="P105" s="872">
        <v>43595</v>
      </c>
      <c r="Q105" s="406">
        <v>0</v>
      </c>
      <c r="R105" s="406">
        <v>11289.599999999999</v>
      </c>
      <c r="S105" s="406">
        <v>24000</v>
      </c>
      <c r="T105" s="406">
        <v>1632</v>
      </c>
      <c r="U105" s="406">
        <v>36921.599999999999</v>
      </c>
      <c r="V105" s="11" t="s">
        <v>20155</v>
      </c>
      <c r="W105" s="407">
        <v>0</v>
      </c>
      <c r="X105" s="407">
        <v>20134.656000000003</v>
      </c>
      <c r="Y105" s="407">
        <v>37440</v>
      </c>
      <c r="Z105" s="407">
        <v>1680</v>
      </c>
      <c r="AA105" s="408"/>
      <c r="AB105" s="408">
        <v>1.7834693877551024</v>
      </c>
      <c r="AC105" s="408">
        <v>1.56</v>
      </c>
      <c r="AD105" s="408">
        <v>1.0294117647058822</v>
      </c>
      <c r="AE105" s="409"/>
      <c r="AF105" s="410">
        <v>0</v>
      </c>
      <c r="AG105" s="410">
        <v>0</v>
      </c>
      <c r="AH105" s="411"/>
      <c r="AI105" s="412">
        <v>1.7834693877551024</v>
      </c>
      <c r="AJ105" s="411">
        <v>1.56</v>
      </c>
      <c r="AK105" s="411">
        <v>1.0294117647058822</v>
      </c>
      <c r="AL105" s="18"/>
      <c r="AM105" s="49"/>
      <c r="AN105" s="2"/>
      <c r="AO105" s="2"/>
    </row>
    <row r="106" spans="1:41" ht="18.600000000000001" hidden="1" customHeight="1">
      <c r="A106" s="14">
        <v>104</v>
      </c>
      <c r="B106" s="11" t="s">
        <v>116</v>
      </c>
      <c r="C106" s="14">
        <v>0</v>
      </c>
      <c r="D106" s="11" t="s">
        <v>17603</v>
      </c>
      <c r="E106" s="11" t="s">
        <v>116</v>
      </c>
      <c r="F106" s="12">
        <v>43589</v>
      </c>
      <c r="G106" s="11">
        <v>2019</v>
      </c>
      <c r="H106" s="11" t="s">
        <v>16444</v>
      </c>
      <c r="I106" s="11" t="s">
        <v>16445</v>
      </c>
      <c r="J106" s="11" t="s">
        <v>3</v>
      </c>
      <c r="K106" s="404">
        <v>31752</v>
      </c>
      <c r="L106" s="14">
        <v>1</v>
      </c>
      <c r="M106" s="405">
        <v>31752</v>
      </c>
      <c r="N106" s="11" t="s">
        <v>20155</v>
      </c>
      <c r="O106" s="11" t="s">
        <v>17693</v>
      </c>
      <c r="P106" s="872">
        <v>43605</v>
      </c>
      <c r="Q106" s="406">
        <v>21600</v>
      </c>
      <c r="R106" s="406">
        <v>0</v>
      </c>
      <c r="S106" s="406">
        <v>0</v>
      </c>
      <c r="T106" s="406">
        <v>0</v>
      </c>
      <c r="U106" s="406">
        <v>21600</v>
      </c>
      <c r="V106" s="11" t="s">
        <v>20155</v>
      </c>
      <c r="W106" s="407">
        <v>31752</v>
      </c>
      <c r="X106" s="407">
        <v>0</v>
      </c>
      <c r="Y106" s="407">
        <v>0</v>
      </c>
      <c r="Z106" s="407">
        <v>0</v>
      </c>
      <c r="AA106" s="408">
        <v>1.47</v>
      </c>
      <c r="AB106" s="408"/>
      <c r="AC106" s="408"/>
      <c r="AD106" s="408"/>
      <c r="AE106" s="409"/>
      <c r="AF106" s="410">
        <v>0</v>
      </c>
      <c r="AG106" s="410">
        <v>0</v>
      </c>
      <c r="AH106" s="411">
        <v>1.47</v>
      </c>
      <c r="AI106" s="412"/>
      <c r="AJ106" s="411"/>
      <c r="AK106" s="411"/>
      <c r="AL106" s="18"/>
      <c r="AM106" s="49"/>
      <c r="AN106" s="2"/>
      <c r="AO106" s="2"/>
    </row>
    <row r="107" spans="1:41" ht="18.600000000000001" hidden="1" customHeight="1">
      <c r="A107" s="14">
        <v>105</v>
      </c>
      <c r="B107" s="11" t="s">
        <v>117</v>
      </c>
      <c r="C107" s="14">
        <v>0</v>
      </c>
      <c r="D107" s="11" t="s">
        <v>17605</v>
      </c>
      <c r="E107" s="11" t="s">
        <v>117</v>
      </c>
      <c r="F107" s="12">
        <v>43589</v>
      </c>
      <c r="G107" s="11">
        <v>2019</v>
      </c>
      <c r="H107" s="11" t="s">
        <v>17185</v>
      </c>
      <c r="I107" s="11" t="s">
        <v>17186</v>
      </c>
      <c r="J107" s="11" t="s">
        <v>3</v>
      </c>
      <c r="K107" s="404">
        <v>149040</v>
      </c>
      <c r="L107" s="14">
        <v>1</v>
      </c>
      <c r="M107" s="405">
        <v>149040</v>
      </c>
      <c r="N107" s="11" t="s">
        <v>20155</v>
      </c>
      <c r="O107" s="11" t="s">
        <v>18248</v>
      </c>
      <c r="P107" s="872">
        <v>43598</v>
      </c>
      <c r="Q107" s="406">
        <v>0</v>
      </c>
      <c r="R107" s="406">
        <v>0</v>
      </c>
      <c r="S107" s="406">
        <v>110400</v>
      </c>
      <c r="T107" s="406">
        <v>0</v>
      </c>
      <c r="U107" s="406">
        <v>110400</v>
      </c>
      <c r="V107" s="11" t="s">
        <v>20155</v>
      </c>
      <c r="W107" s="407">
        <v>0</v>
      </c>
      <c r="X107" s="407">
        <v>0</v>
      </c>
      <c r="Y107" s="407">
        <v>149040</v>
      </c>
      <c r="Z107" s="407">
        <v>0</v>
      </c>
      <c r="AA107" s="408"/>
      <c r="AB107" s="408"/>
      <c r="AC107" s="408">
        <v>1.35</v>
      </c>
      <c r="AD107" s="408"/>
      <c r="AE107" s="409"/>
      <c r="AF107" s="410">
        <v>0</v>
      </c>
      <c r="AG107" s="410">
        <v>0</v>
      </c>
      <c r="AH107" s="411"/>
      <c r="AI107" s="412"/>
      <c r="AJ107" s="411">
        <v>1.35</v>
      </c>
      <c r="AK107" s="411"/>
      <c r="AL107" s="18"/>
      <c r="AM107" s="49"/>
      <c r="AN107" s="2"/>
      <c r="AO107" s="2"/>
    </row>
    <row r="108" spans="1:41" ht="18.600000000000001" hidden="1" customHeight="1">
      <c r="A108" s="14">
        <v>106</v>
      </c>
      <c r="B108" s="11" t="s">
        <v>118</v>
      </c>
      <c r="C108" s="14">
        <v>0</v>
      </c>
      <c r="D108" s="11" t="s">
        <v>17607</v>
      </c>
      <c r="E108" s="11" t="s">
        <v>118</v>
      </c>
      <c r="F108" s="12">
        <v>43589</v>
      </c>
      <c r="G108" s="11">
        <v>2019</v>
      </c>
      <c r="H108" s="11" t="s">
        <v>16957</v>
      </c>
      <c r="I108" s="11" t="s">
        <v>16958</v>
      </c>
      <c r="J108" s="11" t="s">
        <v>16401</v>
      </c>
      <c r="K108" s="404">
        <v>41174.370000000003</v>
      </c>
      <c r="L108" s="11">
        <v>2.9836499999999999</v>
      </c>
      <c r="M108" s="405">
        <v>13800.000000000002</v>
      </c>
      <c r="N108" s="11" t="s">
        <v>20155</v>
      </c>
      <c r="O108" s="11" t="s">
        <v>20161</v>
      </c>
      <c r="P108" s="872">
        <v>43619</v>
      </c>
      <c r="Q108" s="406">
        <v>20000</v>
      </c>
      <c r="R108" s="406">
        <v>0</v>
      </c>
      <c r="S108" s="406">
        <v>0</v>
      </c>
      <c r="T108" s="406">
        <v>0</v>
      </c>
      <c r="U108" s="406">
        <v>20000</v>
      </c>
      <c r="V108" s="11" t="s">
        <v>20155</v>
      </c>
      <c r="W108" s="407">
        <v>41174.370000000003</v>
      </c>
      <c r="X108" s="407">
        <v>0</v>
      </c>
      <c r="Y108" s="407">
        <v>0</v>
      </c>
      <c r="Z108" s="407">
        <v>0</v>
      </c>
      <c r="AA108" s="408">
        <v>2.0587185000000003</v>
      </c>
      <c r="AB108" s="408"/>
      <c r="AC108" s="408"/>
      <c r="AD108" s="408"/>
      <c r="AE108" s="409"/>
      <c r="AF108" s="410">
        <v>4538.0550000000003</v>
      </c>
      <c r="AG108" s="410">
        <v>0.22690275000000001</v>
      </c>
      <c r="AH108" s="411">
        <v>1.8318157500000003</v>
      </c>
      <c r="AI108" s="412"/>
      <c r="AJ108" s="411"/>
      <c r="AK108" s="411"/>
      <c r="AL108" s="18"/>
      <c r="AM108" s="49"/>
      <c r="AN108" s="2"/>
      <c r="AO108" s="2"/>
    </row>
    <row r="109" spans="1:41" ht="18.600000000000001" hidden="1" customHeight="1">
      <c r="A109" s="14">
        <v>107</v>
      </c>
      <c r="B109" s="11" t="s">
        <v>119</v>
      </c>
      <c r="C109" s="14">
        <v>0</v>
      </c>
      <c r="D109" s="11" t="s">
        <v>17609</v>
      </c>
      <c r="E109" s="11" t="s">
        <v>119</v>
      </c>
      <c r="F109" s="12">
        <v>43593</v>
      </c>
      <c r="G109" s="11">
        <v>2019</v>
      </c>
      <c r="H109" s="11" t="s">
        <v>16643</v>
      </c>
      <c r="I109" s="11" t="s">
        <v>16644</v>
      </c>
      <c r="J109" s="11" t="s">
        <v>16482</v>
      </c>
      <c r="K109" s="404">
        <v>113418.731</v>
      </c>
      <c r="L109" s="11">
        <v>3.3412500000000001</v>
      </c>
      <c r="M109" s="405">
        <v>33944.999925177704</v>
      </c>
      <c r="N109" s="11" t="s">
        <v>20155</v>
      </c>
      <c r="O109" s="11" t="s">
        <v>20159</v>
      </c>
      <c r="P109" s="872">
        <v>43603</v>
      </c>
      <c r="Q109" s="406">
        <v>0</v>
      </c>
      <c r="R109" s="406">
        <v>63000</v>
      </c>
      <c r="S109" s="406">
        <v>0</v>
      </c>
      <c r="T109" s="406">
        <v>0</v>
      </c>
      <c r="U109" s="406">
        <v>63000</v>
      </c>
      <c r="V109" s="11" t="s">
        <v>20155</v>
      </c>
      <c r="W109" s="407">
        <v>0</v>
      </c>
      <c r="X109" s="407">
        <v>87356.981249999997</v>
      </c>
      <c r="Y109" s="407">
        <v>0</v>
      </c>
      <c r="Z109" s="407">
        <v>0</v>
      </c>
      <c r="AA109" s="408"/>
      <c r="AB109" s="408">
        <v>1.38661875</v>
      </c>
      <c r="AC109" s="408"/>
      <c r="AD109" s="408"/>
      <c r="AE109" s="409"/>
      <c r="AF109" s="410">
        <v>30060.525000000001</v>
      </c>
      <c r="AG109" s="410">
        <v>0.47715119047619048</v>
      </c>
      <c r="AH109" s="411"/>
      <c r="AI109" s="412">
        <v>0.90946755952380953</v>
      </c>
      <c r="AJ109" s="411"/>
      <c r="AK109" s="411"/>
      <c r="AL109" s="18"/>
      <c r="AM109" s="49"/>
      <c r="AN109" s="2"/>
      <c r="AO109" s="2"/>
    </row>
    <row r="110" spans="1:41" ht="18.600000000000001" hidden="1" customHeight="1">
      <c r="A110" s="14">
        <v>108</v>
      </c>
      <c r="B110" s="11" t="s">
        <v>120</v>
      </c>
      <c r="C110" s="14">
        <v>0</v>
      </c>
      <c r="D110" s="11" t="s">
        <v>17610</v>
      </c>
      <c r="E110" s="11" t="s">
        <v>120</v>
      </c>
      <c r="F110" s="12">
        <v>43593</v>
      </c>
      <c r="G110" s="11">
        <v>2019</v>
      </c>
      <c r="H110" s="11" t="s">
        <v>16904</v>
      </c>
      <c r="I110" s="11" t="s">
        <v>16905</v>
      </c>
      <c r="J110" s="11" t="s">
        <v>16482</v>
      </c>
      <c r="K110" s="404">
        <v>47506.108</v>
      </c>
      <c r="L110" s="11">
        <v>3.3424499999999999</v>
      </c>
      <c r="M110" s="405">
        <v>14212.959954524376</v>
      </c>
      <c r="N110" s="11" t="s">
        <v>20155</v>
      </c>
      <c r="O110" s="11" t="s">
        <v>20160</v>
      </c>
      <c r="P110" s="872">
        <v>43608</v>
      </c>
      <c r="Q110" s="406">
        <v>0</v>
      </c>
      <c r="R110" s="406">
        <v>15984</v>
      </c>
      <c r="S110" s="406">
        <v>10800</v>
      </c>
      <c r="T110" s="406">
        <v>0</v>
      </c>
      <c r="U110" s="406">
        <v>26784</v>
      </c>
      <c r="V110" s="11" t="s">
        <v>20155</v>
      </c>
      <c r="W110" s="407">
        <v>0</v>
      </c>
      <c r="X110" s="407">
        <v>23507.317152</v>
      </c>
      <c r="Y110" s="407">
        <v>15642.666000000001</v>
      </c>
      <c r="Z110" s="407">
        <v>0</v>
      </c>
      <c r="AA110" s="408"/>
      <c r="AB110" s="408">
        <v>1.4706779999999999</v>
      </c>
      <c r="AC110" s="408">
        <v>1.4483950000000001</v>
      </c>
      <c r="AD110" s="408"/>
      <c r="AE110" s="409"/>
      <c r="AF110" s="410">
        <v>10447.904</v>
      </c>
      <c r="AG110" s="410">
        <v>0.39008004778972521</v>
      </c>
      <c r="AH110" s="411"/>
      <c r="AI110" s="412">
        <v>1.0805979522102747</v>
      </c>
      <c r="AJ110" s="411">
        <v>1.0583149522102748</v>
      </c>
      <c r="AK110" s="411"/>
      <c r="AL110" s="18"/>
      <c r="AM110" s="49"/>
      <c r="AN110" s="2"/>
      <c r="AO110" s="2"/>
    </row>
    <row r="111" spans="1:41" ht="18.600000000000001" hidden="1" customHeight="1">
      <c r="A111" s="14">
        <v>109</v>
      </c>
      <c r="B111" s="11" t="s">
        <v>121</v>
      </c>
      <c r="C111" s="14">
        <v>0</v>
      </c>
      <c r="D111" s="11" t="s">
        <v>17612</v>
      </c>
      <c r="E111" s="11" t="s">
        <v>121</v>
      </c>
      <c r="F111" s="12">
        <v>43594</v>
      </c>
      <c r="G111" s="11">
        <v>2019</v>
      </c>
      <c r="H111" s="11" t="s">
        <v>16779</v>
      </c>
      <c r="I111" s="11" t="s">
        <v>16780</v>
      </c>
      <c r="J111" s="11" t="s">
        <v>16482</v>
      </c>
      <c r="K111" s="404">
        <v>35151.201999999997</v>
      </c>
      <c r="L111" s="11">
        <v>3.3473000000000002</v>
      </c>
      <c r="M111" s="405">
        <v>10501.359902010574</v>
      </c>
      <c r="N111" s="11" t="s">
        <v>20155</v>
      </c>
      <c r="O111" s="11" t="s">
        <v>16394</v>
      </c>
      <c r="P111" s="872">
        <v>43598</v>
      </c>
      <c r="Q111" s="406">
        <v>0</v>
      </c>
      <c r="R111" s="406">
        <v>14280</v>
      </c>
      <c r="S111" s="406">
        <v>2400</v>
      </c>
      <c r="T111" s="406">
        <v>1460</v>
      </c>
      <c r="U111" s="406">
        <v>18140</v>
      </c>
      <c r="V111" s="11" t="s">
        <v>20155</v>
      </c>
      <c r="W111" s="407">
        <v>0</v>
      </c>
      <c r="X111" s="407">
        <v>26164.371287999995</v>
      </c>
      <c r="Y111" s="407">
        <v>4032.8270399999997</v>
      </c>
      <c r="Z111" s="407">
        <v>2108.799</v>
      </c>
      <c r="AA111" s="408"/>
      <c r="AB111" s="408">
        <v>1.8322388857142853</v>
      </c>
      <c r="AC111" s="408">
        <v>1.6803446</v>
      </c>
      <c r="AD111" s="408">
        <v>1.4443828767123288</v>
      </c>
      <c r="AE111" s="409"/>
      <c r="AF111" s="410">
        <v>3925.29</v>
      </c>
      <c r="AG111" s="410">
        <v>0.21638864388092613</v>
      </c>
      <c r="AH111" s="411"/>
      <c r="AI111" s="412">
        <v>1.6158502418333591</v>
      </c>
      <c r="AJ111" s="411">
        <v>1.4639559561190738</v>
      </c>
      <c r="AK111" s="411">
        <v>1.2279942328314026</v>
      </c>
      <c r="AL111" s="18"/>
      <c r="AM111" s="49"/>
      <c r="AN111" s="2"/>
      <c r="AO111" s="2"/>
    </row>
    <row r="112" spans="1:41" ht="18.600000000000001" hidden="1" customHeight="1">
      <c r="A112" s="14">
        <v>110</v>
      </c>
      <c r="B112" s="11" t="s">
        <v>122</v>
      </c>
      <c r="C112" s="14">
        <v>0</v>
      </c>
      <c r="D112" s="11" t="s">
        <v>17615</v>
      </c>
      <c r="E112" s="11" t="s">
        <v>122</v>
      </c>
      <c r="F112" s="12">
        <v>43594</v>
      </c>
      <c r="G112" s="11">
        <v>2019</v>
      </c>
      <c r="H112" s="11" t="s">
        <v>16470</v>
      </c>
      <c r="I112" s="11" t="s">
        <v>16471</v>
      </c>
      <c r="J112" s="11" t="s">
        <v>16401</v>
      </c>
      <c r="K112" s="404">
        <v>430252.929</v>
      </c>
      <c r="L112" s="11">
        <v>2.9799500000000001</v>
      </c>
      <c r="M112" s="405">
        <v>144382.6000436249</v>
      </c>
      <c r="N112" s="11" t="s">
        <v>20155</v>
      </c>
      <c r="O112" s="11" t="s">
        <v>20159</v>
      </c>
      <c r="P112" s="872">
        <v>43606</v>
      </c>
      <c r="Q112" s="406">
        <v>42000</v>
      </c>
      <c r="R112" s="406">
        <v>208320</v>
      </c>
      <c r="S112" s="406">
        <v>0</v>
      </c>
      <c r="T112" s="406">
        <v>0</v>
      </c>
      <c r="U112" s="406">
        <v>250320</v>
      </c>
      <c r="V112" s="11" t="s">
        <v>20155</v>
      </c>
      <c r="W112" s="407">
        <v>63741.13049999997</v>
      </c>
      <c r="X112" s="407">
        <v>287096.13086999999</v>
      </c>
      <c r="Y112" s="407">
        <v>0</v>
      </c>
      <c r="Z112" s="407">
        <v>0</v>
      </c>
      <c r="AA112" s="408">
        <v>1.5176459642857136</v>
      </c>
      <c r="AB112" s="408">
        <v>1.3781496297523042</v>
      </c>
      <c r="AC112" s="408"/>
      <c r="AD112" s="408"/>
      <c r="AE112" s="409"/>
      <c r="AF112" s="410">
        <v>89467.774999999994</v>
      </c>
      <c r="AG112" s="410">
        <v>0.35741361057845955</v>
      </c>
      <c r="AH112" s="411">
        <v>1.1602323537072541</v>
      </c>
      <c r="AI112" s="412">
        <v>1.0207360191738446</v>
      </c>
      <c r="AJ112" s="411"/>
      <c r="AK112" s="411"/>
      <c r="AL112" s="18"/>
      <c r="AM112" s="49"/>
      <c r="AN112" s="2"/>
      <c r="AO112" s="2"/>
    </row>
    <row r="113" spans="1:41" ht="18.600000000000001" hidden="1" customHeight="1">
      <c r="A113" s="14">
        <v>111</v>
      </c>
      <c r="B113" s="11" t="s">
        <v>123</v>
      </c>
      <c r="C113" s="14">
        <v>0</v>
      </c>
      <c r="D113" s="11" t="s">
        <v>17616</v>
      </c>
      <c r="E113" s="11" t="s">
        <v>123</v>
      </c>
      <c r="F113" s="12">
        <v>43596</v>
      </c>
      <c r="G113" s="11">
        <v>2019</v>
      </c>
      <c r="H113" s="11" t="s">
        <v>16838</v>
      </c>
      <c r="I113" s="11" t="s">
        <v>16839</v>
      </c>
      <c r="J113" s="11" t="s">
        <v>3</v>
      </c>
      <c r="K113" s="404">
        <v>236365.92</v>
      </c>
      <c r="L113" s="14">
        <v>1</v>
      </c>
      <c r="M113" s="405">
        <v>236365.92</v>
      </c>
      <c r="N113" s="11" t="s">
        <v>20155</v>
      </c>
      <c r="O113" s="11" t="s">
        <v>17798</v>
      </c>
      <c r="P113" s="872">
        <v>43602</v>
      </c>
      <c r="Q113" s="406">
        <v>0</v>
      </c>
      <c r="R113" s="406">
        <v>176064</v>
      </c>
      <c r="S113" s="406">
        <v>0</v>
      </c>
      <c r="T113" s="406">
        <v>0</v>
      </c>
      <c r="U113" s="406">
        <v>176064</v>
      </c>
      <c r="V113" s="11" t="s">
        <v>20155</v>
      </c>
      <c r="W113" s="407">
        <v>0</v>
      </c>
      <c r="X113" s="407">
        <v>236365.92</v>
      </c>
      <c r="Y113" s="407">
        <v>0</v>
      </c>
      <c r="Z113" s="407">
        <v>0</v>
      </c>
      <c r="AA113" s="408"/>
      <c r="AB113" s="408">
        <v>1.3425</v>
      </c>
      <c r="AC113" s="408"/>
      <c r="AD113" s="408"/>
      <c r="AE113" s="409"/>
      <c r="AF113" s="410">
        <v>0</v>
      </c>
      <c r="AG113" s="410">
        <v>0</v>
      </c>
      <c r="AH113" s="411"/>
      <c r="AI113" s="412">
        <v>1.3425</v>
      </c>
      <c r="AJ113" s="411"/>
      <c r="AK113" s="411"/>
      <c r="AL113" s="18"/>
      <c r="AM113" s="49"/>
      <c r="AN113" s="2"/>
      <c r="AO113" s="2"/>
    </row>
    <row r="114" spans="1:41" ht="18.600000000000001" hidden="1" customHeight="1">
      <c r="A114" s="14">
        <v>112</v>
      </c>
      <c r="B114" s="11" t="s">
        <v>124</v>
      </c>
      <c r="C114" s="14">
        <v>0</v>
      </c>
      <c r="D114" s="11" t="s">
        <v>17618</v>
      </c>
      <c r="E114" s="11" t="s">
        <v>124</v>
      </c>
      <c r="F114" s="12">
        <v>43600</v>
      </c>
      <c r="G114" s="11">
        <v>2019</v>
      </c>
      <c r="H114" s="11" t="s">
        <v>16384</v>
      </c>
      <c r="I114" s="11" t="s">
        <v>16385</v>
      </c>
      <c r="J114" s="11" t="s">
        <v>3</v>
      </c>
      <c r="K114" s="404">
        <v>722400</v>
      </c>
      <c r="L114" s="14">
        <v>1</v>
      </c>
      <c r="M114" s="405">
        <v>722400</v>
      </c>
      <c r="N114" s="11" t="s">
        <v>20155</v>
      </c>
      <c r="O114" s="11" t="s">
        <v>17801</v>
      </c>
      <c r="P114" s="872">
        <v>43612</v>
      </c>
      <c r="Q114" s="406">
        <v>0</v>
      </c>
      <c r="R114" s="406">
        <v>0</v>
      </c>
      <c r="S114" s="406">
        <v>560000</v>
      </c>
      <c r="T114" s="406">
        <v>0</v>
      </c>
      <c r="U114" s="406">
        <v>560000</v>
      </c>
      <c r="V114" s="11" t="s">
        <v>20155</v>
      </c>
      <c r="W114" s="407">
        <v>0</v>
      </c>
      <c r="X114" s="407">
        <v>0</v>
      </c>
      <c r="Y114" s="407">
        <v>722400</v>
      </c>
      <c r="Z114" s="407">
        <v>0</v>
      </c>
      <c r="AA114" s="408"/>
      <c r="AB114" s="408"/>
      <c r="AC114" s="408">
        <v>1.29</v>
      </c>
      <c r="AD114" s="408"/>
      <c r="AE114" s="409"/>
      <c r="AF114" s="410">
        <v>0</v>
      </c>
      <c r="AG114" s="410">
        <v>0</v>
      </c>
      <c r="AH114" s="411"/>
      <c r="AI114" s="412"/>
      <c r="AJ114" s="411">
        <v>1.29</v>
      </c>
      <c r="AK114" s="411"/>
      <c r="AL114" s="18"/>
      <c r="AM114" s="49"/>
      <c r="AN114" s="2"/>
      <c r="AO114" s="2"/>
    </row>
    <row r="115" spans="1:41" ht="18.600000000000001" hidden="1" customHeight="1">
      <c r="A115" s="14">
        <v>113</v>
      </c>
      <c r="B115" s="11" t="s">
        <v>125</v>
      </c>
      <c r="C115" s="14">
        <v>0</v>
      </c>
      <c r="D115" s="11" t="s">
        <v>17620</v>
      </c>
      <c r="E115" s="11" t="s">
        <v>125</v>
      </c>
      <c r="F115" s="12">
        <v>43605</v>
      </c>
      <c r="G115" s="11">
        <v>2019</v>
      </c>
      <c r="H115" s="11" t="s">
        <v>17017</v>
      </c>
      <c r="I115" s="11" t="s">
        <v>17018</v>
      </c>
      <c r="J115" s="11" t="s">
        <v>3</v>
      </c>
      <c r="K115" s="404">
        <v>29600</v>
      </c>
      <c r="L115" s="14">
        <v>1</v>
      </c>
      <c r="M115" s="405">
        <v>29600</v>
      </c>
      <c r="N115" s="11" t="s">
        <v>20155</v>
      </c>
      <c r="O115" s="11" t="s">
        <v>18064</v>
      </c>
      <c r="P115" s="872">
        <v>43615</v>
      </c>
      <c r="Q115" s="406">
        <v>0</v>
      </c>
      <c r="R115" s="406">
        <v>20000</v>
      </c>
      <c r="S115" s="406">
        <v>0</v>
      </c>
      <c r="T115" s="406">
        <v>0</v>
      </c>
      <c r="U115" s="406">
        <v>20000</v>
      </c>
      <c r="V115" s="11" t="s">
        <v>20155</v>
      </c>
      <c r="W115" s="407">
        <v>0</v>
      </c>
      <c r="X115" s="407">
        <v>29600</v>
      </c>
      <c r="Y115" s="407">
        <v>0</v>
      </c>
      <c r="Z115" s="407">
        <v>0</v>
      </c>
      <c r="AA115" s="408"/>
      <c r="AB115" s="408">
        <v>1.48</v>
      </c>
      <c r="AC115" s="408"/>
      <c r="AD115" s="408"/>
      <c r="AE115" s="409"/>
      <c r="AF115" s="410">
        <v>0</v>
      </c>
      <c r="AG115" s="410">
        <v>0</v>
      </c>
      <c r="AH115" s="411"/>
      <c r="AI115" s="412">
        <v>1.48</v>
      </c>
      <c r="AJ115" s="411"/>
      <c r="AK115" s="411"/>
      <c r="AL115" s="18"/>
      <c r="AM115" s="49"/>
      <c r="AN115" s="2"/>
      <c r="AO115" s="2"/>
    </row>
    <row r="116" spans="1:41" ht="18.600000000000001" hidden="1" customHeight="1">
      <c r="A116" s="14">
        <v>114</v>
      </c>
      <c r="B116" s="11" t="s">
        <v>126</v>
      </c>
      <c r="C116" s="14">
        <v>0</v>
      </c>
      <c r="D116" s="11" t="s">
        <v>17621</v>
      </c>
      <c r="E116" s="11" t="s">
        <v>126</v>
      </c>
      <c r="F116" s="12">
        <v>43606</v>
      </c>
      <c r="G116" s="11">
        <v>2019</v>
      </c>
      <c r="H116" s="11" t="s">
        <v>16872</v>
      </c>
      <c r="I116" s="11" t="s">
        <v>16873</v>
      </c>
      <c r="J116" s="11" t="s">
        <v>16401</v>
      </c>
      <c r="K116" s="404">
        <v>28940.233</v>
      </c>
      <c r="L116" s="11">
        <v>2.9881500000000001</v>
      </c>
      <c r="M116" s="405">
        <v>9685.0000836638046</v>
      </c>
      <c r="N116" s="11" t="s">
        <v>20155</v>
      </c>
      <c r="O116" s="11" t="s">
        <v>20169</v>
      </c>
      <c r="P116" s="872">
        <v>43612</v>
      </c>
      <c r="Q116" s="406">
        <v>8000</v>
      </c>
      <c r="R116" s="406">
        <v>2250</v>
      </c>
      <c r="S116" s="406">
        <v>0</v>
      </c>
      <c r="T116" s="406">
        <v>0</v>
      </c>
      <c r="U116" s="406">
        <v>10250</v>
      </c>
      <c r="V116" s="11" t="s">
        <v>20155</v>
      </c>
      <c r="W116" s="407">
        <v>21275.627999999997</v>
      </c>
      <c r="X116" s="407">
        <v>7664.6047499999995</v>
      </c>
      <c r="Y116" s="407">
        <v>0</v>
      </c>
      <c r="Z116" s="407">
        <v>0</v>
      </c>
      <c r="AA116" s="408">
        <v>2.6594534999999997</v>
      </c>
      <c r="AB116" s="408">
        <v>3.4064909999999999</v>
      </c>
      <c r="AC116" s="408"/>
      <c r="AD116" s="408"/>
      <c r="AE116" s="409"/>
      <c r="AF116" s="410">
        <v>1333.4680000000001</v>
      </c>
      <c r="AG116" s="410">
        <v>0.13009443902439025</v>
      </c>
      <c r="AH116" s="411">
        <v>2.5293590609756094</v>
      </c>
      <c r="AI116" s="412">
        <v>3.2763965609756096</v>
      </c>
      <c r="AJ116" s="411"/>
      <c r="AK116" s="411"/>
      <c r="AL116" s="18"/>
      <c r="AM116" s="49"/>
      <c r="AN116" s="2"/>
      <c r="AO116" s="2"/>
    </row>
    <row r="117" spans="1:41" ht="18.600000000000001" hidden="1" customHeight="1">
      <c r="A117" s="14">
        <v>115</v>
      </c>
      <c r="B117" s="11" t="s">
        <v>127</v>
      </c>
      <c r="C117" s="14">
        <v>0</v>
      </c>
      <c r="D117" s="11" t="s">
        <v>17623</v>
      </c>
      <c r="E117" s="11" t="s">
        <v>127</v>
      </c>
      <c r="F117" s="12">
        <v>43606</v>
      </c>
      <c r="G117" s="11">
        <v>2019</v>
      </c>
      <c r="H117" s="11" t="s">
        <v>17197</v>
      </c>
      <c r="I117" s="11" t="s">
        <v>17198</v>
      </c>
      <c r="J117" s="11" t="s">
        <v>16401</v>
      </c>
      <c r="K117" s="404">
        <v>793650.78</v>
      </c>
      <c r="L117" s="11">
        <v>2.9926499999999998</v>
      </c>
      <c r="M117" s="405">
        <v>265200</v>
      </c>
      <c r="N117" s="11" t="s">
        <v>20155</v>
      </c>
      <c r="O117" s="11" t="s">
        <v>17939</v>
      </c>
      <c r="P117" s="872">
        <v>43614</v>
      </c>
      <c r="Q117" s="406">
        <v>0</v>
      </c>
      <c r="R117" s="406">
        <v>450000</v>
      </c>
      <c r="S117" s="406">
        <v>60000</v>
      </c>
      <c r="T117" s="406">
        <v>0</v>
      </c>
      <c r="U117" s="406">
        <v>510000</v>
      </c>
      <c r="V117" s="11" t="s">
        <v>20155</v>
      </c>
      <c r="W117" s="407">
        <v>0</v>
      </c>
      <c r="X117" s="407">
        <v>708505.1999999996</v>
      </c>
      <c r="Y117" s="407">
        <v>94467.36</v>
      </c>
      <c r="Z117" s="407">
        <v>0</v>
      </c>
      <c r="AA117" s="408"/>
      <c r="AB117" s="408">
        <v>1.5744559999999992</v>
      </c>
      <c r="AC117" s="408">
        <v>1.5744560000000001</v>
      </c>
      <c r="AD117" s="408"/>
      <c r="AE117" s="409"/>
      <c r="AF117" s="410">
        <v>0</v>
      </c>
      <c r="AG117" s="410">
        <v>0</v>
      </c>
      <c r="AH117" s="411"/>
      <c r="AI117" s="412">
        <v>1.5744559999999992</v>
      </c>
      <c r="AJ117" s="411">
        <v>1.5744560000000001</v>
      </c>
      <c r="AK117" s="411"/>
      <c r="AL117" s="18"/>
      <c r="AM117" s="49"/>
      <c r="AN117" s="2"/>
      <c r="AO117" s="2"/>
    </row>
    <row r="118" spans="1:41" ht="18.600000000000001" hidden="1" customHeight="1">
      <c r="A118" s="14">
        <v>116</v>
      </c>
      <c r="B118" s="11" t="s">
        <v>128</v>
      </c>
      <c r="C118" s="14">
        <v>0</v>
      </c>
      <c r="D118" s="11" t="s">
        <v>17625</v>
      </c>
      <c r="E118" s="11" t="s">
        <v>128</v>
      </c>
      <c r="F118" s="12">
        <v>43608</v>
      </c>
      <c r="G118" s="11">
        <v>2019</v>
      </c>
      <c r="H118" s="11" t="s">
        <v>17017</v>
      </c>
      <c r="I118" s="11" t="s">
        <v>17018</v>
      </c>
      <c r="J118" s="11" t="s">
        <v>3</v>
      </c>
      <c r="K118" s="404">
        <v>47252.92</v>
      </c>
      <c r="L118" s="14">
        <v>1</v>
      </c>
      <c r="M118" s="405">
        <v>47252.92</v>
      </c>
      <c r="N118" s="11" t="s">
        <v>20155</v>
      </c>
      <c r="O118" s="11" t="s">
        <v>17954</v>
      </c>
      <c r="P118" s="872">
        <v>43615</v>
      </c>
      <c r="Q118" s="406">
        <v>0</v>
      </c>
      <c r="R118" s="406">
        <v>17048</v>
      </c>
      <c r="S118" s="406">
        <v>5300</v>
      </c>
      <c r="T118" s="406">
        <v>3700</v>
      </c>
      <c r="U118" s="406">
        <v>26048</v>
      </c>
      <c r="V118" s="11" t="s">
        <v>20155</v>
      </c>
      <c r="W118" s="407">
        <v>0</v>
      </c>
      <c r="X118" s="407">
        <v>27255.919999999998</v>
      </c>
      <c r="Y118" s="407">
        <v>7392</v>
      </c>
      <c r="Z118" s="407">
        <v>12605</v>
      </c>
      <c r="AA118" s="408"/>
      <c r="AB118" s="408">
        <v>1.5987752229000471</v>
      </c>
      <c r="AC118" s="408">
        <v>1.3947169811320754</v>
      </c>
      <c r="AD118" s="408">
        <v>3.4067567567567569</v>
      </c>
      <c r="AE118" s="409"/>
      <c r="AF118" s="410">
        <v>0</v>
      </c>
      <c r="AG118" s="410">
        <v>0</v>
      </c>
      <c r="AH118" s="411"/>
      <c r="AI118" s="412">
        <v>1.5987752229000471</v>
      </c>
      <c r="AJ118" s="411">
        <v>1.3947169811320754</v>
      </c>
      <c r="AK118" s="411">
        <v>3.4067567567567569</v>
      </c>
      <c r="AL118" s="18"/>
      <c r="AM118" s="49"/>
      <c r="AN118" s="2"/>
      <c r="AO118" s="2"/>
    </row>
    <row r="119" spans="1:41" ht="18.600000000000001" hidden="1" customHeight="1">
      <c r="A119" s="14">
        <v>117</v>
      </c>
      <c r="B119" s="11" t="s">
        <v>129</v>
      </c>
      <c r="C119" s="14">
        <v>0</v>
      </c>
      <c r="D119" s="11" t="s">
        <v>17626</v>
      </c>
      <c r="E119" s="11" t="s">
        <v>129</v>
      </c>
      <c r="F119" s="12">
        <v>43608</v>
      </c>
      <c r="G119" s="11">
        <v>2019</v>
      </c>
      <c r="H119" s="11" t="s">
        <v>17017</v>
      </c>
      <c r="I119" s="11" t="s">
        <v>17018</v>
      </c>
      <c r="J119" s="11" t="s">
        <v>3</v>
      </c>
      <c r="K119" s="404">
        <v>53088</v>
      </c>
      <c r="L119" s="14">
        <v>1</v>
      </c>
      <c r="M119" s="405">
        <v>53088</v>
      </c>
      <c r="N119" s="11" t="s">
        <v>20155</v>
      </c>
      <c r="O119" s="11" t="s">
        <v>20158</v>
      </c>
      <c r="P119" s="872">
        <v>43634</v>
      </c>
      <c r="Q119" s="406">
        <v>0</v>
      </c>
      <c r="R119" s="406">
        <v>0</v>
      </c>
      <c r="S119" s="406">
        <v>33600</v>
      </c>
      <c r="T119" s="406">
        <v>0</v>
      </c>
      <c r="U119" s="406">
        <v>33600</v>
      </c>
      <c r="V119" s="11" t="s">
        <v>20155</v>
      </c>
      <c r="W119" s="407">
        <v>0</v>
      </c>
      <c r="X119" s="407">
        <v>0</v>
      </c>
      <c r="Y119" s="407">
        <v>53088</v>
      </c>
      <c r="Z119" s="407">
        <v>0</v>
      </c>
      <c r="AA119" s="408"/>
      <c r="AB119" s="408"/>
      <c r="AC119" s="408">
        <v>1.58</v>
      </c>
      <c r="AD119" s="408"/>
      <c r="AE119" s="409"/>
      <c r="AF119" s="410">
        <v>0</v>
      </c>
      <c r="AG119" s="410">
        <v>0</v>
      </c>
      <c r="AH119" s="411"/>
      <c r="AI119" s="412"/>
      <c r="AJ119" s="411">
        <v>1.58</v>
      </c>
      <c r="AK119" s="411"/>
      <c r="AL119" s="18"/>
      <c r="AM119" s="49"/>
      <c r="AN119" s="2"/>
      <c r="AO119" s="2"/>
    </row>
    <row r="120" spans="1:41" ht="18.600000000000001" hidden="1" customHeight="1">
      <c r="A120" s="14">
        <v>118</v>
      </c>
      <c r="B120" s="11" t="s">
        <v>130</v>
      </c>
      <c r="C120" s="14">
        <v>0</v>
      </c>
      <c r="D120" s="11" t="s">
        <v>17627</v>
      </c>
      <c r="E120" s="11" t="s">
        <v>130</v>
      </c>
      <c r="F120" s="12">
        <v>43608</v>
      </c>
      <c r="G120" s="11">
        <v>2019</v>
      </c>
      <c r="H120" s="11" t="s">
        <v>17017</v>
      </c>
      <c r="I120" s="11" t="s">
        <v>17018</v>
      </c>
      <c r="J120" s="11" t="s">
        <v>3</v>
      </c>
      <c r="K120" s="404">
        <v>31450</v>
      </c>
      <c r="L120" s="14">
        <v>1</v>
      </c>
      <c r="M120" s="405">
        <v>31450</v>
      </c>
      <c r="N120" s="11" t="s">
        <v>20155</v>
      </c>
      <c r="O120" s="11" t="s">
        <v>17238</v>
      </c>
      <c r="P120" s="872">
        <v>43616</v>
      </c>
      <c r="Q120" s="406">
        <v>21250</v>
      </c>
      <c r="R120" s="406">
        <v>0</v>
      </c>
      <c r="S120" s="406">
        <v>0</v>
      </c>
      <c r="T120" s="406">
        <v>0</v>
      </c>
      <c r="U120" s="406">
        <v>21250</v>
      </c>
      <c r="V120" s="11" t="s">
        <v>20155</v>
      </c>
      <c r="W120" s="407">
        <v>31450</v>
      </c>
      <c r="X120" s="407">
        <v>0</v>
      </c>
      <c r="Y120" s="407">
        <v>0</v>
      </c>
      <c r="Z120" s="407">
        <v>0</v>
      </c>
      <c r="AA120" s="408">
        <v>1.48</v>
      </c>
      <c r="AB120" s="408"/>
      <c r="AC120" s="408"/>
      <c r="AD120" s="408"/>
      <c r="AE120" s="409"/>
      <c r="AF120" s="410">
        <v>0</v>
      </c>
      <c r="AG120" s="410">
        <v>0</v>
      </c>
      <c r="AH120" s="411">
        <v>1.48</v>
      </c>
      <c r="AI120" s="412"/>
      <c r="AJ120" s="411"/>
      <c r="AK120" s="411"/>
      <c r="AL120" s="18"/>
      <c r="AM120" s="49"/>
      <c r="AN120" s="2"/>
      <c r="AO120" s="2"/>
    </row>
    <row r="121" spans="1:41" ht="18.600000000000001" hidden="1" customHeight="1">
      <c r="A121" s="14">
        <v>119</v>
      </c>
      <c r="B121" s="11" t="s">
        <v>131</v>
      </c>
      <c r="C121" s="14">
        <v>0</v>
      </c>
      <c r="D121" s="11" t="s">
        <v>17629</v>
      </c>
      <c r="E121" s="11" t="s">
        <v>131</v>
      </c>
      <c r="F121" s="12">
        <v>43608</v>
      </c>
      <c r="G121" s="11">
        <v>2019</v>
      </c>
      <c r="H121" s="11" t="s">
        <v>17017</v>
      </c>
      <c r="I121" s="11" t="s">
        <v>17018</v>
      </c>
      <c r="J121" s="11" t="s">
        <v>3</v>
      </c>
      <c r="K121" s="404">
        <v>33461.616000000002</v>
      </c>
      <c r="L121" s="14">
        <v>1</v>
      </c>
      <c r="M121" s="405">
        <v>33461.616000000002</v>
      </c>
      <c r="N121" s="11" t="s">
        <v>20155</v>
      </c>
      <c r="O121" s="11" t="s">
        <v>17238</v>
      </c>
      <c r="P121" s="872">
        <v>43662</v>
      </c>
      <c r="Q121" s="406">
        <v>0</v>
      </c>
      <c r="R121" s="406">
        <v>20157.599999999999</v>
      </c>
      <c r="S121" s="406">
        <v>0</v>
      </c>
      <c r="T121" s="406">
        <v>0</v>
      </c>
      <c r="U121" s="406">
        <v>20157.599999999999</v>
      </c>
      <c r="V121" s="11" t="s">
        <v>20155</v>
      </c>
      <c r="W121" s="407">
        <v>0</v>
      </c>
      <c r="X121" s="407">
        <v>33461.616000000002</v>
      </c>
      <c r="Y121" s="407">
        <v>0</v>
      </c>
      <c r="Z121" s="407">
        <v>0</v>
      </c>
      <c r="AA121" s="408"/>
      <c r="AB121" s="408">
        <v>1.66</v>
      </c>
      <c r="AC121" s="408"/>
      <c r="AD121" s="408"/>
      <c r="AE121" s="409"/>
      <c r="AF121" s="410">
        <v>0</v>
      </c>
      <c r="AG121" s="410">
        <v>0</v>
      </c>
      <c r="AH121" s="411"/>
      <c r="AI121" s="412">
        <v>1.66</v>
      </c>
      <c r="AJ121" s="411"/>
      <c r="AK121" s="411"/>
      <c r="AL121" s="18"/>
      <c r="AM121" s="49"/>
      <c r="AN121" s="2"/>
      <c r="AO121" s="2"/>
    </row>
    <row r="122" spans="1:41" ht="18.600000000000001" hidden="1" customHeight="1">
      <c r="A122" s="14">
        <v>120</v>
      </c>
      <c r="B122" s="11" t="s">
        <v>132</v>
      </c>
      <c r="C122" s="14">
        <v>0</v>
      </c>
      <c r="D122" s="11" t="s">
        <v>17631</v>
      </c>
      <c r="E122" s="11" t="s">
        <v>132</v>
      </c>
      <c r="F122" s="12">
        <v>43609</v>
      </c>
      <c r="G122" s="11">
        <v>2019</v>
      </c>
      <c r="H122" s="11" t="s">
        <v>16783</v>
      </c>
      <c r="I122" s="11" t="s">
        <v>16784</v>
      </c>
      <c r="J122" s="11" t="s">
        <v>16401</v>
      </c>
      <c r="K122" s="404">
        <v>234474.15400000001</v>
      </c>
      <c r="L122" s="11">
        <v>2.9881500000000001</v>
      </c>
      <c r="M122" s="405">
        <v>78467.999933068961</v>
      </c>
      <c r="N122" s="11" t="s">
        <v>20155</v>
      </c>
      <c r="O122" s="11" t="s">
        <v>17939</v>
      </c>
      <c r="P122" s="872">
        <v>43612</v>
      </c>
      <c r="Q122" s="406">
        <v>24000</v>
      </c>
      <c r="R122" s="406">
        <v>103882</v>
      </c>
      <c r="S122" s="406">
        <v>23318</v>
      </c>
      <c r="T122" s="406">
        <v>0</v>
      </c>
      <c r="U122" s="406">
        <v>151200</v>
      </c>
      <c r="V122" s="11" t="s">
        <v>20155</v>
      </c>
      <c r="W122" s="407">
        <v>38726.423999999999</v>
      </c>
      <c r="X122" s="407">
        <v>159863.10856559998</v>
      </c>
      <c r="Y122" s="407">
        <v>35884.621634400006</v>
      </c>
      <c r="Z122" s="407">
        <v>0</v>
      </c>
      <c r="AA122" s="408">
        <v>1.6136010000000001</v>
      </c>
      <c r="AB122" s="408">
        <v>1.5388913244411926</v>
      </c>
      <c r="AC122" s="408">
        <v>1.5389236484432629</v>
      </c>
      <c r="AD122" s="408"/>
      <c r="AE122" s="409"/>
      <c r="AF122" s="410">
        <v>0</v>
      </c>
      <c r="AG122" s="410">
        <v>0</v>
      </c>
      <c r="AH122" s="411">
        <v>1.6136010000000001</v>
      </c>
      <c r="AI122" s="412">
        <v>1.5388913244411926</v>
      </c>
      <c r="AJ122" s="411">
        <v>1.5389236484432629</v>
      </c>
      <c r="AK122" s="411">
        <v>0</v>
      </c>
      <c r="AL122" s="18"/>
      <c r="AM122" s="49"/>
      <c r="AN122" s="2"/>
      <c r="AO122" s="2"/>
    </row>
    <row r="123" spans="1:41" ht="18.600000000000001" hidden="1" customHeight="1">
      <c r="A123" s="14">
        <v>121</v>
      </c>
      <c r="B123" s="11" t="s">
        <v>133</v>
      </c>
      <c r="C123" s="14">
        <v>0</v>
      </c>
      <c r="D123" s="11" t="s">
        <v>17632</v>
      </c>
      <c r="E123" s="11" t="s">
        <v>133</v>
      </c>
      <c r="F123" s="12">
        <v>43610</v>
      </c>
      <c r="G123" s="11">
        <v>2019</v>
      </c>
      <c r="H123" s="11" t="s">
        <v>17017</v>
      </c>
      <c r="I123" s="11" t="s">
        <v>17018</v>
      </c>
      <c r="J123" s="11" t="s">
        <v>3</v>
      </c>
      <c r="K123" s="404">
        <v>31272.428</v>
      </c>
      <c r="L123" s="14">
        <v>1</v>
      </c>
      <c r="M123" s="405">
        <v>31272.428</v>
      </c>
      <c r="N123" s="11" t="s">
        <v>20155</v>
      </c>
      <c r="O123" s="11" t="s">
        <v>17238</v>
      </c>
      <c r="P123" s="872">
        <v>43616</v>
      </c>
      <c r="Q123" s="406">
        <v>0</v>
      </c>
      <c r="R123" s="406">
        <v>0</v>
      </c>
      <c r="S123" s="406">
        <v>20176</v>
      </c>
      <c r="T123" s="406">
        <v>0</v>
      </c>
      <c r="U123" s="406">
        <v>20176</v>
      </c>
      <c r="V123" s="11" t="s">
        <v>20155</v>
      </c>
      <c r="W123" s="407">
        <v>0</v>
      </c>
      <c r="X123" s="407">
        <v>0</v>
      </c>
      <c r="Y123" s="407">
        <v>31272.428</v>
      </c>
      <c r="Z123" s="407">
        <v>0</v>
      </c>
      <c r="AA123" s="408"/>
      <c r="AB123" s="408"/>
      <c r="AC123" s="408">
        <v>1.5499815622521809</v>
      </c>
      <c r="AD123" s="408"/>
      <c r="AE123" s="409"/>
      <c r="AF123" s="410">
        <v>0</v>
      </c>
      <c r="AG123" s="410">
        <v>0</v>
      </c>
      <c r="AH123" s="411"/>
      <c r="AI123" s="412"/>
      <c r="AJ123" s="411">
        <v>1.5499815622521809</v>
      </c>
      <c r="AK123" s="411"/>
      <c r="AL123" s="18"/>
      <c r="AM123" s="49"/>
      <c r="AN123" s="2"/>
      <c r="AO123" s="2"/>
    </row>
    <row r="124" spans="1:41" ht="18.600000000000001" hidden="1" customHeight="1">
      <c r="A124" s="14">
        <v>122</v>
      </c>
      <c r="B124" s="11" t="s">
        <v>134</v>
      </c>
      <c r="C124" s="14">
        <v>0</v>
      </c>
      <c r="D124" s="11" t="s">
        <v>17634</v>
      </c>
      <c r="E124" s="11" t="s">
        <v>134</v>
      </c>
      <c r="F124" s="12">
        <v>43616</v>
      </c>
      <c r="G124" s="11">
        <v>2019</v>
      </c>
      <c r="H124" s="11" t="s">
        <v>17017</v>
      </c>
      <c r="I124" s="11" t="s">
        <v>17018</v>
      </c>
      <c r="J124" s="11" t="s">
        <v>3</v>
      </c>
      <c r="K124" s="404">
        <v>14485.28</v>
      </c>
      <c r="L124" s="14">
        <v>1</v>
      </c>
      <c r="M124" s="405">
        <v>14485.28</v>
      </c>
      <c r="N124" s="11" t="s">
        <v>20155</v>
      </c>
      <c r="O124" s="11" t="s">
        <v>20165</v>
      </c>
      <c r="P124" s="872">
        <v>43624</v>
      </c>
      <c r="Q124" s="406">
        <v>0</v>
      </c>
      <c r="R124" s="406">
        <v>8016</v>
      </c>
      <c r="S124" s="406">
        <v>0</v>
      </c>
      <c r="T124" s="406">
        <v>700</v>
      </c>
      <c r="U124" s="406">
        <v>8716</v>
      </c>
      <c r="V124" s="11" t="s">
        <v>20155</v>
      </c>
      <c r="W124" s="407">
        <v>0</v>
      </c>
      <c r="X124" s="407">
        <v>13547.28</v>
      </c>
      <c r="Y124" s="407">
        <v>0</v>
      </c>
      <c r="Z124" s="407">
        <v>938</v>
      </c>
      <c r="AA124" s="408"/>
      <c r="AB124" s="408">
        <v>1.6900299401197605</v>
      </c>
      <c r="AC124" s="408"/>
      <c r="AD124" s="408">
        <v>1.34</v>
      </c>
      <c r="AE124" s="409"/>
      <c r="AF124" s="410">
        <v>0</v>
      </c>
      <c r="AG124" s="410">
        <v>0</v>
      </c>
      <c r="AH124" s="411"/>
      <c r="AI124" s="412">
        <v>1.6900299401197605</v>
      </c>
      <c r="AJ124" s="411"/>
      <c r="AK124" s="411">
        <v>1.34</v>
      </c>
      <c r="AL124" s="18"/>
      <c r="AM124" s="49"/>
      <c r="AN124" s="2"/>
      <c r="AO124" s="2"/>
    </row>
    <row r="125" spans="1:41" ht="18.600000000000001" hidden="1" customHeight="1">
      <c r="A125" s="14">
        <v>123</v>
      </c>
      <c r="B125" s="11" t="s">
        <v>135</v>
      </c>
      <c r="C125" s="14">
        <v>0</v>
      </c>
      <c r="D125" s="11" t="s">
        <v>17636</v>
      </c>
      <c r="E125" s="11" t="s">
        <v>135</v>
      </c>
      <c r="F125" s="12">
        <v>43617</v>
      </c>
      <c r="G125" s="11">
        <v>2019</v>
      </c>
      <c r="H125" s="11" t="s">
        <v>16384</v>
      </c>
      <c r="I125" s="11" t="s">
        <v>16385</v>
      </c>
      <c r="J125" s="11" t="s">
        <v>3</v>
      </c>
      <c r="K125" s="404">
        <v>722400</v>
      </c>
      <c r="L125" s="14">
        <v>1</v>
      </c>
      <c r="M125" s="405">
        <v>722400</v>
      </c>
      <c r="N125" s="11" t="s">
        <v>20155</v>
      </c>
      <c r="O125" s="11" t="s">
        <v>17801</v>
      </c>
      <c r="P125" s="872">
        <v>43634</v>
      </c>
      <c r="Q125" s="406">
        <v>0</v>
      </c>
      <c r="R125" s="406">
        <v>0</v>
      </c>
      <c r="S125" s="406">
        <v>560000</v>
      </c>
      <c r="T125" s="406">
        <v>0</v>
      </c>
      <c r="U125" s="406">
        <v>560000</v>
      </c>
      <c r="V125" s="11" t="s">
        <v>20155</v>
      </c>
      <c r="W125" s="407">
        <v>0</v>
      </c>
      <c r="X125" s="407">
        <v>0</v>
      </c>
      <c r="Y125" s="407">
        <v>722400</v>
      </c>
      <c r="Z125" s="407">
        <v>0</v>
      </c>
      <c r="AA125" s="408"/>
      <c r="AB125" s="408"/>
      <c r="AC125" s="408">
        <v>1.29</v>
      </c>
      <c r="AD125" s="408"/>
      <c r="AE125" s="409"/>
      <c r="AF125" s="410">
        <v>0</v>
      </c>
      <c r="AG125" s="410">
        <v>0</v>
      </c>
      <c r="AH125" s="411"/>
      <c r="AI125" s="412"/>
      <c r="AJ125" s="411">
        <v>1.29</v>
      </c>
      <c r="AK125" s="411"/>
      <c r="AL125" s="18"/>
      <c r="AM125" s="49"/>
      <c r="AN125" s="2"/>
      <c r="AO125" s="2"/>
    </row>
    <row r="126" spans="1:41" ht="18.600000000000001" hidden="1" customHeight="1">
      <c r="A126" s="14">
        <v>124</v>
      </c>
      <c r="B126" s="11" t="s">
        <v>136</v>
      </c>
      <c r="C126" s="14">
        <v>0</v>
      </c>
      <c r="D126" s="11" t="s">
        <v>17637</v>
      </c>
      <c r="E126" s="11" t="s">
        <v>136</v>
      </c>
      <c r="F126" s="12">
        <v>43617</v>
      </c>
      <c r="G126" s="11">
        <v>2019</v>
      </c>
      <c r="H126" s="11" t="s">
        <v>16838</v>
      </c>
      <c r="I126" s="11" t="s">
        <v>16839</v>
      </c>
      <c r="J126" s="11" t="s">
        <v>3</v>
      </c>
      <c r="K126" s="404">
        <v>393503.04</v>
      </c>
      <c r="L126" s="14">
        <v>1</v>
      </c>
      <c r="M126" s="405">
        <v>393503.04</v>
      </c>
      <c r="N126" s="11" t="s">
        <v>20155</v>
      </c>
      <c r="O126" s="11" t="s">
        <v>17798</v>
      </c>
      <c r="P126" s="872">
        <v>43640</v>
      </c>
      <c r="Q126" s="406">
        <v>0</v>
      </c>
      <c r="R126" s="406">
        <v>286104</v>
      </c>
      <c r="S126" s="406">
        <v>0</v>
      </c>
      <c r="T126" s="406">
        <v>0</v>
      </c>
      <c r="U126" s="406">
        <v>286104</v>
      </c>
      <c r="V126" s="11" t="s">
        <v>20155</v>
      </c>
      <c r="W126" s="407">
        <v>0</v>
      </c>
      <c r="X126" s="407">
        <v>393503.04</v>
      </c>
      <c r="Y126" s="407">
        <v>0</v>
      </c>
      <c r="Z126" s="407">
        <v>0</v>
      </c>
      <c r="AA126" s="408"/>
      <c r="AB126" s="408">
        <v>1.3753846153846154</v>
      </c>
      <c r="AC126" s="408"/>
      <c r="AD126" s="408"/>
      <c r="AE126" s="409"/>
      <c r="AF126" s="410">
        <v>0</v>
      </c>
      <c r="AG126" s="410">
        <v>0</v>
      </c>
      <c r="AH126" s="411"/>
      <c r="AI126" s="412">
        <v>1.3753846153846154</v>
      </c>
      <c r="AJ126" s="411"/>
      <c r="AK126" s="411"/>
      <c r="AL126" s="18"/>
      <c r="AM126" s="49"/>
      <c r="AN126" s="2"/>
      <c r="AO126" s="2"/>
    </row>
    <row r="127" spans="1:41" ht="18.600000000000001" hidden="1" customHeight="1">
      <c r="A127" s="14">
        <v>125</v>
      </c>
      <c r="B127" s="11" t="s">
        <v>137</v>
      </c>
      <c r="C127" s="14">
        <v>0</v>
      </c>
      <c r="D127" s="11" t="s">
        <v>17638</v>
      </c>
      <c r="E127" s="11" t="s">
        <v>137</v>
      </c>
      <c r="F127" s="12">
        <v>43617</v>
      </c>
      <c r="G127" s="11">
        <v>2019</v>
      </c>
      <c r="H127" s="11" t="s">
        <v>16444</v>
      </c>
      <c r="I127" s="11" t="s">
        <v>16445</v>
      </c>
      <c r="J127" s="11" t="s">
        <v>3</v>
      </c>
      <c r="K127" s="404">
        <v>31752</v>
      </c>
      <c r="L127" s="14">
        <v>1</v>
      </c>
      <c r="M127" s="405">
        <v>31752</v>
      </c>
      <c r="N127" s="11" t="s">
        <v>20155</v>
      </c>
      <c r="O127" s="11" t="s">
        <v>17693</v>
      </c>
      <c r="P127" s="872">
        <v>43628</v>
      </c>
      <c r="Q127" s="406">
        <v>21600</v>
      </c>
      <c r="R127" s="406">
        <v>0</v>
      </c>
      <c r="S127" s="406">
        <v>0</v>
      </c>
      <c r="T127" s="406">
        <v>0</v>
      </c>
      <c r="U127" s="406">
        <v>21600</v>
      </c>
      <c r="V127" s="11" t="s">
        <v>20155</v>
      </c>
      <c r="W127" s="407">
        <v>31752</v>
      </c>
      <c r="X127" s="407">
        <v>0</v>
      </c>
      <c r="Y127" s="407">
        <v>0</v>
      </c>
      <c r="Z127" s="407">
        <v>0</v>
      </c>
      <c r="AA127" s="408">
        <v>1.47</v>
      </c>
      <c r="AB127" s="408"/>
      <c r="AC127" s="408"/>
      <c r="AD127" s="408"/>
      <c r="AE127" s="409"/>
      <c r="AF127" s="410">
        <v>0</v>
      </c>
      <c r="AG127" s="410">
        <v>0</v>
      </c>
      <c r="AH127" s="411">
        <v>1.47</v>
      </c>
      <c r="AI127" s="412"/>
      <c r="AJ127" s="411"/>
      <c r="AK127" s="411"/>
      <c r="AL127" s="18"/>
      <c r="AM127" s="49"/>
      <c r="AN127" s="2"/>
      <c r="AO127" s="2"/>
    </row>
    <row r="128" spans="1:41" ht="18.600000000000001" hidden="1" customHeight="1">
      <c r="A128" s="14">
        <v>126</v>
      </c>
      <c r="B128" s="11" t="s">
        <v>138</v>
      </c>
      <c r="C128" s="14">
        <v>0</v>
      </c>
      <c r="D128" s="11" t="s">
        <v>17640</v>
      </c>
      <c r="E128" s="11" t="s">
        <v>138</v>
      </c>
      <c r="F128" s="12">
        <v>43619</v>
      </c>
      <c r="G128" s="11">
        <v>2019</v>
      </c>
      <c r="H128" s="11" t="s">
        <v>16444</v>
      </c>
      <c r="I128" s="11" t="s">
        <v>16445</v>
      </c>
      <c r="J128" s="11" t="s">
        <v>3</v>
      </c>
      <c r="K128" s="404">
        <v>79331.28</v>
      </c>
      <c r="L128" s="14">
        <v>1</v>
      </c>
      <c r="M128" s="405">
        <v>79331.28</v>
      </c>
      <c r="N128" s="11" t="s">
        <v>20155</v>
      </c>
      <c r="O128" s="11" t="s">
        <v>18248</v>
      </c>
      <c r="P128" s="872">
        <v>43628</v>
      </c>
      <c r="Q128" s="406">
        <v>16560</v>
      </c>
      <c r="R128" s="406">
        <v>36768</v>
      </c>
      <c r="S128" s="406">
        <v>0</v>
      </c>
      <c r="T128" s="406">
        <v>0</v>
      </c>
      <c r="U128" s="406">
        <v>53328</v>
      </c>
      <c r="V128" s="11" t="s">
        <v>20155</v>
      </c>
      <c r="W128" s="407">
        <v>24730.799999999999</v>
      </c>
      <c r="X128" s="407">
        <v>54600.480000000003</v>
      </c>
      <c r="Y128" s="407">
        <v>0</v>
      </c>
      <c r="Z128" s="407">
        <v>0</v>
      </c>
      <c r="AA128" s="408">
        <v>1.4934057971014492</v>
      </c>
      <c r="AB128" s="408">
        <v>1.4850000000000001</v>
      </c>
      <c r="AC128" s="408"/>
      <c r="AD128" s="408"/>
      <c r="AE128" s="409"/>
      <c r="AF128" s="410">
        <v>0</v>
      </c>
      <c r="AG128" s="410">
        <v>0</v>
      </c>
      <c r="AH128" s="411">
        <v>1.4934057971014492</v>
      </c>
      <c r="AI128" s="412">
        <v>1.4850000000000001</v>
      </c>
      <c r="AJ128" s="411"/>
      <c r="AK128" s="411"/>
      <c r="AL128" s="18"/>
      <c r="AM128" s="49"/>
      <c r="AN128" s="2"/>
      <c r="AO128" s="2"/>
    </row>
    <row r="129" spans="1:41" ht="18.600000000000001" hidden="1" customHeight="1">
      <c r="A129" s="14">
        <v>127</v>
      </c>
      <c r="B129" s="11" t="s">
        <v>139</v>
      </c>
      <c r="C129" s="14">
        <v>0</v>
      </c>
      <c r="D129" s="11" t="s">
        <v>17642</v>
      </c>
      <c r="E129" s="11" t="s">
        <v>139</v>
      </c>
      <c r="F129" s="12">
        <v>43626</v>
      </c>
      <c r="G129" s="11">
        <v>2019</v>
      </c>
      <c r="H129" s="11" t="s">
        <v>17017</v>
      </c>
      <c r="I129" s="11" t="s">
        <v>17018</v>
      </c>
      <c r="J129" s="11" t="s">
        <v>3</v>
      </c>
      <c r="K129" s="404">
        <v>8652</v>
      </c>
      <c r="L129" s="14">
        <v>1</v>
      </c>
      <c r="M129" s="405">
        <v>8652</v>
      </c>
      <c r="N129" s="11" t="s">
        <v>20155</v>
      </c>
      <c r="O129" s="11" t="s">
        <v>20158</v>
      </c>
      <c r="P129" s="872">
        <v>43643</v>
      </c>
      <c r="Q129" s="406">
        <v>4860</v>
      </c>
      <c r="R129" s="406">
        <v>240</v>
      </c>
      <c r="S129" s="406">
        <v>0</v>
      </c>
      <c r="T129" s="406">
        <v>0</v>
      </c>
      <c r="U129" s="406">
        <v>5100</v>
      </c>
      <c r="V129" s="11" t="s">
        <v>20155</v>
      </c>
      <c r="W129" s="407">
        <v>8263.2000000000007</v>
      </c>
      <c r="X129" s="407">
        <v>388.8</v>
      </c>
      <c r="Y129" s="407">
        <v>0</v>
      </c>
      <c r="Z129" s="407">
        <v>0</v>
      </c>
      <c r="AA129" s="408">
        <v>1.7002469135802472</v>
      </c>
      <c r="AB129" s="408">
        <v>1.62</v>
      </c>
      <c r="AC129" s="408"/>
      <c r="AD129" s="408"/>
      <c r="AE129" s="409"/>
      <c r="AF129" s="410">
        <v>0</v>
      </c>
      <c r="AG129" s="410">
        <v>0</v>
      </c>
      <c r="AH129" s="411">
        <v>1.7002469135802472</v>
      </c>
      <c r="AI129" s="412">
        <v>1.62</v>
      </c>
      <c r="AJ129" s="411"/>
      <c r="AK129" s="411"/>
      <c r="AL129" s="18"/>
      <c r="AM129" s="49"/>
      <c r="AN129" s="2"/>
      <c r="AO129" s="2"/>
    </row>
    <row r="130" spans="1:41" ht="18.600000000000001" hidden="1" customHeight="1">
      <c r="A130" s="14">
        <v>128</v>
      </c>
      <c r="B130" s="11" t="s">
        <v>140</v>
      </c>
      <c r="C130" s="14">
        <v>0</v>
      </c>
      <c r="D130" s="11" t="s">
        <v>17644</v>
      </c>
      <c r="E130" s="11" t="s">
        <v>140</v>
      </c>
      <c r="F130" s="12">
        <v>43626</v>
      </c>
      <c r="G130" s="11">
        <v>2019</v>
      </c>
      <c r="H130" s="11" t="s">
        <v>17200</v>
      </c>
      <c r="I130" s="11" t="s">
        <v>17201</v>
      </c>
      <c r="J130" s="11" t="s">
        <v>16482</v>
      </c>
      <c r="K130" s="404">
        <v>34954.5</v>
      </c>
      <c r="L130" s="11">
        <v>3.3290000000000002</v>
      </c>
      <c r="M130" s="405">
        <v>10500</v>
      </c>
      <c r="N130" s="11" t="s">
        <v>20155</v>
      </c>
      <c r="O130" s="11" t="s">
        <v>17771</v>
      </c>
      <c r="P130" s="872">
        <v>43637</v>
      </c>
      <c r="Q130" s="406">
        <v>20000</v>
      </c>
      <c r="R130" s="406">
        <v>0</v>
      </c>
      <c r="S130" s="406">
        <v>0</v>
      </c>
      <c r="T130" s="406">
        <v>0</v>
      </c>
      <c r="U130" s="406">
        <v>20000</v>
      </c>
      <c r="V130" s="11" t="s">
        <v>20155</v>
      </c>
      <c r="W130" s="407">
        <v>34954.499999999993</v>
      </c>
      <c r="X130" s="407">
        <v>0</v>
      </c>
      <c r="Y130" s="407">
        <v>0</v>
      </c>
      <c r="Z130" s="407">
        <v>0</v>
      </c>
      <c r="AA130" s="408">
        <v>1.7477249999999995</v>
      </c>
      <c r="AB130" s="408"/>
      <c r="AC130" s="408"/>
      <c r="AD130" s="408"/>
      <c r="AE130" s="409"/>
      <c r="AF130" s="410">
        <v>5644.44</v>
      </c>
      <c r="AG130" s="410">
        <v>0.28222199999999997</v>
      </c>
      <c r="AH130" s="411">
        <v>1.4655029999999996</v>
      </c>
      <c r="AI130" s="412"/>
      <c r="AJ130" s="411"/>
      <c r="AK130" s="411"/>
      <c r="AL130" s="18"/>
      <c r="AM130" s="49"/>
      <c r="AN130" s="2"/>
      <c r="AO130" s="2"/>
    </row>
    <row r="131" spans="1:41" ht="18.600000000000001" hidden="1" customHeight="1">
      <c r="A131" s="14">
        <v>129</v>
      </c>
      <c r="B131" s="11" t="s">
        <v>141</v>
      </c>
      <c r="C131" s="14">
        <v>0</v>
      </c>
      <c r="D131" s="11" t="s">
        <v>17646</v>
      </c>
      <c r="E131" s="11" t="s">
        <v>141</v>
      </c>
      <c r="F131" s="12">
        <v>43629</v>
      </c>
      <c r="G131" s="11">
        <v>2019</v>
      </c>
      <c r="H131" s="11" t="s">
        <v>17017</v>
      </c>
      <c r="I131" s="11" t="s">
        <v>17018</v>
      </c>
      <c r="J131" s="11" t="s">
        <v>3</v>
      </c>
      <c r="K131" s="404">
        <v>16875.056</v>
      </c>
      <c r="L131" s="14">
        <v>1</v>
      </c>
      <c r="M131" s="405">
        <v>16875.056</v>
      </c>
      <c r="N131" s="11" t="s">
        <v>20155</v>
      </c>
      <c r="O131" s="11" t="s">
        <v>20158</v>
      </c>
      <c r="P131" s="872">
        <v>43636</v>
      </c>
      <c r="Q131" s="406">
        <v>0</v>
      </c>
      <c r="R131" s="406">
        <v>2419.1999999999998</v>
      </c>
      <c r="S131" s="406">
        <v>7324.8</v>
      </c>
      <c r="T131" s="406">
        <v>460</v>
      </c>
      <c r="U131" s="406">
        <v>10204</v>
      </c>
      <c r="V131" s="11" t="s">
        <v>20155</v>
      </c>
      <c r="W131" s="407">
        <v>0</v>
      </c>
      <c r="X131" s="407">
        <v>3799.04</v>
      </c>
      <c r="Y131" s="407">
        <v>11012.376000000002</v>
      </c>
      <c r="Z131" s="407">
        <v>2063.64</v>
      </c>
      <c r="AA131" s="408"/>
      <c r="AB131" s="408">
        <v>1.5703703703703704</v>
      </c>
      <c r="AC131" s="408">
        <v>1.5034370904325036</v>
      </c>
      <c r="AD131" s="408">
        <v>4.4861739130434781</v>
      </c>
      <c r="AE131" s="409"/>
      <c r="AF131" s="410">
        <v>0</v>
      </c>
      <c r="AG131" s="410">
        <v>0</v>
      </c>
      <c r="AH131" s="411"/>
      <c r="AI131" s="412">
        <v>1.5703703703703704</v>
      </c>
      <c r="AJ131" s="411">
        <v>1.5034370904325036</v>
      </c>
      <c r="AK131" s="411">
        <v>4.4861739130434781</v>
      </c>
      <c r="AL131" s="18"/>
      <c r="AM131" s="49"/>
      <c r="AN131" s="2"/>
      <c r="AO131" s="2"/>
    </row>
    <row r="132" spans="1:41" ht="18.600000000000001" hidden="1" customHeight="1">
      <c r="A132" s="14">
        <v>130</v>
      </c>
      <c r="B132" s="11" t="s">
        <v>142</v>
      </c>
      <c r="C132" s="14">
        <v>0</v>
      </c>
      <c r="D132" s="11" t="s">
        <v>17648</v>
      </c>
      <c r="E132" s="11" t="s">
        <v>142</v>
      </c>
      <c r="F132" s="12">
        <v>43629</v>
      </c>
      <c r="G132" s="11">
        <v>2019</v>
      </c>
      <c r="H132" s="11" t="s">
        <v>16880</v>
      </c>
      <c r="I132" s="11" t="s">
        <v>16881</v>
      </c>
      <c r="J132" s="11" t="s">
        <v>16401</v>
      </c>
      <c r="K132" s="404">
        <v>68288.070000000007</v>
      </c>
      <c r="L132" s="11">
        <v>2.9396499999999999</v>
      </c>
      <c r="M132" s="405">
        <v>23230.000170088279</v>
      </c>
      <c r="N132" s="11" t="s">
        <v>20155</v>
      </c>
      <c r="O132" s="11" t="s">
        <v>20156</v>
      </c>
      <c r="P132" s="872">
        <v>43641</v>
      </c>
      <c r="Q132" s="406">
        <v>0</v>
      </c>
      <c r="R132" s="406">
        <v>19000</v>
      </c>
      <c r="S132" s="406">
        <v>0</v>
      </c>
      <c r="T132" s="406">
        <v>0</v>
      </c>
      <c r="U132" s="406">
        <v>19000</v>
      </c>
      <c r="V132" s="11" t="s">
        <v>20155</v>
      </c>
      <c r="W132" s="407">
        <v>0</v>
      </c>
      <c r="X132" s="407">
        <v>68288.069499999998</v>
      </c>
      <c r="Y132" s="407">
        <v>0</v>
      </c>
      <c r="Z132" s="407">
        <v>0</v>
      </c>
      <c r="AA132" s="408"/>
      <c r="AB132" s="408">
        <v>3.5941089210526314</v>
      </c>
      <c r="AC132" s="408"/>
      <c r="AD132" s="408"/>
      <c r="AE132" s="409"/>
      <c r="AF132" s="410">
        <v>1300</v>
      </c>
      <c r="AG132" s="410">
        <v>6.8421052631578952E-2</v>
      </c>
      <c r="AH132" s="411"/>
      <c r="AI132" s="412">
        <v>3.5256878684210524</v>
      </c>
      <c r="AJ132" s="411"/>
      <c r="AK132" s="411"/>
      <c r="AL132" s="18"/>
      <c r="AM132" s="49"/>
      <c r="AN132" s="2"/>
      <c r="AO132" s="2"/>
    </row>
    <row r="133" spans="1:41" ht="18.600000000000001" hidden="1" customHeight="1">
      <c r="A133" s="14">
        <v>131</v>
      </c>
      <c r="B133" s="11" t="s">
        <v>143</v>
      </c>
      <c r="C133" s="14">
        <v>0</v>
      </c>
      <c r="D133" s="11" t="s">
        <v>17650</v>
      </c>
      <c r="E133" s="11" t="s">
        <v>143</v>
      </c>
      <c r="F133" s="12">
        <v>43634</v>
      </c>
      <c r="G133" s="11">
        <v>2019</v>
      </c>
      <c r="H133" s="11" t="s">
        <v>16904</v>
      </c>
      <c r="I133" s="11" t="s">
        <v>16905</v>
      </c>
      <c r="J133" s="11" t="s">
        <v>16482</v>
      </c>
      <c r="K133" s="404">
        <v>47545.749000000003</v>
      </c>
      <c r="L133" s="11">
        <v>3.3199000000000001</v>
      </c>
      <c r="M133" s="405">
        <v>14321.44010361758</v>
      </c>
      <c r="N133" s="11" t="s">
        <v>20155</v>
      </c>
      <c r="O133" s="11" t="s">
        <v>20160</v>
      </c>
      <c r="P133" s="872">
        <v>43637</v>
      </c>
      <c r="Q133" s="406">
        <v>0</v>
      </c>
      <c r="R133" s="406">
        <v>18576</v>
      </c>
      <c r="S133" s="406">
        <v>8400</v>
      </c>
      <c r="T133" s="406">
        <v>0</v>
      </c>
      <c r="U133" s="406">
        <v>26976</v>
      </c>
      <c r="V133" s="11" t="s">
        <v>20155</v>
      </c>
      <c r="W133" s="407">
        <v>0</v>
      </c>
      <c r="X133" s="407">
        <v>27135.003456000002</v>
      </c>
      <c r="Y133" s="407">
        <v>12110.995200000001</v>
      </c>
      <c r="Z133" s="407">
        <v>0</v>
      </c>
      <c r="AA133" s="408"/>
      <c r="AB133" s="408">
        <v>1.4607560000000002</v>
      </c>
      <c r="AC133" s="408">
        <v>1.4417851428571431</v>
      </c>
      <c r="AD133" s="408"/>
      <c r="AE133" s="409"/>
      <c r="AF133" s="410">
        <v>9857.3009999999995</v>
      </c>
      <c r="AG133" s="410">
        <v>0.36541003113879</v>
      </c>
      <c r="AH133" s="411"/>
      <c r="AI133" s="412">
        <v>1.0953459688612102</v>
      </c>
      <c r="AJ133" s="411">
        <v>1.0763751117183531</v>
      </c>
      <c r="AK133" s="411"/>
      <c r="AL133" s="18"/>
      <c r="AM133" s="49"/>
      <c r="AN133" s="2"/>
      <c r="AO133" s="2"/>
    </row>
    <row r="134" spans="1:41" ht="18.600000000000001" hidden="1" customHeight="1">
      <c r="A134" s="14">
        <v>132</v>
      </c>
      <c r="B134" s="11" t="s">
        <v>144</v>
      </c>
      <c r="C134" s="14">
        <v>0</v>
      </c>
      <c r="D134" s="11" t="s">
        <v>17652</v>
      </c>
      <c r="E134" s="11" t="s">
        <v>144</v>
      </c>
      <c r="F134" s="12">
        <v>43634</v>
      </c>
      <c r="G134" s="11">
        <v>2019</v>
      </c>
      <c r="H134" s="11" t="s">
        <v>17119</v>
      </c>
      <c r="I134" s="11" t="s">
        <v>17120</v>
      </c>
      <c r="J134" s="11" t="s">
        <v>16401</v>
      </c>
      <c r="K134" s="404">
        <v>117093.796</v>
      </c>
      <c r="L134" s="11">
        <v>2.9268999999999998</v>
      </c>
      <c r="M134" s="405">
        <v>40006.080153062969</v>
      </c>
      <c r="N134" s="11" t="s">
        <v>20155</v>
      </c>
      <c r="O134" s="11" t="s">
        <v>17965</v>
      </c>
      <c r="P134" s="872">
        <v>43640</v>
      </c>
      <c r="Q134" s="406">
        <v>22008</v>
      </c>
      <c r="R134" s="406">
        <v>44208</v>
      </c>
      <c r="S134" s="406">
        <v>0</v>
      </c>
      <c r="T134" s="406">
        <v>0</v>
      </c>
      <c r="U134" s="406">
        <v>66216</v>
      </c>
      <c r="V134" s="11" t="s">
        <v>20155</v>
      </c>
      <c r="W134" s="407">
        <v>33495.911904000001</v>
      </c>
      <c r="X134" s="407">
        <v>63402.273647999995</v>
      </c>
      <c r="Y134" s="407">
        <v>0</v>
      </c>
      <c r="Z134" s="407">
        <v>0</v>
      </c>
      <c r="AA134" s="408">
        <v>1.5219880000000001</v>
      </c>
      <c r="AB134" s="408">
        <v>1.4341809999999999</v>
      </c>
      <c r="AC134" s="408"/>
      <c r="AD134" s="408"/>
      <c r="AE134" s="409"/>
      <c r="AF134" s="410">
        <v>24243.367999999999</v>
      </c>
      <c r="AG134" s="410">
        <v>0.3661255285731545</v>
      </c>
      <c r="AH134" s="411">
        <v>1.1558624714268455</v>
      </c>
      <c r="AI134" s="412">
        <v>1.0680554714268453</v>
      </c>
      <c r="AJ134" s="411"/>
      <c r="AK134" s="411"/>
      <c r="AL134" s="18"/>
      <c r="AM134" s="49"/>
      <c r="AN134" s="2"/>
      <c r="AO134" s="2"/>
    </row>
    <row r="135" spans="1:41" ht="18.600000000000001" hidden="1" customHeight="1">
      <c r="A135" s="14">
        <v>133</v>
      </c>
      <c r="B135" s="11" t="s">
        <v>145</v>
      </c>
      <c r="C135" s="14">
        <v>0</v>
      </c>
      <c r="D135" s="11" t="s">
        <v>17653</v>
      </c>
      <c r="E135" s="11" t="s">
        <v>145</v>
      </c>
      <c r="F135" s="12">
        <v>43635</v>
      </c>
      <c r="G135" s="11">
        <v>2019</v>
      </c>
      <c r="H135" s="11" t="s">
        <v>17203</v>
      </c>
      <c r="I135" s="11" t="s">
        <v>17205</v>
      </c>
      <c r="J135" s="11" t="s">
        <v>16401</v>
      </c>
      <c r="K135" s="404">
        <v>223907.85</v>
      </c>
      <c r="L135" s="11">
        <v>2.9268999999999998</v>
      </c>
      <c r="M135" s="405">
        <v>76500</v>
      </c>
      <c r="N135" s="11" t="s">
        <v>20155</v>
      </c>
      <c r="O135" s="11" t="s">
        <v>17939</v>
      </c>
      <c r="P135" s="872">
        <v>43640</v>
      </c>
      <c r="Q135" s="406">
        <v>0</v>
      </c>
      <c r="R135" s="406">
        <v>135600</v>
      </c>
      <c r="S135" s="406">
        <v>14400</v>
      </c>
      <c r="T135" s="406">
        <v>0</v>
      </c>
      <c r="U135" s="406">
        <v>150000</v>
      </c>
      <c r="V135" s="11" t="s">
        <v>20155</v>
      </c>
      <c r="W135" s="407">
        <v>0</v>
      </c>
      <c r="X135" s="407">
        <v>202412.69640000004</v>
      </c>
      <c r="Y135" s="407">
        <v>21495.153600000005</v>
      </c>
      <c r="Z135" s="407">
        <v>0</v>
      </c>
      <c r="AA135" s="408"/>
      <c r="AB135" s="408">
        <v>1.4927190000000004</v>
      </c>
      <c r="AC135" s="408">
        <v>1.4927190000000004</v>
      </c>
      <c r="AD135" s="408"/>
      <c r="AE135" s="409"/>
      <c r="AF135" s="410">
        <v>0</v>
      </c>
      <c r="AG135" s="410">
        <v>0</v>
      </c>
      <c r="AH135" s="411"/>
      <c r="AI135" s="412">
        <v>1.4927190000000004</v>
      </c>
      <c r="AJ135" s="411">
        <v>1.4927190000000004</v>
      </c>
      <c r="AK135" s="411"/>
      <c r="AL135" s="18"/>
      <c r="AM135" s="49"/>
      <c r="AN135" s="2"/>
      <c r="AO135" s="2"/>
    </row>
    <row r="136" spans="1:41" ht="18.600000000000001" hidden="1" customHeight="1">
      <c r="A136" s="14">
        <v>134</v>
      </c>
      <c r="B136" s="11" t="s">
        <v>146</v>
      </c>
      <c r="C136" s="14">
        <v>0</v>
      </c>
      <c r="D136" s="11" t="s">
        <v>17655</v>
      </c>
      <c r="E136" s="11" t="s">
        <v>146</v>
      </c>
      <c r="F136" s="12">
        <v>43637</v>
      </c>
      <c r="G136" s="11">
        <v>2019</v>
      </c>
      <c r="H136" s="11" t="s">
        <v>16444</v>
      </c>
      <c r="I136" s="11" t="s">
        <v>16445</v>
      </c>
      <c r="J136" s="11" t="s">
        <v>3</v>
      </c>
      <c r="K136" s="404">
        <v>426510</v>
      </c>
      <c r="L136" s="11">
        <v>1</v>
      </c>
      <c r="M136" s="405">
        <v>426510</v>
      </c>
      <c r="N136" s="11" t="s">
        <v>20155</v>
      </c>
      <c r="O136" s="11" t="s">
        <v>17801</v>
      </c>
      <c r="P136" s="872">
        <v>43611</v>
      </c>
      <c r="Q136" s="406">
        <v>0</v>
      </c>
      <c r="R136" s="406">
        <v>162000</v>
      </c>
      <c r="S136" s="406">
        <v>168000</v>
      </c>
      <c r="T136" s="406">
        <v>0</v>
      </c>
      <c r="U136" s="406">
        <v>330000</v>
      </c>
      <c r="V136" s="11" t="s">
        <v>20155</v>
      </c>
      <c r="W136" s="407">
        <v>0</v>
      </c>
      <c r="X136" s="407">
        <v>209790</v>
      </c>
      <c r="Y136" s="407">
        <v>216720</v>
      </c>
      <c r="Z136" s="407">
        <v>0</v>
      </c>
      <c r="AA136" s="408"/>
      <c r="AB136" s="408">
        <v>1.2949999999999999</v>
      </c>
      <c r="AC136" s="408">
        <v>1.29</v>
      </c>
      <c r="AD136" s="408"/>
      <c r="AE136" s="409"/>
      <c r="AF136" s="410">
        <v>0</v>
      </c>
      <c r="AG136" s="410">
        <v>0</v>
      </c>
      <c r="AH136" s="411"/>
      <c r="AI136" s="412">
        <v>1.2949999999999999</v>
      </c>
      <c r="AJ136" s="411">
        <v>1.29</v>
      </c>
      <c r="AK136" s="411"/>
      <c r="AL136" s="18"/>
      <c r="AM136" s="49"/>
      <c r="AN136" s="2"/>
      <c r="AO136" s="2"/>
    </row>
    <row r="137" spans="1:41" ht="18.600000000000001" hidden="1" customHeight="1">
      <c r="A137" s="14">
        <v>135</v>
      </c>
      <c r="B137" s="11" t="s">
        <v>147</v>
      </c>
      <c r="C137" s="14">
        <v>0</v>
      </c>
      <c r="D137" s="11" t="s">
        <v>17657</v>
      </c>
      <c r="E137" s="11" t="s">
        <v>147</v>
      </c>
      <c r="F137" s="12">
        <v>43637</v>
      </c>
      <c r="G137" s="11">
        <v>2019</v>
      </c>
      <c r="H137" s="11" t="s">
        <v>16384</v>
      </c>
      <c r="I137" s="11" t="s">
        <v>16385</v>
      </c>
      <c r="J137" s="11" t="s">
        <v>3</v>
      </c>
      <c r="K137" s="404">
        <v>361200</v>
      </c>
      <c r="L137" s="11">
        <v>1</v>
      </c>
      <c r="M137" s="405">
        <v>361200</v>
      </c>
      <c r="N137" s="11" t="s">
        <v>20155</v>
      </c>
      <c r="O137" s="11" t="s">
        <v>17801</v>
      </c>
      <c r="P137" s="872">
        <v>43677</v>
      </c>
      <c r="Q137" s="406">
        <v>0</v>
      </c>
      <c r="R137" s="406">
        <v>0</v>
      </c>
      <c r="S137" s="406">
        <v>280000</v>
      </c>
      <c r="T137" s="406">
        <v>0</v>
      </c>
      <c r="U137" s="406">
        <v>280000</v>
      </c>
      <c r="V137" s="11" t="s">
        <v>20155</v>
      </c>
      <c r="W137" s="407">
        <v>0</v>
      </c>
      <c r="X137" s="407">
        <v>0</v>
      </c>
      <c r="Y137" s="407">
        <v>361200</v>
      </c>
      <c r="Z137" s="407">
        <v>0</v>
      </c>
      <c r="AA137" s="408"/>
      <c r="AB137" s="408"/>
      <c r="AC137" s="408">
        <v>1.29</v>
      </c>
      <c r="AD137" s="408"/>
      <c r="AE137" s="409"/>
      <c r="AF137" s="410">
        <v>0</v>
      </c>
      <c r="AG137" s="410">
        <v>0</v>
      </c>
      <c r="AH137" s="411"/>
      <c r="AI137" s="412"/>
      <c r="AJ137" s="411">
        <v>1.29</v>
      </c>
      <c r="AK137" s="411"/>
      <c r="AL137" s="18"/>
      <c r="AM137" s="49"/>
      <c r="AN137" s="2"/>
      <c r="AO137" s="2"/>
    </row>
    <row r="138" spans="1:41" ht="18.600000000000001" hidden="1" customHeight="1">
      <c r="A138" s="14">
        <v>136</v>
      </c>
      <c r="B138" s="11" t="s">
        <v>148</v>
      </c>
      <c r="C138" s="14">
        <v>0</v>
      </c>
      <c r="D138" s="11" t="s">
        <v>17659</v>
      </c>
      <c r="E138" s="11" t="s">
        <v>148</v>
      </c>
      <c r="F138" s="12">
        <v>43637</v>
      </c>
      <c r="G138" s="11">
        <v>2019</v>
      </c>
      <c r="H138" s="11" t="s">
        <v>16977</v>
      </c>
      <c r="I138" s="11" t="s">
        <v>16978</v>
      </c>
      <c r="J138" s="11" t="s">
        <v>16401</v>
      </c>
      <c r="K138" s="404">
        <v>45676.858</v>
      </c>
      <c r="L138" s="11">
        <v>2.8696000000000002</v>
      </c>
      <c r="M138" s="405">
        <v>15917.5</v>
      </c>
      <c r="N138" s="11" t="s">
        <v>20155</v>
      </c>
      <c r="O138" s="11" t="s">
        <v>20157</v>
      </c>
      <c r="P138" s="872">
        <v>43679</v>
      </c>
      <c r="Q138" s="406">
        <v>0</v>
      </c>
      <c r="R138" s="406">
        <v>0</v>
      </c>
      <c r="S138" s="406">
        <v>0</v>
      </c>
      <c r="T138" s="406">
        <v>11750</v>
      </c>
      <c r="U138" s="406">
        <v>11750</v>
      </c>
      <c r="V138" s="11" t="s">
        <v>20155</v>
      </c>
      <c r="W138" s="407">
        <v>0</v>
      </c>
      <c r="X138" s="407">
        <v>0</v>
      </c>
      <c r="Y138" s="407">
        <v>0</v>
      </c>
      <c r="Z138" s="407">
        <v>45676.858</v>
      </c>
      <c r="AA138" s="408"/>
      <c r="AB138" s="408"/>
      <c r="AC138" s="408"/>
      <c r="AD138" s="408">
        <v>3.8873921702127658</v>
      </c>
      <c r="AE138" s="409"/>
      <c r="AF138" s="410">
        <v>850</v>
      </c>
      <c r="AG138" s="410">
        <v>7.2340425531914887E-2</v>
      </c>
      <c r="AH138" s="411"/>
      <c r="AI138" s="412"/>
      <c r="AJ138" s="411"/>
      <c r="AK138" s="411">
        <v>3.8150517446808507</v>
      </c>
      <c r="AL138" s="18"/>
      <c r="AM138" s="49"/>
      <c r="AN138" s="2"/>
      <c r="AO138" s="2"/>
    </row>
    <row r="139" spans="1:41" ht="18.600000000000001" hidden="1" customHeight="1">
      <c r="A139" s="14">
        <v>137</v>
      </c>
      <c r="B139" s="11" t="s">
        <v>149</v>
      </c>
      <c r="C139" s="14">
        <v>0</v>
      </c>
      <c r="D139" s="11" t="s">
        <v>17660</v>
      </c>
      <c r="E139" s="11" t="s">
        <v>149</v>
      </c>
      <c r="F139" s="12">
        <v>43641</v>
      </c>
      <c r="G139" s="11">
        <v>2019</v>
      </c>
      <c r="H139" s="11" t="s">
        <v>16444</v>
      </c>
      <c r="I139" s="11" t="s">
        <v>16445</v>
      </c>
      <c r="J139" s="11" t="s">
        <v>3</v>
      </c>
      <c r="K139" s="404">
        <v>565215</v>
      </c>
      <c r="L139" s="11">
        <v>1</v>
      </c>
      <c r="M139" s="405">
        <v>565215</v>
      </c>
      <c r="N139" s="11" t="s">
        <v>20155</v>
      </c>
      <c r="O139" s="11" t="s">
        <v>17801</v>
      </c>
      <c r="P139" s="872">
        <v>43649</v>
      </c>
      <c r="Q139" s="406">
        <v>0</v>
      </c>
      <c r="R139" s="406">
        <v>297000</v>
      </c>
      <c r="S139" s="406">
        <v>140000</v>
      </c>
      <c r="T139" s="406">
        <v>0</v>
      </c>
      <c r="U139" s="406">
        <v>437000</v>
      </c>
      <c r="V139" s="11" t="s">
        <v>20155</v>
      </c>
      <c r="W139" s="407">
        <v>0</v>
      </c>
      <c r="X139" s="407">
        <v>384615</v>
      </c>
      <c r="Y139" s="407">
        <v>180600</v>
      </c>
      <c r="Z139" s="407">
        <v>0</v>
      </c>
      <c r="AA139" s="408"/>
      <c r="AB139" s="408">
        <v>1.2949999999999999</v>
      </c>
      <c r="AC139" s="408">
        <v>1.29</v>
      </c>
      <c r="AD139" s="408"/>
      <c r="AE139" s="409"/>
      <c r="AF139" s="410">
        <v>0</v>
      </c>
      <c r="AG139" s="410">
        <v>0</v>
      </c>
      <c r="AH139" s="411"/>
      <c r="AI139" s="412">
        <v>1.2949999999999999</v>
      </c>
      <c r="AJ139" s="411">
        <v>1.29</v>
      </c>
      <c r="AK139" s="411"/>
      <c r="AL139" s="18"/>
      <c r="AM139" s="49"/>
      <c r="AN139" s="2"/>
      <c r="AO139" s="2"/>
    </row>
    <row r="140" spans="1:41" ht="18.600000000000001" hidden="1" customHeight="1">
      <c r="A140" s="14">
        <v>138</v>
      </c>
      <c r="B140" s="11" t="s">
        <v>150</v>
      </c>
      <c r="C140" s="14">
        <v>0</v>
      </c>
      <c r="D140" s="11" t="s">
        <v>17661</v>
      </c>
      <c r="E140" s="11" t="s">
        <v>150</v>
      </c>
      <c r="F140" s="12">
        <v>43641</v>
      </c>
      <c r="G140" s="11">
        <v>2019</v>
      </c>
      <c r="H140" s="11" t="s">
        <v>17207</v>
      </c>
      <c r="I140" s="11" t="s">
        <v>16900</v>
      </c>
      <c r="J140" s="11" t="s">
        <v>3</v>
      </c>
      <c r="K140" s="404">
        <v>85248</v>
      </c>
      <c r="L140" s="11">
        <v>1</v>
      </c>
      <c r="M140" s="405">
        <v>85248</v>
      </c>
      <c r="N140" s="11" t="s">
        <v>20155</v>
      </c>
      <c r="O140" s="11" t="s">
        <v>17798</v>
      </c>
      <c r="P140" s="872">
        <v>43697</v>
      </c>
      <c r="Q140" s="406">
        <v>57600</v>
      </c>
      <c r="R140" s="406">
        <v>0</v>
      </c>
      <c r="S140" s="406">
        <v>0</v>
      </c>
      <c r="T140" s="406">
        <v>0</v>
      </c>
      <c r="U140" s="406">
        <v>57600</v>
      </c>
      <c r="V140" s="11" t="s">
        <v>20155</v>
      </c>
      <c r="W140" s="407">
        <v>85248</v>
      </c>
      <c r="X140" s="407">
        <v>0</v>
      </c>
      <c r="Y140" s="407">
        <v>0</v>
      </c>
      <c r="Z140" s="407">
        <v>0</v>
      </c>
      <c r="AA140" s="408">
        <v>1.48</v>
      </c>
      <c r="AB140" s="408"/>
      <c r="AC140" s="408"/>
      <c r="AD140" s="408"/>
      <c r="AE140" s="409"/>
      <c r="AF140" s="410">
        <v>0</v>
      </c>
      <c r="AG140" s="410">
        <v>0</v>
      </c>
      <c r="AH140" s="411">
        <v>1.48</v>
      </c>
      <c r="AI140" s="412"/>
      <c r="AJ140" s="411"/>
      <c r="AK140" s="411"/>
      <c r="AL140" s="18"/>
      <c r="AM140" s="49"/>
      <c r="AN140" s="2"/>
      <c r="AO140" s="2"/>
    </row>
    <row r="141" spans="1:41" ht="18.600000000000001" hidden="1" customHeight="1">
      <c r="A141" s="14">
        <v>139</v>
      </c>
      <c r="B141" s="11" t="s">
        <v>151</v>
      </c>
      <c r="C141" s="14">
        <v>0</v>
      </c>
      <c r="D141" s="11" t="s">
        <v>17662</v>
      </c>
      <c r="E141" s="11" t="s">
        <v>151</v>
      </c>
      <c r="F141" s="12">
        <v>43641</v>
      </c>
      <c r="G141" s="11">
        <v>2019</v>
      </c>
      <c r="H141" s="11" t="s">
        <v>16643</v>
      </c>
      <c r="I141" s="11" t="s">
        <v>16644</v>
      </c>
      <c r="J141" s="11" t="s">
        <v>16482</v>
      </c>
      <c r="K141" s="404">
        <v>106290.00539999999</v>
      </c>
      <c r="L141" s="11">
        <v>3.2753999999999999</v>
      </c>
      <c r="M141" s="405">
        <v>32451</v>
      </c>
      <c r="N141" s="11" t="s">
        <v>20155</v>
      </c>
      <c r="O141" s="11" t="s">
        <v>20159</v>
      </c>
      <c r="P141" s="872">
        <v>43647</v>
      </c>
      <c r="Q141" s="406">
        <v>0</v>
      </c>
      <c r="R141" s="406">
        <v>59400</v>
      </c>
      <c r="S141" s="406">
        <v>0</v>
      </c>
      <c r="T141" s="406">
        <v>0</v>
      </c>
      <c r="U141" s="406">
        <v>59400</v>
      </c>
      <c r="V141" s="11" t="s">
        <v>20155</v>
      </c>
      <c r="W141" s="407">
        <v>0</v>
      </c>
      <c r="X141" s="407">
        <v>80741.885400000014</v>
      </c>
      <c r="Y141" s="407">
        <v>0</v>
      </c>
      <c r="Z141" s="407">
        <v>0</v>
      </c>
      <c r="AA141" s="408"/>
      <c r="AB141" s="408">
        <v>1.3592910000000002</v>
      </c>
      <c r="AC141" s="408"/>
      <c r="AD141" s="408"/>
      <c r="AE141" s="409"/>
      <c r="AF141" s="410">
        <v>29286.99</v>
      </c>
      <c r="AG141" s="410">
        <v>0.49304696969696971</v>
      </c>
      <c r="AH141" s="411"/>
      <c r="AI141" s="412">
        <v>0.86624403030303054</v>
      </c>
      <c r="AJ141" s="411"/>
      <c r="AK141" s="411"/>
      <c r="AL141" s="18"/>
      <c r="AM141" s="49"/>
      <c r="AN141" s="2"/>
      <c r="AO141" s="2"/>
    </row>
    <row r="142" spans="1:41" ht="18.600000000000001" hidden="1" customHeight="1">
      <c r="A142" s="14">
        <v>140</v>
      </c>
      <c r="B142" s="11" t="s">
        <v>152</v>
      </c>
      <c r="C142" s="14">
        <v>0</v>
      </c>
      <c r="D142" s="11" t="s">
        <v>17663</v>
      </c>
      <c r="E142" s="11" t="s">
        <v>152</v>
      </c>
      <c r="F142" s="12">
        <v>43641</v>
      </c>
      <c r="G142" s="11">
        <v>2019</v>
      </c>
      <c r="H142" s="11" t="s">
        <v>16470</v>
      </c>
      <c r="I142" s="11" t="s">
        <v>16471</v>
      </c>
      <c r="J142" s="11" t="s">
        <v>16401</v>
      </c>
      <c r="K142" s="404">
        <v>348446.20799999998</v>
      </c>
      <c r="L142" s="11">
        <v>2.8864000000000001</v>
      </c>
      <c r="M142" s="405">
        <v>120720</v>
      </c>
      <c r="N142" s="11" t="s">
        <v>20155</v>
      </c>
      <c r="O142" s="11" t="s">
        <v>20159</v>
      </c>
      <c r="P142" s="872">
        <v>43655</v>
      </c>
      <c r="Q142" s="406">
        <v>12000</v>
      </c>
      <c r="R142" s="406">
        <v>192000</v>
      </c>
      <c r="S142" s="406">
        <v>0</v>
      </c>
      <c r="T142" s="406">
        <v>0</v>
      </c>
      <c r="U142" s="406">
        <v>204000</v>
      </c>
      <c r="V142" s="11" t="s">
        <v>20155</v>
      </c>
      <c r="W142" s="407">
        <v>17664.768000000004</v>
      </c>
      <c r="X142" s="407">
        <v>262373.75999999995</v>
      </c>
      <c r="Y142" s="407">
        <v>0</v>
      </c>
      <c r="Z142" s="407">
        <v>0</v>
      </c>
      <c r="AA142" s="408">
        <v>1.4720640000000003</v>
      </c>
      <c r="AB142" s="408">
        <v>1.3665299999999998</v>
      </c>
      <c r="AC142" s="408"/>
      <c r="AD142" s="408"/>
      <c r="AE142" s="409"/>
      <c r="AF142" s="410">
        <v>77669.34</v>
      </c>
      <c r="AG142" s="410">
        <v>0.3807320588235294</v>
      </c>
      <c r="AH142" s="411">
        <v>1.0913319411764708</v>
      </c>
      <c r="AI142" s="412">
        <v>0.98579794117647035</v>
      </c>
      <c r="AJ142" s="411"/>
      <c r="AK142" s="411"/>
      <c r="AL142" s="18"/>
      <c r="AM142" s="49"/>
      <c r="AN142" s="2"/>
      <c r="AO142" s="2"/>
    </row>
    <row r="143" spans="1:41" ht="18.600000000000001" hidden="1" customHeight="1">
      <c r="A143" s="14">
        <v>141</v>
      </c>
      <c r="B143" s="11" t="s">
        <v>153</v>
      </c>
      <c r="C143" s="14">
        <v>0</v>
      </c>
      <c r="D143" s="11" t="s">
        <v>17664</v>
      </c>
      <c r="E143" s="11" t="s">
        <v>153</v>
      </c>
      <c r="F143" s="12">
        <v>43641</v>
      </c>
      <c r="G143" s="11">
        <v>2019</v>
      </c>
      <c r="H143" s="11" t="s">
        <v>16560</v>
      </c>
      <c r="I143" s="11" t="s">
        <v>16561</v>
      </c>
      <c r="J143" s="11" t="s">
        <v>16482</v>
      </c>
      <c r="K143" s="404">
        <v>151004.304</v>
      </c>
      <c r="L143" s="11">
        <v>3.2515999999999998</v>
      </c>
      <c r="M143" s="405">
        <v>46440</v>
      </c>
      <c r="N143" s="11" t="s">
        <v>20155</v>
      </c>
      <c r="O143" s="11" t="s">
        <v>17801</v>
      </c>
      <c r="P143" s="872">
        <v>43656</v>
      </c>
      <c r="Q143" s="406">
        <v>0</v>
      </c>
      <c r="R143" s="406">
        <v>0</v>
      </c>
      <c r="S143" s="406">
        <v>108000</v>
      </c>
      <c r="T143" s="406">
        <v>0</v>
      </c>
      <c r="U143" s="406">
        <v>108000</v>
      </c>
      <c r="V143" s="11" t="s">
        <v>20155</v>
      </c>
      <c r="W143" s="407">
        <v>0</v>
      </c>
      <c r="X143" s="407">
        <v>0</v>
      </c>
      <c r="Y143" s="407">
        <v>151004.304</v>
      </c>
      <c r="Z143" s="407">
        <v>0</v>
      </c>
      <c r="AA143" s="408"/>
      <c r="AB143" s="408"/>
      <c r="AC143" s="408">
        <v>1.398188</v>
      </c>
      <c r="AD143" s="408"/>
      <c r="AE143" s="409"/>
      <c r="AF143" s="410">
        <v>17342.5</v>
      </c>
      <c r="AG143" s="410">
        <v>0.1605787037037037</v>
      </c>
      <c r="AH143" s="411"/>
      <c r="AI143" s="412"/>
      <c r="AJ143" s="411">
        <v>1.2376092962962963</v>
      </c>
      <c r="AK143" s="411"/>
      <c r="AL143" s="18"/>
      <c r="AM143" s="49"/>
      <c r="AN143" s="2"/>
      <c r="AO143" s="2"/>
    </row>
    <row r="144" spans="1:41" ht="18.600000000000001" hidden="1" customHeight="1">
      <c r="A144" s="14">
        <v>142</v>
      </c>
      <c r="B144" s="11" t="s">
        <v>154</v>
      </c>
      <c r="C144" s="14">
        <v>0</v>
      </c>
      <c r="D144" s="11" t="s">
        <v>17665</v>
      </c>
      <c r="E144" s="11" t="s">
        <v>154</v>
      </c>
      <c r="F144" s="12">
        <v>43641</v>
      </c>
      <c r="G144" s="11">
        <v>2019</v>
      </c>
      <c r="H144" s="11" t="s">
        <v>16560</v>
      </c>
      <c r="I144" s="11" t="s">
        <v>16561</v>
      </c>
      <c r="J144" s="11" t="s">
        <v>16482</v>
      </c>
      <c r="K144" s="404">
        <v>151004.304</v>
      </c>
      <c r="L144" s="11">
        <v>3.2515999999999998</v>
      </c>
      <c r="M144" s="405">
        <v>46440</v>
      </c>
      <c r="N144" s="11" t="s">
        <v>20155</v>
      </c>
      <c r="O144" s="11" t="s">
        <v>17801</v>
      </c>
      <c r="P144" s="872">
        <v>43657</v>
      </c>
      <c r="Q144" s="406">
        <v>0</v>
      </c>
      <c r="R144" s="406">
        <v>0</v>
      </c>
      <c r="S144" s="406">
        <v>108000</v>
      </c>
      <c r="T144" s="406">
        <v>0</v>
      </c>
      <c r="U144" s="406">
        <v>108000</v>
      </c>
      <c r="V144" s="11" t="s">
        <v>20155</v>
      </c>
      <c r="W144" s="407">
        <v>0</v>
      </c>
      <c r="X144" s="407">
        <v>0</v>
      </c>
      <c r="Y144" s="407">
        <v>151004.304</v>
      </c>
      <c r="Z144" s="407">
        <v>0</v>
      </c>
      <c r="AA144" s="408"/>
      <c r="AB144" s="408"/>
      <c r="AC144" s="408">
        <v>1.398188</v>
      </c>
      <c r="AD144" s="408"/>
      <c r="AE144" s="409"/>
      <c r="AF144" s="410">
        <v>17342.5</v>
      </c>
      <c r="AG144" s="410">
        <v>0.1605787037037037</v>
      </c>
      <c r="AH144" s="411"/>
      <c r="AI144" s="412"/>
      <c r="AJ144" s="411">
        <v>1.2376092962962963</v>
      </c>
      <c r="AK144" s="411"/>
      <c r="AL144" s="18"/>
      <c r="AM144" s="49"/>
      <c r="AN144" s="2"/>
      <c r="AO144" s="2"/>
    </row>
    <row r="145" spans="1:41" ht="18.600000000000001" hidden="1" customHeight="1">
      <c r="A145" s="14">
        <v>143</v>
      </c>
      <c r="B145" s="11" t="s">
        <v>155</v>
      </c>
      <c r="C145" s="14">
        <v>0</v>
      </c>
      <c r="D145" s="11" t="s">
        <v>17666</v>
      </c>
      <c r="E145" s="11" t="s">
        <v>155</v>
      </c>
      <c r="F145" s="12">
        <v>43641</v>
      </c>
      <c r="G145" s="11">
        <v>2019</v>
      </c>
      <c r="H145" s="11" t="s">
        <v>16560</v>
      </c>
      <c r="I145" s="11" t="s">
        <v>16561</v>
      </c>
      <c r="J145" s="11" t="s">
        <v>16482</v>
      </c>
      <c r="K145" s="404">
        <v>150570.09</v>
      </c>
      <c r="L145" s="11">
        <v>3.2422499999999999</v>
      </c>
      <c r="M145" s="405">
        <v>46440</v>
      </c>
      <c r="N145" s="11" t="s">
        <v>20155</v>
      </c>
      <c r="O145" s="11" t="s">
        <v>17801</v>
      </c>
      <c r="P145" s="872">
        <v>43658</v>
      </c>
      <c r="Q145" s="406">
        <v>0</v>
      </c>
      <c r="R145" s="406">
        <v>0</v>
      </c>
      <c r="S145" s="406">
        <v>108000</v>
      </c>
      <c r="T145" s="406">
        <v>0</v>
      </c>
      <c r="U145" s="406">
        <v>108000</v>
      </c>
      <c r="V145" s="11" t="s">
        <v>20155</v>
      </c>
      <c r="W145" s="407">
        <v>0</v>
      </c>
      <c r="X145" s="407">
        <v>0</v>
      </c>
      <c r="Y145" s="407">
        <v>150570.09</v>
      </c>
      <c r="Z145" s="407">
        <v>0</v>
      </c>
      <c r="AA145" s="408"/>
      <c r="AB145" s="408"/>
      <c r="AC145" s="408">
        <v>1.3941675</v>
      </c>
      <c r="AD145" s="408"/>
      <c r="AE145" s="409"/>
      <c r="AF145" s="410">
        <v>17342.5</v>
      </c>
      <c r="AG145" s="410">
        <v>0.1605787037037037</v>
      </c>
      <c r="AH145" s="411"/>
      <c r="AI145" s="412"/>
      <c r="AJ145" s="411">
        <v>1.2335887962962964</v>
      </c>
      <c r="AK145" s="411"/>
      <c r="AL145" s="18"/>
      <c r="AM145" s="49"/>
      <c r="AN145" s="2"/>
      <c r="AO145" s="2"/>
    </row>
    <row r="146" spans="1:41" ht="18.600000000000001" hidden="1" customHeight="1">
      <c r="A146" s="14">
        <v>144</v>
      </c>
      <c r="B146" s="11" t="s">
        <v>156</v>
      </c>
      <c r="C146" s="14">
        <v>0</v>
      </c>
      <c r="D146" s="11" t="s">
        <v>17667</v>
      </c>
      <c r="E146" s="11" t="s">
        <v>156</v>
      </c>
      <c r="F146" s="12">
        <v>43643</v>
      </c>
      <c r="G146" s="11">
        <v>2019</v>
      </c>
      <c r="H146" s="11" t="s">
        <v>16838</v>
      </c>
      <c r="I146" s="11" t="s">
        <v>16839</v>
      </c>
      <c r="J146" s="11" t="s">
        <v>3</v>
      </c>
      <c r="K146" s="404">
        <v>422553.59999999998</v>
      </c>
      <c r="L146" s="11">
        <v>1</v>
      </c>
      <c r="M146" s="405">
        <v>422553.59999999998</v>
      </c>
      <c r="N146" s="11" t="s">
        <v>20155</v>
      </c>
      <c r="O146" s="11" t="s">
        <v>17798</v>
      </c>
      <c r="P146" s="872">
        <v>43655</v>
      </c>
      <c r="Q146" s="406">
        <v>0</v>
      </c>
      <c r="R146" s="406">
        <v>308112</v>
      </c>
      <c r="S146" s="406">
        <v>0</v>
      </c>
      <c r="T146" s="406">
        <v>0</v>
      </c>
      <c r="U146" s="406">
        <v>308112</v>
      </c>
      <c r="V146" s="11" t="s">
        <v>20155</v>
      </c>
      <c r="W146" s="407">
        <v>0</v>
      </c>
      <c r="X146" s="407">
        <v>422553.59999999998</v>
      </c>
      <c r="Y146" s="407">
        <v>0</v>
      </c>
      <c r="Z146" s="407">
        <v>0</v>
      </c>
      <c r="AA146" s="408"/>
      <c r="AB146" s="408">
        <v>1.3714285714285714</v>
      </c>
      <c r="AC146" s="408"/>
      <c r="AD146" s="408"/>
      <c r="AE146" s="409"/>
      <c r="AF146" s="410">
        <v>0</v>
      </c>
      <c r="AG146" s="410">
        <v>0</v>
      </c>
      <c r="AH146" s="411"/>
      <c r="AI146" s="412">
        <v>1.3714285714285714</v>
      </c>
      <c r="AJ146" s="411"/>
      <c r="AK146" s="411"/>
      <c r="AL146" s="18"/>
      <c r="AM146" s="49"/>
      <c r="AN146" s="2"/>
      <c r="AO146" s="2"/>
    </row>
    <row r="147" spans="1:41" ht="18.600000000000001" hidden="1" customHeight="1">
      <c r="A147" s="14">
        <v>145</v>
      </c>
      <c r="B147" s="11" t="s">
        <v>157</v>
      </c>
      <c r="C147" s="14">
        <v>0</v>
      </c>
      <c r="D147" s="11" t="s">
        <v>17669</v>
      </c>
      <c r="E147" s="11" t="s">
        <v>157</v>
      </c>
      <c r="F147" s="12">
        <v>43647</v>
      </c>
      <c r="G147" s="11">
        <v>2019</v>
      </c>
      <c r="H147" s="11" t="s">
        <v>17017</v>
      </c>
      <c r="I147" s="11" t="s">
        <v>17018</v>
      </c>
      <c r="J147" s="11" t="s">
        <v>3</v>
      </c>
      <c r="K147" s="404">
        <v>31450</v>
      </c>
      <c r="L147" s="11">
        <v>1</v>
      </c>
      <c r="M147" s="405">
        <v>31450</v>
      </c>
      <c r="N147" s="11" t="s">
        <v>20155</v>
      </c>
      <c r="O147" s="11" t="s">
        <v>17238</v>
      </c>
      <c r="P147" s="872">
        <v>43650</v>
      </c>
      <c r="Q147" s="406">
        <v>21250</v>
      </c>
      <c r="R147" s="406">
        <v>0</v>
      </c>
      <c r="S147" s="406">
        <v>0</v>
      </c>
      <c r="T147" s="406">
        <v>0</v>
      </c>
      <c r="U147" s="406">
        <v>21250</v>
      </c>
      <c r="V147" s="11" t="s">
        <v>20155</v>
      </c>
      <c r="W147" s="407">
        <v>31450</v>
      </c>
      <c r="X147" s="407">
        <v>0</v>
      </c>
      <c r="Y147" s="407">
        <v>0</v>
      </c>
      <c r="Z147" s="407">
        <v>0</v>
      </c>
      <c r="AA147" s="408">
        <v>1.48</v>
      </c>
      <c r="AB147" s="408"/>
      <c r="AC147" s="408"/>
      <c r="AD147" s="408"/>
      <c r="AE147" s="409"/>
      <c r="AF147" s="410">
        <v>0</v>
      </c>
      <c r="AG147" s="410">
        <v>0</v>
      </c>
      <c r="AH147" s="411">
        <v>1.48</v>
      </c>
      <c r="AI147" s="412"/>
      <c r="AJ147" s="411"/>
      <c r="AK147" s="411"/>
      <c r="AL147" s="18"/>
      <c r="AM147" s="49"/>
      <c r="AN147" s="2"/>
      <c r="AO147" s="2"/>
    </row>
    <row r="148" spans="1:41" ht="18.600000000000001" hidden="1" customHeight="1">
      <c r="A148" s="14">
        <v>146</v>
      </c>
      <c r="B148" s="11" t="s">
        <v>158</v>
      </c>
      <c r="C148" s="14">
        <v>0</v>
      </c>
      <c r="D148" s="11" t="s">
        <v>17670</v>
      </c>
      <c r="E148" s="11" t="s">
        <v>158</v>
      </c>
      <c r="F148" s="12">
        <v>43647</v>
      </c>
      <c r="G148" s="11">
        <v>2019</v>
      </c>
      <c r="H148" s="11" t="s">
        <v>17017</v>
      </c>
      <c r="I148" s="11" t="s">
        <v>17018</v>
      </c>
      <c r="J148" s="11" t="s">
        <v>3</v>
      </c>
      <c r="K148" s="404">
        <v>32800</v>
      </c>
      <c r="L148" s="11">
        <v>1</v>
      </c>
      <c r="M148" s="405">
        <v>32800</v>
      </c>
      <c r="N148" s="11" t="s">
        <v>20155</v>
      </c>
      <c r="O148" s="11" t="s">
        <v>18064</v>
      </c>
      <c r="P148" s="872">
        <v>43651</v>
      </c>
      <c r="Q148" s="406">
        <v>0</v>
      </c>
      <c r="R148" s="406">
        <v>20000</v>
      </c>
      <c r="S148" s="406">
        <v>0</v>
      </c>
      <c r="T148" s="406">
        <v>0</v>
      </c>
      <c r="U148" s="406">
        <v>20000</v>
      </c>
      <c r="V148" s="11" t="s">
        <v>20155</v>
      </c>
      <c r="W148" s="407">
        <v>0</v>
      </c>
      <c r="X148" s="407">
        <v>32800</v>
      </c>
      <c r="Y148" s="407">
        <v>0</v>
      </c>
      <c r="Z148" s="407">
        <v>0</v>
      </c>
      <c r="AA148" s="408"/>
      <c r="AB148" s="408">
        <v>1.64</v>
      </c>
      <c r="AC148" s="408"/>
      <c r="AD148" s="408"/>
      <c r="AE148" s="409"/>
      <c r="AF148" s="410">
        <v>0</v>
      </c>
      <c r="AG148" s="410">
        <v>0</v>
      </c>
      <c r="AH148" s="411"/>
      <c r="AI148" s="412">
        <v>1.64</v>
      </c>
      <c r="AJ148" s="411"/>
      <c r="AK148" s="411"/>
      <c r="AL148" s="18"/>
      <c r="AM148" s="49"/>
      <c r="AN148" s="2"/>
      <c r="AO148" s="2"/>
    </row>
    <row r="149" spans="1:41" ht="18.600000000000001" hidden="1" customHeight="1">
      <c r="A149" s="14">
        <v>147</v>
      </c>
      <c r="B149" s="11" t="s">
        <v>159</v>
      </c>
      <c r="C149" s="14">
        <v>0</v>
      </c>
      <c r="D149" s="11" t="s">
        <v>17671</v>
      </c>
      <c r="E149" s="11" t="s">
        <v>159</v>
      </c>
      <c r="F149" s="12">
        <v>43650</v>
      </c>
      <c r="G149" s="11">
        <v>2019</v>
      </c>
      <c r="H149" s="11" t="s">
        <v>16444</v>
      </c>
      <c r="I149" s="11" t="s">
        <v>16445</v>
      </c>
      <c r="J149" s="11" t="s">
        <v>3</v>
      </c>
      <c r="K149" s="404">
        <v>31911.599999999999</v>
      </c>
      <c r="L149" s="11">
        <v>1</v>
      </c>
      <c r="M149" s="405">
        <v>31911.599999999999</v>
      </c>
      <c r="N149" s="11" t="s">
        <v>20155</v>
      </c>
      <c r="O149" s="11" t="s">
        <v>18248</v>
      </c>
      <c r="P149" s="872">
        <v>43656</v>
      </c>
      <c r="Q149" s="406">
        <v>22008</v>
      </c>
      <c r="R149" s="406">
        <v>0</v>
      </c>
      <c r="S149" s="406">
        <v>0</v>
      </c>
      <c r="T149" s="406">
        <v>0</v>
      </c>
      <c r="U149" s="406">
        <v>22008</v>
      </c>
      <c r="V149" s="11" t="s">
        <v>20155</v>
      </c>
      <c r="W149" s="407">
        <v>31911.599999999999</v>
      </c>
      <c r="X149" s="407">
        <v>0</v>
      </c>
      <c r="Y149" s="407">
        <v>0</v>
      </c>
      <c r="Z149" s="407">
        <v>0</v>
      </c>
      <c r="AA149" s="408">
        <v>1.4500000000000002</v>
      </c>
      <c r="AB149" s="408"/>
      <c r="AC149" s="408"/>
      <c r="AD149" s="408"/>
      <c r="AE149" s="409"/>
      <c r="AF149" s="410">
        <v>0</v>
      </c>
      <c r="AG149" s="410">
        <v>0</v>
      </c>
      <c r="AH149" s="411">
        <v>1.4500000000000002</v>
      </c>
      <c r="AI149" s="412"/>
      <c r="AJ149" s="411"/>
      <c r="AK149" s="411"/>
      <c r="AL149" s="18"/>
      <c r="AM149" s="49"/>
      <c r="AN149" s="2"/>
      <c r="AO149" s="2"/>
    </row>
    <row r="150" spans="1:41" ht="18.600000000000001" hidden="1" customHeight="1">
      <c r="A150" s="14">
        <v>148</v>
      </c>
      <c r="B150" s="11" t="s">
        <v>160</v>
      </c>
      <c r="C150" s="14">
        <v>0</v>
      </c>
      <c r="D150" s="11" t="s">
        <v>17672</v>
      </c>
      <c r="E150" s="11" t="s">
        <v>160</v>
      </c>
      <c r="F150" s="12">
        <v>43650</v>
      </c>
      <c r="G150" s="11">
        <v>2019</v>
      </c>
      <c r="H150" s="11" t="s">
        <v>16444</v>
      </c>
      <c r="I150" s="11" t="s">
        <v>16445</v>
      </c>
      <c r="J150" s="11" t="s">
        <v>3</v>
      </c>
      <c r="K150" s="404">
        <v>29340</v>
      </c>
      <c r="L150" s="11">
        <v>1</v>
      </c>
      <c r="M150" s="405">
        <v>29340</v>
      </c>
      <c r="N150" s="11" t="s">
        <v>20155</v>
      </c>
      <c r="O150" s="11" t="s">
        <v>17854</v>
      </c>
      <c r="P150" s="872">
        <v>43663</v>
      </c>
      <c r="Q150" s="406">
        <v>18000</v>
      </c>
      <c r="R150" s="406">
        <v>0</v>
      </c>
      <c r="S150" s="406">
        <v>0</v>
      </c>
      <c r="T150" s="406">
        <v>0</v>
      </c>
      <c r="U150" s="406">
        <v>18000</v>
      </c>
      <c r="V150" s="11" t="s">
        <v>20155</v>
      </c>
      <c r="W150" s="407">
        <v>29340</v>
      </c>
      <c r="X150" s="407">
        <v>0</v>
      </c>
      <c r="Y150" s="407">
        <v>0</v>
      </c>
      <c r="Z150" s="407">
        <v>0</v>
      </c>
      <c r="AA150" s="408">
        <v>1.63</v>
      </c>
      <c r="AB150" s="408"/>
      <c r="AC150" s="408"/>
      <c r="AD150" s="408"/>
      <c r="AE150" s="409"/>
      <c r="AF150" s="410">
        <v>0</v>
      </c>
      <c r="AG150" s="410">
        <v>0</v>
      </c>
      <c r="AH150" s="411">
        <v>1.63</v>
      </c>
      <c r="AI150" s="412"/>
      <c r="AJ150" s="411"/>
      <c r="AK150" s="411"/>
      <c r="AL150" s="18"/>
      <c r="AM150" s="49"/>
      <c r="AN150" s="2"/>
      <c r="AO150" s="2"/>
    </row>
    <row r="151" spans="1:41" ht="18.600000000000001" hidden="1" customHeight="1">
      <c r="A151" s="14">
        <v>149</v>
      </c>
      <c r="B151" s="11" t="s">
        <v>161</v>
      </c>
      <c r="C151" s="14">
        <v>0</v>
      </c>
      <c r="D151" s="11" t="s">
        <v>17674</v>
      </c>
      <c r="E151" s="11" t="s">
        <v>161</v>
      </c>
      <c r="F151" s="12">
        <v>43654</v>
      </c>
      <c r="G151" s="11">
        <v>2019</v>
      </c>
      <c r="H151" s="11" t="s">
        <v>16904</v>
      </c>
      <c r="I151" s="11" t="s">
        <v>16905</v>
      </c>
      <c r="J151" s="11" t="s">
        <v>16482</v>
      </c>
      <c r="K151" s="404">
        <v>48460.243127999995</v>
      </c>
      <c r="L151" s="11">
        <v>3.2275499999999999</v>
      </c>
      <c r="M151" s="405">
        <v>15014.56</v>
      </c>
      <c r="N151" s="11" t="s">
        <v>20155</v>
      </c>
      <c r="O151" s="11" t="s">
        <v>20160</v>
      </c>
      <c r="P151" s="872">
        <v>43665</v>
      </c>
      <c r="Q151" s="406">
        <v>0</v>
      </c>
      <c r="R151" s="406">
        <v>17736</v>
      </c>
      <c r="S151" s="406">
        <v>9600</v>
      </c>
      <c r="T151" s="406">
        <v>0</v>
      </c>
      <c r="U151" s="406">
        <v>27336</v>
      </c>
      <c r="V151" s="11" t="s">
        <v>20155</v>
      </c>
      <c r="W151" s="407">
        <v>0</v>
      </c>
      <c r="X151" s="407">
        <v>26332.160328000002</v>
      </c>
      <c r="Y151" s="407">
        <v>14059.2078</v>
      </c>
      <c r="Z151" s="407">
        <v>0</v>
      </c>
      <c r="AA151" s="408"/>
      <c r="AB151" s="408">
        <v>1.4846730000000001</v>
      </c>
      <c r="AC151" s="408">
        <v>1.4645008125000001</v>
      </c>
      <c r="AD151" s="408"/>
      <c r="AE151" s="409"/>
      <c r="AF151" s="410">
        <v>9772</v>
      </c>
      <c r="AG151" s="410">
        <v>0.3574773192859233</v>
      </c>
      <c r="AH151" s="411"/>
      <c r="AI151" s="412">
        <v>1.1271956807140768</v>
      </c>
      <c r="AJ151" s="411">
        <v>1.1070234932140768</v>
      </c>
      <c r="AK151" s="411"/>
      <c r="AL151" s="18"/>
      <c r="AM151" s="49"/>
      <c r="AN151" s="2"/>
      <c r="AO151" s="2"/>
    </row>
    <row r="152" spans="1:41" ht="18.600000000000001" hidden="1" customHeight="1">
      <c r="A152" s="14">
        <v>150</v>
      </c>
      <c r="B152" s="11" t="s">
        <v>162</v>
      </c>
      <c r="C152" s="14">
        <v>0</v>
      </c>
      <c r="D152" s="11" t="s">
        <v>17676</v>
      </c>
      <c r="E152" s="11" t="s">
        <v>162</v>
      </c>
      <c r="F152" s="12">
        <v>43654</v>
      </c>
      <c r="G152" s="11">
        <v>2019</v>
      </c>
      <c r="H152" s="11" t="s">
        <v>16384</v>
      </c>
      <c r="I152" s="11" t="s">
        <v>16385</v>
      </c>
      <c r="J152" s="11" t="s">
        <v>3</v>
      </c>
      <c r="K152" s="404">
        <v>33714</v>
      </c>
      <c r="L152" s="11">
        <v>1</v>
      </c>
      <c r="M152" s="405">
        <v>33714</v>
      </c>
      <c r="N152" s="11" t="s">
        <v>20155</v>
      </c>
      <c r="O152" s="11" t="s">
        <v>20170</v>
      </c>
      <c r="P152" s="872">
        <v>43670</v>
      </c>
      <c r="Q152" s="406">
        <v>4500</v>
      </c>
      <c r="R152" s="406">
        <v>18000</v>
      </c>
      <c r="S152" s="406">
        <v>0</v>
      </c>
      <c r="T152" s="406">
        <v>0</v>
      </c>
      <c r="U152" s="406">
        <v>22500</v>
      </c>
      <c r="V152" s="11" t="s">
        <v>20155</v>
      </c>
      <c r="W152" s="407">
        <v>6894</v>
      </c>
      <c r="X152" s="407">
        <v>26820</v>
      </c>
      <c r="Y152" s="407">
        <v>0</v>
      </c>
      <c r="Z152" s="407">
        <v>0</v>
      </c>
      <c r="AA152" s="408">
        <v>1.532</v>
      </c>
      <c r="AB152" s="408">
        <v>1.49</v>
      </c>
      <c r="AC152" s="408"/>
      <c r="AD152" s="408"/>
      <c r="AE152" s="409"/>
      <c r="AF152" s="410">
        <v>0</v>
      </c>
      <c r="AG152" s="410">
        <v>0</v>
      </c>
      <c r="AH152" s="411">
        <v>1.532</v>
      </c>
      <c r="AI152" s="412">
        <v>1.49</v>
      </c>
      <c r="AJ152" s="411"/>
      <c r="AK152" s="411"/>
      <c r="AL152" s="18"/>
      <c r="AM152" s="49"/>
      <c r="AN152" s="2"/>
      <c r="AO152" s="2"/>
    </row>
    <row r="153" spans="1:41" ht="18.600000000000001" hidden="1" customHeight="1">
      <c r="A153" s="14">
        <v>151</v>
      </c>
      <c r="B153" s="11" t="s">
        <v>163</v>
      </c>
      <c r="C153" s="14">
        <v>0</v>
      </c>
      <c r="D153" s="11" t="s">
        <v>17678</v>
      </c>
      <c r="E153" s="11" t="s">
        <v>163</v>
      </c>
      <c r="F153" s="12">
        <v>43654</v>
      </c>
      <c r="G153" s="11">
        <v>2019</v>
      </c>
      <c r="H153" s="11" t="s">
        <v>17017</v>
      </c>
      <c r="I153" s="11" t="s">
        <v>17018</v>
      </c>
      <c r="J153" s="11" t="s">
        <v>3</v>
      </c>
      <c r="K153" s="404">
        <v>17192.759999999998</v>
      </c>
      <c r="L153" s="11">
        <v>1</v>
      </c>
      <c r="M153" s="405">
        <v>17192.759999999998</v>
      </c>
      <c r="N153" s="11" t="s">
        <v>20155</v>
      </c>
      <c r="O153" s="11" t="s">
        <v>17689</v>
      </c>
      <c r="P153" s="872">
        <v>43663</v>
      </c>
      <c r="Q153" s="406">
        <v>2088</v>
      </c>
      <c r="R153" s="406">
        <v>6444</v>
      </c>
      <c r="S153" s="406">
        <v>1260</v>
      </c>
      <c r="T153" s="406">
        <v>992</v>
      </c>
      <c r="U153" s="406">
        <v>10784</v>
      </c>
      <c r="V153" s="11" t="s">
        <v>20155</v>
      </c>
      <c r="W153" s="407">
        <v>3167.28</v>
      </c>
      <c r="X153" s="407">
        <v>9888.7800000000007</v>
      </c>
      <c r="Y153" s="407">
        <v>1915.2</v>
      </c>
      <c r="Z153" s="407">
        <v>2221.5</v>
      </c>
      <c r="AA153" s="408">
        <v>1.516896551724138</v>
      </c>
      <c r="AB153" s="408">
        <v>1.5345716945996277</v>
      </c>
      <c r="AC153" s="408">
        <v>1.52</v>
      </c>
      <c r="AD153" s="408">
        <v>2.239415322580645</v>
      </c>
      <c r="AE153" s="409"/>
      <c r="AF153" s="410">
        <v>0</v>
      </c>
      <c r="AG153" s="410">
        <v>0</v>
      </c>
      <c r="AH153" s="411">
        <v>1.516896551724138</v>
      </c>
      <c r="AI153" s="412">
        <v>1.5345716945996277</v>
      </c>
      <c r="AJ153" s="411">
        <v>1.52</v>
      </c>
      <c r="AK153" s="411">
        <v>2.239415322580645</v>
      </c>
      <c r="AL153" s="18"/>
      <c r="AM153" s="49"/>
      <c r="AN153" s="2"/>
      <c r="AO153" s="2"/>
    </row>
    <row r="154" spans="1:41" ht="18.600000000000001" hidden="1" customHeight="1">
      <c r="A154" s="14">
        <v>152</v>
      </c>
      <c r="B154" s="11" t="s">
        <v>164</v>
      </c>
      <c r="C154" s="14">
        <v>0</v>
      </c>
      <c r="D154" s="11" t="s">
        <v>17679</v>
      </c>
      <c r="E154" s="11" t="s">
        <v>164</v>
      </c>
      <c r="F154" s="12">
        <v>43654</v>
      </c>
      <c r="G154" s="11">
        <v>2019</v>
      </c>
      <c r="H154" s="11" t="s">
        <v>17017</v>
      </c>
      <c r="I154" s="11" t="s">
        <v>17018</v>
      </c>
      <c r="J154" s="11" t="s">
        <v>3</v>
      </c>
      <c r="K154" s="404">
        <v>79632</v>
      </c>
      <c r="L154" s="11">
        <v>1</v>
      </c>
      <c r="M154" s="405">
        <v>79632</v>
      </c>
      <c r="N154" s="11" t="s">
        <v>20155</v>
      </c>
      <c r="O154" s="11" t="s">
        <v>20158</v>
      </c>
      <c r="P154" s="872">
        <v>43664</v>
      </c>
      <c r="Q154" s="406">
        <v>0</v>
      </c>
      <c r="R154" s="406">
        <v>0</v>
      </c>
      <c r="S154" s="406">
        <v>50400</v>
      </c>
      <c r="T154" s="406">
        <v>0</v>
      </c>
      <c r="U154" s="406">
        <v>50400</v>
      </c>
      <c r="V154" s="11" t="s">
        <v>20155</v>
      </c>
      <c r="W154" s="407">
        <v>0</v>
      </c>
      <c r="X154" s="407">
        <v>0</v>
      </c>
      <c r="Y154" s="407">
        <v>79632</v>
      </c>
      <c r="Z154" s="407">
        <v>0</v>
      </c>
      <c r="AA154" s="408"/>
      <c r="AB154" s="408"/>
      <c r="AC154" s="408">
        <v>1.58</v>
      </c>
      <c r="AD154" s="408"/>
      <c r="AE154" s="409"/>
      <c r="AF154" s="410">
        <v>0</v>
      </c>
      <c r="AG154" s="410">
        <v>0</v>
      </c>
      <c r="AH154" s="411"/>
      <c r="AI154" s="412"/>
      <c r="AJ154" s="411">
        <v>1.58</v>
      </c>
      <c r="AK154" s="411"/>
      <c r="AL154" s="18"/>
      <c r="AM154" s="49"/>
      <c r="AN154" s="2"/>
      <c r="AO154" s="2"/>
    </row>
    <row r="155" spans="1:41" ht="18.600000000000001" hidden="1" customHeight="1">
      <c r="A155" s="14">
        <v>153</v>
      </c>
      <c r="B155" s="11" t="s">
        <v>165</v>
      </c>
      <c r="C155" s="14">
        <v>0</v>
      </c>
      <c r="D155" s="11" t="s">
        <v>17680</v>
      </c>
      <c r="E155" s="11" t="s">
        <v>165</v>
      </c>
      <c r="F155" s="12">
        <v>43654</v>
      </c>
      <c r="G155" s="11">
        <v>2019</v>
      </c>
      <c r="H155" s="11" t="s">
        <v>17017</v>
      </c>
      <c r="I155" s="11" t="s">
        <v>17018</v>
      </c>
      <c r="J155" s="11" t="s">
        <v>3</v>
      </c>
      <c r="K155" s="404">
        <v>33461.616000000002</v>
      </c>
      <c r="L155" s="11">
        <v>1</v>
      </c>
      <c r="M155" s="405">
        <v>33461.616000000002</v>
      </c>
      <c r="N155" s="11" t="s">
        <v>20155</v>
      </c>
      <c r="O155" s="11" t="s">
        <v>17238</v>
      </c>
      <c r="P155" s="872">
        <v>43662</v>
      </c>
      <c r="Q155" s="406">
        <v>0</v>
      </c>
      <c r="R155" s="406">
        <v>20157.599999999999</v>
      </c>
      <c r="S155" s="406">
        <v>0</v>
      </c>
      <c r="T155" s="406">
        <v>0</v>
      </c>
      <c r="U155" s="406">
        <v>20157.599999999999</v>
      </c>
      <c r="V155" s="11" t="s">
        <v>20155</v>
      </c>
      <c r="W155" s="407">
        <v>0</v>
      </c>
      <c r="X155" s="407">
        <v>33461.616000000002</v>
      </c>
      <c r="Y155" s="407">
        <v>0</v>
      </c>
      <c r="Z155" s="407">
        <v>0</v>
      </c>
      <c r="AA155" s="408"/>
      <c r="AB155" s="408">
        <v>1.66</v>
      </c>
      <c r="AC155" s="408"/>
      <c r="AD155" s="408"/>
      <c r="AE155" s="409"/>
      <c r="AF155" s="410">
        <v>0</v>
      </c>
      <c r="AG155" s="410">
        <v>0</v>
      </c>
      <c r="AH155" s="411"/>
      <c r="AI155" s="412">
        <v>1.66</v>
      </c>
      <c r="AJ155" s="411"/>
      <c r="AK155" s="411"/>
      <c r="AL155" s="18"/>
      <c r="AM155" s="49"/>
      <c r="AN155" s="2"/>
      <c r="AO155" s="2"/>
    </row>
    <row r="156" spans="1:41" ht="18.600000000000001" hidden="1" customHeight="1">
      <c r="A156" s="14">
        <v>154</v>
      </c>
      <c r="B156" s="11" t="s">
        <v>166</v>
      </c>
      <c r="C156" s="14">
        <v>0</v>
      </c>
      <c r="D156" s="11" t="s">
        <v>17681</v>
      </c>
      <c r="E156" s="11" t="s">
        <v>166</v>
      </c>
      <c r="F156" s="12">
        <v>43654</v>
      </c>
      <c r="G156" s="11">
        <v>2019</v>
      </c>
      <c r="H156" s="11" t="s">
        <v>17017</v>
      </c>
      <c r="I156" s="11" t="s">
        <v>17018</v>
      </c>
      <c r="J156" s="11" t="s">
        <v>3</v>
      </c>
      <c r="K156" s="404">
        <v>33461.616000000002</v>
      </c>
      <c r="L156" s="11">
        <v>1</v>
      </c>
      <c r="M156" s="405">
        <v>33461.616000000002</v>
      </c>
      <c r="N156" s="11" t="s">
        <v>20155</v>
      </c>
      <c r="O156" s="11" t="s">
        <v>17238</v>
      </c>
      <c r="P156" s="872">
        <v>43693</v>
      </c>
      <c r="Q156" s="423">
        <v>0</v>
      </c>
      <c r="R156" s="423">
        <v>20157.599999999999</v>
      </c>
      <c r="S156" s="423">
        <v>0</v>
      </c>
      <c r="T156" s="423">
        <v>0</v>
      </c>
      <c r="U156" s="423">
        <v>20157.599999999999</v>
      </c>
      <c r="V156" s="11" t="s">
        <v>20155</v>
      </c>
      <c r="W156" s="407">
        <v>0</v>
      </c>
      <c r="X156" s="407">
        <v>33461.616000000002</v>
      </c>
      <c r="Y156" s="407">
        <v>0</v>
      </c>
      <c r="Z156" s="407">
        <v>0</v>
      </c>
      <c r="AA156" s="408"/>
      <c r="AB156" s="408">
        <v>1.66</v>
      </c>
      <c r="AC156" s="408"/>
      <c r="AD156" s="408"/>
      <c r="AE156" s="409"/>
      <c r="AF156" s="410">
        <v>0</v>
      </c>
      <c r="AG156" s="410">
        <v>0</v>
      </c>
      <c r="AH156" s="411"/>
      <c r="AI156" s="412">
        <v>1.66</v>
      </c>
      <c r="AJ156" s="411"/>
      <c r="AK156" s="411"/>
      <c r="AL156" s="18"/>
      <c r="AM156" s="49"/>
      <c r="AN156" s="2"/>
      <c r="AO156" s="2"/>
    </row>
    <row r="157" spans="1:41" ht="18.600000000000001" hidden="1" customHeight="1">
      <c r="A157" s="14">
        <v>155</v>
      </c>
      <c r="B157" s="11" t="s">
        <v>167</v>
      </c>
      <c r="C157" s="14">
        <v>0</v>
      </c>
      <c r="D157" s="11" t="s">
        <v>17682</v>
      </c>
      <c r="E157" s="11" t="s">
        <v>167</v>
      </c>
      <c r="F157" s="12">
        <v>43654</v>
      </c>
      <c r="G157" s="11">
        <v>2019</v>
      </c>
      <c r="H157" s="11" t="s">
        <v>17017</v>
      </c>
      <c r="I157" s="11" t="s">
        <v>17018</v>
      </c>
      <c r="J157" s="11" t="s">
        <v>3</v>
      </c>
      <c r="K157" s="404">
        <v>26577.407999999999</v>
      </c>
      <c r="L157" s="11">
        <v>1</v>
      </c>
      <c r="M157" s="405">
        <v>26577.407999999999</v>
      </c>
      <c r="N157" s="11" t="s">
        <v>20155</v>
      </c>
      <c r="O157" s="11" t="s">
        <v>20158</v>
      </c>
      <c r="P157" s="872">
        <v>43666</v>
      </c>
      <c r="Q157" s="423">
        <v>0</v>
      </c>
      <c r="R157" s="423">
        <v>537.6</v>
      </c>
      <c r="S157" s="423">
        <v>16396.800000000003</v>
      </c>
      <c r="T157" s="423">
        <v>0</v>
      </c>
      <c r="U157" s="423">
        <v>16934.400000000001</v>
      </c>
      <c r="V157" s="11" t="s">
        <v>20155</v>
      </c>
      <c r="W157" s="407">
        <v>0</v>
      </c>
      <c r="X157" s="407">
        <v>850.08</v>
      </c>
      <c r="Y157" s="407">
        <v>25727.327999999998</v>
      </c>
      <c r="Z157" s="407">
        <v>0</v>
      </c>
      <c r="AA157" s="408"/>
      <c r="AB157" s="408">
        <v>1.58125</v>
      </c>
      <c r="AC157" s="408">
        <v>1.5690456674473063</v>
      </c>
      <c r="AD157" s="408"/>
      <c r="AE157" s="409"/>
      <c r="AF157" s="410">
        <v>0</v>
      </c>
      <c r="AG157" s="410">
        <v>0</v>
      </c>
      <c r="AH157" s="411"/>
      <c r="AI157" s="412">
        <v>1.58125</v>
      </c>
      <c r="AJ157" s="411">
        <v>1.5690456674473063</v>
      </c>
      <c r="AK157" s="411"/>
      <c r="AL157" s="18"/>
      <c r="AM157" s="49"/>
      <c r="AN157" s="2"/>
      <c r="AO157" s="2"/>
    </row>
    <row r="158" spans="1:41" ht="18.600000000000001" hidden="1" customHeight="1">
      <c r="A158" s="14">
        <v>156</v>
      </c>
      <c r="B158" s="11" t="s">
        <v>168</v>
      </c>
      <c r="C158" s="14">
        <v>0</v>
      </c>
      <c r="D158" s="11" t="s">
        <v>17684</v>
      </c>
      <c r="E158" s="11" t="s">
        <v>168</v>
      </c>
      <c r="F158" s="12">
        <v>43661</v>
      </c>
      <c r="G158" s="11">
        <v>2019</v>
      </c>
      <c r="H158" s="11" t="s">
        <v>16838</v>
      </c>
      <c r="I158" s="11" t="s">
        <v>16839</v>
      </c>
      <c r="J158" s="11" t="s">
        <v>3</v>
      </c>
      <c r="K158" s="404">
        <v>364452.48</v>
      </c>
      <c r="L158" s="11">
        <v>1</v>
      </c>
      <c r="M158" s="405">
        <v>364452.48</v>
      </c>
      <c r="N158" s="11" t="s">
        <v>20155</v>
      </c>
      <c r="O158" s="11" t="s">
        <v>17798</v>
      </c>
      <c r="P158" s="872">
        <v>43669</v>
      </c>
      <c r="Q158" s="423">
        <v>0</v>
      </c>
      <c r="R158" s="423">
        <v>264096</v>
      </c>
      <c r="S158" s="423">
        <v>0</v>
      </c>
      <c r="T158" s="423">
        <v>0</v>
      </c>
      <c r="U158" s="423">
        <v>264096</v>
      </c>
      <c r="V158" s="11" t="s">
        <v>20155</v>
      </c>
      <c r="W158" s="407">
        <v>0</v>
      </c>
      <c r="X158" s="407">
        <v>364452.48</v>
      </c>
      <c r="Y158" s="407">
        <v>0</v>
      </c>
      <c r="Z158" s="407">
        <v>0</v>
      </c>
      <c r="AA158" s="408"/>
      <c r="AB158" s="408">
        <v>1.38</v>
      </c>
      <c r="AC158" s="408"/>
      <c r="AD158" s="408"/>
      <c r="AE158" s="409"/>
      <c r="AF158" s="410">
        <v>0</v>
      </c>
      <c r="AG158" s="410">
        <v>0</v>
      </c>
      <c r="AH158" s="411"/>
      <c r="AI158" s="412">
        <v>1.38</v>
      </c>
      <c r="AJ158" s="411"/>
      <c r="AK158" s="411"/>
      <c r="AL158" s="18"/>
      <c r="AM158" s="49"/>
      <c r="AN158" s="2"/>
      <c r="AO158" s="2"/>
    </row>
    <row r="159" spans="1:41" ht="18.600000000000001" hidden="1" customHeight="1">
      <c r="A159" s="424">
        <v>157</v>
      </c>
      <c r="B159" s="425" t="s">
        <v>169</v>
      </c>
      <c r="C159" s="424">
        <v>0</v>
      </c>
      <c r="D159" s="425" t="s">
        <v>20176</v>
      </c>
      <c r="E159" s="425" t="s">
        <v>169</v>
      </c>
      <c r="F159" s="426">
        <v>43668</v>
      </c>
      <c r="G159" s="425">
        <v>2019</v>
      </c>
      <c r="H159" s="425" t="s">
        <v>17150</v>
      </c>
      <c r="I159" s="425" t="s">
        <v>17151</v>
      </c>
      <c r="J159" s="425" t="s">
        <v>16482</v>
      </c>
      <c r="K159" s="427"/>
      <c r="L159" s="425"/>
      <c r="M159" s="428"/>
      <c r="N159" s="425" t="s">
        <v>20164</v>
      </c>
      <c r="O159" s="425" t="s">
        <v>20164</v>
      </c>
      <c r="P159" s="872" t="s">
        <v>20164</v>
      </c>
      <c r="Q159" s="429"/>
      <c r="R159" s="429"/>
      <c r="S159" s="429"/>
      <c r="T159" s="429"/>
      <c r="U159" s="429"/>
      <c r="V159" s="425" t="s">
        <v>20164</v>
      </c>
      <c r="W159" s="430"/>
      <c r="X159" s="430"/>
      <c r="Y159" s="430"/>
      <c r="Z159" s="430"/>
      <c r="AA159" s="431"/>
      <c r="AB159" s="431"/>
      <c r="AC159" s="431"/>
      <c r="AD159" s="431"/>
      <c r="AE159" s="432"/>
      <c r="AF159" s="433">
        <v>0</v>
      </c>
      <c r="AG159" s="433"/>
      <c r="AH159" s="412">
        <v>0</v>
      </c>
      <c r="AI159" s="412">
        <v>0</v>
      </c>
      <c r="AJ159" s="412">
        <v>0</v>
      </c>
      <c r="AK159" s="412">
        <v>0</v>
      </c>
      <c r="AL159" s="434"/>
      <c r="AM159" s="435"/>
      <c r="AN159" s="33"/>
      <c r="AO159" s="33"/>
    </row>
    <row r="160" spans="1:41" ht="18.600000000000001" hidden="1" customHeight="1">
      <c r="A160" s="14">
        <v>158</v>
      </c>
      <c r="B160" s="11" t="s">
        <v>170</v>
      </c>
      <c r="C160" s="14">
        <v>0</v>
      </c>
      <c r="D160" s="11" t="s">
        <v>17686</v>
      </c>
      <c r="E160" s="11" t="s">
        <v>170</v>
      </c>
      <c r="F160" s="12">
        <v>43669</v>
      </c>
      <c r="G160" s="11">
        <v>2019</v>
      </c>
      <c r="H160" s="11" t="s">
        <v>17119</v>
      </c>
      <c r="I160" s="11" t="s">
        <v>17120</v>
      </c>
      <c r="J160" s="11" t="s">
        <v>16401</v>
      </c>
      <c r="K160" s="404">
        <v>70982.426000000007</v>
      </c>
      <c r="L160" s="11">
        <v>2.8696000000000002</v>
      </c>
      <c r="M160" s="405">
        <v>24736.00013939225</v>
      </c>
      <c r="N160" s="11" t="s">
        <v>20155</v>
      </c>
      <c r="O160" s="11" t="s">
        <v>17965</v>
      </c>
      <c r="P160" s="872">
        <v>43679</v>
      </c>
      <c r="Q160" s="423">
        <v>38400</v>
      </c>
      <c r="R160" s="423">
        <v>0</v>
      </c>
      <c r="S160" s="423">
        <v>0</v>
      </c>
      <c r="T160" s="423">
        <v>0</v>
      </c>
      <c r="U160" s="423">
        <v>38400</v>
      </c>
      <c r="V160" s="11" t="s">
        <v>20155</v>
      </c>
      <c r="W160" s="407">
        <v>59699.980800000005</v>
      </c>
      <c r="X160" s="407">
        <v>0</v>
      </c>
      <c r="Y160" s="407">
        <v>0</v>
      </c>
      <c r="Z160" s="407">
        <v>0</v>
      </c>
      <c r="AA160" s="408">
        <v>1.5546870000000002</v>
      </c>
      <c r="AB160" s="408"/>
      <c r="AC160" s="408"/>
      <c r="AD160" s="408"/>
      <c r="AE160" s="409"/>
      <c r="AF160" s="410">
        <v>14016.883</v>
      </c>
      <c r="AG160" s="410">
        <v>0.36502299479166667</v>
      </c>
      <c r="AH160" s="411">
        <v>1.1896640052083334</v>
      </c>
      <c r="AI160" s="412"/>
      <c r="AJ160" s="411"/>
      <c r="AK160" s="411"/>
      <c r="AL160" s="18"/>
      <c r="AM160" s="49"/>
      <c r="AN160" s="2"/>
      <c r="AO160" s="2"/>
    </row>
    <row r="161" spans="1:41" ht="18.600000000000001" hidden="1" customHeight="1">
      <c r="A161" s="14">
        <v>159</v>
      </c>
      <c r="B161" s="11" t="s">
        <v>171</v>
      </c>
      <c r="C161" s="14">
        <v>0</v>
      </c>
      <c r="D161" s="11" t="s">
        <v>17688</v>
      </c>
      <c r="E161" s="11" t="s">
        <v>171</v>
      </c>
      <c r="F161" s="12">
        <v>43669</v>
      </c>
      <c r="G161" s="11">
        <v>2019</v>
      </c>
      <c r="H161" s="11" t="s">
        <v>16384</v>
      </c>
      <c r="I161" s="11" t="s">
        <v>16385</v>
      </c>
      <c r="J161" s="11" t="s">
        <v>3</v>
      </c>
      <c r="K161" s="404">
        <v>5712</v>
      </c>
      <c r="L161" s="11">
        <v>1</v>
      </c>
      <c r="M161" s="405">
        <v>5712</v>
      </c>
      <c r="N161" s="11" t="s">
        <v>20155</v>
      </c>
      <c r="O161" s="11" t="s">
        <v>17689</v>
      </c>
      <c r="P161" s="872">
        <v>43703</v>
      </c>
      <c r="Q161" s="423">
        <v>0</v>
      </c>
      <c r="R161" s="423">
        <v>0</v>
      </c>
      <c r="S161" s="423">
        <v>0</v>
      </c>
      <c r="T161" s="423">
        <v>1680</v>
      </c>
      <c r="U161" s="423">
        <v>1680</v>
      </c>
      <c r="V161" s="11" t="s">
        <v>20155</v>
      </c>
      <c r="W161" s="407">
        <v>0</v>
      </c>
      <c r="X161" s="407">
        <v>0</v>
      </c>
      <c r="Y161" s="407">
        <v>0</v>
      </c>
      <c r="Z161" s="407">
        <v>5712</v>
      </c>
      <c r="AA161" s="408"/>
      <c r="AB161" s="408"/>
      <c r="AC161" s="408"/>
      <c r="AD161" s="408">
        <v>3.4</v>
      </c>
      <c r="AE161" s="409"/>
      <c r="AF161" s="410">
        <v>0</v>
      </c>
      <c r="AG161" s="410">
        <v>0</v>
      </c>
      <c r="AH161" s="411"/>
      <c r="AI161" s="412"/>
      <c r="AJ161" s="411"/>
      <c r="AK161" s="411">
        <v>3.4</v>
      </c>
      <c r="AL161" s="18"/>
      <c r="AM161" s="49"/>
      <c r="AN161" s="2"/>
      <c r="AO161" s="2"/>
    </row>
    <row r="162" spans="1:41" ht="18.600000000000001" hidden="1" customHeight="1">
      <c r="A162" s="14">
        <v>160</v>
      </c>
      <c r="B162" s="11" t="s">
        <v>172</v>
      </c>
      <c r="C162" s="14">
        <v>0</v>
      </c>
      <c r="D162" s="11" t="s">
        <v>17690</v>
      </c>
      <c r="E162" s="11" t="s">
        <v>172</v>
      </c>
      <c r="F162" s="12">
        <v>43669</v>
      </c>
      <c r="G162" s="11">
        <v>2019</v>
      </c>
      <c r="H162" s="11" t="s">
        <v>16384</v>
      </c>
      <c r="I162" s="11" t="s">
        <v>16385</v>
      </c>
      <c r="J162" s="11" t="s">
        <v>3</v>
      </c>
      <c r="K162" s="404">
        <v>37570</v>
      </c>
      <c r="L162" s="11">
        <v>1</v>
      </c>
      <c r="M162" s="405">
        <v>37570</v>
      </c>
      <c r="N162" s="11" t="s">
        <v>20155</v>
      </c>
      <c r="O162" s="11" t="s">
        <v>17771</v>
      </c>
      <c r="P162" s="872">
        <v>43678</v>
      </c>
      <c r="Q162" s="423">
        <v>0</v>
      </c>
      <c r="R162" s="423">
        <v>0</v>
      </c>
      <c r="S162" s="423">
        <v>26000</v>
      </c>
      <c r="T162" s="423">
        <v>0</v>
      </c>
      <c r="U162" s="423">
        <v>26000</v>
      </c>
      <c r="V162" s="11" t="s">
        <v>20155</v>
      </c>
      <c r="W162" s="407">
        <v>0</v>
      </c>
      <c r="X162" s="407">
        <v>0</v>
      </c>
      <c r="Y162" s="407">
        <v>37570</v>
      </c>
      <c r="Z162" s="407">
        <v>0</v>
      </c>
      <c r="AA162" s="408"/>
      <c r="AB162" s="408"/>
      <c r="AC162" s="408">
        <v>1.4450000000000001</v>
      </c>
      <c r="AD162" s="408"/>
      <c r="AE162" s="409"/>
      <c r="AF162" s="410">
        <v>0</v>
      </c>
      <c r="AG162" s="410">
        <v>0</v>
      </c>
      <c r="AH162" s="411"/>
      <c r="AI162" s="412"/>
      <c r="AJ162" s="411">
        <v>1.4450000000000001</v>
      </c>
      <c r="AK162" s="411"/>
      <c r="AL162" s="18"/>
      <c r="AM162" s="49"/>
      <c r="AN162" s="2"/>
      <c r="AO162" s="2"/>
    </row>
    <row r="163" spans="1:41" ht="18.600000000000001" hidden="1" customHeight="1">
      <c r="A163" s="14">
        <v>161</v>
      </c>
      <c r="B163" s="11" t="s">
        <v>173</v>
      </c>
      <c r="C163" s="14">
        <v>0</v>
      </c>
      <c r="D163" s="11" t="s">
        <v>17692</v>
      </c>
      <c r="E163" s="11" t="s">
        <v>173</v>
      </c>
      <c r="F163" s="12">
        <v>43669</v>
      </c>
      <c r="G163" s="11">
        <v>2019</v>
      </c>
      <c r="H163" s="11" t="s">
        <v>16444</v>
      </c>
      <c r="I163" s="11" t="s">
        <v>16445</v>
      </c>
      <c r="J163" s="11" t="s">
        <v>3</v>
      </c>
      <c r="K163" s="404">
        <v>63663.6</v>
      </c>
      <c r="L163" s="11">
        <v>1</v>
      </c>
      <c r="M163" s="405">
        <v>63663.6</v>
      </c>
      <c r="N163" s="11" t="s">
        <v>20155</v>
      </c>
      <c r="O163" s="11" t="s">
        <v>18248</v>
      </c>
      <c r="P163" s="872">
        <v>43677</v>
      </c>
      <c r="Q163" s="423">
        <v>43608</v>
      </c>
      <c r="R163" s="423">
        <v>0</v>
      </c>
      <c r="S163" s="423">
        <v>0</v>
      </c>
      <c r="T163" s="423">
        <v>0</v>
      </c>
      <c r="U163" s="423">
        <v>43608</v>
      </c>
      <c r="V163" s="11" t="s">
        <v>20155</v>
      </c>
      <c r="W163" s="407">
        <v>63663.6</v>
      </c>
      <c r="X163" s="407">
        <v>0</v>
      </c>
      <c r="Y163" s="407">
        <v>0</v>
      </c>
      <c r="Z163" s="407">
        <v>0</v>
      </c>
      <c r="AA163" s="408">
        <v>1.4599064391854706</v>
      </c>
      <c r="AB163" s="408"/>
      <c r="AC163" s="408"/>
      <c r="AD163" s="408"/>
      <c r="AE163" s="409"/>
      <c r="AF163" s="410">
        <v>0</v>
      </c>
      <c r="AG163" s="410">
        <v>0</v>
      </c>
      <c r="AH163" s="411">
        <v>1.4599064391854706</v>
      </c>
      <c r="AI163" s="412"/>
      <c r="AJ163" s="411"/>
      <c r="AK163" s="411"/>
      <c r="AL163" s="18"/>
      <c r="AM163" s="49"/>
      <c r="AN163" s="2"/>
      <c r="AO163" s="2"/>
    </row>
    <row r="164" spans="1:41" ht="18.600000000000001" hidden="1" customHeight="1">
      <c r="A164" s="14">
        <v>162</v>
      </c>
      <c r="B164" s="11" t="s">
        <v>174</v>
      </c>
      <c r="C164" s="14">
        <v>0</v>
      </c>
      <c r="D164" s="11" t="s">
        <v>17694</v>
      </c>
      <c r="E164" s="11" t="s">
        <v>174</v>
      </c>
      <c r="F164" s="12">
        <v>43672</v>
      </c>
      <c r="G164" s="11">
        <v>2019</v>
      </c>
      <c r="H164" s="11" t="s">
        <v>17017</v>
      </c>
      <c r="I164" s="11" t="s">
        <v>17018</v>
      </c>
      <c r="J164" s="11" t="s">
        <v>3</v>
      </c>
      <c r="K164" s="404">
        <v>31600</v>
      </c>
      <c r="L164" s="11">
        <v>1</v>
      </c>
      <c r="M164" s="405">
        <v>31600</v>
      </c>
      <c r="N164" s="11" t="s">
        <v>20155</v>
      </c>
      <c r="O164" s="11" t="s">
        <v>18064</v>
      </c>
      <c r="P164" s="872">
        <v>43679</v>
      </c>
      <c r="Q164" s="423">
        <v>0</v>
      </c>
      <c r="R164" s="423">
        <v>20000</v>
      </c>
      <c r="S164" s="423">
        <v>0</v>
      </c>
      <c r="T164" s="423">
        <v>0</v>
      </c>
      <c r="U164" s="423">
        <v>20000</v>
      </c>
      <c r="V164" s="11" t="s">
        <v>20155</v>
      </c>
      <c r="W164" s="407">
        <v>0</v>
      </c>
      <c r="X164" s="407">
        <v>31600</v>
      </c>
      <c r="Y164" s="407">
        <v>0</v>
      </c>
      <c r="Z164" s="407">
        <v>0</v>
      </c>
      <c r="AA164" s="408"/>
      <c r="AB164" s="408">
        <v>1.58</v>
      </c>
      <c r="AC164" s="408"/>
      <c r="AD164" s="408"/>
      <c r="AE164" s="409"/>
      <c r="AF164" s="410">
        <v>0</v>
      </c>
      <c r="AG164" s="410">
        <v>0</v>
      </c>
      <c r="AH164" s="411"/>
      <c r="AI164" s="412">
        <v>1.58</v>
      </c>
      <c r="AJ164" s="411"/>
      <c r="AK164" s="411"/>
      <c r="AL164" s="18"/>
      <c r="AM164" s="49"/>
      <c r="AN164" s="2"/>
      <c r="AO164" s="2"/>
    </row>
    <row r="165" spans="1:41" ht="18.600000000000001" hidden="1" customHeight="1">
      <c r="A165" s="14">
        <v>163</v>
      </c>
      <c r="B165" s="11" t="s">
        <v>175</v>
      </c>
      <c r="C165" s="14">
        <v>0</v>
      </c>
      <c r="D165" s="11" t="s">
        <v>17696</v>
      </c>
      <c r="E165" s="11" t="s">
        <v>175</v>
      </c>
      <c r="F165" s="12">
        <v>43676</v>
      </c>
      <c r="G165" s="11">
        <v>2019</v>
      </c>
      <c r="H165" s="11" t="s">
        <v>16838</v>
      </c>
      <c r="I165" s="11" t="s">
        <v>16839</v>
      </c>
      <c r="J165" s="11" t="s">
        <v>3</v>
      </c>
      <c r="K165" s="404">
        <v>334081.44</v>
      </c>
      <c r="L165" s="11">
        <v>1</v>
      </c>
      <c r="M165" s="405">
        <v>334081.44</v>
      </c>
      <c r="N165" s="11" t="s">
        <v>20155</v>
      </c>
      <c r="O165" s="11" t="s">
        <v>17798</v>
      </c>
      <c r="P165" s="872">
        <v>43685</v>
      </c>
      <c r="Q165" s="423">
        <v>0</v>
      </c>
      <c r="R165" s="423">
        <v>242088</v>
      </c>
      <c r="S165" s="423">
        <v>0</v>
      </c>
      <c r="T165" s="423">
        <v>0</v>
      </c>
      <c r="U165" s="423">
        <v>242088</v>
      </c>
      <c r="V165" s="11" t="s">
        <v>20155</v>
      </c>
      <c r="W165" s="407">
        <v>0</v>
      </c>
      <c r="X165" s="407">
        <v>334081.44</v>
      </c>
      <c r="Y165" s="407">
        <v>0</v>
      </c>
      <c r="Z165" s="407">
        <v>0</v>
      </c>
      <c r="AA165" s="408"/>
      <c r="AB165" s="408">
        <v>1.38</v>
      </c>
      <c r="AC165" s="408"/>
      <c r="AD165" s="408"/>
      <c r="AE165" s="409"/>
      <c r="AF165" s="410">
        <v>0</v>
      </c>
      <c r="AG165" s="410">
        <v>0</v>
      </c>
      <c r="AH165" s="411"/>
      <c r="AI165" s="412">
        <v>1.38</v>
      </c>
      <c r="AJ165" s="411"/>
      <c r="AK165" s="411"/>
      <c r="AL165" s="18"/>
      <c r="AM165" s="49"/>
      <c r="AN165" s="2"/>
      <c r="AO165" s="2"/>
    </row>
    <row r="166" spans="1:41" ht="18.600000000000001" hidden="1" customHeight="1">
      <c r="A166" s="14">
        <v>164</v>
      </c>
      <c r="B166" s="11" t="s">
        <v>176</v>
      </c>
      <c r="C166" s="14">
        <v>0</v>
      </c>
      <c r="D166" s="11" t="s">
        <v>17697</v>
      </c>
      <c r="E166" s="11" t="s">
        <v>176</v>
      </c>
      <c r="F166" s="12">
        <v>43682</v>
      </c>
      <c r="G166" s="11">
        <v>2019</v>
      </c>
      <c r="H166" s="11" t="s">
        <v>16470</v>
      </c>
      <c r="I166" s="11" t="s">
        <v>16471</v>
      </c>
      <c r="J166" s="11" t="s">
        <v>16401</v>
      </c>
      <c r="K166" s="404">
        <v>433784.58199999999</v>
      </c>
      <c r="L166" s="11">
        <v>2.863</v>
      </c>
      <c r="M166" s="405">
        <v>151514</v>
      </c>
      <c r="N166" s="11" t="s">
        <v>20155</v>
      </c>
      <c r="O166" s="11" t="s">
        <v>20159</v>
      </c>
      <c r="P166" s="872">
        <v>43686</v>
      </c>
      <c r="Q166" s="423">
        <v>21600</v>
      </c>
      <c r="R166" s="423">
        <v>234300</v>
      </c>
      <c r="S166" s="423">
        <v>0</v>
      </c>
      <c r="T166" s="423">
        <v>0</v>
      </c>
      <c r="U166" s="423">
        <v>255900</v>
      </c>
      <c r="V166" s="11" t="s">
        <v>20155</v>
      </c>
      <c r="W166" s="407">
        <v>31538.80799999999</v>
      </c>
      <c r="X166" s="407">
        <v>317500.97400000005</v>
      </c>
      <c r="Y166" s="407">
        <v>0</v>
      </c>
      <c r="Z166" s="407">
        <v>0</v>
      </c>
      <c r="AA166" s="408">
        <v>1.4601299999999995</v>
      </c>
      <c r="AB166" s="408">
        <v>1.3551044558258645</v>
      </c>
      <c r="AC166" s="408"/>
      <c r="AD166" s="408"/>
      <c r="AE166" s="409"/>
      <c r="AF166" s="410">
        <v>96137.88</v>
      </c>
      <c r="AG166" s="410">
        <v>0.37568534583821805</v>
      </c>
      <c r="AH166" s="411">
        <v>1.0844446541617814</v>
      </c>
      <c r="AI166" s="412">
        <v>0.97941910998764636</v>
      </c>
      <c r="AJ166" s="411"/>
      <c r="AK166" s="411"/>
      <c r="AL166" s="18"/>
      <c r="AM166" s="49"/>
      <c r="AN166" s="2"/>
      <c r="AO166" s="2"/>
    </row>
    <row r="167" spans="1:41" ht="18.600000000000001" hidden="1" customHeight="1">
      <c r="A167" s="14">
        <v>165</v>
      </c>
      <c r="B167" s="11" t="s">
        <v>177</v>
      </c>
      <c r="C167" s="14">
        <v>0</v>
      </c>
      <c r="D167" s="11" t="s">
        <v>17698</v>
      </c>
      <c r="E167" s="11" t="s">
        <v>177</v>
      </c>
      <c r="F167" s="12">
        <v>43684</v>
      </c>
      <c r="G167" s="11">
        <v>2019</v>
      </c>
      <c r="H167" s="11" t="s">
        <v>16783</v>
      </c>
      <c r="I167" s="11" t="s">
        <v>16784</v>
      </c>
      <c r="J167" s="11" t="s">
        <v>16401</v>
      </c>
      <c r="K167" s="404">
        <v>311604.005</v>
      </c>
      <c r="L167" s="11">
        <v>2.8648500000000001</v>
      </c>
      <c r="M167" s="405">
        <v>108768.00006981168</v>
      </c>
      <c r="N167" s="11" t="s">
        <v>20155</v>
      </c>
      <c r="O167" s="11" t="s">
        <v>17939</v>
      </c>
      <c r="P167" s="872">
        <v>43707</v>
      </c>
      <c r="Q167" s="423">
        <v>0</v>
      </c>
      <c r="R167" s="423">
        <v>192000</v>
      </c>
      <c r="S167" s="423">
        <v>19200</v>
      </c>
      <c r="T167" s="423">
        <v>0</v>
      </c>
      <c r="U167" s="423">
        <v>211200</v>
      </c>
      <c r="V167" s="11" t="s">
        <v>20155</v>
      </c>
      <c r="W167" s="407">
        <v>0</v>
      </c>
      <c r="X167" s="407">
        <v>283276.36800000002</v>
      </c>
      <c r="Y167" s="407">
        <v>28327.636800000007</v>
      </c>
      <c r="Z167" s="407">
        <v>0</v>
      </c>
      <c r="AA167" s="408"/>
      <c r="AB167" s="408">
        <v>1.4753977500000002</v>
      </c>
      <c r="AC167" s="408">
        <v>1.4753977500000004</v>
      </c>
      <c r="AD167" s="408"/>
      <c r="AE167" s="409"/>
      <c r="AF167" s="410">
        <v>0</v>
      </c>
      <c r="AG167" s="410">
        <v>0</v>
      </c>
      <c r="AH167" s="411"/>
      <c r="AI167" s="412">
        <v>1.4753977500000002</v>
      </c>
      <c r="AJ167" s="411">
        <v>1.4753977500000004</v>
      </c>
      <c r="AK167" s="411"/>
      <c r="AL167" s="18"/>
      <c r="AM167" s="49"/>
      <c r="AN167" s="2"/>
      <c r="AO167" s="2"/>
    </row>
    <row r="168" spans="1:41" ht="18.600000000000001" hidden="1" customHeight="1">
      <c r="A168" s="14">
        <v>166</v>
      </c>
      <c r="B168" s="11" t="s">
        <v>178</v>
      </c>
      <c r="C168" s="14">
        <v>0</v>
      </c>
      <c r="D168" s="11" t="s">
        <v>17699</v>
      </c>
      <c r="E168" s="11" t="s">
        <v>178</v>
      </c>
      <c r="F168" s="12">
        <v>43685</v>
      </c>
      <c r="G168" s="11">
        <v>2019</v>
      </c>
      <c r="H168" s="11" t="s">
        <v>17017</v>
      </c>
      <c r="I168" s="11" t="s">
        <v>17018</v>
      </c>
      <c r="J168" s="11" t="s">
        <v>3</v>
      </c>
      <c r="K168" s="404">
        <v>36482.080000000002</v>
      </c>
      <c r="L168" s="11">
        <v>1</v>
      </c>
      <c r="M168" s="405">
        <v>36482.080000000002</v>
      </c>
      <c r="N168" s="11" t="s">
        <v>20155</v>
      </c>
      <c r="O168" s="11" t="s">
        <v>20158</v>
      </c>
      <c r="P168" s="872">
        <v>43700</v>
      </c>
      <c r="Q168" s="423">
        <v>0</v>
      </c>
      <c r="R168" s="423">
        <v>5376</v>
      </c>
      <c r="S168" s="423">
        <v>14683.2</v>
      </c>
      <c r="T168" s="423">
        <v>960</v>
      </c>
      <c r="U168" s="423">
        <v>21019.200000000001</v>
      </c>
      <c r="V168" s="11" t="s">
        <v>20155</v>
      </c>
      <c r="W168" s="407">
        <v>0</v>
      </c>
      <c r="X168" s="407">
        <v>9063.0400000000009</v>
      </c>
      <c r="Y168" s="407">
        <v>23509.200000000001</v>
      </c>
      <c r="Z168" s="407">
        <v>3909.84</v>
      </c>
      <c r="AA168" s="408"/>
      <c r="AB168" s="408">
        <v>1.6858333333333335</v>
      </c>
      <c r="AC168" s="408">
        <v>1.6010951291271658</v>
      </c>
      <c r="AD168" s="408">
        <v>4.0727500000000001</v>
      </c>
      <c r="AE168" s="409"/>
      <c r="AF168" s="410">
        <v>0</v>
      </c>
      <c r="AG168" s="410">
        <v>0</v>
      </c>
      <c r="AH168" s="411"/>
      <c r="AI168" s="412">
        <v>1.6858333333333335</v>
      </c>
      <c r="AJ168" s="411">
        <v>1.6010951291271658</v>
      </c>
      <c r="AK168" s="411">
        <v>4.0727500000000001</v>
      </c>
      <c r="AL168" s="18"/>
      <c r="AM168" s="49"/>
      <c r="AN168" s="2"/>
      <c r="AO168" s="2"/>
    </row>
    <row r="169" spans="1:41" ht="18.600000000000001" hidden="1" customHeight="1">
      <c r="A169" s="14">
        <v>167</v>
      </c>
      <c r="B169" s="11" t="s">
        <v>179</v>
      </c>
      <c r="C169" s="14">
        <v>0</v>
      </c>
      <c r="D169" s="11" t="s">
        <v>17701</v>
      </c>
      <c r="E169" s="11" t="s">
        <v>179</v>
      </c>
      <c r="F169" s="12">
        <v>43685</v>
      </c>
      <c r="G169" s="11">
        <v>2019</v>
      </c>
      <c r="H169" s="11" t="s">
        <v>17017</v>
      </c>
      <c r="I169" s="11" t="s">
        <v>17018</v>
      </c>
      <c r="J169" s="11" t="s">
        <v>3</v>
      </c>
      <c r="K169" s="404">
        <v>32297.759999999998</v>
      </c>
      <c r="L169" s="11">
        <v>1</v>
      </c>
      <c r="M169" s="405">
        <v>32297.759999999998</v>
      </c>
      <c r="N169" s="11" t="s">
        <v>20155</v>
      </c>
      <c r="O169" s="11" t="s">
        <v>17954</v>
      </c>
      <c r="P169" s="872">
        <v>43705</v>
      </c>
      <c r="Q169" s="423">
        <v>0</v>
      </c>
      <c r="R169" s="423">
        <v>17048</v>
      </c>
      <c r="S169" s="423">
        <v>4400</v>
      </c>
      <c r="T169" s="423">
        <v>1400</v>
      </c>
      <c r="U169" s="423">
        <v>22848</v>
      </c>
      <c r="V169" s="11" t="s">
        <v>20155</v>
      </c>
      <c r="W169" s="407">
        <v>0</v>
      </c>
      <c r="X169" s="407">
        <v>27349.759999999998</v>
      </c>
      <c r="Y169" s="407">
        <v>2268</v>
      </c>
      <c r="Z169" s="407">
        <v>2680</v>
      </c>
      <c r="AA169" s="408"/>
      <c r="AB169" s="408">
        <v>1.6042796809009856</v>
      </c>
      <c r="AC169" s="408">
        <v>0.5154545454545455</v>
      </c>
      <c r="AD169" s="408">
        <v>1.9142857142857144</v>
      </c>
      <c r="AE169" s="409"/>
      <c r="AF169" s="410">
        <v>0</v>
      </c>
      <c r="AG169" s="410">
        <v>0</v>
      </c>
      <c r="AH169" s="411"/>
      <c r="AI169" s="412">
        <v>1.6042796809009856</v>
      </c>
      <c r="AJ169" s="411">
        <v>0.5154545454545455</v>
      </c>
      <c r="AK169" s="411">
        <v>1.9142857142857144</v>
      </c>
      <c r="AL169" s="18"/>
      <c r="AM169" s="49"/>
      <c r="AN169" s="2"/>
      <c r="AO169" s="2"/>
    </row>
    <row r="170" spans="1:41" ht="18.600000000000001" hidden="1" customHeight="1">
      <c r="A170" s="14">
        <v>168</v>
      </c>
      <c r="B170" s="11" t="s">
        <v>180</v>
      </c>
      <c r="C170" s="14">
        <v>0</v>
      </c>
      <c r="D170" s="11" t="s">
        <v>17703</v>
      </c>
      <c r="E170" s="11" t="s">
        <v>180</v>
      </c>
      <c r="F170" s="12">
        <v>43685</v>
      </c>
      <c r="G170" s="11">
        <v>2019</v>
      </c>
      <c r="H170" s="11" t="s">
        <v>16952</v>
      </c>
      <c r="I170" s="11" t="s">
        <v>16953</v>
      </c>
      <c r="J170" s="11" t="s">
        <v>3</v>
      </c>
      <c r="K170" s="404">
        <v>33012</v>
      </c>
      <c r="L170" s="11">
        <v>1</v>
      </c>
      <c r="M170" s="405">
        <v>33012</v>
      </c>
      <c r="N170" s="11" t="s">
        <v>20155</v>
      </c>
      <c r="O170" s="11" t="s">
        <v>17949</v>
      </c>
      <c r="P170" s="872">
        <v>43696</v>
      </c>
      <c r="Q170" s="423">
        <v>22008</v>
      </c>
      <c r="R170" s="423">
        <v>0</v>
      </c>
      <c r="S170" s="423">
        <v>0</v>
      </c>
      <c r="T170" s="423">
        <v>0</v>
      </c>
      <c r="U170" s="423">
        <v>22008</v>
      </c>
      <c r="V170" s="11" t="s">
        <v>20155</v>
      </c>
      <c r="W170" s="407">
        <v>33012</v>
      </c>
      <c r="X170" s="407">
        <v>0</v>
      </c>
      <c r="Y170" s="407">
        <v>0</v>
      </c>
      <c r="Z170" s="407">
        <v>0</v>
      </c>
      <c r="AA170" s="408">
        <v>1.5</v>
      </c>
      <c r="AB170" s="408"/>
      <c r="AC170" s="408"/>
      <c r="AD170" s="408"/>
      <c r="AE170" s="409"/>
      <c r="AF170" s="410">
        <v>0</v>
      </c>
      <c r="AG170" s="410">
        <v>0</v>
      </c>
      <c r="AH170" s="411">
        <v>1.5</v>
      </c>
      <c r="AI170" s="412"/>
      <c r="AJ170" s="411"/>
      <c r="AK170" s="411"/>
      <c r="AL170" s="18"/>
      <c r="AM170" s="49"/>
      <c r="AN170" s="2"/>
      <c r="AO170" s="2"/>
    </row>
    <row r="171" spans="1:41" ht="18.600000000000001" hidden="1" customHeight="1">
      <c r="A171" s="14">
        <v>169</v>
      </c>
      <c r="B171" s="11" t="s">
        <v>181</v>
      </c>
      <c r="C171" s="14">
        <v>0</v>
      </c>
      <c r="D171" s="11" t="s">
        <v>17705</v>
      </c>
      <c r="E171" s="11" t="s">
        <v>181</v>
      </c>
      <c r="F171" s="12">
        <v>43685</v>
      </c>
      <c r="G171" s="11">
        <v>2019</v>
      </c>
      <c r="H171" s="11" t="s">
        <v>17209</v>
      </c>
      <c r="I171" s="11" t="s">
        <v>17210</v>
      </c>
      <c r="J171" s="11" t="s">
        <v>16401</v>
      </c>
      <c r="K171" s="404">
        <v>37055.718000000001</v>
      </c>
      <c r="L171" s="11">
        <v>2.8692000000000002</v>
      </c>
      <c r="M171" s="405">
        <v>12915</v>
      </c>
      <c r="N171" s="11" t="s">
        <v>20155</v>
      </c>
      <c r="O171" s="11" t="s">
        <v>20168</v>
      </c>
      <c r="P171" s="872">
        <v>43698</v>
      </c>
      <c r="Q171" s="423">
        <v>7200</v>
      </c>
      <c r="R171" s="423">
        <v>4800</v>
      </c>
      <c r="S171" s="423">
        <v>0</v>
      </c>
      <c r="T171" s="423">
        <v>4000</v>
      </c>
      <c r="U171" s="423">
        <v>16000</v>
      </c>
      <c r="V171" s="11" t="s">
        <v>20155</v>
      </c>
      <c r="W171" s="407">
        <v>11671.9056</v>
      </c>
      <c r="X171" s="407">
        <v>7781.2704000000003</v>
      </c>
      <c r="Y171" s="407">
        <v>0</v>
      </c>
      <c r="Z171" s="407">
        <v>15264.144</v>
      </c>
      <c r="AA171" s="408">
        <v>1.6210979999999999</v>
      </c>
      <c r="AB171" s="408">
        <v>1.6210980000000001</v>
      </c>
      <c r="AC171" s="408"/>
      <c r="AD171" s="408">
        <v>3.816036</v>
      </c>
      <c r="AE171" s="409"/>
      <c r="AF171" s="410">
        <v>3161.9110000000001</v>
      </c>
      <c r="AG171" s="410">
        <v>0.19761943749999999</v>
      </c>
      <c r="AH171" s="411">
        <v>1.4234785624999999</v>
      </c>
      <c r="AI171" s="412">
        <v>1.4234785625000002</v>
      </c>
      <c r="AJ171" s="411"/>
      <c r="AK171" s="411">
        <v>3.6184165625000002</v>
      </c>
      <c r="AL171" s="18"/>
      <c r="AM171" s="49"/>
      <c r="AN171" s="2"/>
      <c r="AO171" s="2"/>
    </row>
    <row r="172" spans="1:41" ht="18.600000000000001" hidden="1" customHeight="1">
      <c r="A172" s="14">
        <v>170</v>
      </c>
      <c r="B172" s="11" t="s">
        <v>182</v>
      </c>
      <c r="C172" s="14">
        <v>0</v>
      </c>
      <c r="D172" s="11" t="s">
        <v>17706</v>
      </c>
      <c r="E172" s="11" t="s">
        <v>182</v>
      </c>
      <c r="F172" s="12">
        <v>43692</v>
      </c>
      <c r="G172" s="11">
        <v>2019</v>
      </c>
      <c r="H172" s="11" t="s">
        <v>16444</v>
      </c>
      <c r="I172" s="11" t="s">
        <v>16445</v>
      </c>
      <c r="J172" s="11" t="s">
        <v>3</v>
      </c>
      <c r="K172" s="404">
        <v>33452.160000000003</v>
      </c>
      <c r="L172" s="11">
        <v>1</v>
      </c>
      <c r="M172" s="405">
        <v>33452.160000000003</v>
      </c>
      <c r="N172" s="11" t="s">
        <v>20155</v>
      </c>
      <c r="O172" s="11" t="s">
        <v>18248</v>
      </c>
      <c r="P172" s="872">
        <v>43698</v>
      </c>
      <c r="Q172" s="423">
        <v>22008</v>
      </c>
      <c r="R172" s="423">
        <v>0</v>
      </c>
      <c r="S172" s="423">
        <v>0</v>
      </c>
      <c r="T172" s="423">
        <v>0</v>
      </c>
      <c r="U172" s="423">
        <v>22008</v>
      </c>
      <c r="V172" s="11" t="s">
        <v>20155</v>
      </c>
      <c r="W172" s="407">
        <v>33452.160000000003</v>
      </c>
      <c r="X172" s="407">
        <v>0</v>
      </c>
      <c r="Y172" s="407">
        <v>0</v>
      </c>
      <c r="Z172" s="407">
        <v>0</v>
      </c>
      <c r="AA172" s="408">
        <v>1.5200000000000002</v>
      </c>
      <c r="AB172" s="408"/>
      <c r="AC172" s="408"/>
      <c r="AD172" s="408"/>
      <c r="AE172" s="409"/>
      <c r="AF172" s="410">
        <v>0</v>
      </c>
      <c r="AG172" s="410">
        <v>0</v>
      </c>
      <c r="AH172" s="411">
        <v>1.5200000000000002</v>
      </c>
      <c r="AI172" s="412"/>
      <c r="AJ172" s="411"/>
      <c r="AK172" s="411"/>
      <c r="AL172" s="18"/>
      <c r="AM172" s="49"/>
      <c r="AN172" s="2"/>
      <c r="AO172" s="2"/>
    </row>
    <row r="173" spans="1:41" ht="18.600000000000001" hidden="1" customHeight="1">
      <c r="A173" s="14">
        <v>171</v>
      </c>
      <c r="B173" s="11" t="s">
        <v>183</v>
      </c>
      <c r="C173" s="14">
        <v>0</v>
      </c>
      <c r="D173" s="11" t="s">
        <v>17708</v>
      </c>
      <c r="E173" s="11" t="s">
        <v>183</v>
      </c>
      <c r="F173" s="12">
        <v>43692</v>
      </c>
      <c r="G173" s="11">
        <v>2019</v>
      </c>
      <c r="H173" s="11" t="s">
        <v>17017</v>
      </c>
      <c r="I173" s="11" t="s">
        <v>17018</v>
      </c>
      <c r="J173" s="11" t="s">
        <v>3</v>
      </c>
      <c r="K173" s="404">
        <v>31600</v>
      </c>
      <c r="L173" s="11">
        <v>1</v>
      </c>
      <c r="M173" s="405">
        <v>31600</v>
      </c>
      <c r="N173" s="11" t="s">
        <v>20155</v>
      </c>
      <c r="O173" s="11" t="s">
        <v>18064</v>
      </c>
      <c r="P173" s="872">
        <v>43706</v>
      </c>
      <c r="Q173" s="423">
        <v>0</v>
      </c>
      <c r="R173" s="423">
        <v>20000</v>
      </c>
      <c r="S173" s="423">
        <v>0</v>
      </c>
      <c r="T173" s="423">
        <v>0</v>
      </c>
      <c r="U173" s="423">
        <v>20000</v>
      </c>
      <c r="V173" s="11" t="s">
        <v>20155</v>
      </c>
      <c r="W173" s="407">
        <v>0</v>
      </c>
      <c r="X173" s="407">
        <v>31600</v>
      </c>
      <c r="Y173" s="407">
        <v>0</v>
      </c>
      <c r="Z173" s="407">
        <v>0</v>
      </c>
      <c r="AA173" s="408"/>
      <c r="AB173" s="408">
        <v>1.58</v>
      </c>
      <c r="AC173" s="408"/>
      <c r="AD173" s="408"/>
      <c r="AE173" s="409"/>
      <c r="AF173" s="410">
        <v>0</v>
      </c>
      <c r="AG173" s="410">
        <v>0</v>
      </c>
      <c r="AH173" s="411"/>
      <c r="AI173" s="412">
        <v>1.58</v>
      </c>
      <c r="AJ173" s="411"/>
      <c r="AK173" s="411"/>
      <c r="AL173" s="18"/>
      <c r="AM173" s="49"/>
      <c r="AN173" s="2"/>
      <c r="AO173" s="2"/>
    </row>
    <row r="174" spans="1:41" ht="18.600000000000001" hidden="1" customHeight="1">
      <c r="A174" s="14">
        <v>172</v>
      </c>
      <c r="B174" s="11" t="s">
        <v>184</v>
      </c>
      <c r="C174" s="14">
        <v>0</v>
      </c>
      <c r="D174" s="11" t="s">
        <v>17709</v>
      </c>
      <c r="E174" s="11" t="s">
        <v>184</v>
      </c>
      <c r="F174" s="12">
        <v>43692</v>
      </c>
      <c r="G174" s="11">
        <v>2019</v>
      </c>
      <c r="H174" s="11" t="s">
        <v>16838</v>
      </c>
      <c r="I174" s="11" t="s">
        <v>16839</v>
      </c>
      <c r="J174" s="11" t="s">
        <v>3</v>
      </c>
      <c r="K174" s="404">
        <v>158650</v>
      </c>
      <c r="L174" s="11">
        <v>1</v>
      </c>
      <c r="M174" s="405">
        <v>158650</v>
      </c>
      <c r="N174" s="11" t="s">
        <v>20155</v>
      </c>
      <c r="O174" s="11" t="s">
        <v>17771</v>
      </c>
      <c r="P174" s="872">
        <v>43699</v>
      </c>
      <c r="Q174" s="423">
        <v>9000</v>
      </c>
      <c r="R174" s="423">
        <v>18000</v>
      </c>
      <c r="S174" s="423">
        <v>84000</v>
      </c>
      <c r="T174" s="423">
        <v>0</v>
      </c>
      <c r="U174" s="423">
        <v>111000</v>
      </c>
      <c r="V174" s="11" t="s">
        <v>20155</v>
      </c>
      <c r="W174" s="407">
        <v>13710</v>
      </c>
      <c r="X174" s="407">
        <v>26640</v>
      </c>
      <c r="Y174" s="407">
        <v>118300</v>
      </c>
      <c r="Z174" s="407">
        <v>0</v>
      </c>
      <c r="AA174" s="408">
        <v>1.5233333333333334</v>
      </c>
      <c r="AB174" s="408">
        <v>1.48</v>
      </c>
      <c r="AC174" s="408">
        <v>1.4083333333333334</v>
      </c>
      <c r="AD174" s="408"/>
      <c r="AE174" s="409"/>
      <c r="AF174" s="410">
        <v>0</v>
      </c>
      <c r="AG174" s="410">
        <v>0</v>
      </c>
      <c r="AH174" s="411">
        <v>1.5233333333333334</v>
      </c>
      <c r="AI174" s="412">
        <v>1.48</v>
      </c>
      <c r="AJ174" s="411">
        <v>1.4083333333333334</v>
      </c>
      <c r="AK174" s="411"/>
      <c r="AL174" s="18"/>
      <c r="AM174" s="49"/>
      <c r="AN174" s="2"/>
      <c r="AO174" s="2"/>
    </row>
    <row r="175" spans="1:41" ht="18.600000000000001" hidden="1" customHeight="1">
      <c r="A175" s="14">
        <v>173</v>
      </c>
      <c r="B175" s="11" t="s">
        <v>185</v>
      </c>
      <c r="C175" s="14">
        <v>0</v>
      </c>
      <c r="D175" s="11" t="s">
        <v>17710</v>
      </c>
      <c r="E175" s="11" t="s">
        <v>185</v>
      </c>
      <c r="F175" s="10">
        <v>43696</v>
      </c>
      <c r="G175" s="11">
        <v>2019</v>
      </c>
      <c r="H175" s="11" t="s">
        <v>16838</v>
      </c>
      <c r="I175" s="11" t="s">
        <v>16839</v>
      </c>
      <c r="J175" s="11" t="s">
        <v>3</v>
      </c>
      <c r="K175" s="404">
        <v>77527.600000000006</v>
      </c>
      <c r="L175" s="11">
        <v>1</v>
      </c>
      <c r="M175" s="405">
        <v>77527.600000000006</v>
      </c>
      <c r="N175" s="11" t="s">
        <v>20155</v>
      </c>
      <c r="O175" s="11" t="s">
        <v>17771</v>
      </c>
      <c r="P175" s="872">
        <v>43698</v>
      </c>
      <c r="Q175" s="423">
        <v>2760</v>
      </c>
      <c r="R175" s="423">
        <v>19320</v>
      </c>
      <c r="S175" s="423">
        <v>31520</v>
      </c>
      <c r="T175" s="423">
        <v>0</v>
      </c>
      <c r="U175" s="423">
        <v>53600</v>
      </c>
      <c r="V175" s="11" t="s">
        <v>20155</v>
      </c>
      <c r="W175" s="407">
        <v>4333.2</v>
      </c>
      <c r="X175" s="407">
        <v>28593.599999999999</v>
      </c>
      <c r="Y175" s="407">
        <v>44600.800000000003</v>
      </c>
      <c r="Z175" s="407">
        <v>0</v>
      </c>
      <c r="AA175" s="408">
        <v>1.5699999999999998</v>
      </c>
      <c r="AB175" s="408">
        <v>1.4800000000000002</v>
      </c>
      <c r="AC175" s="408">
        <v>1.415</v>
      </c>
      <c r="AD175" s="408"/>
      <c r="AE175" s="409"/>
      <c r="AF175" s="410">
        <v>0</v>
      </c>
      <c r="AG175" s="410">
        <v>0</v>
      </c>
      <c r="AH175" s="411">
        <v>1.5699999999999998</v>
      </c>
      <c r="AI175" s="412">
        <v>1.4800000000000002</v>
      </c>
      <c r="AJ175" s="411">
        <v>1.415</v>
      </c>
      <c r="AK175" s="411"/>
      <c r="AL175" s="18"/>
      <c r="AM175" s="49"/>
      <c r="AN175" s="2"/>
      <c r="AO175" s="2"/>
    </row>
    <row r="176" spans="1:41" ht="18.600000000000001" hidden="1" customHeight="1">
      <c r="A176" s="14">
        <v>174</v>
      </c>
      <c r="B176" s="11" t="s">
        <v>186</v>
      </c>
      <c r="C176" s="14">
        <v>0</v>
      </c>
      <c r="D176" s="11" t="s">
        <v>17712</v>
      </c>
      <c r="E176" s="11" t="s">
        <v>186</v>
      </c>
      <c r="F176" s="10">
        <v>43697</v>
      </c>
      <c r="G176" s="11">
        <v>2019</v>
      </c>
      <c r="H176" s="11" t="s">
        <v>16560</v>
      </c>
      <c r="I176" s="11" t="s">
        <v>16561</v>
      </c>
      <c r="J176" s="11" t="s">
        <v>16482</v>
      </c>
      <c r="K176" s="404">
        <v>147477.18599999999</v>
      </c>
      <c r="L176" s="11">
        <v>3.1756500000000001</v>
      </c>
      <c r="M176" s="405">
        <v>46439.999999999993</v>
      </c>
      <c r="N176" s="11" t="s">
        <v>20155</v>
      </c>
      <c r="O176" s="11" t="s">
        <v>17801</v>
      </c>
      <c r="P176" s="872">
        <v>43706</v>
      </c>
      <c r="Q176" s="423">
        <v>0</v>
      </c>
      <c r="R176" s="423">
        <v>0</v>
      </c>
      <c r="S176" s="423">
        <v>108000</v>
      </c>
      <c r="T176" s="423">
        <v>0</v>
      </c>
      <c r="U176" s="423">
        <v>108000</v>
      </c>
      <c r="V176" s="11" t="s">
        <v>20155</v>
      </c>
      <c r="W176" s="407">
        <v>0</v>
      </c>
      <c r="X176" s="407">
        <v>0</v>
      </c>
      <c r="Y176" s="407">
        <v>147477.18599999999</v>
      </c>
      <c r="Z176" s="407">
        <v>0</v>
      </c>
      <c r="AA176" s="408"/>
      <c r="AB176" s="408"/>
      <c r="AC176" s="408">
        <v>1.3655294999999998</v>
      </c>
      <c r="AD176" s="408"/>
      <c r="AE176" s="409"/>
      <c r="AF176" s="410">
        <v>17350</v>
      </c>
      <c r="AG176" s="410">
        <v>0.16064814814814815</v>
      </c>
      <c r="AH176" s="411"/>
      <c r="AI176" s="412"/>
      <c r="AJ176" s="411">
        <v>1.2048813518518517</v>
      </c>
      <c r="AK176" s="411"/>
      <c r="AL176" s="18"/>
      <c r="AM176" s="49"/>
      <c r="AN176" s="2"/>
      <c r="AO176" s="2"/>
    </row>
    <row r="177" spans="1:41" ht="18.600000000000001" hidden="1" customHeight="1">
      <c r="A177" s="14">
        <v>175</v>
      </c>
      <c r="B177" s="11" t="s">
        <v>187</v>
      </c>
      <c r="C177" s="14">
        <v>0</v>
      </c>
      <c r="D177" s="11" t="s">
        <v>17713</v>
      </c>
      <c r="E177" s="11" t="s">
        <v>187</v>
      </c>
      <c r="F177" s="10">
        <v>43697</v>
      </c>
      <c r="G177" s="11">
        <v>2019</v>
      </c>
      <c r="H177" s="11" t="s">
        <v>16560</v>
      </c>
      <c r="I177" s="11" t="s">
        <v>16561</v>
      </c>
      <c r="J177" s="11" t="s">
        <v>16482</v>
      </c>
      <c r="K177" s="404">
        <v>147398.23800000001</v>
      </c>
      <c r="L177" s="11">
        <v>3.17395</v>
      </c>
      <c r="M177" s="405">
        <v>46440</v>
      </c>
      <c r="N177" s="11" t="s">
        <v>20155</v>
      </c>
      <c r="O177" s="11" t="s">
        <v>17801</v>
      </c>
      <c r="P177" s="872">
        <v>43707</v>
      </c>
      <c r="Q177" s="423">
        <v>0</v>
      </c>
      <c r="R177" s="423">
        <v>0</v>
      </c>
      <c r="S177" s="423">
        <v>108000</v>
      </c>
      <c r="T177" s="423">
        <v>0</v>
      </c>
      <c r="U177" s="423">
        <v>108000</v>
      </c>
      <c r="V177" s="11" t="s">
        <v>20155</v>
      </c>
      <c r="W177" s="407">
        <v>0</v>
      </c>
      <c r="X177" s="407">
        <v>0</v>
      </c>
      <c r="Y177" s="407">
        <v>147398.23800000001</v>
      </c>
      <c r="Z177" s="407">
        <v>0</v>
      </c>
      <c r="AA177" s="408"/>
      <c r="AB177" s="408"/>
      <c r="AC177" s="408">
        <v>1.3647985</v>
      </c>
      <c r="AD177" s="408"/>
      <c r="AE177" s="409"/>
      <c r="AF177" s="410">
        <v>17350</v>
      </c>
      <c r="AG177" s="410">
        <v>0.16064814814814815</v>
      </c>
      <c r="AH177" s="411"/>
      <c r="AI177" s="412"/>
      <c r="AJ177" s="411">
        <v>1.2041503518518519</v>
      </c>
      <c r="AK177" s="411"/>
      <c r="AL177" s="18"/>
      <c r="AM177" s="49"/>
      <c r="AN177" s="2"/>
      <c r="AO177" s="2"/>
    </row>
    <row r="178" spans="1:41" ht="18.600000000000001" hidden="1" customHeight="1">
      <c r="A178" s="14">
        <v>176</v>
      </c>
      <c r="B178" s="11" t="s">
        <v>188</v>
      </c>
      <c r="C178" s="14">
        <v>0</v>
      </c>
      <c r="D178" s="11" t="s">
        <v>17714</v>
      </c>
      <c r="E178" s="11" t="s">
        <v>188</v>
      </c>
      <c r="F178" s="10">
        <v>43697</v>
      </c>
      <c r="G178" s="11">
        <v>2019</v>
      </c>
      <c r="H178" s="11" t="s">
        <v>16560</v>
      </c>
      <c r="I178" s="11" t="s">
        <v>16561</v>
      </c>
      <c r="J178" s="11" t="s">
        <v>16482</v>
      </c>
      <c r="K178" s="404">
        <v>147159.07199999999</v>
      </c>
      <c r="L178" s="11">
        <v>3.1688000000000001</v>
      </c>
      <c r="M178" s="405">
        <v>46439.999999999993</v>
      </c>
      <c r="N178" s="11" t="s">
        <v>20155</v>
      </c>
      <c r="O178" s="11" t="s">
        <v>17801</v>
      </c>
      <c r="P178" s="872">
        <v>43710</v>
      </c>
      <c r="Q178" s="423">
        <v>0</v>
      </c>
      <c r="R178" s="423">
        <v>0</v>
      </c>
      <c r="S178" s="423">
        <v>108000</v>
      </c>
      <c r="T178" s="423">
        <v>0</v>
      </c>
      <c r="U178" s="423">
        <v>108000</v>
      </c>
      <c r="V178" s="11" t="s">
        <v>20155</v>
      </c>
      <c r="W178" s="407">
        <v>0</v>
      </c>
      <c r="X178" s="407">
        <v>0</v>
      </c>
      <c r="Y178" s="407">
        <v>147159.07199999999</v>
      </c>
      <c r="Z178" s="407">
        <v>0</v>
      </c>
      <c r="AA178" s="408"/>
      <c r="AB178" s="408"/>
      <c r="AC178" s="408">
        <v>1.3625839999999998</v>
      </c>
      <c r="AD178" s="408"/>
      <c r="AE178" s="409"/>
      <c r="AF178" s="410">
        <v>17164.5</v>
      </c>
      <c r="AG178" s="410">
        <v>0.15893055555555555</v>
      </c>
      <c r="AH178" s="411"/>
      <c r="AI178" s="412"/>
      <c r="AJ178" s="411">
        <v>1.2036534444444442</v>
      </c>
      <c r="AK178" s="411"/>
      <c r="AL178" s="18"/>
      <c r="AM178" s="49"/>
      <c r="AN178" s="2"/>
      <c r="AO178" s="2"/>
    </row>
    <row r="179" spans="1:41" ht="18.600000000000001" hidden="1" customHeight="1">
      <c r="A179" s="14">
        <v>177</v>
      </c>
      <c r="B179" s="11" t="s">
        <v>189</v>
      </c>
      <c r="C179" s="14">
        <v>0</v>
      </c>
      <c r="D179" s="11" t="s">
        <v>17715</v>
      </c>
      <c r="E179" s="11" t="s">
        <v>189</v>
      </c>
      <c r="F179" s="10">
        <v>43697</v>
      </c>
      <c r="G179" s="11">
        <v>2019</v>
      </c>
      <c r="H179" s="11" t="s">
        <v>16384</v>
      </c>
      <c r="I179" s="11" t="s">
        <v>16385</v>
      </c>
      <c r="J179" s="11" t="s">
        <v>3</v>
      </c>
      <c r="K179" s="404">
        <v>700000</v>
      </c>
      <c r="L179" s="11">
        <v>1</v>
      </c>
      <c r="M179" s="405">
        <v>700000</v>
      </c>
      <c r="N179" s="11" t="s">
        <v>20155</v>
      </c>
      <c r="O179" s="11" t="s">
        <v>17801</v>
      </c>
      <c r="P179" s="872">
        <v>43720</v>
      </c>
      <c r="Q179" s="423">
        <v>0</v>
      </c>
      <c r="R179" s="423">
        <v>0</v>
      </c>
      <c r="S179" s="423">
        <v>560000</v>
      </c>
      <c r="T179" s="423">
        <v>0</v>
      </c>
      <c r="U179" s="423">
        <v>560000</v>
      </c>
      <c r="V179" s="11" t="s">
        <v>20155</v>
      </c>
      <c r="W179" s="407">
        <v>0</v>
      </c>
      <c r="X179" s="407">
        <v>0</v>
      </c>
      <c r="Y179" s="407">
        <v>700000</v>
      </c>
      <c r="Z179" s="407">
        <v>0</v>
      </c>
      <c r="AA179" s="408"/>
      <c r="AB179" s="408"/>
      <c r="AC179" s="408">
        <v>1.25</v>
      </c>
      <c r="AD179" s="408"/>
      <c r="AE179" s="409"/>
      <c r="AF179" s="410">
        <v>0</v>
      </c>
      <c r="AG179" s="410">
        <v>0</v>
      </c>
      <c r="AH179" s="411"/>
      <c r="AI179" s="412"/>
      <c r="AJ179" s="411">
        <v>1.25</v>
      </c>
      <c r="AK179" s="411"/>
      <c r="AL179" s="18"/>
      <c r="AM179" s="49"/>
      <c r="AN179" s="2"/>
      <c r="AO179" s="2"/>
    </row>
    <row r="180" spans="1:41" ht="18.600000000000001" hidden="1" customHeight="1">
      <c r="A180" s="14">
        <v>178</v>
      </c>
      <c r="B180" s="11" t="s">
        <v>190</v>
      </c>
      <c r="C180" s="14">
        <v>0</v>
      </c>
      <c r="D180" s="11" t="s">
        <v>17717</v>
      </c>
      <c r="E180" s="11" t="s">
        <v>190</v>
      </c>
      <c r="F180" s="10">
        <v>43697</v>
      </c>
      <c r="G180" s="11">
        <v>2019</v>
      </c>
      <c r="H180" s="11" t="s">
        <v>16904</v>
      </c>
      <c r="I180" s="11" t="s">
        <v>16905</v>
      </c>
      <c r="J180" s="11" t="s">
        <v>16482</v>
      </c>
      <c r="K180" s="404">
        <v>45583.534</v>
      </c>
      <c r="L180" s="11">
        <v>3.1756500000000001</v>
      </c>
      <c r="M180" s="405">
        <v>14354.079952135782</v>
      </c>
      <c r="N180" s="11" t="s">
        <v>20155</v>
      </c>
      <c r="O180" s="11" t="s">
        <v>20160</v>
      </c>
      <c r="P180" s="872">
        <v>43706</v>
      </c>
      <c r="Q180" s="423">
        <v>0</v>
      </c>
      <c r="R180" s="423">
        <v>18648</v>
      </c>
      <c r="S180" s="423">
        <v>7200</v>
      </c>
      <c r="T180" s="423">
        <v>0</v>
      </c>
      <c r="U180" s="423">
        <v>25848</v>
      </c>
      <c r="V180" s="11" t="s">
        <v>20155</v>
      </c>
      <c r="W180" s="407">
        <v>0</v>
      </c>
      <c r="X180" s="407">
        <v>27240.979752000003</v>
      </c>
      <c r="Y180" s="407">
        <v>10403.429399999999</v>
      </c>
      <c r="Z180" s="407">
        <v>0</v>
      </c>
      <c r="AA180" s="408"/>
      <c r="AB180" s="408">
        <v>1.4607990000000002</v>
      </c>
      <c r="AC180" s="408">
        <v>1.4449207499999999</v>
      </c>
      <c r="AD180" s="408"/>
      <c r="AE180" s="409"/>
      <c r="AF180" s="410">
        <v>9514.2939999999999</v>
      </c>
      <c r="AG180" s="410">
        <v>0.3680862735995048</v>
      </c>
      <c r="AH180" s="411"/>
      <c r="AI180" s="412">
        <v>1.0927127264004954</v>
      </c>
      <c r="AJ180" s="411">
        <v>1.0768344764004951</v>
      </c>
      <c r="AK180" s="411"/>
      <c r="AL180" s="18"/>
      <c r="AM180" s="49"/>
      <c r="AN180" s="2"/>
      <c r="AO180" s="2"/>
    </row>
    <row r="181" spans="1:41" ht="18.600000000000001" hidden="1" customHeight="1">
      <c r="A181" s="14">
        <v>179</v>
      </c>
      <c r="B181" s="11" t="s">
        <v>191</v>
      </c>
      <c r="C181" s="14">
        <v>0</v>
      </c>
      <c r="D181" s="11" t="s">
        <v>17718</v>
      </c>
      <c r="E181" s="11" t="s">
        <v>191</v>
      </c>
      <c r="F181" s="436">
        <v>43703</v>
      </c>
      <c r="G181" s="11">
        <v>2019</v>
      </c>
      <c r="H181" s="11" t="s">
        <v>16880</v>
      </c>
      <c r="I181" s="11" t="s">
        <v>16881</v>
      </c>
      <c r="J181" s="11" t="s">
        <v>16401</v>
      </c>
      <c r="K181" s="404">
        <v>58144.65</v>
      </c>
      <c r="L181" s="11">
        <v>2.8618999999999999</v>
      </c>
      <c r="M181" s="405">
        <v>20316.800027953457</v>
      </c>
      <c r="N181" s="11" t="s">
        <v>20155</v>
      </c>
      <c r="O181" s="11" t="s">
        <v>20156</v>
      </c>
      <c r="P181" s="872">
        <v>43705</v>
      </c>
      <c r="Q181" s="423">
        <v>240</v>
      </c>
      <c r="R181" s="423">
        <v>16400</v>
      </c>
      <c r="S181" s="423">
        <v>0</v>
      </c>
      <c r="T181" s="423">
        <v>0</v>
      </c>
      <c r="U181" s="423">
        <v>16640</v>
      </c>
      <c r="V181" s="11" t="s">
        <v>20155</v>
      </c>
      <c r="W181" s="407">
        <v>872.30712000000005</v>
      </c>
      <c r="X181" s="407">
        <v>57272.342800000006</v>
      </c>
      <c r="Y181" s="407">
        <v>0</v>
      </c>
      <c r="Z181" s="407">
        <v>0</v>
      </c>
      <c r="AA181" s="408">
        <v>3.6346130000000003</v>
      </c>
      <c r="AB181" s="408">
        <v>3.4922160243902445</v>
      </c>
      <c r="AC181" s="408"/>
      <c r="AD181" s="408"/>
      <c r="AE181" s="409"/>
      <c r="AF181" s="410">
        <v>1260.298</v>
      </c>
      <c r="AG181" s="410">
        <v>7.5739062499999996E-2</v>
      </c>
      <c r="AH181" s="411">
        <v>3.5588739375000005</v>
      </c>
      <c r="AI181" s="412">
        <v>3.4164769618902446</v>
      </c>
      <c r="AJ181" s="411"/>
      <c r="AK181" s="411"/>
      <c r="AL181" s="18"/>
      <c r="AM181" s="49"/>
      <c r="AN181" s="2"/>
      <c r="AO181" s="2"/>
    </row>
    <row r="182" spans="1:41" ht="18.600000000000001" hidden="1" customHeight="1">
      <c r="A182" s="14">
        <v>180</v>
      </c>
      <c r="B182" s="11" t="s">
        <v>192</v>
      </c>
      <c r="C182" s="14">
        <v>0</v>
      </c>
      <c r="D182" s="11" t="s">
        <v>17720</v>
      </c>
      <c r="E182" s="11" t="s">
        <v>192</v>
      </c>
      <c r="F182" s="436">
        <v>43703</v>
      </c>
      <c r="G182" s="11">
        <v>2019</v>
      </c>
      <c r="H182" s="11" t="s">
        <v>16957</v>
      </c>
      <c r="I182" s="11" t="s">
        <v>16958</v>
      </c>
      <c r="J182" s="11" t="s">
        <v>16401</v>
      </c>
      <c r="K182" s="437">
        <v>39699.839999999997</v>
      </c>
      <c r="L182" s="11">
        <v>2.8767999999999998</v>
      </c>
      <c r="M182" s="404">
        <v>13800</v>
      </c>
      <c r="N182" s="11" t="s">
        <v>20155</v>
      </c>
      <c r="O182" s="11" t="s">
        <v>20161</v>
      </c>
      <c r="P182" s="872">
        <v>43717</v>
      </c>
      <c r="Q182" s="423">
        <v>20000</v>
      </c>
      <c r="R182" s="423">
        <v>0</v>
      </c>
      <c r="S182" s="423">
        <v>0</v>
      </c>
      <c r="T182" s="423">
        <v>0</v>
      </c>
      <c r="U182" s="423">
        <v>20000</v>
      </c>
      <c r="V182" s="11" t="s">
        <v>20155</v>
      </c>
      <c r="W182" s="407">
        <v>39699.840000000004</v>
      </c>
      <c r="X182" s="407">
        <v>0</v>
      </c>
      <c r="Y182" s="407">
        <v>0</v>
      </c>
      <c r="Z182" s="407">
        <v>0</v>
      </c>
      <c r="AA182" s="408">
        <v>1.9849920000000001</v>
      </c>
      <c r="AB182" s="408"/>
      <c r="AC182" s="408"/>
      <c r="AD182" s="408"/>
      <c r="AE182" s="409"/>
      <c r="AF182" s="410">
        <v>4203.7950000000001</v>
      </c>
      <c r="AG182" s="410">
        <v>0.21018975000000001</v>
      </c>
      <c r="AH182" s="411">
        <v>1.77480225</v>
      </c>
      <c r="AI182" s="412"/>
      <c r="AJ182" s="411"/>
      <c r="AK182" s="411"/>
      <c r="AL182" s="18"/>
      <c r="AM182" s="49"/>
      <c r="AN182" s="2"/>
      <c r="AO182" s="2"/>
    </row>
    <row r="183" spans="1:41" ht="18.600000000000001" hidden="1" customHeight="1">
      <c r="A183" s="14">
        <v>181</v>
      </c>
      <c r="B183" s="11" t="s">
        <v>193</v>
      </c>
      <c r="C183" s="14">
        <v>0</v>
      </c>
      <c r="D183" s="11" t="s">
        <v>17722</v>
      </c>
      <c r="E183" s="11" t="s">
        <v>193</v>
      </c>
      <c r="F183" s="436">
        <v>43703</v>
      </c>
      <c r="G183" s="11">
        <v>2019</v>
      </c>
      <c r="H183" s="11" t="s">
        <v>17017</v>
      </c>
      <c r="I183" s="11" t="s">
        <v>17018</v>
      </c>
      <c r="J183" s="11" t="s">
        <v>3</v>
      </c>
      <c r="K183" s="404">
        <v>40271.616000000002</v>
      </c>
      <c r="L183" s="11">
        <v>1</v>
      </c>
      <c r="M183" s="405">
        <v>40271.616000000002</v>
      </c>
      <c r="N183" s="11" t="s">
        <v>20155</v>
      </c>
      <c r="O183" s="11" t="s">
        <v>17954</v>
      </c>
      <c r="P183" s="872">
        <v>43719</v>
      </c>
      <c r="Q183" s="423">
        <v>0</v>
      </c>
      <c r="R183" s="423">
        <v>23971.200000000001</v>
      </c>
      <c r="S183" s="423">
        <v>0</v>
      </c>
      <c r="T183" s="423">
        <v>0</v>
      </c>
      <c r="U183" s="423">
        <v>23971.200000000001</v>
      </c>
      <c r="V183" s="11" t="s">
        <v>20155</v>
      </c>
      <c r="W183" s="407">
        <v>0</v>
      </c>
      <c r="X183" s="407">
        <v>40260.000000000007</v>
      </c>
      <c r="Y183" s="407">
        <v>0</v>
      </c>
      <c r="Z183" s="407">
        <v>0</v>
      </c>
      <c r="AA183" s="408"/>
      <c r="AB183" s="408">
        <v>1.679515418502203</v>
      </c>
      <c r="AC183" s="408"/>
      <c r="AD183" s="408"/>
      <c r="AE183" s="409"/>
      <c r="AF183" s="410">
        <v>0</v>
      </c>
      <c r="AG183" s="410">
        <v>0</v>
      </c>
      <c r="AH183" s="411"/>
      <c r="AI183" s="412">
        <v>1.679515418502203</v>
      </c>
      <c r="AJ183" s="411"/>
      <c r="AK183" s="411"/>
      <c r="AL183" s="18"/>
      <c r="AM183" s="49"/>
      <c r="AN183" s="2"/>
      <c r="AO183" s="2"/>
    </row>
    <row r="184" spans="1:41" ht="18.600000000000001" hidden="1" customHeight="1">
      <c r="A184" s="14">
        <v>182</v>
      </c>
      <c r="B184" s="11" t="s">
        <v>194</v>
      </c>
      <c r="C184" s="14">
        <v>0</v>
      </c>
      <c r="D184" s="11" t="s">
        <v>17724</v>
      </c>
      <c r="E184" s="11" t="s">
        <v>194</v>
      </c>
      <c r="F184" s="436">
        <v>43705</v>
      </c>
      <c r="G184" s="11">
        <v>2019</v>
      </c>
      <c r="H184" s="11" t="s">
        <v>16444</v>
      </c>
      <c r="I184" s="11" t="s">
        <v>16445</v>
      </c>
      <c r="J184" s="11" t="s">
        <v>3</v>
      </c>
      <c r="K184" s="404">
        <v>33452.160000000003</v>
      </c>
      <c r="L184" s="11">
        <v>1</v>
      </c>
      <c r="M184" s="405">
        <v>33452.160000000003</v>
      </c>
      <c r="N184" s="11" t="s">
        <v>20155</v>
      </c>
      <c r="O184" s="11" t="s">
        <v>17693</v>
      </c>
      <c r="P184" s="872">
        <v>43712</v>
      </c>
      <c r="Q184" s="423">
        <v>22008</v>
      </c>
      <c r="R184" s="423">
        <v>0</v>
      </c>
      <c r="S184" s="423">
        <v>0</v>
      </c>
      <c r="T184" s="423">
        <v>0</v>
      </c>
      <c r="U184" s="423">
        <v>22008</v>
      </c>
      <c r="V184" s="11" t="s">
        <v>20155</v>
      </c>
      <c r="W184" s="407">
        <v>33452.160000000003</v>
      </c>
      <c r="X184" s="407">
        <v>0</v>
      </c>
      <c r="Y184" s="407">
        <v>0</v>
      </c>
      <c r="Z184" s="407">
        <v>0</v>
      </c>
      <c r="AA184" s="408">
        <v>1.5200000000000002</v>
      </c>
      <c r="AB184" s="408"/>
      <c r="AC184" s="408"/>
      <c r="AD184" s="408"/>
      <c r="AE184" s="409"/>
      <c r="AF184" s="410">
        <v>0</v>
      </c>
      <c r="AG184" s="410">
        <v>0</v>
      </c>
      <c r="AH184" s="411">
        <v>1.5200000000000002</v>
      </c>
      <c r="AI184" s="412"/>
      <c r="AJ184" s="411"/>
      <c r="AK184" s="411"/>
      <c r="AL184" s="18"/>
      <c r="AM184" s="49"/>
      <c r="AN184" s="2"/>
      <c r="AO184" s="2"/>
    </row>
    <row r="185" spans="1:41" ht="18.600000000000001" hidden="1" customHeight="1">
      <c r="A185" s="14">
        <v>183</v>
      </c>
      <c r="B185" s="11" t="s">
        <v>195</v>
      </c>
      <c r="C185" s="14">
        <v>0</v>
      </c>
      <c r="D185" s="11" t="s">
        <v>17725</v>
      </c>
      <c r="E185" s="11" t="s">
        <v>195</v>
      </c>
      <c r="F185" s="436">
        <v>43705</v>
      </c>
      <c r="G185" s="11">
        <v>2019</v>
      </c>
      <c r="H185" s="11" t="s">
        <v>16444</v>
      </c>
      <c r="I185" s="11" t="s">
        <v>16445</v>
      </c>
      <c r="J185" s="11" t="s">
        <v>3</v>
      </c>
      <c r="K185" s="404">
        <v>30144</v>
      </c>
      <c r="L185" s="11">
        <v>1</v>
      </c>
      <c r="M185" s="405">
        <v>30144</v>
      </c>
      <c r="N185" s="11" t="s">
        <v>20155</v>
      </c>
      <c r="O185" s="11" t="s">
        <v>20177</v>
      </c>
      <c r="P185" s="872">
        <v>43712</v>
      </c>
      <c r="Q185" s="423">
        <v>19200</v>
      </c>
      <c r="R185" s="423">
        <v>0</v>
      </c>
      <c r="S185" s="423">
        <v>0</v>
      </c>
      <c r="T185" s="423">
        <v>0</v>
      </c>
      <c r="U185" s="423">
        <v>19200</v>
      </c>
      <c r="V185" s="11" t="s">
        <v>20155</v>
      </c>
      <c r="W185" s="407">
        <v>30144</v>
      </c>
      <c r="X185" s="407">
        <v>0</v>
      </c>
      <c r="Y185" s="407">
        <v>0</v>
      </c>
      <c r="Z185" s="407">
        <v>0</v>
      </c>
      <c r="AA185" s="408">
        <v>1.57</v>
      </c>
      <c r="AB185" s="408"/>
      <c r="AC185" s="408"/>
      <c r="AD185" s="408"/>
      <c r="AE185" s="409"/>
      <c r="AF185" s="410">
        <v>0</v>
      </c>
      <c r="AG185" s="410">
        <v>0</v>
      </c>
      <c r="AH185" s="411">
        <v>1.57</v>
      </c>
      <c r="AI185" s="412"/>
      <c r="AJ185" s="411"/>
      <c r="AK185" s="411"/>
      <c r="AL185" s="18"/>
      <c r="AM185" s="49"/>
      <c r="AN185" s="2"/>
      <c r="AO185" s="2"/>
    </row>
    <row r="186" spans="1:41" ht="18.600000000000001" hidden="1" customHeight="1">
      <c r="A186" s="14">
        <v>184</v>
      </c>
      <c r="B186" s="11" t="s">
        <v>196</v>
      </c>
      <c r="C186" s="14">
        <v>0</v>
      </c>
      <c r="D186" s="11" t="s">
        <v>17726</v>
      </c>
      <c r="E186" s="11" t="s">
        <v>196</v>
      </c>
      <c r="F186" s="436">
        <v>43706</v>
      </c>
      <c r="G186" s="11">
        <v>2019</v>
      </c>
      <c r="H186" s="11" t="s">
        <v>16838</v>
      </c>
      <c r="I186" s="11" t="s">
        <v>16839</v>
      </c>
      <c r="J186" s="11" t="s">
        <v>3</v>
      </c>
      <c r="K186" s="404">
        <v>147453.6</v>
      </c>
      <c r="L186" s="11">
        <v>1</v>
      </c>
      <c r="M186" s="405">
        <v>147453.6</v>
      </c>
      <c r="N186" s="11" t="s">
        <v>20155</v>
      </c>
      <c r="O186" s="11" t="s">
        <v>17798</v>
      </c>
      <c r="P186" s="872">
        <v>43718</v>
      </c>
      <c r="Q186" s="423">
        <v>0</v>
      </c>
      <c r="R186" s="423">
        <v>110040</v>
      </c>
      <c r="S186" s="423">
        <v>0</v>
      </c>
      <c r="T186" s="423">
        <v>0</v>
      </c>
      <c r="U186" s="423">
        <v>110040</v>
      </c>
      <c r="V186" s="11" t="s">
        <v>20155</v>
      </c>
      <c r="W186" s="407">
        <v>0</v>
      </c>
      <c r="X186" s="407">
        <v>147453.6</v>
      </c>
      <c r="Y186" s="407">
        <v>0</v>
      </c>
      <c r="Z186" s="407">
        <v>0</v>
      </c>
      <c r="AA186" s="408"/>
      <c r="AB186" s="408">
        <v>1.34</v>
      </c>
      <c r="AC186" s="408"/>
      <c r="AD186" s="408"/>
      <c r="AE186" s="409"/>
      <c r="AF186" s="410">
        <v>0</v>
      </c>
      <c r="AG186" s="410">
        <v>0</v>
      </c>
      <c r="AH186" s="411"/>
      <c r="AI186" s="412">
        <v>1.34</v>
      </c>
      <c r="AJ186" s="411"/>
      <c r="AK186" s="411"/>
      <c r="AL186" s="18"/>
      <c r="AM186" s="49"/>
      <c r="AN186" s="2"/>
      <c r="AO186" s="2"/>
    </row>
    <row r="187" spans="1:41" ht="18.600000000000001" hidden="1" customHeight="1">
      <c r="A187" s="14">
        <v>185</v>
      </c>
      <c r="B187" s="11" t="s">
        <v>197</v>
      </c>
      <c r="C187" s="14">
        <v>0</v>
      </c>
      <c r="D187" s="11" t="s">
        <v>17727</v>
      </c>
      <c r="E187" s="11" t="s">
        <v>197</v>
      </c>
      <c r="F187" s="10">
        <v>43706</v>
      </c>
      <c r="G187" s="11">
        <v>2019</v>
      </c>
      <c r="H187" s="11" t="s">
        <v>16384</v>
      </c>
      <c r="I187" s="11" t="s">
        <v>16385</v>
      </c>
      <c r="J187" s="11" t="s">
        <v>3</v>
      </c>
      <c r="K187" s="404">
        <v>88704</v>
      </c>
      <c r="L187" s="11">
        <v>1</v>
      </c>
      <c r="M187" s="405">
        <v>88704</v>
      </c>
      <c r="N187" s="11" t="s">
        <v>20155</v>
      </c>
      <c r="O187" s="11" t="s">
        <v>18248</v>
      </c>
      <c r="P187" s="872">
        <v>43731</v>
      </c>
      <c r="Q187" s="423">
        <v>57600</v>
      </c>
      <c r="R187" s="423">
        <v>0</v>
      </c>
      <c r="S187" s="423">
        <v>0</v>
      </c>
      <c r="T187" s="423">
        <v>0</v>
      </c>
      <c r="U187" s="423">
        <v>57600</v>
      </c>
      <c r="V187" s="11" t="s">
        <v>20155</v>
      </c>
      <c r="W187" s="407">
        <v>88704</v>
      </c>
      <c r="X187" s="407">
        <v>0</v>
      </c>
      <c r="Y187" s="407">
        <v>0</v>
      </c>
      <c r="Z187" s="407">
        <v>0</v>
      </c>
      <c r="AA187" s="408">
        <v>1.54</v>
      </c>
      <c r="AB187" s="408"/>
      <c r="AC187" s="408"/>
      <c r="AD187" s="408"/>
      <c r="AE187" s="409"/>
      <c r="AF187" s="410">
        <v>0</v>
      </c>
      <c r="AG187" s="410">
        <v>0</v>
      </c>
      <c r="AH187" s="411">
        <v>1.54</v>
      </c>
      <c r="AI187" s="412"/>
      <c r="AJ187" s="411"/>
      <c r="AK187" s="411"/>
      <c r="AL187" s="18"/>
      <c r="AM187" s="49"/>
      <c r="AN187" s="2"/>
      <c r="AO187" s="2"/>
    </row>
    <row r="188" spans="1:41" ht="18.600000000000001" hidden="1" customHeight="1">
      <c r="A188" s="14">
        <v>186</v>
      </c>
      <c r="B188" s="11" t="s">
        <v>198</v>
      </c>
      <c r="C188" s="14">
        <v>0</v>
      </c>
      <c r="D188" s="11" t="s">
        <v>17728</v>
      </c>
      <c r="E188" s="11" t="s">
        <v>198</v>
      </c>
      <c r="F188" s="10">
        <v>43712</v>
      </c>
      <c r="G188" s="11">
        <v>2019</v>
      </c>
      <c r="H188" s="11" t="s">
        <v>16838</v>
      </c>
      <c r="I188" s="11" t="s">
        <v>16839</v>
      </c>
      <c r="J188" s="11" t="s">
        <v>3</v>
      </c>
      <c r="K188" s="404">
        <v>115500</v>
      </c>
      <c r="L188" s="11">
        <v>1</v>
      </c>
      <c r="M188" s="405">
        <v>115500</v>
      </c>
      <c r="N188" s="11" t="s">
        <v>20155</v>
      </c>
      <c r="O188" s="11" t="s">
        <v>17771</v>
      </c>
      <c r="P188" s="872">
        <v>43738</v>
      </c>
      <c r="Q188" s="423">
        <v>0</v>
      </c>
      <c r="R188" s="423">
        <v>0</v>
      </c>
      <c r="S188" s="423">
        <v>84000</v>
      </c>
      <c r="T188" s="423">
        <v>0</v>
      </c>
      <c r="U188" s="423">
        <v>84000</v>
      </c>
      <c r="V188" s="11" t="s">
        <v>20155</v>
      </c>
      <c r="W188" s="407">
        <v>0</v>
      </c>
      <c r="X188" s="407">
        <v>0</v>
      </c>
      <c r="Y188" s="407">
        <v>115500</v>
      </c>
      <c r="Z188" s="407">
        <v>0</v>
      </c>
      <c r="AA188" s="408"/>
      <c r="AB188" s="408"/>
      <c r="AC188" s="408">
        <v>1.375</v>
      </c>
      <c r="AD188" s="408"/>
      <c r="AE188" s="409"/>
      <c r="AF188" s="410">
        <v>0</v>
      </c>
      <c r="AG188" s="410">
        <v>0</v>
      </c>
      <c r="AH188" s="411"/>
      <c r="AI188" s="412"/>
      <c r="AJ188" s="411">
        <v>1.375</v>
      </c>
      <c r="AK188" s="411"/>
      <c r="AL188" s="18"/>
      <c r="AM188" s="49"/>
      <c r="AN188" s="2"/>
      <c r="AO188" s="2"/>
    </row>
    <row r="189" spans="1:41" ht="18.600000000000001" hidden="1" customHeight="1">
      <c r="A189" s="14">
        <v>187</v>
      </c>
      <c r="B189" s="11" t="s">
        <v>199</v>
      </c>
      <c r="C189" s="14">
        <v>0</v>
      </c>
      <c r="D189" s="11" t="s">
        <v>17729</v>
      </c>
      <c r="E189" s="11" t="s">
        <v>199</v>
      </c>
      <c r="F189" s="10">
        <v>43712</v>
      </c>
      <c r="G189" s="11">
        <v>2019</v>
      </c>
      <c r="H189" s="11" t="s">
        <v>17017</v>
      </c>
      <c r="I189" s="11" t="s">
        <v>17018</v>
      </c>
      <c r="J189" s="11" t="s">
        <v>3</v>
      </c>
      <c r="K189" s="404">
        <v>63200</v>
      </c>
      <c r="L189" s="11">
        <v>1</v>
      </c>
      <c r="M189" s="405">
        <v>63200</v>
      </c>
      <c r="N189" s="11" t="s">
        <v>20155</v>
      </c>
      <c r="O189" s="11" t="s">
        <v>18064</v>
      </c>
      <c r="P189" s="872">
        <v>43720</v>
      </c>
      <c r="Q189" s="423">
        <v>0</v>
      </c>
      <c r="R189" s="423">
        <v>40000</v>
      </c>
      <c r="S189" s="423">
        <v>0</v>
      </c>
      <c r="T189" s="423">
        <v>0</v>
      </c>
      <c r="U189" s="423">
        <v>40000</v>
      </c>
      <c r="V189" s="11" t="s">
        <v>20155</v>
      </c>
      <c r="W189" s="407">
        <v>0</v>
      </c>
      <c r="X189" s="407">
        <v>63200</v>
      </c>
      <c r="Y189" s="407">
        <v>0</v>
      </c>
      <c r="Z189" s="407">
        <v>0</v>
      </c>
      <c r="AA189" s="408"/>
      <c r="AB189" s="408">
        <v>1.58</v>
      </c>
      <c r="AC189" s="408"/>
      <c r="AD189" s="408"/>
      <c r="AE189" s="409"/>
      <c r="AF189" s="410">
        <v>0</v>
      </c>
      <c r="AG189" s="410">
        <v>0</v>
      </c>
      <c r="AH189" s="411"/>
      <c r="AI189" s="412">
        <v>1.58</v>
      </c>
      <c r="AJ189" s="411"/>
      <c r="AK189" s="411"/>
      <c r="AL189" s="18"/>
      <c r="AM189" s="49"/>
      <c r="AN189" s="2"/>
      <c r="AO189" s="2"/>
    </row>
    <row r="190" spans="1:41" ht="18.600000000000001" hidden="1" customHeight="1">
      <c r="A190" s="14">
        <v>188</v>
      </c>
      <c r="B190" s="11" t="s">
        <v>200</v>
      </c>
      <c r="C190" s="14">
        <v>0</v>
      </c>
      <c r="D190" s="11" t="s">
        <v>17731</v>
      </c>
      <c r="E190" s="11" t="s">
        <v>200</v>
      </c>
      <c r="F190" s="10">
        <v>43714</v>
      </c>
      <c r="G190" s="11">
        <v>2019</v>
      </c>
      <c r="H190" s="11" t="s">
        <v>16444</v>
      </c>
      <c r="I190" s="11" t="s">
        <v>16445</v>
      </c>
      <c r="J190" s="11" t="s">
        <v>3</v>
      </c>
      <c r="K190" s="404">
        <v>26496</v>
      </c>
      <c r="L190" s="11">
        <v>1</v>
      </c>
      <c r="M190" s="405">
        <v>26496</v>
      </c>
      <c r="N190" s="11" t="s">
        <v>20155</v>
      </c>
      <c r="O190" s="11" t="s">
        <v>18248</v>
      </c>
      <c r="P190" s="872">
        <v>43719</v>
      </c>
      <c r="Q190" s="423">
        <v>0</v>
      </c>
      <c r="R190" s="423">
        <v>20700</v>
      </c>
      <c r="S190" s="423">
        <v>0</v>
      </c>
      <c r="T190" s="423">
        <v>0</v>
      </c>
      <c r="U190" s="423">
        <v>20700</v>
      </c>
      <c r="V190" s="11" t="s">
        <v>20155</v>
      </c>
      <c r="W190" s="407">
        <v>0</v>
      </c>
      <c r="X190" s="407">
        <v>26496</v>
      </c>
      <c r="Y190" s="407">
        <v>0</v>
      </c>
      <c r="Z190" s="407">
        <v>0</v>
      </c>
      <c r="AA190" s="408"/>
      <c r="AB190" s="408">
        <v>1.28</v>
      </c>
      <c r="AC190" s="408"/>
      <c r="AD190" s="408"/>
      <c r="AE190" s="409"/>
      <c r="AF190" s="410">
        <v>0</v>
      </c>
      <c r="AG190" s="410">
        <v>0</v>
      </c>
      <c r="AH190" s="411"/>
      <c r="AI190" s="412">
        <v>1.28</v>
      </c>
      <c r="AJ190" s="411"/>
      <c r="AK190" s="411"/>
      <c r="AL190" s="18"/>
      <c r="AM190" s="49"/>
      <c r="AN190" s="2"/>
      <c r="AO190" s="2"/>
    </row>
    <row r="191" spans="1:41" ht="18.600000000000001" hidden="1" customHeight="1">
      <c r="A191" s="14">
        <v>189</v>
      </c>
      <c r="B191" s="11" t="s">
        <v>201</v>
      </c>
      <c r="C191" s="14">
        <v>0</v>
      </c>
      <c r="D191" s="11" t="s">
        <v>17732</v>
      </c>
      <c r="E191" s="11" t="s">
        <v>201</v>
      </c>
      <c r="F191" s="12">
        <v>43717</v>
      </c>
      <c r="G191" s="11">
        <v>2019</v>
      </c>
      <c r="H191" s="11" t="s">
        <v>16384</v>
      </c>
      <c r="I191" s="11" t="s">
        <v>16385</v>
      </c>
      <c r="J191" s="11" t="s">
        <v>3</v>
      </c>
      <c r="K191" s="404">
        <v>76720</v>
      </c>
      <c r="L191" s="11">
        <v>1</v>
      </c>
      <c r="M191" s="405">
        <v>76720</v>
      </c>
      <c r="N191" s="11" t="s">
        <v>20155</v>
      </c>
      <c r="O191" s="11" t="s">
        <v>17771</v>
      </c>
      <c r="P191" s="872">
        <v>43741</v>
      </c>
      <c r="Q191" s="423">
        <v>0</v>
      </c>
      <c r="R191" s="423">
        <v>0</v>
      </c>
      <c r="S191" s="423">
        <v>56000</v>
      </c>
      <c r="T191" s="423">
        <v>0</v>
      </c>
      <c r="U191" s="423">
        <v>56000</v>
      </c>
      <c r="V191" s="11" t="s">
        <v>20155</v>
      </c>
      <c r="W191" s="407">
        <v>0</v>
      </c>
      <c r="X191" s="407">
        <v>0</v>
      </c>
      <c r="Y191" s="407">
        <v>76720</v>
      </c>
      <c r="Z191" s="407">
        <v>0</v>
      </c>
      <c r="AA191" s="408"/>
      <c r="AB191" s="408"/>
      <c r="AC191" s="408">
        <v>1.37</v>
      </c>
      <c r="AD191" s="408"/>
      <c r="AE191" s="409"/>
      <c r="AF191" s="410">
        <v>0</v>
      </c>
      <c r="AG191" s="410">
        <v>0</v>
      </c>
      <c r="AH191" s="411"/>
      <c r="AI191" s="412"/>
      <c r="AJ191" s="411">
        <v>1.37</v>
      </c>
      <c r="AK191" s="411"/>
      <c r="AL191" s="18"/>
      <c r="AM191" s="49"/>
      <c r="AN191" s="2"/>
      <c r="AO191" s="2"/>
    </row>
    <row r="192" spans="1:41" ht="18.600000000000001" hidden="1" customHeight="1">
      <c r="A192" s="14">
        <v>190</v>
      </c>
      <c r="B192" s="11" t="s">
        <v>202</v>
      </c>
      <c r="C192" s="14">
        <v>0</v>
      </c>
      <c r="D192" s="11" t="s">
        <v>17733</v>
      </c>
      <c r="E192" s="11" t="s">
        <v>202</v>
      </c>
      <c r="F192" s="12">
        <v>43719</v>
      </c>
      <c r="G192" s="11">
        <v>2019</v>
      </c>
      <c r="H192" s="11" t="s">
        <v>16972</v>
      </c>
      <c r="I192" s="11" t="s">
        <v>16973</v>
      </c>
      <c r="J192" s="11" t="s">
        <v>3</v>
      </c>
      <c r="K192" s="404">
        <v>350000</v>
      </c>
      <c r="L192" s="11">
        <v>1</v>
      </c>
      <c r="M192" s="405">
        <v>350000</v>
      </c>
      <c r="N192" s="11" t="s">
        <v>20155</v>
      </c>
      <c r="O192" s="11" t="s">
        <v>17801</v>
      </c>
      <c r="P192" s="872">
        <v>43726</v>
      </c>
      <c r="Q192" s="423">
        <v>0</v>
      </c>
      <c r="R192" s="423">
        <v>0</v>
      </c>
      <c r="S192" s="423">
        <v>280000</v>
      </c>
      <c r="T192" s="423">
        <v>0</v>
      </c>
      <c r="U192" s="423">
        <v>280000</v>
      </c>
      <c r="V192" s="11" t="s">
        <v>20155</v>
      </c>
      <c r="W192" s="407">
        <v>0</v>
      </c>
      <c r="X192" s="407">
        <v>0</v>
      </c>
      <c r="Y192" s="407">
        <v>350000</v>
      </c>
      <c r="Z192" s="407">
        <v>0</v>
      </c>
      <c r="AA192" s="408"/>
      <c r="AB192" s="408"/>
      <c r="AC192" s="408">
        <v>1.25</v>
      </c>
      <c r="AD192" s="408"/>
      <c r="AE192" s="409"/>
      <c r="AF192" s="410">
        <v>0</v>
      </c>
      <c r="AG192" s="410">
        <v>0</v>
      </c>
      <c r="AH192" s="411"/>
      <c r="AI192" s="412"/>
      <c r="AJ192" s="411">
        <v>1.25</v>
      </c>
      <c r="AK192" s="411"/>
      <c r="AL192" s="18"/>
      <c r="AM192" s="49"/>
      <c r="AN192" s="2"/>
      <c r="AO192" s="2"/>
    </row>
    <row r="193" spans="1:41" ht="18.600000000000001" hidden="1" customHeight="1">
      <c r="A193" s="14">
        <v>191</v>
      </c>
      <c r="B193" s="11" t="s">
        <v>203</v>
      </c>
      <c r="C193" s="14">
        <v>0</v>
      </c>
      <c r="D193" s="11" t="s">
        <v>17735</v>
      </c>
      <c r="E193" s="11" t="s">
        <v>203</v>
      </c>
      <c r="F193" s="12">
        <v>43719</v>
      </c>
      <c r="G193" s="11">
        <v>2019</v>
      </c>
      <c r="H193" s="11" t="s">
        <v>16470</v>
      </c>
      <c r="I193" s="11" t="s">
        <v>16471</v>
      </c>
      <c r="J193" s="11" t="s">
        <v>16401</v>
      </c>
      <c r="K193" s="404">
        <v>344818.14</v>
      </c>
      <c r="L193" s="11">
        <v>2.8573499999999998</v>
      </c>
      <c r="M193" s="405">
        <v>120677.59987400915</v>
      </c>
      <c r="N193" s="11" t="s">
        <v>20155</v>
      </c>
      <c r="O193" s="11" t="s">
        <v>20159</v>
      </c>
      <c r="P193" s="872">
        <v>43732</v>
      </c>
      <c r="Q193" s="423">
        <v>0</v>
      </c>
      <c r="R193" s="423">
        <v>193440</v>
      </c>
      <c r="S193" s="423">
        <v>0</v>
      </c>
      <c r="T193" s="423">
        <v>0</v>
      </c>
      <c r="U193" s="423">
        <v>193440</v>
      </c>
      <c r="V193" s="11" t="s">
        <v>20155</v>
      </c>
      <c r="W193" s="407">
        <v>0</v>
      </c>
      <c r="X193" s="407">
        <v>260103.42755999995</v>
      </c>
      <c r="Y193" s="407">
        <v>0</v>
      </c>
      <c r="Z193" s="407">
        <v>0</v>
      </c>
      <c r="AA193" s="408"/>
      <c r="AB193" s="408">
        <v>1.3446206966501237</v>
      </c>
      <c r="AC193" s="408"/>
      <c r="AD193" s="408"/>
      <c r="AE193" s="409"/>
      <c r="AF193" s="410">
        <v>94272.98</v>
      </c>
      <c r="AG193" s="410">
        <v>0.4873499793217535</v>
      </c>
      <c r="AH193" s="411"/>
      <c r="AI193" s="412">
        <v>0.85727071732837024</v>
      </c>
      <c r="AJ193" s="411"/>
      <c r="AK193" s="411"/>
      <c r="AL193" s="18"/>
      <c r="AM193" s="49"/>
      <c r="AN193" s="2"/>
      <c r="AO193" s="2"/>
    </row>
    <row r="194" spans="1:41" ht="18.600000000000001" hidden="1" customHeight="1">
      <c r="A194" s="14">
        <v>192</v>
      </c>
      <c r="B194" s="11" t="s">
        <v>204</v>
      </c>
      <c r="C194" s="14">
        <v>0</v>
      </c>
      <c r="D194" s="11" t="s">
        <v>17736</v>
      </c>
      <c r="E194" s="11" t="s">
        <v>204</v>
      </c>
      <c r="F194" s="12">
        <v>43719</v>
      </c>
      <c r="G194" s="11">
        <v>2019</v>
      </c>
      <c r="H194" s="11" t="s">
        <v>16957</v>
      </c>
      <c r="I194" s="11" t="s">
        <v>16958</v>
      </c>
      <c r="J194" s="11" t="s">
        <v>16401</v>
      </c>
      <c r="K194" s="404">
        <v>39346.559999999998</v>
      </c>
      <c r="L194" s="11">
        <v>2.8512</v>
      </c>
      <c r="M194" s="405">
        <v>13800</v>
      </c>
      <c r="N194" s="11" t="s">
        <v>20155</v>
      </c>
      <c r="O194" s="11" t="s">
        <v>20161</v>
      </c>
      <c r="P194" s="872">
        <v>43733</v>
      </c>
      <c r="Q194" s="423">
        <v>20000</v>
      </c>
      <c r="R194" s="423">
        <v>0</v>
      </c>
      <c r="S194" s="423">
        <v>0</v>
      </c>
      <c r="T194" s="423">
        <v>0</v>
      </c>
      <c r="U194" s="423">
        <v>20000</v>
      </c>
      <c r="V194" s="11" t="s">
        <v>20155</v>
      </c>
      <c r="W194" s="407">
        <v>39346.559999999998</v>
      </c>
      <c r="X194" s="407">
        <v>0</v>
      </c>
      <c r="Y194" s="407">
        <v>0</v>
      </c>
      <c r="Z194" s="407">
        <v>0</v>
      </c>
      <c r="AA194" s="408">
        <v>1.967328</v>
      </c>
      <c r="AB194" s="408"/>
      <c r="AC194" s="408"/>
      <c r="AD194" s="408"/>
      <c r="AE194" s="409"/>
      <c r="AF194" s="410">
        <v>4296.29</v>
      </c>
      <c r="AG194" s="410">
        <v>0.21481449999999999</v>
      </c>
      <c r="AH194" s="411">
        <v>1.7525135000000001</v>
      </c>
      <c r="AI194" s="412"/>
      <c r="AJ194" s="411"/>
      <c r="AK194" s="411"/>
      <c r="AL194" s="18"/>
      <c r="AM194" s="49"/>
      <c r="AN194" s="2"/>
      <c r="AO194" s="2"/>
    </row>
    <row r="195" spans="1:41" ht="18.600000000000001" hidden="1" customHeight="1">
      <c r="A195" s="14">
        <v>193</v>
      </c>
      <c r="B195" s="11" t="s">
        <v>205</v>
      </c>
      <c r="C195" s="14">
        <v>0</v>
      </c>
      <c r="D195" s="11" t="s">
        <v>17738</v>
      </c>
      <c r="E195" s="11" t="s">
        <v>205</v>
      </c>
      <c r="F195" s="12">
        <v>43719</v>
      </c>
      <c r="G195" s="11">
        <v>2019</v>
      </c>
      <c r="H195" s="11" t="s">
        <v>16957</v>
      </c>
      <c r="I195" s="11" t="s">
        <v>16958</v>
      </c>
      <c r="J195" s="11" t="s">
        <v>16401</v>
      </c>
      <c r="K195" s="404">
        <v>37905.665000000001</v>
      </c>
      <c r="L195" s="11">
        <v>2.85005</v>
      </c>
      <c r="M195" s="405">
        <v>13300</v>
      </c>
      <c r="N195" s="11" t="s">
        <v>20155</v>
      </c>
      <c r="O195" s="11" t="s">
        <v>20161</v>
      </c>
      <c r="P195" s="872">
        <v>43756</v>
      </c>
      <c r="Q195" s="423">
        <v>20000</v>
      </c>
      <c r="R195" s="423">
        <v>0</v>
      </c>
      <c r="S195" s="423">
        <v>0</v>
      </c>
      <c r="T195" s="423">
        <v>0</v>
      </c>
      <c r="U195" s="423">
        <v>20000</v>
      </c>
      <c r="V195" s="11" t="s">
        <v>20155</v>
      </c>
      <c r="W195" s="407">
        <v>37905.665000000001</v>
      </c>
      <c r="X195" s="407">
        <v>0</v>
      </c>
      <c r="Y195" s="407">
        <v>0</v>
      </c>
      <c r="Z195" s="407">
        <v>0</v>
      </c>
      <c r="AA195" s="408">
        <v>1.8952832500000001</v>
      </c>
      <c r="AB195" s="408"/>
      <c r="AC195" s="408"/>
      <c r="AD195" s="408"/>
      <c r="AE195" s="409"/>
      <c r="AF195" s="410">
        <v>3858.5419999999999</v>
      </c>
      <c r="AG195" s="410">
        <v>0.19292709999999999</v>
      </c>
      <c r="AH195" s="411">
        <v>1.7023561500000002</v>
      </c>
      <c r="AI195" s="412"/>
      <c r="AJ195" s="411"/>
      <c r="AK195" s="411"/>
      <c r="AL195" s="18"/>
      <c r="AM195" s="49"/>
      <c r="AN195" s="2"/>
      <c r="AO195" s="2"/>
    </row>
    <row r="196" spans="1:41" ht="18.600000000000001" hidden="1" customHeight="1">
      <c r="A196" s="14">
        <v>194</v>
      </c>
      <c r="B196" s="11" t="s">
        <v>206</v>
      </c>
      <c r="C196" s="14">
        <v>0</v>
      </c>
      <c r="D196" s="11" t="s">
        <v>17740</v>
      </c>
      <c r="E196" s="11" t="s">
        <v>206</v>
      </c>
      <c r="F196" s="12">
        <v>43719</v>
      </c>
      <c r="G196" s="11">
        <v>2019</v>
      </c>
      <c r="H196" s="11" t="s">
        <v>16880</v>
      </c>
      <c r="I196" s="11" t="s">
        <v>16881</v>
      </c>
      <c r="J196" s="11" t="s">
        <v>16401</v>
      </c>
      <c r="K196" s="404">
        <v>64906.142</v>
      </c>
      <c r="L196" s="11">
        <v>2.8512</v>
      </c>
      <c r="M196" s="405">
        <v>22764.499859708194</v>
      </c>
      <c r="N196" s="11" t="s">
        <v>20155</v>
      </c>
      <c r="O196" s="11" t="s">
        <v>20156</v>
      </c>
      <c r="P196" s="872">
        <v>43732</v>
      </c>
      <c r="Q196" s="423">
        <v>0</v>
      </c>
      <c r="R196" s="423">
        <v>18650</v>
      </c>
      <c r="S196" s="423">
        <v>0</v>
      </c>
      <c r="T196" s="423">
        <v>0</v>
      </c>
      <c r="U196" s="423">
        <v>18650</v>
      </c>
      <c r="V196" s="11" t="s">
        <v>20155</v>
      </c>
      <c r="W196" s="407">
        <v>0</v>
      </c>
      <c r="X196" s="407">
        <v>64906.142400000004</v>
      </c>
      <c r="Y196" s="407">
        <v>0</v>
      </c>
      <c r="Z196" s="407">
        <v>0</v>
      </c>
      <c r="AA196" s="408"/>
      <c r="AB196" s="408">
        <v>3.4802221126005364</v>
      </c>
      <c r="AC196" s="408"/>
      <c r="AD196" s="408"/>
      <c r="AE196" s="409"/>
      <c r="AF196" s="410">
        <v>1200</v>
      </c>
      <c r="AG196" s="410">
        <v>6.4343163538873996E-2</v>
      </c>
      <c r="AH196" s="411"/>
      <c r="AI196" s="412">
        <v>3.4158789490616623</v>
      </c>
      <c r="AJ196" s="411"/>
      <c r="AK196" s="411"/>
      <c r="AL196" s="18"/>
      <c r="AM196" s="49"/>
      <c r="AN196" s="2"/>
      <c r="AO196" s="2"/>
    </row>
    <row r="197" spans="1:41" ht="18.600000000000001" hidden="1" customHeight="1">
      <c r="A197" s="14">
        <v>195</v>
      </c>
      <c r="B197" s="11" t="s">
        <v>207</v>
      </c>
      <c r="C197" s="14">
        <v>0</v>
      </c>
      <c r="D197" s="11" t="s">
        <v>17742</v>
      </c>
      <c r="E197" s="11" t="s">
        <v>207</v>
      </c>
      <c r="F197" s="12">
        <v>43719</v>
      </c>
      <c r="G197" s="11">
        <v>2019</v>
      </c>
      <c r="H197" s="11" t="s">
        <v>17156</v>
      </c>
      <c r="I197" s="11" t="s">
        <v>17157</v>
      </c>
      <c r="J197" s="11" t="s">
        <v>3</v>
      </c>
      <c r="K197" s="404">
        <v>62400</v>
      </c>
      <c r="L197" s="11">
        <v>1</v>
      </c>
      <c r="M197" s="405">
        <v>62400</v>
      </c>
      <c r="N197" s="11" t="s">
        <v>20155</v>
      </c>
      <c r="O197" s="11" t="s">
        <v>20161</v>
      </c>
      <c r="P197" s="872">
        <v>43727</v>
      </c>
      <c r="Q197" s="423">
        <v>0</v>
      </c>
      <c r="R197" s="423">
        <v>39000</v>
      </c>
      <c r="S197" s="423">
        <v>0</v>
      </c>
      <c r="T197" s="423">
        <v>0</v>
      </c>
      <c r="U197" s="423">
        <v>39000</v>
      </c>
      <c r="V197" s="11" t="s">
        <v>20155</v>
      </c>
      <c r="W197" s="407">
        <v>0</v>
      </c>
      <c r="X197" s="407">
        <v>62400</v>
      </c>
      <c r="Y197" s="407">
        <v>0</v>
      </c>
      <c r="Z197" s="407">
        <v>0</v>
      </c>
      <c r="AA197" s="408"/>
      <c r="AB197" s="408">
        <v>1.6</v>
      </c>
      <c r="AC197" s="408"/>
      <c r="AD197" s="408"/>
      <c r="AE197" s="409"/>
      <c r="AF197" s="410">
        <v>0</v>
      </c>
      <c r="AG197" s="410">
        <v>0</v>
      </c>
      <c r="AH197" s="411"/>
      <c r="AI197" s="412">
        <v>1.6</v>
      </c>
      <c r="AJ197" s="411"/>
      <c r="AK197" s="411"/>
      <c r="AL197" s="18"/>
      <c r="AM197" s="49"/>
      <c r="AN197" s="2"/>
      <c r="AO197" s="2"/>
    </row>
    <row r="198" spans="1:41" ht="18.600000000000001" hidden="1" customHeight="1">
      <c r="A198" s="14">
        <v>196</v>
      </c>
      <c r="B198" s="11" t="s">
        <v>208</v>
      </c>
      <c r="C198" s="14">
        <v>0</v>
      </c>
      <c r="D198" s="11" t="s">
        <v>17744</v>
      </c>
      <c r="E198" s="11" t="s">
        <v>208</v>
      </c>
      <c r="F198" s="12">
        <v>43727</v>
      </c>
      <c r="G198" s="11">
        <v>2019</v>
      </c>
      <c r="H198" s="11" t="s">
        <v>16838</v>
      </c>
      <c r="I198" s="11" t="s">
        <v>16839</v>
      </c>
      <c r="J198" s="11" t="s">
        <v>3</v>
      </c>
      <c r="K198" s="404">
        <v>176944.32</v>
      </c>
      <c r="L198" s="11">
        <v>1</v>
      </c>
      <c r="M198" s="405">
        <v>176944.32</v>
      </c>
      <c r="N198" s="11" t="s">
        <v>20155</v>
      </c>
      <c r="O198" s="11" t="s">
        <v>17798</v>
      </c>
      <c r="P198" s="872" t="s">
        <v>20178</v>
      </c>
      <c r="Q198" s="423">
        <v>0</v>
      </c>
      <c r="R198" s="423">
        <v>132048</v>
      </c>
      <c r="S198" s="423">
        <v>0</v>
      </c>
      <c r="T198" s="423">
        <v>0</v>
      </c>
      <c r="U198" s="423">
        <v>132048</v>
      </c>
      <c r="V198" s="11" t="s">
        <v>20155</v>
      </c>
      <c r="W198" s="407">
        <v>0</v>
      </c>
      <c r="X198" s="407">
        <v>176944.32</v>
      </c>
      <c r="Y198" s="407">
        <v>0</v>
      </c>
      <c r="Z198" s="407">
        <v>0</v>
      </c>
      <c r="AA198" s="408"/>
      <c r="AB198" s="408">
        <v>1.34</v>
      </c>
      <c r="AC198" s="408"/>
      <c r="AD198" s="408"/>
      <c r="AE198" s="409"/>
      <c r="AF198" s="410">
        <v>0</v>
      </c>
      <c r="AG198" s="410">
        <v>0</v>
      </c>
      <c r="AH198" s="411"/>
      <c r="AI198" s="412">
        <v>1.34</v>
      </c>
      <c r="AJ198" s="411"/>
      <c r="AK198" s="411"/>
      <c r="AL198" s="18"/>
      <c r="AM198" s="49"/>
      <c r="AN198" s="2"/>
      <c r="AO198" s="2"/>
    </row>
    <row r="199" spans="1:41" ht="18.600000000000001" hidden="1" customHeight="1">
      <c r="A199" s="14">
        <v>197</v>
      </c>
      <c r="B199" s="11" t="s">
        <v>209</v>
      </c>
      <c r="C199" s="14">
        <v>0</v>
      </c>
      <c r="D199" s="11" t="s">
        <v>17745</v>
      </c>
      <c r="E199" s="11" t="s">
        <v>209</v>
      </c>
      <c r="F199" s="12">
        <v>43727</v>
      </c>
      <c r="G199" s="11">
        <v>2019</v>
      </c>
      <c r="H199" s="11" t="s">
        <v>17017</v>
      </c>
      <c r="I199" s="11" t="s">
        <v>17018</v>
      </c>
      <c r="J199" s="11" t="s">
        <v>3</v>
      </c>
      <c r="K199" s="404">
        <v>33290.004000000001</v>
      </c>
      <c r="L199" s="11">
        <v>1</v>
      </c>
      <c r="M199" s="405">
        <v>33290.004000000001</v>
      </c>
      <c r="N199" s="11" t="s">
        <v>20155</v>
      </c>
      <c r="O199" s="11" t="s">
        <v>17238</v>
      </c>
      <c r="P199" s="872">
        <v>43760</v>
      </c>
      <c r="Q199" s="423">
        <v>0</v>
      </c>
      <c r="R199" s="423">
        <v>0</v>
      </c>
      <c r="S199" s="423">
        <v>20175.759999999998</v>
      </c>
      <c r="T199" s="423">
        <v>0</v>
      </c>
      <c r="U199" s="423">
        <v>20175.759999999998</v>
      </c>
      <c r="V199" s="11" t="s">
        <v>20155</v>
      </c>
      <c r="W199" s="407">
        <v>0</v>
      </c>
      <c r="X199" s="407">
        <v>0</v>
      </c>
      <c r="Y199" s="407">
        <v>33290.004000000001</v>
      </c>
      <c r="Z199" s="407">
        <v>0</v>
      </c>
      <c r="AA199" s="408"/>
      <c r="AB199" s="408"/>
      <c r="AC199" s="408">
        <v>1.65</v>
      </c>
      <c r="AD199" s="408"/>
      <c r="AE199" s="409"/>
      <c r="AF199" s="410">
        <v>0</v>
      </c>
      <c r="AG199" s="410">
        <v>0</v>
      </c>
      <c r="AH199" s="411"/>
      <c r="AI199" s="412"/>
      <c r="AJ199" s="411">
        <v>1.65</v>
      </c>
      <c r="AK199" s="411"/>
      <c r="AL199" s="18"/>
      <c r="AM199" s="49"/>
      <c r="AN199" s="2"/>
      <c r="AO199" s="2"/>
    </row>
    <row r="200" spans="1:41" ht="18.600000000000001" hidden="1" customHeight="1">
      <c r="A200" s="14">
        <v>198</v>
      </c>
      <c r="B200" s="11" t="s">
        <v>210</v>
      </c>
      <c r="C200" s="14">
        <v>0</v>
      </c>
      <c r="D200" s="11" t="s">
        <v>17747</v>
      </c>
      <c r="E200" s="11" t="s">
        <v>210</v>
      </c>
      <c r="F200" s="12">
        <v>43731</v>
      </c>
      <c r="G200" s="11">
        <v>2019</v>
      </c>
      <c r="H200" s="11" t="s">
        <v>17203</v>
      </c>
      <c r="I200" s="11" t="s">
        <v>17205</v>
      </c>
      <c r="J200" s="11" t="s">
        <v>16401</v>
      </c>
      <c r="K200" s="404">
        <v>257926.5</v>
      </c>
      <c r="L200" s="11">
        <v>2.86585</v>
      </c>
      <c r="M200" s="405">
        <v>90000</v>
      </c>
      <c r="N200" s="11" t="s">
        <v>20155</v>
      </c>
      <c r="O200" s="11" t="s">
        <v>17939</v>
      </c>
      <c r="P200" s="872">
        <v>43734</v>
      </c>
      <c r="Q200" s="423">
        <v>0</v>
      </c>
      <c r="R200" s="423">
        <v>168480</v>
      </c>
      <c r="S200" s="423">
        <v>11520</v>
      </c>
      <c r="T200" s="423">
        <v>0</v>
      </c>
      <c r="U200" s="423">
        <v>180000</v>
      </c>
      <c r="V200" s="11" t="s">
        <v>20155</v>
      </c>
      <c r="W200" s="407">
        <v>0</v>
      </c>
      <c r="X200" s="407">
        <v>241419.204</v>
      </c>
      <c r="Y200" s="407">
        <v>16507.296000000002</v>
      </c>
      <c r="Z200" s="407">
        <v>0</v>
      </c>
      <c r="AA200" s="408"/>
      <c r="AB200" s="408">
        <v>1.432925</v>
      </c>
      <c r="AC200" s="408">
        <v>1.4329250000000002</v>
      </c>
      <c r="AD200" s="408"/>
      <c r="AE200" s="409"/>
      <c r="AF200" s="410">
        <v>0</v>
      </c>
      <c r="AG200" s="410">
        <v>0</v>
      </c>
      <c r="AH200" s="411"/>
      <c r="AI200" s="412">
        <v>1.432925</v>
      </c>
      <c r="AJ200" s="411">
        <v>1.4329250000000002</v>
      </c>
      <c r="AK200" s="411"/>
      <c r="AL200" s="18"/>
      <c r="AM200" s="49"/>
      <c r="AN200" s="2"/>
      <c r="AO200" s="2"/>
    </row>
    <row r="201" spans="1:41" ht="18.600000000000001" hidden="1" customHeight="1">
      <c r="A201" s="14">
        <v>199</v>
      </c>
      <c r="B201" s="11" t="s">
        <v>211</v>
      </c>
      <c r="C201" s="14">
        <v>0</v>
      </c>
      <c r="D201" s="11" t="s">
        <v>17749</v>
      </c>
      <c r="E201" s="11" t="s">
        <v>211</v>
      </c>
      <c r="F201" s="12">
        <v>43731</v>
      </c>
      <c r="G201" s="11">
        <v>2019</v>
      </c>
      <c r="H201" s="11" t="s">
        <v>16444</v>
      </c>
      <c r="I201" s="11" t="s">
        <v>16445</v>
      </c>
      <c r="J201" s="11" t="s">
        <v>3</v>
      </c>
      <c r="K201" s="404">
        <v>31632</v>
      </c>
      <c r="L201" s="11">
        <v>1</v>
      </c>
      <c r="M201" s="405">
        <v>31632</v>
      </c>
      <c r="N201" s="11" t="s">
        <v>20155</v>
      </c>
      <c r="O201" s="11" t="s">
        <v>17693</v>
      </c>
      <c r="P201" s="872">
        <v>43738</v>
      </c>
      <c r="Q201" s="423">
        <v>21600</v>
      </c>
      <c r="R201" s="423">
        <v>0</v>
      </c>
      <c r="S201" s="423">
        <v>0</v>
      </c>
      <c r="T201" s="423">
        <v>0</v>
      </c>
      <c r="U201" s="423">
        <v>21600</v>
      </c>
      <c r="V201" s="11" t="s">
        <v>20155</v>
      </c>
      <c r="W201" s="407">
        <v>31632</v>
      </c>
      <c r="X201" s="407">
        <v>0</v>
      </c>
      <c r="Y201" s="407">
        <v>0</v>
      </c>
      <c r="Z201" s="407">
        <v>0</v>
      </c>
      <c r="AA201" s="408">
        <v>1.4644444444444444</v>
      </c>
      <c r="AB201" s="408"/>
      <c r="AC201" s="408"/>
      <c r="AD201" s="408"/>
      <c r="AE201" s="409"/>
      <c r="AF201" s="410">
        <v>0</v>
      </c>
      <c r="AG201" s="410">
        <v>0</v>
      </c>
      <c r="AH201" s="411">
        <v>1.4644444444444444</v>
      </c>
      <c r="AI201" s="412"/>
      <c r="AJ201" s="411"/>
      <c r="AK201" s="411"/>
      <c r="AL201" s="18"/>
      <c r="AM201" s="49"/>
      <c r="AN201" s="2"/>
      <c r="AO201" s="2"/>
    </row>
    <row r="202" spans="1:41" ht="18.600000000000001" hidden="1" customHeight="1">
      <c r="A202" s="14">
        <v>200</v>
      </c>
      <c r="B202" s="11" t="s">
        <v>212</v>
      </c>
      <c r="C202" s="14">
        <v>0</v>
      </c>
      <c r="D202" s="11" t="s">
        <v>17750</v>
      </c>
      <c r="E202" s="11" t="s">
        <v>212</v>
      </c>
      <c r="F202" s="12">
        <v>43739</v>
      </c>
      <c r="G202" s="11">
        <v>2019</v>
      </c>
      <c r="H202" s="11" t="s">
        <v>17156</v>
      </c>
      <c r="I202" s="11" t="s">
        <v>17157</v>
      </c>
      <c r="J202" s="11" t="s">
        <v>3</v>
      </c>
      <c r="K202" s="404">
        <v>160000</v>
      </c>
      <c r="L202" s="11">
        <v>1</v>
      </c>
      <c r="M202" s="405">
        <v>160000</v>
      </c>
      <c r="N202" s="11" t="s">
        <v>20155</v>
      </c>
      <c r="O202" s="11" t="s">
        <v>20161</v>
      </c>
      <c r="P202" s="872">
        <v>43755</v>
      </c>
      <c r="Q202" s="423">
        <v>0</v>
      </c>
      <c r="R202" s="423">
        <v>100000</v>
      </c>
      <c r="S202" s="423">
        <v>0</v>
      </c>
      <c r="T202" s="423">
        <v>0</v>
      </c>
      <c r="U202" s="423">
        <v>100000</v>
      </c>
      <c r="V202" s="11" t="s">
        <v>20155</v>
      </c>
      <c r="W202" s="407">
        <v>0</v>
      </c>
      <c r="X202" s="407">
        <v>160000</v>
      </c>
      <c r="Y202" s="407">
        <v>0</v>
      </c>
      <c r="Z202" s="407">
        <v>0</v>
      </c>
      <c r="AA202" s="408"/>
      <c r="AB202" s="408">
        <v>1.6</v>
      </c>
      <c r="AC202" s="408"/>
      <c r="AD202" s="408"/>
      <c r="AE202" s="409"/>
      <c r="AF202" s="410">
        <v>0</v>
      </c>
      <c r="AG202" s="410">
        <v>0</v>
      </c>
      <c r="AH202" s="411"/>
      <c r="AI202" s="412">
        <v>1.6</v>
      </c>
      <c r="AJ202" s="411"/>
      <c r="AK202" s="411"/>
      <c r="AL202" s="18"/>
      <c r="AM202" s="49"/>
      <c r="AN202" s="2"/>
      <c r="AO202" s="2"/>
    </row>
    <row r="203" spans="1:41" ht="18.600000000000001" hidden="1" customHeight="1">
      <c r="A203" s="14">
        <v>201</v>
      </c>
      <c r="B203" s="11" t="s">
        <v>213</v>
      </c>
      <c r="C203" s="14">
        <v>0</v>
      </c>
      <c r="D203" s="11" t="s">
        <v>17752</v>
      </c>
      <c r="E203" s="11" t="s">
        <v>213</v>
      </c>
      <c r="F203" s="12">
        <v>43739</v>
      </c>
      <c r="G203" s="11">
        <v>2019</v>
      </c>
      <c r="H203" s="11" t="s">
        <v>16972</v>
      </c>
      <c r="I203" s="11" t="s">
        <v>16973</v>
      </c>
      <c r="J203" s="11" t="s">
        <v>3</v>
      </c>
      <c r="K203" s="404">
        <v>350000</v>
      </c>
      <c r="L203" s="11">
        <v>1</v>
      </c>
      <c r="M203" s="405">
        <v>350000</v>
      </c>
      <c r="N203" s="11" t="s">
        <v>20155</v>
      </c>
      <c r="O203" s="11" t="s">
        <v>17801</v>
      </c>
      <c r="P203" s="872">
        <v>43746</v>
      </c>
      <c r="Q203" s="423">
        <v>0</v>
      </c>
      <c r="R203" s="423">
        <v>0</v>
      </c>
      <c r="S203" s="423">
        <v>280000</v>
      </c>
      <c r="T203" s="423">
        <v>0</v>
      </c>
      <c r="U203" s="423">
        <v>280000</v>
      </c>
      <c r="V203" s="11" t="s">
        <v>20155</v>
      </c>
      <c r="W203" s="407">
        <v>0</v>
      </c>
      <c r="X203" s="407">
        <v>0</v>
      </c>
      <c r="Y203" s="407">
        <v>350000</v>
      </c>
      <c r="Z203" s="407">
        <v>0</v>
      </c>
      <c r="AA203" s="408"/>
      <c r="AB203" s="408"/>
      <c r="AC203" s="408">
        <v>1.25</v>
      </c>
      <c r="AD203" s="408"/>
      <c r="AE203" s="409"/>
      <c r="AF203" s="410">
        <v>0</v>
      </c>
      <c r="AG203" s="410">
        <v>0</v>
      </c>
      <c r="AH203" s="411"/>
      <c r="AI203" s="412"/>
      <c r="AJ203" s="411">
        <v>1.25</v>
      </c>
      <c r="AK203" s="411"/>
      <c r="AL203" s="18"/>
      <c r="AM203" s="49"/>
      <c r="AN203" s="2"/>
      <c r="AO203" s="2"/>
    </row>
    <row r="204" spans="1:41" ht="18.600000000000001" hidden="1" customHeight="1">
      <c r="A204" s="14">
        <v>202</v>
      </c>
      <c r="B204" s="11" t="s">
        <v>214</v>
      </c>
      <c r="C204" s="14">
        <v>0</v>
      </c>
      <c r="D204" s="11" t="s">
        <v>17753</v>
      </c>
      <c r="E204" s="11" t="s">
        <v>214</v>
      </c>
      <c r="F204" s="12">
        <v>43739</v>
      </c>
      <c r="G204" s="11">
        <v>2019</v>
      </c>
      <c r="H204" s="11" t="s">
        <v>17017</v>
      </c>
      <c r="I204" s="11" t="s">
        <v>17018</v>
      </c>
      <c r="J204" s="11" t="s">
        <v>3</v>
      </c>
      <c r="K204" s="404">
        <v>31600</v>
      </c>
      <c r="L204" s="11">
        <v>1</v>
      </c>
      <c r="M204" s="405">
        <v>31600</v>
      </c>
      <c r="N204" s="11" t="s">
        <v>20155</v>
      </c>
      <c r="O204" s="11" t="s">
        <v>18064</v>
      </c>
      <c r="P204" s="872">
        <v>43762</v>
      </c>
      <c r="Q204" s="423">
        <v>0</v>
      </c>
      <c r="R204" s="423">
        <v>20000</v>
      </c>
      <c r="S204" s="423">
        <v>0</v>
      </c>
      <c r="T204" s="423">
        <v>0</v>
      </c>
      <c r="U204" s="423">
        <v>20000</v>
      </c>
      <c r="V204" s="11" t="s">
        <v>20155</v>
      </c>
      <c r="W204" s="407">
        <v>0</v>
      </c>
      <c r="X204" s="407">
        <v>31600</v>
      </c>
      <c r="Y204" s="407">
        <v>0</v>
      </c>
      <c r="Z204" s="407">
        <v>0</v>
      </c>
      <c r="AA204" s="408"/>
      <c r="AB204" s="408">
        <v>1.58</v>
      </c>
      <c r="AC204" s="408"/>
      <c r="AD204" s="408"/>
      <c r="AE204" s="409"/>
      <c r="AF204" s="410">
        <v>0</v>
      </c>
      <c r="AG204" s="410">
        <v>0</v>
      </c>
      <c r="AH204" s="411"/>
      <c r="AI204" s="412">
        <v>1.58</v>
      </c>
      <c r="AJ204" s="411"/>
      <c r="AK204" s="411"/>
      <c r="AL204" s="18"/>
      <c r="AM204" s="49"/>
      <c r="AN204" s="2"/>
      <c r="AO204" s="2"/>
    </row>
    <row r="205" spans="1:41" ht="18.600000000000001" hidden="1" customHeight="1">
      <c r="A205" s="14">
        <v>203</v>
      </c>
      <c r="B205" s="11" t="s">
        <v>215</v>
      </c>
      <c r="C205" s="14">
        <v>0</v>
      </c>
      <c r="D205" s="11" t="s">
        <v>17755</v>
      </c>
      <c r="E205" s="11" t="s">
        <v>215</v>
      </c>
      <c r="F205" s="12">
        <v>43740</v>
      </c>
      <c r="G205" s="11">
        <v>2019</v>
      </c>
      <c r="H205" s="11" t="s">
        <v>17172</v>
      </c>
      <c r="I205" s="11" t="s">
        <v>17173</v>
      </c>
      <c r="J205" s="11" t="s">
        <v>16482</v>
      </c>
      <c r="K205" s="404">
        <v>87125.15</v>
      </c>
      <c r="L205" s="11">
        <v>3.1509999999999998</v>
      </c>
      <c r="M205" s="405">
        <v>27650</v>
      </c>
      <c r="N205" s="11" t="s">
        <v>20155</v>
      </c>
      <c r="O205" s="11" t="s">
        <v>17771</v>
      </c>
      <c r="P205" s="872">
        <v>43770</v>
      </c>
      <c r="Q205" s="423">
        <v>0</v>
      </c>
      <c r="R205" s="423">
        <v>0</v>
      </c>
      <c r="S205" s="423">
        <v>52000</v>
      </c>
      <c r="T205" s="423">
        <v>0</v>
      </c>
      <c r="U205" s="423">
        <v>52000</v>
      </c>
      <c r="V205" s="11" t="s">
        <v>20155</v>
      </c>
      <c r="W205" s="407">
        <v>0</v>
      </c>
      <c r="X205" s="407">
        <v>0</v>
      </c>
      <c r="Y205" s="407">
        <v>74206.05</v>
      </c>
      <c r="Z205" s="407">
        <v>0</v>
      </c>
      <c r="AA205" s="408"/>
      <c r="AB205" s="408"/>
      <c r="AC205" s="408">
        <v>1.4270394230769232</v>
      </c>
      <c r="AD205" s="408"/>
      <c r="AE205" s="409"/>
      <c r="AF205" s="410">
        <v>15528.32</v>
      </c>
      <c r="AG205" s="410">
        <v>0.29862153846153844</v>
      </c>
      <c r="AH205" s="411"/>
      <c r="AI205" s="412"/>
      <c r="AJ205" s="411">
        <v>1.1284178846153847</v>
      </c>
      <c r="AK205" s="411"/>
      <c r="AL205" s="18"/>
      <c r="AM205" s="49"/>
      <c r="AN205" s="2"/>
      <c r="AO205" s="2"/>
    </row>
    <row r="206" spans="1:41" ht="18.600000000000001" hidden="1" customHeight="1">
      <c r="A206" s="14">
        <v>204</v>
      </c>
      <c r="B206" s="11" t="s">
        <v>216</v>
      </c>
      <c r="C206" s="14">
        <v>0</v>
      </c>
      <c r="D206" s="11" t="s">
        <v>17757</v>
      </c>
      <c r="E206" s="11" t="s">
        <v>216</v>
      </c>
      <c r="F206" s="12">
        <v>43741</v>
      </c>
      <c r="G206" s="11">
        <v>2019</v>
      </c>
      <c r="H206" s="11" t="s">
        <v>16384</v>
      </c>
      <c r="I206" s="11" t="s">
        <v>16385</v>
      </c>
      <c r="J206" s="11" t="s">
        <v>3</v>
      </c>
      <c r="K206" s="404">
        <v>37570</v>
      </c>
      <c r="L206" s="11">
        <v>1</v>
      </c>
      <c r="M206" s="405">
        <v>37570</v>
      </c>
      <c r="N206" s="11" t="s">
        <v>20155</v>
      </c>
      <c r="O206" s="11" t="s">
        <v>17771</v>
      </c>
      <c r="P206" s="872">
        <v>43755</v>
      </c>
      <c r="Q206" s="423">
        <v>0</v>
      </c>
      <c r="R206" s="423">
        <v>0</v>
      </c>
      <c r="S206" s="423">
        <v>26000</v>
      </c>
      <c r="T206" s="423">
        <v>0</v>
      </c>
      <c r="U206" s="423">
        <v>26000</v>
      </c>
      <c r="V206" s="11" t="s">
        <v>20155</v>
      </c>
      <c r="W206" s="407">
        <v>0</v>
      </c>
      <c r="X206" s="407">
        <v>0</v>
      </c>
      <c r="Y206" s="407">
        <v>37570</v>
      </c>
      <c r="Z206" s="407">
        <v>0</v>
      </c>
      <c r="AA206" s="408"/>
      <c r="AB206" s="408"/>
      <c r="AC206" s="408">
        <v>1.4450000000000001</v>
      </c>
      <c r="AD206" s="408"/>
      <c r="AE206" s="409"/>
      <c r="AF206" s="410">
        <v>0</v>
      </c>
      <c r="AG206" s="410">
        <v>0</v>
      </c>
      <c r="AH206" s="411"/>
      <c r="AI206" s="412"/>
      <c r="AJ206" s="411">
        <v>1.4450000000000001</v>
      </c>
      <c r="AK206" s="411"/>
      <c r="AL206" s="18"/>
      <c r="AM206" s="49"/>
      <c r="AN206" s="2"/>
      <c r="AO206" s="2"/>
    </row>
    <row r="207" spans="1:41" ht="18.600000000000001" hidden="1" customHeight="1">
      <c r="A207" s="14">
        <v>205</v>
      </c>
      <c r="B207" s="11" t="s">
        <v>217</v>
      </c>
      <c r="C207" s="14">
        <v>0</v>
      </c>
      <c r="D207" s="11" t="s">
        <v>17758</v>
      </c>
      <c r="E207" s="11" t="s">
        <v>217</v>
      </c>
      <c r="F207" s="12">
        <v>43741</v>
      </c>
      <c r="G207" s="11">
        <v>2019</v>
      </c>
      <c r="H207" s="11" t="s">
        <v>16838</v>
      </c>
      <c r="I207" s="11" t="s">
        <v>16839</v>
      </c>
      <c r="J207" s="11" t="s">
        <v>3</v>
      </c>
      <c r="K207" s="404">
        <v>86491.44</v>
      </c>
      <c r="L207" s="11">
        <v>1</v>
      </c>
      <c r="M207" s="405">
        <v>86491.44</v>
      </c>
      <c r="N207" s="11" t="s">
        <v>20155</v>
      </c>
      <c r="O207" s="11" t="s">
        <v>17798</v>
      </c>
      <c r="P207" s="872">
        <v>43748</v>
      </c>
      <c r="Q207" s="423">
        <v>0</v>
      </c>
      <c r="R207" s="423">
        <v>66024</v>
      </c>
      <c r="S207" s="423">
        <v>0</v>
      </c>
      <c r="T207" s="423">
        <v>0</v>
      </c>
      <c r="U207" s="423">
        <v>66024</v>
      </c>
      <c r="V207" s="11" t="s">
        <v>20155</v>
      </c>
      <c r="W207" s="407">
        <v>0</v>
      </c>
      <c r="X207" s="407">
        <v>86491.44</v>
      </c>
      <c r="Y207" s="407">
        <v>0</v>
      </c>
      <c r="Z207" s="407">
        <v>0</v>
      </c>
      <c r="AA207" s="408"/>
      <c r="AB207" s="408">
        <v>1.31</v>
      </c>
      <c r="AC207" s="408"/>
      <c r="AD207" s="408"/>
      <c r="AE207" s="409"/>
      <c r="AF207" s="410">
        <v>0</v>
      </c>
      <c r="AG207" s="410">
        <v>0</v>
      </c>
      <c r="AH207" s="411"/>
      <c r="AI207" s="412">
        <v>1.31</v>
      </c>
      <c r="AJ207" s="411"/>
      <c r="AK207" s="411"/>
      <c r="AL207" s="18"/>
      <c r="AM207" s="49"/>
      <c r="AN207" s="2"/>
      <c r="AO207" s="2"/>
    </row>
    <row r="208" spans="1:41" ht="18.600000000000001" hidden="1" customHeight="1">
      <c r="A208" s="14">
        <v>206</v>
      </c>
      <c r="B208" s="11" t="s">
        <v>218</v>
      </c>
      <c r="C208" s="14">
        <v>0</v>
      </c>
      <c r="D208" s="11" t="s">
        <v>17760</v>
      </c>
      <c r="E208" s="11" t="s">
        <v>218</v>
      </c>
      <c r="F208" s="12">
        <v>43741</v>
      </c>
      <c r="G208" s="11">
        <v>2019</v>
      </c>
      <c r="H208" s="11" t="s">
        <v>16838</v>
      </c>
      <c r="I208" s="11" t="s">
        <v>16839</v>
      </c>
      <c r="J208" s="11" t="s">
        <v>3</v>
      </c>
      <c r="K208" s="404">
        <v>116480</v>
      </c>
      <c r="L208" s="11">
        <v>1</v>
      </c>
      <c r="M208" s="405">
        <v>116480</v>
      </c>
      <c r="N208" s="11" t="s">
        <v>20155</v>
      </c>
      <c r="O208" s="11" t="s">
        <v>17771</v>
      </c>
      <c r="P208" s="872">
        <v>43760</v>
      </c>
      <c r="Q208" s="423">
        <v>0</v>
      </c>
      <c r="R208" s="423">
        <v>0</v>
      </c>
      <c r="S208" s="423">
        <v>84000</v>
      </c>
      <c r="T208" s="423">
        <v>0</v>
      </c>
      <c r="U208" s="423">
        <v>84000</v>
      </c>
      <c r="V208" s="11" t="s">
        <v>20155</v>
      </c>
      <c r="W208" s="407">
        <v>0</v>
      </c>
      <c r="X208" s="407">
        <v>0</v>
      </c>
      <c r="Y208" s="407">
        <v>116480</v>
      </c>
      <c r="Z208" s="407">
        <v>0</v>
      </c>
      <c r="AA208" s="408"/>
      <c r="AB208" s="408"/>
      <c r="AC208" s="408">
        <v>1.3866666666666667</v>
      </c>
      <c r="AD208" s="408"/>
      <c r="AE208" s="409"/>
      <c r="AF208" s="410">
        <v>0</v>
      </c>
      <c r="AG208" s="410">
        <v>0</v>
      </c>
      <c r="AH208" s="411"/>
      <c r="AI208" s="412"/>
      <c r="AJ208" s="411">
        <v>1.3866666666666667</v>
      </c>
      <c r="AK208" s="411"/>
      <c r="AL208" s="18"/>
      <c r="AM208" s="49"/>
      <c r="AN208" s="2"/>
      <c r="AO208" s="2"/>
    </row>
    <row r="209" spans="1:41" ht="18.600000000000001" hidden="1" customHeight="1">
      <c r="A209" s="14">
        <v>207</v>
      </c>
      <c r="B209" s="11" t="s">
        <v>219</v>
      </c>
      <c r="C209" s="14">
        <v>0</v>
      </c>
      <c r="D209" s="11" t="s">
        <v>17761</v>
      </c>
      <c r="E209" s="11" t="s">
        <v>219</v>
      </c>
      <c r="F209" s="12">
        <v>43749</v>
      </c>
      <c r="G209" s="11">
        <v>2019</v>
      </c>
      <c r="H209" s="11" t="s">
        <v>16444</v>
      </c>
      <c r="I209" s="11" t="s">
        <v>16445</v>
      </c>
      <c r="J209" s="11" t="s">
        <v>3</v>
      </c>
      <c r="K209" s="404">
        <v>29160</v>
      </c>
      <c r="L209" s="11">
        <v>1</v>
      </c>
      <c r="M209" s="405">
        <v>29160</v>
      </c>
      <c r="N209" s="11" t="s">
        <v>20155</v>
      </c>
      <c r="O209" s="11" t="s">
        <v>17854</v>
      </c>
      <c r="P209" s="872">
        <v>43754</v>
      </c>
      <c r="Q209" s="423">
        <v>18000</v>
      </c>
      <c r="R209" s="423">
        <v>0</v>
      </c>
      <c r="S209" s="423">
        <v>0</v>
      </c>
      <c r="T209" s="423">
        <v>0</v>
      </c>
      <c r="U209" s="423">
        <v>18000</v>
      </c>
      <c r="V209" s="11" t="s">
        <v>20155</v>
      </c>
      <c r="W209" s="407">
        <v>29160</v>
      </c>
      <c r="X209" s="407">
        <v>0</v>
      </c>
      <c r="Y209" s="407">
        <v>0</v>
      </c>
      <c r="Z209" s="407">
        <v>0</v>
      </c>
      <c r="AA209" s="408">
        <v>1.62</v>
      </c>
      <c r="AB209" s="408"/>
      <c r="AC209" s="408"/>
      <c r="AD209" s="408"/>
      <c r="AE209" s="409"/>
      <c r="AF209" s="410">
        <v>0</v>
      </c>
      <c r="AG209" s="410">
        <v>0</v>
      </c>
      <c r="AH209" s="411">
        <v>1.62</v>
      </c>
      <c r="AI209" s="412"/>
      <c r="AJ209" s="411"/>
      <c r="AK209" s="411"/>
      <c r="AL209" s="18"/>
      <c r="AM209" s="49"/>
      <c r="AN209" s="2"/>
      <c r="AO209" s="2"/>
    </row>
    <row r="210" spans="1:41" ht="18.600000000000001" hidden="1" customHeight="1">
      <c r="A210" s="14">
        <v>208</v>
      </c>
      <c r="B210" s="11" t="s">
        <v>220</v>
      </c>
      <c r="C210" s="14">
        <v>0</v>
      </c>
      <c r="D210" s="11" t="s">
        <v>17762</v>
      </c>
      <c r="E210" s="11" t="s">
        <v>220</v>
      </c>
      <c r="F210" s="12">
        <v>43749</v>
      </c>
      <c r="G210" s="11">
        <v>2019</v>
      </c>
      <c r="H210" s="11" t="s">
        <v>16444</v>
      </c>
      <c r="I210" s="11" t="s">
        <v>16445</v>
      </c>
      <c r="J210" s="11" t="s">
        <v>3</v>
      </c>
      <c r="K210" s="404">
        <v>30340</v>
      </c>
      <c r="L210" s="11">
        <v>1</v>
      </c>
      <c r="M210" s="405">
        <v>30340</v>
      </c>
      <c r="N210" s="11" t="s">
        <v>20155</v>
      </c>
      <c r="O210" s="11" t="s">
        <v>17693</v>
      </c>
      <c r="P210" s="872">
        <v>43754</v>
      </c>
      <c r="Q210" s="423">
        <v>20500</v>
      </c>
      <c r="R210" s="423">
        <v>0</v>
      </c>
      <c r="S210" s="423">
        <v>0</v>
      </c>
      <c r="T210" s="423">
        <v>0</v>
      </c>
      <c r="U210" s="423">
        <v>20500</v>
      </c>
      <c r="V210" s="11" t="s">
        <v>20155</v>
      </c>
      <c r="W210" s="407">
        <v>30340</v>
      </c>
      <c r="X210" s="407">
        <v>0</v>
      </c>
      <c r="Y210" s="407">
        <v>0</v>
      </c>
      <c r="Z210" s="407">
        <v>0</v>
      </c>
      <c r="AA210" s="408">
        <v>1.48</v>
      </c>
      <c r="AB210" s="408"/>
      <c r="AC210" s="408"/>
      <c r="AD210" s="408"/>
      <c r="AE210" s="409"/>
      <c r="AF210" s="410">
        <v>0</v>
      </c>
      <c r="AG210" s="410">
        <v>0</v>
      </c>
      <c r="AH210" s="411">
        <v>1.48</v>
      </c>
      <c r="AI210" s="412"/>
      <c r="AJ210" s="411"/>
      <c r="AK210" s="411"/>
      <c r="AL210" s="18"/>
      <c r="AM210" s="49"/>
      <c r="AN210" s="2"/>
      <c r="AO210" s="2"/>
    </row>
    <row r="211" spans="1:41" ht="18.600000000000001" hidden="1" customHeight="1">
      <c r="A211" s="14">
        <v>209</v>
      </c>
      <c r="B211" s="11" t="s">
        <v>221</v>
      </c>
      <c r="C211" s="14">
        <v>0</v>
      </c>
      <c r="D211" s="11" t="s">
        <v>17763</v>
      </c>
      <c r="E211" s="11" t="s">
        <v>221</v>
      </c>
      <c r="F211" s="12">
        <v>43749</v>
      </c>
      <c r="G211" s="11">
        <v>2019</v>
      </c>
      <c r="H211" s="11" t="s">
        <v>16384</v>
      </c>
      <c r="I211" s="11" t="s">
        <v>16385</v>
      </c>
      <c r="J211" s="11" t="s">
        <v>3</v>
      </c>
      <c r="K211" s="404">
        <v>36213</v>
      </c>
      <c r="L211" s="11">
        <v>1</v>
      </c>
      <c r="M211" s="405">
        <v>36213</v>
      </c>
      <c r="N211" s="11" t="s">
        <v>20155</v>
      </c>
      <c r="O211" s="11" t="s">
        <v>20170</v>
      </c>
      <c r="P211" s="872">
        <v>43759</v>
      </c>
      <c r="Q211" s="423">
        <v>5400</v>
      </c>
      <c r="R211" s="423">
        <v>17400</v>
      </c>
      <c r="S211" s="423">
        <v>1200</v>
      </c>
      <c r="T211" s="423">
        <v>0</v>
      </c>
      <c r="U211" s="423">
        <v>24000</v>
      </c>
      <c r="V211" s="11" t="s">
        <v>20155</v>
      </c>
      <c r="W211" s="407">
        <v>8400</v>
      </c>
      <c r="X211" s="407">
        <v>26169</v>
      </c>
      <c r="Y211" s="407">
        <v>1644</v>
      </c>
      <c r="Z211" s="407">
        <v>0</v>
      </c>
      <c r="AA211" s="408">
        <v>1.5555555555555556</v>
      </c>
      <c r="AB211" s="408">
        <v>1.5039655172413793</v>
      </c>
      <c r="AC211" s="408">
        <v>1.37</v>
      </c>
      <c r="AD211" s="408"/>
      <c r="AE211" s="409"/>
      <c r="AF211" s="410">
        <v>0</v>
      </c>
      <c r="AG211" s="410">
        <v>0</v>
      </c>
      <c r="AH211" s="411">
        <v>1.5555555555555556</v>
      </c>
      <c r="AI211" s="412">
        <v>1.5039655172413793</v>
      </c>
      <c r="AJ211" s="411">
        <v>1.37</v>
      </c>
      <c r="AK211" s="411"/>
      <c r="AL211" s="18"/>
      <c r="AM211" s="49"/>
      <c r="AN211" s="2"/>
      <c r="AO211" s="2"/>
    </row>
    <row r="212" spans="1:41" ht="18.600000000000001" hidden="1" customHeight="1">
      <c r="A212" s="14">
        <v>210</v>
      </c>
      <c r="B212" s="11" t="s">
        <v>222</v>
      </c>
      <c r="C212" s="14">
        <v>0</v>
      </c>
      <c r="D212" s="11" t="s">
        <v>17764</v>
      </c>
      <c r="E212" s="11" t="s">
        <v>222</v>
      </c>
      <c r="F212" s="12">
        <v>43752</v>
      </c>
      <c r="G212" s="11">
        <v>2019</v>
      </c>
      <c r="H212" s="11" t="s">
        <v>16444</v>
      </c>
      <c r="I212" s="11" t="s">
        <v>16445</v>
      </c>
      <c r="J212" s="11" t="s">
        <v>3</v>
      </c>
      <c r="K212" s="438">
        <v>118548</v>
      </c>
      <c r="L212" s="11">
        <v>1</v>
      </c>
      <c r="M212" s="405">
        <v>118548</v>
      </c>
      <c r="N212" s="11" t="s">
        <v>20155</v>
      </c>
      <c r="O212" s="11" t="s">
        <v>17693</v>
      </c>
      <c r="P212" s="872">
        <v>43761</v>
      </c>
      <c r="Q212" s="423">
        <v>28800</v>
      </c>
      <c r="R212" s="423">
        <v>54000</v>
      </c>
      <c r="S212" s="423">
        <v>0</v>
      </c>
      <c r="T212" s="423">
        <v>0</v>
      </c>
      <c r="U212" s="423">
        <v>82800</v>
      </c>
      <c r="V212" s="11" t="s">
        <v>20155</v>
      </c>
      <c r="W212" s="407">
        <v>43776</v>
      </c>
      <c r="X212" s="407">
        <v>74772</v>
      </c>
      <c r="Y212" s="407">
        <v>0</v>
      </c>
      <c r="Z212" s="407">
        <v>0</v>
      </c>
      <c r="AA212" s="408">
        <v>1.52</v>
      </c>
      <c r="AB212" s="408">
        <v>1.3846666666666667</v>
      </c>
      <c r="AC212" s="408"/>
      <c r="AD212" s="408"/>
      <c r="AE212" s="409"/>
      <c r="AF212" s="410">
        <v>0</v>
      </c>
      <c r="AG212" s="410">
        <v>0</v>
      </c>
      <c r="AH212" s="411">
        <v>1.52</v>
      </c>
      <c r="AI212" s="412">
        <v>1.3846666666666667</v>
      </c>
      <c r="AJ212" s="411"/>
      <c r="AK212" s="411"/>
      <c r="AL212" s="18"/>
      <c r="AM212" s="49"/>
      <c r="AN212" s="2"/>
      <c r="AO212" s="2"/>
    </row>
    <row r="213" spans="1:41" ht="18.600000000000001" hidden="1" customHeight="1">
      <c r="A213" s="14">
        <v>211</v>
      </c>
      <c r="B213" s="11" t="s">
        <v>223</v>
      </c>
      <c r="C213" s="14">
        <v>0</v>
      </c>
      <c r="D213" s="11" t="s">
        <v>17765</v>
      </c>
      <c r="E213" s="11" t="s">
        <v>223</v>
      </c>
      <c r="F213" s="12">
        <v>43755</v>
      </c>
      <c r="G213" s="11">
        <v>2019</v>
      </c>
      <c r="H213" s="11" t="s">
        <v>17209</v>
      </c>
      <c r="I213" s="11" t="s">
        <v>17210</v>
      </c>
      <c r="J213" s="11" t="s">
        <v>16401</v>
      </c>
      <c r="K213" s="438">
        <v>49556.038</v>
      </c>
      <c r="L213" s="11">
        <v>2.8314499999999998</v>
      </c>
      <c r="M213" s="405">
        <v>17502.000035317596</v>
      </c>
      <c r="N213" s="11" t="s">
        <v>20155</v>
      </c>
      <c r="O213" s="11" t="s">
        <v>20168</v>
      </c>
      <c r="P213" s="872">
        <v>43764</v>
      </c>
      <c r="Q213" s="423">
        <v>0</v>
      </c>
      <c r="R213" s="423">
        <v>15600</v>
      </c>
      <c r="S213" s="423">
        <v>7200</v>
      </c>
      <c r="T213" s="423">
        <v>2500</v>
      </c>
      <c r="U213" s="423">
        <v>25300</v>
      </c>
      <c r="V213" s="11" t="s">
        <v>20179</v>
      </c>
      <c r="W213" s="407">
        <v>0</v>
      </c>
      <c r="X213" s="407">
        <v>24956.400300000005</v>
      </c>
      <c r="Y213" s="407">
        <v>11518.338600000001</v>
      </c>
      <c r="Z213" s="407">
        <v>9541.9864999999991</v>
      </c>
      <c r="AA213" s="408"/>
      <c r="AB213" s="408">
        <v>1.5997692500000003</v>
      </c>
      <c r="AC213" s="408">
        <v>1.59976925</v>
      </c>
      <c r="AD213" s="408">
        <v>3.8167945999999997</v>
      </c>
      <c r="AE213" s="409"/>
      <c r="AF213" s="410">
        <v>4764.45</v>
      </c>
      <c r="AG213" s="410">
        <v>0.1883181818181818</v>
      </c>
      <c r="AH213" s="411"/>
      <c r="AI213" s="412">
        <v>1.4114510681818184</v>
      </c>
      <c r="AJ213" s="411">
        <v>1.4114510681818182</v>
      </c>
      <c r="AK213" s="411">
        <v>3.6284764181818181</v>
      </c>
      <c r="AL213" s="18"/>
      <c r="AM213" s="49"/>
      <c r="AN213" s="2"/>
      <c r="AO213" s="2"/>
    </row>
    <row r="214" spans="1:41" ht="18.600000000000001" hidden="1" customHeight="1">
      <c r="A214" s="14">
        <v>212</v>
      </c>
      <c r="B214" s="11" t="s">
        <v>224</v>
      </c>
      <c r="C214" s="14">
        <v>0</v>
      </c>
      <c r="D214" s="11" t="s">
        <v>17766</v>
      </c>
      <c r="E214" s="11" t="s">
        <v>224</v>
      </c>
      <c r="F214" s="12">
        <v>43755</v>
      </c>
      <c r="G214" s="11">
        <v>2019</v>
      </c>
      <c r="H214" s="11" t="s">
        <v>16783</v>
      </c>
      <c r="I214" s="11" t="s">
        <v>16784</v>
      </c>
      <c r="J214" s="11" t="s">
        <v>16401</v>
      </c>
      <c r="K214" s="438">
        <v>334542.527</v>
      </c>
      <c r="L214" s="11">
        <v>2.8538000000000001</v>
      </c>
      <c r="M214" s="405">
        <v>117227.04008690167</v>
      </c>
      <c r="N214" s="11" t="s">
        <v>20155</v>
      </c>
      <c r="O214" s="11" t="s">
        <v>17939</v>
      </c>
      <c r="P214" s="872">
        <v>43782</v>
      </c>
      <c r="Q214" s="423">
        <v>0</v>
      </c>
      <c r="R214" s="423">
        <v>190320</v>
      </c>
      <c r="S214" s="423">
        <v>43200</v>
      </c>
      <c r="T214" s="423">
        <v>0</v>
      </c>
      <c r="U214" s="423">
        <v>233520</v>
      </c>
      <c r="V214" s="11" t="s">
        <v>20155</v>
      </c>
      <c r="W214" s="407">
        <v>0</v>
      </c>
      <c r="X214" s="407">
        <v>272562.27145199996</v>
      </c>
      <c r="Y214" s="407">
        <v>61888.648320000008</v>
      </c>
      <c r="Z214" s="407">
        <v>0</v>
      </c>
      <c r="AA214" s="408"/>
      <c r="AB214" s="408">
        <v>1.4321262686633036</v>
      </c>
      <c r="AC214" s="408">
        <v>1.4326076000000001</v>
      </c>
      <c r="AD214" s="408"/>
      <c r="AE214" s="409"/>
      <c r="AF214" s="410">
        <v>0</v>
      </c>
      <c r="AG214" s="410">
        <v>0</v>
      </c>
      <c r="AH214" s="411"/>
      <c r="AI214" s="412">
        <v>1.4321262686633036</v>
      </c>
      <c r="AJ214" s="411">
        <v>1.4326076000000001</v>
      </c>
      <c r="AK214" s="411"/>
      <c r="AL214" s="18"/>
      <c r="AM214" s="49"/>
      <c r="AN214" s="2"/>
      <c r="AO214" s="2"/>
    </row>
    <row r="215" spans="1:41" ht="18.600000000000001" hidden="1" customHeight="1">
      <c r="A215" s="14">
        <v>213</v>
      </c>
      <c r="B215" s="11" t="s">
        <v>225</v>
      </c>
      <c r="C215" s="14">
        <v>0</v>
      </c>
      <c r="D215" s="11" t="s">
        <v>17767</v>
      </c>
      <c r="E215" s="11" t="s">
        <v>225</v>
      </c>
      <c r="F215" s="12">
        <v>43752</v>
      </c>
      <c r="G215" s="11">
        <v>2019</v>
      </c>
      <c r="H215" s="11" t="s">
        <v>16560</v>
      </c>
      <c r="I215" s="11" t="s">
        <v>16561</v>
      </c>
      <c r="J215" s="11" t="s">
        <v>16482</v>
      </c>
      <c r="K215" s="438">
        <v>146464.79399999999</v>
      </c>
      <c r="L215" s="11">
        <v>3.1538499999999998</v>
      </c>
      <c r="M215" s="405">
        <v>46440</v>
      </c>
      <c r="N215" s="11" t="s">
        <v>20155</v>
      </c>
      <c r="O215" s="11" t="s">
        <v>17801</v>
      </c>
      <c r="P215" s="872">
        <v>43770</v>
      </c>
      <c r="Q215" s="423">
        <v>0</v>
      </c>
      <c r="R215" s="423">
        <v>0</v>
      </c>
      <c r="S215" s="423">
        <v>108000</v>
      </c>
      <c r="T215" s="423">
        <v>0</v>
      </c>
      <c r="U215" s="423">
        <v>108000</v>
      </c>
      <c r="V215" s="11" t="s">
        <v>20155</v>
      </c>
      <c r="W215" s="407">
        <v>0</v>
      </c>
      <c r="X215" s="407">
        <v>0</v>
      </c>
      <c r="Y215" s="407">
        <v>146464.79399999999</v>
      </c>
      <c r="Z215" s="407">
        <v>0</v>
      </c>
      <c r="AA215" s="408"/>
      <c r="AB215" s="408"/>
      <c r="AC215" s="408">
        <v>1.3561554999999998</v>
      </c>
      <c r="AD215" s="408"/>
      <c r="AE215" s="409"/>
      <c r="AF215" s="410">
        <v>17020.86</v>
      </c>
      <c r="AG215" s="410">
        <v>0.15760055555555555</v>
      </c>
      <c r="AH215" s="411"/>
      <c r="AI215" s="412"/>
      <c r="AJ215" s="411">
        <v>1.1985549444444443</v>
      </c>
      <c r="AK215" s="411"/>
      <c r="AL215" s="18"/>
      <c r="AM215" s="49"/>
      <c r="AN215" s="2"/>
      <c r="AO215" s="2"/>
    </row>
    <row r="216" spans="1:41" ht="18.600000000000001" hidden="1" customHeight="1">
      <c r="A216" s="14">
        <v>214</v>
      </c>
      <c r="B216" s="11" t="s">
        <v>226</v>
      </c>
      <c r="C216" s="14">
        <v>0</v>
      </c>
      <c r="D216" s="11" t="s">
        <v>17768</v>
      </c>
      <c r="E216" s="11" t="s">
        <v>226</v>
      </c>
      <c r="F216" s="12">
        <v>43752</v>
      </c>
      <c r="G216" s="11">
        <v>2019</v>
      </c>
      <c r="H216" s="11" t="s">
        <v>16560</v>
      </c>
      <c r="I216" s="11" t="s">
        <v>16561</v>
      </c>
      <c r="J216" s="11" t="s">
        <v>16482</v>
      </c>
      <c r="K216" s="438">
        <v>146464.79399999999</v>
      </c>
      <c r="L216" s="11">
        <v>3.1538499999999998</v>
      </c>
      <c r="M216" s="405">
        <v>46440</v>
      </c>
      <c r="N216" s="11" t="s">
        <v>20155</v>
      </c>
      <c r="O216" s="11" t="s">
        <v>17801</v>
      </c>
      <c r="P216" s="872">
        <v>43771</v>
      </c>
      <c r="Q216" s="423">
        <v>0</v>
      </c>
      <c r="R216" s="423">
        <v>0</v>
      </c>
      <c r="S216" s="423">
        <v>108000</v>
      </c>
      <c r="T216" s="423">
        <v>0</v>
      </c>
      <c r="U216" s="423">
        <v>108000</v>
      </c>
      <c r="V216" s="11" t="s">
        <v>20155</v>
      </c>
      <c r="W216" s="407">
        <v>0</v>
      </c>
      <c r="X216" s="407">
        <v>0</v>
      </c>
      <c r="Y216" s="407">
        <v>146464.79399999999</v>
      </c>
      <c r="Z216" s="407">
        <v>0</v>
      </c>
      <c r="AA216" s="408"/>
      <c r="AB216" s="408"/>
      <c r="AC216" s="408">
        <v>1.3561554999999998</v>
      </c>
      <c r="AD216" s="408"/>
      <c r="AE216" s="409"/>
      <c r="AF216" s="410">
        <v>17020.86</v>
      </c>
      <c r="AG216" s="410">
        <v>0.15760055555555555</v>
      </c>
      <c r="AH216" s="411"/>
      <c r="AI216" s="412"/>
      <c r="AJ216" s="411">
        <v>1.1985549444444443</v>
      </c>
      <c r="AK216" s="411"/>
      <c r="AL216" s="18"/>
      <c r="AM216" s="49"/>
      <c r="AN216" s="2"/>
      <c r="AO216" s="2"/>
    </row>
    <row r="217" spans="1:41" ht="18.600000000000001" hidden="1" customHeight="1">
      <c r="A217" s="14">
        <v>215</v>
      </c>
      <c r="B217" s="11" t="s">
        <v>227</v>
      </c>
      <c r="C217" s="14">
        <v>0</v>
      </c>
      <c r="D217" s="11" t="s">
        <v>17769</v>
      </c>
      <c r="E217" s="11" t="s">
        <v>227</v>
      </c>
      <c r="F217" s="12">
        <v>43752</v>
      </c>
      <c r="G217" s="11">
        <v>2019</v>
      </c>
      <c r="H217" s="11" t="s">
        <v>16444</v>
      </c>
      <c r="I217" s="11" t="s">
        <v>16445</v>
      </c>
      <c r="J217" s="11" t="s">
        <v>3</v>
      </c>
      <c r="K217" s="438">
        <v>30144</v>
      </c>
      <c r="L217" s="11">
        <v>1</v>
      </c>
      <c r="M217" s="405">
        <v>30144</v>
      </c>
      <c r="N217" s="11" t="s">
        <v>20155</v>
      </c>
      <c r="O217" s="11" t="s">
        <v>18248</v>
      </c>
      <c r="P217" s="872">
        <v>43775</v>
      </c>
      <c r="Q217" s="423">
        <v>19200</v>
      </c>
      <c r="R217" s="423">
        <v>0</v>
      </c>
      <c r="S217" s="423">
        <v>0</v>
      </c>
      <c r="T217" s="423">
        <v>0</v>
      </c>
      <c r="U217" s="423">
        <v>19200</v>
      </c>
      <c r="V217" s="11" t="s">
        <v>20155</v>
      </c>
      <c r="W217" s="407">
        <v>30144</v>
      </c>
      <c r="X217" s="407">
        <v>0</v>
      </c>
      <c r="Y217" s="407">
        <v>0</v>
      </c>
      <c r="Z217" s="407">
        <v>0</v>
      </c>
      <c r="AA217" s="408">
        <v>1.57</v>
      </c>
      <c r="AB217" s="408"/>
      <c r="AC217" s="408"/>
      <c r="AD217" s="408"/>
      <c r="AE217" s="409"/>
      <c r="AF217" s="410">
        <v>0</v>
      </c>
      <c r="AG217" s="410">
        <v>0</v>
      </c>
      <c r="AH217" s="411">
        <v>1.57</v>
      </c>
      <c r="AI217" s="412"/>
      <c r="AJ217" s="411"/>
      <c r="AK217" s="411"/>
      <c r="AL217" s="18"/>
      <c r="AM217" s="49"/>
      <c r="AN217" s="2"/>
      <c r="AO217" s="2"/>
    </row>
    <row r="218" spans="1:41" ht="18.600000000000001" hidden="1" customHeight="1">
      <c r="A218" s="14">
        <v>216</v>
      </c>
      <c r="B218" s="11" t="s">
        <v>228</v>
      </c>
      <c r="C218" s="14">
        <v>0</v>
      </c>
      <c r="D218" s="11" t="s">
        <v>17770</v>
      </c>
      <c r="E218" s="11" t="s">
        <v>228</v>
      </c>
      <c r="F218" s="12">
        <v>43752</v>
      </c>
      <c r="G218" s="11">
        <v>2019</v>
      </c>
      <c r="H218" s="11" t="s">
        <v>16384</v>
      </c>
      <c r="I218" s="11" t="s">
        <v>16385</v>
      </c>
      <c r="J218" s="11" t="s">
        <v>3</v>
      </c>
      <c r="K218" s="438">
        <v>30000</v>
      </c>
      <c r="L218" s="11">
        <v>1</v>
      </c>
      <c r="M218" s="405">
        <v>30000</v>
      </c>
      <c r="N218" s="11" t="s">
        <v>20155</v>
      </c>
      <c r="O218" s="11" t="s">
        <v>17771</v>
      </c>
      <c r="P218" s="872">
        <v>43768</v>
      </c>
      <c r="Q218" s="423">
        <v>20000</v>
      </c>
      <c r="R218" s="423">
        <v>0</v>
      </c>
      <c r="S218" s="423">
        <v>0</v>
      </c>
      <c r="T218" s="423">
        <v>0</v>
      </c>
      <c r="U218" s="423">
        <v>20000</v>
      </c>
      <c r="V218" s="11" t="s">
        <v>20155</v>
      </c>
      <c r="W218" s="407">
        <v>30000</v>
      </c>
      <c r="X218" s="407">
        <v>0</v>
      </c>
      <c r="Y218" s="407">
        <v>0</v>
      </c>
      <c r="Z218" s="407">
        <v>0</v>
      </c>
      <c r="AA218" s="408">
        <v>1.5</v>
      </c>
      <c r="AB218" s="408"/>
      <c r="AC218" s="408"/>
      <c r="AD218" s="408"/>
      <c r="AE218" s="409"/>
      <c r="AF218" s="410">
        <v>0</v>
      </c>
      <c r="AG218" s="410">
        <v>0</v>
      </c>
      <c r="AH218" s="411">
        <v>1.5</v>
      </c>
      <c r="AI218" s="412"/>
      <c r="AJ218" s="411"/>
      <c r="AK218" s="411"/>
      <c r="AL218" s="18"/>
      <c r="AM218" s="49"/>
      <c r="AN218" s="2"/>
      <c r="AO218" s="2"/>
    </row>
    <row r="219" spans="1:41" ht="18.600000000000001" hidden="1" customHeight="1">
      <c r="A219" s="14">
        <v>217</v>
      </c>
      <c r="B219" s="11" t="s">
        <v>229</v>
      </c>
      <c r="C219" s="14">
        <v>0</v>
      </c>
      <c r="D219" s="11" t="s">
        <v>17772</v>
      </c>
      <c r="E219" s="11" t="s">
        <v>229</v>
      </c>
      <c r="F219" s="12">
        <v>43752</v>
      </c>
      <c r="G219" s="11">
        <v>2019</v>
      </c>
      <c r="H219" s="11" t="s">
        <v>17017</v>
      </c>
      <c r="I219" s="11" t="s">
        <v>17018</v>
      </c>
      <c r="J219" s="11" t="s">
        <v>3</v>
      </c>
      <c r="K219" s="438">
        <v>33290.004000000001</v>
      </c>
      <c r="L219" s="11">
        <v>1</v>
      </c>
      <c r="M219" s="405">
        <v>33290.004000000001</v>
      </c>
      <c r="N219" s="11" t="s">
        <v>20155</v>
      </c>
      <c r="O219" s="11" t="s">
        <v>17238</v>
      </c>
      <c r="P219" s="872">
        <v>43766</v>
      </c>
      <c r="Q219" s="423">
        <v>0</v>
      </c>
      <c r="R219" s="423">
        <v>0</v>
      </c>
      <c r="S219" s="423">
        <v>20175.759999999998</v>
      </c>
      <c r="T219" s="423">
        <v>0</v>
      </c>
      <c r="U219" s="423">
        <v>20175.759999999998</v>
      </c>
      <c r="V219" s="11" t="s">
        <v>20155</v>
      </c>
      <c r="W219" s="407">
        <v>0</v>
      </c>
      <c r="X219" s="407">
        <v>0</v>
      </c>
      <c r="Y219" s="407">
        <v>33290.004000000001</v>
      </c>
      <c r="Z219" s="407">
        <v>0</v>
      </c>
      <c r="AA219" s="408"/>
      <c r="AB219" s="408"/>
      <c r="AC219" s="408">
        <v>1.65</v>
      </c>
      <c r="AD219" s="408"/>
      <c r="AE219" s="409"/>
      <c r="AF219" s="410">
        <v>0</v>
      </c>
      <c r="AG219" s="410">
        <v>0</v>
      </c>
      <c r="AH219" s="411"/>
      <c r="AI219" s="412"/>
      <c r="AJ219" s="411">
        <v>1.65</v>
      </c>
      <c r="AK219" s="411"/>
      <c r="AL219" s="18"/>
      <c r="AM219" s="49"/>
      <c r="AN219" s="2"/>
      <c r="AO219" s="2"/>
    </row>
    <row r="220" spans="1:41" ht="18.600000000000001" hidden="1" customHeight="1">
      <c r="A220" s="14">
        <v>218</v>
      </c>
      <c r="B220" s="11" t="s">
        <v>230</v>
      </c>
      <c r="C220" s="14">
        <v>0</v>
      </c>
      <c r="D220" s="11" t="s">
        <v>17774</v>
      </c>
      <c r="E220" s="11" t="s">
        <v>230</v>
      </c>
      <c r="F220" s="12">
        <v>43762</v>
      </c>
      <c r="G220" s="11">
        <v>2019</v>
      </c>
      <c r="H220" s="11" t="s">
        <v>17213</v>
      </c>
      <c r="I220" s="11" t="s">
        <v>17214</v>
      </c>
      <c r="J220" s="11" t="s">
        <v>16401</v>
      </c>
      <c r="K220" s="438">
        <v>49439.207000000002</v>
      </c>
      <c r="L220" s="11">
        <v>2.8274499999999998</v>
      </c>
      <c r="M220" s="405">
        <v>17485.439883994415</v>
      </c>
      <c r="N220" s="11" t="s">
        <v>20155</v>
      </c>
      <c r="O220" s="11" t="s">
        <v>20180</v>
      </c>
      <c r="P220" s="872">
        <v>43773</v>
      </c>
      <c r="Q220" s="423">
        <v>2004</v>
      </c>
      <c r="R220" s="423">
        <v>7032</v>
      </c>
      <c r="S220" s="423">
        <v>7008</v>
      </c>
      <c r="T220" s="423">
        <v>5008</v>
      </c>
      <c r="U220" s="423">
        <v>21052</v>
      </c>
      <c r="V220" s="11" t="s">
        <v>20155</v>
      </c>
      <c r="W220" s="407">
        <v>3229.7395860000001</v>
      </c>
      <c r="X220" s="407">
        <v>11432.511329999999</v>
      </c>
      <c r="Y220" s="407">
        <v>11096.270976</v>
      </c>
      <c r="Z220" s="407">
        <v>18025.785435999998</v>
      </c>
      <c r="AA220" s="408">
        <v>1.6116465</v>
      </c>
      <c r="AB220" s="408">
        <v>1.6257837499999999</v>
      </c>
      <c r="AC220" s="408">
        <v>1.583372</v>
      </c>
      <c r="AD220" s="408">
        <v>3.5993980503194885</v>
      </c>
      <c r="AE220" s="409"/>
      <c r="AF220" s="410">
        <v>6889.27</v>
      </c>
      <c r="AG220" s="410">
        <v>0.32725014250427514</v>
      </c>
      <c r="AH220" s="411">
        <v>1.2843963574957249</v>
      </c>
      <c r="AI220" s="412">
        <v>1.2985336074957248</v>
      </c>
      <c r="AJ220" s="411">
        <v>1.2561218574957249</v>
      </c>
      <c r="AK220" s="411">
        <v>3.2721479078152131</v>
      </c>
      <c r="AL220" s="18"/>
      <c r="AM220" s="49"/>
      <c r="AN220" s="2"/>
      <c r="AO220" s="2"/>
    </row>
    <row r="221" spans="1:41" ht="18.600000000000001" hidden="1" customHeight="1">
      <c r="A221" s="14">
        <v>219</v>
      </c>
      <c r="B221" s="11" t="s">
        <v>231</v>
      </c>
      <c r="C221" s="14">
        <v>0</v>
      </c>
      <c r="D221" s="11" t="s">
        <v>17776</v>
      </c>
      <c r="E221" s="11" t="s">
        <v>231</v>
      </c>
      <c r="F221" s="12">
        <v>43752</v>
      </c>
      <c r="G221" s="11">
        <v>2019</v>
      </c>
      <c r="H221" s="11" t="s">
        <v>16384</v>
      </c>
      <c r="I221" s="11" t="s">
        <v>16385</v>
      </c>
      <c r="J221" s="11" t="s">
        <v>3</v>
      </c>
      <c r="K221" s="438">
        <v>151363.68</v>
      </c>
      <c r="L221" s="11">
        <v>1</v>
      </c>
      <c r="M221" s="405">
        <v>151363.68</v>
      </c>
      <c r="N221" s="11" t="s">
        <v>20155</v>
      </c>
      <c r="O221" s="11" t="s">
        <v>17777</v>
      </c>
      <c r="P221" s="872">
        <v>43774</v>
      </c>
      <c r="Q221" s="423">
        <v>0</v>
      </c>
      <c r="R221" s="423">
        <v>24516</v>
      </c>
      <c r="S221" s="423">
        <v>84000</v>
      </c>
      <c r="T221" s="423">
        <v>0</v>
      </c>
      <c r="U221" s="423">
        <v>108516</v>
      </c>
      <c r="V221" s="11" t="s">
        <v>20155</v>
      </c>
      <c r="W221" s="407">
        <v>0</v>
      </c>
      <c r="X221" s="407">
        <v>36283.68</v>
      </c>
      <c r="Y221" s="407">
        <v>115080</v>
      </c>
      <c r="Z221" s="407">
        <v>0</v>
      </c>
      <c r="AA221" s="408"/>
      <c r="AB221" s="408">
        <v>1.48</v>
      </c>
      <c r="AC221" s="408">
        <v>1.37</v>
      </c>
      <c r="AD221" s="408"/>
      <c r="AE221" s="409"/>
      <c r="AF221" s="410">
        <v>0</v>
      </c>
      <c r="AG221" s="410">
        <v>0</v>
      </c>
      <c r="AH221" s="411"/>
      <c r="AI221" s="412">
        <v>1.48</v>
      </c>
      <c r="AJ221" s="411">
        <v>1.37</v>
      </c>
      <c r="AK221" s="411"/>
      <c r="AL221" s="18"/>
      <c r="AM221" s="49"/>
      <c r="AN221" s="2"/>
      <c r="AO221" s="2"/>
    </row>
    <row r="222" spans="1:41" ht="18.600000000000001" hidden="1" customHeight="1">
      <c r="A222" s="14">
        <v>220</v>
      </c>
      <c r="B222" s="11" t="s">
        <v>232</v>
      </c>
      <c r="C222" s="14">
        <v>0</v>
      </c>
      <c r="D222" s="11" t="s">
        <v>17778</v>
      </c>
      <c r="E222" s="11" t="s">
        <v>232</v>
      </c>
      <c r="F222" s="12">
        <v>43752</v>
      </c>
      <c r="G222" s="11">
        <v>2019</v>
      </c>
      <c r="H222" s="11" t="s">
        <v>17017</v>
      </c>
      <c r="I222" s="11" t="s">
        <v>17018</v>
      </c>
      <c r="J222" s="11" t="s">
        <v>3</v>
      </c>
      <c r="K222" s="438">
        <v>17999.272000000001</v>
      </c>
      <c r="L222" s="11">
        <v>1</v>
      </c>
      <c r="M222" s="405">
        <v>17999.272000000001</v>
      </c>
      <c r="N222" s="11" t="s">
        <v>20155</v>
      </c>
      <c r="O222" s="11" t="s">
        <v>20158</v>
      </c>
      <c r="P222" s="872">
        <v>43775</v>
      </c>
      <c r="Q222" s="423">
        <v>0</v>
      </c>
      <c r="R222" s="423">
        <v>3091.2</v>
      </c>
      <c r="S222" s="423">
        <v>7291.2</v>
      </c>
      <c r="T222" s="423">
        <v>250</v>
      </c>
      <c r="U222" s="423">
        <v>10632.4</v>
      </c>
      <c r="V222" s="11" t="s">
        <v>20155</v>
      </c>
      <c r="W222" s="407">
        <v>0</v>
      </c>
      <c r="X222" s="407">
        <v>5178.88</v>
      </c>
      <c r="Y222" s="407">
        <v>11685.192000000003</v>
      </c>
      <c r="Z222" s="407">
        <v>1135.2</v>
      </c>
      <c r="AA222" s="408"/>
      <c r="AB222" s="408">
        <v>1.6753623188405797</v>
      </c>
      <c r="AC222" s="408">
        <v>1.6026431863067812</v>
      </c>
      <c r="AD222" s="408">
        <v>4.5407999999999999</v>
      </c>
      <c r="AE222" s="409"/>
      <c r="AF222" s="410">
        <v>0</v>
      </c>
      <c r="AG222" s="410">
        <v>0</v>
      </c>
      <c r="AH222" s="411"/>
      <c r="AI222" s="412">
        <v>1.6753623188405797</v>
      </c>
      <c r="AJ222" s="411">
        <v>1.6026431863067812</v>
      </c>
      <c r="AK222" s="411">
        <v>4.5407999999999999</v>
      </c>
      <c r="AL222" s="18"/>
      <c r="AM222" s="49"/>
      <c r="AN222" s="2"/>
      <c r="AO222" s="2"/>
    </row>
    <row r="223" spans="1:41" ht="18.600000000000001" hidden="1" customHeight="1">
      <c r="A223" s="14">
        <v>221</v>
      </c>
      <c r="B223" s="11" t="s">
        <v>233</v>
      </c>
      <c r="C223" s="14">
        <v>0</v>
      </c>
      <c r="D223" s="11" t="s">
        <v>17780</v>
      </c>
      <c r="E223" s="11" t="s">
        <v>233</v>
      </c>
      <c r="F223" s="12">
        <v>43752</v>
      </c>
      <c r="G223" s="11">
        <v>2019</v>
      </c>
      <c r="H223" s="11" t="s">
        <v>16957</v>
      </c>
      <c r="I223" s="11" t="s">
        <v>16958</v>
      </c>
      <c r="J223" s="11" t="s">
        <v>16401</v>
      </c>
      <c r="K223" s="438">
        <v>36167.040000000001</v>
      </c>
      <c r="L223" s="11">
        <v>2.8255499999999998</v>
      </c>
      <c r="M223" s="405">
        <v>12800.000000000002</v>
      </c>
      <c r="N223" s="11" t="s">
        <v>20155</v>
      </c>
      <c r="O223" s="11" t="s">
        <v>20161</v>
      </c>
      <c r="P223" s="872">
        <v>43771</v>
      </c>
      <c r="Q223" s="423">
        <v>20000</v>
      </c>
      <c r="R223" s="423">
        <v>0</v>
      </c>
      <c r="S223" s="423">
        <v>0</v>
      </c>
      <c r="T223" s="423">
        <v>0</v>
      </c>
      <c r="U223" s="423">
        <v>20000</v>
      </c>
      <c r="V223" s="11" t="s">
        <v>20155</v>
      </c>
      <c r="W223" s="407">
        <v>36167.040000000001</v>
      </c>
      <c r="X223" s="407">
        <v>0</v>
      </c>
      <c r="Y223" s="407">
        <v>0</v>
      </c>
      <c r="Z223" s="407">
        <v>0</v>
      </c>
      <c r="AA223" s="408">
        <v>1.808352</v>
      </c>
      <c r="AB223" s="408"/>
      <c r="AC223" s="408"/>
      <c r="AD223" s="408"/>
      <c r="AE223" s="409"/>
      <c r="AF223" s="410">
        <v>1222.5</v>
      </c>
      <c r="AG223" s="410">
        <v>6.1124999999999999E-2</v>
      </c>
      <c r="AH223" s="411">
        <v>1.7472269999999999</v>
      </c>
      <c r="AI223" s="412"/>
      <c r="AJ223" s="411"/>
      <c r="AK223" s="411"/>
      <c r="AL223" s="18"/>
      <c r="AM223" s="49"/>
      <c r="AN223" s="2"/>
      <c r="AO223" s="2"/>
    </row>
    <row r="224" spans="1:41" ht="18.600000000000001" hidden="1" customHeight="1">
      <c r="A224" s="14">
        <v>222</v>
      </c>
      <c r="B224" s="11" t="s">
        <v>234</v>
      </c>
      <c r="C224" s="14">
        <v>0</v>
      </c>
      <c r="D224" s="11" t="s">
        <v>17782</v>
      </c>
      <c r="E224" s="11" t="s">
        <v>234</v>
      </c>
      <c r="F224" s="12">
        <v>43752</v>
      </c>
      <c r="G224" s="11">
        <v>2019</v>
      </c>
      <c r="H224" s="11" t="s">
        <v>16384</v>
      </c>
      <c r="I224" s="11" t="s">
        <v>16385</v>
      </c>
      <c r="J224" s="11" t="s">
        <v>3</v>
      </c>
      <c r="K224" s="438">
        <v>38032.800000000003</v>
      </c>
      <c r="L224" s="11">
        <v>1</v>
      </c>
      <c r="M224" s="405">
        <v>38032.800000000003</v>
      </c>
      <c r="N224" s="11" t="s">
        <v>20155</v>
      </c>
      <c r="O224" s="11" t="s">
        <v>20170</v>
      </c>
      <c r="P224" s="872">
        <v>43780</v>
      </c>
      <c r="Q224" s="423">
        <v>6600</v>
      </c>
      <c r="R224" s="423">
        <v>18480</v>
      </c>
      <c r="S224" s="423">
        <v>0</v>
      </c>
      <c r="T224" s="423">
        <v>0</v>
      </c>
      <c r="U224" s="423">
        <v>25080</v>
      </c>
      <c r="V224" s="11" t="s">
        <v>20155</v>
      </c>
      <c r="W224" s="407">
        <v>10320</v>
      </c>
      <c r="X224" s="407">
        <v>27712.799999999999</v>
      </c>
      <c r="Y224" s="407">
        <v>0</v>
      </c>
      <c r="Z224" s="407">
        <v>0</v>
      </c>
      <c r="AA224" s="408">
        <v>1.5636363636363637</v>
      </c>
      <c r="AB224" s="408">
        <v>1.4996103896103896</v>
      </c>
      <c r="AC224" s="408"/>
      <c r="AD224" s="408"/>
      <c r="AE224" s="409"/>
      <c r="AF224" s="410">
        <v>0</v>
      </c>
      <c r="AG224" s="410">
        <v>0</v>
      </c>
      <c r="AH224" s="411">
        <v>1.5636363636363637</v>
      </c>
      <c r="AI224" s="412">
        <v>1.4996103896103896</v>
      </c>
      <c r="AJ224" s="411"/>
      <c r="AK224" s="411"/>
      <c r="AL224" s="18"/>
      <c r="AM224" s="49"/>
      <c r="AN224" s="2"/>
      <c r="AO224" s="2"/>
    </row>
    <row r="225" spans="1:41" ht="18.600000000000001" hidden="1" customHeight="1">
      <c r="A225" s="14">
        <v>223</v>
      </c>
      <c r="B225" s="11" t="s">
        <v>235</v>
      </c>
      <c r="C225" s="14">
        <v>0</v>
      </c>
      <c r="D225" s="11" t="s">
        <v>17784</v>
      </c>
      <c r="E225" s="11" t="s">
        <v>235</v>
      </c>
      <c r="F225" s="12">
        <v>43770</v>
      </c>
      <c r="G225" s="11">
        <v>2019</v>
      </c>
      <c r="H225" s="11" t="s">
        <v>17017</v>
      </c>
      <c r="I225" s="11" t="s">
        <v>17018</v>
      </c>
      <c r="J225" s="11" t="s">
        <v>3</v>
      </c>
      <c r="K225" s="438">
        <v>31600</v>
      </c>
      <c r="L225" s="11">
        <v>1</v>
      </c>
      <c r="M225" s="405">
        <v>31600</v>
      </c>
      <c r="N225" s="11" t="s">
        <v>20155</v>
      </c>
      <c r="O225" s="11" t="s">
        <v>18064</v>
      </c>
      <c r="P225" s="872">
        <v>43776</v>
      </c>
      <c r="Q225" s="423">
        <v>0</v>
      </c>
      <c r="R225" s="423">
        <v>20000</v>
      </c>
      <c r="S225" s="423">
        <v>0</v>
      </c>
      <c r="T225" s="423">
        <v>0</v>
      </c>
      <c r="U225" s="423">
        <v>20000</v>
      </c>
      <c r="V225" s="11" t="s">
        <v>20155</v>
      </c>
      <c r="W225" s="407">
        <v>0</v>
      </c>
      <c r="X225" s="407">
        <v>31600</v>
      </c>
      <c r="Y225" s="407">
        <v>0</v>
      </c>
      <c r="Z225" s="407">
        <v>0</v>
      </c>
      <c r="AA225" s="408"/>
      <c r="AB225" s="408">
        <v>1.58</v>
      </c>
      <c r="AC225" s="408"/>
      <c r="AD225" s="408"/>
      <c r="AE225" s="409"/>
      <c r="AF225" s="410">
        <v>0</v>
      </c>
      <c r="AG225" s="410">
        <v>0</v>
      </c>
      <c r="AH225" s="411"/>
      <c r="AI225" s="412">
        <v>1.58</v>
      </c>
      <c r="AJ225" s="411"/>
      <c r="AK225" s="411"/>
      <c r="AL225" s="18"/>
      <c r="AM225" s="49"/>
      <c r="AN225" s="2"/>
      <c r="AO225" s="2"/>
    </row>
    <row r="226" spans="1:41" ht="18.600000000000001" hidden="1" customHeight="1">
      <c r="A226" s="14">
        <v>224</v>
      </c>
      <c r="B226" s="11" t="s">
        <v>236</v>
      </c>
      <c r="C226" s="14">
        <v>0</v>
      </c>
      <c r="D226" s="11" t="s">
        <v>17786</v>
      </c>
      <c r="E226" s="11" t="s">
        <v>236</v>
      </c>
      <c r="F226" s="12">
        <v>43771</v>
      </c>
      <c r="G226" s="11">
        <v>2019</v>
      </c>
      <c r="H226" s="11" t="s">
        <v>17017</v>
      </c>
      <c r="I226" s="11" t="s">
        <v>17018</v>
      </c>
      <c r="J226" s="11" t="s">
        <v>3</v>
      </c>
      <c r="K226" s="404">
        <v>3432.24</v>
      </c>
      <c r="L226" s="11">
        <v>1</v>
      </c>
      <c r="M226" s="405">
        <v>3432.24</v>
      </c>
      <c r="N226" s="11" t="s">
        <v>20155</v>
      </c>
      <c r="O226" s="11" t="s">
        <v>17238</v>
      </c>
      <c r="P226" s="872">
        <v>43781</v>
      </c>
      <c r="Q226" s="423">
        <v>0</v>
      </c>
      <c r="R226" s="423">
        <v>1906.8</v>
      </c>
      <c r="S226" s="423">
        <v>0</v>
      </c>
      <c r="T226" s="423">
        <v>0</v>
      </c>
      <c r="U226" s="423">
        <v>1906.8</v>
      </c>
      <c r="V226" s="11" t="s">
        <v>20155</v>
      </c>
      <c r="W226" s="407">
        <v>0</v>
      </c>
      <c r="X226" s="407">
        <v>3432.24</v>
      </c>
      <c r="Y226" s="407">
        <v>0</v>
      </c>
      <c r="Z226" s="407">
        <v>0</v>
      </c>
      <c r="AA226" s="408"/>
      <c r="AB226" s="408">
        <v>1.8000000000000003</v>
      </c>
      <c r="AC226" s="408"/>
      <c r="AD226" s="408"/>
      <c r="AE226" s="409"/>
      <c r="AF226" s="410">
        <v>0</v>
      </c>
      <c r="AG226" s="410">
        <v>0</v>
      </c>
      <c r="AH226" s="411"/>
      <c r="AI226" s="412">
        <v>1.8000000000000003</v>
      </c>
      <c r="AJ226" s="411"/>
      <c r="AK226" s="411"/>
      <c r="AL226" s="18"/>
      <c r="AM226" s="49"/>
      <c r="AN226" s="2"/>
      <c r="AO226" s="2"/>
    </row>
    <row r="227" spans="1:41" ht="18.600000000000001" hidden="1" customHeight="1">
      <c r="A227" s="14">
        <v>225</v>
      </c>
      <c r="B227" s="11" t="s">
        <v>237</v>
      </c>
      <c r="C227" s="14">
        <v>0</v>
      </c>
      <c r="D227" s="11" t="s">
        <v>17788</v>
      </c>
      <c r="E227" s="11" t="s">
        <v>237</v>
      </c>
      <c r="F227" s="12">
        <v>43771</v>
      </c>
      <c r="G227" s="11">
        <v>2019</v>
      </c>
      <c r="H227" s="11" t="s">
        <v>17156</v>
      </c>
      <c r="I227" s="11" t="s">
        <v>17157</v>
      </c>
      <c r="J227" s="11" t="s">
        <v>3</v>
      </c>
      <c r="K227" s="404">
        <v>62400</v>
      </c>
      <c r="L227" s="11">
        <v>1</v>
      </c>
      <c r="M227" s="405">
        <v>62400</v>
      </c>
      <c r="N227" s="11" t="s">
        <v>20155</v>
      </c>
      <c r="O227" s="11" t="s">
        <v>20161</v>
      </c>
      <c r="P227" s="872">
        <v>43781</v>
      </c>
      <c r="Q227" s="423">
        <v>0</v>
      </c>
      <c r="R227" s="423">
        <v>39000</v>
      </c>
      <c r="S227" s="423">
        <v>0</v>
      </c>
      <c r="T227" s="423">
        <v>0</v>
      </c>
      <c r="U227" s="423">
        <v>39000</v>
      </c>
      <c r="V227" s="11" t="s">
        <v>20155</v>
      </c>
      <c r="W227" s="407">
        <v>0</v>
      </c>
      <c r="X227" s="407">
        <v>62400</v>
      </c>
      <c r="Y227" s="407">
        <v>0</v>
      </c>
      <c r="Z227" s="407">
        <v>0</v>
      </c>
      <c r="AA227" s="408"/>
      <c r="AB227" s="408">
        <v>1.6</v>
      </c>
      <c r="AC227" s="408"/>
      <c r="AD227" s="408"/>
      <c r="AE227" s="409"/>
      <c r="AF227" s="410">
        <v>0</v>
      </c>
      <c r="AG227" s="410">
        <v>0</v>
      </c>
      <c r="AH227" s="411"/>
      <c r="AI227" s="412">
        <v>1.6</v>
      </c>
      <c r="AJ227" s="411"/>
      <c r="AK227" s="411"/>
      <c r="AL227" s="18"/>
      <c r="AM227" s="49"/>
      <c r="AN227" s="2"/>
      <c r="AO227" s="2"/>
    </row>
    <row r="228" spans="1:41" ht="18.600000000000001" hidden="1" customHeight="1">
      <c r="A228" s="14">
        <v>226</v>
      </c>
      <c r="B228" s="11" t="s">
        <v>238</v>
      </c>
      <c r="C228" s="14">
        <v>0</v>
      </c>
      <c r="D228" s="11" t="s">
        <v>17790</v>
      </c>
      <c r="E228" s="11" t="s">
        <v>238</v>
      </c>
      <c r="F228" s="12">
        <v>43771</v>
      </c>
      <c r="G228" s="11">
        <v>2019</v>
      </c>
      <c r="H228" s="11" t="s">
        <v>16904</v>
      </c>
      <c r="I228" s="11" t="s">
        <v>16905</v>
      </c>
      <c r="J228" s="11" t="s">
        <v>16482</v>
      </c>
      <c r="K228" s="404">
        <v>47249.358999999997</v>
      </c>
      <c r="L228" s="11">
        <v>3.1464500000000002</v>
      </c>
      <c r="M228" s="405">
        <v>15016.720113143381</v>
      </c>
      <c r="N228" s="11" t="s">
        <v>20155</v>
      </c>
      <c r="O228" s="11" t="s">
        <v>20160</v>
      </c>
      <c r="P228" s="872">
        <v>43785</v>
      </c>
      <c r="Q228" s="423">
        <v>0</v>
      </c>
      <c r="R228" s="423">
        <v>18540</v>
      </c>
      <c r="S228" s="423">
        <v>8796</v>
      </c>
      <c r="T228" s="423">
        <v>0</v>
      </c>
      <c r="U228" s="423">
        <v>27336</v>
      </c>
      <c r="V228" s="11" t="s">
        <v>20155</v>
      </c>
      <c r="W228" s="407">
        <v>0</v>
      </c>
      <c r="X228" s="407">
        <v>26834.18418</v>
      </c>
      <c r="Y228" s="407">
        <v>12549.049463999998</v>
      </c>
      <c r="Z228" s="407">
        <v>0</v>
      </c>
      <c r="AA228" s="408"/>
      <c r="AB228" s="408">
        <v>1.4473670000000001</v>
      </c>
      <c r="AC228" s="408">
        <v>1.4266768376534786</v>
      </c>
      <c r="AD228" s="408"/>
      <c r="AE228" s="409"/>
      <c r="AF228" s="410">
        <v>8873.52</v>
      </c>
      <c r="AG228" s="410">
        <v>0.32460930640913083</v>
      </c>
      <c r="AH228" s="411"/>
      <c r="AI228" s="412">
        <v>1.1227576935908692</v>
      </c>
      <c r="AJ228" s="411">
        <v>1.1020675312443478</v>
      </c>
      <c r="AK228" s="411"/>
      <c r="AL228" s="18"/>
      <c r="AM228" s="49"/>
      <c r="AN228" s="2"/>
      <c r="AO228" s="2"/>
    </row>
    <row r="229" spans="1:41" ht="18.600000000000001" hidden="1" customHeight="1">
      <c r="A229" s="14">
        <v>227</v>
      </c>
      <c r="B229" s="11" t="s">
        <v>239</v>
      </c>
      <c r="C229" s="14">
        <v>0</v>
      </c>
      <c r="D229" s="11" t="s">
        <v>17792</v>
      </c>
      <c r="E229" s="11" t="s">
        <v>239</v>
      </c>
      <c r="F229" s="12">
        <v>43771</v>
      </c>
      <c r="G229" s="11">
        <v>2019</v>
      </c>
      <c r="H229" s="11" t="s">
        <v>16643</v>
      </c>
      <c r="I229" s="11" t="s">
        <v>16644</v>
      </c>
      <c r="J229" s="11" t="s">
        <v>16482</v>
      </c>
      <c r="K229" s="404">
        <v>70607.14</v>
      </c>
      <c r="L229" s="11">
        <v>3.14845</v>
      </c>
      <c r="M229" s="405">
        <v>22426.00009528498</v>
      </c>
      <c r="N229" s="11" t="s">
        <v>20155</v>
      </c>
      <c r="O229" s="11" t="s">
        <v>20159</v>
      </c>
      <c r="P229" s="872">
        <v>43781</v>
      </c>
      <c r="Q229" s="423">
        <v>0</v>
      </c>
      <c r="R229" s="423">
        <v>40800</v>
      </c>
      <c r="S229" s="423">
        <v>0</v>
      </c>
      <c r="T229" s="423">
        <v>0</v>
      </c>
      <c r="U229" s="423">
        <v>40800</v>
      </c>
      <c r="V229" s="11" t="s">
        <v>20155</v>
      </c>
      <c r="W229" s="407">
        <v>0</v>
      </c>
      <c r="X229" s="407">
        <v>54235.19969999999</v>
      </c>
      <c r="Y229" s="407">
        <v>0</v>
      </c>
      <c r="Z229" s="407">
        <v>0</v>
      </c>
      <c r="AA229" s="408"/>
      <c r="AB229" s="408">
        <v>1.3292941102941174</v>
      </c>
      <c r="AC229" s="408"/>
      <c r="AD229" s="408"/>
      <c r="AE229" s="409"/>
      <c r="AF229" s="410">
        <v>19179.32</v>
      </c>
      <c r="AG229" s="410">
        <v>0.4700813725490196</v>
      </c>
      <c r="AH229" s="411"/>
      <c r="AI229" s="412">
        <v>0.85921273774509777</v>
      </c>
      <c r="AJ229" s="411"/>
      <c r="AK229" s="411"/>
      <c r="AL229" s="18"/>
      <c r="AM229" s="49"/>
      <c r="AN229" s="2"/>
      <c r="AO229" s="2"/>
    </row>
    <row r="230" spans="1:41" ht="18.600000000000001" hidden="1" customHeight="1">
      <c r="A230" s="14">
        <v>228</v>
      </c>
      <c r="B230" s="11" t="s">
        <v>240</v>
      </c>
      <c r="C230" s="14">
        <v>0</v>
      </c>
      <c r="D230" s="11" t="s">
        <v>17793</v>
      </c>
      <c r="E230" s="11" t="s">
        <v>240</v>
      </c>
      <c r="F230" s="12">
        <v>43771</v>
      </c>
      <c r="G230" s="11">
        <v>2019</v>
      </c>
      <c r="H230" s="11" t="s">
        <v>16872</v>
      </c>
      <c r="I230" s="11" t="s">
        <v>16873</v>
      </c>
      <c r="J230" s="11" t="s">
        <v>16401</v>
      </c>
      <c r="K230" s="404">
        <v>36958.044000000002</v>
      </c>
      <c r="L230" s="11">
        <v>2.8565499999999999</v>
      </c>
      <c r="M230" s="405">
        <v>12938.000035007264</v>
      </c>
      <c r="N230" s="11" t="s">
        <v>20155</v>
      </c>
      <c r="O230" s="11" t="s">
        <v>20169</v>
      </c>
      <c r="P230" s="872">
        <v>43788</v>
      </c>
      <c r="Q230" s="423">
        <v>13000</v>
      </c>
      <c r="R230" s="423">
        <v>1200</v>
      </c>
      <c r="S230" s="423">
        <v>0</v>
      </c>
      <c r="T230" s="423">
        <v>0</v>
      </c>
      <c r="U230" s="423">
        <v>14200</v>
      </c>
      <c r="V230" s="11" t="s">
        <v>20155</v>
      </c>
      <c r="W230" s="407">
        <v>33050.283499999998</v>
      </c>
      <c r="X230" s="407">
        <v>3907.7603999999992</v>
      </c>
      <c r="Y230" s="407">
        <v>0</v>
      </c>
      <c r="Z230" s="407">
        <v>0</v>
      </c>
      <c r="AA230" s="408">
        <v>2.5423294999999997</v>
      </c>
      <c r="AB230" s="408">
        <v>3.2564669999999993</v>
      </c>
      <c r="AC230" s="408"/>
      <c r="AD230" s="408"/>
      <c r="AE230" s="409"/>
      <c r="AF230" s="410">
        <v>1693.335</v>
      </c>
      <c r="AG230" s="410">
        <v>0.11924894366197183</v>
      </c>
      <c r="AH230" s="411">
        <v>2.4230805563380278</v>
      </c>
      <c r="AI230" s="412">
        <v>3.1372180563380274</v>
      </c>
      <c r="AJ230" s="411"/>
      <c r="AK230" s="411"/>
      <c r="AL230" s="18"/>
      <c r="AM230" s="49"/>
      <c r="AN230" s="2"/>
      <c r="AO230" s="2"/>
    </row>
    <row r="231" spans="1:41" ht="18.600000000000001" hidden="1" customHeight="1">
      <c r="A231" s="14">
        <v>229</v>
      </c>
      <c r="B231" s="11" t="s">
        <v>241</v>
      </c>
      <c r="C231" s="14">
        <v>0</v>
      </c>
      <c r="D231" s="11" t="s">
        <v>17795</v>
      </c>
      <c r="E231" s="11" t="s">
        <v>241</v>
      </c>
      <c r="F231" s="12">
        <v>43771</v>
      </c>
      <c r="G231" s="11">
        <v>2019</v>
      </c>
      <c r="H231" s="11" t="s">
        <v>16880</v>
      </c>
      <c r="I231" s="11" t="s">
        <v>16881</v>
      </c>
      <c r="J231" s="11" t="s">
        <v>16401</v>
      </c>
      <c r="K231" s="404">
        <v>63284.008999999998</v>
      </c>
      <c r="L231" s="11">
        <v>2.8565499999999999</v>
      </c>
      <c r="M231" s="405">
        <v>22154.000105021791</v>
      </c>
      <c r="N231" s="11" t="s">
        <v>20155</v>
      </c>
      <c r="O231" s="11" t="s">
        <v>20156</v>
      </c>
      <c r="P231" s="872">
        <v>43788</v>
      </c>
      <c r="Q231" s="423">
        <v>0</v>
      </c>
      <c r="R231" s="423">
        <v>18200</v>
      </c>
      <c r="S231" s="423">
        <v>0</v>
      </c>
      <c r="T231" s="423">
        <v>0</v>
      </c>
      <c r="U231" s="423">
        <v>18200</v>
      </c>
      <c r="V231" s="11" t="s">
        <v>20155</v>
      </c>
      <c r="W231" s="407">
        <v>0</v>
      </c>
      <c r="X231" s="407">
        <v>63284.008699999991</v>
      </c>
      <c r="Y231" s="407">
        <v>0</v>
      </c>
      <c r="Z231" s="407">
        <v>0</v>
      </c>
      <c r="AA231" s="408"/>
      <c r="AB231" s="408">
        <v>3.4771433351648349</v>
      </c>
      <c r="AC231" s="408"/>
      <c r="AD231" s="408"/>
      <c r="AE231" s="409"/>
      <c r="AF231" s="410">
        <v>1440.94</v>
      </c>
      <c r="AG231" s="410">
        <v>7.9172527472527482E-2</v>
      </c>
      <c r="AH231" s="411"/>
      <c r="AI231" s="412">
        <v>3.3979708076923072</v>
      </c>
      <c r="AJ231" s="411"/>
      <c r="AK231" s="411"/>
      <c r="AL231" s="18"/>
      <c r="AM231" s="49"/>
      <c r="AN231" s="2"/>
      <c r="AO231" s="2"/>
    </row>
    <row r="232" spans="1:41" ht="18.600000000000001" hidden="1" customHeight="1">
      <c r="A232" s="14">
        <v>230</v>
      </c>
      <c r="B232" s="11" t="s">
        <v>242</v>
      </c>
      <c r="C232" s="14">
        <v>0</v>
      </c>
      <c r="D232" s="11" t="s">
        <v>17797</v>
      </c>
      <c r="E232" s="11" t="s">
        <v>242</v>
      </c>
      <c r="F232" s="12">
        <v>43773</v>
      </c>
      <c r="G232" s="11">
        <v>2019</v>
      </c>
      <c r="H232" s="11" t="s">
        <v>16838</v>
      </c>
      <c r="I232" s="11" t="s">
        <v>16839</v>
      </c>
      <c r="J232" s="11" t="s">
        <v>3</v>
      </c>
      <c r="K232" s="404">
        <v>205114.56</v>
      </c>
      <c r="L232" s="11">
        <v>1</v>
      </c>
      <c r="M232" s="405">
        <v>205114.56</v>
      </c>
      <c r="N232" s="11" t="s">
        <v>20155</v>
      </c>
      <c r="O232" s="11" t="s">
        <v>17798</v>
      </c>
      <c r="P232" s="872">
        <v>43777</v>
      </c>
      <c r="Q232" s="423">
        <v>0</v>
      </c>
      <c r="R232" s="423">
        <v>154056</v>
      </c>
      <c r="S232" s="423">
        <v>0</v>
      </c>
      <c r="T232" s="423">
        <v>0</v>
      </c>
      <c r="U232" s="423">
        <v>154056</v>
      </c>
      <c r="V232" s="11" t="s">
        <v>20155</v>
      </c>
      <c r="W232" s="407">
        <v>0</v>
      </c>
      <c r="X232" s="407">
        <v>205114.56</v>
      </c>
      <c r="Y232" s="407">
        <v>0</v>
      </c>
      <c r="Z232" s="407">
        <v>0</v>
      </c>
      <c r="AA232" s="408"/>
      <c r="AB232" s="408">
        <v>1.3314285714285714</v>
      </c>
      <c r="AC232" s="408"/>
      <c r="AD232" s="408"/>
      <c r="AE232" s="409"/>
      <c r="AF232" s="410">
        <v>0</v>
      </c>
      <c r="AG232" s="410">
        <v>0</v>
      </c>
      <c r="AH232" s="411"/>
      <c r="AI232" s="412">
        <v>1.3314285714285714</v>
      </c>
      <c r="AJ232" s="411"/>
      <c r="AK232" s="411"/>
      <c r="AL232" s="18"/>
      <c r="AM232" s="49"/>
      <c r="AN232" s="2"/>
      <c r="AO232" s="2"/>
    </row>
    <row r="233" spans="1:41" ht="18.600000000000001" hidden="1" customHeight="1">
      <c r="A233" s="14">
        <v>231</v>
      </c>
      <c r="B233" s="11" t="s">
        <v>243</v>
      </c>
      <c r="C233" s="14">
        <v>0</v>
      </c>
      <c r="D233" s="11" t="s">
        <v>17799</v>
      </c>
      <c r="E233" s="11" t="s">
        <v>243</v>
      </c>
      <c r="F233" s="12">
        <v>43773</v>
      </c>
      <c r="G233" s="11">
        <v>2019</v>
      </c>
      <c r="H233" s="11" t="s">
        <v>16838</v>
      </c>
      <c r="I233" s="11" t="s">
        <v>16839</v>
      </c>
      <c r="J233" s="11" t="s">
        <v>3</v>
      </c>
      <c r="K233" s="404">
        <v>205114.56</v>
      </c>
      <c r="L233" s="11">
        <v>1</v>
      </c>
      <c r="M233" s="405">
        <v>205114.56</v>
      </c>
      <c r="N233" s="11" t="s">
        <v>20155</v>
      </c>
      <c r="O233" s="11" t="s">
        <v>17798</v>
      </c>
      <c r="P233" s="872">
        <v>43785</v>
      </c>
      <c r="Q233" s="423">
        <v>0</v>
      </c>
      <c r="R233" s="423">
        <v>154056</v>
      </c>
      <c r="S233" s="423">
        <v>0</v>
      </c>
      <c r="T233" s="423">
        <v>0</v>
      </c>
      <c r="U233" s="423">
        <v>154056</v>
      </c>
      <c r="V233" s="11" t="s">
        <v>20155</v>
      </c>
      <c r="W233" s="407">
        <v>0</v>
      </c>
      <c r="X233" s="407">
        <v>205114.56</v>
      </c>
      <c r="Y233" s="407">
        <v>0</v>
      </c>
      <c r="Z233" s="407">
        <v>0</v>
      </c>
      <c r="AA233" s="408"/>
      <c r="AB233" s="408">
        <v>1.3314285714285714</v>
      </c>
      <c r="AC233" s="408"/>
      <c r="AD233" s="408"/>
      <c r="AE233" s="409"/>
      <c r="AF233" s="410">
        <v>0</v>
      </c>
      <c r="AG233" s="410">
        <v>0</v>
      </c>
      <c r="AH233" s="411"/>
      <c r="AI233" s="412">
        <v>1.3314285714285714</v>
      </c>
      <c r="AJ233" s="411"/>
      <c r="AK233" s="411"/>
      <c r="AL233" s="18"/>
      <c r="AM233" s="49"/>
      <c r="AN233" s="2"/>
      <c r="AO233" s="2"/>
    </row>
    <row r="234" spans="1:41" ht="18.600000000000001" hidden="1" customHeight="1">
      <c r="A234" s="14">
        <v>232</v>
      </c>
      <c r="B234" s="11" t="s">
        <v>244</v>
      </c>
      <c r="C234" s="14">
        <v>0</v>
      </c>
      <c r="D234" s="11" t="s">
        <v>17800</v>
      </c>
      <c r="E234" s="11" t="s">
        <v>244</v>
      </c>
      <c r="F234" s="12">
        <v>43775</v>
      </c>
      <c r="G234" s="11">
        <v>2019</v>
      </c>
      <c r="H234" s="11" t="s">
        <v>16384</v>
      </c>
      <c r="I234" s="11" t="s">
        <v>16385</v>
      </c>
      <c r="J234" s="11" t="s">
        <v>3</v>
      </c>
      <c r="K234" s="404">
        <v>140610</v>
      </c>
      <c r="L234" s="11">
        <v>1</v>
      </c>
      <c r="M234" s="405">
        <v>140610</v>
      </c>
      <c r="N234" s="11" t="s">
        <v>20155</v>
      </c>
      <c r="O234" s="11" t="s">
        <v>17801</v>
      </c>
      <c r="P234" s="872">
        <v>43782</v>
      </c>
      <c r="Q234" s="423">
        <v>0</v>
      </c>
      <c r="R234" s="423">
        <v>72000</v>
      </c>
      <c r="S234" s="423">
        <v>37000</v>
      </c>
      <c r="T234" s="423">
        <v>0</v>
      </c>
      <c r="U234" s="423">
        <v>109000</v>
      </c>
      <c r="V234" s="11" t="s">
        <v>20155</v>
      </c>
      <c r="W234" s="407">
        <v>0</v>
      </c>
      <c r="X234" s="407">
        <v>92880</v>
      </c>
      <c r="Y234" s="407">
        <v>47730</v>
      </c>
      <c r="Z234" s="407">
        <v>0</v>
      </c>
      <c r="AA234" s="408"/>
      <c r="AB234" s="408">
        <v>1.29</v>
      </c>
      <c r="AC234" s="408">
        <v>1.29</v>
      </c>
      <c r="AD234" s="408"/>
      <c r="AE234" s="409"/>
      <c r="AF234" s="410">
        <v>0</v>
      </c>
      <c r="AG234" s="410">
        <v>0</v>
      </c>
      <c r="AH234" s="411"/>
      <c r="AI234" s="412">
        <v>1.29</v>
      </c>
      <c r="AJ234" s="411">
        <v>1.29</v>
      </c>
      <c r="AK234" s="411"/>
      <c r="AL234" s="18"/>
      <c r="AM234" s="49"/>
      <c r="AN234" s="2"/>
      <c r="AO234" s="2"/>
    </row>
    <row r="235" spans="1:41" ht="18.600000000000001" hidden="1" customHeight="1">
      <c r="A235" s="14">
        <v>233</v>
      </c>
      <c r="B235" s="11" t="s">
        <v>245</v>
      </c>
      <c r="C235" s="14">
        <v>0</v>
      </c>
      <c r="D235" s="11" t="s">
        <v>17802</v>
      </c>
      <c r="E235" s="11" t="s">
        <v>245</v>
      </c>
      <c r="F235" s="12">
        <v>43775</v>
      </c>
      <c r="G235" s="11">
        <v>2019</v>
      </c>
      <c r="H235" s="11" t="s">
        <v>16444</v>
      </c>
      <c r="I235" s="11" t="s">
        <v>16445</v>
      </c>
      <c r="J235" s="11" t="s">
        <v>3</v>
      </c>
      <c r="K235" s="404">
        <v>66960</v>
      </c>
      <c r="L235" s="11">
        <v>1</v>
      </c>
      <c r="M235" s="405">
        <v>66960</v>
      </c>
      <c r="N235" s="11" t="s">
        <v>20155</v>
      </c>
      <c r="O235" s="11" t="s">
        <v>17693</v>
      </c>
      <c r="P235" s="872">
        <v>43787</v>
      </c>
      <c r="Q235" s="423">
        <v>43200</v>
      </c>
      <c r="R235" s="423">
        <v>0</v>
      </c>
      <c r="S235" s="423">
        <v>0</v>
      </c>
      <c r="T235" s="423">
        <v>0</v>
      </c>
      <c r="U235" s="423">
        <v>43200</v>
      </c>
      <c r="V235" s="11" t="s">
        <v>20155</v>
      </c>
      <c r="W235" s="407">
        <v>66960</v>
      </c>
      <c r="X235" s="407">
        <v>0</v>
      </c>
      <c r="Y235" s="407">
        <v>0</v>
      </c>
      <c r="Z235" s="407">
        <v>0</v>
      </c>
      <c r="AA235" s="408">
        <v>1.55</v>
      </c>
      <c r="AB235" s="408"/>
      <c r="AC235" s="408"/>
      <c r="AD235" s="408"/>
      <c r="AE235" s="409"/>
      <c r="AF235" s="410">
        <v>0</v>
      </c>
      <c r="AG235" s="410">
        <v>0</v>
      </c>
      <c r="AH235" s="411">
        <v>1.55</v>
      </c>
      <c r="AI235" s="412"/>
      <c r="AJ235" s="411"/>
      <c r="AK235" s="411"/>
      <c r="AL235" s="18"/>
      <c r="AM235" s="49"/>
      <c r="AN235" s="2"/>
      <c r="AO235" s="2"/>
    </row>
    <row r="236" spans="1:41" ht="18.600000000000001" hidden="1" customHeight="1">
      <c r="A236" s="14">
        <v>234</v>
      </c>
      <c r="B236" s="11" t="s">
        <v>246</v>
      </c>
      <c r="C236" s="14">
        <v>0</v>
      </c>
      <c r="D236" s="11" t="s">
        <v>17804</v>
      </c>
      <c r="E236" s="11" t="s">
        <v>246</v>
      </c>
      <c r="F236" s="12">
        <v>43775</v>
      </c>
      <c r="G236" s="11">
        <v>2019</v>
      </c>
      <c r="H236" s="11" t="s">
        <v>16823</v>
      </c>
      <c r="I236" s="11" t="s">
        <v>16824</v>
      </c>
      <c r="J236" s="11" t="s">
        <v>16401</v>
      </c>
      <c r="K236" s="404">
        <v>131248.492</v>
      </c>
      <c r="L236" s="11">
        <v>2.8504</v>
      </c>
      <c r="M236" s="405">
        <v>46045.639910188045</v>
      </c>
      <c r="N236" s="11" t="s">
        <v>20155</v>
      </c>
      <c r="O236" s="11" t="s">
        <v>17965</v>
      </c>
      <c r="P236" s="872">
        <v>43780</v>
      </c>
      <c r="Q236" s="423">
        <v>19080</v>
      </c>
      <c r="R236" s="423">
        <v>57168</v>
      </c>
      <c r="S236" s="423">
        <v>0</v>
      </c>
      <c r="T236" s="423">
        <v>0</v>
      </c>
      <c r="U236" s="423">
        <v>76248</v>
      </c>
      <c r="V236" s="11" t="s">
        <v>20155</v>
      </c>
      <c r="W236" s="407">
        <v>29599.123679999997</v>
      </c>
      <c r="X236" s="407">
        <v>80556.408576000002</v>
      </c>
      <c r="Y236" s="407">
        <v>0</v>
      </c>
      <c r="Z236" s="407">
        <v>0</v>
      </c>
      <c r="AA236" s="408">
        <v>1.5513167547169811</v>
      </c>
      <c r="AB236" s="408">
        <v>1.4091171385390429</v>
      </c>
      <c r="AC236" s="408"/>
      <c r="AD236" s="408"/>
      <c r="AE236" s="409"/>
      <c r="AF236" s="410">
        <v>26318.59</v>
      </c>
      <c r="AG236" s="410">
        <v>0.34517088972825516</v>
      </c>
      <c r="AH236" s="411">
        <v>1.2061458649887258</v>
      </c>
      <c r="AI236" s="412">
        <v>1.0639462488107876</v>
      </c>
      <c r="AJ236" s="411"/>
      <c r="AK236" s="411"/>
      <c r="AL236" s="18"/>
      <c r="AM236" s="49"/>
      <c r="AN236" s="2"/>
      <c r="AO236" s="2"/>
    </row>
    <row r="237" spans="1:41" ht="18.600000000000001" hidden="1" customHeight="1">
      <c r="A237" s="14">
        <v>235</v>
      </c>
      <c r="B237" s="11" t="s">
        <v>247</v>
      </c>
      <c r="C237" s="14">
        <v>0</v>
      </c>
      <c r="D237" s="11" t="s">
        <v>17806</v>
      </c>
      <c r="E237" s="11" t="s">
        <v>247</v>
      </c>
      <c r="F237" s="12">
        <v>43780</v>
      </c>
      <c r="G237" s="11">
        <v>2019</v>
      </c>
      <c r="H237" s="11" t="s">
        <v>16957</v>
      </c>
      <c r="I237" s="11" t="s">
        <v>16958</v>
      </c>
      <c r="J237" s="11" t="s">
        <v>16401</v>
      </c>
      <c r="K237" s="404">
        <v>38016.720000000001</v>
      </c>
      <c r="L237" s="11">
        <v>2.8584000000000001</v>
      </c>
      <c r="M237" s="405">
        <v>13300</v>
      </c>
      <c r="N237" s="11" t="s">
        <v>20155</v>
      </c>
      <c r="O237" s="11" t="s">
        <v>20161</v>
      </c>
      <c r="P237" s="872">
        <v>43784</v>
      </c>
      <c r="Q237" s="423">
        <v>20000</v>
      </c>
      <c r="R237" s="423">
        <v>0</v>
      </c>
      <c r="S237" s="423">
        <v>0</v>
      </c>
      <c r="T237" s="423">
        <v>0</v>
      </c>
      <c r="U237" s="423">
        <v>20000</v>
      </c>
      <c r="V237" s="11" t="s">
        <v>20155</v>
      </c>
      <c r="W237" s="407">
        <v>38016.719999999994</v>
      </c>
      <c r="X237" s="407">
        <v>0</v>
      </c>
      <c r="Y237" s="407">
        <v>0</v>
      </c>
      <c r="Z237" s="407">
        <v>0</v>
      </c>
      <c r="AA237" s="408">
        <v>1.9008359999999997</v>
      </c>
      <c r="AB237" s="408"/>
      <c r="AC237" s="408"/>
      <c r="AD237" s="408"/>
      <c r="AE237" s="409"/>
      <c r="AF237" s="410">
        <v>3673.0770000000002</v>
      </c>
      <c r="AG237" s="410">
        <v>0.18365385000000001</v>
      </c>
      <c r="AH237" s="411">
        <v>1.7171821499999997</v>
      </c>
      <c r="AI237" s="412"/>
      <c r="AJ237" s="411"/>
      <c r="AK237" s="411"/>
      <c r="AL237" s="18"/>
      <c r="AM237" s="49"/>
      <c r="AN237" s="2"/>
      <c r="AO237" s="2"/>
    </row>
    <row r="238" spans="1:41" ht="18.600000000000001" hidden="1" customHeight="1">
      <c r="A238" s="14">
        <v>236</v>
      </c>
      <c r="B238" s="11" t="s">
        <v>248</v>
      </c>
      <c r="C238" s="14">
        <v>0</v>
      </c>
      <c r="D238" s="11" t="s">
        <v>17808</v>
      </c>
      <c r="E238" s="11" t="s">
        <v>248</v>
      </c>
      <c r="F238" s="12">
        <v>43782</v>
      </c>
      <c r="G238" s="11">
        <v>2019</v>
      </c>
      <c r="H238" s="11" t="s">
        <v>17017</v>
      </c>
      <c r="I238" s="11" t="s">
        <v>17018</v>
      </c>
      <c r="J238" s="11" t="s">
        <v>3</v>
      </c>
      <c r="K238" s="404">
        <v>41354.800000000003</v>
      </c>
      <c r="L238" s="11">
        <v>1</v>
      </c>
      <c r="M238" s="405">
        <v>41354.800000000003</v>
      </c>
      <c r="N238" s="11" t="s">
        <v>20155</v>
      </c>
      <c r="O238" s="11" t="s">
        <v>16394</v>
      </c>
      <c r="P238" s="872">
        <v>43787</v>
      </c>
      <c r="Q238" s="423">
        <v>2400</v>
      </c>
      <c r="R238" s="423">
        <v>15792</v>
      </c>
      <c r="S238" s="423">
        <v>6000</v>
      </c>
      <c r="T238" s="423">
        <v>500</v>
      </c>
      <c r="U238" s="423">
        <v>24692</v>
      </c>
      <c r="V238" s="11" t="s">
        <v>20155</v>
      </c>
      <c r="W238" s="407">
        <v>3864</v>
      </c>
      <c r="X238" s="407">
        <v>26020.799999999999</v>
      </c>
      <c r="Y238" s="407">
        <v>9660</v>
      </c>
      <c r="Z238" s="407">
        <v>1810</v>
      </c>
      <c r="AA238" s="408">
        <v>1.61</v>
      </c>
      <c r="AB238" s="408">
        <v>1.6477203647416412</v>
      </c>
      <c r="AC238" s="408">
        <v>1.61</v>
      </c>
      <c r="AD238" s="408">
        <v>3.62</v>
      </c>
      <c r="AE238" s="409"/>
      <c r="AF238" s="410">
        <v>0</v>
      </c>
      <c r="AG238" s="410">
        <v>0</v>
      </c>
      <c r="AH238" s="411">
        <v>1.61</v>
      </c>
      <c r="AI238" s="412">
        <v>1.6477203647416412</v>
      </c>
      <c r="AJ238" s="411">
        <v>1.61</v>
      </c>
      <c r="AK238" s="411">
        <v>3.62</v>
      </c>
      <c r="AL238" s="18"/>
      <c r="AM238" s="49"/>
      <c r="AN238" s="2"/>
      <c r="AO238" s="2"/>
    </row>
    <row r="239" spans="1:41" ht="18.600000000000001" hidden="1" customHeight="1">
      <c r="A239" s="14">
        <v>237</v>
      </c>
      <c r="B239" s="11" t="s">
        <v>249</v>
      </c>
      <c r="C239" s="14">
        <v>0</v>
      </c>
      <c r="D239" s="11" t="s">
        <v>17810</v>
      </c>
      <c r="E239" s="11" t="s">
        <v>249</v>
      </c>
      <c r="F239" s="12">
        <v>43782</v>
      </c>
      <c r="G239" s="11">
        <v>2019</v>
      </c>
      <c r="H239" s="11" t="s">
        <v>16838</v>
      </c>
      <c r="I239" s="11" t="s">
        <v>16839</v>
      </c>
      <c r="J239" s="11" t="s">
        <v>3</v>
      </c>
      <c r="K239" s="404">
        <v>147453.6</v>
      </c>
      <c r="L239" s="11">
        <v>1</v>
      </c>
      <c r="M239" s="405">
        <v>147453.6</v>
      </c>
      <c r="N239" s="11" t="s">
        <v>20155</v>
      </c>
      <c r="O239" s="11" t="s">
        <v>17798</v>
      </c>
      <c r="P239" s="872">
        <v>43790</v>
      </c>
      <c r="Q239" s="423">
        <v>0</v>
      </c>
      <c r="R239" s="423">
        <v>110040</v>
      </c>
      <c r="S239" s="423">
        <v>0</v>
      </c>
      <c r="T239" s="423">
        <v>0</v>
      </c>
      <c r="U239" s="423">
        <v>110040</v>
      </c>
      <c r="V239" s="11" t="s">
        <v>20155</v>
      </c>
      <c r="W239" s="407">
        <v>0</v>
      </c>
      <c r="X239" s="407">
        <v>147453.6</v>
      </c>
      <c r="Y239" s="407">
        <v>0</v>
      </c>
      <c r="Z239" s="407">
        <v>0</v>
      </c>
      <c r="AA239" s="408"/>
      <c r="AB239" s="408">
        <v>1.34</v>
      </c>
      <c r="AC239" s="408"/>
      <c r="AD239" s="408"/>
      <c r="AE239" s="409"/>
      <c r="AF239" s="410">
        <v>0</v>
      </c>
      <c r="AG239" s="410">
        <v>0</v>
      </c>
      <c r="AH239" s="411"/>
      <c r="AI239" s="412">
        <v>1.34</v>
      </c>
      <c r="AJ239" s="411"/>
      <c r="AK239" s="411"/>
      <c r="AL239" s="18"/>
      <c r="AM239" s="49"/>
      <c r="AN239" s="2"/>
      <c r="AO239" s="2"/>
    </row>
    <row r="240" spans="1:41" ht="18.600000000000001" hidden="1" customHeight="1">
      <c r="A240" s="14">
        <v>238</v>
      </c>
      <c r="B240" s="11" t="s">
        <v>250</v>
      </c>
      <c r="C240" s="14">
        <v>0</v>
      </c>
      <c r="D240" s="11" t="s">
        <v>17811</v>
      </c>
      <c r="E240" s="11" t="s">
        <v>250</v>
      </c>
      <c r="F240" s="12">
        <v>43782</v>
      </c>
      <c r="G240" s="11">
        <v>2019</v>
      </c>
      <c r="H240" s="11" t="s">
        <v>16957</v>
      </c>
      <c r="I240" s="11" t="s">
        <v>16958</v>
      </c>
      <c r="J240" s="11" t="s">
        <v>16401</v>
      </c>
      <c r="K240" s="404">
        <v>36465.919999999998</v>
      </c>
      <c r="L240" s="11">
        <v>2.8489</v>
      </c>
      <c r="M240" s="405">
        <v>12800</v>
      </c>
      <c r="N240" s="11" t="s">
        <v>20155</v>
      </c>
      <c r="O240" s="11" t="s">
        <v>20161</v>
      </c>
      <c r="P240" s="872">
        <v>43792</v>
      </c>
      <c r="Q240" s="423">
        <v>20000</v>
      </c>
      <c r="R240" s="423">
        <v>0</v>
      </c>
      <c r="S240" s="423">
        <v>0</v>
      </c>
      <c r="T240" s="423">
        <v>0</v>
      </c>
      <c r="U240" s="423">
        <v>20000</v>
      </c>
      <c r="V240" s="11" t="s">
        <v>20155</v>
      </c>
      <c r="W240" s="407">
        <v>36465.919999999998</v>
      </c>
      <c r="X240" s="407">
        <v>0</v>
      </c>
      <c r="Y240" s="407">
        <v>0</v>
      </c>
      <c r="Z240" s="407">
        <v>0</v>
      </c>
      <c r="AA240" s="408">
        <v>1.8232959999999998</v>
      </c>
      <c r="AB240" s="408"/>
      <c r="AC240" s="408"/>
      <c r="AD240" s="408"/>
      <c r="AE240" s="409"/>
      <c r="AF240" s="410">
        <v>1271.08</v>
      </c>
      <c r="AG240" s="410">
        <v>6.3553999999999999E-2</v>
      </c>
      <c r="AH240" s="411">
        <v>1.7597419999999997</v>
      </c>
      <c r="AI240" s="412"/>
      <c r="AJ240" s="411"/>
      <c r="AK240" s="411"/>
      <c r="AL240" s="18"/>
      <c r="AM240" s="49"/>
      <c r="AN240" s="2"/>
      <c r="AO240" s="2"/>
    </row>
    <row r="241" spans="1:41" ht="18.600000000000001" hidden="1" customHeight="1">
      <c r="A241" s="14">
        <v>239</v>
      </c>
      <c r="B241" s="11" t="s">
        <v>251</v>
      </c>
      <c r="C241" s="14">
        <v>0</v>
      </c>
      <c r="D241" s="11" t="s">
        <v>17813</v>
      </c>
      <c r="E241" s="11" t="s">
        <v>251</v>
      </c>
      <c r="F241" s="12">
        <v>43785</v>
      </c>
      <c r="G241" s="11">
        <v>2019</v>
      </c>
      <c r="H241" s="11" t="s">
        <v>17197</v>
      </c>
      <c r="I241" s="11" t="s">
        <v>17198</v>
      </c>
      <c r="J241" s="11" t="s">
        <v>16401</v>
      </c>
      <c r="K241" s="404">
        <v>436210.65</v>
      </c>
      <c r="L241" s="11">
        <v>2.8510499999999999</v>
      </c>
      <c r="M241" s="405">
        <v>153000.00000000003</v>
      </c>
      <c r="N241" s="11" t="s">
        <v>20155</v>
      </c>
      <c r="O241" s="11" t="s">
        <v>17939</v>
      </c>
      <c r="P241" s="872">
        <v>43792</v>
      </c>
      <c r="Q241" s="423">
        <v>0</v>
      </c>
      <c r="R241" s="423">
        <v>279840</v>
      </c>
      <c r="S241" s="423">
        <v>20160</v>
      </c>
      <c r="T241" s="423">
        <v>0</v>
      </c>
      <c r="U241" s="423">
        <v>300000</v>
      </c>
      <c r="V241" s="11" t="s">
        <v>20155</v>
      </c>
      <c r="W241" s="407">
        <v>0</v>
      </c>
      <c r="X241" s="407">
        <v>406897.29432000034</v>
      </c>
      <c r="Y241" s="407">
        <v>29313.355679999997</v>
      </c>
      <c r="Z241" s="407">
        <v>0</v>
      </c>
      <c r="AA241" s="408"/>
      <c r="AB241" s="408">
        <v>1.4540355000000011</v>
      </c>
      <c r="AC241" s="408">
        <v>1.4540354999999998</v>
      </c>
      <c r="AD241" s="408"/>
      <c r="AE241" s="409"/>
      <c r="AF241" s="410">
        <v>0</v>
      </c>
      <c r="AG241" s="410">
        <v>0</v>
      </c>
      <c r="AH241" s="411"/>
      <c r="AI241" s="412">
        <v>1.4540355000000011</v>
      </c>
      <c r="AJ241" s="411">
        <v>1.4540354999999998</v>
      </c>
      <c r="AK241" s="411"/>
      <c r="AL241" s="18"/>
      <c r="AM241" s="49"/>
      <c r="AN241" s="2"/>
      <c r="AO241" s="2"/>
    </row>
    <row r="242" spans="1:41" ht="18.600000000000001" hidden="1" customHeight="1">
      <c r="A242" s="14">
        <v>240</v>
      </c>
      <c r="B242" s="11" t="s">
        <v>252</v>
      </c>
      <c r="C242" s="14">
        <v>0</v>
      </c>
      <c r="D242" s="11" t="s">
        <v>17814</v>
      </c>
      <c r="E242" s="11" t="s">
        <v>252</v>
      </c>
      <c r="F242" s="12">
        <v>43788</v>
      </c>
      <c r="G242" s="11">
        <v>2019</v>
      </c>
      <c r="H242" s="11" t="s">
        <v>17017</v>
      </c>
      <c r="I242" s="11" t="s">
        <v>17018</v>
      </c>
      <c r="J242" s="11" t="s">
        <v>3</v>
      </c>
      <c r="K242" s="404">
        <v>8825.49</v>
      </c>
      <c r="L242" s="11">
        <v>1</v>
      </c>
      <c r="M242" s="405">
        <v>8825.49</v>
      </c>
      <c r="N242" s="11" t="s">
        <v>20155</v>
      </c>
      <c r="O242" s="11" t="s">
        <v>20158</v>
      </c>
      <c r="P242" s="872">
        <v>43791</v>
      </c>
      <c r="Q242" s="423">
        <v>4725</v>
      </c>
      <c r="R242" s="423">
        <v>552</v>
      </c>
      <c r="S242" s="423">
        <v>0</v>
      </c>
      <c r="T242" s="423">
        <v>0</v>
      </c>
      <c r="U242" s="423">
        <v>5277</v>
      </c>
      <c r="V242" s="11" t="s">
        <v>20155</v>
      </c>
      <c r="W242" s="407">
        <v>7903.65</v>
      </c>
      <c r="X242" s="407">
        <v>921.84</v>
      </c>
      <c r="Y242" s="407">
        <v>0</v>
      </c>
      <c r="Z242" s="407">
        <v>0</v>
      </c>
      <c r="AA242" s="408">
        <v>1.6727301587301588</v>
      </c>
      <c r="AB242" s="408">
        <v>1.6700000000000002</v>
      </c>
      <c r="AC242" s="408"/>
      <c r="AD242" s="408"/>
      <c r="AE242" s="409"/>
      <c r="AF242" s="410">
        <v>0</v>
      </c>
      <c r="AG242" s="410">
        <v>0</v>
      </c>
      <c r="AH242" s="411">
        <v>1.6727301587301588</v>
      </c>
      <c r="AI242" s="412">
        <v>1.6700000000000002</v>
      </c>
      <c r="AJ242" s="411"/>
      <c r="AK242" s="411"/>
      <c r="AL242" s="18"/>
      <c r="AM242" s="49"/>
      <c r="AN242" s="2"/>
      <c r="AO242" s="2"/>
    </row>
    <row r="243" spans="1:41" ht="18.600000000000001" hidden="1" customHeight="1">
      <c r="A243" s="14">
        <v>241</v>
      </c>
      <c r="B243" s="11" t="s">
        <v>253</v>
      </c>
      <c r="C243" s="14">
        <v>0</v>
      </c>
      <c r="D243" s="11" t="s">
        <v>17815</v>
      </c>
      <c r="E243" s="11" t="s">
        <v>253</v>
      </c>
      <c r="F243" s="12">
        <v>43788</v>
      </c>
      <c r="G243" s="11">
        <v>2019</v>
      </c>
      <c r="H243" s="11" t="s">
        <v>16838</v>
      </c>
      <c r="I243" s="11" t="s">
        <v>16839</v>
      </c>
      <c r="J243" s="11" t="s">
        <v>3</v>
      </c>
      <c r="K243" s="404">
        <v>110777.60000000001</v>
      </c>
      <c r="L243" s="11">
        <v>1</v>
      </c>
      <c r="M243" s="405">
        <v>110777.60000000001</v>
      </c>
      <c r="N243" s="11" t="s">
        <v>20155</v>
      </c>
      <c r="O243" s="11" t="s">
        <v>17771</v>
      </c>
      <c r="P243" s="872">
        <v>43791</v>
      </c>
      <c r="Q243" s="423">
        <v>0</v>
      </c>
      <c r="R243" s="423">
        <v>21120</v>
      </c>
      <c r="S243" s="423">
        <v>56000</v>
      </c>
      <c r="T243" s="423">
        <v>0</v>
      </c>
      <c r="U243" s="423">
        <v>77120</v>
      </c>
      <c r="V243" s="11" t="s">
        <v>20155</v>
      </c>
      <c r="W243" s="407">
        <v>0</v>
      </c>
      <c r="X243" s="407">
        <v>31257.599999999999</v>
      </c>
      <c r="Y243" s="407">
        <v>79520</v>
      </c>
      <c r="Z243" s="407">
        <v>0</v>
      </c>
      <c r="AA243" s="408"/>
      <c r="AB243" s="408">
        <v>1.4800000000000002</v>
      </c>
      <c r="AC243" s="408">
        <v>1.42</v>
      </c>
      <c r="AD243" s="408"/>
      <c r="AE243" s="409"/>
      <c r="AF243" s="410">
        <v>0</v>
      </c>
      <c r="AG243" s="410">
        <v>0</v>
      </c>
      <c r="AH243" s="411"/>
      <c r="AI243" s="412">
        <v>1.4800000000000002</v>
      </c>
      <c r="AJ243" s="411">
        <v>1.42</v>
      </c>
      <c r="AK243" s="411"/>
      <c r="AL243" s="18"/>
      <c r="AM243" s="49"/>
      <c r="AN243" s="2"/>
      <c r="AO243" s="2"/>
    </row>
    <row r="244" spans="1:41" ht="18.600000000000001" hidden="1" customHeight="1">
      <c r="A244" s="14">
        <v>242</v>
      </c>
      <c r="B244" s="11" t="s">
        <v>254</v>
      </c>
      <c r="C244" s="14">
        <v>0</v>
      </c>
      <c r="D244" s="11" t="s">
        <v>17816</v>
      </c>
      <c r="E244" s="11" t="s">
        <v>254</v>
      </c>
      <c r="F244" s="12">
        <v>43794</v>
      </c>
      <c r="G244" s="11">
        <v>2019</v>
      </c>
      <c r="H244" s="11" t="s">
        <v>17017</v>
      </c>
      <c r="I244" s="11" t="s">
        <v>17018</v>
      </c>
      <c r="J244" s="11" t="s">
        <v>3</v>
      </c>
      <c r="K244" s="404">
        <v>4761.76</v>
      </c>
      <c r="L244" s="11">
        <v>1</v>
      </c>
      <c r="M244" s="405">
        <v>4761.76</v>
      </c>
      <c r="N244" s="11" t="s">
        <v>20155</v>
      </c>
      <c r="O244" s="11" t="s">
        <v>17689</v>
      </c>
      <c r="P244" s="872">
        <v>43797</v>
      </c>
      <c r="Q244" s="423">
        <v>720</v>
      </c>
      <c r="R244" s="423">
        <v>468</v>
      </c>
      <c r="S244" s="423">
        <v>768</v>
      </c>
      <c r="T244" s="423">
        <v>392</v>
      </c>
      <c r="U244" s="423">
        <v>2348</v>
      </c>
      <c r="V244" s="11" t="s">
        <v>20155</v>
      </c>
      <c r="W244" s="407">
        <v>1166.4000000000001</v>
      </c>
      <c r="X244" s="407">
        <v>920.4</v>
      </c>
      <c r="Y244" s="407">
        <v>1244.1600000000001</v>
      </c>
      <c r="Z244" s="407">
        <v>1430.8</v>
      </c>
      <c r="AA244" s="408">
        <v>1.62</v>
      </c>
      <c r="AB244" s="408">
        <v>1.9666666666666666</v>
      </c>
      <c r="AC244" s="408">
        <v>1.62</v>
      </c>
      <c r="AD244" s="408">
        <v>3.65</v>
      </c>
      <c r="AE244" s="409"/>
      <c r="AF244" s="410">
        <v>0</v>
      </c>
      <c r="AG244" s="410">
        <v>0</v>
      </c>
      <c r="AH244" s="411">
        <v>1.62</v>
      </c>
      <c r="AI244" s="412">
        <v>1.9666666666666666</v>
      </c>
      <c r="AJ244" s="411">
        <v>1.62</v>
      </c>
      <c r="AK244" s="411">
        <v>3.65</v>
      </c>
      <c r="AL244" s="18"/>
      <c r="AM244" s="49"/>
      <c r="AN244" s="2"/>
      <c r="AO244" s="2"/>
    </row>
    <row r="245" spans="1:41" ht="18.600000000000001" hidden="1" customHeight="1">
      <c r="A245" s="14">
        <v>243</v>
      </c>
      <c r="B245" s="11" t="s">
        <v>255</v>
      </c>
      <c r="C245" s="14">
        <v>0</v>
      </c>
      <c r="D245" s="11" t="s">
        <v>17817</v>
      </c>
      <c r="E245" s="11" t="s">
        <v>255</v>
      </c>
      <c r="F245" s="12">
        <v>43794</v>
      </c>
      <c r="G245" s="11">
        <v>2019</v>
      </c>
      <c r="H245" s="11" t="s">
        <v>16384</v>
      </c>
      <c r="I245" s="11" t="s">
        <v>16385</v>
      </c>
      <c r="J245" s="11" t="s">
        <v>3</v>
      </c>
      <c r="K245" s="404">
        <v>35319</v>
      </c>
      <c r="L245" s="11">
        <v>1</v>
      </c>
      <c r="M245" s="405">
        <v>35319</v>
      </c>
      <c r="N245" s="11" t="s">
        <v>20155</v>
      </c>
      <c r="O245" s="11" t="s">
        <v>20170</v>
      </c>
      <c r="P245" s="872">
        <v>43804</v>
      </c>
      <c r="Q245" s="423">
        <v>3600</v>
      </c>
      <c r="R245" s="423">
        <v>19800</v>
      </c>
      <c r="S245" s="423">
        <v>0</v>
      </c>
      <c r="T245" s="423">
        <v>0</v>
      </c>
      <c r="U245" s="423">
        <v>23400</v>
      </c>
      <c r="V245" s="11" t="s">
        <v>20155</v>
      </c>
      <c r="W245" s="407">
        <v>5616</v>
      </c>
      <c r="X245" s="407">
        <v>29703</v>
      </c>
      <c r="Y245" s="407">
        <v>0</v>
      </c>
      <c r="Z245" s="407">
        <v>0</v>
      </c>
      <c r="AA245" s="408">
        <v>1.56</v>
      </c>
      <c r="AB245" s="408">
        <v>1.5001515151515152</v>
      </c>
      <c r="AC245" s="408"/>
      <c r="AD245" s="408"/>
      <c r="AE245" s="409"/>
      <c r="AF245" s="410">
        <v>0</v>
      </c>
      <c r="AG245" s="410">
        <v>0</v>
      </c>
      <c r="AH245" s="411">
        <v>1.56</v>
      </c>
      <c r="AI245" s="412">
        <v>1.5001515151515152</v>
      </c>
      <c r="AJ245" s="411"/>
      <c r="AK245" s="411"/>
      <c r="AL245" s="18"/>
      <c r="AM245" s="49"/>
      <c r="AN245" s="2"/>
      <c r="AO245" s="2"/>
    </row>
    <row r="246" spans="1:41" ht="18.600000000000001" hidden="1" customHeight="1">
      <c r="A246" s="14">
        <v>244</v>
      </c>
      <c r="B246" s="11" t="s">
        <v>256</v>
      </c>
      <c r="C246" s="14">
        <v>0</v>
      </c>
      <c r="D246" s="11" t="s">
        <v>17819</v>
      </c>
      <c r="E246" s="11" t="s">
        <v>256</v>
      </c>
      <c r="F246" s="12">
        <v>43794</v>
      </c>
      <c r="G246" s="11">
        <v>2019</v>
      </c>
      <c r="H246" s="11" t="s">
        <v>16957</v>
      </c>
      <c r="I246" s="11" t="s">
        <v>16958</v>
      </c>
      <c r="J246" s="11" t="s">
        <v>16401</v>
      </c>
      <c r="K246" s="404">
        <v>39489.866999999998</v>
      </c>
      <c r="L246" s="11">
        <v>2.86185</v>
      </c>
      <c r="M246" s="405">
        <v>13798.720058703286</v>
      </c>
      <c r="N246" s="11" t="s">
        <v>20155</v>
      </c>
      <c r="O246" s="11" t="s">
        <v>20161</v>
      </c>
      <c r="P246" s="872">
        <v>43799</v>
      </c>
      <c r="Q246" s="423">
        <v>20150</v>
      </c>
      <c r="R246" s="423">
        <v>0</v>
      </c>
      <c r="S246" s="423">
        <v>0</v>
      </c>
      <c r="T246" s="423">
        <v>0</v>
      </c>
      <c r="U246" s="423">
        <v>20150</v>
      </c>
      <c r="V246" s="11" t="s">
        <v>20155</v>
      </c>
      <c r="W246" s="407">
        <v>39489.866832</v>
      </c>
      <c r="X246" s="407">
        <v>0</v>
      </c>
      <c r="Y246" s="407">
        <v>0</v>
      </c>
      <c r="Z246" s="407">
        <v>0</v>
      </c>
      <c r="AA246" s="408">
        <v>1.95979488</v>
      </c>
      <c r="AB246" s="408"/>
      <c r="AC246" s="408"/>
      <c r="AD246" s="408"/>
      <c r="AE246" s="409"/>
      <c r="AF246" s="410">
        <v>4758.1949999999997</v>
      </c>
      <c r="AG246" s="410">
        <v>0.23613870967741935</v>
      </c>
      <c r="AH246" s="411">
        <v>1.7236561703225806</v>
      </c>
      <c r="AI246" s="412"/>
      <c r="AJ246" s="411"/>
      <c r="AK246" s="411"/>
      <c r="AL246" s="18"/>
      <c r="AM246" s="49"/>
      <c r="AN246" s="2"/>
      <c r="AO246" s="2"/>
    </row>
    <row r="247" spans="1:41" ht="18.600000000000001" hidden="1" customHeight="1">
      <c r="A247" s="14">
        <v>245</v>
      </c>
      <c r="B247" s="11" t="s">
        <v>257</v>
      </c>
      <c r="C247" s="14">
        <v>0</v>
      </c>
      <c r="D247" s="11" t="s">
        <v>17821</v>
      </c>
      <c r="E247" s="11" t="s">
        <v>257</v>
      </c>
      <c r="F247" s="12">
        <v>43794</v>
      </c>
      <c r="G247" s="11">
        <v>2019</v>
      </c>
      <c r="H247" s="11" t="s">
        <v>16838</v>
      </c>
      <c r="I247" s="11" t="s">
        <v>16839</v>
      </c>
      <c r="J247" s="11" t="s">
        <v>3</v>
      </c>
      <c r="K247" s="404">
        <v>219842.95</v>
      </c>
      <c r="L247" s="11">
        <v>1</v>
      </c>
      <c r="M247" s="405">
        <v>219842.95</v>
      </c>
      <c r="N247" s="11" t="s">
        <v>20155</v>
      </c>
      <c r="O247" s="11" t="s">
        <v>17771</v>
      </c>
      <c r="P247" s="872">
        <v>43803</v>
      </c>
      <c r="Q247" s="423">
        <v>0</v>
      </c>
      <c r="R247" s="423">
        <v>17040</v>
      </c>
      <c r="S247" s="423">
        <v>140000</v>
      </c>
      <c r="T247" s="423">
        <v>725</v>
      </c>
      <c r="U247" s="423">
        <v>157765</v>
      </c>
      <c r="V247" s="11" t="s">
        <v>20155</v>
      </c>
      <c r="W247" s="407">
        <v>0</v>
      </c>
      <c r="X247" s="407">
        <v>25219.200000000001</v>
      </c>
      <c r="Y247" s="407">
        <v>191800</v>
      </c>
      <c r="Z247" s="407">
        <v>2823.75</v>
      </c>
      <c r="AA247" s="408"/>
      <c r="AB247" s="408">
        <v>1.48</v>
      </c>
      <c r="AC247" s="408">
        <v>1.37</v>
      </c>
      <c r="AD247" s="408">
        <v>3.8948275862068966</v>
      </c>
      <c r="AE247" s="409"/>
      <c r="AF247" s="410">
        <v>0</v>
      </c>
      <c r="AG247" s="410">
        <v>0</v>
      </c>
      <c r="AH247" s="411"/>
      <c r="AI247" s="412">
        <v>1.48</v>
      </c>
      <c r="AJ247" s="411">
        <v>1.37</v>
      </c>
      <c r="AK247" s="411">
        <v>3.8948275862068966</v>
      </c>
      <c r="AL247" s="18"/>
      <c r="AM247" s="49"/>
      <c r="AN247" s="2"/>
      <c r="AO247" s="2"/>
    </row>
    <row r="248" spans="1:41" ht="18.600000000000001" hidden="1" customHeight="1">
      <c r="A248" s="14">
        <v>246</v>
      </c>
      <c r="B248" s="11" t="s">
        <v>258</v>
      </c>
      <c r="C248" s="14">
        <v>0</v>
      </c>
      <c r="D248" s="11" t="s">
        <v>17822</v>
      </c>
      <c r="E248" s="11" t="s">
        <v>258</v>
      </c>
      <c r="F248" s="12">
        <v>43796</v>
      </c>
      <c r="G248" s="11">
        <v>2019</v>
      </c>
      <c r="H248" s="11" t="s">
        <v>17217</v>
      </c>
      <c r="I248" s="11" t="s">
        <v>17218</v>
      </c>
      <c r="J248" s="11" t="s">
        <v>16482</v>
      </c>
      <c r="K248" s="404">
        <v>33477.957000000002</v>
      </c>
      <c r="L248" s="11">
        <v>3.1523500000000002</v>
      </c>
      <c r="M248" s="405">
        <v>10620</v>
      </c>
      <c r="N248" s="11" t="s">
        <v>20155</v>
      </c>
      <c r="O248" s="11" t="s">
        <v>17693</v>
      </c>
      <c r="P248" s="872">
        <v>43799</v>
      </c>
      <c r="Q248" s="423">
        <v>18000</v>
      </c>
      <c r="R248" s="423">
        <v>0</v>
      </c>
      <c r="S248" s="423">
        <v>0</v>
      </c>
      <c r="T248" s="423">
        <v>0</v>
      </c>
      <c r="U248" s="423">
        <v>18000</v>
      </c>
      <c r="V248" s="11" t="s">
        <v>20155</v>
      </c>
      <c r="W248" s="407">
        <v>33477.957000000002</v>
      </c>
      <c r="X248" s="407">
        <v>0</v>
      </c>
      <c r="Y248" s="407">
        <v>0</v>
      </c>
      <c r="Z248" s="407">
        <v>0</v>
      </c>
      <c r="AA248" s="408">
        <v>1.8598865000000002</v>
      </c>
      <c r="AB248" s="408"/>
      <c r="AC248" s="408"/>
      <c r="AD248" s="408"/>
      <c r="AE248" s="409"/>
      <c r="AF248" s="410">
        <v>5866.9449999999997</v>
      </c>
      <c r="AG248" s="410">
        <v>0.32594138888888885</v>
      </c>
      <c r="AH248" s="411">
        <v>1.5339451111111113</v>
      </c>
      <c r="AI248" s="412"/>
      <c r="AJ248" s="411"/>
      <c r="AK248" s="411"/>
      <c r="AL248" s="18"/>
      <c r="AM248" s="49"/>
      <c r="AN248" s="2"/>
      <c r="AO248" s="2"/>
    </row>
    <row r="249" spans="1:41" ht="18.600000000000001" hidden="1" customHeight="1">
      <c r="A249" s="14">
        <v>247</v>
      </c>
      <c r="B249" s="11" t="s">
        <v>259</v>
      </c>
      <c r="C249" s="14">
        <v>0</v>
      </c>
      <c r="D249" s="11" t="s">
        <v>17824</v>
      </c>
      <c r="E249" s="11" t="s">
        <v>259</v>
      </c>
      <c r="F249" s="12">
        <v>43796</v>
      </c>
      <c r="G249" s="11">
        <v>2019</v>
      </c>
      <c r="H249" s="11" t="s">
        <v>17119</v>
      </c>
      <c r="I249" s="11" t="s">
        <v>17120</v>
      </c>
      <c r="J249" s="11" t="s">
        <v>16401</v>
      </c>
      <c r="K249" s="404">
        <v>121434.13400000001</v>
      </c>
      <c r="L249" s="11">
        <v>2.86185</v>
      </c>
      <c r="M249" s="405">
        <v>42432.040113912328</v>
      </c>
      <c r="N249" s="11" t="s">
        <v>20155</v>
      </c>
      <c r="O249" s="11" t="s">
        <v>17965</v>
      </c>
      <c r="P249" s="872">
        <v>43802</v>
      </c>
      <c r="Q249" s="423">
        <v>25200</v>
      </c>
      <c r="R249" s="423">
        <v>44208</v>
      </c>
      <c r="S249" s="423">
        <v>0</v>
      </c>
      <c r="T249" s="423">
        <v>0</v>
      </c>
      <c r="U249" s="423">
        <v>69408</v>
      </c>
      <c r="V249" s="11" t="s">
        <v>20155</v>
      </c>
      <c r="W249" s="407">
        <v>39321.819000000003</v>
      </c>
      <c r="X249" s="407">
        <v>62937.919674000004</v>
      </c>
      <c r="Y249" s="407">
        <v>0</v>
      </c>
      <c r="Z249" s="407">
        <v>0</v>
      </c>
      <c r="AA249" s="408">
        <v>1.5603896428571429</v>
      </c>
      <c r="AB249" s="408">
        <v>1.4236771551302934</v>
      </c>
      <c r="AC249" s="408"/>
      <c r="AD249" s="408"/>
      <c r="AE249" s="409"/>
      <c r="AF249" s="410">
        <v>24436.01</v>
      </c>
      <c r="AG249" s="410">
        <v>0.35206330682342091</v>
      </c>
      <c r="AH249" s="411">
        <v>1.208326336033722</v>
      </c>
      <c r="AI249" s="412">
        <v>1.0716138483068725</v>
      </c>
      <c r="AJ249" s="411"/>
      <c r="AK249" s="411"/>
      <c r="AL249" s="18"/>
      <c r="AM249" s="49"/>
      <c r="AN249" s="2"/>
      <c r="AO249" s="2"/>
    </row>
    <row r="250" spans="1:41" ht="18.600000000000001" hidden="1" customHeight="1">
      <c r="A250" s="14">
        <v>248</v>
      </c>
      <c r="B250" s="11" t="s">
        <v>260</v>
      </c>
      <c r="C250" s="14">
        <v>0</v>
      </c>
      <c r="D250" s="11" t="s">
        <v>17826</v>
      </c>
      <c r="E250" s="11" t="s">
        <v>260</v>
      </c>
      <c r="F250" s="12">
        <v>43798</v>
      </c>
      <c r="G250" s="11">
        <v>2019</v>
      </c>
      <c r="H250" s="11" t="s">
        <v>17156</v>
      </c>
      <c r="I250" s="11" t="s">
        <v>17157</v>
      </c>
      <c r="J250" s="11" t="s">
        <v>3</v>
      </c>
      <c r="K250" s="404">
        <v>62400</v>
      </c>
      <c r="L250" s="11">
        <v>1</v>
      </c>
      <c r="M250" s="405">
        <v>62400</v>
      </c>
      <c r="N250" s="11" t="s">
        <v>20155</v>
      </c>
      <c r="O250" s="11" t="s">
        <v>20161</v>
      </c>
      <c r="P250" s="872">
        <v>43808</v>
      </c>
      <c r="Q250" s="423">
        <v>0</v>
      </c>
      <c r="R250" s="423">
        <v>39000</v>
      </c>
      <c r="S250" s="423">
        <v>0</v>
      </c>
      <c r="T250" s="423">
        <v>0</v>
      </c>
      <c r="U250" s="423">
        <v>39000</v>
      </c>
      <c r="V250" s="11" t="s">
        <v>20155</v>
      </c>
      <c r="W250" s="407">
        <v>0</v>
      </c>
      <c r="X250" s="407">
        <v>62400</v>
      </c>
      <c r="Y250" s="407">
        <v>0</v>
      </c>
      <c r="Z250" s="407">
        <v>0</v>
      </c>
      <c r="AA250" s="408"/>
      <c r="AB250" s="408">
        <v>1.6</v>
      </c>
      <c r="AC250" s="408"/>
      <c r="AD250" s="408"/>
      <c r="AE250" s="409"/>
      <c r="AF250" s="410">
        <v>0</v>
      </c>
      <c r="AG250" s="410">
        <v>0</v>
      </c>
      <c r="AH250" s="411"/>
      <c r="AI250" s="412">
        <v>1.6</v>
      </c>
      <c r="AJ250" s="411"/>
      <c r="AK250" s="411"/>
      <c r="AL250" s="18"/>
      <c r="AM250" s="49"/>
      <c r="AN250" s="2"/>
      <c r="AO250" s="2"/>
    </row>
    <row r="251" spans="1:41" ht="18.600000000000001" hidden="1" customHeight="1">
      <c r="A251" s="14">
        <v>249</v>
      </c>
      <c r="B251" s="11" t="s">
        <v>261</v>
      </c>
      <c r="C251" s="14">
        <v>0</v>
      </c>
      <c r="D251" s="11" t="s">
        <v>17828</v>
      </c>
      <c r="E251" s="11" t="s">
        <v>261</v>
      </c>
      <c r="F251" s="12">
        <v>43801</v>
      </c>
      <c r="G251" s="11">
        <v>2019</v>
      </c>
      <c r="H251" s="11" t="s">
        <v>16957</v>
      </c>
      <c r="I251" s="11" t="s">
        <v>16958</v>
      </c>
      <c r="J251" s="11" t="s">
        <v>16401</v>
      </c>
      <c r="K251" s="437">
        <v>37793.279999999999</v>
      </c>
      <c r="L251" s="11">
        <v>2.8416000000000001</v>
      </c>
      <c r="M251" s="404">
        <v>13300</v>
      </c>
      <c r="N251" s="11" t="s">
        <v>20155</v>
      </c>
      <c r="O251" s="11" t="s">
        <v>20161</v>
      </c>
      <c r="P251" s="872">
        <v>43823</v>
      </c>
      <c r="Q251" s="423">
        <v>20000</v>
      </c>
      <c r="R251" s="423">
        <v>0</v>
      </c>
      <c r="S251" s="423">
        <v>0</v>
      </c>
      <c r="T251" s="423">
        <v>0</v>
      </c>
      <c r="U251" s="423">
        <v>20000</v>
      </c>
      <c r="V251" s="11" t="s">
        <v>20155</v>
      </c>
      <c r="W251" s="407">
        <v>37793.280000000006</v>
      </c>
      <c r="X251" s="407">
        <v>0</v>
      </c>
      <c r="Y251" s="407">
        <v>0</v>
      </c>
      <c r="Z251" s="407">
        <v>0</v>
      </c>
      <c r="AA251" s="408">
        <v>1.8896640000000002</v>
      </c>
      <c r="AB251" s="408"/>
      <c r="AC251" s="408"/>
      <c r="AD251" s="408"/>
      <c r="AE251" s="409"/>
      <c r="AF251" s="410">
        <v>3947.5259999999998</v>
      </c>
      <c r="AG251" s="410">
        <v>0.1973763</v>
      </c>
      <c r="AH251" s="411">
        <v>1.6922877000000003</v>
      </c>
      <c r="AI251" s="412"/>
      <c r="AJ251" s="411"/>
      <c r="AK251" s="411"/>
      <c r="AL251" s="18"/>
      <c r="AM251" s="49"/>
      <c r="AN251" s="2"/>
      <c r="AO251" s="2"/>
    </row>
    <row r="252" spans="1:41" ht="18.600000000000001" hidden="1" customHeight="1">
      <c r="A252" s="14">
        <v>250</v>
      </c>
      <c r="B252" s="11" t="s">
        <v>262</v>
      </c>
      <c r="C252" s="14">
        <v>0</v>
      </c>
      <c r="D252" s="11" t="s">
        <v>17830</v>
      </c>
      <c r="E252" s="11" t="s">
        <v>262</v>
      </c>
      <c r="F252" s="12">
        <v>43801</v>
      </c>
      <c r="G252" s="11">
        <v>2019</v>
      </c>
      <c r="H252" s="11" t="s">
        <v>17219</v>
      </c>
      <c r="I252" s="11" t="s">
        <v>17220</v>
      </c>
      <c r="J252" s="11" t="s">
        <v>16401</v>
      </c>
      <c r="K252" s="404">
        <v>436712.98</v>
      </c>
      <c r="L252" s="11">
        <v>2.8561999999999999</v>
      </c>
      <c r="M252" s="405">
        <v>152900</v>
      </c>
      <c r="N252" s="11" t="s">
        <v>20155</v>
      </c>
      <c r="O252" s="11" t="s">
        <v>20173</v>
      </c>
      <c r="P252" s="872">
        <v>43805</v>
      </c>
      <c r="Q252" s="423">
        <v>0</v>
      </c>
      <c r="R252" s="423">
        <v>178000</v>
      </c>
      <c r="S252" s="423">
        <v>100000</v>
      </c>
      <c r="T252" s="423">
        <v>0</v>
      </c>
      <c r="U252" s="423">
        <v>278000</v>
      </c>
      <c r="V252" s="11" t="s">
        <v>20155</v>
      </c>
      <c r="W252" s="407">
        <v>0</v>
      </c>
      <c r="X252" s="407">
        <v>279621.98000000004</v>
      </c>
      <c r="Y252" s="407">
        <v>157091</v>
      </c>
      <c r="Z252" s="407">
        <v>0</v>
      </c>
      <c r="AA252" s="408"/>
      <c r="AB252" s="408">
        <v>1.5709100000000003</v>
      </c>
      <c r="AC252" s="408">
        <v>1.57091</v>
      </c>
      <c r="AD252" s="408"/>
      <c r="AE252" s="409"/>
      <c r="AF252" s="410">
        <v>89362.28</v>
      </c>
      <c r="AG252" s="410">
        <v>0.32144705035971222</v>
      </c>
      <c r="AH252" s="411"/>
      <c r="AI252" s="412">
        <v>1.249462949640288</v>
      </c>
      <c r="AJ252" s="411">
        <v>1.2494629496402878</v>
      </c>
      <c r="AK252" s="411"/>
      <c r="AL252" s="18"/>
      <c r="AM252" s="49"/>
      <c r="AN252" s="2"/>
      <c r="AO252" s="2"/>
    </row>
    <row r="253" spans="1:41" ht="18.600000000000001" hidden="1" customHeight="1">
      <c r="A253" s="14">
        <v>251</v>
      </c>
      <c r="B253" s="11" t="s">
        <v>263</v>
      </c>
      <c r="C253" s="14">
        <v>0</v>
      </c>
      <c r="D253" s="11" t="s">
        <v>17832</v>
      </c>
      <c r="E253" s="11" t="s">
        <v>263</v>
      </c>
      <c r="F253" s="12">
        <v>43803</v>
      </c>
      <c r="G253" s="11">
        <v>2019</v>
      </c>
      <c r="H253" s="11" t="s">
        <v>16643</v>
      </c>
      <c r="I253" s="11" t="s">
        <v>16644</v>
      </c>
      <c r="J253" s="11" t="s">
        <v>16482</v>
      </c>
      <c r="K253" s="404">
        <v>107488.425</v>
      </c>
      <c r="L253" s="11">
        <v>3.17075</v>
      </c>
      <c r="M253" s="405">
        <v>33900</v>
      </c>
      <c r="N253" s="11" t="s">
        <v>20155</v>
      </c>
      <c r="O253" s="11" t="s">
        <v>20159</v>
      </c>
      <c r="P253" s="872">
        <v>43813</v>
      </c>
      <c r="Q253" s="423">
        <v>0</v>
      </c>
      <c r="R253" s="423">
        <v>60000</v>
      </c>
      <c r="S253" s="423">
        <v>0</v>
      </c>
      <c r="T253" s="423">
        <v>0</v>
      </c>
      <c r="U253" s="423">
        <v>60000</v>
      </c>
      <c r="V253" s="11" t="s">
        <v>20155</v>
      </c>
      <c r="W253" s="407">
        <v>0</v>
      </c>
      <c r="X253" s="407">
        <v>82756.575000000012</v>
      </c>
      <c r="Y253" s="407">
        <v>0</v>
      </c>
      <c r="Z253" s="407">
        <v>0</v>
      </c>
      <c r="AA253" s="408"/>
      <c r="AB253" s="408">
        <v>1.3792762500000002</v>
      </c>
      <c r="AC253" s="408"/>
      <c r="AD253" s="408"/>
      <c r="AE253" s="409"/>
      <c r="AF253" s="410">
        <v>30542.564999999999</v>
      </c>
      <c r="AG253" s="410">
        <v>0.50904274999999999</v>
      </c>
      <c r="AH253" s="411"/>
      <c r="AI253" s="412">
        <v>0.87023350000000022</v>
      </c>
      <c r="AJ253" s="411"/>
      <c r="AK253" s="411"/>
      <c r="AL253" s="18"/>
      <c r="AM253" s="49"/>
      <c r="AN253" s="2"/>
      <c r="AO253" s="2"/>
    </row>
    <row r="254" spans="1:41" ht="18.600000000000001" hidden="1" customHeight="1">
      <c r="A254" s="14">
        <v>252</v>
      </c>
      <c r="B254" s="11" t="s">
        <v>264</v>
      </c>
      <c r="C254" s="14">
        <v>0</v>
      </c>
      <c r="D254" s="11" t="s">
        <v>17834</v>
      </c>
      <c r="E254" s="11" t="s">
        <v>264</v>
      </c>
      <c r="F254" s="12">
        <v>43803</v>
      </c>
      <c r="G254" s="11">
        <v>2019</v>
      </c>
      <c r="H254" s="11" t="s">
        <v>16470</v>
      </c>
      <c r="I254" s="11" t="s">
        <v>16471</v>
      </c>
      <c r="J254" s="11" t="s">
        <v>16401</v>
      </c>
      <c r="K254" s="404">
        <v>40232.51</v>
      </c>
      <c r="L254" s="11">
        <v>2.8557999999999999</v>
      </c>
      <c r="M254" s="405">
        <v>14087.999859934171</v>
      </c>
      <c r="N254" s="11" t="s">
        <v>20155</v>
      </c>
      <c r="O254" s="11" t="s">
        <v>20159</v>
      </c>
      <c r="P254" s="872">
        <v>43812</v>
      </c>
      <c r="Q254" s="423">
        <v>0</v>
      </c>
      <c r="R254" s="423">
        <v>0</v>
      </c>
      <c r="S254" s="423">
        <v>26000</v>
      </c>
      <c r="T254" s="423">
        <v>0</v>
      </c>
      <c r="U254" s="423">
        <v>26000</v>
      </c>
      <c r="V254" s="11" t="s">
        <v>20155</v>
      </c>
      <c r="W254" s="407">
        <v>0</v>
      </c>
      <c r="X254" s="407">
        <v>0</v>
      </c>
      <c r="Y254" s="407">
        <v>34526.622000000003</v>
      </c>
      <c r="Z254" s="407">
        <v>0</v>
      </c>
      <c r="AA254" s="408"/>
      <c r="AB254" s="408"/>
      <c r="AC254" s="408">
        <v>1.3279470000000002</v>
      </c>
      <c r="AD254" s="408"/>
      <c r="AE254" s="409"/>
      <c r="AF254" s="410">
        <v>7226.8050000000003</v>
      </c>
      <c r="AG254" s="410">
        <v>0.27795403846153849</v>
      </c>
      <c r="AH254" s="411"/>
      <c r="AI254" s="412"/>
      <c r="AJ254" s="411">
        <v>1.0499929615384618</v>
      </c>
      <c r="AK254" s="411"/>
      <c r="AL254" s="18"/>
      <c r="AM254" s="49"/>
      <c r="AN254" s="2"/>
      <c r="AO254" s="2"/>
    </row>
    <row r="255" spans="1:41" ht="18.600000000000001" hidden="1" customHeight="1">
      <c r="A255" s="14">
        <v>253</v>
      </c>
      <c r="B255" s="11" t="s">
        <v>265</v>
      </c>
      <c r="C255" s="14">
        <v>0</v>
      </c>
      <c r="D255" s="11" t="s">
        <v>17836</v>
      </c>
      <c r="E255" s="11" t="s">
        <v>265</v>
      </c>
      <c r="F255" s="12">
        <v>43803</v>
      </c>
      <c r="G255" s="11">
        <v>2019</v>
      </c>
      <c r="H255" s="11" t="s">
        <v>16904</v>
      </c>
      <c r="I255" s="11" t="s">
        <v>16905</v>
      </c>
      <c r="J255" s="11" t="s">
        <v>16482</v>
      </c>
      <c r="K255" s="404">
        <v>49910.142</v>
      </c>
      <c r="L255" s="11">
        <v>3.17075</v>
      </c>
      <c r="M255" s="405">
        <v>15740.800126153119</v>
      </c>
      <c r="N255" s="11" t="s">
        <v>20155</v>
      </c>
      <c r="O255" s="11" t="s">
        <v>20160</v>
      </c>
      <c r="P255" s="872">
        <v>43809</v>
      </c>
      <c r="Q255" s="423">
        <v>0</v>
      </c>
      <c r="R255" s="423">
        <v>18720</v>
      </c>
      <c r="S255" s="423">
        <v>8400</v>
      </c>
      <c r="T255" s="423">
        <v>0</v>
      </c>
      <c r="U255" s="423">
        <v>27120</v>
      </c>
      <c r="V255" s="11" t="s">
        <v>20155</v>
      </c>
      <c r="W255" s="407">
        <v>0</v>
      </c>
      <c r="X255" s="407">
        <v>29084.655600000002</v>
      </c>
      <c r="Y255" s="407">
        <v>12898.611000000001</v>
      </c>
      <c r="Z255" s="407">
        <v>0</v>
      </c>
      <c r="AA255" s="408"/>
      <c r="AB255" s="408">
        <v>1.5536675000000002</v>
      </c>
      <c r="AC255" s="408">
        <v>1.5355489285714288</v>
      </c>
      <c r="AD255" s="408"/>
      <c r="AE255" s="409"/>
      <c r="AF255" s="410">
        <v>10729.6</v>
      </c>
      <c r="AG255" s="410">
        <v>0.39563421828908557</v>
      </c>
      <c r="AH255" s="411"/>
      <c r="AI255" s="412">
        <v>1.1580332817109147</v>
      </c>
      <c r="AJ255" s="411">
        <v>1.1399147102823433</v>
      </c>
      <c r="AK255" s="411"/>
      <c r="AL255" s="18"/>
      <c r="AM255" s="49"/>
      <c r="AN255" s="2"/>
      <c r="AO255" s="2"/>
    </row>
    <row r="256" spans="1:41" ht="18.600000000000001" hidden="1" customHeight="1">
      <c r="A256" s="14">
        <v>254</v>
      </c>
      <c r="B256" s="11" t="s">
        <v>266</v>
      </c>
      <c r="C256" s="14">
        <v>0</v>
      </c>
      <c r="D256" s="11" t="s">
        <v>17838</v>
      </c>
      <c r="E256" s="11" t="s">
        <v>266</v>
      </c>
      <c r="F256" s="12">
        <v>43804</v>
      </c>
      <c r="G256" s="11">
        <v>2019</v>
      </c>
      <c r="H256" s="11" t="s">
        <v>17017</v>
      </c>
      <c r="I256" s="11" t="s">
        <v>17018</v>
      </c>
      <c r="J256" s="11" t="s">
        <v>3</v>
      </c>
      <c r="K256" s="404">
        <v>22221.752</v>
      </c>
      <c r="L256" s="11">
        <v>1</v>
      </c>
      <c r="M256" s="405">
        <v>22221.752</v>
      </c>
      <c r="N256" s="11" t="s">
        <v>20155</v>
      </c>
      <c r="O256" s="11" t="s">
        <v>20158</v>
      </c>
      <c r="P256" s="872">
        <v>43826</v>
      </c>
      <c r="Q256" s="423">
        <v>0</v>
      </c>
      <c r="R256" s="423">
        <v>1075.2</v>
      </c>
      <c r="S256" s="423">
        <v>10987.2</v>
      </c>
      <c r="T256" s="423">
        <v>710</v>
      </c>
      <c r="U256" s="423">
        <v>12772.400000000001</v>
      </c>
      <c r="V256" s="11" t="s">
        <v>20155</v>
      </c>
      <c r="W256" s="407">
        <v>0</v>
      </c>
      <c r="X256" s="407">
        <v>1789.76</v>
      </c>
      <c r="Y256" s="407">
        <v>17560.392000000003</v>
      </c>
      <c r="Z256" s="407">
        <v>2871.6</v>
      </c>
      <c r="AA256" s="408"/>
      <c r="AB256" s="408">
        <v>1.6645833333333333</v>
      </c>
      <c r="AC256" s="408">
        <v>1.5982590650939277</v>
      </c>
      <c r="AD256" s="408">
        <v>4.044507042253521</v>
      </c>
      <c r="AE256" s="409"/>
      <c r="AF256" s="410">
        <v>0</v>
      </c>
      <c r="AG256" s="410">
        <v>0</v>
      </c>
      <c r="AH256" s="411"/>
      <c r="AI256" s="412">
        <v>1.6645833333333333</v>
      </c>
      <c r="AJ256" s="411">
        <v>1.5982590650939277</v>
      </c>
      <c r="AK256" s="411">
        <v>4.044507042253521</v>
      </c>
      <c r="AL256" s="18"/>
      <c r="AM256" s="49"/>
      <c r="AN256" s="2"/>
      <c r="AO256" s="2"/>
    </row>
    <row r="257" spans="1:41" ht="18.600000000000001" hidden="1" customHeight="1">
      <c r="A257" s="14">
        <v>255</v>
      </c>
      <c r="B257" s="11" t="s">
        <v>267</v>
      </c>
      <c r="C257" s="14">
        <v>0</v>
      </c>
      <c r="D257" s="11" t="s">
        <v>17840</v>
      </c>
      <c r="E257" s="11" t="s">
        <v>267</v>
      </c>
      <c r="F257" s="12">
        <v>43804</v>
      </c>
      <c r="G257" s="11">
        <v>2019</v>
      </c>
      <c r="H257" s="11" t="s">
        <v>17221</v>
      </c>
      <c r="I257" s="11" t="s">
        <v>17222</v>
      </c>
      <c r="J257" s="11" t="s">
        <v>3</v>
      </c>
      <c r="K257" s="404">
        <v>4063.92</v>
      </c>
      <c r="L257" s="11">
        <v>1</v>
      </c>
      <c r="M257" s="405">
        <v>4063.92</v>
      </c>
      <c r="N257" s="11" t="s">
        <v>20155</v>
      </c>
      <c r="O257" s="11" t="s">
        <v>16394</v>
      </c>
      <c r="P257" s="872">
        <v>43810</v>
      </c>
      <c r="Q257" s="423">
        <v>1008</v>
      </c>
      <c r="R257" s="423">
        <v>816</v>
      </c>
      <c r="S257" s="423">
        <v>504</v>
      </c>
      <c r="T257" s="423">
        <v>0</v>
      </c>
      <c r="U257" s="423">
        <v>2328</v>
      </c>
      <c r="V257" s="11" t="s">
        <v>20155</v>
      </c>
      <c r="W257" s="407">
        <v>1764</v>
      </c>
      <c r="X257" s="407">
        <v>1428</v>
      </c>
      <c r="Y257" s="407">
        <v>871.92</v>
      </c>
      <c r="Z257" s="407">
        <v>0</v>
      </c>
      <c r="AA257" s="408">
        <v>1.75</v>
      </c>
      <c r="AB257" s="408">
        <v>1.75</v>
      </c>
      <c r="AC257" s="408">
        <v>1.7300000000000002</v>
      </c>
      <c r="AD257" s="408"/>
      <c r="AE257" s="409"/>
      <c r="AF257" s="410">
        <v>0</v>
      </c>
      <c r="AG257" s="410">
        <v>0</v>
      </c>
      <c r="AH257" s="411">
        <v>1.75</v>
      </c>
      <c r="AI257" s="412">
        <v>1.75</v>
      </c>
      <c r="AJ257" s="411">
        <v>1.7300000000000002</v>
      </c>
      <c r="AK257" s="411"/>
      <c r="AL257" s="18"/>
      <c r="AM257" s="49"/>
      <c r="AN257" s="2"/>
      <c r="AO257" s="2"/>
    </row>
    <row r="258" spans="1:41" ht="18.600000000000001" hidden="1" customHeight="1">
      <c r="A258" s="14">
        <v>256</v>
      </c>
      <c r="B258" s="11" t="s">
        <v>268</v>
      </c>
      <c r="C258" s="14">
        <v>0</v>
      </c>
      <c r="D258" s="11" t="s">
        <v>17841</v>
      </c>
      <c r="E258" s="11" t="s">
        <v>268</v>
      </c>
      <c r="F258" s="12">
        <v>43804</v>
      </c>
      <c r="G258" s="11">
        <v>2019</v>
      </c>
      <c r="H258" s="11" t="s">
        <v>17197</v>
      </c>
      <c r="I258" s="11" t="s">
        <v>17198</v>
      </c>
      <c r="J258" s="11" t="s">
        <v>16401</v>
      </c>
      <c r="K258" s="404">
        <v>436937.4</v>
      </c>
      <c r="L258" s="11">
        <v>2.8557999999999999</v>
      </c>
      <c r="M258" s="405">
        <v>153000</v>
      </c>
      <c r="N258" s="11" t="s">
        <v>20155</v>
      </c>
      <c r="O258" s="11" t="s">
        <v>17939</v>
      </c>
      <c r="P258" s="872">
        <v>43810</v>
      </c>
      <c r="Q258" s="423">
        <v>1008</v>
      </c>
      <c r="R258" s="423">
        <v>288912</v>
      </c>
      <c r="S258" s="423">
        <v>10080</v>
      </c>
      <c r="T258" s="423">
        <v>0</v>
      </c>
      <c r="U258" s="423">
        <v>300000</v>
      </c>
      <c r="V258" s="11" t="s">
        <v>20155</v>
      </c>
      <c r="W258" s="407">
        <v>1468.1096639999998</v>
      </c>
      <c r="X258" s="407">
        <v>420788.19369600015</v>
      </c>
      <c r="Y258" s="407">
        <v>14681.09664</v>
      </c>
      <c r="Z258" s="407">
        <v>0</v>
      </c>
      <c r="AA258" s="408">
        <v>1.4564579999999998</v>
      </c>
      <c r="AB258" s="408">
        <v>1.4564580000000005</v>
      </c>
      <c r="AC258" s="408">
        <v>1.456458</v>
      </c>
      <c r="AD258" s="408"/>
      <c r="AE258" s="409"/>
      <c r="AF258" s="410">
        <v>0</v>
      </c>
      <c r="AG258" s="410">
        <v>0</v>
      </c>
      <c r="AH258" s="411">
        <v>1.4564579999999998</v>
      </c>
      <c r="AI258" s="412">
        <v>1.4564580000000005</v>
      </c>
      <c r="AJ258" s="411">
        <v>1.456458</v>
      </c>
      <c r="AK258" s="411"/>
      <c r="AL258" s="18"/>
      <c r="AM258" s="49"/>
      <c r="AN258" s="2"/>
      <c r="AO258" s="2"/>
    </row>
    <row r="259" spans="1:41" ht="18.600000000000001" hidden="1" customHeight="1">
      <c r="A259" s="14">
        <v>257</v>
      </c>
      <c r="B259" s="11" t="s">
        <v>269</v>
      </c>
      <c r="C259" s="14">
        <v>0</v>
      </c>
      <c r="D259" s="11" t="s">
        <v>17842</v>
      </c>
      <c r="E259" s="11" t="s">
        <v>269</v>
      </c>
      <c r="F259" s="12">
        <v>43805</v>
      </c>
      <c r="G259" s="11">
        <v>2019</v>
      </c>
      <c r="H259" s="11" t="s">
        <v>16838</v>
      </c>
      <c r="I259" s="11" t="s">
        <v>16839</v>
      </c>
      <c r="J259" s="11" t="s">
        <v>3</v>
      </c>
      <c r="K259" s="404">
        <v>294907.2</v>
      </c>
      <c r="L259" s="11">
        <v>1</v>
      </c>
      <c r="M259" s="405">
        <v>294907.2</v>
      </c>
      <c r="N259" s="11" t="s">
        <v>20155</v>
      </c>
      <c r="O259" s="11" t="s">
        <v>17798</v>
      </c>
      <c r="P259" s="872">
        <v>43812</v>
      </c>
      <c r="Q259" s="423">
        <v>0</v>
      </c>
      <c r="R259" s="423">
        <v>220080</v>
      </c>
      <c r="S259" s="423">
        <v>0</v>
      </c>
      <c r="T259" s="423">
        <v>0</v>
      </c>
      <c r="U259" s="423">
        <v>220080</v>
      </c>
      <c r="V259" s="11" t="s">
        <v>20155</v>
      </c>
      <c r="W259" s="407">
        <v>0</v>
      </c>
      <c r="X259" s="407">
        <v>294907.2</v>
      </c>
      <c r="Y259" s="407">
        <v>0</v>
      </c>
      <c r="Z259" s="407">
        <v>0</v>
      </c>
      <c r="AA259" s="408"/>
      <c r="AB259" s="408">
        <v>1.34</v>
      </c>
      <c r="AC259" s="408"/>
      <c r="AD259" s="408"/>
      <c r="AE259" s="409"/>
      <c r="AF259" s="410">
        <v>0</v>
      </c>
      <c r="AG259" s="410">
        <v>0</v>
      </c>
      <c r="AH259" s="411"/>
      <c r="AI259" s="412">
        <v>1.34</v>
      </c>
      <c r="AJ259" s="411"/>
      <c r="AK259" s="411"/>
      <c r="AL259" s="18"/>
      <c r="AM259" s="49"/>
      <c r="AN259" s="2"/>
      <c r="AO259" s="2"/>
    </row>
    <row r="260" spans="1:41" ht="18.600000000000001" hidden="1" customHeight="1">
      <c r="A260" s="14">
        <v>258</v>
      </c>
      <c r="B260" s="11" t="s">
        <v>270</v>
      </c>
      <c r="C260" s="14">
        <v>0</v>
      </c>
      <c r="D260" s="11" t="s">
        <v>17844</v>
      </c>
      <c r="E260" s="11" t="s">
        <v>270</v>
      </c>
      <c r="F260" s="12">
        <v>43805</v>
      </c>
      <c r="G260" s="11">
        <v>2019</v>
      </c>
      <c r="H260" s="11" t="s">
        <v>16838</v>
      </c>
      <c r="I260" s="11" t="s">
        <v>16839</v>
      </c>
      <c r="J260" s="11" t="s">
        <v>3</v>
      </c>
      <c r="K260" s="404">
        <v>36650</v>
      </c>
      <c r="L260" s="11">
        <v>1</v>
      </c>
      <c r="M260" s="405">
        <v>36650</v>
      </c>
      <c r="N260" s="11" t="s">
        <v>20155</v>
      </c>
      <c r="O260" s="11" t="s">
        <v>17771</v>
      </c>
      <c r="P260" s="872">
        <v>43815</v>
      </c>
      <c r="Q260" s="423">
        <v>0</v>
      </c>
      <c r="R260" s="423">
        <v>0</v>
      </c>
      <c r="S260" s="423">
        <v>26000</v>
      </c>
      <c r="T260" s="423">
        <v>0</v>
      </c>
      <c r="U260" s="423">
        <v>26000</v>
      </c>
      <c r="V260" s="11" t="s">
        <v>20155</v>
      </c>
      <c r="W260" s="407">
        <v>0</v>
      </c>
      <c r="X260" s="407">
        <v>0</v>
      </c>
      <c r="Y260" s="407">
        <v>36650</v>
      </c>
      <c r="Z260" s="407">
        <v>0</v>
      </c>
      <c r="AA260" s="408"/>
      <c r="AB260" s="408"/>
      <c r="AC260" s="408">
        <v>1.4096153846153847</v>
      </c>
      <c r="AD260" s="408"/>
      <c r="AE260" s="409"/>
      <c r="AF260" s="410">
        <v>0</v>
      </c>
      <c r="AG260" s="410">
        <v>0</v>
      </c>
      <c r="AH260" s="411"/>
      <c r="AI260" s="412"/>
      <c r="AJ260" s="411">
        <v>1.4096153846153847</v>
      </c>
      <c r="AK260" s="411"/>
      <c r="AL260" s="18"/>
      <c r="AM260" s="49"/>
      <c r="AN260" s="2"/>
      <c r="AO260" s="2"/>
    </row>
    <row r="261" spans="1:41" ht="18.600000000000001" hidden="1" customHeight="1">
      <c r="A261" s="14">
        <v>259</v>
      </c>
      <c r="B261" s="11" t="s">
        <v>271</v>
      </c>
      <c r="C261" s="14">
        <v>0</v>
      </c>
      <c r="D261" s="11" t="s">
        <v>17846</v>
      </c>
      <c r="E261" s="11" t="s">
        <v>271</v>
      </c>
      <c r="F261" s="12">
        <v>43806</v>
      </c>
      <c r="G261" s="11">
        <v>2019</v>
      </c>
      <c r="H261" s="11" t="s">
        <v>16880</v>
      </c>
      <c r="I261" s="11" t="s">
        <v>16881</v>
      </c>
      <c r="J261" s="11" t="s">
        <v>16401</v>
      </c>
      <c r="K261" s="404">
        <v>60810.239999999998</v>
      </c>
      <c r="L261" s="11">
        <v>2.8416000000000001</v>
      </c>
      <c r="M261" s="405">
        <v>21400</v>
      </c>
      <c r="N261" s="11" t="s">
        <v>20155</v>
      </c>
      <c r="O261" s="11" t="s">
        <v>20156</v>
      </c>
      <c r="P261" s="872">
        <v>43817</v>
      </c>
      <c r="Q261" s="423">
        <v>0</v>
      </c>
      <c r="R261" s="423">
        <v>17500</v>
      </c>
      <c r="S261" s="423">
        <v>0</v>
      </c>
      <c r="T261" s="423">
        <v>0</v>
      </c>
      <c r="U261" s="423">
        <v>17500</v>
      </c>
      <c r="V261" s="11" t="s">
        <v>20155</v>
      </c>
      <c r="W261" s="407">
        <v>0</v>
      </c>
      <c r="X261" s="407">
        <v>60810.240000000013</v>
      </c>
      <c r="Y261" s="407">
        <v>0</v>
      </c>
      <c r="Z261" s="407">
        <v>0</v>
      </c>
      <c r="AA261" s="408"/>
      <c r="AB261" s="408">
        <v>3.4748708571428577</v>
      </c>
      <c r="AC261" s="408"/>
      <c r="AD261" s="408"/>
      <c r="AE261" s="409"/>
      <c r="AF261" s="410">
        <v>22764.5</v>
      </c>
      <c r="AG261" s="410">
        <v>1.3008285714285714</v>
      </c>
      <c r="AH261" s="411"/>
      <c r="AI261" s="412">
        <v>2.174042285714286</v>
      </c>
      <c r="AJ261" s="411"/>
      <c r="AK261" s="411"/>
      <c r="AL261" s="18"/>
      <c r="AM261" s="49"/>
      <c r="AN261" s="2"/>
      <c r="AO261" s="2"/>
    </row>
    <row r="262" spans="1:41" ht="18.600000000000001" hidden="1" customHeight="1">
      <c r="A262" s="14">
        <v>260</v>
      </c>
      <c r="B262" s="11" t="s">
        <v>272</v>
      </c>
      <c r="C262" s="14">
        <v>0</v>
      </c>
      <c r="D262" s="11" t="s">
        <v>17848</v>
      </c>
      <c r="E262" s="11" t="s">
        <v>272</v>
      </c>
      <c r="F262" s="12">
        <v>43815</v>
      </c>
      <c r="G262" s="11">
        <v>2019</v>
      </c>
      <c r="H262" s="11" t="s">
        <v>17017</v>
      </c>
      <c r="I262" s="11" t="s">
        <v>17018</v>
      </c>
      <c r="J262" s="11" t="s">
        <v>3</v>
      </c>
      <c r="K262" s="404">
        <v>33461.616000000002</v>
      </c>
      <c r="L262" s="11">
        <v>1</v>
      </c>
      <c r="M262" s="405">
        <v>33461.616000000002</v>
      </c>
      <c r="N262" s="11" t="s">
        <v>20155</v>
      </c>
      <c r="O262" s="11" t="s">
        <v>17238</v>
      </c>
      <c r="P262" s="872">
        <v>43829</v>
      </c>
      <c r="Q262" s="423">
        <v>0</v>
      </c>
      <c r="R262" s="423">
        <v>20157.599999999999</v>
      </c>
      <c r="S262" s="423">
        <v>0</v>
      </c>
      <c r="T262" s="423">
        <v>0</v>
      </c>
      <c r="U262" s="423">
        <v>20157.599999999999</v>
      </c>
      <c r="V262" s="11" t="s">
        <v>20155</v>
      </c>
      <c r="W262" s="407">
        <v>0</v>
      </c>
      <c r="X262" s="407">
        <v>33462.06</v>
      </c>
      <c r="Y262" s="407">
        <v>0</v>
      </c>
      <c r="Z262" s="407">
        <v>0</v>
      </c>
      <c r="AA262" s="408"/>
      <c r="AB262" s="408">
        <v>1.660022026431718</v>
      </c>
      <c r="AC262" s="408"/>
      <c r="AD262" s="408"/>
      <c r="AE262" s="409"/>
      <c r="AF262" s="410">
        <v>0</v>
      </c>
      <c r="AG262" s="410">
        <v>0</v>
      </c>
      <c r="AH262" s="411"/>
      <c r="AI262" s="412">
        <v>1.660022026431718</v>
      </c>
      <c r="AJ262" s="411"/>
      <c r="AK262" s="411"/>
      <c r="AL262" s="18"/>
      <c r="AM262" s="49"/>
      <c r="AN262" s="2"/>
      <c r="AO262" s="2"/>
    </row>
    <row r="263" spans="1:41" ht="18.600000000000001" hidden="1" customHeight="1">
      <c r="A263" s="14">
        <v>261</v>
      </c>
      <c r="B263" s="11" t="s">
        <v>273</v>
      </c>
      <c r="C263" s="14">
        <v>0</v>
      </c>
      <c r="D263" s="11" t="s">
        <v>17849</v>
      </c>
      <c r="E263" s="11" t="s">
        <v>273</v>
      </c>
      <c r="F263" s="12">
        <v>43815</v>
      </c>
      <c r="G263" s="11">
        <v>2019</v>
      </c>
      <c r="H263" s="11" t="s">
        <v>16783</v>
      </c>
      <c r="I263" s="11" t="s">
        <v>16784</v>
      </c>
      <c r="J263" s="11" t="s">
        <v>16401</v>
      </c>
      <c r="K263" s="404">
        <v>407592.951</v>
      </c>
      <c r="L263" s="11">
        <v>2.8469000000000002</v>
      </c>
      <c r="M263" s="405">
        <v>143170.80016860444</v>
      </c>
      <c r="N263" s="11" t="s">
        <v>20155</v>
      </c>
      <c r="O263" s="11" t="s">
        <v>17939</v>
      </c>
      <c r="P263" s="872">
        <v>43823</v>
      </c>
      <c r="Q263" s="423">
        <v>30000</v>
      </c>
      <c r="R263" s="423">
        <v>210480</v>
      </c>
      <c r="S263" s="423">
        <v>33600</v>
      </c>
      <c r="T263" s="423">
        <v>0</v>
      </c>
      <c r="U263" s="423">
        <v>274080</v>
      </c>
      <c r="V263" s="11" t="s">
        <v>20155</v>
      </c>
      <c r="W263" s="407">
        <v>47998.734000000004</v>
      </c>
      <c r="X263" s="407">
        <v>310809.73812000005</v>
      </c>
      <c r="Y263" s="407">
        <v>48784.4784</v>
      </c>
      <c r="Z263" s="407">
        <v>0</v>
      </c>
      <c r="AA263" s="408">
        <v>1.5999578000000001</v>
      </c>
      <c r="AB263" s="408">
        <v>1.4766711237172181</v>
      </c>
      <c r="AC263" s="408">
        <v>1.451919</v>
      </c>
      <c r="AD263" s="408"/>
      <c r="AE263" s="409"/>
      <c r="AF263" s="410">
        <v>0</v>
      </c>
      <c r="AG263" s="410">
        <v>0</v>
      </c>
      <c r="AH263" s="411">
        <v>1.5999578000000001</v>
      </c>
      <c r="AI263" s="412">
        <v>1.4766711237172181</v>
      </c>
      <c r="AJ263" s="411">
        <v>1.451919</v>
      </c>
      <c r="AK263" s="411"/>
      <c r="AL263" s="18"/>
      <c r="AM263" s="49"/>
      <c r="AN263" s="2"/>
      <c r="AO263" s="2"/>
    </row>
    <row r="264" spans="1:41" ht="18.600000000000001" hidden="1" customHeight="1">
      <c r="A264" s="14">
        <v>262</v>
      </c>
      <c r="B264" s="11" t="s">
        <v>274</v>
      </c>
      <c r="C264" s="14">
        <v>0</v>
      </c>
      <c r="D264" s="11" t="s">
        <v>17850</v>
      </c>
      <c r="E264" s="11" t="s">
        <v>274</v>
      </c>
      <c r="F264" s="12">
        <v>43815</v>
      </c>
      <c r="G264" s="11">
        <v>2019</v>
      </c>
      <c r="H264" s="11" t="s">
        <v>17017</v>
      </c>
      <c r="I264" s="11" t="s">
        <v>17018</v>
      </c>
      <c r="J264" s="11" t="s">
        <v>3</v>
      </c>
      <c r="K264" s="404">
        <v>16771.400000000001</v>
      </c>
      <c r="L264" s="11">
        <v>1</v>
      </c>
      <c r="M264" s="405">
        <v>16771.400000000001</v>
      </c>
      <c r="N264" s="11" t="s">
        <v>20155</v>
      </c>
      <c r="O264" s="11" t="s">
        <v>20167</v>
      </c>
      <c r="P264" s="872">
        <v>43818</v>
      </c>
      <c r="Q264" s="423">
        <v>0</v>
      </c>
      <c r="R264" s="423">
        <v>0</v>
      </c>
      <c r="S264" s="423">
        <v>0</v>
      </c>
      <c r="T264" s="423">
        <v>4270</v>
      </c>
      <c r="U264" s="423">
        <v>4270</v>
      </c>
      <c r="V264" s="11" t="s">
        <v>20155</v>
      </c>
      <c r="W264" s="407">
        <v>0</v>
      </c>
      <c r="X264" s="407">
        <v>0</v>
      </c>
      <c r="Y264" s="407">
        <v>0</v>
      </c>
      <c r="Z264" s="407">
        <v>16771.400000000001</v>
      </c>
      <c r="AA264" s="408"/>
      <c r="AB264" s="408"/>
      <c r="AC264" s="408"/>
      <c r="AD264" s="408">
        <v>3.9277283372365344</v>
      </c>
      <c r="AE264" s="409"/>
      <c r="AF264" s="410">
        <v>0</v>
      </c>
      <c r="AG264" s="410">
        <v>0</v>
      </c>
      <c r="AH264" s="411"/>
      <c r="AI264" s="412"/>
      <c r="AJ264" s="411"/>
      <c r="AK264" s="411">
        <v>3.9277283372365344</v>
      </c>
      <c r="AL264" s="18"/>
      <c r="AM264" s="49"/>
      <c r="AN264" s="2"/>
      <c r="AO264" s="2"/>
    </row>
    <row r="265" spans="1:41" ht="18.600000000000001" hidden="1" customHeight="1">
      <c r="A265" s="14">
        <v>263</v>
      </c>
      <c r="B265" s="11" t="s">
        <v>275</v>
      </c>
      <c r="C265" s="14">
        <v>0</v>
      </c>
      <c r="D265" s="11" t="s">
        <v>17851</v>
      </c>
      <c r="E265" s="11" t="s">
        <v>275</v>
      </c>
      <c r="F265" s="12">
        <v>43815</v>
      </c>
      <c r="G265" s="11">
        <v>2019</v>
      </c>
      <c r="H265" s="11" t="s">
        <v>17017</v>
      </c>
      <c r="I265" s="11" t="s">
        <v>17018</v>
      </c>
      <c r="J265" s="11" t="s">
        <v>3</v>
      </c>
      <c r="K265" s="404">
        <v>43108.008000000002</v>
      </c>
      <c r="L265" s="11">
        <v>1</v>
      </c>
      <c r="M265" s="405">
        <v>43108.008000000002</v>
      </c>
      <c r="N265" s="11" t="s">
        <v>20155</v>
      </c>
      <c r="O265" s="11" t="s">
        <v>17954</v>
      </c>
      <c r="P265" s="872">
        <v>43818</v>
      </c>
      <c r="Q265" s="423">
        <v>0</v>
      </c>
      <c r="R265" s="423">
        <v>22389.599999999999</v>
      </c>
      <c r="S265" s="423">
        <v>2400</v>
      </c>
      <c r="T265" s="423">
        <v>0</v>
      </c>
      <c r="U265" s="423">
        <v>24789.599999999999</v>
      </c>
      <c r="V265" s="11" t="s">
        <v>20155</v>
      </c>
      <c r="W265" s="407">
        <v>0</v>
      </c>
      <c r="X265" s="407">
        <v>39148.008000000002</v>
      </c>
      <c r="Y265" s="407">
        <v>3960</v>
      </c>
      <c r="Z265" s="407">
        <v>0</v>
      </c>
      <c r="AA265" s="408"/>
      <c r="AB265" s="408">
        <v>1.7484907278379249</v>
      </c>
      <c r="AC265" s="408">
        <v>1.65</v>
      </c>
      <c r="AD265" s="408"/>
      <c r="AE265" s="409"/>
      <c r="AF265" s="410">
        <v>0</v>
      </c>
      <c r="AG265" s="410">
        <v>0</v>
      </c>
      <c r="AH265" s="411"/>
      <c r="AI265" s="412">
        <v>1.7484907278379249</v>
      </c>
      <c r="AJ265" s="411">
        <v>1.65</v>
      </c>
      <c r="AK265" s="411"/>
      <c r="AL265" s="18"/>
      <c r="AM265" s="49"/>
      <c r="AN265" s="2"/>
      <c r="AO265" s="2"/>
    </row>
    <row r="266" spans="1:41" ht="18.600000000000001" hidden="1" customHeight="1">
      <c r="A266" s="14">
        <v>264</v>
      </c>
      <c r="B266" s="11" t="s">
        <v>276</v>
      </c>
      <c r="C266" s="14">
        <v>0</v>
      </c>
      <c r="D266" s="11" t="s">
        <v>17853</v>
      </c>
      <c r="E266" s="11" t="s">
        <v>276</v>
      </c>
      <c r="F266" s="12">
        <v>43815</v>
      </c>
      <c r="G266" s="11">
        <v>2019</v>
      </c>
      <c r="H266" s="11" t="s">
        <v>16444</v>
      </c>
      <c r="I266" s="11" t="s">
        <v>16445</v>
      </c>
      <c r="J266" s="11" t="s">
        <v>3</v>
      </c>
      <c r="K266" s="404">
        <v>29160</v>
      </c>
      <c r="L266" s="11">
        <v>1</v>
      </c>
      <c r="M266" s="405">
        <v>29160</v>
      </c>
      <c r="N266" s="11" t="s">
        <v>20155</v>
      </c>
      <c r="O266" s="11" t="s">
        <v>17854</v>
      </c>
      <c r="P266" s="872">
        <v>43822</v>
      </c>
      <c r="Q266" s="423">
        <v>18000</v>
      </c>
      <c r="R266" s="423">
        <v>0</v>
      </c>
      <c r="S266" s="423">
        <v>0</v>
      </c>
      <c r="T266" s="423">
        <v>0</v>
      </c>
      <c r="U266" s="423">
        <v>18000</v>
      </c>
      <c r="V266" s="11" t="s">
        <v>20155</v>
      </c>
      <c r="W266" s="407">
        <v>29160</v>
      </c>
      <c r="X266" s="407">
        <v>0</v>
      </c>
      <c r="Y266" s="407">
        <v>0</v>
      </c>
      <c r="Z266" s="407">
        <v>0</v>
      </c>
      <c r="AA266" s="408">
        <v>1.62</v>
      </c>
      <c r="AB266" s="408"/>
      <c r="AC266" s="408"/>
      <c r="AD266" s="408"/>
      <c r="AE266" s="409"/>
      <c r="AF266" s="410">
        <v>0</v>
      </c>
      <c r="AG266" s="410">
        <v>0</v>
      </c>
      <c r="AH266" s="411">
        <v>1.62</v>
      </c>
      <c r="AI266" s="412"/>
      <c r="AJ266" s="411"/>
      <c r="AK266" s="411"/>
      <c r="AL266" s="18"/>
      <c r="AM266" s="49"/>
      <c r="AN266" s="2"/>
      <c r="AO266" s="2"/>
    </row>
    <row r="267" spans="1:41" ht="18.600000000000001" hidden="1" customHeight="1">
      <c r="A267" s="14">
        <v>265</v>
      </c>
      <c r="B267" s="11" t="s">
        <v>277</v>
      </c>
      <c r="C267" s="14">
        <v>0</v>
      </c>
      <c r="D267" s="11" t="s">
        <v>17855</v>
      </c>
      <c r="E267" s="11" t="s">
        <v>277</v>
      </c>
      <c r="F267" s="12">
        <v>43817</v>
      </c>
      <c r="G267" s="11">
        <v>2019</v>
      </c>
      <c r="H267" s="11" t="s">
        <v>16779</v>
      </c>
      <c r="I267" s="11" t="s">
        <v>16780</v>
      </c>
      <c r="J267" s="11" t="s">
        <v>16482</v>
      </c>
      <c r="K267" s="404">
        <v>35565.281999999999</v>
      </c>
      <c r="L267" s="11">
        <v>3.13815</v>
      </c>
      <c r="M267" s="405">
        <v>11333.200133836814</v>
      </c>
      <c r="N267" s="11" t="s">
        <v>20155</v>
      </c>
      <c r="O267" s="11" t="s">
        <v>16394</v>
      </c>
      <c r="P267" s="872">
        <v>43829</v>
      </c>
      <c r="Q267" s="423">
        <v>0</v>
      </c>
      <c r="R267" s="423">
        <v>13080</v>
      </c>
      <c r="S267" s="423">
        <v>3480</v>
      </c>
      <c r="T267" s="423">
        <v>1400</v>
      </c>
      <c r="U267" s="423">
        <v>17960</v>
      </c>
      <c r="V267" s="11" t="s">
        <v>20155</v>
      </c>
      <c r="W267" s="407">
        <v>0</v>
      </c>
      <c r="X267" s="407">
        <v>22165.381079999996</v>
      </c>
      <c r="Y267" s="407">
        <v>5739.0487199999998</v>
      </c>
      <c r="Z267" s="407">
        <v>4679.6092799999997</v>
      </c>
      <c r="AA267" s="408"/>
      <c r="AB267" s="408">
        <v>1.6946009999999996</v>
      </c>
      <c r="AC267" s="408">
        <v>1.6491519310344827</v>
      </c>
      <c r="AD267" s="408">
        <v>3.3425780571428567</v>
      </c>
      <c r="AE267" s="409"/>
      <c r="AF267" s="410">
        <v>3958.06</v>
      </c>
      <c r="AG267" s="410">
        <v>0.22038195991091314</v>
      </c>
      <c r="AH267" s="411"/>
      <c r="AI267" s="412">
        <v>1.4742190400890864</v>
      </c>
      <c r="AJ267" s="411">
        <v>1.4287699711235695</v>
      </c>
      <c r="AK267" s="411">
        <v>3.1221960972319436</v>
      </c>
      <c r="AL267" s="18"/>
      <c r="AM267" s="49"/>
      <c r="AN267" s="2"/>
      <c r="AO267" s="2"/>
    </row>
    <row r="268" spans="1:41" ht="18.600000000000001" hidden="1" customHeight="1">
      <c r="A268" s="14">
        <v>266</v>
      </c>
      <c r="B268" s="11" t="s">
        <v>278</v>
      </c>
      <c r="C268" s="14">
        <v>0</v>
      </c>
      <c r="D268" s="11" t="s">
        <v>17856</v>
      </c>
      <c r="E268" s="11" t="s">
        <v>278</v>
      </c>
      <c r="F268" s="12">
        <v>43818</v>
      </c>
      <c r="G268" s="11">
        <v>2019</v>
      </c>
      <c r="H268" s="11" t="s">
        <v>16384</v>
      </c>
      <c r="I268" s="11" t="s">
        <v>16385</v>
      </c>
      <c r="J268" s="11" t="s">
        <v>3</v>
      </c>
      <c r="K268" s="404">
        <v>36800</v>
      </c>
      <c r="L268" s="11">
        <v>1</v>
      </c>
      <c r="M268" s="405">
        <v>36800</v>
      </c>
      <c r="N268" s="11" t="s">
        <v>20155</v>
      </c>
      <c r="O268" s="11" t="s">
        <v>17771</v>
      </c>
      <c r="P268" s="872">
        <v>43823</v>
      </c>
      <c r="Q268" s="423">
        <v>0</v>
      </c>
      <c r="R268" s="423">
        <v>0</v>
      </c>
      <c r="S268" s="423">
        <v>26000</v>
      </c>
      <c r="T268" s="423">
        <v>0</v>
      </c>
      <c r="U268" s="423">
        <v>26000</v>
      </c>
      <c r="V268" s="11" t="s">
        <v>20155</v>
      </c>
      <c r="W268" s="407">
        <v>0</v>
      </c>
      <c r="X268" s="407">
        <v>0</v>
      </c>
      <c r="Y268" s="407">
        <v>36800</v>
      </c>
      <c r="Z268" s="407">
        <v>0</v>
      </c>
      <c r="AA268" s="408"/>
      <c r="AB268" s="408"/>
      <c r="AC268" s="408">
        <v>1.4153846153846155</v>
      </c>
      <c r="AD268" s="408"/>
      <c r="AE268" s="409"/>
      <c r="AF268" s="410">
        <v>0</v>
      </c>
      <c r="AG268" s="410">
        <v>0</v>
      </c>
      <c r="AH268" s="411"/>
      <c r="AI268" s="412"/>
      <c r="AJ268" s="411">
        <v>1.4153846153846155</v>
      </c>
      <c r="AK268" s="411"/>
      <c r="AL268" s="18"/>
      <c r="AM268" s="49"/>
      <c r="AN268" s="2"/>
      <c r="AO268" s="2"/>
    </row>
    <row r="269" spans="1:41" ht="18.600000000000001" hidden="1" customHeight="1">
      <c r="A269" s="14">
        <v>267</v>
      </c>
      <c r="B269" s="11" t="s">
        <v>279</v>
      </c>
      <c r="C269" s="14">
        <v>0</v>
      </c>
      <c r="D269" s="11" t="s">
        <v>17857</v>
      </c>
      <c r="E269" s="11" t="s">
        <v>279</v>
      </c>
      <c r="F269" s="12">
        <v>43818</v>
      </c>
      <c r="G269" s="11">
        <v>2019</v>
      </c>
      <c r="H269" s="11" t="s">
        <v>16904</v>
      </c>
      <c r="I269" s="11" t="s">
        <v>16905</v>
      </c>
      <c r="J269" s="11" t="s">
        <v>16482</v>
      </c>
      <c r="K269" s="404">
        <v>50168.877999999997</v>
      </c>
      <c r="L269" s="11">
        <v>3.1659000000000002</v>
      </c>
      <c r="M269" s="405">
        <v>15846.64013392716</v>
      </c>
      <c r="N269" s="11" t="s">
        <v>20155</v>
      </c>
      <c r="O269" s="11" t="s">
        <v>20160</v>
      </c>
      <c r="P269" s="872">
        <v>43823</v>
      </c>
      <c r="Q269" s="423">
        <v>0</v>
      </c>
      <c r="R269" s="423">
        <v>17736</v>
      </c>
      <c r="S269" s="423">
        <v>9600</v>
      </c>
      <c r="T269" s="423">
        <v>0</v>
      </c>
      <c r="U269" s="423">
        <v>27336</v>
      </c>
      <c r="V269" s="11" t="s">
        <v>20155</v>
      </c>
      <c r="W269" s="407">
        <v>0</v>
      </c>
      <c r="X269" s="407">
        <v>27513.697175999998</v>
      </c>
      <c r="Y269" s="407">
        <v>14740.430400000001</v>
      </c>
      <c r="Z269" s="407">
        <v>0</v>
      </c>
      <c r="AA269" s="408"/>
      <c r="AB269" s="408">
        <v>1.551291</v>
      </c>
      <c r="AC269" s="408">
        <v>1.5354615</v>
      </c>
      <c r="AD269" s="408"/>
      <c r="AE269" s="409"/>
      <c r="AF269" s="410">
        <v>10729.6</v>
      </c>
      <c r="AG269" s="410">
        <v>0.39250804799531752</v>
      </c>
      <c r="AH269" s="411"/>
      <c r="AI269" s="412">
        <v>1.1587829520046824</v>
      </c>
      <c r="AJ269" s="411">
        <v>1.1429534520046825</v>
      </c>
      <c r="AK269" s="411"/>
      <c r="AL269" s="18"/>
      <c r="AM269" s="49"/>
      <c r="AN269" s="2"/>
      <c r="AO269" s="2"/>
    </row>
    <row r="270" spans="1:41" ht="18.600000000000001" hidden="1" customHeight="1">
      <c r="A270" s="14">
        <v>268</v>
      </c>
      <c r="B270" s="11" t="s">
        <v>280</v>
      </c>
      <c r="C270" s="14">
        <v>0</v>
      </c>
      <c r="D270" s="11" t="s">
        <v>17859</v>
      </c>
      <c r="E270" s="11" t="s">
        <v>280</v>
      </c>
      <c r="F270" s="12">
        <v>43819</v>
      </c>
      <c r="G270" s="11">
        <v>2019</v>
      </c>
      <c r="H270" s="11" t="s">
        <v>16470</v>
      </c>
      <c r="I270" s="11" t="s">
        <v>16471</v>
      </c>
      <c r="J270" s="11" t="s">
        <v>16401</v>
      </c>
      <c r="K270" s="404">
        <v>229137.098</v>
      </c>
      <c r="L270" s="11">
        <v>2.8306499999999999</v>
      </c>
      <c r="M270" s="405">
        <v>80948.58000812534</v>
      </c>
      <c r="N270" s="11" t="s">
        <v>20155</v>
      </c>
      <c r="O270" s="11" t="s">
        <v>20159</v>
      </c>
      <c r="P270" s="872">
        <v>43824</v>
      </c>
      <c r="Q270" s="423">
        <v>19200</v>
      </c>
      <c r="R270" s="423">
        <v>91196</v>
      </c>
      <c r="S270" s="423">
        <v>26000</v>
      </c>
      <c r="T270" s="423">
        <v>0</v>
      </c>
      <c r="U270" s="423">
        <v>136396</v>
      </c>
      <c r="V270" s="11" t="s">
        <v>20155</v>
      </c>
      <c r="W270" s="407">
        <v>29348.179199999999</v>
      </c>
      <c r="X270" s="407">
        <v>121980.01157699995</v>
      </c>
      <c r="Y270" s="407">
        <v>35694.496500000001</v>
      </c>
      <c r="Z270" s="407">
        <v>0</v>
      </c>
      <c r="AA270" s="408">
        <v>1.528551</v>
      </c>
      <c r="AB270" s="408">
        <v>1.3375587918000784</v>
      </c>
      <c r="AC270" s="408">
        <v>1.37286525</v>
      </c>
      <c r="AD270" s="408"/>
      <c r="AE270" s="409"/>
      <c r="AF270" s="410">
        <v>41549.184999999998</v>
      </c>
      <c r="AG270" s="410">
        <v>0.3046217264435907</v>
      </c>
      <c r="AH270" s="411">
        <v>1.2239292735564093</v>
      </c>
      <c r="AI270" s="412">
        <v>1.0329370653564878</v>
      </c>
      <c r="AJ270" s="411">
        <v>1.0682435235564094</v>
      </c>
      <c r="AK270" s="411"/>
      <c r="AL270" s="18"/>
      <c r="AM270" s="49"/>
      <c r="AN270" s="2"/>
      <c r="AO270" s="2"/>
    </row>
    <row r="271" spans="1:41" ht="18.600000000000001" hidden="1" customHeight="1">
      <c r="A271" s="14">
        <v>269</v>
      </c>
      <c r="B271" s="11" t="s">
        <v>281</v>
      </c>
      <c r="C271" s="14">
        <v>0</v>
      </c>
      <c r="D271" s="11" t="s">
        <v>17860</v>
      </c>
      <c r="E271" s="11" t="s">
        <v>281</v>
      </c>
      <c r="F271" s="12">
        <v>43819</v>
      </c>
      <c r="G271" s="11">
        <v>2019</v>
      </c>
      <c r="H271" s="11" t="s">
        <v>16560</v>
      </c>
      <c r="I271" s="11" t="s">
        <v>16561</v>
      </c>
      <c r="J271" s="11" t="s">
        <v>16482</v>
      </c>
      <c r="K271" s="404">
        <v>145724.076</v>
      </c>
      <c r="L271" s="11">
        <v>3.1379000000000001</v>
      </c>
      <c r="M271" s="405">
        <v>46440</v>
      </c>
      <c r="N271" s="11" t="s">
        <v>20155</v>
      </c>
      <c r="O271" s="11" t="s">
        <v>17801</v>
      </c>
      <c r="P271" s="872">
        <v>43827</v>
      </c>
      <c r="Q271" s="423">
        <v>0</v>
      </c>
      <c r="R271" s="423">
        <v>0</v>
      </c>
      <c r="S271" s="423">
        <v>108000</v>
      </c>
      <c r="T271" s="423">
        <v>0</v>
      </c>
      <c r="U271" s="423">
        <v>108000</v>
      </c>
      <c r="V271" s="11" t="s">
        <v>20155</v>
      </c>
      <c r="W271" s="407">
        <v>0</v>
      </c>
      <c r="X271" s="407">
        <v>0</v>
      </c>
      <c r="Y271" s="407">
        <v>145724.076</v>
      </c>
      <c r="Z271" s="407">
        <v>0</v>
      </c>
      <c r="AA271" s="408"/>
      <c r="AB271" s="408"/>
      <c r="AC271" s="408">
        <v>1.349297</v>
      </c>
      <c r="AD271" s="408"/>
      <c r="AE271" s="409"/>
      <c r="AF271" s="410">
        <v>17020.86</v>
      </c>
      <c r="AG271" s="410">
        <v>0.15760055555555555</v>
      </c>
      <c r="AH271" s="411"/>
      <c r="AI271" s="412"/>
      <c r="AJ271" s="411">
        <v>1.1916964444444444</v>
      </c>
      <c r="AK271" s="411"/>
      <c r="AL271" s="18"/>
      <c r="AM271" s="49"/>
      <c r="AN271" s="2"/>
      <c r="AO271" s="2"/>
    </row>
    <row r="272" spans="1:41" ht="18.600000000000001" hidden="1" customHeight="1">
      <c r="A272" s="14">
        <v>1</v>
      </c>
      <c r="B272" s="11" t="s">
        <v>20181</v>
      </c>
      <c r="C272" s="14">
        <v>0</v>
      </c>
      <c r="D272" s="11" t="s">
        <v>17861</v>
      </c>
      <c r="E272" s="11" t="s">
        <v>20181</v>
      </c>
      <c r="F272" s="12">
        <v>43832</v>
      </c>
      <c r="G272" s="11">
        <v>2020</v>
      </c>
      <c r="H272" s="11" t="s">
        <v>16560</v>
      </c>
      <c r="I272" s="11" t="s">
        <v>16561</v>
      </c>
      <c r="J272" s="11" t="s">
        <v>16482</v>
      </c>
      <c r="K272" s="404">
        <v>145663.704</v>
      </c>
      <c r="L272" s="11">
        <v>3.1366000000000001</v>
      </c>
      <c r="M272" s="405">
        <v>46440</v>
      </c>
      <c r="N272" s="11" t="s">
        <v>20155</v>
      </c>
      <c r="O272" s="11" t="s">
        <v>17801</v>
      </c>
      <c r="P272" s="872">
        <v>43838</v>
      </c>
      <c r="Q272" s="423">
        <v>0</v>
      </c>
      <c r="R272" s="423">
        <v>0</v>
      </c>
      <c r="S272" s="423">
        <v>108000</v>
      </c>
      <c r="T272" s="423">
        <v>0</v>
      </c>
      <c r="U272" s="423">
        <v>108000</v>
      </c>
      <c r="V272" s="11" t="s">
        <v>20155</v>
      </c>
      <c r="W272" s="407">
        <v>0</v>
      </c>
      <c r="X272" s="407">
        <v>0</v>
      </c>
      <c r="Y272" s="407">
        <v>145663.704</v>
      </c>
      <c r="Z272" s="407">
        <v>0</v>
      </c>
      <c r="AA272" s="408"/>
      <c r="AB272" s="408"/>
      <c r="AC272" s="408">
        <v>1.348738</v>
      </c>
      <c r="AD272" s="408"/>
      <c r="AE272" s="409"/>
      <c r="AF272" s="410">
        <v>19901.400000000001</v>
      </c>
      <c r="AG272" s="410">
        <v>0.18427222222222223</v>
      </c>
      <c r="AH272" s="411">
        <v>0</v>
      </c>
      <c r="AI272" s="411">
        <v>0</v>
      </c>
      <c r="AJ272" s="411">
        <v>1.1644657777777778</v>
      </c>
      <c r="AK272" s="411">
        <v>0</v>
      </c>
      <c r="AL272" s="18"/>
      <c r="AM272" s="49"/>
      <c r="AN272" s="2"/>
      <c r="AO272" s="2"/>
    </row>
    <row r="273" spans="1:41" ht="18.600000000000001" hidden="1" customHeight="1">
      <c r="A273" s="14">
        <v>2</v>
      </c>
      <c r="B273" s="11" t="s">
        <v>20182</v>
      </c>
      <c r="C273" s="14">
        <v>0</v>
      </c>
      <c r="D273" s="11" t="s">
        <v>17862</v>
      </c>
      <c r="E273" s="11" t="s">
        <v>20182</v>
      </c>
      <c r="F273" s="12">
        <v>43832</v>
      </c>
      <c r="G273" s="11">
        <v>2020</v>
      </c>
      <c r="H273" s="11" t="s">
        <v>16560</v>
      </c>
      <c r="I273" s="11" t="s">
        <v>16561</v>
      </c>
      <c r="J273" s="11" t="s">
        <v>16482</v>
      </c>
      <c r="K273" s="404">
        <v>145561.53599999999</v>
      </c>
      <c r="L273" s="11">
        <v>3.1343999999999999</v>
      </c>
      <c r="M273" s="405">
        <v>46440</v>
      </c>
      <c r="N273" s="11" t="s">
        <v>20155</v>
      </c>
      <c r="O273" s="11" t="s">
        <v>17801</v>
      </c>
      <c r="P273" s="872">
        <v>43839</v>
      </c>
      <c r="Q273" s="423">
        <v>0</v>
      </c>
      <c r="R273" s="423">
        <v>0</v>
      </c>
      <c r="S273" s="423">
        <v>108000</v>
      </c>
      <c r="T273" s="423">
        <v>0</v>
      </c>
      <c r="U273" s="423">
        <v>108000</v>
      </c>
      <c r="V273" s="11" t="s">
        <v>20155</v>
      </c>
      <c r="W273" s="407">
        <v>0</v>
      </c>
      <c r="X273" s="407">
        <v>0</v>
      </c>
      <c r="Y273" s="407">
        <v>145561.53599999999</v>
      </c>
      <c r="Z273" s="407">
        <v>0</v>
      </c>
      <c r="AA273" s="408"/>
      <c r="AB273" s="408"/>
      <c r="AC273" s="408">
        <v>1.3477919999999999</v>
      </c>
      <c r="AD273" s="408"/>
      <c r="AE273" s="409"/>
      <c r="AF273" s="410">
        <v>19306.400000000001</v>
      </c>
      <c r="AG273" s="410">
        <v>0.17876296296296298</v>
      </c>
      <c r="AH273" s="411">
        <v>0</v>
      </c>
      <c r="AI273" s="411">
        <v>0</v>
      </c>
      <c r="AJ273" s="411">
        <v>1.1690290370370369</v>
      </c>
      <c r="AK273" s="411">
        <v>0</v>
      </c>
      <c r="AL273" s="18"/>
      <c r="AM273" s="49"/>
      <c r="AN273" s="2"/>
      <c r="AO273" s="2"/>
    </row>
    <row r="274" spans="1:41" ht="18.600000000000001" hidden="1" customHeight="1">
      <c r="A274" s="14">
        <v>3</v>
      </c>
      <c r="B274" s="11" t="s">
        <v>20183</v>
      </c>
      <c r="C274" s="14">
        <v>0</v>
      </c>
      <c r="D274" s="11" t="s">
        <v>17863</v>
      </c>
      <c r="E274" s="11" t="s">
        <v>20183</v>
      </c>
      <c r="F274" s="12">
        <v>43832</v>
      </c>
      <c r="G274" s="11">
        <v>2020</v>
      </c>
      <c r="H274" s="11" t="s">
        <v>16560</v>
      </c>
      <c r="I274" s="11" t="s">
        <v>16561</v>
      </c>
      <c r="J274" s="11" t="s">
        <v>16482</v>
      </c>
      <c r="K274" s="404">
        <v>145568.50200000001</v>
      </c>
      <c r="L274" s="11">
        <v>3.1345499999999999</v>
      </c>
      <c r="M274" s="405">
        <v>46440</v>
      </c>
      <c r="N274" s="11" t="s">
        <v>20155</v>
      </c>
      <c r="O274" s="11" t="s">
        <v>17801</v>
      </c>
      <c r="P274" s="872">
        <v>43840</v>
      </c>
      <c r="Q274" s="423">
        <v>0</v>
      </c>
      <c r="R274" s="423">
        <v>0</v>
      </c>
      <c r="S274" s="423">
        <v>108000</v>
      </c>
      <c r="T274" s="423">
        <v>0</v>
      </c>
      <c r="U274" s="423">
        <v>108000</v>
      </c>
      <c r="V274" s="11" t="s">
        <v>20155</v>
      </c>
      <c r="W274" s="407">
        <v>0</v>
      </c>
      <c r="X274" s="407">
        <v>0</v>
      </c>
      <c r="Y274" s="407">
        <v>145568.50199999998</v>
      </c>
      <c r="Z274" s="407">
        <v>0</v>
      </c>
      <c r="AA274" s="408"/>
      <c r="AB274" s="408"/>
      <c r="AC274" s="408">
        <v>1.3478564999999998</v>
      </c>
      <c r="AD274" s="408"/>
      <c r="AE274" s="409"/>
      <c r="AF274" s="410">
        <v>19603.900000000001</v>
      </c>
      <c r="AG274" s="410">
        <v>0.18151759259259262</v>
      </c>
      <c r="AH274" s="411">
        <v>0</v>
      </c>
      <c r="AI274" s="411">
        <v>0</v>
      </c>
      <c r="AJ274" s="411">
        <v>1.1663389074074071</v>
      </c>
      <c r="AK274" s="411">
        <v>0</v>
      </c>
      <c r="AL274" s="18"/>
      <c r="AM274" s="49"/>
      <c r="AN274" s="2"/>
      <c r="AO274" s="2"/>
    </row>
    <row r="275" spans="1:41" ht="18.600000000000001" hidden="1" customHeight="1">
      <c r="A275" s="14">
        <v>4</v>
      </c>
      <c r="B275" s="11" t="s">
        <v>20184</v>
      </c>
      <c r="C275" s="14">
        <v>0</v>
      </c>
      <c r="D275" s="11" t="s">
        <v>17864</v>
      </c>
      <c r="E275" s="11" t="s">
        <v>20184</v>
      </c>
      <c r="F275" s="12">
        <v>43832</v>
      </c>
      <c r="G275" s="11">
        <v>2020</v>
      </c>
      <c r="H275" s="11" t="s">
        <v>16560</v>
      </c>
      <c r="I275" s="11" t="s">
        <v>16561</v>
      </c>
      <c r="J275" s="11" t="s">
        <v>16482</v>
      </c>
      <c r="K275" s="404">
        <v>145568.50200000001</v>
      </c>
      <c r="L275" s="11">
        <v>3.1345499999999999</v>
      </c>
      <c r="M275" s="405">
        <v>46440</v>
      </c>
      <c r="N275" s="11" t="s">
        <v>20155</v>
      </c>
      <c r="O275" s="11" t="s">
        <v>17801</v>
      </c>
      <c r="P275" s="872">
        <v>43841</v>
      </c>
      <c r="Q275" s="423">
        <v>0</v>
      </c>
      <c r="R275" s="423">
        <v>0</v>
      </c>
      <c r="S275" s="423">
        <v>108000</v>
      </c>
      <c r="T275" s="423">
        <v>0</v>
      </c>
      <c r="U275" s="423">
        <v>108000</v>
      </c>
      <c r="V275" s="11" t="s">
        <v>20155</v>
      </c>
      <c r="W275" s="407">
        <v>0</v>
      </c>
      <c r="X275" s="407">
        <v>0</v>
      </c>
      <c r="Y275" s="407">
        <v>145568.50199999998</v>
      </c>
      <c r="Z275" s="407">
        <v>0</v>
      </c>
      <c r="AA275" s="408"/>
      <c r="AB275" s="408"/>
      <c r="AC275" s="408">
        <v>1.3478564999999998</v>
      </c>
      <c r="AD275" s="408"/>
      <c r="AE275" s="409"/>
      <c r="AF275" s="410">
        <v>19901.400000000001</v>
      </c>
      <c r="AG275" s="410">
        <v>0.18427222222222223</v>
      </c>
      <c r="AH275" s="411">
        <v>0</v>
      </c>
      <c r="AI275" s="411">
        <v>0</v>
      </c>
      <c r="AJ275" s="411">
        <v>1.1635842777777776</v>
      </c>
      <c r="AK275" s="411">
        <v>0</v>
      </c>
      <c r="AL275" s="18"/>
      <c r="AM275" s="49"/>
      <c r="AN275" s="2"/>
      <c r="AO275" s="2"/>
    </row>
    <row r="276" spans="1:41" ht="18.600000000000001" hidden="1" customHeight="1">
      <c r="A276" s="14">
        <v>5</v>
      </c>
      <c r="B276" s="11" t="s">
        <v>20185</v>
      </c>
      <c r="C276" s="14">
        <v>0</v>
      </c>
      <c r="D276" s="11" t="s">
        <v>17865</v>
      </c>
      <c r="E276" s="11" t="s">
        <v>20185</v>
      </c>
      <c r="F276" s="12">
        <v>43832</v>
      </c>
      <c r="G276" s="11">
        <v>2020</v>
      </c>
      <c r="H276" s="11" t="s">
        <v>17017</v>
      </c>
      <c r="I276" s="11" t="s">
        <v>17018</v>
      </c>
      <c r="J276" s="11" t="s">
        <v>3</v>
      </c>
      <c r="K276" s="404">
        <v>25447.5</v>
      </c>
      <c r="L276" s="11">
        <v>1</v>
      </c>
      <c r="M276" s="405">
        <v>25447.5</v>
      </c>
      <c r="N276" s="11" t="s">
        <v>20155</v>
      </c>
      <c r="O276" s="11" t="s">
        <v>17689</v>
      </c>
      <c r="P276" s="872">
        <v>43836</v>
      </c>
      <c r="Q276" s="423">
        <v>5580</v>
      </c>
      <c r="R276" s="423">
        <v>5700</v>
      </c>
      <c r="S276" s="423">
        <v>2520</v>
      </c>
      <c r="T276" s="423">
        <v>1350</v>
      </c>
      <c r="U276" s="423">
        <v>15150</v>
      </c>
      <c r="V276" s="11" t="s">
        <v>20155</v>
      </c>
      <c r="W276" s="407">
        <v>8814.6</v>
      </c>
      <c r="X276" s="407">
        <v>9777</v>
      </c>
      <c r="Y276" s="407">
        <v>3956.4</v>
      </c>
      <c r="Z276" s="407">
        <v>2899.5</v>
      </c>
      <c r="AA276" s="431">
        <v>1.5796774193548389</v>
      </c>
      <c r="AB276" s="408">
        <v>1.7152631578947368</v>
      </c>
      <c r="AC276" s="408">
        <v>1.57</v>
      </c>
      <c r="AD276" s="408">
        <v>2.1477777777777778</v>
      </c>
      <c r="AE276" s="409"/>
      <c r="AF276" s="410">
        <v>0</v>
      </c>
      <c r="AG276" s="410">
        <v>0</v>
      </c>
      <c r="AH276" s="411">
        <v>1.5796774193548389</v>
      </c>
      <c r="AI276" s="412">
        <v>1.7152631578947368</v>
      </c>
      <c r="AJ276" s="411">
        <v>1.57</v>
      </c>
      <c r="AK276" s="411">
        <v>2.1477777777777778</v>
      </c>
      <c r="AL276" s="18"/>
      <c r="AM276" s="49"/>
      <c r="AN276" s="2"/>
      <c r="AO276" s="2"/>
    </row>
    <row r="277" spans="1:41" ht="18.600000000000001" hidden="1" customHeight="1">
      <c r="A277" s="14">
        <v>6</v>
      </c>
      <c r="B277" s="11" t="s">
        <v>20186</v>
      </c>
      <c r="C277" s="14">
        <v>0</v>
      </c>
      <c r="D277" s="11" t="s">
        <v>17866</v>
      </c>
      <c r="E277" s="11" t="s">
        <v>20186</v>
      </c>
      <c r="F277" s="12">
        <v>43832</v>
      </c>
      <c r="G277" s="11">
        <v>2020</v>
      </c>
      <c r="H277" s="11" t="s">
        <v>16444</v>
      </c>
      <c r="I277" s="11" t="s">
        <v>16445</v>
      </c>
      <c r="J277" s="11" t="s">
        <v>3</v>
      </c>
      <c r="K277" s="404">
        <v>33480</v>
      </c>
      <c r="L277" s="11">
        <v>1</v>
      </c>
      <c r="M277" s="405">
        <v>33480</v>
      </c>
      <c r="N277" s="11" t="s">
        <v>20155</v>
      </c>
      <c r="O277" s="11" t="s">
        <v>17693</v>
      </c>
      <c r="P277" s="872">
        <v>43843</v>
      </c>
      <c r="Q277" s="423">
        <v>21600</v>
      </c>
      <c r="R277" s="423">
        <v>0</v>
      </c>
      <c r="S277" s="423">
        <v>0</v>
      </c>
      <c r="T277" s="423">
        <v>0</v>
      </c>
      <c r="U277" s="423">
        <v>21600</v>
      </c>
      <c r="V277" s="11" t="s">
        <v>20155</v>
      </c>
      <c r="W277" s="407">
        <v>33480</v>
      </c>
      <c r="X277" s="407">
        <v>0</v>
      </c>
      <c r="Y277" s="407">
        <v>0</v>
      </c>
      <c r="Z277" s="407">
        <v>0</v>
      </c>
      <c r="AA277" s="408">
        <v>1.55</v>
      </c>
      <c r="AB277" s="408"/>
      <c r="AC277" s="408"/>
      <c r="AD277" s="408"/>
      <c r="AE277" s="409"/>
      <c r="AF277" s="410">
        <v>0</v>
      </c>
      <c r="AG277" s="410">
        <v>0</v>
      </c>
      <c r="AH277" s="411">
        <v>1.55</v>
      </c>
      <c r="AI277" s="411">
        <v>0</v>
      </c>
      <c r="AJ277" s="411">
        <v>0</v>
      </c>
      <c r="AK277" s="411">
        <v>0</v>
      </c>
      <c r="AL277" s="18"/>
      <c r="AM277" s="49"/>
      <c r="AN277" s="2"/>
      <c r="AO277" s="2"/>
    </row>
    <row r="278" spans="1:41" ht="18.600000000000001" hidden="1" customHeight="1">
      <c r="A278" s="14">
        <v>7</v>
      </c>
      <c r="B278" s="11" t="s">
        <v>20187</v>
      </c>
      <c r="C278" s="14">
        <v>0</v>
      </c>
      <c r="D278" s="11" t="s">
        <v>17868</v>
      </c>
      <c r="E278" s="11" t="s">
        <v>20187</v>
      </c>
      <c r="F278" s="12">
        <v>43832</v>
      </c>
      <c r="G278" s="11">
        <v>2020</v>
      </c>
      <c r="H278" s="11" t="s">
        <v>17156</v>
      </c>
      <c r="I278" s="11" t="s">
        <v>17157</v>
      </c>
      <c r="J278" s="11" t="s">
        <v>3</v>
      </c>
      <c r="K278" s="404">
        <v>31590</v>
      </c>
      <c r="L278" s="11">
        <v>1</v>
      </c>
      <c r="M278" s="405">
        <v>31590</v>
      </c>
      <c r="N278" s="11" t="s">
        <v>20155</v>
      </c>
      <c r="O278" s="11" t="s">
        <v>20161</v>
      </c>
      <c r="P278" s="872">
        <v>43851</v>
      </c>
      <c r="Q278" s="423">
        <v>0</v>
      </c>
      <c r="R278" s="423">
        <v>19500</v>
      </c>
      <c r="S278" s="423">
        <v>0</v>
      </c>
      <c r="T278" s="423">
        <v>0</v>
      </c>
      <c r="U278" s="423">
        <v>19500</v>
      </c>
      <c r="V278" s="11" t="s">
        <v>20155</v>
      </c>
      <c r="W278" s="407">
        <v>0</v>
      </c>
      <c r="X278" s="407">
        <v>31590</v>
      </c>
      <c r="Y278" s="407">
        <v>0</v>
      </c>
      <c r="Z278" s="407">
        <v>0</v>
      </c>
      <c r="AA278" s="408"/>
      <c r="AB278" s="408">
        <v>1.62</v>
      </c>
      <c r="AC278" s="408"/>
      <c r="AD278" s="408"/>
      <c r="AE278" s="409"/>
      <c r="AF278" s="410">
        <v>0</v>
      </c>
      <c r="AG278" s="410">
        <v>0</v>
      </c>
      <c r="AH278" s="411">
        <v>0</v>
      </c>
      <c r="AI278" s="412">
        <v>1.62</v>
      </c>
      <c r="AJ278" s="411">
        <v>0</v>
      </c>
      <c r="AK278" s="411">
        <v>0</v>
      </c>
      <c r="AL278" s="18"/>
      <c r="AM278" s="49"/>
      <c r="AN278" s="2"/>
      <c r="AO278" s="2"/>
    </row>
    <row r="279" spans="1:41" ht="18.600000000000001" hidden="1" customHeight="1">
      <c r="A279" s="14">
        <v>8</v>
      </c>
      <c r="B279" s="11" t="s">
        <v>20188</v>
      </c>
      <c r="C279" s="14">
        <v>0</v>
      </c>
      <c r="D279" s="11" t="s">
        <v>17870</v>
      </c>
      <c r="E279" s="11" t="s">
        <v>20188</v>
      </c>
      <c r="F279" s="12">
        <v>43832</v>
      </c>
      <c r="G279" s="11">
        <v>2020</v>
      </c>
      <c r="H279" s="11" t="s">
        <v>16904</v>
      </c>
      <c r="I279" s="11" t="s">
        <v>16905</v>
      </c>
      <c r="J279" s="11" t="s">
        <v>16482</v>
      </c>
      <c r="K279" s="404">
        <v>41207.845999999998</v>
      </c>
      <c r="L279" s="11">
        <v>3.1332</v>
      </c>
      <c r="M279" s="405">
        <v>13151.999872334993</v>
      </c>
      <c r="N279" s="11" t="s">
        <v>20155</v>
      </c>
      <c r="O279" s="11" t="s">
        <v>20160</v>
      </c>
      <c r="P279" s="872">
        <v>43837</v>
      </c>
      <c r="Q279" s="423">
        <v>0</v>
      </c>
      <c r="R279" s="423">
        <v>21600</v>
      </c>
      <c r="S279" s="423">
        <v>0</v>
      </c>
      <c r="T279" s="423">
        <v>0</v>
      </c>
      <c r="U279" s="423">
        <v>21600</v>
      </c>
      <c r="V279" s="11" t="s">
        <v>20155</v>
      </c>
      <c r="W279" s="407">
        <v>0</v>
      </c>
      <c r="X279" s="407">
        <v>41207.846400000002</v>
      </c>
      <c r="Y279" s="407">
        <v>0</v>
      </c>
      <c r="Z279" s="407">
        <v>0</v>
      </c>
      <c r="AA279" s="408"/>
      <c r="AB279" s="408">
        <v>1.9077706666666667</v>
      </c>
      <c r="AC279" s="408"/>
      <c r="AD279" s="408"/>
      <c r="AE279" s="409"/>
      <c r="AF279" s="410">
        <v>10688.11</v>
      </c>
      <c r="AG279" s="410">
        <v>0.49481990740740744</v>
      </c>
      <c r="AH279" s="411">
        <v>0</v>
      </c>
      <c r="AI279" s="412">
        <v>1.4129507592592594</v>
      </c>
      <c r="AJ279" s="411">
        <v>0</v>
      </c>
      <c r="AK279" s="411">
        <v>0</v>
      </c>
      <c r="AL279" s="18"/>
      <c r="AM279" s="49"/>
      <c r="AN279" s="2"/>
      <c r="AO279" s="2"/>
    </row>
    <row r="280" spans="1:41" ht="18.600000000000001" hidden="1" customHeight="1">
      <c r="A280" s="14">
        <v>9</v>
      </c>
      <c r="B280" s="11" t="s">
        <v>20189</v>
      </c>
      <c r="C280" s="14">
        <v>0</v>
      </c>
      <c r="D280" s="11" t="s">
        <v>17872</v>
      </c>
      <c r="E280" s="11" t="s">
        <v>20189</v>
      </c>
      <c r="F280" s="12">
        <v>43832</v>
      </c>
      <c r="G280" s="11">
        <v>2020</v>
      </c>
      <c r="H280" s="11" t="s">
        <v>16904</v>
      </c>
      <c r="I280" s="11" t="s">
        <v>16905</v>
      </c>
      <c r="J280" s="11" t="s">
        <v>16482</v>
      </c>
      <c r="K280" s="404">
        <v>41207.845999999998</v>
      </c>
      <c r="L280" s="11">
        <v>3.1332</v>
      </c>
      <c r="M280" s="405">
        <v>13151.999872334993</v>
      </c>
      <c r="N280" s="11" t="s">
        <v>20155</v>
      </c>
      <c r="O280" s="11" t="s">
        <v>20160</v>
      </c>
      <c r="P280" s="872">
        <v>43837</v>
      </c>
      <c r="Q280" s="423">
        <v>0</v>
      </c>
      <c r="R280" s="423">
        <v>21600</v>
      </c>
      <c r="S280" s="423">
        <v>0</v>
      </c>
      <c r="T280" s="423">
        <v>0</v>
      </c>
      <c r="U280" s="423">
        <v>21600</v>
      </c>
      <c r="V280" s="11" t="s">
        <v>20155</v>
      </c>
      <c r="W280" s="407">
        <v>0</v>
      </c>
      <c r="X280" s="407">
        <v>41207.846400000002</v>
      </c>
      <c r="Y280" s="407">
        <v>0</v>
      </c>
      <c r="Z280" s="407">
        <v>0</v>
      </c>
      <c r="AA280" s="408"/>
      <c r="AB280" s="408">
        <v>1.9077706666666667</v>
      </c>
      <c r="AC280" s="408"/>
      <c r="AD280" s="408"/>
      <c r="AE280" s="409"/>
      <c r="AF280" s="410">
        <v>10688.11</v>
      </c>
      <c r="AG280" s="410">
        <v>0.49481990740740744</v>
      </c>
      <c r="AH280" s="411">
        <v>0</v>
      </c>
      <c r="AI280" s="412">
        <v>1.4129507592592594</v>
      </c>
      <c r="AJ280" s="411">
        <v>0</v>
      </c>
      <c r="AK280" s="411">
        <v>0</v>
      </c>
      <c r="AL280" s="18"/>
      <c r="AM280" s="49"/>
      <c r="AN280" s="2"/>
      <c r="AO280" s="2"/>
    </row>
    <row r="281" spans="1:41" ht="18.600000000000001" hidden="1" customHeight="1">
      <c r="A281" s="14">
        <v>10</v>
      </c>
      <c r="B281" s="11" t="s">
        <v>20190</v>
      </c>
      <c r="C281" s="14">
        <v>0</v>
      </c>
      <c r="D281" s="11" t="s">
        <v>17874</v>
      </c>
      <c r="E281" s="11" t="s">
        <v>20190</v>
      </c>
      <c r="F281" s="12">
        <v>43832</v>
      </c>
      <c r="G281" s="11">
        <v>2020</v>
      </c>
      <c r="H281" s="11" t="s">
        <v>16880</v>
      </c>
      <c r="I281" s="11" t="s">
        <v>16881</v>
      </c>
      <c r="J281" s="11" t="s">
        <v>16401</v>
      </c>
      <c r="K281" s="404">
        <v>69961.104999999996</v>
      </c>
      <c r="L281" s="11">
        <v>2.8212000000000002</v>
      </c>
      <c r="M281" s="405">
        <v>24798.349992910815</v>
      </c>
      <c r="N281" s="11" t="s">
        <v>20155</v>
      </c>
      <c r="O281" s="11" t="s">
        <v>20156</v>
      </c>
      <c r="P281" s="872">
        <v>43845</v>
      </c>
      <c r="Q281" s="423">
        <v>360</v>
      </c>
      <c r="R281" s="423">
        <v>19985</v>
      </c>
      <c r="S281" s="423">
        <v>0</v>
      </c>
      <c r="T281" s="423">
        <v>0</v>
      </c>
      <c r="U281" s="423">
        <v>20345</v>
      </c>
      <c r="V281" s="11" t="s">
        <v>20155</v>
      </c>
      <c r="W281" s="407">
        <v>1030.8664799999999</v>
      </c>
      <c r="X281" s="407">
        <v>68930.238540000006</v>
      </c>
      <c r="Y281" s="407">
        <v>0</v>
      </c>
      <c r="Z281" s="407">
        <v>0</v>
      </c>
      <c r="AA281" s="408">
        <v>2.8635179999999996</v>
      </c>
      <c r="AB281" s="408">
        <v>3.4490987510632976</v>
      </c>
      <c r="AC281" s="408"/>
      <c r="AD281" s="408"/>
      <c r="AE281" s="409"/>
      <c r="AF281" s="410">
        <v>1688.694</v>
      </c>
      <c r="AG281" s="410">
        <v>8.3002899975423941E-2</v>
      </c>
      <c r="AH281" s="411">
        <v>2.7805151000245756</v>
      </c>
      <c r="AI281" s="412">
        <v>3.3660958510878736</v>
      </c>
      <c r="AJ281" s="411">
        <v>0</v>
      </c>
      <c r="AK281" s="411">
        <v>0</v>
      </c>
      <c r="AL281" s="18"/>
      <c r="AM281" s="49"/>
      <c r="AN281" s="2"/>
      <c r="AO281" s="2"/>
    </row>
    <row r="282" spans="1:41" ht="18.600000000000001" hidden="1" customHeight="1">
      <c r="A282" s="14">
        <v>11</v>
      </c>
      <c r="B282" s="11" t="s">
        <v>20191</v>
      </c>
      <c r="C282" s="14">
        <v>0</v>
      </c>
      <c r="D282" s="11" t="s">
        <v>17876</v>
      </c>
      <c r="E282" s="11" t="s">
        <v>20191</v>
      </c>
      <c r="F282" s="12">
        <v>43832</v>
      </c>
      <c r="G282" s="11">
        <v>2020</v>
      </c>
      <c r="H282" s="11" t="s">
        <v>17209</v>
      </c>
      <c r="I282" s="11" t="s">
        <v>17210</v>
      </c>
      <c r="J282" s="11" t="s">
        <v>16401</v>
      </c>
      <c r="K282" s="404">
        <v>6307.7809999999999</v>
      </c>
      <c r="L282" s="11">
        <v>2.81975</v>
      </c>
      <c r="M282" s="405">
        <v>2237.000088660342</v>
      </c>
      <c r="N282" s="11" t="s">
        <v>20155</v>
      </c>
      <c r="O282" s="11" t="s">
        <v>20168</v>
      </c>
      <c r="P282" s="872">
        <v>43840</v>
      </c>
      <c r="Q282" s="423">
        <v>3600</v>
      </c>
      <c r="R282" s="423">
        <v>0</v>
      </c>
      <c r="S282" s="423">
        <v>0</v>
      </c>
      <c r="T282" s="423">
        <v>0</v>
      </c>
      <c r="U282" s="423">
        <v>3600</v>
      </c>
      <c r="V282" s="11" t="s">
        <v>20155</v>
      </c>
      <c r="W282" s="407">
        <v>5786.1270000000004</v>
      </c>
      <c r="X282" s="407">
        <v>0</v>
      </c>
      <c r="Y282" s="407">
        <v>0</v>
      </c>
      <c r="Z282" s="407">
        <v>0</v>
      </c>
      <c r="AA282" s="408">
        <v>1.6072575</v>
      </c>
      <c r="AB282" s="408"/>
      <c r="AC282" s="408"/>
      <c r="AD282" s="408"/>
      <c r="AE282" s="409"/>
      <c r="AF282" s="410">
        <v>1032.3399999999999</v>
      </c>
      <c r="AG282" s="410">
        <v>0.28676111111111108</v>
      </c>
      <c r="AH282" s="411">
        <v>1.320496388888889</v>
      </c>
      <c r="AI282" s="411">
        <v>0</v>
      </c>
      <c r="AJ282" s="411">
        <v>0</v>
      </c>
      <c r="AK282" s="411">
        <v>0</v>
      </c>
      <c r="AL282" s="18"/>
      <c r="AM282" s="49"/>
      <c r="AN282" s="2"/>
      <c r="AO282" s="2"/>
    </row>
    <row r="283" spans="1:41" ht="18.600000000000001" hidden="1" customHeight="1">
      <c r="A283" s="14">
        <v>12</v>
      </c>
      <c r="B283" s="11" t="s">
        <v>20192</v>
      </c>
      <c r="C283" s="14">
        <v>0</v>
      </c>
      <c r="D283" s="11" t="s">
        <v>17877</v>
      </c>
      <c r="E283" s="11" t="s">
        <v>20192</v>
      </c>
      <c r="F283" s="12">
        <v>43832</v>
      </c>
      <c r="G283" s="11">
        <v>2020</v>
      </c>
      <c r="H283" s="11" t="s">
        <v>16444</v>
      </c>
      <c r="I283" s="11" t="s">
        <v>16445</v>
      </c>
      <c r="J283" s="11" t="s">
        <v>3</v>
      </c>
      <c r="K283" s="404">
        <v>30144</v>
      </c>
      <c r="L283" s="11">
        <v>1</v>
      </c>
      <c r="M283" s="405">
        <v>30144</v>
      </c>
      <c r="N283" s="11" t="s">
        <v>20155</v>
      </c>
      <c r="O283" s="11" t="s">
        <v>20177</v>
      </c>
      <c r="P283" s="872">
        <v>43843</v>
      </c>
      <c r="Q283" s="423">
        <v>19200</v>
      </c>
      <c r="R283" s="423">
        <v>0</v>
      </c>
      <c r="S283" s="423">
        <v>0</v>
      </c>
      <c r="T283" s="423">
        <v>0</v>
      </c>
      <c r="U283" s="423">
        <v>19200</v>
      </c>
      <c r="V283" s="11" t="s">
        <v>20155</v>
      </c>
      <c r="W283" s="407">
        <v>30144</v>
      </c>
      <c r="X283" s="407">
        <v>0</v>
      </c>
      <c r="Y283" s="407">
        <v>0</v>
      </c>
      <c r="Z283" s="407">
        <v>0</v>
      </c>
      <c r="AA283" s="408">
        <v>1.57</v>
      </c>
      <c r="AB283" s="408"/>
      <c r="AC283" s="408"/>
      <c r="AD283" s="408"/>
      <c r="AE283" s="409"/>
      <c r="AF283" s="410">
        <v>0</v>
      </c>
      <c r="AG283" s="410">
        <v>0</v>
      </c>
      <c r="AH283" s="411">
        <v>1.57</v>
      </c>
      <c r="AI283" s="411">
        <v>0</v>
      </c>
      <c r="AJ283" s="411">
        <v>0</v>
      </c>
      <c r="AK283" s="411">
        <v>0</v>
      </c>
      <c r="AL283" s="18"/>
      <c r="AM283" s="49"/>
      <c r="AN283" s="2"/>
      <c r="AO283" s="2"/>
    </row>
    <row r="284" spans="1:41" ht="18.600000000000001" hidden="1" customHeight="1">
      <c r="A284" s="14">
        <v>13</v>
      </c>
      <c r="B284" s="11" t="s">
        <v>20193</v>
      </c>
      <c r="C284" s="14">
        <v>0</v>
      </c>
      <c r="D284" s="11" t="s">
        <v>17878</v>
      </c>
      <c r="E284" s="11" t="s">
        <v>20193</v>
      </c>
      <c r="F284" s="12">
        <v>43832</v>
      </c>
      <c r="G284" s="11">
        <v>2020</v>
      </c>
      <c r="H284" s="11" t="s">
        <v>16957</v>
      </c>
      <c r="I284" s="11" t="s">
        <v>16958</v>
      </c>
      <c r="J284" s="11" t="s">
        <v>16401</v>
      </c>
      <c r="K284" s="404">
        <v>38912.550000000003</v>
      </c>
      <c r="L284" s="11">
        <v>2.81975</v>
      </c>
      <c r="M284" s="405">
        <v>13800.000000000002</v>
      </c>
      <c r="N284" s="11" t="s">
        <v>20155</v>
      </c>
      <c r="O284" s="11" t="s">
        <v>20161</v>
      </c>
      <c r="P284" s="872">
        <v>43841</v>
      </c>
      <c r="Q284" s="423">
        <v>20000</v>
      </c>
      <c r="R284" s="423">
        <v>0</v>
      </c>
      <c r="S284" s="423">
        <v>0</v>
      </c>
      <c r="T284" s="423">
        <v>0</v>
      </c>
      <c r="U284" s="423">
        <v>20000</v>
      </c>
      <c r="V284" s="11" t="s">
        <v>20155</v>
      </c>
      <c r="W284" s="407">
        <v>38912.550000000003</v>
      </c>
      <c r="X284" s="407">
        <v>0</v>
      </c>
      <c r="Y284" s="407">
        <v>0</v>
      </c>
      <c r="Z284" s="407">
        <v>0</v>
      </c>
      <c r="AA284" s="408">
        <v>1.9456275000000001</v>
      </c>
      <c r="AB284" s="408"/>
      <c r="AC284" s="408"/>
      <c r="AD284" s="408"/>
      <c r="AE284" s="409"/>
      <c r="AF284" s="410">
        <v>4550.0550000000003</v>
      </c>
      <c r="AG284" s="410">
        <v>0.22750275</v>
      </c>
      <c r="AH284" s="411">
        <v>1.7181247500000001</v>
      </c>
      <c r="AI284" s="411">
        <v>0</v>
      </c>
      <c r="AJ284" s="411">
        <v>0</v>
      </c>
      <c r="AK284" s="411">
        <v>0</v>
      </c>
      <c r="AL284" s="18"/>
      <c r="AM284" s="49"/>
      <c r="AN284" s="2"/>
      <c r="AO284" s="2"/>
    </row>
    <row r="285" spans="1:41" ht="18.600000000000001" hidden="1" customHeight="1">
      <c r="A285" s="14">
        <v>14</v>
      </c>
      <c r="B285" s="11" t="s">
        <v>20194</v>
      </c>
      <c r="C285" s="14">
        <v>0</v>
      </c>
      <c r="D285" s="11" t="s">
        <v>17880</v>
      </c>
      <c r="E285" s="11" t="s">
        <v>20194</v>
      </c>
      <c r="F285" s="12">
        <v>43836</v>
      </c>
      <c r="G285" s="11">
        <v>2020</v>
      </c>
      <c r="H285" s="11" t="s">
        <v>17223</v>
      </c>
      <c r="I285" s="11" t="s">
        <v>17224</v>
      </c>
      <c r="J285" s="11" t="s">
        <v>3</v>
      </c>
      <c r="K285" s="404">
        <v>36400</v>
      </c>
      <c r="L285" s="11">
        <v>1</v>
      </c>
      <c r="M285" s="405">
        <v>36400</v>
      </c>
      <c r="N285" s="11" t="s">
        <v>20155</v>
      </c>
      <c r="O285" s="11" t="s">
        <v>20195</v>
      </c>
      <c r="P285" s="872">
        <v>43847</v>
      </c>
      <c r="Q285" s="423">
        <v>0</v>
      </c>
      <c r="R285" s="423">
        <v>0</v>
      </c>
      <c r="S285" s="423">
        <v>28000</v>
      </c>
      <c r="T285" s="423">
        <v>0</v>
      </c>
      <c r="U285" s="423">
        <v>28000</v>
      </c>
      <c r="V285" s="11" t="s">
        <v>20155</v>
      </c>
      <c r="W285" s="407">
        <v>0</v>
      </c>
      <c r="X285" s="407">
        <v>0</v>
      </c>
      <c r="Y285" s="407">
        <v>36400</v>
      </c>
      <c r="Z285" s="407">
        <v>0</v>
      </c>
      <c r="AA285" s="408"/>
      <c r="AB285" s="408"/>
      <c r="AC285" s="408">
        <v>1.3</v>
      </c>
      <c r="AD285" s="408"/>
      <c r="AE285" s="409"/>
      <c r="AF285" s="410">
        <v>0</v>
      </c>
      <c r="AG285" s="410">
        <v>0</v>
      </c>
      <c r="AH285" s="411">
        <v>0</v>
      </c>
      <c r="AI285" s="411">
        <v>0</v>
      </c>
      <c r="AJ285" s="411">
        <v>1.3</v>
      </c>
      <c r="AK285" s="411">
        <v>0</v>
      </c>
      <c r="AL285" s="18"/>
      <c r="AM285" s="49"/>
      <c r="AN285" s="2"/>
      <c r="AO285" s="2"/>
    </row>
    <row r="286" spans="1:41" ht="18.600000000000001" hidden="1" customHeight="1">
      <c r="A286" s="14">
        <v>15</v>
      </c>
      <c r="B286" s="11" t="s">
        <v>20196</v>
      </c>
      <c r="C286" s="14">
        <v>0</v>
      </c>
      <c r="D286" s="11" t="s">
        <v>17882</v>
      </c>
      <c r="E286" s="11" t="s">
        <v>20196</v>
      </c>
      <c r="F286" s="12">
        <v>43839</v>
      </c>
      <c r="G286" s="11">
        <v>2020</v>
      </c>
      <c r="H286" s="11" t="s">
        <v>16783</v>
      </c>
      <c r="I286" s="11" t="s">
        <v>16784</v>
      </c>
      <c r="J286" s="11" t="s">
        <v>16401</v>
      </c>
      <c r="K286" s="404">
        <v>117599.867</v>
      </c>
      <c r="L286" s="11">
        <v>2.8267500000000001</v>
      </c>
      <c r="M286" s="405">
        <v>41602.500044220389</v>
      </c>
      <c r="N286" s="11" t="s">
        <v>20155</v>
      </c>
      <c r="O286" s="11" t="s">
        <v>17939</v>
      </c>
      <c r="P286" s="872">
        <v>43843</v>
      </c>
      <c r="Q286" s="423">
        <v>0</v>
      </c>
      <c r="R286" s="423">
        <v>0</v>
      </c>
      <c r="S286" s="423">
        <v>0</v>
      </c>
      <c r="T286" s="423">
        <v>35250</v>
      </c>
      <c r="U286" s="423">
        <v>35250</v>
      </c>
      <c r="V286" s="11" t="s">
        <v>20155</v>
      </c>
      <c r="W286" s="407">
        <v>0</v>
      </c>
      <c r="X286" s="407">
        <v>0</v>
      </c>
      <c r="Y286" s="407">
        <v>0</v>
      </c>
      <c r="Z286" s="407">
        <v>117599.86687500001</v>
      </c>
      <c r="AA286" s="408"/>
      <c r="AB286" s="408"/>
      <c r="AC286" s="408"/>
      <c r="AD286" s="408">
        <v>3.3361664361702128</v>
      </c>
      <c r="AE286" s="409"/>
      <c r="AF286" s="410">
        <v>0</v>
      </c>
      <c r="AG286" s="410">
        <v>0</v>
      </c>
      <c r="AH286" s="411">
        <v>0</v>
      </c>
      <c r="AI286" s="411">
        <v>0</v>
      </c>
      <c r="AJ286" s="411">
        <v>0</v>
      </c>
      <c r="AK286" s="411">
        <v>3.3361664361702128</v>
      </c>
      <c r="AL286" s="18"/>
      <c r="AM286" s="49"/>
      <c r="AN286" s="2"/>
      <c r="AO286" s="2"/>
    </row>
    <row r="287" spans="1:41" ht="18.600000000000001" hidden="1" customHeight="1">
      <c r="A287" s="14">
        <v>16</v>
      </c>
      <c r="B287" s="11" t="s">
        <v>20197</v>
      </c>
      <c r="C287" s="14">
        <v>0</v>
      </c>
      <c r="D287" s="11" t="s">
        <v>17883</v>
      </c>
      <c r="E287" s="11" t="s">
        <v>20197</v>
      </c>
      <c r="F287" s="12">
        <v>43839</v>
      </c>
      <c r="G287" s="11">
        <v>2020</v>
      </c>
      <c r="H287" s="11" t="s">
        <v>16972</v>
      </c>
      <c r="I287" s="11" t="s">
        <v>16973</v>
      </c>
      <c r="J287" s="11" t="s">
        <v>3</v>
      </c>
      <c r="K287" s="404">
        <v>347200</v>
      </c>
      <c r="L287" s="11">
        <v>1</v>
      </c>
      <c r="M287" s="405">
        <v>347200</v>
      </c>
      <c r="N287" s="11" t="s">
        <v>20155</v>
      </c>
      <c r="O287" s="11" t="s">
        <v>17801</v>
      </c>
      <c r="P287" s="872">
        <v>43851</v>
      </c>
      <c r="Q287" s="423">
        <v>0</v>
      </c>
      <c r="R287" s="423">
        <v>0</v>
      </c>
      <c r="S287" s="423">
        <v>280000</v>
      </c>
      <c r="T287" s="423">
        <v>0</v>
      </c>
      <c r="U287" s="423">
        <v>280000</v>
      </c>
      <c r="V287" s="11" t="s">
        <v>20155</v>
      </c>
      <c r="W287" s="407">
        <v>0</v>
      </c>
      <c r="X287" s="407">
        <v>0</v>
      </c>
      <c r="Y287" s="407">
        <v>347200</v>
      </c>
      <c r="Z287" s="407">
        <v>0</v>
      </c>
      <c r="AA287" s="408"/>
      <c r="AB287" s="408"/>
      <c r="AC287" s="408">
        <v>1.24</v>
      </c>
      <c r="AD287" s="408"/>
      <c r="AE287" s="409"/>
      <c r="AF287" s="410">
        <v>0</v>
      </c>
      <c r="AG287" s="410">
        <v>0</v>
      </c>
      <c r="AH287" s="411">
        <v>0</v>
      </c>
      <c r="AI287" s="411">
        <v>0</v>
      </c>
      <c r="AJ287" s="411">
        <v>1.24</v>
      </c>
      <c r="AK287" s="411">
        <v>0</v>
      </c>
      <c r="AL287" s="18"/>
      <c r="AM287" s="49"/>
      <c r="AN287" s="2"/>
      <c r="AO287" s="2"/>
    </row>
    <row r="288" spans="1:41" ht="18.600000000000001" hidden="1" customHeight="1">
      <c r="A288" s="14">
        <v>17</v>
      </c>
      <c r="B288" s="11" t="s">
        <v>20198</v>
      </c>
      <c r="C288" s="14">
        <v>0</v>
      </c>
      <c r="D288" s="11" t="s">
        <v>17885</v>
      </c>
      <c r="E288" s="11" t="s">
        <v>20198</v>
      </c>
      <c r="F288" s="12">
        <v>43839</v>
      </c>
      <c r="G288" s="11">
        <v>2020</v>
      </c>
      <c r="H288" s="11" t="s">
        <v>16972</v>
      </c>
      <c r="I288" s="11" t="s">
        <v>16973</v>
      </c>
      <c r="J288" s="11" t="s">
        <v>3</v>
      </c>
      <c r="K288" s="404">
        <v>347200</v>
      </c>
      <c r="L288" s="11">
        <v>1</v>
      </c>
      <c r="M288" s="405">
        <v>347200</v>
      </c>
      <c r="N288" s="11" t="s">
        <v>20155</v>
      </c>
      <c r="O288" s="11" t="s">
        <v>17801</v>
      </c>
      <c r="P288" s="872">
        <v>43858</v>
      </c>
      <c r="Q288" s="423">
        <v>0</v>
      </c>
      <c r="R288" s="423">
        <v>0</v>
      </c>
      <c r="S288" s="423">
        <v>280000</v>
      </c>
      <c r="T288" s="423">
        <v>0</v>
      </c>
      <c r="U288" s="423">
        <v>280000</v>
      </c>
      <c r="V288" s="11" t="s">
        <v>20155</v>
      </c>
      <c r="W288" s="407">
        <v>0</v>
      </c>
      <c r="X288" s="407">
        <v>0</v>
      </c>
      <c r="Y288" s="407">
        <v>347200</v>
      </c>
      <c r="Z288" s="407">
        <v>0</v>
      </c>
      <c r="AA288" s="408"/>
      <c r="AB288" s="408"/>
      <c r="AC288" s="408">
        <v>1.24</v>
      </c>
      <c r="AD288" s="408"/>
      <c r="AE288" s="409"/>
      <c r="AF288" s="410">
        <v>0</v>
      </c>
      <c r="AG288" s="410">
        <v>0</v>
      </c>
      <c r="AH288" s="411">
        <v>0</v>
      </c>
      <c r="AI288" s="411">
        <v>0</v>
      </c>
      <c r="AJ288" s="411">
        <v>1.24</v>
      </c>
      <c r="AK288" s="411">
        <v>0</v>
      </c>
      <c r="AL288" s="18"/>
      <c r="AM288" s="49"/>
      <c r="AN288" s="2"/>
      <c r="AO288" s="2"/>
    </row>
    <row r="289" spans="1:41" ht="18.600000000000001" hidden="1" customHeight="1">
      <c r="A289" s="14">
        <v>18</v>
      </c>
      <c r="B289" s="11" t="s">
        <v>20199</v>
      </c>
      <c r="C289" s="14">
        <v>0</v>
      </c>
      <c r="D289" s="11" t="s">
        <v>17886</v>
      </c>
      <c r="E289" s="11" t="s">
        <v>20199</v>
      </c>
      <c r="F289" s="12">
        <v>43840</v>
      </c>
      <c r="G289" s="11">
        <v>2020</v>
      </c>
      <c r="H289" s="11" t="s">
        <v>17017</v>
      </c>
      <c r="I289" s="11" t="s">
        <v>17018</v>
      </c>
      <c r="J289" s="11" t="s">
        <v>3</v>
      </c>
      <c r="K289" s="404">
        <v>57120</v>
      </c>
      <c r="L289" s="11">
        <v>1</v>
      </c>
      <c r="M289" s="405">
        <v>57120</v>
      </c>
      <c r="N289" s="11" t="s">
        <v>20155</v>
      </c>
      <c r="O289" s="11" t="s">
        <v>20158</v>
      </c>
      <c r="P289" s="872">
        <v>43846</v>
      </c>
      <c r="Q289" s="423">
        <v>0</v>
      </c>
      <c r="R289" s="423">
        <v>0</v>
      </c>
      <c r="S289" s="423">
        <v>33600</v>
      </c>
      <c r="T289" s="423">
        <v>0</v>
      </c>
      <c r="U289" s="423">
        <v>33600</v>
      </c>
      <c r="V289" s="11" t="s">
        <v>20155</v>
      </c>
      <c r="W289" s="407">
        <v>0</v>
      </c>
      <c r="X289" s="407">
        <v>0</v>
      </c>
      <c r="Y289" s="407">
        <v>57120</v>
      </c>
      <c r="Z289" s="407">
        <v>0</v>
      </c>
      <c r="AA289" s="431"/>
      <c r="AB289" s="408"/>
      <c r="AC289" s="408">
        <v>1.7</v>
      </c>
      <c r="AD289" s="408"/>
      <c r="AE289" s="409"/>
      <c r="AF289" s="410">
        <v>0</v>
      </c>
      <c r="AG289" s="410">
        <v>0</v>
      </c>
      <c r="AH289" s="411">
        <v>0</v>
      </c>
      <c r="AI289" s="411">
        <v>0</v>
      </c>
      <c r="AJ289" s="411">
        <v>1.7</v>
      </c>
      <c r="AK289" s="411">
        <v>0</v>
      </c>
      <c r="AL289" s="18"/>
      <c r="AM289" s="49"/>
      <c r="AN289" s="2"/>
      <c r="AO289" s="2"/>
    </row>
    <row r="290" spans="1:41" ht="18.600000000000001" hidden="1" customHeight="1">
      <c r="A290" s="14">
        <v>19</v>
      </c>
      <c r="B290" s="11" t="s">
        <v>20200</v>
      </c>
      <c r="C290" s="14">
        <v>0</v>
      </c>
      <c r="D290" s="11" t="s">
        <v>17888</v>
      </c>
      <c r="E290" s="11" t="s">
        <v>20200</v>
      </c>
      <c r="F290" s="12">
        <v>43840</v>
      </c>
      <c r="G290" s="11">
        <v>2020</v>
      </c>
      <c r="H290" s="11" t="s">
        <v>17017</v>
      </c>
      <c r="I290" s="11" t="s">
        <v>17018</v>
      </c>
      <c r="J290" s="11" t="s">
        <v>3</v>
      </c>
      <c r="K290" s="404">
        <v>11018.4</v>
      </c>
      <c r="L290" s="11">
        <v>1</v>
      </c>
      <c r="M290" s="405">
        <v>11018.4</v>
      </c>
      <c r="N290" s="11" t="s">
        <v>20155</v>
      </c>
      <c r="O290" s="11" t="s">
        <v>20172</v>
      </c>
      <c r="P290" s="872">
        <v>43893</v>
      </c>
      <c r="Q290" s="423">
        <v>0</v>
      </c>
      <c r="R290" s="423">
        <v>3396</v>
      </c>
      <c r="S290" s="423">
        <v>3000</v>
      </c>
      <c r="T290" s="423">
        <v>0</v>
      </c>
      <c r="U290" s="423">
        <v>6396</v>
      </c>
      <c r="V290" s="11" t="s">
        <v>20155</v>
      </c>
      <c r="W290" s="407">
        <v>0</v>
      </c>
      <c r="X290" s="407">
        <v>6188.4</v>
      </c>
      <c r="Y290" s="407">
        <v>4830</v>
      </c>
      <c r="Z290" s="407">
        <v>0</v>
      </c>
      <c r="AA290" s="431"/>
      <c r="AB290" s="408">
        <v>1.8222614840989397</v>
      </c>
      <c r="AC290" s="408">
        <v>1.61</v>
      </c>
      <c r="AD290" s="408"/>
      <c r="AE290" s="409"/>
      <c r="AF290" s="410">
        <v>0</v>
      </c>
      <c r="AG290" s="410">
        <v>0</v>
      </c>
      <c r="AH290" s="411">
        <v>0</v>
      </c>
      <c r="AI290" s="412">
        <v>1.8222614840989397</v>
      </c>
      <c r="AJ290" s="411">
        <v>1.61</v>
      </c>
      <c r="AK290" s="411">
        <v>0</v>
      </c>
      <c r="AL290" s="18"/>
      <c r="AM290" s="49"/>
      <c r="AN290" s="2"/>
      <c r="AO290" s="2"/>
    </row>
    <row r="291" spans="1:41" ht="18.600000000000001" hidden="1" customHeight="1">
      <c r="A291" s="14">
        <v>20</v>
      </c>
      <c r="B291" s="11" t="s">
        <v>20201</v>
      </c>
      <c r="C291" s="14">
        <v>0</v>
      </c>
      <c r="D291" s="11" t="s">
        <v>17890</v>
      </c>
      <c r="E291" s="11" t="s">
        <v>20201</v>
      </c>
      <c r="F291" s="12">
        <v>43845</v>
      </c>
      <c r="G291" s="11">
        <v>2020</v>
      </c>
      <c r="H291" s="11" t="s">
        <v>17226</v>
      </c>
      <c r="I291" s="11" t="s">
        <v>17227</v>
      </c>
      <c r="J291" s="11" t="s">
        <v>3</v>
      </c>
      <c r="K291" s="404">
        <v>5596.2</v>
      </c>
      <c r="L291" s="11">
        <v>1</v>
      </c>
      <c r="M291" s="405">
        <v>5596.2</v>
      </c>
      <c r="N291" s="11" t="s">
        <v>20155</v>
      </c>
      <c r="O291" s="11" t="s">
        <v>17689</v>
      </c>
      <c r="P291" s="872">
        <v>43847</v>
      </c>
      <c r="Q291" s="423">
        <v>936</v>
      </c>
      <c r="R291" s="423">
        <v>720</v>
      </c>
      <c r="S291" s="423">
        <v>576</v>
      </c>
      <c r="T291" s="423">
        <v>520</v>
      </c>
      <c r="U291" s="423">
        <v>2752</v>
      </c>
      <c r="V291" s="11" t="s">
        <v>20155</v>
      </c>
      <c r="W291" s="407">
        <v>1684.8</v>
      </c>
      <c r="X291" s="407">
        <v>1699.2</v>
      </c>
      <c r="Y291" s="407">
        <v>979.2</v>
      </c>
      <c r="Z291" s="407">
        <v>1233</v>
      </c>
      <c r="AA291" s="408">
        <v>1.8</v>
      </c>
      <c r="AB291" s="408">
        <v>2.36</v>
      </c>
      <c r="AC291" s="408">
        <v>1.7000000000000002</v>
      </c>
      <c r="AD291" s="408">
        <v>2.3711538461538462</v>
      </c>
      <c r="AE291" s="409"/>
      <c r="AF291" s="410">
        <v>0</v>
      </c>
      <c r="AG291" s="410">
        <v>0</v>
      </c>
      <c r="AH291" s="411">
        <v>1.8</v>
      </c>
      <c r="AI291" s="412">
        <v>2.36</v>
      </c>
      <c r="AJ291" s="411">
        <v>1.7000000000000002</v>
      </c>
      <c r="AK291" s="411">
        <v>2.3711538461538462</v>
      </c>
      <c r="AL291" s="18"/>
      <c r="AM291" s="49"/>
      <c r="AN291" s="2"/>
      <c r="AO291" s="2"/>
    </row>
    <row r="292" spans="1:41" ht="18.600000000000001" hidden="1" customHeight="1">
      <c r="A292" s="14">
        <v>21</v>
      </c>
      <c r="B292" s="11" t="s">
        <v>20202</v>
      </c>
      <c r="C292" s="14">
        <v>0</v>
      </c>
      <c r="D292" s="11" t="s">
        <v>17892</v>
      </c>
      <c r="E292" s="11" t="s">
        <v>20202</v>
      </c>
      <c r="F292" s="12">
        <v>43846</v>
      </c>
      <c r="G292" s="11">
        <v>2020</v>
      </c>
      <c r="H292" s="11" t="s">
        <v>16492</v>
      </c>
      <c r="I292" s="11" t="s">
        <v>16493</v>
      </c>
      <c r="J292" s="11" t="s">
        <v>16401</v>
      </c>
      <c r="K292" s="404">
        <v>43192.480000000003</v>
      </c>
      <c r="L292" s="11">
        <v>2.8238500000000002</v>
      </c>
      <c r="M292" s="405">
        <v>15295.599978752412</v>
      </c>
      <c r="N292" s="11" t="s">
        <v>20155</v>
      </c>
      <c r="O292" s="11" t="s">
        <v>20174</v>
      </c>
      <c r="P292" s="872">
        <v>43853</v>
      </c>
      <c r="Q292" s="423">
        <v>720</v>
      </c>
      <c r="R292" s="423">
        <v>13060</v>
      </c>
      <c r="S292" s="423">
        <v>14000</v>
      </c>
      <c r="T292" s="423">
        <v>0</v>
      </c>
      <c r="U292" s="423">
        <v>27780</v>
      </c>
      <c r="V292" s="11" t="s">
        <v>20155</v>
      </c>
      <c r="W292" s="407">
        <v>1138.5763199999999</v>
      </c>
      <c r="X292" s="407">
        <v>19914.919740000001</v>
      </c>
      <c r="Y292" s="407">
        <v>22138.984</v>
      </c>
      <c r="Z292" s="407">
        <v>0</v>
      </c>
      <c r="AA292" s="408">
        <v>1.5813559999999998</v>
      </c>
      <c r="AB292" s="408">
        <v>1.5248790000000001</v>
      </c>
      <c r="AC292" s="408">
        <v>1.581356</v>
      </c>
      <c r="AD292" s="408"/>
      <c r="AE292" s="409"/>
      <c r="AF292" s="410">
        <v>1414.48</v>
      </c>
      <c r="AG292" s="410">
        <v>5.0917206623470122E-2</v>
      </c>
      <c r="AH292" s="411">
        <v>1.5304387933765295</v>
      </c>
      <c r="AI292" s="412">
        <v>1.4739617933765299</v>
      </c>
      <c r="AJ292" s="411">
        <v>1.5304387933765298</v>
      </c>
      <c r="AK292" s="411">
        <v>0</v>
      </c>
      <c r="AL292" s="18"/>
      <c r="AM292" s="49"/>
      <c r="AN292" s="2"/>
      <c r="AO292" s="2"/>
    </row>
    <row r="293" spans="1:41" ht="18.600000000000001" hidden="1" customHeight="1">
      <c r="A293" s="14">
        <v>22</v>
      </c>
      <c r="B293" s="11" t="s">
        <v>20203</v>
      </c>
      <c r="C293" s="14">
        <v>0</v>
      </c>
      <c r="D293" s="11" t="s">
        <v>17894</v>
      </c>
      <c r="E293" s="11" t="s">
        <v>20203</v>
      </c>
      <c r="F293" s="12">
        <v>43850</v>
      </c>
      <c r="G293" s="11">
        <v>2020</v>
      </c>
      <c r="H293" s="11" t="s">
        <v>17017</v>
      </c>
      <c r="I293" s="11" t="s">
        <v>17018</v>
      </c>
      <c r="J293" s="11" t="s">
        <v>3</v>
      </c>
      <c r="K293" s="404">
        <v>31600</v>
      </c>
      <c r="L293" s="11">
        <v>1</v>
      </c>
      <c r="M293" s="405">
        <v>31600</v>
      </c>
      <c r="N293" s="11" t="s">
        <v>20155</v>
      </c>
      <c r="O293" s="11" t="s">
        <v>18064</v>
      </c>
      <c r="P293" s="872">
        <v>43854</v>
      </c>
      <c r="Q293" s="423">
        <v>0</v>
      </c>
      <c r="R293" s="423">
        <v>20000</v>
      </c>
      <c r="S293" s="423">
        <v>0</v>
      </c>
      <c r="T293" s="423">
        <v>0</v>
      </c>
      <c r="U293" s="423">
        <v>20000</v>
      </c>
      <c r="V293" s="11" t="s">
        <v>20155</v>
      </c>
      <c r="W293" s="407">
        <v>0</v>
      </c>
      <c r="X293" s="407">
        <v>31600</v>
      </c>
      <c r="Y293" s="407">
        <v>0</v>
      </c>
      <c r="Z293" s="407">
        <v>0</v>
      </c>
      <c r="AA293" s="431"/>
      <c r="AB293" s="408">
        <v>1.58</v>
      </c>
      <c r="AC293" s="408"/>
      <c r="AD293" s="408"/>
      <c r="AE293" s="409"/>
      <c r="AF293" s="410">
        <v>0</v>
      </c>
      <c r="AG293" s="410">
        <v>0</v>
      </c>
      <c r="AH293" s="411">
        <v>0</v>
      </c>
      <c r="AI293" s="412">
        <v>1.58</v>
      </c>
      <c r="AJ293" s="411">
        <v>0</v>
      </c>
      <c r="AK293" s="411">
        <v>0</v>
      </c>
      <c r="AL293" s="18"/>
      <c r="AM293" s="49"/>
      <c r="AN293" s="2"/>
      <c r="AO293" s="2"/>
    </row>
    <row r="294" spans="1:41" ht="18.600000000000001" hidden="1" customHeight="1">
      <c r="A294" s="14">
        <v>23</v>
      </c>
      <c r="B294" s="11" t="s">
        <v>20204</v>
      </c>
      <c r="C294" s="14">
        <v>0</v>
      </c>
      <c r="D294" s="11" t="s">
        <v>17895</v>
      </c>
      <c r="E294" s="11" t="s">
        <v>20204</v>
      </c>
      <c r="F294" s="12">
        <v>43852</v>
      </c>
      <c r="G294" s="11">
        <v>2020</v>
      </c>
      <c r="H294" s="11" t="s">
        <v>17219</v>
      </c>
      <c r="I294" s="11" t="s">
        <v>17220</v>
      </c>
      <c r="J294" s="11" t="s">
        <v>16401</v>
      </c>
      <c r="K294" s="404">
        <v>442049.19</v>
      </c>
      <c r="L294" s="11">
        <v>2.8910999999999998</v>
      </c>
      <c r="M294" s="405">
        <v>152900</v>
      </c>
      <c r="N294" s="11" t="s">
        <v>20155</v>
      </c>
      <c r="O294" s="11" t="s">
        <v>20173</v>
      </c>
      <c r="P294" s="872">
        <v>43889</v>
      </c>
      <c r="Q294" s="423">
        <v>0</v>
      </c>
      <c r="R294" s="423">
        <v>178000</v>
      </c>
      <c r="S294" s="423">
        <v>100000</v>
      </c>
      <c r="T294" s="423">
        <v>0</v>
      </c>
      <c r="U294" s="423">
        <v>278000</v>
      </c>
      <c r="V294" s="11" t="s">
        <v>20155</v>
      </c>
      <c r="W294" s="407">
        <v>0</v>
      </c>
      <c r="X294" s="407">
        <v>283038.68999999994</v>
      </c>
      <c r="Y294" s="407">
        <v>159010.5</v>
      </c>
      <c r="Z294" s="407">
        <v>0</v>
      </c>
      <c r="AA294" s="408"/>
      <c r="AB294" s="408">
        <v>1.5901049999999997</v>
      </c>
      <c r="AC294" s="408">
        <v>1.5901050000000001</v>
      </c>
      <c r="AD294" s="408"/>
      <c r="AE294" s="409"/>
      <c r="AF294" s="410">
        <v>101803.71799999999</v>
      </c>
      <c r="AG294" s="410">
        <v>0.36620042446043161</v>
      </c>
      <c r="AH294" s="411">
        <v>0</v>
      </c>
      <c r="AI294" s="412">
        <v>1.2239045755395681</v>
      </c>
      <c r="AJ294" s="411">
        <v>1.2239045755395686</v>
      </c>
      <c r="AK294" s="411">
        <v>0</v>
      </c>
      <c r="AL294" s="18"/>
      <c r="AM294" s="49"/>
      <c r="AN294" s="2"/>
      <c r="AO294" s="2"/>
    </row>
    <row r="295" spans="1:41" ht="18.600000000000001" hidden="1" customHeight="1">
      <c r="A295" s="14">
        <v>24</v>
      </c>
      <c r="B295" s="11" t="s">
        <v>20205</v>
      </c>
      <c r="C295" s="14">
        <v>0</v>
      </c>
      <c r="D295" s="11" t="s">
        <v>17896</v>
      </c>
      <c r="E295" s="11" t="s">
        <v>20205</v>
      </c>
      <c r="F295" s="12">
        <v>43852</v>
      </c>
      <c r="G295" s="11">
        <v>2020</v>
      </c>
      <c r="H295" s="11" t="s">
        <v>16470</v>
      </c>
      <c r="I295" s="11" t="s">
        <v>16471</v>
      </c>
      <c r="J295" s="11" t="s">
        <v>16401</v>
      </c>
      <c r="K295" s="404">
        <v>82741.262000000002</v>
      </c>
      <c r="L295" s="11">
        <v>2.8321499999999999</v>
      </c>
      <c r="M295" s="405">
        <v>29214.999911727842</v>
      </c>
      <c r="N295" s="11" t="s">
        <v>20155</v>
      </c>
      <c r="O295" s="11" t="s">
        <v>20159</v>
      </c>
      <c r="P295" s="872">
        <v>43861</v>
      </c>
      <c r="Q295" s="423">
        <v>0</v>
      </c>
      <c r="R295" s="423">
        <v>0</v>
      </c>
      <c r="S295" s="423">
        <v>52000</v>
      </c>
      <c r="T295" s="423">
        <v>0</v>
      </c>
      <c r="U295" s="423">
        <v>52000</v>
      </c>
      <c r="V295" s="11" t="s">
        <v>20155</v>
      </c>
      <c r="W295" s="407">
        <v>0</v>
      </c>
      <c r="X295" s="407">
        <v>0</v>
      </c>
      <c r="Y295" s="407">
        <v>71426.822999999989</v>
      </c>
      <c r="Z295" s="407">
        <v>0</v>
      </c>
      <c r="AA295" s="408"/>
      <c r="AB295" s="408"/>
      <c r="AC295" s="408">
        <v>1.3735927499999998</v>
      </c>
      <c r="AD295" s="408"/>
      <c r="AE295" s="409"/>
      <c r="AF295" s="410">
        <v>15075.425999999999</v>
      </c>
      <c r="AG295" s="410">
        <v>0.28991203846153846</v>
      </c>
      <c r="AH295" s="411">
        <v>0</v>
      </c>
      <c r="AI295" s="411">
        <v>0</v>
      </c>
      <c r="AJ295" s="411">
        <v>1.0836807115384612</v>
      </c>
      <c r="AK295" s="411">
        <v>0</v>
      </c>
      <c r="AL295" s="18"/>
      <c r="AM295" s="49"/>
      <c r="AN295" s="2"/>
      <c r="AO295" s="2"/>
    </row>
    <row r="296" spans="1:41" ht="18.600000000000001" hidden="1" customHeight="1">
      <c r="A296" s="14">
        <v>25</v>
      </c>
      <c r="B296" s="11" t="s">
        <v>20206</v>
      </c>
      <c r="C296" s="14">
        <v>0</v>
      </c>
      <c r="D296" s="11" t="s">
        <v>17898</v>
      </c>
      <c r="E296" s="11" t="s">
        <v>20206</v>
      </c>
      <c r="F296" s="12">
        <v>43852</v>
      </c>
      <c r="G296" s="11">
        <v>2020</v>
      </c>
      <c r="H296" s="11" t="s">
        <v>16470</v>
      </c>
      <c r="I296" s="11" t="s">
        <v>16471</v>
      </c>
      <c r="J296" s="11" t="s">
        <v>16401</v>
      </c>
      <c r="K296" s="404">
        <v>278584.11800000002</v>
      </c>
      <c r="L296" s="11">
        <v>2.81935</v>
      </c>
      <c r="M296" s="405">
        <v>98811.470019685396</v>
      </c>
      <c r="N296" s="11" t="s">
        <v>20155</v>
      </c>
      <c r="O296" s="11" t="s">
        <v>20159</v>
      </c>
      <c r="P296" s="872">
        <v>43867</v>
      </c>
      <c r="Q296" s="423">
        <v>15984</v>
      </c>
      <c r="R296" s="423">
        <v>149610</v>
      </c>
      <c r="S296" s="423">
        <v>0</v>
      </c>
      <c r="T296" s="423">
        <v>0</v>
      </c>
      <c r="U296" s="423">
        <v>165594</v>
      </c>
      <c r="V296" s="11" t="s">
        <v>20179</v>
      </c>
      <c r="W296" s="407">
        <v>24401.812572000003</v>
      </c>
      <c r="X296" s="407">
        <v>199715.28272249989</v>
      </c>
      <c r="Y296" s="407">
        <v>0</v>
      </c>
      <c r="Z296" s="407">
        <v>0</v>
      </c>
      <c r="AA296" s="408">
        <v>1.5266399256756757</v>
      </c>
      <c r="AB296" s="408">
        <v>1.3349059736815714</v>
      </c>
      <c r="AC296" s="408"/>
      <c r="AD296" s="408"/>
      <c r="AE296" s="409"/>
      <c r="AF296" s="410">
        <v>61743.199999999997</v>
      </c>
      <c r="AG296" s="410">
        <v>0.37285892000917908</v>
      </c>
      <c r="AH296" s="411">
        <v>1.1537810056664966</v>
      </c>
      <c r="AI296" s="412">
        <v>0.96204705367239229</v>
      </c>
      <c r="AJ296" s="411">
        <v>0</v>
      </c>
      <c r="AK296" s="411">
        <v>0</v>
      </c>
      <c r="AL296" s="18"/>
      <c r="AM296" s="49"/>
      <c r="AN296" s="2"/>
      <c r="AO296" s="2"/>
    </row>
    <row r="297" spans="1:41" ht="18.600000000000001" hidden="1" customHeight="1">
      <c r="A297" s="14">
        <v>26</v>
      </c>
      <c r="B297" s="11" t="s">
        <v>20207</v>
      </c>
      <c r="C297" s="14">
        <v>0</v>
      </c>
      <c r="D297" s="11" t="s">
        <v>17899</v>
      </c>
      <c r="E297" s="11" t="s">
        <v>20207</v>
      </c>
      <c r="F297" s="12">
        <v>43852</v>
      </c>
      <c r="G297" s="11">
        <v>2020</v>
      </c>
      <c r="H297" s="11" t="s">
        <v>16560</v>
      </c>
      <c r="I297" s="11" t="s">
        <v>16561</v>
      </c>
      <c r="J297" s="11" t="s">
        <v>16482</v>
      </c>
      <c r="K297" s="404">
        <v>144725.61600000001</v>
      </c>
      <c r="L297" s="11">
        <v>3.1164000000000001</v>
      </c>
      <c r="M297" s="405">
        <v>46440</v>
      </c>
      <c r="N297" s="11" t="s">
        <v>20155</v>
      </c>
      <c r="O297" s="11" t="s">
        <v>17801</v>
      </c>
      <c r="P297" s="872">
        <v>43861</v>
      </c>
      <c r="Q297" s="423">
        <v>0</v>
      </c>
      <c r="R297" s="423">
        <v>0</v>
      </c>
      <c r="S297" s="423">
        <v>108000</v>
      </c>
      <c r="T297" s="423">
        <v>0</v>
      </c>
      <c r="U297" s="423">
        <v>108000</v>
      </c>
      <c r="V297" s="11" t="s">
        <v>20155</v>
      </c>
      <c r="W297" s="407">
        <v>0</v>
      </c>
      <c r="X297" s="407">
        <v>0</v>
      </c>
      <c r="Y297" s="407">
        <v>144725.61600000001</v>
      </c>
      <c r="Z297" s="407">
        <v>0</v>
      </c>
      <c r="AA297" s="408"/>
      <c r="AB297" s="408"/>
      <c r="AC297" s="408">
        <v>1.340052</v>
      </c>
      <c r="AD297" s="408"/>
      <c r="AE297" s="409"/>
      <c r="AF297" s="410">
        <v>19306.400000000001</v>
      </c>
      <c r="AG297" s="410">
        <v>0.17876296296296298</v>
      </c>
      <c r="AH297" s="411">
        <v>0</v>
      </c>
      <c r="AI297" s="411">
        <v>0</v>
      </c>
      <c r="AJ297" s="411">
        <v>1.161289037037037</v>
      </c>
      <c r="AK297" s="411">
        <v>0</v>
      </c>
      <c r="AL297" s="18"/>
      <c r="AM297" s="49"/>
      <c r="AN297" s="2"/>
      <c r="AO297" s="2"/>
    </row>
    <row r="298" spans="1:41" ht="18.600000000000001" hidden="1" customHeight="1">
      <c r="A298" s="14">
        <v>27</v>
      </c>
      <c r="B298" s="11" t="s">
        <v>20208</v>
      </c>
      <c r="C298" s="14">
        <v>0</v>
      </c>
      <c r="D298" s="11" t="s">
        <v>17900</v>
      </c>
      <c r="E298" s="11" t="s">
        <v>20208</v>
      </c>
      <c r="F298" s="12">
        <v>43852</v>
      </c>
      <c r="G298" s="11">
        <v>2020</v>
      </c>
      <c r="H298" s="11" t="s">
        <v>16560</v>
      </c>
      <c r="I298" s="11" t="s">
        <v>16561</v>
      </c>
      <c r="J298" s="11" t="s">
        <v>16482</v>
      </c>
      <c r="K298" s="404">
        <v>144883.51199999999</v>
      </c>
      <c r="L298" s="11">
        <v>3.1198000000000001</v>
      </c>
      <c r="M298" s="405">
        <v>46439.999999999993</v>
      </c>
      <c r="N298" s="11" t="s">
        <v>20155</v>
      </c>
      <c r="O298" s="11" t="s">
        <v>17801</v>
      </c>
      <c r="P298" s="872">
        <v>43868</v>
      </c>
      <c r="Q298" s="423">
        <v>0</v>
      </c>
      <c r="R298" s="423">
        <v>0</v>
      </c>
      <c r="S298" s="423">
        <v>108000</v>
      </c>
      <c r="T298" s="423">
        <v>0</v>
      </c>
      <c r="U298" s="423">
        <v>108000</v>
      </c>
      <c r="V298" s="11" t="s">
        <v>20155</v>
      </c>
      <c r="W298" s="407">
        <v>0</v>
      </c>
      <c r="X298" s="407">
        <v>0</v>
      </c>
      <c r="Y298" s="407">
        <v>144883.51199999999</v>
      </c>
      <c r="Z298" s="407">
        <v>0</v>
      </c>
      <c r="AA298" s="408"/>
      <c r="AB298" s="408"/>
      <c r="AC298" s="408">
        <v>1.3415139999999999</v>
      </c>
      <c r="AD298" s="408"/>
      <c r="AE298" s="409"/>
      <c r="AF298" s="410">
        <v>19102.019</v>
      </c>
      <c r="AG298" s="410">
        <v>0.17687054629629631</v>
      </c>
      <c r="AH298" s="411">
        <v>0</v>
      </c>
      <c r="AI298" s="411">
        <v>0</v>
      </c>
      <c r="AJ298" s="411">
        <v>1.1646434537037036</v>
      </c>
      <c r="AK298" s="411">
        <v>0</v>
      </c>
      <c r="AL298" s="18"/>
      <c r="AM298" s="49"/>
      <c r="AN298" s="2"/>
      <c r="AO298" s="2"/>
    </row>
    <row r="299" spans="1:41" ht="18.600000000000001" hidden="1" customHeight="1">
      <c r="A299" s="14">
        <v>28</v>
      </c>
      <c r="B299" s="11" t="s">
        <v>20209</v>
      </c>
      <c r="C299" s="14">
        <v>0</v>
      </c>
      <c r="D299" s="11" t="s">
        <v>17901</v>
      </c>
      <c r="E299" s="11" t="s">
        <v>20209</v>
      </c>
      <c r="F299" s="12">
        <v>43852</v>
      </c>
      <c r="G299" s="11">
        <v>2020</v>
      </c>
      <c r="H299" s="11" t="s">
        <v>16560</v>
      </c>
      <c r="I299" s="11" t="s">
        <v>16561</v>
      </c>
      <c r="J299" s="11" t="s">
        <v>16482</v>
      </c>
      <c r="K299" s="404">
        <v>144883.51199999999</v>
      </c>
      <c r="L299" s="11">
        <v>3.1198000000000001</v>
      </c>
      <c r="M299" s="405">
        <v>46439.999999999993</v>
      </c>
      <c r="N299" s="11" t="s">
        <v>20155</v>
      </c>
      <c r="O299" s="11" t="s">
        <v>17801</v>
      </c>
      <c r="P299" s="872">
        <v>43869</v>
      </c>
      <c r="Q299" s="423">
        <v>0</v>
      </c>
      <c r="R299" s="423">
        <v>0</v>
      </c>
      <c r="S299" s="423">
        <v>108000</v>
      </c>
      <c r="T299" s="423">
        <v>0</v>
      </c>
      <c r="U299" s="423">
        <v>108000</v>
      </c>
      <c r="V299" s="11" t="s">
        <v>20155</v>
      </c>
      <c r="W299" s="407">
        <v>0</v>
      </c>
      <c r="X299" s="407">
        <v>0</v>
      </c>
      <c r="Y299" s="407">
        <v>144883.51199999999</v>
      </c>
      <c r="Z299" s="407">
        <v>0</v>
      </c>
      <c r="AA299" s="408"/>
      <c r="AB299" s="408"/>
      <c r="AC299" s="408">
        <v>1.3415139999999999</v>
      </c>
      <c r="AD299" s="408"/>
      <c r="AE299" s="409"/>
      <c r="AF299" s="410">
        <v>19102.019</v>
      </c>
      <c r="AG299" s="410">
        <v>0.17687054629629631</v>
      </c>
      <c r="AH299" s="411">
        <v>0</v>
      </c>
      <c r="AI299" s="411">
        <v>0</v>
      </c>
      <c r="AJ299" s="411">
        <v>1.1646434537037036</v>
      </c>
      <c r="AK299" s="411">
        <v>0</v>
      </c>
      <c r="AL299" s="18"/>
      <c r="AM299" s="49"/>
      <c r="AN299" s="2"/>
      <c r="AO299" s="2"/>
    </row>
    <row r="300" spans="1:41" ht="13.5" hidden="1" customHeight="1">
      <c r="A300" s="14">
        <v>29</v>
      </c>
      <c r="B300" s="11" t="s">
        <v>20210</v>
      </c>
      <c r="C300" s="14">
        <v>0</v>
      </c>
      <c r="D300" s="11" t="s">
        <v>17902</v>
      </c>
      <c r="E300" s="11" t="s">
        <v>20210</v>
      </c>
      <c r="F300" s="12">
        <v>43852</v>
      </c>
      <c r="G300" s="11">
        <v>2020</v>
      </c>
      <c r="H300" s="11" t="s">
        <v>17017</v>
      </c>
      <c r="I300" s="11" t="s">
        <v>17018</v>
      </c>
      <c r="J300" s="11" t="s">
        <v>3</v>
      </c>
      <c r="K300" s="404">
        <v>32595</v>
      </c>
      <c r="L300" s="11">
        <v>1</v>
      </c>
      <c r="M300" s="405">
        <v>32595</v>
      </c>
      <c r="N300" s="11" t="s">
        <v>20155</v>
      </c>
      <c r="O300" s="11" t="s">
        <v>18283</v>
      </c>
      <c r="P300" s="872">
        <v>43871</v>
      </c>
      <c r="Q300" s="423">
        <v>0</v>
      </c>
      <c r="R300" s="423">
        <v>20500</v>
      </c>
      <c r="S300" s="423">
        <v>0</v>
      </c>
      <c r="T300" s="423">
        <v>0</v>
      </c>
      <c r="U300" s="423">
        <v>20500</v>
      </c>
      <c r="V300" s="11" t="s">
        <v>20155</v>
      </c>
      <c r="W300" s="407">
        <v>0</v>
      </c>
      <c r="X300" s="407">
        <v>32595</v>
      </c>
      <c r="Y300" s="407">
        <v>0</v>
      </c>
      <c r="Z300" s="407">
        <v>0</v>
      </c>
      <c r="AA300" s="431"/>
      <c r="AB300" s="408">
        <v>1.59</v>
      </c>
      <c r="AC300" s="408"/>
      <c r="AD300" s="408"/>
      <c r="AE300" s="409"/>
      <c r="AF300" s="410">
        <v>0</v>
      </c>
      <c r="AG300" s="410">
        <v>0</v>
      </c>
      <c r="AH300" s="411">
        <v>0</v>
      </c>
      <c r="AI300" s="412">
        <v>1.59</v>
      </c>
      <c r="AJ300" s="411">
        <v>0</v>
      </c>
      <c r="AK300" s="411">
        <v>0</v>
      </c>
      <c r="AL300" s="18"/>
      <c r="AM300" s="49"/>
      <c r="AN300" s="2"/>
      <c r="AO300" s="2"/>
    </row>
    <row r="301" spans="1:41" ht="13.5" hidden="1" customHeight="1">
      <c r="A301" s="14">
        <v>30</v>
      </c>
      <c r="B301" s="11" t="s">
        <v>20211</v>
      </c>
      <c r="C301" s="14">
        <v>0</v>
      </c>
      <c r="D301" s="11" t="s">
        <v>17903</v>
      </c>
      <c r="E301" s="11" t="s">
        <v>20211</v>
      </c>
      <c r="F301" s="12">
        <v>43852</v>
      </c>
      <c r="G301" s="11">
        <v>2020</v>
      </c>
      <c r="H301" s="11" t="s">
        <v>16957</v>
      </c>
      <c r="I301" s="11" t="s">
        <v>16958</v>
      </c>
      <c r="J301" s="11" t="s">
        <v>16401</v>
      </c>
      <c r="K301" s="404">
        <v>37594.445</v>
      </c>
      <c r="L301" s="11">
        <v>2.8266499999999999</v>
      </c>
      <c r="M301" s="405">
        <v>13300</v>
      </c>
      <c r="N301" s="11" t="s">
        <v>20155</v>
      </c>
      <c r="O301" s="11" t="s">
        <v>20161</v>
      </c>
      <c r="P301" s="872">
        <v>43858</v>
      </c>
      <c r="Q301" s="423">
        <v>20000</v>
      </c>
      <c r="R301" s="423">
        <v>0</v>
      </c>
      <c r="S301" s="423">
        <v>0</v>
      </c>
      <c r="T301" s="423">
        <v>0</v>
      </c>
      <c r="U301" s="423">
        <v>20000</v>
      </c>
      <c r="V301" s="11" t="s">
        <v>20155</v>
      </c>
      <c r="W301" s="407">
        <v>37594.445</v>
      </c>
      <c r="X301" s="407">
        <v>0</v>
      </c>
      <c r="Y301" s="407">
        <v>0</v>
      </c>
      <c r="Z301" s="407">
        <v>0</v>
      </c>
      <c r="AA301" s="408">
        <v>1.8797222499999999</v>
      </c>
      <c r="AB301" s="408"/>
      <c r="AC301" s="408"/>
      <c r="AD301" s="408"/>
      <c r="AE301" s="409"/>
      <c r="AF301" s="410">
        <v>4407.3599999999997</v>
      </c>
      <c r="AG301" s="410">
        <v>0.22036799999999998</v>
      </c>
      <c r="AH301" s="411">
        <v>1.65935425</v>
      </c>
      <c r="AI301" s="411">
        <v>0</v>
      </c>
      <c r="AJ301" s="411">
        <v>0</v>
      </c>
      <c r="AK301" s="411">
        <v>0</v>
      </c>
      <c r="AL301" s="18"/>
      <c r="AM301" s="49"/>
      <c r="AN301" s="2"/>
      <c r="AO301" s="2"/>
    </row>
    <row r="302" spans="1:41" ht="13.5" hidden="1" customHeight="1">
      <c r="A302" s="14">
        <v>31</v>
      </c>
      <c r="B302" s="11" t="s">
        <v>20212</v>
      </c>
      <c r="C302" s="14">
        <v>0</v>
      </c>
      <c r="D302" s="11" t="s">
        <v>17905</v>
      </c>
      <c r="E302" s="11" t="s">
        <v>20212</v>
      </c>
      <c r="F302" s="12">
        <v>43852</v>
      </c>
      <c r="G302" s="11">
        <v>2020</v>
      </c>
      <c r="H302" s="11" t="s">
        <v>16904</v>
      </c>
      <c r="I302" s="11" t="s">
        <v>16905</v>
      </c>
      <c r="J302" s="11" t="s">
        <v>16482</v>
      </c>
      <c r="K302" s="404">
        <v>49792.264000000003</v>
      </c>
      <c r="L302" s="11">
        <v>3.1177999999999999</v>
      </c>
      <c r="M302" s="405">
        <v>15970.320097504653</v>
      </c>
      <c r="N302" s="11" t="s">
        <v>20155</v>
      </c>
      <c r="O302" s="11" t="s">
        <v>20160</v>
      </c>
      <c r="P302" s="872">
        <v>43869</v>
      </c>
      <c r="Q302" s="423">
        <v>0</v>
      </c>
      <c r="R302" s="423">
        <v>19368</v>
      </c>
      <c r="S302" s="423">
        <v>7200</v>
      </c>
      <c r="T302" s="423">
        <v>0</v>
      </c>
      <c r="U302" s="423">
        <v>26568</v>
      </c>
      <c r="V302" s="11" t="s">
        <v>20155</v>
      </c>
      <c r="W302" s="407">
        <v>0</v>
      </c>
      <c r="X302" s="407">
        <v>38942.319695999999</v>
      </c>
      <c r="Y302" s="407">
        <v>10849.944</v>
      </c>
      <c r="Z302" s="407">
        <v>0</v>
      </c>
      <c r="AA302" s="408"/>
      <c r="AB302" s="408">
        <v>2.0106526071871125</v>
      </c>
      <c r="AC302" s="408">
        <v>1.5069366666666666</v>
      </c>
      <c r="AD302" s="408"/>
      <c r="AE302" s="409"/>
      <c r="AF302" s="410">
        <v>11809.34</v>
      </c>
      <c r="AG302" s="410">
        <v>0.44449488105992174</v>
      </c>
      <c r="AH302" s="411">
        <v>0</v>
      </c>
      <c r="AI302" s="412">
        <v>1.5661577261271908</v>
      </c>
      <c r="AJ302" s="411">
        <v>1.0624417856067447</v>
      </c>
      <c r="AK302" s="411">
        <v>0</v>
      </c>
      <c r="AL302" s="18"/>
      <c r="AM302" s="49"/>
      <c r="AN302" s="2"/>
      <c r="AO302" s="2"/>
    </row>
    <row r="303" spans="1:41" ht="13.5" hidden="1" customHeight="1">
      <c r="A303" s="14">
        <v>32</v>
      </c>
      <c r="B303" s="11" t="s">
        <v>20213</v>
      </c>
      <c r="C303" s="14">
        <v>0</v>
      </c>
      <c r="D303" s="11" t="s">
        <v>17907</v>
      </c>
      <c r="E303" s="11" t="s">
        <v>20213</v>
      </c>
      <c r="F303" s="12">
        <v>43852</v>
      </c>
      <c r="G303" s="11">
        <v>2020</v>
      </c>
      <c r="H303" s="11" t="s">
        <v>16872</v>
      </c>
      <c r="I303" s="11" t="s">
        <v>16873</v>
      </c>
      <c r="J303" s="11" t="s">
        <v>16401</v>
      </c>
      <c r="K303" s="404">
        <v>30050.172999999999</v>
      </c>
      <c r="L303" s="11">
        <v>2.8322500000000002</v>
      </c>
      <c r="M303" s="405">
        <v>10610.000176538088</v>
      </c>
      <c r="N303" s="11" t="s">
        <v>20155</v>
      </c>
      <c r="O303" s="11" t="s">
        <v>20169</v>
      </c>
      <c r="P303" s="872">
        <v>43859</v>
      </c>
      <c r="Q303" s="423">
        <v>10000</v>
      </c>
      <c r="R303" s="423">
        <v>1500</v>
      </c>
      <c r="S303" s="423">
        <v>0</v>
      </c>
      <c r="T303" s="423">
        <v>0</v>
      </c>
      <c r="U303" s="423">
        <v>11500</v>
      </c>
      <c r="V303" s="11" t="s">
        <v>20155</v>
      </c>
      <c r="W303" s="407">
        <v>25207.025000000001</v>
      </c>
      <c r="X303" s="407">
        <v>4843.1475000000009</v>
      </c>
      <c r="Y303" s="407">
        <v>0</v>
      </c>
      <c r="Z303" s="407">
        <v>0</v>
      </c>
      <c r="AA303" s="408">
        <v>2.5207025000000001</v>
      </c>
      <c r="AB303" s="408">
        <v>3.2287650000000006</v>
      </c>
      <c r="AC303" s="408"/>
      <c r="AD303" s="408"/>
      <c r="AE303" s="409"/>
      <c r="AF303" s="410">
        <v>1693.335</v>
      </c>
      <c r="AG303" s="410">
        <v>0.14724652173913044</v>
      </c>
      <c r="AH303" s="411">
        <v>2.3734559782608695</v>
      </c>
      <c r="AI303" s="412">
        <v>3.08151847826087</v>
      </c>
      <c r="AJ303" s="411">
        <v>0</v>
      </c>
      <c r="AK303" s="411">
        <v>0</v>
      </c>
      <c r="AL303" s="18"/>
      <c r="AM303" s="49"/>
      <c r="AN303" s="2"/>
      <c r="AO303" s="2"/>
    </row>
    <row r="304" spans="1:41" ht="13.5" hidden="1" customHeight="1">
      <c r="A304" s="14">
        <v>33</v>
      </c>
      <c r="B304" s="11" t="s">
        <v>20214</v>
      </c>
      <c r="C304" s="14">
        <v>0</v>
      </c>
      <c r="D304" s="11" t="s">
        <v>17909</v>
      </c>
      <c r="E304" s="11" t="s">
        <v>20214</v>
      </c>
      <c r="F304" s="12">
        <v>43852</v>
      </c>
      <c r="G304" s="11">
        <v>2020</v>
      </c>
      <c r="H304" s="11" t="s">
        <v>17207</v>
      </c>
      <c r="I304" s="11" t="s">
        <v>17208</v>
      </c>
      <c r="J304" s="11" t="s">
        <v>3</v>
      </c>
      <c r="K304" s="404">
        <v>115584</v>
      </c>
      <c r="L304" s="11">
        <v>1</v>
      </c>
      <c r="M304" s="405">
        <v>115584</v>
      </c>
      <c r="N304" s="11" t="s">
        <v>20155</v>
      </c>
      <c r="O304" s="11" t="s">
        <v>17798</v>
      </c>
      <c r="P304" s="872">
        <v>43860</v>
      </c>
      <c r="Q304" s="423">
        <v>76800</v>
      </c>
      <c r="R304" s="423">
        <v>0</v>
      </c>
      <c r="S304" s="423">
        <v>0</v>
      </c>
      <c r="T304" s="423">
        <v>0</v>
      </c>
      <c r="U304" s="423">
        <v>76800</v>
      </c>
      <c r="V304" s="11" t="s">
        <v>20155</v>
      </c>
      <c r="W304" s="407">
        <v>115584</v>
      </c>
      <c r="X304" s="407">
        <v>0</v>
      </c>
      <c r="Y304" s="407">
        <v>0</v>
      </c>
      <c r="Z304" s="407">
        <v>0</v>
      </c>
      <c r="AA304" s="408">
        <v>1.5049999999999999</v>
      </c>
      <c r="AB304" s="408"/>
      <c r="AC304" s="408"/>
      <c r="AD304" s="408"/>
      <c r="AE304" s="409"/>
      <c r="AF304" s="410">
        <v>0</v>
      </c>
      <c r="AG304" s="410">
        <v>0</v>
      </c>
      <c r="AH304" s="411">
        <v>1.5049999999999999</v>
      </c>
      <c r="AI304" s="411">
        <v>0</v>
      </c>
      <c r="AJ304" s="411">
        <v>0</v>
      </c>
      <c r="AK304" s="411">
        <v>0</v>
      </c>
      <c r="AL304" s="18"/>
      <c r="AM304" s="49"/>
      <c r="AN304" s="2"/>
      <c r="AO304" s="2"/>
    </row>
    <row r="305" spans="1:41" ht="13.5" hidden="1" customHeight="1">
      <c r="A305" s="14">
        <v>34</v>
      </c>
      <c r="B305" s="11" t="s">
        <v>20215</v>
      </c>
      <c r="C305" s="14">
        <v>0</v>
      </c>
      <c r="D305" s="11" t="s">
        <v>17910</v>
      </c>
      <c r="E305" s="11" t="s">
        <v>20215</v>
      </c>
      <c r="F305" s="12">
        <v>43852</v>
      </c>
      <c r="G305" s="11">
        <v>2020</v>
      </c>
      <c r="H305" s="11" t="s">
        <v>16444</v>
      </c>
      <c r="I305" s="11" t="s">
        <v>16445</v>
      </c>
      <c r="J305" s="11" t="s">
        <v>3</v>
      </c>
      <c r="K305" s="404">
        <v>33452.160000000003</v>
      </c>
      <c r="L305" s="11">
        <v>1</v>
      </c>
      <c r="M305" s="405">
        <v>33452.160000000003</v>
      </c>
      <c r="N305" s="11" t="s">
        <v>20155</v>
      </c>
      <c r="O305" s="11" t="s">
        <v>17693</v>
      </c>
      <c r="P305" s="872">
        <v>43859</v>
      </c>
      <c r="Q305" s="423">
        <v>22008</v>
      </c>
      <c r="R305" s="423">
        <v>0</v>
      </c>
      <c r="S305" s="423">
        <v>0</v>
      </c>
      <c r="T305" s="423">
        <v>0</v>
      </c>
      <c r="U305" s="423">
        <v>22008</v>
      </c>
      <c r="V305" s="11" t="s">
        <v>20155</v>
      </c>
      <c r="W305" s="407">
        <v>33452.160000000003</v>
      </c>
      <c r="X305" s="407">
        <v>0</v>
      </c>
      <c r="Y305" s="407">
        <v>0</v>
      </c>
      <c r="Z305" s="407">
        <v>0</v>
      </c>
      <c r="AA305" s="408">
        <v>1.5200000000000002</v>
      </c>
      <c r="AB305" s="408"/>
      <c r="AC305" s="408"/>
      <c r="AD305" s="408"/>
      <c r="AE305" s="409"/>
      <c r="AF305" s="410">
        <v>0</v>
      </c>
      <c r="AG305" s="410">
        <v>0</v>
      </c>
      <c r="AH305" s="411">
        <v>1.5200000000000002</v>
      </c>
      <c r="AI305" s="411">
        <v>0</v>
      </c>
      <c r="AJ305" s="411">
        <v>0</v>
      </c>
      <c r="AK305" s="411">
        <v>0</v>
      </c>
      <c r="AL305" s="18"/>
      <c r="AM305" s="49"/>
      <c r="AN305" s="2"/>
      <c r="AO305" s="2"/>
    </row>
    <row r="306" spans="1:41" ht="13.5" hidden="1" customHeight="1">
      <c r="A306" s="14">
        <v>35</v>
      </c>
      <c r="B306" s="11" t="s">
        <v>20216</v>
      </c>
      <c r="C306" s="14">
        <v>0</v>
      </c>
      <c r="D306" s="11" t="s">
        <v>17911</v>
      </c>
      <c r="E306" s="11" t="s">
        <v>20216</v>
      </c>
      <c r="F306" s="12">
        <v>43852</v>
      </c>
      <c r="G306" s="11">
        <v>2020</v>
      </c>
      <c r="H306" s="11" t="s">
        <v>16444</v>
      </c>
      <c r="I306" s="11" t="s">
        <v>16445</v>
      </c>
      <c r="J306" s="11" t="s">
        <v>3</v>
      </c>
      <c r="K306" s="404">
        <v>66904.320000000007</v>
      </c>
      <c r="L306" s="11">
        <v>1</v>
      </c>
      <c r="M306" s="405">
        <v>66904.320000000007</v>
      </c>
      <c r="N306" s="11" t="s">
        <v>20155</v>
      </c>
      <c r="O306" s="11" t="s">
        <v>18248</v>
      </c>
      <c r="P306" s="872">
        <v>43859</v>
      </c>
      <c r="Q306" s="423">
        <v>44016</v>
      </c>
      <c r="R306" s="423">
        <v>0</v>
      </c>
      <c r="S306" s="423">
        <v>0</v>
      </c>
      <c r="T306" s="423">
        <v>0</v>
      </c>
      <c r="U306" s="423">
        <v>44016</v>
      </c>
      <c r="V306" s="11" t="s">
        <v>20155</v>
      </c>
      <c r="W306" s="407">
        <v>66904.320000000007</v>
      </c>
      <c r="X306" s="407">
        <v>0</v>
      </c>
      <c r="Y306" s="407">
        <v>0</v>
      </c>
      <c r="Z306" s="407">
        <v>0</v>
      </c>
      <c r="AA306" s="408">
        <v>1.5200000000000002</v>
      </c>
      <c r="AB306" s="408"/>
      <c r="AC306" s="408"/>
      <c r="AD306" s="408"/>
      <c r="AE306" s="409"/>
      <c r="AF306" s="410">
        <v>0</v>
      </c>
      <c r="AG306" s="410">
        <v>0</v>
      </c>
      <c r="AH306" s="411">
        <v>1.5200000000000002</v>
      </c>
      <c r="AI306" s="411">
        <v>0</v>
      </c>
      <c r="AJ306" s="411">
        <v>0</v>
      </c>
      <c r="AK306" s="411">
        <v>0</v>
      </c>
      <c r="AL306" s="18"/>
      <c r="AM306" s="49"/>
      <c r="AN306" s="2"/>
      <c r="AO306" s="2"/>
    </row>
    <row r="307" spans="1:41" ht="13.5" hidden="1" customHeight="1">
      <c r="A307" s="14">
        <v>36</v>
      </c>
      <c r="B307" s="11" t="s">
        <v>20217</v>
      </c>
      <c r="C307" s="14">
        <v>0</v>
      </c>
      <c r="D307" s="11" t="s">
        <v>17912</v>
      </c>
      <c r="E307" s="11" t="s">
        <v>20217</v>
      </c>
      <c r="F307" s="12">
        <v>43884</v>
      </c>
      <c r="G307" s="11">
        <v>2020</v>
      </c>
      <c r="H307" s="11" t="s">
        <v>16384</v>
      </c>
      <c r="I307" s="11" t="s">
        <v>16385</v>
      </c>
      <c r="J307" s="11" t="s">
        <v>3</v>
      </c>
      <c r="K307" s="404">
        <v>67266</v>
      </c>
      <c r="L307" s="11">
        <v>1</v>
      </c>
      <c r="M307" s="405">
        <v>67266</v>
      </c>
      <c r="N307" s="11" t="s">
        <v>20155</v>
      </c>
      <c r="O307" s="11" t="s">
        <v>17771</v>
      </c>
      <c r="P307" s="872">
        <v>43861</v>
      </c>
      <c r="Q307" s="423">
        <v>0</v>
      </c>
      <c r="R307" s="423">
        <v>19200</v>
      </c>
      <c r="S307" s="423">
        <v>28000</v>
      </c>
      <c r="T307" s="423">
        <v>0</v>
      </c>
      <c r="U307" s="423">
        <v>47200</v>
      </c>
      <c r="V307" s="11" t="s">
        <v>20155</v>
      </c>
      <c r="W307" s="407">
        <v>0</v>
      </c>
      <c r="X307" s="407">
        <v>28416</v>
      </c>
      <c r="Y307" s="407">
        <v>38850</v>
      </c>
      <c r="Z307" s="407">
        <v>0</v>
      </c>
      <c r="AA307" s="408"/>
      <c r="AB307" s="408">
        <v>1.48</v>
      </c>
      <c r="AC307" s="408">
        <v>1.3875</v>
      </c>
      <c r="AD307" s="408"/>
      <c r="AE307" s="409"/>
      <c r="AF307" s="410">
        <v>0</v>
      </c>
      <c r="AG307" s="410">
        <v>0</v>
      </c>
      <c r="AH307" s="411">
        <v>0</v>
      </c>
      <c r="AI307" s="412">
        <v>1.48</v>
      </c>
      <c r="AJ307" s="411">
        <v>1.3875</v>
      </c>
      <c r="AK307" s="411">
        <v>0</v>
      </c>
      <c r="AL307" s="18"/>
      <c r="AM307" s="49"/>
      <c r="AN307" s="2"/>
      <c r="AO307" s="2"/>
    </row>
    <row r="308" spans="1:41" ht="13.5" hidden="1" customHeight="1">
      <c r="A308" s="14">
        <v>37</v>
      </c>
      <c r="B308" s="11" t="s">
        <v>20218</v>
      </c>
      <c r="C308" s="14">
        <v>0</v>
      </c>
      <c r="D308" s="11" t="s">
        <v>17914</v>
      </c>
      <c r="E308" s="11" t="s">
        <v>20218</v>
      </c>
      <c r="F308" s="12">
        <v>43853</v>
      </c>
      <c r="G308" s="11">
        <v>2020</v>
      </c>
      <c r="H308" s="11" t="s">
        <v>16444</v>
      </c>
      <c r="I308" s="11" t="s">
        <v>16445</v>
      </c>
      <c r="J308" s="11" t="s">
        <v>3</v>
      </c>
      <c r="K308" s="404">
        <v>118440</v>
      </c>
      <c r="L308" s="11">
        <v>1</v>
      </c>
      <c r="M308" s="405">
        <v>118440</v>
      </c>
      <c r="N308" s="11" t="s">
        <v>20155</v>
      </c>
      <c r="O308" s="11" t="s">
        <v>18248</v>
      </c>
      <c r="P308" s="872">
        <v>43866</v>
      </c>
      <c r="Q308" s="423">
        <v>28800</v>
      </c>
      <c r="R308" s="423">
        <v>54000</v>
      </c>
      <c r="S308" s="423">
        <v>0</v>
      </c>
      <c r="T308" s="423">
        <v>0</v>
      </c>
      <c r="U308" s="423">
        <v>82800</v>
      </c>
      <c r="V308" s="11" t="s">
        <v>20155</v>
      </c>
      <c r="W308" s="407">
        <v>43920</v>
      </c>
      <c r="X308" s="407">
        <v>74520</v>
      </c>
      <c r="Y308" s="407">
        <v>0</v>
      </c>
      <c r="Z308" s="407">
        <v>0</v>
      </c>
      <c r="AA308" s="408">
        <v>1.5249999999999999</v>
      </c>
      <c r="AB308" s="408">
        <v>1.38</v>
      </c>
      <c r="AC308" s="408"/>
      <c r="AD308" s="408"/>
      <c r="AE308" s="409"/>
      <c r="AF308" s="410">
        <v>0</v>
      </c>
      <c r="AG308" s="410">
        <v>0</v>
      </c>
      <c r="AH308" s="411">
        <v>1.5249999999999999</v>
      </c>
      <c r="AI308" s="412">
        <v>1.38</v>
      </c>
      <c r="AJ308" s="411">
        <v>0</v>
      </c>
      <c r="AK308" s="411">
        <v>0</v>
      </c>
      <c r="AL308" s="18"/>
      <c r="AM308" s="49"/>
      <c r="AN308" s="2"/>
      <c r="AO308" s="2"/>
    </row>
    <row r="309" spans="1:41" ht="13.5" hidden="1" customHeight="1">
      <c r="A309" s="14">
        <v>38</v>
      </c>
      <c r="B309" s="11" t="s">
        <v>20219</v>
      </c>
      <c r="C309" s="14">
        <v>0</v>
      </c>
      <c r="D309" s="11" t="s">
        <v>17915</v>
      </c>
      <c r="E309" s="11" t="s">
        <v>20219</v>
      </c>
      <c r="F309" s="12">
        <v>43853</v>
      </c>
      <c r="G309" s="11">
        <v>2020</v>
      </c>
      <c r="H309" s="11" t="s">
        <v>17197</v>
      </c>
      <c r="I309" s="11" t="s">
        <v>17198</v>
      </c>
      <c r="J309" s="11" t="s">
        <v>16401</v>
      </c>
      <c r="K309" s="404">
        <v>353237.44300000003</v>
      </c>
      <c r="L309" s="11">
        <v>2.8304499999999999</v>
      </c>
      <c r="M309" s="405">
        <v>124799.04008196578</v>
      </c>
      <c r="N309" s="11" t="s">
        <v>20155</v>
      </c>
      <c r="O309" s="11" t="s">
        <v>17939</v>
      </c>
      <c r="P309" s="872">
        <v>43858</v>
      </c>
      <c r="Q309" s="423">
        <v>0</v>
      </c>
      <c r="R309" s="423">
        <v>224688</v>
      </c>
      <c r="S309" s="423">
        <v>20016</v>
      </c>
      <c r="T309" s="423">
        <v>0</v>
      </c>
      <c r="U309" s="423">
        <v>244704</v>
      </c>
      <c r="V309" s="11" t="s">
        <v>20155</v>
      </c>
      <c r="W309" s="407">
        <v>0</v>
      </c>
      <c r="X309" s="407">
        <v>324343.75629599998</v>
      </c>
      <c r="Y309" s="407">
        <v>28893.686471999994</v>
      </c>
      <c r="Z309" s="407">
        <v>0</v>
      </c>
      <c r="AA309" s="408"/>
      <c r="AB309" s="408">
        <v>1.4435294999999999</v>
      </c>
      <c r="AC309" s="408">
        <v>1.4435294999999997</v>
      </c>
      <c r="AD309" s="408"/>
      <c r="AE309" s="409"/>
      <c r="AF309" s="410">
        <v>0</v>
      </c>
      <c r="AG309" s="410">
        <v>0</v>
      </c>
      <c r="AH309" s="411">
        <v>0</v>
      </c>
      <c r="AI309" s="412">
        <v>1.4435294999999999</v>
      </c>
      <c r="AJ309" s="411">
        <v>1.4435294999999997</v>
      </c>
      <c r="AK309" s="411">
        <v>0</v>
      </c>
      <c r="AL309" s="18"/>
      <c r="AM309" s="49"/>
      <c r="AN309" s="2"/>
      <c r="AO309" s="2"/>
    </row>
    <row r="310" spans="1:41" ht="13.5" hidden="1" customHeight="1">
      <c r="A310" s="14">
        <v>39</v>
      </c>
      <c r="B310" s="11" t="s">
        <v>20220</v>
      </c>
      <c r="C310" s="14">
        <v>0</v>
      </c>
      <c r="D310" s="11" t="s">
        <v>17916</v>
      </c>
      <c r="E310" s="11" t="s">
        <v>20220</v>
      </c>
      <c r="F310" s="12">
        <v>43853</v>
      </c>
      <c r="G310" s="11">
        <v>2020</v>
      </c>
      <c r="H310" s="11" t="s">
        <v>16783</v>
      </c>
      <c r="I310" s="11" t="s">
        <v>16784</v>
      </c>
      <c r="J310" s="11" t="s">
        <v>16401</v>
      </c>
      <c r="K310" s="404">
        <v>224734.50099999999</v>
      </c>
      <c r="L310" s="11">
        <v>2.8321499999999999</v>
      </c>
      <c r="M310" s="405">
        <v>79351.199971752911</v>
      </c>
      <c r="N310" s="11" t="s">
        <v>20155</v>
      </c>
      <c r="O310" s="11" t="s">
        <v>17939</v>
      </c>
      <c r="P310" s="872">
        <v>43860</v>
      </c>
      <c r="Q310" s="423">
        <v>0</v>
      </c>
      <c r="R310" s="423">
        <v>154080</v>
      </c>
      <c r="S310" s="423">
        <v>0</v>
      </c>
      <c r="T310" s="423">
        <v>0</v>
      </c>
      <c r="U310" s="423">
        <v>154080</v>
      </c>
      <c r="V310" s="11" t="s">
        <v>20155</v>
      </c>
      <c r="W310" s="407">
        <v>0</v>
      </c>
      <c r="X310" s="407">
        <v>224734.50107999999</v>
      </c>
      <c r="Y310" s="407">
        <v>0</v>
      </c>
      <c r="Z310" s="407">
        <v>0</v>
      </c>
      <c r="AA310" s="408"/>
      <c r="AB310" s="408">
        <v>1.4585572499999999</v>
      </c>
      <c r="AC310" s="408"/>
      <c r="AD310" s="408"/>
      <c r="AE310" s="409"/>
      <c r="AF310" s="410">
        <v>0</v>
      </c>
      <c r="AG310" s="410">
        <v>0</v>
      </c>
      <c r="AH310" s="411">
        <v>0</v>
      </c>
      <c r="AI310" s="412">
        <v>1.4585572499999999</v>
      </c>
      <c r="AJ310" s="411">
        <v>0</v>
      </c>
      <c r="AK310" s="411">
        <v>0</v>
      </c>
      <c r="AL310" s="18"/>
      <c r="AM310" s="49"/>
      <c r="AN310" s="2"/>
      <c r="AO310" s="2"/>
    </row>
    <row r="311" spans="1:41" ht="13.5" hidden="1" customHeight="1">
      <c r="A311" s="14">
        <v>40</v>
      </c>
      <c r="B311" s="11" t="s">
        <v>20221</v>
      </c>
      <c r="C311" s="14">
        <v>0</v>
      </c>
      <c r="D311" s="11" t="s">
        <v>17918</v>
      </c>
      <c r="E311" s="11" t="s">
        <v>20221</v>
      </c>
      <c r="F311" s="12">
        <v>43866</v>
      </c>
      <c r="G311" s="11">
        <v>2020</v>
      </c>
      <c r="H311" s="11" t="s">
        <v>16838</v>
      </c>
      <c r="I311" s="11" t="s">
        <v>16839</v>
      </c>
      <c r="J311" s="11" t="s">
        <v>3</v>
      </c>
      <c r="K311" s="404">
        <v>176944.32</v>
      </c>
      <c r="L311" s="11">
        <v>1</v>
      </c>
      <c r="M311" s="405">
        <v>176944.32</v>
      </c>
      <c r="N311" s="11" t="s">
        <v>20155</v>
      </c>
      <c r="O311" s="11" t="s">
        <v>17798</v>
      </c>
      <c r="P311" s="872">
        <v>43875</v>
      </c>
      <c r="Q311" s="423">
        <v>0</v>
      </c>
      <c r="R311" s="423">
        <v>132048</v>
      </c>
      <c r="S311" s="423">
        <v>0</v>
      </c>
      <c r="T311" s="423">
        <v>0</v>
      </c>
      <c r="U311" s="423">
        <v>132048</v>
      </c>
      <c r="V311" s="11" t="s">
        <v>20155</v>
      </c>
      <c r="W311" s="407">
        <v>0</v>
      </c>
      <c r="X311" s="407">
        <v>176944.32</v>
      </c>
      <c r="Y311" s="407">
        <v>0</v>
      </c>
      <c r="Z311" s="407">
        <v>0</v>
      </c>
      <c r="AA311" s="408"/>
      <c r="AB311" s="408">
        <v>1.34</v>
      </c>
      <c r="AC311" s="408"/>
      <c r="AD311" s="408"/>
      <c r="AE311" s="409"/>
      <c r="AF311" s="410">
        <v>0</v>
      </c>
      <c r="AG311" s="410">
        <v>0</v>
      </c>
      <c r="AH311" s="411">
        <v>0</v>
      </c>
      <c r="AI311" s="412">
        <v>1.34</v>
      </c>
      <c r="AJ311" s="411">
        <v>0</v>
      </c>
      <c r="AK311" s="411">
        <v>0</v>
      </c>
      <c r="AL311" s="18"/>
      <c r="AM311" s="49"/>
      <c r="AN311" s="2"/>
      <c r="AO311" s="2"/>
    </row>
    <row r="312" spans="1:41" ht="13.5" hidden="1" customHeight="1">
      <c r="A312" s="14">
        <v>41</v>
      </c>
      <c r="B312" s="11" t="s">
        <v>20222</v>
      </c>
      <c r="C312" s="14">
        <v>0</v>
      </c>
      <c r="D312" s="11" t="s">
        <v>17919</v>
      </c>
      <c r="E312" s="11" t="s">
        <v>20222</v>
      </c>
      <c r="F312" s="12">
        <v>43866</v>
      </c>
      <c r="G312" s="11">
        <v>2020</v>
      </c>
      <c r="H312" s="11" t="s">
        <v>16384</v>
      </c>
      <c r="I312" s="11" t="s">
        <v>16385</v>
      </c>
      <c r="J312" s="11" t="s">
        <v>3</v>
      </c>
      <c r="K312" s="404">
        <v>30800</v>
      </c>
      <c r="L312" s="11">
        <v>1</v>
      </c>
      <c r="M312" s="405">
        <v>30800</v>
      </c>
      <c r="N312" s="11" t="s">
        <v>20155</v>
      </c>
      <c r="O312" s="11" t="s">
        <v>17771</v>
      </c>
      <c r="P312" s="872">
        <v>43873</v>
      </c>
      <c r="Q312" s="423">
        <v>20000</v>
      </c>
      <c r="R312" s="423">
        <v>0</v>
      </c>
      <c r="S312" s="423">
        <v>0</v>
      </c>
      <c r="T312" s="423">
        <v>0</v>
      </c>
      <c r="U312" s="423">
        <v>20000</v>
      </c>
      <c r="V312" s="11" t="s">
        <v>20155</v>
      </c>
      <c r="W312" s="407">
        <v>30800</v>
      </c>
      <c r="X312" s="407">
        <v>0</v>
      </c>
      <c r="Y312" s="407">
        <v>0</v>
      </c>
      <c r="Z312" s="407">
        <v>0</v>
      </c>
      <c r="AA312" s="408">
        <v>1.54</v>
      </c>
      <c r="AB312" s="408"/>
      <c r="AC312" s="408"/>
      <c r="AD312" s="408"/>
      <c r="AE312" s="409"/>
      <c r="AF312" s="410">
        <v>0</v>
      </c>
      <c r="AG312" s="410">
        <v>0</v>
      </c>
      <c r="AH312" s="411">
        <v>1.54</v>
      </c>
      <c r="AI312" s="411">
        <v>0</v>
      </c>
      <c r="AJ312" s="411">
        <v>0</v>
      </c>
      <c r="AK312" s="411">
        <v>0</v>
      </c>
      <c r="AL312" s="18"/>
      <c r="AM312" s="49"/>
      <c r="AN312" s="2"/>
      <c r="AO312" s="2"/>
    </row>
    <row r="313" spans="1:41" ht="13.5" hidden="1" customHeight="1">
      <c r="A313" s="14">
        <v>42</v>
      </c>
      <c r="B313" s="11" t="s">
        <v>20223</v>
      </c>
      <c r="C313" s="14">
        <v>0</v>
      </c>
      <c r="D313" s="11" t="s">
        <v>17920</v>
      </c>
      <c r="E313" s="11" t="s">
        <v>20223</v>
      </c>
      <c r="F313" s="12">
        <v>43866</v>
      </c>
      <c r="G313" s="11">
        <v>2020</v>
      </c>
      <c r="H313" s="11" t="s">
        <v>17156</v>
      </c>
      <c r="I313" s="11" t="s">
        <v>17157</v>
      </c>
      <c r="J313" s="11" t="s">
        <v>3</v>
      </c>
      <c r="K313" s="404">
        <v>63180</v>
      </c>
      <c r="L313" s="11">
        <v>1</v>
      </c>
      <c r="M313" s="405">
        <v>63180</v>
      </c>
      <c r="N313" s="11" t="s">
        <v>20155</v>
      </c>
      <c r="O313" s="11" t="s">
        <v>20161</v>
      </c>
      <c r="P313" s="872">
        <v>43879</v>
      </c>
      <c r="Q313" s="423">
        <v>0</v>
      </c>
      <c r="R313" s="423">
        <v>39000</v>
      </c>
      <c r="S313" s="423">
        <v>0</v>
      </c>
      <c r="T313" s="423">
        <v>0</v>
      </c>
      <c r="U313" s="423">
        <v>39000</v>
      </c>
      <c r="V313" s="11" t="s">
        <v>20155</v>
      </c>
      <c r="W313" s="407">
        <v>0</v>
      </c>
      <c r="X313" s="407">
        <v>63180</v>
      </c>
      <c r="Y313" s="407">
        <v>0</v>
      </c>
      <c r="Z313" s="407">
        <v>0</v>
      </c>
      <c r="AA313" s="408"/>
      <c r="AB313" s="408">
        <v>1.62</v>
      </c>
      <c r="AC313" s="408"/>
      <c r="AD313" s="408"/>
      <c r="AE313" s="409"/>
      <c r="AF313" s="410">
        <v>0</v>
      </c>
      <c r="AG313" s="410">
        <v>0</v>
      </c>
      <c r="AH313" s="411">
        <v>0</v>
      </c>
      <c r="AI313" s="412">
        <v>1.62</v>
      </c>
      <c r="AJ313" s="411">
        <v>0</v>
      </c>
      <c r="AK313" s="411">
        <v>0</v>
      </c>
      <c r="AL313" s="18"/>
      <c r="AM313" s="49"/>
      <c r="AN313" s="2"/>
      <c r="AO313" s="2"/>
    </row>
    <row r="314" spans="1:41" ht="13.5" hidden="1" customHeight="1">
      <c r="A314" s="14">
        <v>43</v>
      </c>
      <c r="B314" s="11" t="s">
        <v>20224</v>
      </c>
      <c r="C314" s="14">
        <v>0</v>
      </c>
      <c r="D314" s="11" t="s">
        <v>17922</v>
      </c>
      <c r="E314" s="11" t="s">
        <v>20224</v>
      </c>
      <c r="F314" s="12">
        <v>43866</v>
      </c>
      <c r="G314" s="11">
        <v>2020</v>
      </c>
      <c r="H314" s="11" t="s">
        <v>16957</v>
      </c>
      <c r="I314" s="11" t="s">
        <v>16958</v>
      </c>
      <c r="J314" s="11" t="s">
        <v>16401</v>
      </c>
      <c r="K314" s="404">
        <v>38121.79</v>
      </c>
      <c r="L314" s="11">
        <v>2.8662999999999998</v>
      </c>
      <c r="M314" s="405">
        <v>13300.000000000002</v>
      </c>
      <c r="N314" s="11" t="s">
        <v>20155</v>
      </c>
      <c r="O314" s="11" t="s">
        <v>20161</v>
      </c>
      <c r="P314" s="872">
        <v>43879</v>
      </c>
      <c r="Q314" s="423">
        <v>20000</v>
      </c>
      <c r="R314" s="423">
        <v>0</v>
      </c>
      <c r="S314" s="423">
        <v>0</v>
      </c>
      <c r="T314" s="423">
        <v>0</v>
      </c>
      <c r="U314" s="423">
        <v>20000</v>
      </c>
      <c r="V314" s="11" t="s">
        <v>20155</v>
      </c>
      <c r="W314" s="407">
        <v>38121.79</v>
      </c>
      <c r="X314" s="407">
        <v>0</v>
      </c>
      <c r="Y314" s="407">
        <v>0</v>
      </c>
      <c r="Z314" s="407">
        <v>0</v>
      </c>
      <c r="AA314" s="408">
        <v>1.9060895</v>
      </c>
      <c r="AB314" s="408"/>
      <c r="AC314" s="408"/>
      <c r="AD314" s="408"/>
      <c r="AE314" s="409"/>
      <c r="AF314" s="410">
        <v>4410.37</v>
      </c>
      <c r="AG314" s="410">
        <v>0.22051850000000001</v>
      </c>
      <c r="AH314" s="411">
        <v>1.6855709999999999</v>
      </c>
      <c r="AI314" s="411">
        <v>0</v>
      </c>
      <c r="AJ314" s="411">
        <v>0</v>
      </c>
      <c r="AK314" s="411">
        <v>0</v>
      </c>
      <c r="AL314" s="18"/>
      <c r="AM314" s="49"/>
      <c r="AN314" s="2"/>
      <c r="AO314" s="2"/>
    </row>
    <row r="315" spans="1:41" ht="13.5" hidden="1" customHeight="1">
      <c r="A315" s="14">
        <v>44</v>
      </c>
      <c r="B315" s="11" t="s">
        <v>20225</v>
      </c>
      <c r="C315" s="14">
        <v>0</v>
      </c>
      <c r="D315" s="11" t="s">
        <v>17924</v>
      </c>
      <c r="E315" s="11" t="s">
        <v>20225</v>
      </c>
      <c r="F315" s="12">
        <v>43866</v>
      </c>
      <c r="G315" s="11">
        <v>2020</v>
      </c>
      <c r="H315" s="11" t="s">
        <v>16880</v>
      </c>
      <c r="I315" s="11" t="s">
        <v>16881</v>
      </c>
      <c r="J315" s="11" t="s">
        <v>16401</v>
      </c>
      <c r="K315" s="404">
        <v>67517.332999999999</v>
      </c>
      <c r="L315" s="11">
        <v>2.8515999999999999</v>
      </c>
      <c r="M315" s="405">
        <v>23676.999929863938</v>
      </c>
      <c r="N315" s="11" t="s">
        <v>20155</v>
      </c>
      <c r="O315" s="11" t="s">
        <v>20156</v>
      </c>
      <c r="P315" s="872">
        <v>43887</v>
      </c>
      <c r="Q315" s="423">
        <v>360</v>
      </c>
      <c r="R315" s="423">
        <v>19180</v>
      </c>
      <c r="S315" s="423">
        <v>0</v>
      </c>
      <c r="T315" s="423">
        <v>0</v>
      </c>
      <c r="U315" s="423">
        <v>19540</v>
      </c>
      <c r="V315" s="11" t="s">
        <v>20155</v>
      </c>
      <c r="W315" s="407">
        <v>1041.9746400000001</v>
      </c>
      <c r="X315" s="407">
        <v>66475.358560000022</v>
      </c>
      <c r="Y315" s="407">
        <v>0</v>
      </c>
      <c r="Z315" s="407">
        <v>0</v>
      </c>
      <c r="AA315" s="408">
        <v>2.8943740000000004</v>
      </c>
      <c r="AB315" s="408">
        <v>3.465868538060481</v>
      </c>
      <c r="AC315" s="408"/>
      <c r="AD315" s="408"/>
      <c r="AE315" s="409"/>
      <c r="AF315" s="410">
        <v>1456.11</v>
      </c>
      <c r="AG315" s="410">
        <v>7.4519447287615143E-2</v>
      </c>
      <c r="AH315" s="411">
        <v>2.8198545527123855</v>
      </c>
      <c r="AI315" s="412">
        <v>3.3913490907728661</v>
      </c>
      <c r="AJ315" s="411">
        <v>0</v>
      </c>
      <c r="AK315" s="411">
        <v>0</v>
      </c>
      <c r="AL315" s="18"/>
      <c r="AM315" s="49"/>
      <c r="AN315" s="2"/>
      <c r="AO315" s="2"/>
    </row>
    <row r="316" spans="1:41" ht="13.5" hidden="1" customHeight="1">
      <c r="A316" s="14">
        <v>45</v>
      </c>
      <c r="B316" s="11" t="s">
        <v>20226</v>
      </c>
      <c r="C316" s="14">
        <v>0</v>
      </c>
      <c r="D316" s="11" t="s">
        <v>17926</v>
      </c>
      <c r="E316" s="11" t="s">
        <v>20226</v>
      </c>
      <c r="F316" s="12">
        <v>43866</v>
      </c>
      <c r="G316" s="11">
        <v>2020</v>
      </c>
      <c r="H316" s="11" t="s">
        <v>17226</v>
      </c>
      <c r="I316" s="11" t="s">
        <v>17227</v>
      </c>
      <c r="J316" s="11" t="s">
        <v>3</v>
      </c>
      <c r="K316" s="404">
        <v>89568</v>
      </c>
      <c r="L316" s="11">
        <v>1</v>
      </c>
      <c r="M316" s="405">
        <v>89568</v>
      </c>
      <c r="N316" s="11" t="s">
        <v>20155</v>
      </c>
      <c r="O316" s="11" t="s">
        <v>17689</v>
      </c>
      <c r="P316" s="872">
        <v>43890</v>
      </c>
      <c r="Q316" s="423">
        <v>16800</v>
      </c>
      <c r="R316" s="423">
        <v>19440</v>
      </c>
      <c r="S316" s="423">
        <v>7440</v>
      </c>
      <c r="T316" s="423">
        <v>6720</v>
      </c>
      <c r="U316" s="423">
        <v>50400</v>
      </c>
      <c r="V316" s="11" t="s">
        <v>20155</v>
      </c>
      <c r="W316" s="407">
        <v>27024</v>
      </c>
      <c r="X316" s="407">
        <v>35268</v>
      </c>
      <c r="Y316" s="407">
        <v>11904</v>
      </c>
      <c r="Z316" s="407">
        <v>15372</v>
      </c>
      <c r="AA316" s="408">
        <v>1.6085714285714285</v>
      </c>
      <c r="AB316" s="408">
        <v>1.8141975308641975</v>
      </c>
      <c r="AC316" s="408">
        <v>1.6</v>
      </c>
      <c r="AD316" s="408">
        <v>2.2875000000000001</v>
      </c>
      <c r="AE316" s="409"/>
      <c r="AF316" s="410">
        <v>0</v>
      </c>
      <c r="AG316" s="410">
        <v>0</v>
      </c>
      <c r="AH316" s="411">
        <v>1.6085714285714285</v>
      </c>
      <c r="AI316" s="412">
        <v>1.8141975308641975</v>
      </c>
      <c r="AJ316" s="411">
        <v>1.6</v>
      </c>
      <c r="AK316" s="411">
        <v>2.2875000000000001</v>
      </c>
      <c r="AL316" s="18"/>
      <c r="AM316" s="49"/>
      <c r="AN316" s="2"/>
      <c r="AO316" s="2"/>
    </row>
    <row r="317" spans="1:41" ht="13.5" hidden="1" customHeight="1">
      <c r="A317" s="14">
        <v>46</v>
      </c>
      <c r="B317" s="11" t="s">
        <v>20227</v>
      </c>
      <c r="C317" s="14">
        <v>0</v>
      </c>
      <c r="D317" s="11" t="s">
        <v>17927</v>
      </c>
      <c r="E317" s="11" t="s">
        <v>20227</v>
      </c>
      <c r="F317" s="12">
        <v>43866</v>
      </c>
      <c r="G317" s="11">
        <v>2020</v>
      </c>
      <c r="H317" s="11" t="s">
        <v>17209</v>
      </c>
      <c r="I317" s="11" t="s">
        <v>17210</v>
      </c>
      <c r="J317" s="11" t="s">
        <v>16401</v>
      </c>
      <c r="K317" s="404">
        <v>97273.623000000007</v>
      </c>
      <c r="L317" s="11">
        <v>2.8662999999999998</v>
      </c>
      <c r="M317" s="405">
        <v>33936.99996511182</v>
      </c>
      <c r="N317" s="11" t="s">
        <v>20155</v>
      </c>
      <c r="O317" s="11" t="s">
        <v>20168</v>
      </c>
      <c r="P317" s="872">
        <v>43878</v>
      </c>
      <c r="Q317" s="423">
        <v>10800</v>
      </c>
      <c r="R317" s="423">
        <v>33000</v>
      </c>
      <c r="S317" s="423">
        <v>8400</v>
      </c>
      <c r="T317" s="423">
        <v>1000</v>
      </c>
      <c r="U317" s="423">
        <v>53200</v>
      </c>
      <c r="V317" s="11" t="s">
        <v>20155</v>
      </c>
      <c r="W317" s="407">
        <v>17644.942800000001</v>
      </c>
      <c r="X317" s="407">
        <v>53442.163499999988</v>
      </c>
      <c r="Y317" s="407">
        <v>13603.459800000001</v>
      </c>
      <c r="Z317" s="407">
        <v>3812.1790000000001</v>
      </c>
      <c r="AA317" s="408">
        <v>1.633791</v>
      </c>
      <c r="AB317" s="408">
        <v>1.6194594999999996</v>
      </c>
      <c r="AC317" s="408">
        <v>1.6194595000000001</v>
      </c>
      <c r="AD317" s="408">
        <v>3.812179</v>
      </c>
      <c r="AE317" s="409"/>
      <c r="AF317" s="410">
        <v>11038.6</v>
      </c>
      <c r="AG317" s="410">
        <v>0.20749248120300753</v>
      </c>
      <c r="AH317" s="411">
        <v>1.4262985187969925</v>
      </c>
      <c r="AI317" s="412">
        <v>1.4119670187969922</v>
      </c>
      <c r="AJ317" s="411">
        <v>1.4119670187969926</v>
      </c>
      <c r="AK317" s="411">
        <v>3.6046865187969925</v>
      </c>
      <c r="AL317" s="18"/>
      <c r="AM317" s="49"/>
      <c r="AN317" s="2"/>
      <c r="AO317" s="2"/>
    </row>
    <row r="318" spans="1:41" ht="13.5" hidden="1" customHeight="1">
      <c r="A318" s="14">
        <v>47</v>
      </c>
      <c r="B318" s="11" t="s">
        <v>20228</v>
      </c>
      <c r="C318" s="14">
        <v>0</v>
      </c>
      <c r="D318" s="11" t="s">
        <v>17929</v>
      </c>
      <c r="E318" s="11" t="s">
        <v>20228</v>
      </c>
      <c r="F318" s="12">
        <v>43866</v>
      </c>
      <c r="G318" s="11">
        <v>2020</v>
      </c>
      <c r="H318" s="11" t="s">
        <v>16838</v>
      </c>
      <c r="I318" s="11" t="s">
        <v>16839</v>
      </c>
      <c r="J318" s="11" t="s">
        <v>3</v>
      </c>
      <c r="K318" s="404">
        <v>161641.48000000001</v>
      </c>
      <c r="L318" s="11">
        <v>1</v>
      </c>
      <c r="M318" s="405">
        <v>161641.48000000001</v>
      </c>
      <c r="N318" s="11" t="s">
        <v>20155</v>
      </c>
      <c r="O318" s="11" t="s">
        <v>17949</v>
      </c>
      <c r="P318" s="872">
        <v>43878</v>
      </c>
      <c r="Q318" s="423">
        <v>84524</v>
      </c>
      <c r="R318" s="423">
        <v>18500</v>
      </c>
      <c r="S318" s="423">
        <v>3000</v>
      </c>
      <c r="T318" s="423">
        <v>0</v>
      </c>
      <c r="U318" s="423">
        <v>106024</v>
      </c>
      <c r="V318" s="11" t="s">
        <v>20155</v>
      </c>
      <c r="W318" s="407">
        <v>128846.48</v>
      </c>
      <c r="X318" s="407">
        <v>28535</v>
      </c>
      <c r="Y318" s="407">
        <v>4260</v>
      </c>
      <c r="Z318" s="407">
        <v>0</v>
      </c>
      <c r="AA318" s="408">
        <v>1.5243774549240452</v>
      </c>
      <c r="AB318" s="408">
        <v>1.5424324324324323</v>
      </c>
      <c r="AC318" s="408">
        <v>1.42</v>
      </c>
      <c r="AD318" s="408"/>
      <c r="AE318" s="409"/>
      <c r="AF318" s="410">
        <v>0</v>
      </c>
      <c r="AG318" s="410">
        <v>0</v>
      </c>
      <c r="AH318" s="411">
        <v>1.5243774549240452</v>
      </c>
      <c r="AI318" s="412">
        <v>1.5424324324324323</v>
      </c>
      <c r="AJ318" s="411">
        <v>1.42</v>
      </c>
      <c r="AK318" s="411">
        <v>0</v>
      </c>
      <c r="AL318" s="18"/>
      <c r="AM318" s="49"/>
      <c r="AN318" s="2"/>
      <c r="AO318" s="2"/>
    </row>
    <row r="319" spans="1:41" ht="13.5" hidden="1" customHeight="1">
      <c r="A319" s="14">
        <v>48</v>
      </c>
      <c r="B319" s="11" t="s">
        <v>20229</v>
      </c>
      <c r="C319" s="14">
        <v>0</v>
      </c>
      <c r="D319" s="11" t="s">
        <v>17931</v>
      </c>
      <c r="E319" s="11" t="s">
        <v>20229</v>
      </c>
      <c r="F319" s="12">
        <v>43868</v>
      </c>
      <c r="G319" s="11">
        <v>2020</v>
      </c>
      <c r="H319" s="11" t="s">
        <v>16444</v>
      </c>
      <c r="I319" s="11" t="s">
        <v>16445</v>
      </c>
      <c r="J319" s="11" t="s">
        <v>3</v>
      </c>
      <c r="K319" s="404">
        <v>33480</v>
      </c>
      <c r="L319" s="11">
        <v>1</v>
      </c>
      <c r="M319" s="405">
        <v>33480</v>
      </c>
      <c r="N319" s="11" t="s">
        <v>20155</v>
      </c>
      <c r="O319" s="11" t="s">
        <v>17693</v>
      </c>
      <c r="P319" s="872">
        <v>43873</v>
      </c>
      <c r="Q319" s="423">
        <v>21600</v>
      </c>
      <c r="R319" s="423">
        <v>0</v>
      </c>
      <c r="S319" s="423">
        <v>0</v>
      </c>
      <c r="T319" s="423">
        <v>0</v>
      </c>
      <c r="U319" s="423">
        <v>21600</v>
      </c>
      <c r="V319" s="11" t="s">
        <v>20155</v>
      </c>
      <c r="W319" s="407">
        <v>33480</v>
      </c>
      <c r="X319" s="407">
        <v>0</v>
      </c>
      <c r="Y319" s="407">
        <v>0</v>
      </c>
      <c r="Z319" s="407">
        <v>0</v>
      </c>
      <c r="AA319" s="408">
        <v>1.55</v>
      </c>
      <c r="AB319" s="408"/>
      <c r="AC319" s="408"/>
      <c r="AD319" s="408"/>
      <c r="AE319" s="409"/>
      <c r="AF319" s="410">
        <v>0</v>
      </c>
      <c r="AG319" s="410">
        <v>0</v>
      </c>
      <c r="AH319" s="411">
        <v>1.55</v>
      </c>
      <c r="AI319" s="411">
        <v>0</v>
      </c>
      <c r="AJ319" s="411">
        <v>0</v>
      </c>
      <c r="AK319" s="411">
        <v>0</v>
      </c>
      <c r="AL319" s="18"/>
      <c r="AM319" s="49"/>
      <c r="AN319" s="2"/>
      <c r="AO319" s="2"/>
    </row>
    <row r="320" spans="1:41" ht="13.5" hidden="1" customHeight="1">
      <c r="A320" s="50">
        <v>49</v>
      </c>
      <c r="B320" s="1" t="s">
        <v>20230</v>
      </c>
      <c r="C320" s="50">
        <v>0</v>
      </c>
      <c r="D320" s="1" t="s">
        <v>17932</v>
      </c>
      <c r="E320" s="1" t="s">
        <v>20230</v>
      </c>
      <c r="F320" s="38">
        <v>43869</v>
      </c>
      <c r="G320" s="1">
        <v>2020</v>
      </c>
      <c r="H320" s="1" t="s">
        <v>17017</v>
      </c>
      <c r="I320" s="11" t="s">
        <v>17018</v>
      </c>
      <c r="J320" s="11" t="s">
        <v>3</v>
      </c>
      <c r="K320" s="404">
        <v>85680</v>
      </c>
      <c r="L320" s="11">
        <v>1</v>
      </c>
      <c r="M320" s="405">
        <v>85680</v>
      </c>
      <c r="N320" s="11" t="s">
        <v>20155</v>
      </c>
      <c r="O320" s="11" t="s">
        <v>20158</v>
      </c>
      <c r="P320" s="872">
        <v>43928</v>
      </c>
      <c r="Q320" s="439">
        <v>0</v>
      </c>
      <c r="R320" s="439">
        <v>0</v>
      </c>
      <c r="S320" s="439">
        <v>50400</v>
      </c>
      <c r="T320" s="439">
        <v>0</v>
      </c>
      <c r="U320" s="439">
        <v>50400</v>
      </c>
      <c r="V320" s="1" t="s">
        <v>20231</v>
      </c>
      <c r="W320" s="47">
        <v>0</v>
      </c>
      <c r="X320" s="47">
        <v>0</v>
      </c>
      <c r="Y320" s="47">
        <v>85680</v>
      </c>
      <c r="Z320" s="47">
        <v>0</v>
      </c>
      <c r="AA320" s="440"/>
      <c r="AB320" s="441"/>
      <c r="AC320" s="441">
        <v>1.7</v>
      </c>
      <c r="AD320" s="441"/>
      <c r="AE320" s="48"/>
      <c r="AF320" s="442">
        <v>0</v>
      </c>
      <c r="AG320" s="442">
        <v>0</v>
      </c>
      <c r="AH320" s="443">
        <v>0</v>
      </c>
      <c r="AI320" s="443">
        <v>0</v>
      </c>
      <c r="AJ320" s="443">
        <v>1.7</v>
      </c>
      <c r="AK320" s="443">
        <v>0</v>
      </c>
      <c r="AL320" s="18"/>
      <c r="AM320" s="49"/>
      <c r="AN320" s="2"/>
      <c r="AO320" s="2"/>
    </row>
    <row r="321" spans="1:41" ht="13.5" hidden="1" customHeight="1">
      <c r="A321" s="14">
        <v>50</v>
      </c>
      <c r="B321" s="11" t="s">
        <v>20232</v>
      </c>
      <c r="C321" s="14">
        <v>0</v>
      </c>
      <c r="D321" s="11" t="s">
        <v>17934</v>
      </c>
      <c r="E321" s="11" t="s">
        <v>20232</v>
      </c>
      <c r="F321" s="12">
        <v>43870</v>
      </c>
      <c r="G321" s="11">
        <v>2020</v>
      </c>
      <c r="H321" s="11" t="s">
        <v>16444</v>
      </c>
      <c r="I321" s="11" t="s">
        <v>16445</v>
      </c>
      <c r="J321" s="11" t="s">
        <v>3</v>
      </c>
      <c r="K321" s="404">
        <v>385000</v>
      </c>
      <c r="L321" s="11">
        <v>1</v>
      </c>
      <c r="M321" s="405">
        <v>385000</v>
      </c>
      <c r="N321" s="11" t="s">
        <v>20155</v>
      </c>
      <c r="O321" s="11" t="s">
        <v>17801</v>
      </c>
      <c r="P321" s="872">
        <v>43881</v>
      </c>
      <c r="Q321" s="423">
        <v>0</v>
      </c>
      <c r="R321" s="423">
        <v>308000</v>
      </c>
      <c r="S321" s="423">
        <v>0</v>
      </c>
      <c r="T321" s="423">
        <v>0</v>
      </c>
      <c r="U321" s="423">
        <v>308000</v>
      </c>
      <c r="V321" s="11" t="s">
        <v>20155</v>
      </c>
      <c r="W321" s="407">
        <v>0</v>
      </c>
      <c r="X321" s="407">
        <v>385000</v>
      </c>
      <c r="Y321" s="407">
        <v>0</v>
      </c>
      <c r="Z321" s="407">
        <v>0</v>
      </c>
      <c r="AA321" s="408"/>
      <c r="AB321" s="408">
        <v>1.25</v>
      </c>
      <c r="AC321" s="408"/>
      <c r="AD321" s="408"/>
      <c r="AE321" s="409"/>
      <c r="AF321" s="410">
        <v>0</v>
      </c>
      <c r="AG321" s="410">
        <v>0</v>
      </c>
      <c r="AH321" s="411">
        <v>0</v>
      </c>
      <c r="AI321" s="412">
        <v>1.25</v>
      </c>
      <c r="AJ321" s="411">
        <v>0</v>
      </c>
      <c r="AK321" s="411">
        <v>0</v>
      </c>
      <c r="AL321" s="18"/>
      <c r="AM321" s="49"/>
      <c r="AN321" s="2"/>
      <c r="AO321" s="2"/>
    </row>
    <row r="322" spans="1:41" ht="13.5" hidden="1" customHeight="1">
      <c r="A322" s="14">
        <v>51</v>
      </c>
      <c r="B322" s="11" t="s">
        <v>20233</v>
      </c>
      <c r="C322" s="14">
        <v>0</v>
      </c>
      <c r="D322" s="11" t="s">
        <v>17935</v>
      </c>
      <c r="E322" s="11" t="s">
        <v>20233</v>
      </c>
      <c r="F322" s="12">
        <v>43871</v>
      </c>
      <c r="G322" s="11">
        <v>2020</v>
      </c>
      <c r="H322" s="11" t="s">
        <v>16444</v>
      </c>
      <c r="I322" s="11" t="s">
        <v>16445</v>
      </c>
      <c r="J322" s="11" t="s">
        <v>3</v>
      </c>
      <c r="K322" s="404">
        <v>347200</v>
      </c>
      <c r="L322" s="11">
        <v>1</v>
      </c>
      <c r="M322" s="405">
        <v>347200</v>
      </c>
      <c r="N322" s="11" t="s">
        <v>20155</v>
      </c>
      <c r="O322" s="11" t="s">
        <v>17801</v>
      </c>
      <c r="P322" s="872">
        <v>43887</v>
      </c>
      <c r="Q322" s="423">
        <v>0</v>
      </c>
      <c r="R322" s="423">
        <v>0</v>
      </c>
      <c r="S322" s="423">
        <v>280000</v>
      </c>
      <c r="T322" s="423">
        <v>0</v>
      </c>
      <c r="U322" s="423">
        <v>280000</v>
      </c>
      <c r="V322" s="11" t="s">
        <v>20155</v>
      </c>
      <c r="W322" s="407">
        <v>0</v>
      </c>
      <c r="X322" s="407">
        <v>0</v>
      </c>
      <c r="Y322" s="407">
        <v>347200</v>
      </c>
      <c r="Z322" s="407">
        <v>0</v>
      </c>
      <c r="AA322" s="408"/>
      <c r="AB322" s="408"/>
      <c r="AC322" s="408">
        <v>1.24</v>
      </c>
      <c r="AD322" s="408"/>
      <c r="AE322" s="409"/>
      <c r="AF322" s="410">
        <v>0</v>
      </c>
      <c r="AG322" s="410">
        <v>0</v>
      </c>
      <c r="AH322" s="411">
        <v>0</v>
      </c>
      <c r="AI322" s="411">
        <v>0</v>
      </c>
      <c r="AJ322" s="411">
        <v>1.24</v>
      </c>
      <c r="AK322" s="411">
        <v>0</v>
      </c>
      <c r="AL322" s="18"/>
      <c r="AM322" s="49"/>
      <c r="AN322" s="2"/>
      <c r="AO322" s="2"/>
    </row>
    <row r="323" spans="1:41" ht="13.5" hidden="1" customHeight="1">
      <c r="A323" s="14">
        <v>52</v>
      </c>
      <c r="B323" s="11" t="s">
        <v>20234</v>
      </c>
      <c r="C323" s="14">
        <v>0</v>
      </c>
      <c r="D323" s="11" t="s">
        <v>17937</v>
      </c>
      <c r="E323" s="11" t="s">
        <v>20234</v>
      </c>
      <c r="F323" s="12">
        <v>43874</v>
      </c>
      <c r="G323" s="11">
        <v>2020</v>
      </c>
      <c r="H323" s="11" t="s">
        <v>17017</v>
      </c>
      <c r="I323" s="11" t="s">
        <v>17018</v>
      </c>
      <c r="J323" s="11" t="s">
        <v>3</v>
      </c>
      <c r="K323" s="404">
        <v>31600</v>
      </c>
      <c r="L323" s="11">
        <v>1</v>
      </c>
      <c r="M323" s="405">
        <v>31600</v>
      </c>
      <c r="N323" s="11" t="s">
        <v>20155</v>
      </c>
      <c r="O323" s="11" t="s">
        <v>18064</v>
      </c>
      <c r="P323" s="872">
        <v>43879</v>
      </c>
      <c r="Q323" s="423">
        <v>0</v>
      </c>
      <c r="R323" s="423">
        <v>20000</v>
      </c>
      <c r="S323" s="423">
        <v>0</v>
      </c>
      <c r="T323" s="423">
        <v>0</v>
      </c>
      <c r="U323" s="423">
        <v>20000</v>
      </c>
      <c r="V323" s="11" t="s">
        <v>20155</v>
      </c>
      <c r="W323" s="407">
        <v>0</v>
      </c>
      <c r="X323" s="407">
        <v>31600</v>
      </c>
      <c r="Y323" s="407">
        <v>0</v>
      </c>
      <c r="Z323" s="407">
        <v>0</v>
      </c>
      <c r="AA323" s="431"/>
      <c r="AB323" s="408">
        <v>1.58</v>
      </c>
      <c r="AC323" s="408"/>
      <c r="AD323" s="408"/>
      <c r="AE323" s="409"/>
      <c r="AF323" s="410">
        <v>0</v>
      </c>
      <c r="AG323" s="410">
        <v>0</v>
      </c>
      <c r="AH323" s="411">
        <v>0</v>
      </c>
      <c r="AI323" s="412">
        <v>1.58</v>
      </c>
      <c r="AJ323" s="411">
        <v>0</v>
      </c>
      <c r="AK323" s="411">
        <v>0</v>
      </c>
      <c r="AL323" s="18"/>
      <c r="AM323" s="49"/>
      <c r="AN323" s="2"/>
      <c r="AO323" s="2"/>
    </row>
    <row r="324" spans="1:41" ht="13.5" hidden="1" customHeight="1">
      <c r="A324" s="14">
        <v>53</v>
      </c>
      <c r="B324" s="11" t="s">
        <v>20235</v>
      </c>
      <c r="C324" s="14">
        <v>0</v>
      </c>
      <c r="D324" s="11" t="s">
        <v>17938</v>
      </c>
      <c r="E324" s="11" t="s">
        <v>20235</v>
      </c>
      <c r="F324" s="12">
        <v>43873</v>
      </c>
      <c r="G324" s="11">
        <v>2020</v>
      </c>
      <c r="H324" s="11" t="s">
        <v>16783</v>
      </c>
      <c r="I324" s="11" t="s">
        <v>16784</v>
      </c>
      <c r="J324" s="11" t="s">
        <v>16401</v>
      </c>
      <c r="K324" s="404">
        <v>398507.42200000002</v>
      </c>
      <c r="L324" s="11">
        <v>2.8662999999999998</v>
      </c>
      <c r="M324" s="405">
        <v>139032.00013955275</v>
      </c>
      <c r="N324" s="11" t="s">
        <v>20155</v>
      </c>
      <c r="O324" s="11" t="s">
        <v>17939</v>
      </c>
      <c r="P324" s="872">
        <v>43879</v>
      </c>
      <c r="Q324" s="423">
        <v>24000</v>
      </c>
      <c r="R324" s="423">
        <v>216000</v>
      </c>
      <c r="S324" s="423">
        <v>28800</v>
      </c>
      <c r="T324" s="423">
        <v>0</v>
      </c>
      <c r="U324" s="423">
        <v>268800</v>
      </c>
      <c r="V324" s="11" t="s">
        <v>20155</v>
      </c>
      <c r="W324" s="407">
        <v>37147.248</v>
      </c>
      <c r="X324" s="407">
        <v>318847.21200000006</v>
      </c>
      <c r="Y324" s="407">
        <v>42512.961600000002</v>
      </c>
      <c r="Z324" s="407">
        <v>0</v>
      </c>
      <c r="AA324" s="408">
        <v>1.5478019999999999</v>
      </c>
      <c r="AB324" s="408">
        <v>1.4761445000000002</v>
      </c>
      <c r="AC324" s="408">
        <v>1.4761445000000002</v>
      </c>
      <c r="AD324" s="408"/>
      <c r="AE324" s="409"/>
      <c r="AF324" s="410">
        <v>0</v>
      </c>
      <c r="AG324" s="410">
        <v>0</v>
      </c>
      <c r="AH324" s="411">
        <v>1.5478019999999999</v>
      </c>
      <c r="AI324" s="412">
        <v>1.4761445000000002</v>
      </c>
      <c r="AJ324" s="411">
        <v>1.4761445000000002</v>
      </c>
      <c r="AK324" s="411">
        <v>0</v>
      </c>
      <c r="AL324" s="18"/>
      <c r="AM324" s="49"/>
      <c r="AN324" s="2"/>
      <c r="AO324" s="2"/>
    </row>
    <row r="325" spans="1:41" ht="13.5" hidden="1" customHeight="1">
      <c r="A325" s="14">
        <v>54</v>
      </c>
      <c r="B325" s="11" t="s">
        <v>20236</v>
      </c>
      <c r="C325" s="14">
        <v>0</v>
      </c>
      <c r="D325" s="11" t="s">
        <v>17940</v>
      </c>
      <c r="E325" s="11" t="s">
        <v>20236</v>
      </c>
      <c r="F325" s="12">
        <v>43875</v>
      </c>
      <c r="G325" s="11">
        <v>2020</v>
      </c>
      <c r="H325" s="11" t="s">
        <v>16904</v>
      </c>
      <c r="I325" s="11" t="s">
        <v>16905</v>
      </c>
      <c r="J325" s="11" t="s">
        <v>16482</v>
      </c>
      <c r="K325" s="404">
        <v>51420.807999999997</v>
      </c>
      <c r="L325" s="11">
        <v>3.1456499999999998</v>
      </c>
      <c r="M325" s="405">
        <v>16346.639963123678</v>
      </c>
      <c r="N325" s="11" t="s">
        <v>20155</v>
      </c>
      <c r="O325" s="11" t="s">
        <v>20160</v>
      </c>
      <c r="P325" s="872">
        <v>43889</v>
      </c>
      <c r="Q325" s="423">
        <v>0</v>
      </c>
      <c r="R325" s="423">
        <v>18936</v>
      </c>
      <c r="S325" s="423">
        <v>8400</v>
      </c>
      <c r="T325" s="423">
        <v>0</v>
      </c>
      <c r="U325" s="423">
        <v>27336</v>
      </c>
      <c r="V325" s="11" t="s">
        <v>20155</v>
      </c>
      <c r="W325" s="407">
        <v>0</v>
      </c>
      <c r="X325" s="407">
        <v>29187.353915999996</v>
      </c>
      <c r="Y325" s="407">
        <v>12796.504199999999</v>
      </c>
      <c r="Z325" s="407">
        <v>0</v>
      </c>
      <c r="AA325" s="408"/>
      <c r="AB325" s="408">
        <v>1.5413684999999999</v>
      </c>
      <c r="AC325" s="408">
        <v>1.5233933571428571</v>
      </c>
      <c r="AD325" s="408"/>
      <c r="AE325" s="409"/>
      <c r="AF325" s="410">
        <v>10269.209999999999</v>
      </c>
      <c r="AG325" s="410">
        <v>0.37566615452151009</v>
      </c>
      <c r="AH325" s="411">
        <v>0</v>
      </c>
      <c r="AI325" s="412">
        <v>1.1657023454784898</v>
      </c>
      <c r="AJ325" s="411">
        <v>1.147727202621347</v>
      </c>
      <c r="AK325" s="411">
        <v>0</v>
      </c>
      <c r="AL325" s="18"/>
      <c r="AM325" s="49"/>
      <c r="AN325" s="2"/>
      <c r="AO325" s="2"/>
    </row>
    <row r="326" spans="1:41" ht="13.5" hidden="1" customHeight="1">
      <c r="A326" s="14">
        <v>55</v>
      </c>
      <c r="B326" s="11" t="s">
        <v>20237</v>
      </c>
      <c r="C326" s="14">
        <v>0</v>
      </c>
      <c r="D326" s="11" t="s">
        <v>17942</v>
      </c>
      <c r="E326" s="11" t="s">
        <v>20237</v>
      </c>
      <c r="F326" s="12">
        <v>43875</v>
      </c>
      <c r="G326" s="11">
        <v>2020</v>
      </c>
      <c r="H326" s="11" t="s">
        <v>16444</v>
      </c>
      <c r="I326" s="11" t="s">
        <v>16445</v>
      </c>
      <c r="J326" s="11" t="s">
        <v>3</v>
      </c>
      <c r="K326" s="404">
        <v>30144</v>
      </c>
      <c r="L326" s="11">
        <v>1</v>
      </c>
      <c r="M326" s="405">
        <v>30144</v>
      </c>
      <c r="N326" s="11" t="s">
        <v>20155</v>
      </c>
      <c r="O326" s="11" t="s">
        <v>18248</v>
      </c>
      <c r="P326" s="872">
        <v>43901</v>
      </c>
      <c r="Q326" s="423">
        <v>19200</v>
      </c>
      <c r="R326" s="423">
        <v>0</v>
      </c>
      <c r="S326" s="423">
        <v>0</v>
      </c>
      <c r="T326" s="423">
        <v>0</v>
      </c>
      <c r="U326" s="423">
        <v>19200</v>
      </c>
      <c r="V326" s="11" t="s">
        <v>20155</v>
      </c>
      <c r="W326" s="407">
        <v>30144</v>
      </c>
      <c r="X326" s="407">
        <v>0</v>
      </c>
      <c r="Y326" s="407">
        <v>0</v>
      </c>
      <c r="Z326" s="407">
        <v>0</v>
      </c>
      <c r="AA326" s="408">
        <v>1.57</v>
      </c>
      <c r="AB326" s="408"/>
      <c r="AC326" s="408"/>
      <c r="AD326" s="408"/>
      <c r="AE326" s="409"/>
      <c r="AF326" s="410">
        <v>0</v>
      </c>
      <c r="AG326" s="410">
        <v>0</v>
      </c>
      <c r="AH326" s="411">
        <v>1.57</v>
      </c>
      <c r="AI326" s="411">
        <v>0</v>
      </c>
      <c r="AJ326" s="411">
        <v>0</v>
      </c>
      <c r="AK326" s="411">
        <v>0</v>
      </c>
      <c r="AL326" s="18"/>
      <c r="AM326" s="49"/>
      <c r="AN326" s="2"/>
      <c r="AO326" s="2"/>
    </row>
    <row r="327" spans="1:41" ht="13.5" hidden="1" customHeight="1">
      <c r="A327" s="14">
        <v>56</v>
      </c>
      <c r="B327" s="11" t="s">
        <v>20238</v>
      </c>
      <c r="C327" s="14">
        <v>0</v>
      </c>
      <c r="D327" s="11" t="s">
        <v>17943</v>
      </c>
      <c r="E327" s="11" t="s">
        <v>20238</v>
      </c>
      <c r="F327" s="12">
        <v>43876</v>
      </c>
      <c r="G327" s="11">
        <v>2020</v>
      </c>
      <c r="H327" s="11" t="s">
        <v>16957</v>
      </c>
      <c r="I327" s="11" t="s">
        <v>16958</v>
      </c>
      <c r="J327" s="11" t="s">
        <v>16401</v>
      </c>
      <c r="K327" s="404">
        <v>38326.61</v>
      </c>
      <c r="L327" s="11">
        <v>2.8816999999999999</v>
      </c>
      <c r="M327" s="405">
        <v>13300</v>
      </c>
      <c r="N327" s="11" t="s">
        <v>20155</v>
      </c>
      <c r="O327" s="11" t="s">
        <v>20161</v>
      </c>
      <c r="P327" s="872">
        <v>43889</v>
      </c>
      <c r="Q327" s="423">
        <v>20000</v>
      </c>
      <c r="R327" s="423">
        <v>0</v>
      </c>
      <c r="S327" s="423">
        <v>0</v>
      </c>
      <c r="T327" s="423">
        <v>0</v>
      </c>
      <c r="U327" s="423">
        <v>20000</v>
      </c>
      <c r="V327" s="11" t="s">
        <v>20155</v>
      </c>
      <c r="W327" s="407">
        <v>38326.61</v>
      </c>
      <c r="X327" s="407">
        <v>0</v>
      </c>
      <c r="Y327" s="407">
        <v>0</v>
      </c>
      <c r="Z327" s="407">
        <v>0</v>
      </c>
      <c r="AA327" s="408">
        <v>1.9163304999999999</v>
      </c>
      <c r="AB327" s="408"/>
      <c r="AC327" s="408"/>
      <c r="AD327" s="408"/>
      <c r="AE327" s="409"/>
      <c r="AF327" s="410">
        <v>4230.9660000000003</v>
      </c>
      <c r="AG327" s="410">
        <v>0.21154830000000002</v>
      </c>
      <c r="AH327" s="411">
        <v>1.7047821999999999</v>
      </c>
      <c r="AI327" s="411">
        <v>0</v>
      </c>
      <c r="AJ327" s="411">
        <v>0</v>
      </c>
      <c r="AK327" s="411">
        <v>0</v>
      </c>
      <c r="AL327" s="18"/>
      <c r="AM327" s="49"/>
      <c r="AN327" s="2"/>
      <c r="AO327" s="2"/>
    </row>
    <row r="328" spans="1:41" hidden="1">
      <c r="A328" s="14">
        <v>57</v>
      </c>
      <c r="B328" s="11" t="s">
        <v>20239</v>
      </c>
      <c r="C328" s="14">
        <v>0</v>
      </c>
      <c r="D328" s="11" t="s">
        <v>17945</v>
      </c>
      <c r="E328" s="11" t="s">
        <v>20239</v>
      </c>
      <c r="F328" s="12">
        <v>43877</v>
      </c>
      <c r="G328" s="11">
        <v>2020</v>
      </c>
      <c r="H328" s="11" t="s">
        <v>16957</v>
      </c>
      <c r="I328" s="11" t="s">
        <v>16958</v>
      </c>
      <c r="J328" s="11" t="s">
        <v>16401</v>
      </c>
      <c r="K328" s="404">
        <v>39860.61</v>
      </c>
      <c r="L328" s="11">
        <v>2.8884500000000002</v>
      </c>
      <c r="M328" s="405">
        <v>13800</v>
      </c>
      <c r="N328" s="11" t="s">
        <v>20155</v>
      </c>
      <c r="O328" s="11" t="s">
        <v>20161</v>
      </c>
      <c r="P328" s="872">
        <v>43886</v>
      </c>
      <c r="Q328" s="423">
        <v>20000</v>
      </c>
      <c r="R328" s="423">
        <v>0</v>
      </c>
      <c r="S328" s="423">
        <v>0</v>
      </c>
      <c r="T328" s="423">
        <v>0</v>
      </c>
      <c r="U328" s="423">
        <v>20000</v>
      </c>
      <c r="V328" s="11" t="s">
        <v>20155</v>
      </c>
      <c r="W328" s="407">
        <v>39860.610000000008</v>
      </c>
      <c r="X328" s="407">
        <v>0</v>
      </c>
      <c r="Y328" s="407">
        <v>0</v>
      </c>
      <c r="Z328" s="407">
        <v>0</v>
      </c>
      <c r="AA328" s="408">
        <v>1.9930305000000004</v>
      </c>
      <c r="AB328" s="408"/>
      <c r="AC328" s="408"/>
      <c r="AD328" s="408"/>
      <c r="AE328" s="409"/>
      <c r="AF328" s="410">
        <v>4895.0600000000004</v>
      </c>
      <c r="AG328" s="410">
        <v>0.24475300000000003</v>
      </c>
      <c r="AH328" s="411">
        <v>1.7482775000000004</v>
      </c>
      <c r="AI328" s="411">
        <v>0</v>
      </c>
      <c r="AJ328" s="411">
        <v>0</v>
      </c>
      <c r="AK328" s="411">
        <v>0</v>
      </c>
      <c r="AL328" s="18"/>
      <c r="AM328" s="49"/>
      <c r="AN328" s="2"/>
      <c r="AO328" s="2"/>
    </row>
    <row r="329" spans="1:41" hidden="1">
      <c r="A329" s="14">
        <v>58</v>
      </c>
      <c r="B329" s="11" t="s">
        <v>20240</v>
      </c>
      <c r="C329" s="14">
        <v>0</v>
      </c>
      <c r="D329" s="11" t="s">
        <v>17947</v>
      </c>
      <c r="E329" s="11" t="s">
        <v>20240</v>
      </c>
      <c r="F329" s="12">
        <v>43878</v>
      </c>
      <c r="G329" s="11">
        <v>2020</v>
      </c>
      <c r="H329" s="11" t="s">
        <v>16384</v>
      </c>
      <c r="I329" s="11" t="s">
        <v>16385</v>
      </c>
      <c r="J329" s="11" t="s">
        <v>3</v>
      </c>
      <c r="K329" s="404">
        <v>50050</v>
      </c>
      <c r="L329" s="11">
        <v>1</v>
      </c>
      <c r="M329" s="405">
        <v>50050</v>
      </c>
      <c r="N329" s="11" t="s">
        <v>20155</v>
      </c>
      <c r="O329" s="11" t="s">
        <v>17771</v>
      </c>
      <c r="P329" s="872">
        <v>43902</v>
      </c>
      <c r="Q329" s="423">
        <v>32500</v>
      </c>
      <c r="R329" s="423">
        <v>0</v>
      </c>
      <c r="S329" s="423">
        <v>0</v>
      </c>
      <c r="T329" s="423">
        <v>0</v>
      </c>
      <c r="U329" s="423">
        <v>32500</v>
      </c>
      <c r="V329" s="11" t="s">
        <v>20155</v>
      </c>
      <c r="W329" s="407">
        <v>50050</v>
      </c>
      <c r="X329" s="407">
        <v>0</v>
      </c>
      <c r="Y329" s="407">
        <v>0</v>
      </c>
      <c r="Z329" s="407">
        <v>0</v>
      </c>
      <c r="AA329" s="408">
        <v>1.54</v>
      </c>
      <c r="AB329" s="408"/>
      <c r="AC329" s="408"/>
      <c r="AD329" s="408"/>
      <c r="AE329" s="409"/>
      <c r="AF329" s="410">
        <v>0</v>
      </c>
      <c r="AG329" s="410">
        <v>0</v>
      </c>
      <c r="AH329" s="411">
        <v>1.54</v>
      </c>
      <c r="AI329" s="411">
        <v>0</v>
      </c>
      <c r="AJ329" s="411">
        <v>0</v>
      </c>
      <c r="AK329" s="411">
        <v>0</v>
      </c>
      <c r="AL329" s="18"/>
      <c r="AM329" s="49"/>
      <c r="AN329" s="2"/>
      <c r="AO329" s="2"/>
    </row>
    <row r="330" spans="1:41" hidden="1">
      <c r="A330" s="14">
        <v>59</v>
      </c>
      <c r="B330" s="11" t="s">
        <v>20241</v>
      </c>
      <c r="C330" s="14">
        <v>0</v>
      </c>
      <c r="D330" s="11" t="s">
        <v>17948</v>
      </c>
      <c r="E330" s="11" t="s">
        <v>20241</v>
      </c>
      <c r="F330" s="12">
        <v>43879</v>
      </c>
      <c r="G330" s="11">
        <v>2020</v>
      </c>
      <c r="H330" s="11" t="s">
        <v>16838</v>
      </c>
      <c r="I330" s="11" t="s">
        <v>16839</v>
      </c>
      <c r="J330" s="11" t="s">
        <v>3</v>
      </c>
      <c r="K330" s="404">
        <v>172332.24</v>
      </c>
      <c r="L330" s="11">
        <v>1</v>
      </c>
      <c r="M330" s="405">
        <v>172332.24</v>
      </c>
      <c r="N330" s="11" t="s">
        <v>20155</v>
      </c>
      <c r="O330" s="11" t="s">
        <v>17949</v>
      </c>
      <c r="P330" s="872">
        <v>43895</v>
      </c>
      <c r="Q330" s="423">
        <v>88032</v>
      </c>
      <c r="R330" s="423">
        <v>19920</v>
      </c>
      <c r="S330" s="423">
        <v>6600</v>
      </c>
      <c r="T330" s="423">
        <v>0</v>
      </c>
      <c r="U330" s="423">
        <v>114552</v>
      </c>
      <c r="V330" s="11" t="s">
        <v>20155</v>
      </c>
      <c r="W330" s="407">
        <v>133808.64000000001</v>
      </c>
      <c r="X330" s="407">
        <v>29481.599999999999</v>
      </c>
      <c r="Y330" s="407">
        <v>9042</v>
      </c>
      <c r="Z330" s="407">
        <v>0</v>
      </c>
      <c r="AA330" s="408">
        <v>1.5200000000000002</v>
      </c>
      <c r="AB330" s="408">
        <v>1.48</v>
      </c>
      <c r="AC330" s="408">
        <v>1.37</v>
      </c>
      <c r="AD330" s="408"/>
      <c r="AE330" s="409"/>
      <c r="AF330" s="410">
        <v>0</v>
      </c>
      <c r="AG330" s="410">
        <v>0</v>
      </c>
      <c r="AH330" s="411">
        <v>1.5200000000000002</v>
      </c>
      <c r="AI330" s="412">
        <v>1.48</v>
      </c>
      <c r="AJ330" s="411">
        <v>1.37</v>
      </c>
      <c r="AK330" s="411">
        <v>0</v>
      </c>
      <c r="AL330" s="18"/>
      <c r="AM330" s="49"/>
      <c r="AN330" s="2"/>
      <c r="AO330" s="2"/>
    </row>
    <row r="331" spans="1:41" hidden="1">
      <c r="A331" s="14">
        <v>60</v>
      </c>
      <c r="B331" s="11" t="s">
        <v>20242</v>
      </c>
      <c r="C331" s="14">
        <v>0</v>
      </c>
      <c r="D331" s="11" t="s">
        <v>17950</v>
      </c>
      <c r="E331" s="11" t="s">
        <v>20242</v>
      </c>
      <c r="F331" s="12">
        <v>43880</v>
      </c>
      <c r="G331" s="11">
        <v>2020</v>
      </c>
      <c r="H331" s="11" t="s">
        <v>16838</v>
      </c>
      <c r="I331" s="11" t="s">
        <v>16839</v>
      </c>
      <c r="J331" s="11" t="s">
        <v>3</v>
      </c>
      <c r="K331" s="404">
        <v>74592</v>
      </c>
      <c r="L331" s="11">
        <v>1</v>
      </c>
      <c r="M331" s="405">
        <v>74592</v>
      </c>
      <c r="N331" s="11" t="s">
        <v>20155</v>
      </c>
      <c r="O331" s="11" t="s">
        <v>17771</v>
      </c>
      <c r="P331" s="872">
        <v>43906</v>
      </c>
      <c r="Q331" s="423">
        <v>0</v>
      </c>
      <c r="R331" s="423">
        <v>50400</v>
      </c>
      <c r="S331" s="423">
        <v>0</v>
      </c>
      <c r="T331" s="423">
        <v>0</v>
      </c>
      <c r="U331" s="423">
        <v>50400</v>
      </c>
      <c r="V331" s="11" t="s">
        <v>20155</v>
      </c>
      <c r="W331" s="407">
        <v>0</v>
      </c>
      <c r="X331" s="407">
        <v>74592</v>
      </c>
      <c r="Y331" s="407">
        <v>0</v>
      </c>
      <c r="Z331" s="407">
        <v>0</v>
      </c>
      <c r="AA331" s="408"/>
      <c r="AB331" s="408">
        <v>1.48</v>
      </c>
      <c r="AC331" s="408"/>
      <c r="AD331" s="408"/>
      <c r="AE331" s="409"/>
      <c r="AF331" s="410">
        <v>0</v>
      </c>
      <c r="AG331" s="410">
        <v>0</v>
      </c>
      <c r="AH331" s="411">
        <v>0</v>
      </c>
      <c r="AI331" s="412">
        <v>1.48</v>
      </c>
      <c r="AJ331" s="411">
        <v>0</v>
      </c>
      <c r="AK331" s="411">
        <v>0</v>
      </c>
      <c r="AL331" s="18"/>
      <c r="AM331" s="49"/>
      <c r="AN331" s="2"/>
      <c r="AO331" s="2"/>
    </row>
    <row r="332" spans="1:41" hidden="1">
      <c r="A332" s="14">
        <v>61</v>
      </c>
      <c r="B332" s="11" t="s">
        <v>20243</v>
      </c>
      <c r="C332" s="14">
        <v>0</v>
      </c>
      <c r="D332" s="11" t="s">
        <v>17951</v>
      </c>
      <c r="E332" s="11" t="s">
        <v>20243</v>
      </c>
      <c r="F332" s="12">
        <v>43881</v>
      </c>
      <c r="G332" s="11">
        <v>2020</v>
      </c>
      <c r="H332" s="11" t="s">
        <v>16444</v>
      </c>
      <c r="I332" s="11" t="s">
        <v>16445</v>
      </c>
      <c r="J332" s="11" t="s">
        <v>3</v>
      </c>
      <c r="K332" s="404">
        <v>385000</v>
      </c>
      <c r="L332" s="11">
        <v>1</v>
      </c>
      <c r="M332" s="405">
        <v>385000</v>
      </c>
      <c r="N332" s="11" t="s">
        <v>20155</v>
      </c>
      <c r="O332" s="11" t="s">
        <v>17801</v>
      </c>
      <c r="P332" s="872">
        <v>43894</v>
      </c>
      <c r="Q332" s="423">
        <v>0</v>
      </c>
      <c r="R332" s="423">
        <v>308000</v>
      </c>
      <c r="S332" s="423">
        <v>0</v>
      </c>
      <c r="T332" s="423">
        <v>0</v>
      </c>
      <c r="U332" s="423">
        <v>308000</v>
      </c>
      <c r="V332" s="11" t="s">
        <v>20155</v>
      </c>
      <c r="W332" s="407">
        <v>0</v>
      </c>
      <c r="X332" s="407">
        <v>385000</v>
      </c>
      <c r="Y332" s="407">
        <v>0</v>
      </c>
      <c r="Z332" s="407">
        <v>0</v>
      </c>
      <c r="AA332" s="408"/>
      <c r="AB332" s="408">
        <v>1.25</v>
      </c>
      <c r="AC332" s="408"/>
      <c r="AD332" s="408"/>
      <c r="AE332" s="409"/>
      <c r="AF332" s="410">
        <v>0</v>
      </c>
      <c r="AG332" s="410">
        <v>0</v>
      </c>
      <c r="AH332" s="411">
        <v>0</v>
      </c>
      <c r="AI332" s="412">
        <v>1.25</v>
      </c>
      <c r="AJ332" s="411">
        <v>0</v>
      </c>
      <c r="AK332" s="411">
        <v>0</v>
      </c>
      <c r="AL332" s="18"/>
      <c r="AM332" s="49"/>
      <c r="AN332" s="2"/>
      <c r="AO332" s="2"/>
    </row>
    <row r="333" spans="1:41" hidden="1">
      <c r="A333" s="14">
        <v>62</v>
      </c>
      <c r="B333" s="11" t="s">
        <v>20244</v>
      </c>
      <c r="C333" s="14">
        <v>0</v>
      </c>
      <c r="D333" s="11" t="s">
        <v>17952</v>
      </c>
      <c r="E333" s="11" t="s">
        <v>20244</v>
      </c>
      <c r="F333" s="12">
        <v>43882</v>
      </c>
      <c r="G333" s="11">
        <v>2020</v>
      </c>
      <c r="H333" s="11" t="s">
        <v>17119</v>
      </c>
      <c r="I333" s="11" t="s">
        <v>17120</v>
      </c>
      <c r="J333" s="11" t="s">
        <v>16401</v>
      </c>
      <c r="K333" s="404">
        <v>120574.224</v>
      </c>
      <c r="L333" s="11">
        <v>2.8439999999999999</v>
      </c>
      <c r="M333" s="405">
        <v>42396</v>
      </c>
      <c r="N333" s="11" t="s">
        <v>20155</v>
      </c>
      <c r="O333" s="11" t="s">
        <v>17965</v>
      </c>
      <c r="P333" s="872">
        <v>43896</v>
      </c>
      <c r="Q333" s="423">
        <v>13200</v>
      </c>
      <c r="R333" s="423">
        <v>57400</v>
      </c>
      <c r="S333" s="423">
        <v>0</v>
      </c>
      <c r="T333" s="423">
        <v>0</v>
      </c>
      <c r="U333" s="423">
        <v>70600</v>
      </c>
      <c r="V333" s="11" t="s">
        <v>20155</v>
      </c>
      <c r="W333" s="407">
        <v>20647.439999999999</v>
      </c>
      <c r="X333" s="407">
        <v>82436.183999999994</v>
      </c>
      <c r="Y333" s="407">
        <v>0</v>
      </c>
      <c r="Z333" s="407">
        <v>0</v>
      </c>
      <c r="AA333" s="408">
        <v>1.5641999999999998</v>
      </c>
      <c r="AB333" s="408">
        <v>1.4361704529616723</v>
      </c>
      <c r="AC333" s="408"/>
      <c r="AD333" s="408"/>
      <c r="AE333" s="409"/>
      <c r="AF333" s="410">
        <v>25337.88</v>
      </c>
      <c r="AG333" s="410">
        <v>0.3588934844192635</v>
      </c>
      <c r="AH333" s="411">
        <v>1.2053065155807363</v>
      </c>
      <c r="AI333" s="412">
        <v>1.0772769685424088</v>
      </c>
      <c r="AJ333" s="411">
        <v>0</v>
      </c>
      <c r="AK333" s="411">
        <v>0</v>
      </c>
      <c r="AL333" s="18"/>
      <c r="AM333" s="49"/>
      <c r="AN333" s="2"/>
      <c r="AO333" s="2"/>
    </row>
    <row r="334" spans="1:41" hidden="1">
      <c r="A334" s="14">
        <v>63</v>
      </c>
      <c r="B334" s="11" t="s">
        <v>20245</v>
      </c>
      <c r="C334" s="14">
        <v>0</v>
      </c>
      <c r="D334" s="11" t="s">
        <v>17953</v>
      </c>
      <c r="E334" s="11" t="s">
        <v>20245</v>
      </c>
      <c r="F334" s="12">
        <v>43883</v>
      </c>
      <c r="G334" s="11">
        <v>2020</v>
      </c>
      <c r="H334" s="11" t="s">
        <v>17017</v>
      </c>
      <c r="I334" s="11" t="s">
        <v>17018</v>
      </c>
      <c r="J334" s="11" t="s">
        <v>3</v>
      </c>
      <c r="K334" s="404">
        <v>42954.8</v>
      </c>
      <c r="L334" s="11">
        <v>1</v>
      </c>
      <c r="M334" s="405">
        <v>42954.8</v>
      </c>
      <c r="N334" s="11" t="s">
        <v>20155</v>
      </c>
      <c r="O334" s="11" t="s">
        <v>17954</v>
      </c>
      <c r="P334" s="872">
        <v>43921</v>
      </c>
      <c r="Q334" s="423">
        <v>0</v>
      </c>
      <c r="R334" s="423">
        <v>14000</v>
      </c>
      <c r="S334" s="423">
        <v>6356</v>
      </c>
      <c r="T334" s="423">
        <v>3500</v>
      </c>
      <c r="U334" s="423">
        <v>23856</v>
      </c>
      <c r="V334" s="11" t="s">
        <v>20155</v>
      </c>
      <c r="W334" s="407">
        <v>0</v>
      </c>
      <c r="X334" s="407">
        <v>25406.012000000002</v>
      </c>
      <c r="Y334" s="407">
        <v>6158.4</v>
      </c>
      <c r="Z334" s="407">
        <v>11390</v>
      </c>
      <c r="AA334" s="431"/>
      <c r="AB334" s="408">
        <v>1.8147151428571431</v>
      </c>
      <c r="AC334" s="408">
        <v>0.96891126494650714</v>
      </c>
      <c r="AD334" s="408">
        <v>3.2542857142857144</v>
      </c>
      <c r="AE334" s="409"/>
      <c r="AF334" s="410">
        <v>0</v>
      </c>
      <c r="AG334" s="410">
        <v>0</v>
      </c>
      <c r="AH334" s="411">
        <v>0</v>
      </c>
      <c r="AI334" s="412">
        <v>1.8147151428571431</v>
      </c>
      <c r="AJ334" s="411">
        <v>0.96891126494650714</v>
      </c>
      <c r="AK334" s="411">
        <v>3.2542857142857144</v>
      </c>
      <c r="AL334" s="18"/>
      <c r="AM334" s="49"/>
      <c r="AN334" s="2"/>
      <c r="AO334" s="2"/>
    </row>
    <row r="335" spans="1:41" hidden="1">
      <c r="A335" s="14">
        <v>64</v>
      </c>
      <c r="B335" s="11" t="s">
        <v>20246</v>
      </c>
      <c r="C335" s="14">
        <v>0</v>
      </c>
      <c r="D335" s="11" t="s">
        <v>17955</v>
      </c>
      <c r="E335" s="11" t="s">
        <v>20246</v>
      </c>
      <c r="F335" s="12">
        <v>43884</v>
      </c>
      <c r="G335" s="11">
        <v>2020</v>
      </c>
      <c r="H335" s="11" t="s">
        <v>17017</v>
      </c>
      <c r="I335" s="11" t="s">
        <v>17018</v>
      </c>
      <c r="J335" s="11" t="s">
        <v>3</v>
      </c>
      <c r="K335" s="404">
        <v>33709.5</v>
      </c>
      <c r="L335" s="11">
        <v>1</v>
      </c>
      <c r="M335" s="405">
        <v>33709.5</v>
      </c>
      <c r="N335" s="11" t="s">
        <v>20155</v>
      </c>
      <c r="O335" s="11" t="s">
        <v>17238</v>
      </c>
      <c r="P335" s="872">
        <v>43896</v>
      </c>
      <c r="Q335" s="423">
        <v>0</v>
      </c>
      <c r="R335" s="423">
        <v>20430</v>
      </c>
      <c r="S335" s="423">
        <v>0</v>
      </c>
      <c r="T335" s="423">
        <v>0</v>
      </c>
      <c r="U335" s="423">
        <v>20430</v>
      </c>
      <c r="V335" s="11" t="s">
        <v>20155</v>
      </c>
      <c r="W335" s="407">
        <v>0</v>
      </c>
      <c r="X335" s="407">
        <v>33709.5</v>
      </c>
      <c r="Y335" s="407">
        <v>0</v>
      </c>
      <c r="Z335" s="407">
        <v>0</v>
      </c>
      <c r="AA335" s="431"/>
      <c r="AB335" s="408">
        <v>1.65</v>
      </c>
      <c r="AC335" s="408"/>
      <c r="AD335" s="408"/>
      <c r="AE335" s="409"/>
      <c r="AF335" s="410">
        <v>0</v>
      </c>
      <c r="AG335" s="410">
        <v>0</v>
      </c>
      <c r="AH335" s="411">
        <v>0</v>
      </c>
      <c r="AI335" s="412">
        <v>1.65</v>
      </c>
      <c r="AJ335" s="411">
        <v>0</v>
      </c>
      <c r="AK335" s="411">
        <v>0</v>
      </c>
      <c r="AL335" s="18"/>
      <c r="AM335" s="49"/>
      <c r="AN335" s="2"/>
      <c r="AO335" s="2"/>
    </row>
    <row r="336" spans="1:41" hidden="1">
      <c r="A336" s="14">
        <v>65</v>
      </c>
      <c r="B336" s="11" t="s">
        <v>20247</v>
      </c>
      <c r="C336" s="14">
        <v>0</v>
      </c>
      <c r="D336" s="11" t="s">
        <v>17957</v>
      </c>
      <c r="E336" s="11" t="s">
        <v>20247</v>
      </c>
      <c r="F336" s="12">
        <v>43888</v>
      </c>
      <c r="G336" s="11">
        <v>2020</v>
      </c>
      <c r="H336" s="11" t="s">
        <v>17017</v>
      </c>
      <c r="I336" s="11" t="s">
        <v>17018</v>
      </c>
      <c r="J336" s="11" t="s">
        <v>3</v>
      </c>
      <c r="K336" s="404">
        <v>33709.5</v>
      </c>
      <c r="L336" s="11">
        <v>1</v>
      </c>
      <c r="M336" s="405">
        <v>33709.5</v>
      </c>
      <c r="N336" s="11" t="s">
        <v>20155</v>
      </c>
      <c r="O336" s="11" t="s">
        <v>17238</v>
      </c>
      <c r="P336" s="872">
        <v>43897</v>
      </c>
      <c r="Q336" s="423">
        <v>0</v>
      </c>
      <c r="R336" s="423">
        <v>20430</v>
      </c>
      <c r="S336" s="423">
        <v>0</v>
      </c>
      <c r="T336" s="423">
        <v>0</v>
      </c>
      <c r="U336" s="423">
        <v>20430</v>
      </c>
      <c r="V336" s="11" t="s">
        <v>20155</v>
      </c>
      <c r="W336" s="407">
        <v>0</v>
      </c>
      <c r="X336" s="407">
        <v>33709.5</v>
      </c>
      <c r="Y336" s="407">
        <v>0</v>
      </c>
      <c r="Z336" s="407">
        <v>0</v>
      </c>
      <c r="AA336" s="431"/>
      <c r="AB336" s="408">
        <v>1.65</v>
      </c>
      <c r="AC336" s="408"/>
      <c r="AD336" s="408"/>
      <c r="AE336" s="409"/>
      <c r="AF336" s="410">
        <v>0</v>
      </c>
      <c r="AG336" s="410">
        <v>0</v>
      </c>
      <c r="AH336" s="411">
        <v>0</v>
      </c>
      <c r="AI336" s="412">
        <v>1.65</v>
      </c>
      <c r="AJ336" s="411">
        <v>0</v>
      </c>
      <c r="AK336" s="411">
        <v>0</v>
      </c>
      <c r="AL336" s="18"/>
      <c r="AM336" s="49"/>
      <c r="AN336" s="2"/>
      <c r="AO336" s="2"/>
    </row>
    <row r="337" spans="1:41" hidden="1">
      <c r="A337" s="14">
        <v>66</v>
      </c>
      <c r="B337" s="11" t="s">
        <v>20248</v>
      </c>
      <c r="C337" s="14">
        <v>0</v>
      </c>
      <c r="D337" s="11" t="s">
        <v>17958</v>
      </c>
      <c r="E337" s="11" t="s">
        <v>20248</v>
      </c>
      <c r="F337" s="12">
        <v>43889</v>
      </c>
      <c r="G337" s="11">
        <v>2020</v>
      </c>
      <c r="H337" s="11" t="s">
        <v>16444</v>
      </c>
      <c r="I337" s="11" t="s">
        <v>16445</v>
      </c>
      <c r="J337" s="11" t="s">
        <v>3</v>
      </c>
      <c r="K337" s="404">
        <v>29160</v>
      </c>
      <c r="L337" s="11">
        <v>1</v>
      </c>
      <c r="M337" s="405">
        <v>29160</v>
      </c>
      <c r="N337" s="11" t="s">
        <v>20155</v>
      </c>
      <c r="O337" s="11" t="s">
        <v>17854</v>
      </c>
      <c r="P337" s="872">
        <v>43901</v>
      </c>
      <c r="Q337" s="423">
        <v>18000</v>
      </c>
      <c r="R337" s="423">
        <v>0</v>
      </c>
      <c r="S337" s="423">
        <v>0</v>
      </c>
      <c r="T337" s="423">
        <v>0</v>
      </c>
      <c r="U337" s="423">
        <v>18000</v>
      </c>
      <c r="V337" s="11" t="s">
        <v>20155</v>
      </c>
      <c r="W337" s="407">
        <v>29160</v>
      </c>
      <c r="X337" s="407">
        <v>0</v>
      </c>
      <c r="Y337" s="407">
        <v>0</v>
      </c>
      <c r="Z337" s="407">
        <v>0</v>
      </c>
      <c r="AA337" s="408">
        <v>1.62</v>
      </c>
      <c r="AB337" s="408"/>
      <c r="AC337" s="408"/>
      <c r="AD337" s="408"/>
      <c r="AE337" s="409"/>
      <c r="AF337" s="410">
        <v>0</v>
      </c>
      <c r="AG337" s="410">
        <v>0</v>
      </c>
      <c r="AH337" s="411">
        <v>1.62</v>
      </c>
      <c r="AI337" s="411">
        <v>0</v>
      </c>
      <c r="AJ337" s="411">
        <v>0</v>
      </c>
      <c r="AK337" s="411">
        <v>0</v>
      </c>
      <c r="AL337" s="18"/>
      <c r="AM337" s="49"/>
      <c r="AN337" s="2"/>
      <c r="AO337" s="2"/>
    </row>
    <row r="338" spans="1:41" hidden="1">
      <c r="A338" s="14">
        <v>67</v>
      </c>
      <c r="B338" s="11" t="s">
        <v>20249</v>
      </c>
      <c r="C338" s="14">
        <v>0</v>
      </c>
      <c r="D338" s="11" t="s">
        <v>17959</v>
      </c>
      <c r="E338" s="11" t="s">
        <v>20249</v>
      </c>
      <c r="F338" s="12">
        <v>43889</v>
      </c>
      <c r="G338" s="11">
        <v>2020</v>
      </c>
      <c r="H338" s="11" t="s">
        <v>16444</v>
      </c>
      <c r="I338" s="11" t="s">
        <v>16445</v>
      </c>
      <c r="J338" s="11" t="s">
        <v>3</v>
      </c>
      <c r="K338" s="404">
        <v>347200</v>
      </c>
      <c r="L338" s="11">
        <v>1</v>
      </c>
      <c r="M338" s="405">
        <v>347200</v>
      </c>
      <c r="N338" s="11" t="s">
        <v>20155</v>
      </c>
      <c r="O338" s="11" t="s">
        <v>17801</v>
      </c>
      <c r="P338" s="872">
        <v>43927</v>
      </c>
      <c r="Q338" s="423">
        <v>0</v>
      </c>
      <c r="R338" s="423">
        <v>0</v>
      </c>
      <c r="S338" s="423">
        <v>280000</v>
      </c>
      <c r="T338" s="423">
        <v>0</v>
      </c>
      <c r="U338" s="423">
        <v>280000</v>
      </c>
      <c r="V338" s="11" t="s">
        <v>20155</v>
      </c>
      <c r="W338" s="407">
        <v>0</v>
      </c>
      <c r="X338" s="407">
        <v>0</v>
      </c>
      <c r="Y338" s="407">
        <v>347200</v>
      </c>
      <c r="Z338" s="407">
        <v>0</v>
      </c>
      <c r="AA338" s="408"/>
      <c r="AB338" s="408"/>
      <c r="AC338" s="408">
        <v>1.24</v>
      </c>
      <c r="AD338" s="408"/>
      <c r="AE338" s="409"/>
      <c r="AF338" s="410">
        <v>0</v>
      </c>
      <c r="AG338" s="410">
        <v>0</v>
      </c>
      <c r="AH338" s="411">
        <v>0</v>
      </c>
      <c r="AI338" s="411">
        <v>0</v>
      </c>
      <c r="AJ338" s="411">
        <v>1.24</v>
      </c>
      <c r="AK338" s="411">
        <v>0</v>
      </c>
      <c r="AL338" s="18"/>
      <c r="AM338" s="49"/>
      <c r="AN338" s="2"/>
      <c r="AO338" s="2"/>
    </row>
    <row r="339" spans="1:41" hidden="1">
      <c r="A339" s="14">
        <v>68</v>
      </c>
      <c r="B339" s="11" t="s">
        <v>20250</v>
      </c>
      <c r="C339" s="14">
        <v>0</v>
      </c>
      <c r="D339" s="11" t="s">
        <v>17960</v>
      </c>
      <c r="E339" s="11" t="s">
        <v>20250</v>
      </c>
      <c r="F339" s="12">
        <v>43896</v>
      </c>
      <c r="G339" s="11">
        <v>2020</v>
      </c>
      <c r="H339" s="11" t="s">
        <v>16957</v>
      </c>
      <c r="I339" s="11" t="s">
        <v>16958</v>
      </c>
      <c r="J339" s="11" t="s">
        <v>16401</v>
      </c>
      <c r="K339" s="404">
        <v>39247.199999999997</v>
      </c>
      <c r="L339" s="11">
        <v>2.8439999999999999</v>
      </c>
      <c r="M339" s="405">
        <v>13800</v>
      </c>
      <c r="N339" s="11" t="s">
        <v>20155</v>
      </c>
      <c r="O339" s="11" t="s">
        <v>20161</v>
      </c>
      <c r="P339" s="872">
        <v>43896</v>
      </c>
      <c r="Q339" s="423">
        <v>20000</v>
      </c>
      <c r="R339" s="423">
        <v>0</v>
      </c>
      <c r="S339" s="423">
        <v>0</v>
      </c>
      <c r="T339" s="423">
        <v>0</v>
      </c>
      <c r="U339" s="423">
        <v>20000</v>
      </c>
      <c r="V339" s="11" t="s">
        <v>20155</v>
      </c>
      <c r="W339" s="407">
        <v>39247.199999999997</v>
      </c>
      <c r="X339" s="407">
        <v>0</v>
      </c>
      <c r="Y339" s="407">
        <v>0</v>
      </c>
      <c r="Z339" s="407">
        <v>0</v>
      </c>
      <c r="AA339" s="408">
        <v>1.9623599999999999</v>
      </c>
      <c r="AB339" s="408"/>
      <c r="AC339" s="408"/>
      <c r="AD339" s="408"/>
      <c r="AE339" s="409"/>
      <c r="AF339" s="410">
        <v>4915</v>
      </c>
      <c r="AG339" s="410">
        <v>0.24575</v>
      </c>
      <c r="AH339" s="411">
        <v>1.71661</v>
      </c>
      <c r="AI339" s="411">
        <v>0</v>
      </c>
      <c r="AJ339" s="411">
        <v>0</v>
      </c>
      <c r="AK339" s="411">
        <v>0</v>
      </c>
      <c r="AL339" s="18"/>
      <c r="AM339" s="49"/>
      <c r="AN339" s="2"/>
      <c r="AO339" s="2"/>
    </row>
    <row r="340" spans="1:41" hidden="1">
      <c r="A340" s="14">
        <v>69</v>
      </c>
      <c r="B340" s="11" t="s">
        <v>20251</v>
      </c>
      <c r="C340" s="14">
        <v>0</v>
      </c>
      <c r="D340" s="11" t="s">
        <v>17962</v>
      </c>
      <c r="E340" s="11" t="s">
        <v>20251</v>
      </c>
      <c r="F340" s="12">
        <v>43889</v>
      </c>
      <c r="G340" s="11">
        <v>2020</v>
      </c>
      <c r="H340" s="11" t="s">
        <v>16957</v>
      </c>
      <c r="I340" s="11" t="s">
        <v>16958</v>
      </c>
      <c r="J340" s="11" t="s">
        <v>16401</v>
      </c>
      <c r="K340" s="404">
        <v>75220.81</v>
      </c>
      <c r="L340" s="11">
        <v>2.8278500000000002</v>
      </c>
      <c r="M340" s="405">
        <v>26599.999999999996</v>
      </c>
      <c r="N340" s="11" t="s">
        <v>20155</v>
      </c>
      <c r="O340" s="11" t="s">
        <v>20161</v>
      </c>
      <c r="P340" s="872">
        <v>43903</v>
      </c>
      <c r="Q340" s="423">
        <v>40000</v>
      </c>
      <c r="R340" s="423">
        <v>0</v>
      </c>
      <c r="S340" s="423">
        <v>0</v>
      </c>
      <c r="T340" s="423">
        <v>0</v>
      </c>
      <c r="U340" s="423">
        <v>40000</v>
      </c>
      <c r="V340" s="11" t="s">
        <v>20155</v>
      </c>
      <c r="W340" s="407">
        <v>75220.810000000012</v>
      </c>
      <c r="X340" s="407">
        <v>0</v>
      </c>
      <c r="Y340" s="407">
        <v>0</v>
      </c>
      <c r="Z340" s="407">
        <v>0</v>
      </c>
      <c r="AA340" s="408">
        <v>1.8805202500000002</v>
      </c>
      <c r="AB340" s="408"/>
      <c r="AC340" s="408"/>
      <c r="AD340" s="408"/>
      <c r="AE340" s="409"/>
      <c r="AF340" s="410">
        <v>8645.5319999999992</v>
      </c>
      <c r="AG340" s="410">
        <v>0.21613829999999998</v>
      </c>
      <c r="AH340" s="411">
        <v>1.6643819500000003</v>
      </c>
      <c r="AI340" s="411">
        <v>0</v>
      </c>
      <c r="AJ340" s="411">
        <v>0</v>
      </c>
      <c r="AK340" s="411">
        <v>0</v>
      </c>
      <c r="AL340" s="18"/>
      <c r="AM340" s="49"/>
      <c r="AN340" s="2"/>
      <c r="AO340" s="2"/>
    </row>
    <row r="341" spans="1:41" hidden="1">
      <c r="A341" s="14">
        <v>70</v>
      </c>
      <c r="B341" s="11" t="s">
        <v>20252</v>
      </c>
      <c r="C341" s="14">
        <v>0</v>
      </c>
      <c r="D341" s="11" t="s">
        <v>17964</v>
      </c>
      <c r="E341" s="11" t="s">
        <v>20252</v>
      </c>
      <c r="F341" s="12">
        <v>43901</v>
      </c>
      <c r="G341" s="11">
        <v>2020</v>
      </c>
      <c r="H341" s="11" t="s">
        <v>16838</v>
      </c>
      <c r="I341" s="11" t="s">
        <v>16839</v>
      </c>
      <c r="J341" s="11" t="s">
        <v>3</v>
      </c>
      <c r="K341" s="404">
        <v>90432</v>
      </c>
      <c r="L341" s="11">
        <v>1</v>
      </c>
      <c r="M341" s="405">
        <v>90432</v>
      </c>
      <c r="N341" s="11" t="s">
        <v>20155</v>
      </c>
      <c r="O341" s="11" t="s">
        <v>17965</v>
      </c>
      <c r="P341" s="872">
        <v>43907</v>
      </c>
      <c r="Q341" s="423">
        <v>57600</v>
      </c>
      <c r="R341" s="423">
        <v>0</v>
      </c>
      <c r="S341" s="423">
        <v>0</v>
      </c>
      <c r="T341" s="423">
        <v>0</v>
      </c>
      <c r="U341" s="423">
        <v>57600</v>
      </c>
      <c r="V341" s="11" t="s">
        <v>20155</v>
      </c>
      <c r="W341" s="407">
        <v>90432</v>
      </c>
      <c r="X341" s="407">
        <v>0</v>
      </c>
      <c r="Y341" s="407">
        <v>0</v>
      </c>
      <c r="Z341" s="407">
        <v>0</v>
      </c>
      <c r="AA341" s="408">
        <v>1.57</v>
      </c>
      <c r="AB341" s="408"/>
      <c r="AC341" s="408"/>
      <c r="AD341" s="408"/>
      <c r="AE341" s="409"/>
      <c r="AF341" s="410">
        <v>0</v>
      </c>
      <c r="AG341" s="410">
        <v>0</v>
      </c>
      <c r="AH341" s="411">
        <v>1.57</v>
      </c>
      <c r="AI341" s="411">
        <v>0</v>
      </c>
      <c r="AJ341" s="411">
        <v>0</v>
      </c>
      <c r="AK341" s="411">
        <v>0</v>
      </c>
      <c r="AL341" s="18"/>
      <c r="AM341" s="49"/>
      <c r="AN341" s="2"/>
      <c r="AO341" s="2"/>
    </row>
    <row r="342" spans="1:41" hidden="1">
      <c r="A342" s="14">
        <v>71</v>
      </c>
      <c r="B342" s="11" t="s">
        <v>20253</v>
      </c>
      <c r="C342" s="14">
        <v>0</v>
      </c>
      <c r="D342" s="11" t="s">
        <v>17966</v>
      </c>
      <c r="E342" s="11" t="s">
        <v>20253</v>
      </c>
      <c r="F342" s="12">
        <v>43901</v>
      </c>
      <c r="G342" s="11">
        <v>2020</v>
      </c>
      <c r="H342" s="11" t="s">
        <v>16838</v>
      </c>
      <c r="I342" s="11" t="s">
        <v>16839</v>
      </c>
      <c r="J342" s="11" t="s">
        <v>3</v>
      </c>
      <c r="K342" s="404">
        <v>144152.4</v>
      </c>
      <c r="L342" s="11">
        <v>1</v>
      </c>
      <c r="M342" s="405">
        <v>144152.4</v>
      </c>
      <c r="N342" s="11" t="s">
        <v>20155</v>
      </c>
      <c r="O342" s="11" t="s">
        <v>17798</v>
      </c>
      <c r="P342" s="872">
        <v>43972</v>
      </c>
      <c r="Q342" s="423">
        <v>0</v>
      </c>
      <c r="R342" s="423">
        <v>110040</v>
      </c>
      <c r="S342" s="423">
        <v>0</v>
      </c>
      <c r="T342" s="423">
        <v>0</v>
      </c>
      <c r="U342" s="423">
        <v>110040</v>
      </c>
      <c r="V342" s="11" t="s">
        <v>20155</v>
      </c>
      <c r="W342" s="407">
        <v>0</v>
      </c>
      <c r="X342" s="407">
        <v>144152.4</v>
      </c>
      <c r="Y342" s="407">
        <v>0</v>
      </c>
      <c r="Z342" s="407">
        <v>0</v>
      </c>
      <c r="AA342" s="408"/>
      <c r="AB342" s="408">
        <v>1.31</v>
      </c>
      <c r="AC342" s="408"/>
      <c r="AD342" s="408"/>
      <c r="AE342" s="409"/>
      <c r="AF342" s="410">
        <v>0</v>
      </c>
      <c r="AG342" s="410">
        <v>0</v>
      </c>
      <c r="AH342" s="411">
        <v>0</v>
      </c>
      <c r="AI342" s="412">
        <v>1.31</v>
      </c>
      <c r="AJ342" s="411">
        <v>0</v>
      </c>
      <c r="AK342" s="411">
        <v>0</v>
      </c>
      <c r="AL342" s="18"/>
      <c r="AM342" s="49"/>
      <c r="AN342" s="2"/>
      <c r="AO342" s="2"/>
    </row>
    <row r="343" spans="1:41" hidden="1">
      <c r="A343" s="424">
        <v>72</v>
      </c>
      <c r="B343" s="425" t="s">
        <v>20254</v>
      </c>
      <c r="C343" s="424">
        <v>0</v>
      </c>
      <c r="D343" s="425" t="s">
        <v>20255</v>
      </c>
      <c r="E343" s="425" t="s">
        <v>20254</v>
      </c>
      <c r="F343" s="426">
        <v>43901</v>
      </c>
      <c r="G343" s="425">
        <v>2020</v>
      </c>
      <c r="H343" s="425" t="s">
        <v>16952</v>
      </c>
      <c r="I343" s="425" t="s">
        <v>16953</v>
      </c>
      <c r="J343" s="425" t="s">
        <v>3</v>
      </c>
      <c r="K343" s="427">
        <v>33012</v>
      </c>
      <c r="L343" s="425">
        <v>1</v>
      </c>
      <c r="M343" s="428">
        <v>33012</v>
      </c>
      <c r="N343" s="425" t="s">
        <v>20164</v>
      </c>
      <c r="O343" s="425" t="s">
        <v>20164</v>
      </c>
      <c r="P343" s="872" t="s">
        <v>20164</v>
      </c>
      <c r="Q343" s="429">
        <v>22008</v>
      </c>
      <c r="R343" s="429">
        <v>0</v>
      </c>
      <c r="S343" s="429">
        <v>0</v>
      </c>
      <c r="T343" s="429">
        <v>0</v>
      </c>
      <c r="U343" s="429">
        <v>22008</v>
      </c>
      <c r="V343" s="425" t="s">
        <v>20164</v>
      </c>
      <c r="W343" s="430"/>
      <c r="X343" s="430"/>
      <c r="Y343" s="430"/>
      <c r="Z343" s="430"/>
      <c r="AA343" s="431"/>
      <c r="AB343" s="431"/>
      <c r="AC343" s="431"/>
      <c r="AD343" s="431"/>
      <c r="AE343" s="432"/>
      <c r="AF343" s="433">
        <v>0</v>
      </c>
      <c r="AG343" s="433"/>
      <c r="AH343" s="412">
        <v>0</v>
      </c>
      <c r="AI343" s="412">
        <v>0</v>
      </c>
      <c r="AJ343" s="412">
        <v>0</v>
      </c>
      <c r="AK343" s="412">
        <v>0</v>
      </c>
      <c r="AL343" s="434"/>
      <c r="AM343" s="435"/>
      <c r="AN343" s="33"/>
      <c r="AO343" s="33"/>
    </row>
    <row r="344" spans="1:41" hidden="1">
      <c r="A344" s="14">
        <v>73</v>
      </c>
      <c r="B344" s="11" t="s">
        <v>20256</v>
      </c>
      <c r="C344" s="14">
        <v>0</v>
      </c>
      <c r="D344" s="11" t="s">
        <v>17967</v>
      </c>
      <c r="E344" s="11" t="s">
        <v>20256</v>
      </c>
      <c r="F344" s="12">
        <v>43901</v>
      </c>
      <c r="G344" s="11">
        <v>2020</v>
      </c>
      <c r="H344" s="11" t="s">
        <v>16972</v>
      </c>
      <c r="I344" s="11" t="s">
        <v>16973</v>
      </c>
      <c r="J344" s="11" t="s">
        <v>3</v>
      </c>
      <c r="K344" s="404">
        <v>29472</v>
      </c>
      <c r="L344" s="11">
        <v>1</v>
      </c>
      <c r="M344" s="405">
        <v>29472</v>
      </c>
      <c r="N344" s="11" t="s">
        <v>20155</v>
      </c>
      <c r="O344" s="11" t="s">
        <v>17693</v>
      </c>
      <c r="P344" s="872">
        <v>43948</v>
      </c>
      <c r="Q344" s="423">
        <v>18600</v>
      </c>
      <c r="R344" s="423">
        <v>0</v>
      </c>
      <c r="S344" s="423">
        <v>0</v>
      </c>
      <c r="T344" s="423">
        <v>0</v>
      </c>
      <c r="U344" s="423">
        <v>18600</v>
      </c>
      <c r="V344" s="11" t="s">
        <v>20155</v>
      </c>
      <c r="W344" s="407">
        <v>29472</v>
      </c>
      <c r="X344" s="407">
        <v>0</v>
      </c>
      <c r="Y344" s="407">
        <v>0</v>
      </c>
      <c r="Z344" s="407">
        <v>0</v>
      </c>
      <c r="AA344" s="408">
        <v>1.584516129032258</v>
      </c>
      <c r="AB344" s="408"/>
      <c r="AC344" s="408"/>
      <c r="AD344" s="408"/>
      <c r="AE344" s="409"/>
      <c r="AF344" s="410">
        <v>0</v>
      </c>
      <c r="AG344" s="410">
        <v>0</v>
      </c>
      <c r="AH344" s="411">
        <v>1.584516129032258</v>
      </c>
      <c r="AI344" s="411">
        <v>0</v>
      </c>
      <c r="AJ344" s="411">
        <v>0</v>
      </c>
      <c r="AK344" s="411">
        <v>0</v>
      </c>
      <c r="AL344" s="18"/>
      <c r="AM344" s="49"/>
      <c r="AN344" s="2"/>
      <c r="AO344" s="2"/>
    </row>
    <row r="345" spans="1:41" hidden="1">
      <c r="A345" s="424">
        <v>74</v>
      </c>
      <c r="B345" s="425" t="s">
        <v>20257</v>
      </c>
      <c r="C345" s="424">
        <v>0</v>
      </c>
      <c r="D345" s="425" t="s">
        <v>20258</v>
      </c>
      <c r="E345" s="425" t="s">
        <v>20257</v>
      </c>
      <c r="F345" s="426">
        <v>43901</v>
      </c>
      <c r="G345" s="425">
        <v>2020</v>
      </c>
      <c r="H345" s="425" t="s">
        <v>16384</v>
      </c>
      <c r="I345" s="425" t="s">
        <v>16385</v>
      </c>
      <c r="J345" s="425" t="s">
        <v>3</v>
      </c>
      <c r="K345" s="427">
        <v>69440</v>
      </c>
      <c r="L345" s="425">
        <v>1</v>
      </c>
      <c r="M345" s="428">
        <v>69440</v>
      </c>
      <c r="N345" s="425" t="s">
        <v>20164</v>
      </c>
      <c r="O345" s="425" t="s">
        <v>20164</v>
      </c>
      <c r="P345" s="872" t="s">
        <v>20164</v>
      </c>
      <c r="Q345" s="429">
        <v>0</v>
      </c>
      <c r="R345" s="429">
        <v>21000</v>
      </c>
      <c r="S345" s="429">
        <v>28000</v>
      </c>
      <c r="T345" s="429">
        <v>0</v>
      </c>
      <c r="U345" s="429">
        <v>49000</v>
      </c>
      <c r="V345" s="425" t="s">
        <v>20164</v>
      </c>
      <c r="W345" s="430"/>
      <c r="X345" s="430"/>
      <c r="Y345" s="430"/>
      <c r="Z345" s="430"/>
      <c r="AA345" s="431"/>
      <c r="AB345" s="431"/>
      <c r="AC345" s="431"/>
      <c r="AD345" s="431"/>
      <c r="AE345" s="432"/>
      <c r="AF345" s="433">
        <v>0</v>
      </c>
      <c r="AG345" s="433"/>
      <c r="AH345" s="412">
        <v>0</v>
      </c>
      <c r="AI345" s="412">
        <v>0</v>
      </c>
      <c r="AJ345" s="412">
        <v>0</v>
      </c>
      <c r="AK345" s="412">
        <v>0</v>
      </c>
      <c r="AL345" s="434"/>
      <c r="AM345" s="435"/>
      <c r="AN345" s="33"/>
      <c r="AO345" s="33"/>
    </row>
    <row r="346" spans="1:41" hidden="1">
      <c r="A346" s="14">
        <v>75</v>
      </c>
      <c r="B346" s="11" t="s">
        <v>20259</v>
      </c>
      <c r="C346" s="14">
        <v>0</v>
      </c>
      <c r="D346" s="11" t="s">
        <v>17968</v>
      </c>
      <c r="E346" s="11" t="s">
        <v>20259</v>
      </c>
      <c r="F346" s="12">
        <v>43901</v>
      </c>
      <c r="G346" s="11">
        <v>2020</v>
      </c>
      <c r="H346" s="11" t="s">
        <v>16384</v>
      </c>
      <c r="I346" s="11" t="s">
        <v>16385</v>
      </c>
      <c r="J346" s="11" t="s">
        <v>3</v>
      </c>
      <c r="K346" s="404">
        <v>37310</v>
      </c>
      <c r="L346" s="11">
        <v>1</v>
      </c>
      <c r="M346" s="405">
        <v>37310</v>
      </c>
      <c r="N346" s="11" t="s">
        <v>20155</v>
      </c>
      <c r="O346" s="11" t="s">
        <v>17771</v>
      </c>
      <c r="P346" s="872">
        <v>43967</v>
      </c>
      <c r="Q346" s="423">
        <v>0</v>
      </c>
      <c r="R346" s="423">
        <v>0</v>
      </c>
      <c r="S346" s="423">
        <v>26000</v>
      </c>
      <c r="T346" s="423">
        <v>0</v>
      </c>
      <c r="U346" s="423">
        <v>26000</v>
      </c>
      <c r="V346" s="11" t="s">
        <v>20155</v>
      </c>
      <c r="W346" s="407">
        <v>0</v>
      </c>
      <c r="X346" s="407">
        <v>0</v>
      </c>
      <c r="Y346" s="407">
        <v>37310</v>
      </c>
      <c r="Z346" s="407">
        <v>0</v>
      </c>
      <c r="AA346" s="408"/>
      <c r="AB346" s="408"/>
      <c r="AC346" s="408">
        <v>1.4350000000000001</v>
      </c>
      <c r="AD346" s="408"/>
      <c r="AE346" s="409"/>
      <c r="AF346" s="410">
        <v>0</v>
      </c>
      <c r="AG346" s="410">
        <v>0</v>
      </c>
      <c r="AH346" s="411">
        <v>0</v>
      </c>
      <c r="AI346" s="411">
        <v>0</v>
      </c>
      <c r="AJ346" s="411">
        <v>1.4350000000000001</v>
      </c>
      <c r="AK346" s="411">
        <v>0</v>
      </c>
      <c r="AL346" s="18"/>
      <c r="AM346" s="49"/>
      <c r="AN346" s="2"/>
      <c r="AO346" s="2"/>
    </row>
    <row r="347" spans="1:41" hidden="1">
      <c r="A347" s="14">
        <v>76</v>
      </c>
      <c r="B347" s="11" t="s">
        <v>20260</v>
      </c>
      <c r="C347" s="14">
        <v>0</v>
      </c>
      <c r="D347" s="11" t="s">
        <v>17969</v>
      </c>
      <c r="E347" s="11" t="s">
        <v>20260</v>
      </c>
      <c r="F347" s="12">
        <v>43901</v>
      </c>
      <c r="G347" s="11">
        <v>2020</v>
      </c>
      <c r="H347" s="11" t="s">
        <v>16384</v>
      </c>
      <c r="I347" s="11" t="s">
        <v>16385</v>
      </c>
      <c r="J347" s="11" t="s">
        <v>3</v>
      </c>
      <c r="K347" s="404">
        <v>62539.8</v>
      </c>
      <c r="L347" s="11">
        <v>1</v>
      </c>
      <c r="M347" s="405">
        <v>62539.8</v>
      </c>
      <c r="N347" s="11" t="s">
        <v>20155</v>
      </c>
      <c r="O347" s="11" t="s">
        <v>20170</v>
      </c>
      <c r="P347" s="872">
        <v>43967</v>
      </c>
      <c r="Q347" s="423">
        <v>0</v>
      </c>
      <c r="R347" s="423">
        <v>38160</v>
      </c>
      <c r="S347" s="423">
        <v>2400</v>
      </c>
      <c r="T347" s="423">
        <v>600</v>
      </c>
      <c r="U347" s="423">
        <v>41160</v>
      </c>
      <c r="V347" s="11" t="s">
        <v>20155</v>
      </c>
      <c r="W347" s="407">
        <v>0</v>
      </c>
      <c r="X347" s="407">
        <v>57016.800000000003</v>
      </c>
      <c r="Y347" s="407">
        <v>3288</v>
      </c>
      <c r="Z347" s="407">
        <v>2235</v>
      </c>
      <c r="AA347" s="408"/>
      <c r="AB347" s="408">
        <v>1.4941509433962266</v>
      </c>
      <c r="AC347" s="408">
        <v>1.37</v>
      </c>
      <c r="AD347" s="408">
        <v>3.7250000000000001</v>
      </c>
      <c r="AE347" s="409"/>
      <c r="AF347" s="410">
        <v>0</v>
      </c>
      <c r="AG347" s="410">
        <v>0</v>
      </c>
      <c r="AH347" s="411">
        <v>0</v>
      </c>
      <c r="AI347" s="412">
        <v>1.4941509433962266</v>
      </c>
      <c r="AJ347" s="411">
        <v>1.37</v>
      </c>
      <c r="AK347" s="411">
        <v>3.7250000000000001</v>
      </c>
      <c r="AL347" s="18"/>
      <c r="AM347" s="49"/>
      <c r="AN347" s="2"/>
      <c r="AO347" s="2"/>
    </row>
    <row r="348" spans="1:41" hidden="1">
      <c r="A348" s="14">
        <v>77</v>
      </c>
      <c r="B348" s="11" t="s">
        <v>20261</v>
      </c>
      <c r="C348" s="14">
        <v>0</v>
      </c>
      <c r="D348" s="11" t="s">
        <v>17970</v>
      </c>
      <c r="E348" s="11" t="s">
        <v>20261</v>
      </c>
      <c r="F348" s="12">
        <v>43901</v>
      </c>
      <c r="G348" s="11">
        <v>2020</v>
      </c>
      <c r="H348" s="11" t="s">
        <v>16957</v>
      </c>
      <c r="I348" s="11" t="s">
        <v>16958</v>
      </c>
      <c r="J348" s="11" t="s">
        <v>16401</v>
      </c>
      <c r="K348" s="404">
        <v>39487.32</v>
      </c>
      <c r="L348" s="11">
        <v>2.8614000000000002</v>
      </c>
      <c r="M348" s="405">
        <v>13800</v>
      </c>
      <c r="N348" s="11" t="s">
        <v>20155</v>
      </c>
      <c r="O348" s="11" t="s">
        <v>20161</v>
      </c>
      <c r="P348" s="872">
        <v>43909</v>
      </c>
      <c r="Q348" s="423">
        <v>20000</v>
      </c>
      <c r="R348" s="423">
        <v>0</v>
      </c>
      <c r="S348" s="423">
        <v>0</v>
      </c>
      <c r="T348" s="423">
        <v>0</v>
      </c>
      <c r="U348" s="423">
        <v>20000</v>
      </c>
      <c r="V348" s="11" t="s">
        <v>20155</v>
      </c>
      <c r="W348" s="407">
        <v>39487.32</v>
      </c>
      <c r="X348" s="407">
        <v>0</v>
      </c>
      <c r="Y348" s="407">
        <v>0</v>
      </c>
      <c r="Z348" s="407">
        <v>0</v>
      </c>
      <c r="AA348" s="408">
        <v>1.9743660000000001</v>
      </c>
      <c r="AB348" s="408"/>
      <c r="AC348" s="408"/>
      <c r="AD348" s="408"/>
      <c r="AE348" s="409"/>
      <c r="AF348" s="410">
        <v>4787.34</v>
      </c>
      <c r="AG348" s="410">
        <v>0.239367</v>
      </c>
      <c r="AH348" s="411">
        <v>1.7349990000000002</v>
      </c>
      <c r="AI348" s="411">
        <v>0</v>
      </c>
      <c r="AJ348" s="411">
        <v>0</v>
      </c>
      <c r="AK348" s="411">
        <v>0</v>
      </c>
      <c r="AL348" s="18"/>
      <c r="AM348" s="49"/>
      <c r="AN348" s="2"/>
      <c r="AO348" s="2"/>
    </row>
    <row r="349" spans="1:41" hidden="1">
      <c r="A349" s="14">
        <v>78</v>
      </c>
      <c r="B349" s="11" t="s">
        <v>20262</v>
      </c>
      <c r="C349" s="14">
        <v>0</v>
      </c>
      <c r="D349" s="21" t="s">
        <v>17972</v>
      </c>
      <c r="E349" s="11" t="s">
        <v>20262</v>
      </c>
      <c r="F349" s="12">
        <v>43901</v>
      </c>
      <c r="G349" s="11">
        <v>2020</v>
      </c>
      <c r="H349" s="11" t="s">
        <v>16904</v>
      </c>
      <c r="I349" s="11" t="s">
        <v>16905</v>
      </c>
      <c r="J349" s="11" t="s">
        <v>16482</v>
      </c>
      <c r="K349" s="404">
        <v>51561.925000000003</v>
      </c>
      <c r="L349" s="11">
        <v>3.1566000000000001</v>
      </c>
      <c r="M349" s="405">
        <v>16334.640119115504</v>
      </c>
      <c r="N349" s="11" t="s">
        <v>20155</v>
      </c>
      <c r="O349" s="11" t="s">
        <v>20160</v>
      </c>
      <c r="P349" s="872">
        <v>43938</v>
      </c>
      <c r="Q349" s="423">
        <v>0</v>
      </c>
      <c r="R349" s="423">
        <v>18336</v>
      </c>
      <c r="S349" s="423">
        <v>9000</v>
      </c>
      <c r="T349" s="423">
        <v>0</v>
      </c>
      <c r="U349" s="423">
        <v>27336</v>
      </c>
      <c r="V349" s="11" t="s">
        <v>20155</v>
      </c>
      <c r="W349" s="407">
        <v>0</v>
      </c>
      <c r="X349" s="407">
        <v>37830.714624</v>
      </c>
      <c r="Y349" s="407">
        <v>13731.21</v>
      </c>
      <c r="Z349" s="407">
        <v>0</v>
      </c>
      <c r="AA349" s="408"/>
      <c r="AB349" s="408">
        <v>2.0631934240837695</v>
      </c>
      <c r="AC349" s="408">
        <v>1.52569</v>
      </c>
      <c r="AD349" s="408"/>
      <c r="AE349" s="409"/>
      <c r="AF349" s="410">
        <v>10332.09</v>
      </c>
      <c r="AG349" s="410">
        <v>0.37796641791044777</v>
      </c>
      <c r="AH349" s="411">
        <v>0</v>
      </c>
      <c r="AI349" s="412">
        <v>1.6852270061733217</v>
      </c>
      <c r="AJ349" s="411">
        <v>1.1477235820895522</v>
      </c>
      <c r="AK349" s="411">
        <v>0</v>
      </c>
      <c r="AL349" s="18"/>
      <c r="AM349" s="49"/>
      <c r="AN349" s="2"/>
      <c r="AO349" s="2"/>
    </row>
    <row r="350" spans="1:41" hidden="1">
      <c r="A350" s="14">
        <v>79</v>
      </c>
      <c r="B350" s="11" t="s">
        <v>20263</v>
      </c>
      <c r="C350" s="14">
        <v>0</v>
      </c>
      <c r="D350" s="11" t="s">
        <v>17973</v>
      </c>
      <c r="E350" s="11" t="s">
        <v>20263</v>
      </c>
      <c r="F350" s="12">
        <v>43901</v>
      </c>
      <c r="G350" s="11">
        <v>2020</v>
      </c>
      <c r="H350" s="11" t="s">
        <v>16643</v>
      </c>
      <c r="I350" s="11" t="s">
        <v>16644</v>
      </c>
      <c r="J350" s="11" t="s">
        <v>16482</v>
      </c>
      <c r="K350" s="404">
        <v>118917.931</v>
      </c>
      <c r="L350" s="11">
        <v>3.1547000000000001</v>
      </c>
      <c r="M350" s="405">
        <v>37695.48007734491</v>
      </c>
      <c r="N350" s="11" t="s">
        <v>20155</v>
      </c>
      <c r="O350" s="11" t="s">
        <v>20159</v>
      </c>
      <c r="P350" s="872">
        <v>43966</v>
      </c>
      <c r="Q350" s="423">
        <v>0</v>
      </c>
      <c r="R350" s="423">
        <v>47208</v>
      </c>
      <c r="S350" s="423">
        <v>23000</v>
      </c>
      <c r="T350" s="423">
        <v>0</v>
      </c>
      <c r="U350" s="423">
        <v>70208</v>
      </c>
      <c r="V350" s="11" t="s">
        <v>20155</v>
      </c>
      <c r="W350" s="407">
        <v>0</v>
      </c>
      <c r="X350" s="407">
        <v>64783.278756000007</v>
      </c>
      <c r="Y350" s="407">
        <v>33376.726000000002</v>
      </c>
      <c r="Z350" s="407">
        <v>0</v>
      </c>
      <c r="AA350" s="408"/>
      <c r="AB350" s="408">
        <v>1.3722945000000002</v>
      </c>
      <c r="AC350" s="408">
        <v>1.4511620000000001</v>
      </c>
      <c r="AD350" s="408"/>
      <c r="AE350" s="409"/>
      <c r="AF350" s="410">
        <v>25499.989000000001</v>
      </c>
      <c r="AG350" s="410">
        <v>0.36320631551959892</v>
      </c>
      <c r="AH350" s="411">
        <v>0</v>
      </c>
      <c r="AI350" s="412">
        <v>1.0090881844804014</v>
      </c>
      <c r="AJ350" s="411">
        <v>1.0879556844804013</v>
      </c>
      <c r="AK350" s="411">
        <v>0</v>
      </c>
      <c r="AL350" s="18"/>
      <c r="AM350" s="49"/>
      <c r="AN350" s="2"/>
      <c r="AO350" s="2"/>
    </row>
    <row r="351" spans="1:41" hidden="1">
      <c r="A351" s="14">
        <v>80</v>
      </c>
      <c r="B351" s="11" t="s">
        <v>20264</v>
      </c>
      <c r="C351" s="14">
        <v>0</v>
      </c>
      <c r="D351" s="11" t="s">
        <v>17974</v>
      </c>
      <c r="E351" s="11" t="s">
        <v>20264</v>
      </c>
      <c r="F351" s="12">
        <v>43901</v>
      </c>
      <c r="G351" s="11">
        <v>2020</v>
      </c>
      <c r="H351" s="11" t="s">
        <v>17119</v>
      </c>
      <c r="I351" s="11" t="s">
        <v>17120</v>
      </c>
      <c r="J351" s="11" t="s">
        <v>16401</v>
      </c>
      <c r="K351" s="404">
        <v>150532.302</v>
      </c>
      <c r="L351" s="11">
        <v>2.8614000000000002</v>
      </c>
      <c r="M351" s="405">
        <v>52607.919899349967</v>
      </c>
      <c r="N351" s="11" t="s">
        <v>20155</v>
      </c>
      <c r="O351" s="11" t="s">
        <v>17965</v>
      </c>
      <c r="P351" s="872">
        <v>43908</v>
      </c>
      <c r="Q351" s="423">
        <v>19200</v>
      </c>
      <c r="R351" s="423">
        <v>68808</v>
      </c>
      <c r="S351" s="423">
        <v>0</v>
      </c>
      <c r="T351" s="423">
        <v>0</v>
      </c>
      <c r="U351" s="423">
        <v>88008</v>
      </c>
      <c r="V351" s="11" t="s">
        <v>20155</v>
      </c>
      <c r="W351" s="407">
        <v>30216.383999999998</v>
      </c>
      <c r="X351" s="407">
        <v>96852.438288000005</v>
      </c>
      <c r="Y351" s="407">
        <v>0</v>
      </c>
      <c r="Z351" s="407">
        <v>0</v>
      </c>
      <c r="AA351" s="408">
        <v>1.5737699999999999</v>
      </c>
      <c r="AB351" s="408">
        <v>1.4075752570631324</v>
      </c>
      <c r="AC351" s="408"/>
      <c r="AD351" s="408"/>
      <c r="AE351" s="409"/>
      <c r="AF351" s="410">
        <v>28678.14</v>
      </c>
      <c r="AG351" s="410">
        <v>0.32585833106081263</v>
      </c>
      <c r="AH351" s="411">
        <v>1.2479116689391874</v>
      </c>
      <c r="AI351" s="412">
        <v>1.0817169260023198</v>
      </c>
      <c r="AJ351" s="411">
        <v>0</v>
      </c>
      <c r="AK351" s="411">
        <v>0</v>
      </c>
      <c r="AL351" s="18"/>
      <c r="AM351" s="49"/>
      <c r="AN351" s="2"/>
      <c r="AO351" s="2"/>
    </row>
    <row r="352" spans="1:41" hidden="1">
      <c r="A352" s="424">
        <v>81</v>
      </c>
      <c r="B352" s="425" t="s">
        <v>20265</v>
      </c>
      <c r="C352" s="424">
        <v>0</v>
      </c>
      <c r="D352" s="425" t="s">
        <v>20266</v>
      </c>
      <c r="E352" s="425" t="s">
        <v>20265</v>
      </c>
      <c r="F352" s="426">
        <v>43901</v>
      </c>
      <c r="G352" s="425">
        <v>2020</v>
      </c>
      <c r="H352" s="425" t="s">
        <v>17230</v>
      </c>
      <c r="I352" s="425" t="s">
        <v>17231</v>
      </c>
      <c r="J352" s="425" t="s">
        <v>16482</v>
      </c>
      <c r="K352" s="427"/>
      <c r="L352" s="425"/>
      <c r="M352" s="428"/>
      <c r="N352" s="425" t="s">
        <v>20164</v>
      </c>
      <c r="O352" s="425" t="s">
        <v>20164</v>
      </c>
      <c r="P352" s="872" t="s">
        <v>20164</v>
      </c>
      <c r="Q352" s="429">
        <v>0</v>
      </c>
      <c r="R352" s="429">
        <v>12288</v>
      </c>
      <c r="S352" s="429">
        <v>6000</v>
      </c>
      <c r="T352" s="429">
        <v>1860</v>
      </c>
      <c r="U352" s="429">
        <v>20148</v>
      </c>
      <c r="V352" s="425" t="s">
        <v>20164</v>
      </c>
      <c r="W352" s="430"/>
      <c r="X352" s="430"/>
      <c r="Y352" s="430"/>
      <c r="Z352" s="430"/>
      <c r="AA352" s="431"/>
      <c r="AB352" s="431"/>
      <c r="AC352" s="431"/>
      <c r="AD352" s="431"/>
      <c r="AE352" s="432"/>
      <c r="AF352" s="433">
        <v>0</v>
      </c>
      <c r="AG352" s="433"/>
      <c r="AH352" s="412">
        <v>0</v>
      </c>
      <c r="AI352" s="412">
        <v>0</v>
      </c>
      <c r="AJ352" s="412">
        <v>0</v>
      </c>
      <c r="AK352" s="412">
        <v>0</v>
      </c>
      <c r="AL352" s="434"/>
      <c r="AM352" s="435"/>
      <c r="AN352" s="33"/>
      <c r="AO352" s="33"/>
    </row>
    <row r="353" spans="1:41" hidden="1">
      <c r="A353" s="14">
        <v>82</v>
      </c>
      <c r="B353" s="11" t="s">
        <v>20267</v>
      </c>
      <c r="C353" s="14">
        <v>0</v>
      </c>
      <c r="D353" s="11" t="s">
        <v>17975</v>
      </c>
      <c r="E353" s="11" t="s">
        <v>20267</v>
      </c>
      <c r="F353" s="12">
        <v>43901</v>
      </c>
      <c r="G353" s="11">
        <v>2020</v>
      </c>
      <c r="H353" s="11" t="s">
        <v>17236</v>
      </c>
      <c r="I353" s="11" t="s">
        <v>17237</v>
      </c>
      <c r="J353" s="11" t="s">
        <v>16401</v>
      </c>
      <c r="K353" s="404">
        <v>44658.375</v>
      </c>
      <c r="L353" s="11">
        <v>2.9155000000000002</v>
      </c>
      <c r="M353" s="405">
        <v>15317.569885096895</v>
      </c>
      <c r="N353" s="11" t="s">
        <v>20155</v>
      </c>
      <c r="O353" s="11" t="s">
        <v>17238</v>
      </c>
      <c r="P353" s="872">
        <v>43971</v>
      </c>
      <c r="Q353" s="423">
        <v>0</v>
      </c>
      <c r="R353" s="423">
        <v>22008</v>
      </c>
      <c r="S353" s="423">
        <v>0</v>
      </c>
      <c r="T353" s="423">
        <v>0</v>
      </c>
      <c r="U353" s="423">
        <v>22008</v>
      </c>
      <c r="V353" s="11" t="s">
        <v>20155</v>
      </c>
      <c r="W353" s="407">
        <v>0</v>
      </c>
      <c r="X353" s="407">
        <v>44658.369503999995</v>
      </c>
      <c r="Y353" s="407">
        <v>0</v>
      </c>
      <c r="Z353" s="407">
        <v>0</v>
      </c>
      <c r="AA353" s="408"/>
      <c r="AB353" s="408">
        <v>2.0291879999999995</v>
      </c>
      <c r="AC353" s="408"/>
      <c r="AD353" s="408"/>
      <c r="AE353" s="409"/>
      <c r="AF353" s="410">
        <v>8071.6040000000003</v>
      </c>
      <c r="AG353" s="410">
        <v>0.36675772446383137</v>
      </c>
      <c r="AH353" s="411">
        <v>0</v>
      </c>
      <c r="AI353" s="412">
        <v>1.6624302755361682</v>
      </c>
      <c r="AJ353" s="411">
        <v>0</v>
      </c>
      <c r="AK353" s="411">
        <v>0</v>
      </c>
      <c r="AL353" s="18"/>
      <c r="AM353" s="49"/>
      <c r="AN353" s="2"/>
      <c r="AO353" s="2"/>
    </row>
    <row r="354" spans="1:41" hidden="1">
      <c r="A354" s="14">
        <v>83</v>
      </c>
      <c r="B354" s="11" t="s">
        <v>20268</v>
      </c>
      <c r="C354" s="14">
        <v>0</v>
      </c>
      <c r="D354" s="11" t="s">
        <v>17977</v>
      </c>
      <c r="E354" s="11" t="s">
        <v>20268</v>
      </c>
      <c r="F354" s="12">
        <v>43901</v>
      </c>
      <c r="G354" s="11">
        <v>2020</v>
      </c>
      <c r="H354" s="11" t="s">
        <v>16957</v>
      </c>
      <c r="I354" s="11" t="s">
        <v>16958</v>
      </c>
      <c r="J354" s="11" t="s">
        <v>16401</v>
      </c>
      <c r="K354" s="404">
        <v>77376.740000000005</v>
      </c>
      <c r="L354" s="11">
        <v>2.9089</v>
      </c>
      <c r="M354" s="405">
        <v>26600</v>
      </c>
      <c r="N354" s="11" t="s">
        <v>20155</v>
      </c>
      <c r="O354" s="11" t="s">
        <v>20161</v>
      </c>
      <c r="P354" s="872">
        <v>43917</v>
      </c>
      <c r="Q354" s="423">
        <v>40000</v>
      </c>
      <c r="R354" s="423">
        <v>0</v>
      </c>
      <c r="S354" s="423">
        <v>0</v>
      </c>
      <c r="T354" s="423">
        <v>0</v>
      </c>
      <c r="U354" s="423">
        <v>40000</v>
      </c>
      <c r="V354" s="11" t="s">
        <v>20155</v>
      </c>
      <c r="W354" s="407">
        <v>77376.740000000005</v>
      </c>
      <c r="X354" s="407">
        <v>0</v>
      </c>
      <c r="Y354" s="407">
        <v>0</v>
      </c>
      <c r="Z354" s="407">
        <v>0</v>
      </c>
      <c r="AA354" s="408">
        <v>1.9344185</v>
      </c>
      <c r="AB354" s="408"/>
      <c r="AC354" s="408"/>
      <c r="AD354" s="408"/>
      <c r="AE354" s="409"/>
      <c r="AF354" s="410">
        <v>8607.1119999999992</v>
      </c>
      <c r="AG354" s="410">
        <v>0.21517779999999997</v>
      </c>
      <c r="AH354" s="411">
        <v>1.7192407000000001</v>
      </c>
      <c r="AI354" s="411">
        <v>0</v>
      </c>
      <c r="AJ354" s="411">
        <v>0</v>
      </c>
      <c r="AK354" s="411">
        <v>0</v>
      </c>
      <c r="AL354" s="18"/>
      <c r="AM354" s="49"/>
      <c r="AN354" s="2"/>
      <c r="AO354" s="2"/>
    </row>
    <row r="355" spans="1:41" hidden="1">
      <c r="A355" s="14">
        <v>84</v>
      </c>
      <c r="B355" s="11" t="s">
        <v>20269</v>
      </c>
      <c r="C355" s="14">
        <v>0</v>
      </c>
      <c r="D355" s="11" t="s">
        <v>17979</v>
      </c>
      <c r="E355" s="11" t="s">
        <v>20269</v>
      </c>
      <c r="F355" s="12">
        <v>43901</v>
      </c>
      <c r="G355" s="11">
        <v>2020</v>
      </c>
      <c r="H355" s="11" t="s">
        <v>16783</v>
      </c>
      <c r="I355" s="11" t="s">
        <v>16784</v>
      </c>
      <c r="J355" s="11" t="s">
        <v>16401</v>
      </c>
      <c r="K355" s="404">
        <v>447818.25</v>
      </c>
      <c r="L355" s="11">
        <v>2.8984999999999999</v>
      </c>
      <c r="M355" s="405">
        <v>154500</v>
      </c>
      <c r="N355" s="11" t="s">
        <v>20155</v>
      </c>
      <c r="O355" s="11" t="s">
        <v>17939</v>
      </c>
      <c r="P355" s="872">
        <v>43960</v>
      </c>
      <c r="Q355" s="423">
        <v>0</v>
      </c>
      <c r="R355" s="423">
        <v>243360</v>
      </c>
      <c r="S355" s="423">
        <v>24000</v>
      </c>
      <c r="T355" s="423">
        <v>0</v>
      </c>
      <c r="U355" s="423">
        <v>267360</v>
      </c>
      <c r="V355" s="11" t="s">
        <v>20155</v>
      </c>
      <c r="W355" s="407">
        <v>0</v>
      </c>
      <c r="X355" s="407">
        <v>373850.84879999998</v>
      </c>
      <c r="Y355" s="407">
        <v>36868.920000000013</v>
      </c>
      <c r="Z355" s="407">
        <v>0</v>
      </c>
      <c r="AA355" s="408"/>
      <c r="AB355" s="408">
        <v>1.5362049999999998</v>
      </c>
      <c r="AC355" s="408">
        <v>1.5362050000000005</v>
      </c>
      <c r="AD355" s="408"/>
      <c r="AE355" s="409"/>
      <c r="AF355" s="410">
        <v>46481.4</v>
      </c>
      <c r="AG355" s="410">
        <v>0.1738532315978456</v>
      </c>
      <c r="AH355" s="411">
        <v>0</v>
      </c>
      <c r="AI355" s="412">
        <v>1.3623517684021542</v>
      </c>
      <c r="AJ355" s="411">
        <v>1.3623517684021549</v>
      </c>
      <c r="AK355" s="411">
        <v>0</v>
      </c>
      <c r="AL355" s="18"/>
      <c r="AM355" s="49"/>
      <c r="AN355" s="2"/>
      <c r="AO355" s="2"/>
    </row>
    <row r="356" spans="1:41" hidden="1">
      <c r="A356" s="14">
        <v>85</v>
      </c>
      <c r="B356" s="11" t="s">
        <v>20270</v>
      </c>
      <c r="C356" s="14">
        <v>0</v>
      </c>
      <c r="D356" s="11" t="s">
        <v>17981</v>
      </c>
      <c r="E356" s="11" t="s">
        <v>20270</v>
      </c>
      <c r="F356" s="12">
        <v>43901</v>
      </c>
      <c r="G356" s="11">
        <v>2020</v>
      </c>
      <c r="H356" s="11" t="s">
        <v>16384</v>
      </c>
      <c r="I356" s="11" t="s">
        <v>16385</v>
      </c>
      <c r="J356" s="11" t="s">
        <v>3</v>
      </c>
      <c r="K356" s="404">
        <v>105588</v>
      </c>
      <c r="L356" s="11">
        <v>1</v>
      </c>
      <c r="M356" s="405">
        <v>105588</v>
      </c>
      <c r="N356" s="11" t="s">
        <v>20155</v>
      </c>
      <c r="O356" s="11" t="s">
        <v>17777</v>
      </c>
      <c r="P356" s="872">
        <v>43962</v>
      </c>
      <c r="Q356" s="423">
        <v>0</v>
      </c>
      <c r="R356" s="423">
        <v>0</v>
      </c>
      <c r="S356" s="423">
        <v>84000</v>
      </c>
      <c r="T356" s="423">
        <v>0</v>
      </c>
      <c r="U356" s="423">
        <v>84000</v>
      </c>
      <c r="V356" s="11" t="s">
        <v>20155</v>
      </c>
      <c r="W356" s="407">
        <v>0</v>
      </c>
      <c r="X356" s="407">
        <v>0</v>
      </c>
      <c r="Y356" s="407">
        <v>105588</v>
      </c>
      <c r="Z356" s="407">
        <v>0</v>
      </c>
      <c r="AA356" s="408"/>
      <c r="AB356" s="408"/>
      <c r="AC356" s="408">
        <v>1.2569999999999999</v>
      </c>
      <c r="AD356" s="408"/>
      <c r="AE356" s="409"/>
      <c r="AF356" s="410">
        <v>0</v>
      </c>
      <c r="AG356" s="410">
        <v>0</v>
      </c>
      <c r="AH356" s="411">
        <v>0</v>
      </c>
      <c r="AI356" s="411">
        <v>0</v>
      </c>
      <c r="AJ356" s="411">
        <v>1.2569999999999999</v>
      </c>
      <c r="AK356" s="411">
        <v>0</v>
      </c>
      <c r="AL356" s="18"/>
      <c r="AM356" s="49"/>
      <c r="AN356" s="2"/>
      <c r="AO356" s="2"/>
    </row>
    <row r="357" spans="1:41" hidden="1">
      <c r="A357" s="14">
        <v>86</v>
      </c>
      <c r="B357" s="11" t="s">
        <v>20271</v>
      </c>
      <c r="C357" s="14">
        <v>0</v>
      </c>
      <c r="D357" s="11" t="s">
        <v>17983</v>
      </c>
      <c r="E357" s="11" t="s">
        <v>20271</v>
      </c>
      <c r="F357" s="12">
        <v>43902</v>
      </c>
      <c r="G357" s="11">
        <v>2020</v>
      </c>
      <c r="H357" s="11" t="s">
        <v>16444</v>
      </c>
      <c r="I357" s="11" t="s">
        <v>16445</v>
      </c>
      <c r="J357" s="11" t="s">
        <v>3</v>
      </c>
      <c r="K357" s="404">
        <v>30340</v>
      </c>
      <c r="L357" s="11">
        <v>1</v>
      </c>
      <c r="M357" s="405">
        <v>30340</v>
      </c>
      <c r="N357" s="11" t="s">
        <v>20155</v>
      </c>
      <c r="O357" s="11" t="s">
        <v>17693</v>
      </c>
      <c r="P357" s="872">
        <v>43908</v>
      </c>
      <c r="Q357" s="423">
        <v>20500</v>
      </c>
      <c r="R357" s="423">
        <v>0</v>
      </c>
      <c r="S357" s="423">
        <v>0</v>
      </c>
      <c r="T357" s="423">
        <v>0</v>
      </c>
      <c r="U357" s="423">
        <v>20500</v>
      </c>
      <c r="V357" s="11" t="s">
        <v>20155</v>
      </c>
      <c r="W357" s="407">
        <v>30340</v>
      </c>
      <c r="X357" s="407">
        <v>0</v>
      </c>
      <c r="Y357" s="407">
        <v>0</v>
      </c>
      <c r="Z357" s="407">
        <v>0</v>
      </c>
      <c r="AA357" s="408">
        <v>1.48</v>
      </c>
      <c r="AB357" s="408"/>
      <c r="AC357" s="408"/>
      <c r="AD357" s="408"/>
      <c r="AE357" s="409"/>
      <c r="AF357" s="410">
        <v>0</v>
      </c>
      <c r="AG357" s="410">
        <v>0</v>
      </c>
      <c r="AH357" s="411">
        <v>1.48</v>
      </c>
      <c r="AI357" s="411">
        <v>0</v>
      </c>
      <c r="AJ357" s="411">
        <v>0</v>
      </c>
      <c r="AK357" s="411">
        <v>0</v>
      </c>
      <c r="AL357" s="18"/>
      <c r="AM357" s="49"/>
      <c r="AN357" s="2"/>
      <c r="AO357" s="2"/>
    </row>
    <row r="358" spans="1:41" hidden="1">
      <c r="A358" s="14">
        <v>87</v>
      </c>
      <c r="B358" s="11" t="s">
        <v>20272</v>
      </c>
      <c r="C358" s="14">
        <v>0</v>
      </c>
      <c r="D358" s="11" t="s">
        <v>17984</v>
      </c>
      <c r="E358" s="11" t="s">
        <v>20272</v>
      </c>
      <c r="F358" s="12">
        <v>43909</v>
      </c>
      <c r="G358" s="11">
        <v>2020</v>
      </c>
      <c r="H358" s="11" t="s">
        <v>16779</v>
      </c>
      <c r="I358" s="11" t="s">
        <v>16780</v>
      </c>
      <c r="J358" s="11" t="s">
        <v>16482</v>
      </c>
      <c r="K358" s="404">
        <v>34493.468999999997</v>
      </c>
      <c r="L358" s="11">
        <v>3.15415</v>
      </c>
      <c r="M358" s="405">
        <v>10935.900004755638</v>
      </c>
      <c r="N358" s="11" t="s">
        <v>20155</v>
      </c>
      <c r="O358" s="11" t="s">
        <v>16394</v>
      </c>
      <c r="P358" s="872">
        <v>43920</v>
      </c>
      <c r="Q358" s="423">
        <v>0</v>
      </c>
      <c r="R358" s="423">
        <v>12960</v>
      </c>
      <c r="S358" s="423">
        <v>7500</v>
      </c>
      <c r="T358" s="423">
        <v>0</v>
      </c>
      <c r="U358" s="423">
        <v>20460</v>
      </c>
      <c r="V358" s="11" t="s">
        <v>20155</v>
      </c>
      <c r="W358" s="407">
        <v>0</v>
      </c>
      <c r="X358" s="407">
        <v>22074.003360000002</v>
      </c>
      <c r="Y358" s="407">
        <v>12419.465625000003</v>
      </c>
      <c r="Z358" s="407">
        <v>0</v>
      </c>
      <c r="AA358" s="408"/>
      <c r="AB358" s="408">
        <v>1.7032410000000002</v>
      </c>
      <c r="AC358" s="408">
        <v>1.6559287500000004</v>
      </c>
      <c r="AD358" s="408"/>
      <c r="AE358" s="409"/>
      <c r="AF358" s="410">
        <v>1208.58</v>
      </c>
      <c r="AG358" s="410">
        <v>5.9070381231671548E-2</v>
      </c>
      <c r="AH358" s="411">
        <v>0</v>
      </c>
      <c r="AI358" s="412">
        <v>1.6441706187683287</v>
      </c>
      <c r="AJ358" s="411">
        <v>1.5968583687683289</v>
      </c>
      <c r="AK358" s="411">
        <v>0</v>
      </c>
      <c r="AL358" s="18"/>
      <c r="AM358" s="49"/>
      <c r="AN358" s="2"/>
      <c r="AO358" s="2"/>
    </row>
    <row r="359" spans="1:41" hidden="1">
      <c r="A359" s="14">
        <v>88</v>
      </c>
      <c r="B359" s="11" t="s">
        <v>20273</v>
      </c>
      <c r="C359" s="14">
        <v>0</v>
      </c>
      <c r="D359" s="11" t="s">
        <v>17986</v>
      </c>
      <c r="E359" s="11" t="s">
        <v>20273</v>
      </c>
      <c r="F359" s="12">
        <v>43909</v>
      </c>
      <c r="G359" s="11">
        <v>2020</v>
      </c>
      <c r="H359" s="11" t="s">
        <v>16838</v>
      </c>
      <c r="I359" s="11" t="s">
        <v>16839</v>
      </c>
      <c r="J359" s="11" t="s">
        <v>3</v>
      </c>
      <c r="K359" s="404">
        <v>153440</v>
      </c>
      <c r="L359" s="11">
        <v>1</v>
      </c>
      <c r="M359" s="405">
        <v>153440</v>
      </c>
      <c r="N359" s="11" t="s">
        <v>20155</v>
      </c>
      <c r="O359" s="11" t="s">
        <v>17771</v>
      </c>
      <c r="P359" s="872">
        <v>43953</v>
      </c>
      <c r="Q359" s="423">
        <v>0</v>
      </c>
      <c r="R359" s="423">
        <v>0</v>
      </c>
      <c r="S359" s="423">
        <v>112000</v>
      </c>
      <c r="T359" s="423">
        <v>0</v>
      </c>
      <c r="U359" s="423">
        <v>112000</v>
      </c>
      <c r="V359" s="11" t="s">
        <v>20155</v>
      </c>
      <c r="W359" s="407">
        <v>0</v>
      </c>
      <c r="X359" s="407">
        <v>0</v>
      </c>
      <c r="Y359" s="407">
        <v>153440</v>
      </c>
      <c r="Z359" s="407">
        <v>0</v>
      </c>
      <c r="AA359" s="408"/>
      <c r="AB359" s="408"/>
      <c r="AC359" s="408">
        <v>1.37</v>
      </c>
      <c r="AD359" s="408"/>
      <c r="AE359" s="409"/>
      <c r="AF359" s="410">
        <v>0</v>
      </c>
      <c r="AG359" s="410">
        <v>0</v>
      </c>
      <c r="AH359" s="411">
        <v>0</v>
      </c>
      <c r="AI359" s="411">
        <v>0</v>
      </c>
      <c r="AJ359" s="411">
        <v>1.37</v>
      </c>
      <c r="AK359" s="411">
        <v>0</v>
      </c>
      <c r="AL359" s="18"/>
      <c r="AM359" s="49"/>
      <c r="AN359" s="2"/>
      <c r="AO359" s="2"/>
    </row>
    <row r="360" spans="1:41" hidden="1">
      <c r="A360" s="14">
        <v>89</v>
      </c>
      <c r="B360" s="11" t="s">
        <v>20274</v>
      </c>
      <c r="C360" s="14">
        <v>0</v>
      </c>
      <c r="D360" s="11" t="s">
        <v>17988</v>
      </c>
      <c r="E360" s="11" t="s">
        <v>20274</v>
      </c>
      <c r="F360" s="12">
        <v>43909</v>
      </c>
      <c r="G360" s="11">
        <v>2020</v>
      </c>
      <c r="H360" s="11" t="s">
        <v>16779</v>
      </c>
      <c r="I360" s="11" t="s">
        <v>16780</v>
      </c>
      <c r="J360" s="11" t="s">
        <v>16482</v>
      </c>
      <c r="K360" s="444">
        <f>L360*M360</f>
        <v>34219.247184</v>
      </c>
      <c r="L360" s="445">
        <v>3.15415</v>
      </c>
      <c r="M360" s="446">
        <v>10848.96</v>
      </c>
      <c r="N360" s="11" t="s">
        <v>20155</v>
      </c>
      <c r="O360" s="11" t="s">
        <v>16394</v>
      </c>
      <c r="P360" s="872">
        <v>43920</v>
      </c>
      <c r="Q360" s="423">
        <v>0</v>
      </c>
      <c r="R360" s="423">
        <v>8424</v>
      </c>
      <c r="S360" s="423">
        <v>12000</v>
      </c>
      <c r="T360" s="423">
        <v>0</v>
      </c>
      <c r="U360" s="423">
        <v>20424</v>
      </c>
      <c r="V360" s="11" t="s">
        <v>20155</v>
      </c>
      <c r="W360" s="407">
        <v>0</v>
      </c>
      <c r="X360" s="407">
        <v>14348.102184000001</v>
      </c>
      <c r="Y360" s="407">
        <v>19871.145</v>
      </c>
      <c r="Z360" s="407">
        <v>0</v>
      </c>
      <c r="AA360" s="408"/>
      <c r="AB360" s="408">
        <v>1.7032410000000002</v>
      </c>
      <c r="AC360" s="408">
        <v>1.6559287499999999</v>
      </c>
      <c r="AD360" s="408"/>
      <c r="AE360" s="409"/>
      <c r="AF360" s="410">
        <v>1208.58</v>
      </c>
      <c r="AG360" s="410">
        <v>5.917450058754406E-2</v>
      </c>
      <c r="AH360" s="411">
        <v>0</v>
      </c>
      <c r="AI360" s="412">
        <v>1.6440664994124561</v>
      </c>
      <c r="AJ360" s="411">
        <v>1.5967542494124558</v>
      </c>
      <c r="AK360" s="411">
        <v>0</v>
      </c>
      <c r="AL360" s="18"/>
      <c r="AM360" s="49"/>
      <c r="AN360" s="2"/>
      <c r="AO360" s="2"/>
    </row>
    <row r="361" spans="1:41" hidden="1">
      <c r="A361" s="14">
        <v>90</v>
      </c>
      <c r="B361" s="11" t="s">
        <v>20275</v>
      </c>
      <c r="C361" s="14">
        <v>0</v>
      </c>
      <c r="D361" s="11" t="s">
        <v>17989</v>
      </c>
      <c r="E361" s="11" t="s">
        <v>20275</v>
      </c>
      <c r="F361" s="12">
        <v>43917</v>
      </c>
      <c r="G361" s="11">
        <v>2020</v>
      </c>
      <c r="H361" s="11" t="s">
        <v>17239</v>
      </c>
      <c r="I361" s="11" t="s">
        <v>17240</v>
      </c>
      <c r="J361" s="11" t="s">
        <v>16482</v>
      </c>
      <c r="K361" s="404">
        <v>35471.449999999997</v>
      </c>
      <c r="L361" s="11">
        <v>3.1730999999999998</v>
      </c>
      <c r="M361" s="405">
        <v>11178.799911758217</v>
      </c>
      <c r="N361" s="11" t="s">
        <v>20155</v>
      </c>
      <c r="O361" s="11" t="s">
        <v>16394</v>
      </c>
      <c r="P361" s="872">
        <v>43923</v>
      </c>
      <c r="Q361" s="423">
        <v>0</v>
      </c>
      <c r="R361" s="423">
        <v>12288</v>
      </c>
      <c r="S361" s="423">
        <v>6000</v>
      </c>
      <c r="T361" s="423">
        <v>1860</v>
      </c>
      <c r="U361" s="423">
        <v>20148</v>
      </c>
      <c r="V361" s="11" t="s">
        <v>20155</v>
      </c>
      <c r="W361" s="407">
        <v>0</v>
      </c>
      <c r="X361" s="407">
        <v>21694.484700000001</v>
      </c>
      <c r="Y361" s="407">
        <v>9519.2999999999993</v>
      </c>
      <c r="Z361" s="407">
        <v>4257.6655800000008</v>
      </c>
      <c r="AA361" s="408"/>
      <c r="AB361" s="408">
        <v>1.7655016845703126</v>
      </c>
      <c r="AC361" s="408">
        <v>1.5865499999999999</v>
      </c>
      <c r="AD361" s="408">
        <v>2.2890675161290326</v>
      </c>
      <c r="AE361" s="409"/>
      <c r="AF361" s="410">
        <v>589.1</v>
      </c>
      <c r="AG361" s="410">
        <v>2.9238634107603734E-2</v>
      </c>
      <c r="AH361" s="411">
        <v>0</v>
      </c>
      <c r="AI361" s="412">
        <v>1.736263050462709</v>
      </c>
      <c r="AJ361" s="411">
        <v>1.5573113658923963</v>
      </c>
      <c r="AK361" s="411">
        <v>2.259828882021429</v>
      </c>
      <c r="AL361" s="18"/>
      <c r="AM361" s="49"/>
      <c r="AN361" s="2"/>
      <c r="AO361" s="2"/>
    </row>
    <row r="362" spans="1:41" hidden="1">
      <c r="A362" s="14">
        <v>91</v>
      </c>
      <c r="B362" s="11" t="s">
        <v>20276</v>
      </c>
      <c r="C362" s="14">
        <v>0</v>
      </c>
      <c r="D362" s="11" t="s">
        <v>17991</v>
      </c>
      <c r="E362" s="11" t="s">
        <v>20276</v>
      </c>
      <c r="F362" s="12">
        <v>43923</v>
      </c>
      <c r="G362" s="11">
        <v>2020</v>
      </c>
      <c r="H362" s="11" t="s">
        <v>16880</v>
      </c>
      <c r="I362" s="11" t="s">
        <v>16881</v>
      </c>
      <c r="J362" s="11" t="s">
        <v>16401</v>
      </c>
      <c r="K362" s="404">
        <v>59869.692000000003</v>
      </c>
      <c r="L362" s="11">
        <v>2.9184000000000001</v>
      </c>
      <c r="M362" s="405">
        <v>20514.560032894737</v>
      </c>
      <c r="N362" s="11" t="s">
        <v>20155</v>
      </c>
      <c r="O362" s="11" t="s">
        <v>20156</v>
      </c>
      <c r="P362" s="872">
        <v>43932</v>
      </c>
      <c r="Q362" s="423">
        <v>0</v>
      </c>
      <c r="R362" s="423">
        <v>16848</v>
      </c>
      <c r="S362" s="423">
        <v>0</v>
      </c>
      <c r="T362" s="423">
        <v>0</v>
      </c>
      <c r="U362" s="423">
        <v>16848</v>
      </c>
      <c r="V362" s="11" t="s">
        <v>20155</v>
      </c>
      <c r="W362" s="407">
        <v>0</v>
      </c>
      <c r="X362" s="407">
        <v>59869.691903999985</v>
      </c>
      <c r="Y362" s="407">
        <v>0</v>
      </c>
      <c r="Z362" s="407">
        <v>0</v>
      </c>
      <c r="AA362" s="408"/>
      <c r="AB362" s="408">
        <v>3.553519225071224</v>
      </c>
      <c r="AC362" s="408"/>
      <c r="AD362" s="408"/>
      <c r="AE362" s="409"/>
      <c r="AF362" s="410">
        <v>1215.248</v>
      </c>
      <c r="AG362" s="410">
        <v>7.2130104463437802E-2</v>
      </c>
      <c r="AH362" s="411">
        <v>0</v>
      </c>
      <c r="AI362" s="412">
        <v>3.481389120607786</v>
      </c>
      <c r="AJ362" s="411">
        <v>0</v>
      </c>
      <c r="AK362" s="411">
        <v>0</v>
      </c>
      <c r="AL362" s="18"/>
      <c r="AM362" s="49"/>
      <c r="AN362" s="2"/>
      <c r="AO362" s="2"/>
    </row>
    <row r="363" spans="1:41" hidden="1">
      <c r="A363" s="14">
        <v>92</v>
      </c>
      <c r="B363" s="11" t="s">
        <v>20277</v>
      </c>
      <c r="C363" s="14">
        <v>0</v>
      </c>
      <c r="D363" s="11" t="s">
        <v>17993</v>
      </c>
      <c r="E363" s="11" t="s">
        <v>20277</v>
      </c>
      <c r="F363" s="12">
        <v>43923</v>
      </c>
      <c r="G363" s="11">
        <v>2020</v>
      </c>
      <c r="H363" s="11" t="s">
        <v>16872</v>
      </c>
      <c r="I363" s="11" t="s">
        <v>16873</v>
      </c>
      <c r="J363" s="11" t="s">
        <v>16401</v>
      </c>
      <c r="K363" s="404">
        <v>29461.248</v>
      </c>
      <c r="L363" s="11">
        <v>2.9184000000000001</v>
      </c>
      <c r="M363" s="405">
        <v>10095</v>
      </c>
      <c r="N363" s="11" t="s">
        <v>20155</v>
      </c>
      <c r="O363" s="11" t="s">
        <v>20169</v>
      </c>
      <c r="P363" s="872">
        <v>43928</v>
      </c>
      <c r="Q363" s="423">
        <v>7500</v>
      </c>
      <c r="R363" s="423">
        <v>3000</v>
      </c>
      <c r="S363" s="423">
        <v>0</v>
      </c>
      <c r="T363" s="423">
        <v>0</v>
      </c>
      <c r="U363" s="423">
        <v>10500</v>
      </c>
      <c r="V363" s="11" t="s">
        <v>20155</v>
      </c>
      <c r="W363" s="407">
        <v>19480.319999999996</v>
      </c>
      <c r="X363" s="407">
        <v>9980.9279999999981</v>
      </c>
      <c r="Y363" s="407">
        <v>0</v>
      </c>
      <c r="Z363" s="407">
        <v>0</v>
      </c>
      <c r="AA363" s="408">
        <v>2.5973759999999997</v>
      </c>
      <c r="AB363" s="408">
        <v>3.3269759999999993</v>
      </c>
      <c r="AC363" s="408"/>
      <c r="AD363" s="408"/>
      <c r="AE363" s="409"/>
      <c r="AF363" s="410">
        <v>1925.03</v>
      </c>
      <c r="AG363" s="410">
        <v>0.18333619047619049</v>
      </c>
      <c r="AH363" s="411">
        <v>2.4140398095238091</v>
      </c>
      <c r="AI363" s="412">
        <v>3.1436398095238087</v>
      </c>
      <c r="AJ363" s="411">
        <v>0</v>
      </c>
      <c r="AK363" s="411">
        <v>0</v>
      </c>
      <c r="AL363" s="18"/>
      <c r="AM363" s="49"/>
      <c r="AN363" s="2"/>
      <c r="AO363" s="2"/>
    </row>
    <row r="364" spans="1:41" hidden="1">
      <c r="A364" s="14">
        <v>93</v>
      </c>
      <c r="B364" s="11" t="s">
        <v>20278</v>
      </c>
      <c r="C364" s="14">
        <v>0</v>
      </c>
      <c r="D364" s="21" t="s">
        <v>17995</v>
      </c>
      <c r="E364" s="11" t="s">
        <v>20278</v>
      </c>
      <c r="F364" s="12">
        <v>43923</v>
      </c>
      <c r="G364" s="11">
        <v>2020</v>
      </c>
      <c r="H364" s="11" t="s">
        <v>16904</v>
      </c>
      <c r="I364" s="11" t="s">
        <v>16905</v>
      </c>
      <c r="J364" s="11" t="s">
        <v>16482</v>
      </c>
      <c r="K364" s="404">
        <v>51506.241999999998</v>
      </c>
      <c r="L364" s="11">
        <v>3.1566000000000001</v>
      </c>
      <c r="M364" s="405">
        <v>16316.999936640688</v>
      </c>
      <c r="N364" s="11" t="s">
        <v>20155</v>
      </c>
      <c r="O364" s="11" t="s">
        <v>20160</v>
      </c>
      <c r="P364" s="872">
        <v>43938</v>
      </c>
      <c r="Q364" s="423">
        <v>0</v>
      </c>
      <c r="R364" s="423">
        <v>15900</v>
      </c>
      <c r="S364" s="423">
        <v>11400</v>
      </c>
      <c r="T364" s="423">
        <v>0</v>
      </c>
      <c r="U364" s="423">
        <v>27300</v>
      </c>
      <c r="V364" s="11" t="s">
        <v>20155</v>
      </c>
      <c r="W364" s="407">
        <v>0</v>
      </c>
      <c r="X364" s="407">
        <v>34062.870600000002</v>
      </c>
      <c r="Y364" s="407">
        <v>17443.371600000002</v>
      </c>
      <c r="Z364" s="407">
        <v>0</v>
      </c>
      <c r="AA364" s="408"/>
      <c r="AB364" s="408">
        <v>2.1423189056603773</v>
      </c>
      <c r="AC364" s="408">
        <v>1.5301203157894738</v>
      </c>
      <c r="AD364" s="408"/>
      <c r="AE364" s="409"/>
      <c r="AF364" s="410">
        <v>10332.09</v>
      </c>
      <c r="AG364" s="410">
        <v>0.37846483516483514</v>
      </c>
      <c r="AH364" s="411">
        <v>0</v>
      </c>
      <c r="AI364" s="412">
        <v>1.7638540704955421</v>
      </c>
      <c r="AJ364" s="411">
        <v>1.1516554806246386</v>
      </c>
      <c r="AK364" s="411">
        <v>0</v>
      </c>
      <c r="AL364" s="18"/>
      <c r="AM364" s="49"/>
      <c r="AN364" s="2"/>
      <c r="AO364" s="2"/>
    </row>
    <row r="365" spans="1:41" hidden="1">
      <c r="A365" s="14">
        <v>94</v>
      </c>
      <c r="B365" s="11" t="s">
        <v>20279</v>
      </c>
      <c r="C365" s="14">
        <v>0</v>
      </c>
      <c r="D365" s="11" t="s">
        <v>17997</v>
      </c>
      <c r="E365" s="11" t="s">
        <v>20279</v>
      </c>
      <c r="F365" s="12">
        <v>43932</v>
      </c>
      <c r="G365" s="11">
        <v>2020</v>
      </c>
      <c r="H365" s="11" t="s">
        <v>17239</v>
      </c>
      <c r="I365" s="11" t="s">
        <v>17240</v>
      </c>
      <c r="J365" s="11" t="s">
        <v>16482</v>
      </c>
      <c r="K365" s="404">
        <v>34606.154000000002</v>
      </c>
      <c r="L365" s="11">
        <v>3.1541000000000001</v>
      </c>
      <c r="M365" s="405">
        <v>10971.799879521892</v>
      </c>
      <c r="N365" s="11" t="s">
        <v>20155</v>
      </c>
      <c r="O365" s="11" t="s">
        <v>16394</v>
      </c>
      <c r="P365" s="872">
        <v>43943</v>
      </c>
      <c r="Q365" s="423">
        <v>0</v>
      </c>
      <c r="R365" s="423">
        <v>16464</v>
      </c>
      <c r="S365" s="423">
        <v>0</v>
      </c>
      <c r="T365" s="423">
        <v>3260</v>
      </c>
      <c r="U365" s="423">
        <v>19724</v>
      </c>
      <c r="V365" s="11" t="s">
        <v>20155</v>
      </c>
      <c r="W365" s="407">
        <v>0</v>
      </c>
      <c r="X365" s="407">
        <v>32499.216</v>
      </c>
      <c r="Y365" s="407">
        <v>0</v>
      </c>
      <c r="Z365" s="407">
        <v>2106.9380000000001</v>
      </c>
      <c r="AA365" s="408"/>
      <c r="AB365" s="408">
        <v>1.9739562682215743</v>
      </c>
      <c r="AC365" s="408"/>
      <c r="AD365" s="408">
        <v>0.64629999999999999</v>
      </c>
      <c r="AE365" s="409"/>
      <c r="AF365" s="410">
        <v>589.1</v>
      </c>
      <c r="AG365" s="410">
        <v>2.9867166903265061E-2</v>
      </c>
      <c r="AH365" s="411">
        <v>0</v>
      </c>
      <c r="AI365" s="412">
        <v>1.9440891013183093</v>
      </c>
      <c r="AJ365" s="411">
        <v>0</v>
      </c>
      <c r="AK365" s="411">
        <v>0.61643283309673491</v>
      </c>
      <c r="AL365" s="18"/>
      <c r="AM365" s="49"/>
      <c r="AN365" s="2"/>
      <c r="AO365" s="2"/>
    </row>
    <row r="366" spans="1:41" hidden="1">
      <c r="A366" s="14">
        <v>95</v>
      </c>
      <c r="B366" s="11" t="s">
        <v>20280</v>
      </c>
      <c r="C366" s="14">
        <v>0</v>
      </c>
      <c r="D366" s="11" t="s">
        <v>17998</v>
      </c>
      <c r="E366" s="11" t="s">
        <v>20280</v>
      </c>
      <c r="F366" s="12">
        <v>43932</v>
      </c>
      <c r="G366" s="11">
        <v>2020</v>
      </c>
      <c r="H366" s="11" t="s">
        <v>16957</v>
      </c>
      <c r="I366" s="11" t="s">
        <v>16958</v>
      </c>
      <c r="J366" s="11" t="s">
        <v>16401</v>
      </c>
      <c r="K366" s="404">
        <v>40163.519999999997</v>
      </c>
      <c r="L366" s="11">
        <v>2.9104000000000001</v>
      </c>
      <c r="M366" s="405">
        <v>13799.999999999998</v>
      </c>
      <c r="N366" s="11" t="s">
        <v>20155</v>
      </c>
      <c r="O366" s="11" t="s">
        <v>20161</v>
      </c>
      <c r="P366" s="872">
        <v>43943</v>
      </c>
      <c r="Q366" s="423">
        <v>20000</v>
      </c>
      <c r="R366" s="423">
        <v>0</v>
      </c>
      <c r="S366" s="423">
        <v>0</v>
      </c>
      <c r="T366" s="423">
        <v>0</v>
      </c>
      <c r="U366" s="423">
        <v>20000</v>
      </c>
      <c r="V366" s="11" t="s">
        <v>20155</v>
      </c>
      <c r="W366" s="407">
        <v>40163.519999999997</v>
      </c>
      <c r="X366" s="407">
        <v>0</v>
      </c>
      <c r="Y366" s="407">
        <v>0</v>
      </c>
      <c r="Z366" s="407">
        <v>0</v>
      </c>
      <c r="AA366" s="408">
        <v>2.0081759999999997</v>
      </c>
      <c r="AB366" s="408"/>
      <c r="AC366" s="408"/>
      <c r="AD366" s="408"/>
      <c r="AE366" s="409"/>
      <c r="AF366" s="410">
        <v>4989.5</v>
      </c>
      <c r="AG366" s="410">
        <v>0.249475</v>
      </c>
      <c r="AH366" s="411">
        <v>1.7587009999999998</v>
      </c>
      <c r="AI366" s="411">
        <v>0</v>
      </c>
      <c r="AJ366" s="411">
        <v>0</v>
      </c>
      <c r="AK366" s="411">
        <v>0</v>
      </c>
      <c r="AL366" s="18"/>
      <c r="AM366" s="49"/>
      <c r="AN366" s="2"/>
      <c r="AO366" s="2"/>
    </row>
    <row r="367" spans="1:41" hidden="1">
      <c r="A367" s="14">
        <v>96</v>
      </c>
      <c r="B367" s="11" t="s">
        <v>20281</v>
      </c>
      <c r="C367" s="14">
        <v>0</v>
      </c>
      <c r="D367" s="11" t="s">
        <v>18000</v>
      </c>
      <c r="E367" s="11" t="s">
        <v>20281</v>
      </c>
      <c r="F367" s="12">
        <v>43936</v>
      </c>
      <c r="G367" s="11">
        <v>2020</v>
      </c>
      <c r="H367" s="11" t="s">
        <v>16957</v>
      </c>
      <c r="I367" s="11" t="s">
        <v>16958</v>
      </c>
      <c r="J367" s="11" t="s">
        <v>16401</v>
      </c>
      <c r="K367" s="404">
        <v>77283.64</v>
      </c>
      <c r="L367" s="11">
        <v>2.9054000000000002</v>
      </c>
      <c r="M367" s="405">
        <v>26599.999999999996</v>
      </c>
      <c r="N367" s="11" t="s">
        <v>20155</v>
      </c>
      <c r="O367" s="11" t="s">
        <v>20161</v>
      </c>
      <c r="P367" s="872">
        <v>43951</v>
      </c>
      <c r="Q367" s="423">
        <v>40000</v>
      </c>
      <c r="R367" s="423">
        <v>0</v>
      </c>
      <c r="S367" s="423">
        <v>0</v>
      </c>
      <c r="T367" s="423">
        <v>0</v>
      </c>
      <c r="U367" s="423">
        <v>40000</v>
      </c>
      <c r="V367" s="11" t="s">
        <v>20155</v>
      </c>
      <c r="W367" s="407">
        <v>77283.64</v>
      </c>
      <c r="X367" s="407">
        <v>0</v>
      </c>
      <c r="Y367" s="407">
        <v>0</v>
      </c>
      <c r="Z367" s="407">
        <v>0</v>
      </c>
      <c r="AA367" s="408">
        <v>1.932091</v>
      </c>
      <c r="AB367" s="408"/>
      <c r="AC367" s="408"/>
      <c r="AD367" s="408"/>
      <c r="AE367" s="409"/>
      <c r="AF367" s="410">
        <v>8316.9979999999996</v>
      </c>
      <c r="AG367" s="410">
        <v>0.20792495</v>
      </c>
      <c r="AH367" s="411">
        <v>1.72416605</v>
      </c>
      <c r="AI367" s="411">
        <v>0</v>
      </c>
      <c r="AJ367" s="411">
        <v>0</v>
      </c>
      <c r="AK367" s="411">
        <v>0</v>
      </c>
      <c r="AL367" s="18"/>
      <c r="AM367" s="49"/>
      <c r="AN367" s="2"/>
      <c r="AO367" s="2"/>
    </row>
    <row r="368" spans="1:41" hidden="1">
      <c r="A368" s="14">
        <v>97</v>
      </c>
      <c r="B368" s="11" t="s">
        <v>20282</v>
      </c>
      <c r="C368" s="14">
        <v>0</v>
      </c>
      <c r="D368" s="11" t="s">
        <v>18002</v>
      </c>
      <c r="E368" s="11" t="s">
        <v>20282</v>
      </c>
      <c r="F368" s="12">
        <v>43938</v>
      </c>
      <c r="G368" s="11">
        <v>2020</v>
      </c>
      <c r="H368" s="11" t="s">
        <v>17226</v>
      </c>
      <c r="I368" s="11" t="s">
        <v>17227</v>
      </c>
      <c r="J368" s="11" t="s">
        <v>3</v>
      </c>
      <c r="K368" s="404">
        <v>220510</v>
      </c>
      <c r="L368" s="11">
        <v>1</v>
      </c>
      <c r="M368" s="405">
        <v>220510</v>
      </c>
      <c r="N368" s="11" t="s">
        <v>20155</v>
      </c>
      <c r="O368" s="11" t="s">
        <v>17689</v>
      </c>
      <c r="P368" s="872">
        <v>43945</v>
      </c>
      <c r="Q368" s="423">
        <v>37920</v>
      </c>
      <c r="R368" s="423">
        <v>27240</v>
      </c>
      <c r="S368" s="423">
        <v>21000</v>
      </c>
      <c r="T368" s="423">
        <v>23720</v>
      </c>
      <c r="U368" s="423">
        <v>109880</v>
      </c>
      <c r="V368" s="11" t="s">
        <v>20155</v>
      </c>
      <c r="W368" s="407">
        <v>61050</v>
      </c>
      <c r="X368" s="407">
        <v>52140</v>
      </c>
      <c r="Y368" s="407">
        <v>33600</v>
      </c>
      <c r="Z368" s="407">
        <v>73720</v>
      </c>
      <c r="AA368" s="408">
        <v>1.6099683544303798</v>
      </c>
      <c r="AB368" s="408">
        <v>1.9140969162995596</v>
      </c>
      <c r="AC368" s="408">
        <v>1.6</v>
      </c>
      <c r="AD368" s="408">
        <v>3.1079258010118043</v>
      </c>
      <c r="AE368" s="409"/>
      <c r="AF368" s="410">
        <v>0</v>
      </c>
      <c r="AG368" s="410">
        <v>0</v>
      </c>
      <c r="AH368" s="411">
        <v>1.6099683544303798</v>
      </c>
      <c r="AI368" s="412">
        <v>1.9140969162995596</v>
      </c>
      <c r="AJ368" s="411">
        <v>1.6</v>
      </c>
      <c r="AK368" s="411">
        <v>3.1079258010118043</v>
      </c>
      <c r="AL368" s="18"/>
      <c r="AM368" s="49"/>
      <c r="AN368" s="2"/>
      <c r="AO368" s="2"/>
    </row>
    <row r="369" spans="1:41" hidden="1">
      <c r="A369" s="14">
        <v>98</v>
      </c>
      <c r="B369" s="11" t="s">
        <v>20283</v>
      </c>
      <c r="C369" s="14">
        <v>0</v>
      </c>
      <c r="D369" s="11" t="s">
        <v>18003</v>
      </c>
      <c r="E369" s="11" t="s">
        <v>20283</v>
      </c>
      <c r="F369" s="12">
        <v>43938</v>
      </c>
      <c r="G369" s="11">
        <v>2020</v>
      </c>
      <c r="H369" s="11" t="s">
        <v>17209</v>
      </c>
      <c r="I369" s="11" t="s">
        <v>17210</v>
      </c>
      <c r="J369" s="11" t="s">
        <v>16401</v>
      </c>
      <c r="K369" s="404">
        <v>40278.773000000001</v>
      </c>
      <c r="L369" s="11">
        <v>2.9232</v>
      </c>
      <c r="M369" s="405">
        <v>13779.000068418172</v>
      </c>
      <c r="N369" s="11" t="s">
        <v>20155</v>
      </c>
      <c r="O369" s="11" t="s">
        <v>20168</v>
      </c>
      <c r="P369" s="872">
        <v>43948</v>
      </c>
      <c r="Q369" s="423">
        <v>0</v>
      </c>
      <c r="R369" s="423">
        <v>14880</v>
      </c>
      <c r="S369" s="423">
        <v>6720</v>
      </c>
      <c r="T369" s="423">
        <v>0</v>
      </c>
      <c r="U369" s="423">
        <v>21600</v>
      </c>
      <c r="V369" s="11" t="s">
        <v>20155</v>
      </c>
      <c r="W369" s="407">
        <v>0</v>
      </c>
      <c r="X369" s="407">
        <v>24575.927039999999</v>
      </c>
      <c r="Y369" s="407">
        <v>11098.805759999999</v>
      </c>
      <c r="Z369" s="407">
        <v>0</v>
      </c>
      <c r="AA369" s="408"/>
      <c r="AB369" s="408">
        <v>1.651608</v>
      </c>
      <c r="AC369" s="408">
        <v>1.651608</v>
      </c>
      <c r="AD369" s="408"/>
      <c r="AE369" s="409"/>
      <c r="AF369" s="410">
        <v>5802.0619999999999</v>
      </c>
      <c r="AG369" s="410">
        <v>0.26861398148148147</v>
      </c>
      <c r="AH369" s="411">
        <v>0</v>
      </c>
      <c r="AI369" s="412">
        <v>1.3829940185185186</v>
      </c>
      <c r="AJ369" s="411">
        <v>1.3829940185185186</v>
      </c>
      <c r="AK369" s="411">
        <v>0</v>
      </c>
      <c r="AL369" s="18"/>
      <c r="AM369" s="49"/>
      <c r="AN369" s="2"/>
      <c r="AO369" s="2"/>
    </row>
    <row r="370" spans="1:41" hidden="1">
      <c r="A370" s="14">
        <v>99</v>
      </c>
      <c r="B370" s="11" t="s">
        <v>20284</v>
      </c>
      <c r="C370" s="14">
        <v>0</v>
      </c>
      <c r="D370" s="11" t="s">
        <v>18005</v>
      </c>
      <c r="E370" s="11" t="s">
        <v>20284</v>
      </c>
      <c r="F370" s="12">
        <v>43938</v>
      </c>
      <c r="G370" s="11">
        <v>2020</v>
      </c>
      <c r="H370" s="11" t="s">
        <v>16470</v>
      </c>
      <c r="I370" s="11" t="s">
        <v>16471</v>
      </c>
      <c r="J370" s="11" t="s">
        <v>16401</v>
      </c>
      <c r="K370" s="404">
        <v>287086.84499999997</v>
      </c>
      <c r="L370" s="11">
        <v>2.9054000000000002</v>
      </c>
      <c r="M370" s="405">
        <v>98811.470021339555</v>
      </c>
      <c r="N370" s="11" t="s">
        <v>20155</v>
      </c>
      <c r="O370" s="11" t="s">
        <v>20159</v>
      </c>
      <c r="P370" s="872">
        <v>43951</v>
      </c>
      <c r="Q370" s="423">
        <v>15984</v>
      </c>
      <c r="R370" s="423">
        <v>149610</v>
      </c>
      <c r="S370" s="423">
        <v>0</v>
      </c>
      <c r="T370" s="423">
        <v>0</v>
      </c>
      <c r="U370" s="423">
        <v>165594</v>
      </c>
      <c r="V370" s="11" t="s">
        <v>20155</v>
      </c>
      <c r="W370" s="407">
        <v>25146.585647999997</v>
      </c>
      <c r="X370" s="407">
        <v>205810.83668999997</v>
      </c>
      <c r="Y370" s="407">
        <v>0</v>
      </c>
      <c r="Z370" s="407">
        <v>0</v>
      </c>
      <c r="AA370" s="408">
        <v>1.5732348378378376</v>
      </c>
      <c r="AB370" s="408">
        <v>1.375648931822739</v>
      </c>
      <c r="AC370" s="408"/>
      <c r="AD370" s="408"/>
      <c r="AE370" s="409"/>
      <c r="AF370" s="410">
        <v>63575.05</v>
      </c>
      <c r="AG370" s="410">
        <v>0.38392121695230508</v>
      </c>
      <c r="AH370" s="411">
        <v>1.1893136208855326</v>
      </c>
      <c r="AI370" s="412">
        <v>0.99172771487043387</v>
      </c>
      <c r="AJ370" s="411">
        <v>0</v>
      </c>
      <c r="AK370" s="411">
        <v>0</v>
      </c>
      <c r="AL370" s="18"/>
      <c r="AM370" s="49"/>
      <c r="AN370" s="2"/>
      <c r="AO370" s="2"/>
    </row>
    <row r="371" spans="1:41" hidden="1">
      <c r="A371" s="14">
        <v>100</v>
      </c>
      <c r="B371" s="11" t="s">
        <v>112</v>
      </c>
      <c r="C371" s="14">
        <v>0</v>
      </c>
      <c r="D371" s="11" t="s">
        <v>18007</v>
      </c>
      <c r="E371" s="11" t="s">
        <v>112</v>
      </c>
      <c r="F371" s="12">
        <v>43938</v>
      </c>
      <c r="G371" s="11">
        <v>2020</v>
      </c>
      <c r="H371" s="11" t="s">
        <v>16470</v>
      </c>
      <c r="I371" s="11" t="s">
        <v>16471</v>
      </c>
      <c r="J371" s="11" t="s">
        <v>16401</v>
      </c>
      <c r="K371" s="404">
        <v>84881.260999999999</v>
      </c>
      <c r="L371" s="11">
        <v>2.9054000000000002</v>
      </c>
      <c r="M371" s="405">
        <v>29214.999999999996</v>
      </c>
      <c r="N371" s="11" t="s">
        <v>20155</v>
      </c>
      <c r="O371" s="11" t="s">
        <v>20159</v>
      </c>
      <c r="P371" s="872">
        <v>43953</v>
      </c>
      <c r="Q371" s="423">
        <v>0</v>
      </c>
      <c r="R371" s="423">
        <v>0</v>
      </c>
      <c r="S371" s="423">
        <v>52000</v>
      </c>
      <c r="T371" s="423">
        <v>0</v>
      </c>
      <c r="U371" s="423">
        <v>52000</v>
      </c>
      <c r="V371" s="11" t="s">
        <v>20155</v>
      </c>
      <c r="W371" s="407">
        <v>0</v>
      </c>
      <c r="X371" s="407">
        <v>0</v>
      </c>
      <c r="Y371" s="407">
        <v>73274.187999999995</v>
      </c>
      <c r="Z371" s="407">
        <v>0</v>
      </c>
      <c r="AA371" s="408"/>
      <c r="AB371" s="408"/>
      <c r="AC371" s="408">
        <v>1.4091189999999998</v>
      </c>
      <c r="AD371" s="408"/>
      <c r="AE371" s="409"/>
      <c r="AF371" s="410">
        <v>14791.286</v>
      </c>
      <c r="AG371" s="410">
        <v>0.28444780769230771</v>
      </c>
      <c r="AH371" s="411">
        <v>0</v>
      </c>
      <c r="AI371" s="411">
        <v>0</v>
      </c>
      <c r="AJ371" s="411">
        <v>1.1246711923076922</v>
      </c>
      <c r="AK371" s="411">
        <v>0</v>
      </c>
      <c r="AL371" s="18"/>
      <c r="AM371" s="49"/>
      <c r="AN371" s="2"/>
      <c r="AO371" s="2"/>
    </row>
    <row r="372" spans="1:41" hidden="1">
      <c r="A372" s="14">
        <v>101</v>
      </c>
      <c r="B372" s="11" t="s">
        <v>113</v>
      </c>
      <c r="C372" s="14">
        <v>0</v>
      </c>
      <c r="D372" s="11" t="s">
        <v>18008</v>
      </c>
      <c r="E372" s="11" t="s">
        <v>113</v>
      </c>
      <c r="F372" s="12">
        <v>43938</v>
      </c>
      <c r="G372" s="11">
        <v>2020</v>
      </c>
      <c r="H372" s="11" t="s">
        <v>16838</v>
      </c>
      <c r="I372" s="11" t="s">
        <v>16839</v>
      </c>
      <c r="J372" s="11" t="s">
        <v>3</v>
      </c>
      <c r="K372" s="404">
        <v>173825.04</v>
      </c>
      <c r="L372" s="11">
        <v>1</v>
      </c>
      <c r="M372" s="405">
        <v>173825.04</v>
      </c>
      <c r="N372" s="11" t="s">
        <v>20155</v>
      </c>
      <c r="O372" s="11" t="s">
        <v>17949</v>
      </c>
      <c r="P372" s="872">
        <v>43970</v>
      </c>
      <c r="Q372" s="423">
        <v>88032</v>
      </c>
      <c r="R372" s="423">
        <v>20040</v>
      </c>
      <c r="S372" s="423">
        <v>7560</v>
      </c>
      <c r="T372" s="423">
        <v>0</v>
      </c>
      <c r="U372" s="423">
        <v>115632</v>
      </c>
      <c r="V372" s="11" t="s">
        <v>20155</v>
      </c>
      <c r="W372" s="407">
        <v>133808.64000000001</v>
      </c>
      <c r="X372" s="407">
        <v>29659.200000000001</v>
      </c>
      <c r="Y372" s="407">
        <v>10357.200000000001</v>
      </c>
      <c r="Z372" s="407">
        <v>0</v>
      </c>
      <c r="AA372" s="408">
        <v>1.5200000000000002</v>
      </c>
      <c r="AB372" s="408">
        <v>1.48</v>
      </c>
      <c r="AC372" s="408">
        <v>1.37</v>
      </c>
      <c r="AD372" s="408"/>
      <c r="AE372" s="409"/>
      <c r="AF372" s="410">
        <v>0</v>
      </c>
      <c r="AG372" s="410">
        <v>0</v>
      </c>
      <c r="AH372" s="411">
        <v>1.5200000000000002</v>
      </c>
      <c r="AI372" s="412">
        <v>1.48</v>
      </c>
      <c r="AJ372" s="411">
        <v>1.37</v>
      </c>
      <c r="AK372" s="411">
        <v>0</v>
      </c>
      <c r="AL372" s="18"/>
      <c r="AM372" s="49"/>
      <c r="AN372" s="2"/>
      <c r="AO372" s="2"/>
    </row>
    <row r="373" spans="1:41" hidden="1">
      <c r="A373" s="14">
        <v>102</v>
      </c>
      <c r="B373" s="11" t="s">
        <v>114</v>
      </c>
      <c r="C373" s="14">
        <v>0</v>
      </c>
      <c r="D373" s="11" t="s">
        <v>18010</v>
      </c>
      <c r="E373" s="11" t="s">
        <v>114</v>
      </c>
      <c r="F373" s="12">
        <v>43938</v>
      </c>
      <c r="G373" s="11">
        <v>2020</v>
      </c>
      <c r="H373" s="11" t="s">
        <v>16838</v>
      </c>
      <c r="I373" s="11" t="s">
        <v>16839</v>
      </c>
      <c r="J373" s="11" t="s">
        <v>3</v>
      </c>
      <c r="K373" s="404">
        <v>60288</v>
      </c>
      <c r="L373" s="11">
        <v>1</v>
      </c>
      <c r="M373" s="405">
        <v>60288</v>
      </c>
      <c r="N373" s="11" t="s">
        <v>20155</v>
      </c>
      <c r="O373" s="11" t="s">
        <v>17965</v>
      </c>
      <c r="P373" s="872">
        <v>43946</v>
      </c>
      <c r="Q373" s="423">
        <v>38400</v>
      </c>
      <c r="R373" s="423">
        <v>0</v>
      </c>
      <c r="S373" s="423">
        <v>0</v>
      </c>
      <c r="T373" s="423">
        <v>0</v>
      </c>
      <c r="U373" s="423">
        <v>38400</v>
      </c>
      <c r="V373" s="11" t="s">
        <v>20155</v>
      </c>
      <c r="W373" s="407">
        <v>60288</v>
      </c>
      <c r="X373" s="407">
        <v>0</v>
      </c>
      <c r="Y373" s="407">
        <v>0</v>
      </c>
      <c r="Z373" s="407">
        <v>0</v>
      </c>
      <c r="AA373" s="408">
        <v>1.57</v>
      </c>
      <c r="AB373" s="408"/>
      <c r="AC373" s="408"/>
      <c r="AD373" s="408"/>
      <c r="AE373" s="409"/>
      <c r="AF373" s="410">
        <v>0</v>
      </c>
      <c r="AG373" s="410">
        <v>0</v>
      </c>
      <c r="AH373" s="411">
        <v>1.57</v>
      </c>
      <c r="AI373" s="411">
        <v>0</v>
      </c>
      <c r="AJ373" s="411">
        <v>0</v>
      </c>
      <c r="AK373" s="411">
        <v>0</v>
      </c>
      <c r="AL373" s="18"/>
      <c r="AM373" s="49"/>
      <c r="AN373" s="2"/>
      <c r="AO373" s="2"/>
    </row>
    <row r="374" spans="1:41" hidden="1">
      <c r="A374" s="14">
        <v>103</v>
      </c>
      <c r="B374" s="11" t="s">
        <v>115</v>
      </c>
      <c r="C374" s="14">
        <v>0</v>
      </c>
      <c r="D374" s="11" t="s">
        <v>18011</v>
      </c>
      <c r="E374" s="11" t="s">
        <v>115</v>
      </c>
      <c r="F374" s="12">
        <v>43939</v>
      </c>
      <c r="G374" s="11">
        <v>2020</v>
      </c>
      <c r="H374" s="11" t="s">
        <v>16560</v>
      </c>
      <c r="I374" s="11" t="s">
        <v>16561</v>
      </c>
      <c r="J374" s="11" t="s">
        <v>16482</v>
      </c>
      <c r="K374" s="404">
        <v>146392.81200000001</v>
      </c>
      <c r="L374" s="11">
        <v>3.1522999999999999</v>
      </c>
      <c r="M374" s="405">
        <v>46440</v>
      </c>
      <c r="N374" s="11" t="s">
        <v>20155</v>
      </c>
      <c r="O374" s="11" t="s">
        <v>17801</v>
      </c>
      <c r="P374" s="872">
        <v>43955</v>
      </c>
      <c r="Q374" s="423">
        <v>0</v>
      </c>
      <c r="R374" s="423">
        <v>0</v>
      </c>
      <c r="S374" s="423">
        <v>108000</v>
      </c>
      <c r="T374" s="423">
        <v>0</v>
      </c>
      <c r="U374" s="423">
        <v>108000</v>
      </c>
      <c r="V374" s="11" t="s">
        <v>20155</v>
      </c>
      <c r="W374" s="407">
        <v>0</v>
      </c>
      <c r="X374" s="407">
        <v>0</v>
      </c>
      <c r="Y374" s="407">
        <v>146392.81200000001</v>
      </c>
      <c r="Z374" s="407">
        <v>0</v>
      </c>
      <c r="AA374" s="408"/>
      <c r="AB374" s="408"/>
      <c r="AC374" s="408">
        <v>1.3554889999999999</v>
      </c>
      <c r="AD374" s="408"/>
      <c r="AE374" s="409"/>
      <c r="AF374" s="410">
        <v>19200.067999999999</v>
      </c>
      <c r="AG374" s="410">
        <v>0.17777840740740741</v>
      </c>
      <c r="AH374" s="411">
        <v>0</v>
      </c>
      <c r="AI374" s="411">
        <v>0</v>
      </c>
      <c r="AJ374" s="411">
        <v>1.1777105925925926</v>
      </c>
      <c r="AK374" s="411">
        <v>0</v>
      </c>
      <c r="AL374" s="18"/>
      <c r="AM374" s="49"/>
      <c r="AN374" s="2"/>
      <c r="AO374" s="2"/>
    </row>
    <row r="375" spans="1:41" hidden="1">
      <c r="A375" s="14">
        <v>104</v>
      </c>
      <c r="B375" s="11" t="s">
        <v>116</v>
      </c>
      <c r="C375" s="14">
        <v>0</v>
      </c>
      <c r="D375" s="11" t="s">
        <v>18013</v>
      </c>
      <c r="E375" s="11" t="s">
        <v>116</v>
      </c>
      <c r="F375" s="12">
        <v>43939</v>
      </c>
      <c r="G375" s="11">
        <v>2020</v>
      </c>
      <c r="H375" s="11" t="s">
        <v>16560</v>
      </c>
      <c r="I375" s="11" t="s">
        <v>16561</v>
      </c>
      <c r="J375" s="11" t="s">
        <v>16482</v>
      </c>
      <c r="K375" s="404">
        <v>142988.32800000001</v>
      </c>
      <c r="L375" s="11">
        <v>3.1522999999999999</v>
      </c>
      <c r="M375" s="405">
        <v>45360.000000000007</v>
      </c>
      <c r="N375" s="11" t="s">
        <v>20155</v>
      </c>
      <c r="O375" s="11" t="s">
        <v>17801</v>
      </c>
      <c r="P375" s="872">
        <v>43956</v>
      </c>
      <c r="Q375" s="423">
        <v>0</v>
      </c>
      <c r="R375" s="423">
        <v>0</v>
      </c>
      <c r="S375" s="423">
        <v>108000</v>
      </c>
      <c r="T375" s="423">
        <v>0</v>
      </c>
      <c r="U375" s="423">
        <v>108000</v>
      </c>
      <c r="V375" s="11" t="s">
        <v>20155</v>
      </c>
      <c r="W375" s="407">
        <v>0</v>
      </c>
      <c r="X375" s="407">
        <v>0</v>
      </c>
      <c r="Y375" s="407">
        <v>142988.32800000001</v>
      </c>
      <c r="Z375" s="407">
        <v>0</v>
      </c>
      <c r="AA375" s="408"/>
      <c r="AB375" s="408"/>
      <c r="AC375" s="408">
        <v>1.323966</v>
      </c>
      <c r="AD375" s="408"/>
      <c r="AE375" s="409"/>
      <c r="AF375" s="410">
        <v>20800.067999999999</v>
      </c>
      <c r="AG375" s="410">
        <v>0.19259322222222222</v>
      </c>
      <c r="AH375" s="411">
        <v>0</v>
      </c>
      <c r="AI375" s="411">
        <v>0</v>
      </c>
      <c r="AJ375" s="411">
        <v>1.1313727777777778</v>
      </c>
      <c r="AK375" s="411">
        <v>0</v>
      </c>
      <c r="AL375" s="18"/>
      <c r="AM375" s="49"/>
      <c r="AN375" s="2"/>
      <c r="AO375" s="2"/>
    </row>
    <row r="376" spans="1:41" hidden="1">
      <c r="A376" s="14">
        <v>105</v>
      </c>
      <c r="B376" s="11" t="s">
        <v>117</v>
      </c>
      <c r="C376" s="14">
        <v>0</v>
      </c>
      <c r="D376" s="11" t="s">
        <v>18014</v>
      </c>
      <c r="E376" s="11" t="s">
        <v>117</v>
      </c>
      <c r="F376" s="12">
        <v>43939</v>
      </c>
      <c r="G376" s="11">
        <v>2020</v>
      </c>
      <c r="H376" s="11" t="s">
        <v>16560</v>
      </c>
      <c r="I376" s="11" t="s">
        <v>16561</v>
      </c>
      <c r="J376" s="11" t="s">
        <v>16482</v>
      </c>
      <c r="K376" s="404">
        <v>178735.41</v>
      </c>
      <c r="L376" s="11">
        <v>3.1522999999999999</v>
      </c>
      <c r="M376" s="405">
        <v>56700</v>
      </c>
      <c r="N376" s="11" t="s">
        <v>20155</v>
      </c>
      <c r="O376" s="11" t="s">
        <v>17801</v>
      </c>
      <c r="P376" s="872">
        <v>43957</v>
      </c>
      <c r="Q376" s="423">
        <v>0</v>
      </c>
      <c r="R376" s="423">
        <v>0</v>
      </c>
      <c r="S376" s="423">
        <v>135000</v>
      </c>
      <c r="T376" s="423">
        <v>0</v>
      </c>
      <c r="U376" s="423">
        <v>135000</v>
      </c>
      <c r="V376" s="11" t="s">
        <v>20155</v>
      </c>
      <c r="W376" s="407">
        <v>0</v>
      </c>
      <c r="X376" s="407">
        <v>0</v>
      </c>
      <c r="Y376" s="407">
        <v>178735.41</v>
      </c>
      <c r="Z376" s="407">
        <v>0</v>
      </c>
      <c r="AA376" s="408"/>
      <c r="AB376" s="408"/>
      <c r="AC376" s="408">
        <v>1.323966</v>
      </c>
      <c r="AD376" s="408"/>
      <c r="AE376" s="409"/>
      <c r="AF376" s="410">
        <v>25953.51</v>
      </c>
      <c r="AG376" s="410">
        <v>0.19224822222222221</v>
      </c>
      <c r="AH376" s="411">
        <v>0</v>
      </c>
      <c r="AI376" s="411">
        <v>0</v>
      </c>
      <c r="AJ376" s="411">
        <v>1.1317177777777778</v>
      </c>
      <c r="AK376" s="411">
        <v>0</v>
      </c>
      <c r="AL376" s="18"/>
      <c r="AM376" s="49"/>
      <c r="AN376" s="2"/>
      <c r="AO376" s="2"/>
    </row>
    <row r="377" spans="1:41" hidden="1">
      <c r="A377" s="14">
        <v>106</v>
      </c>
      <c r="B377" s="11" t="s">
        <v>118</v>
      </c>
      <c r="C377" s="14">
        <v>0</v>
      </c>
      <c r="D377" s="11" t="s">
        <v>18015</v>
      </c>
      <c r="E377" s="11" t="s">
        <v>118</v>
      </c>
      <c r="F377" s="12">
        <v>43941</v>
      </c>
      <c r="G377" s="11">
        <v>2020</v>
      </c>
      <c r="H377" s="11" t="s">
        <v>17017</v>
      </c>
      <c r="I377" s="11" t="s">
        <v>17018</v>
      </c>
      <c r="J377" s="11" t="s">
        <v>3</v>
      </c>
      <c r="K377" s="404">
        <v>25846.080000000002</v>
      </c>
      <c r="L377" s="11">
        <v>1</v>
      </c>
      <c r="M377" s="404">
        <v>25846.080000000002</v>
      </c>
      <c r="N377" s="11" t="s">
        <v>20155</v>
      </c>
      <c r="O377" s="11" t="s">
        <v>16394</v>
      </c>
      <c r="P377" s="872">
        <v>43962</v>
      </c>
      <c r="Q377" s="423">
        <v>0</v>
      </c>
      <c r="R377" s="423">
        <v>9504</v>
      </c>
      <c r="S377" s="423">
        <v>7500</v>
      </c>
      <c r="T377" s="423">
        <v>0</v>
      </c>
      <c r="U377" s="423">
        <v>17004</v>
      </c>
      <c r="V377" s="11" t="s">
        <v>20155</v>
      </c>
      <c r="W377" s="407">
        <v>0</v>
      </c>
      <c r="X377" s="407">
        <v>14446.08</v>
      </c>
      <c r="Y377" s="407">
        <v>11400</v>
      </c>
      <c r="Z377" s="407">
        <v>0</v>
      </c>
      <c r="AA377" s="431"/>
      <c r="AB377" s="408">
        <v>1.52</v>
      </c>
      <c r="AC377" s="408">
        <v>1.52</v>
      </c>
      <c r="AD377" s="408"/>
      <c r="AE377" s="409"/>
      <c r="AF377" s="410">
        <v>0</v>
      </c>
      <c r="AG377" s="410">
        <v>0</v>
      </c>
      <c r="AH377" s="411">
        <v>0</v>
      </c>
      <c r="AI377" s="412">
        <v>1.52</v>
      </c>
      <c r="AJ377" s="411">
        <v>1.52</v>
      </c>
      <c r="AK377" s="411">
        <v>0</v>
      </c>
      <c r="AL377" s="18"/>
      <c r="AM377" s="49"/>
      <c r="AN377" s="2"/>
      <c r="AO377" s="2"/>
    </row>
    <row r="378" spans="1:41" hidden="1">
      <c r="A378" s="14">
        <v>107</v>
      </c>
      <c r="B378" s="11" t="s">
        <v>119</v>
      </c>
      <c r="C378" s="14">
        <v>0</v>
      </c>
      <c r="D378" s="11" t="s">
        <v>18016</v>
      </c>
      <c r="E378" s="11" t="s">
        <v>119</v>
      </c>
      <c r="F378" s="12">
        <v>43941</v>
      </c>
      <c r="G378" s="11">
        <v>2020</v>
      </c>
      <c r="H378" s="11" t="s">
        <v>17209</v>
      </c>
      <c r="I378" s="11" t="s">
        <v>17210</v>
      </c>
      <c r="J378" s="11" t="s">
        <v>16401</v>
      </c>
      <c r="K378" s="404">
        <v>20853.524000000001</v>
      </c>
      <c r="L378" s="11">
        <v>2.9232</v>
      </c>
      <c r="M378" s="405">
        <v>7133.7999452654631</v>
      </c>
      <c r="N378" s="11" t="s">
        <v>20155</v>
      </c>
      <c r="O378" s="11" t="s">
        <v>20168</v>
      </c>
      <c r="P378" s="872">
        <v>43948</v>
      </c>
      <c r="Q378" s="423">
        <v>0</v>
      </c>
      <c r="R378" s="423">
        <v>6720</v>
      </c>
      <c r="S378" s="423">
        <v>4800</v>
      </c>
      <c r="T378" s="423">
        <v>0</v>
      </c>
      <c r="U378" s="423">
        <v>11520</v>
      </c>
      <c r="V378" s="11" t="s">
        <v>20155</v>
      </c>
      <c r="W378" s="407">
        <v>0</v>
      </c>
      <c r="X378" s="407">
        <v>11098.805759999999</v>
      </c>
      <c r="Y378" s="407">
        <v>7927.7183999999997</v>
      </c>
      <c r="Z378" s="407">
        <v>0</v>
      </c>
      <c r="AA378" s="408"/>
      <c r="AB378" s="408">
        <v>1.651608</v>
      </c>
      <c r="AC378" s="408">
        <v>1.651608</v>
      </c>
      <c r="AD378" s="408"/>
      <c r="AE378" s="409"/>
      <c r="AF378" s="410">
        <v>2301.482</v>
      </c>
      <c r="AG378" s="410">
        <v>0.19978142361111112</v>
      </c>
      <c r="AH378" s="411">
        <v>0</v>
      </c>
      <c r="AI378" s="412">
        <v>1.4518265763888889</v>
      </c>
      <c r="AJ378" s="411">
        <v>1.4518265763888889</v>
      </c>
      <c r="AK378" s="411">
        <v>0</v>
      </c>
      <c r="AL378" s="18"/>
      <c r="AM378" s="49"/>
      <c r="AN378" s="2"/>
      <c r="AO378" s="2"/>
    </row>
    <row r="379" spans="1:41" hidden="1">
      <c r="A379" s="14">
        <v>108</v>
      </c>
      <c r="B379" s="11" t="s">
        <v>120</v>
      </c>
      <c r="C379" s="14">
        <v>0</v>
      </c>
      <c r="D379" s="11" t="s">
        <v>18018</v>
      </c>
      <c r="E379" s="11" t="s">
        <v>120</v>
      </c>
      <c r="F379" s="12">
        <v>43944</v>
      </c>
      <c r="G379" s="11">
        <v>2020</v>
      </c>
      <c r="H379" s="11" t="s">
        <v>16444</v>
      </c>
      <c r="I379" s="11" t="s">
        <v>16445</v>
      </c>
      <c r="J379" s="11" t="s">
        <v>3</v>
      </c>
      <c r="K379" s="404">
        <v>66904.320000000007</v>
      </c>
      <c r="L379" s="11">
        <v>1</v>
      </c>
      <c r="M379" s="404">
        <v>66904.320000000007</v>
      </c>
      <c r="N379" s="11" t="s">
        <v>20155</v>
      </c>
      <c r="O379" s="11" t="s">
        <v>17801</v>
      </c>
      <c r="P379" s="872">
        <v>43948</v>
      </c>
      <c r="Q379" s="423">
        <v>44016</v>
      </c>
      <c r="R379" s="423">
        <v>0</v>
      </c>
      <c r="S379" s="423">
        <v>0</v>
      </c>
      <c r="T379" s="423">
        <v>0</v>
      </c>
      <c r="U379" s="423">
        <v>44016</v>
      </c>
      <c r="V379" s="11" t="s">
        <v>20155</v>
      </c>
      <c r="W379" s="407">
        <v>66904.320000000007</v>
      </c>
      <c r="X379" s="407">
        <v>0</v>
      </c>
      <c r="Y379" s="407">
        <v>0</v>
      </c>
      <c r="Z379" s="407">
        <v>0</v>
      </c>
      <c r="AA379" s="408">
        <v>1.5200000000000002</v>
      </c>
      <c r="AB379" s="408"/>
      <c r="AC379" s="408"/>
      <c r="AD379" s="408"/>
      <c r="AE379" s="409"/>
      <c r="AF379" s="410">
        <v>0</v>
      </c>
      <c r="AG379" s="410">
        <v>0</v>
      </c>
      <c r="AH379" s="411">
        <v>1.5200000000000002</v>
      </c>
      <c r="AI379" s="411">
        <v>0</v>
      </c>
      <c r="AJ379" s="411">
        <v>0</v>
      </c>
      <c r="AK379" s="411">
        <v>0</v>
      </c>
      <c r="AL379" s="18"/>
      <c r="AM379" s="49"/>
      <c r="AN379" s="2"/>
      <c r="AO379" s="2"/>
    </row>
    <row r="380" spans="1:41" hidden="1">
      <c r="A380" s="14">
        <v>109</v>
      </c>
      <c r="B380" s="11" t="s">
        <v>121</v>
      </c>
      <c r="C380" s="14">
        <v>0</v>
      </c>
      <c r="D380" s="11" t="s">
        <v>18020</v>
      </c>
      <c r="E380" s="11" t="s">
        <v>121</v>
      </c>
      <c r="F380" s="12">
        <v>43944</v>
      </c>
      <c r="G380" s="11">
        <v>2020</v>
      </c>
      <c r="H380" s="11" t="s">
        <v>16444</v>
      </c>
      <c r="I380" s="11" t="s">
        <v>16445</v>
      </c>
      <c r="J380" s="11" t="s">
        <v>3</v>
      </c>
      <c r="K380" s="404">
        <v>30340</v>
      </c>
      <c r="L380" s="11">
        <v>1</v>
      </c>
      <c r="M380" s="404">
        <v>30340</v>
      </c>
      <c r="N380" s="11" t="s">
        <v>20155</v>
      </c>
      <c r="O380" s="11" t="s">
        <v>17693</v>
      </c>
      <c r="P380" s="872">
        <v>43951</v>
      </c>
      <c r="Q380" s="423">
        <v>20500</v>
      </c>
      <c r="R380" s="423">
        <v>0</v>
      </c>
      <c r="S380" s="423">
        <v>0</v>
      </c>
      <c r="T380" s="423">
        <v>0</v>
      </c>
      <c r="U380" s="423">
        <v>20500</v>
      </c>
      <c r="V380" s="11" t="s">
        <v>20155</v>
      </c>
      <c r="W380" s="407">
        <v>30340</v>
      </c>
      <c r="X380" s="407">
        <v>0</v>
      </c>
      <c r="Y380" s="407">
        <v>0</v>
      </c>
      <c r="Z380" s="407">
        <v>0</v>
      </c>
      <c r="AA380" s="408">
        <v>1.48</v>
      </c>
      <c r="AB380" s="408"/>
      <c r="AC380" s="408"/>
      <c r="AD380" s="408"/>
      <c r="AE380" s="409"/>
      <c r="AF380" s="410">
        <v>0</v>
      </c>
      <c r="AG380" s="410">
        <v>0</v>
      </c>
      <c r="AH380" s="411">
        <v>1.48</v>
      </c>
      <c r="AI380" s="411">
        <v>0</v>
      </c>
      <c r="AJ380" s="411">
        <v>0</v>
      </c>
      <c r="AK380" s="411">
        <v>0</v>
      </c>
      <c r="AL380" s="18"/>
      <c r="AM380" s="49"/>
      <c r="AN380" s="2"/>
      <c r="AO380" s="2"/>
    </row>
    <row r="381" spans="1:41" hidden="1">
      <c r="A381" s="14">
        <v>110</v>
      </c>
      <c r="B381" s="11" t="s">
        <v>122</v>
      </c>
      <c r="C381" s="14">
        <v>0</v>
      </c>
      <c r="D381" s="11" t="s">
        <v>18021</v>
      </c>
      <c r="E381" s="11" t="s">
        <v>122</v>
      </c>
      <c r="F381" s="12">
        <v>43950</v>
      </c>
      <c r="G381" s="11">
        <v>2020</v>
      </c>
      <c r="H381" s="11" t="s">
        <v>17017</v>
      </c>
      <c r="I381" s="11" t="s">
        <v>17018</v>
      </c>
      <c r="J381" s="11" t="s">
        <v>3</v>
      </c>
      <c r="K381" s="404">
        <v>65190</v>
      </c>
      <c r="L381" s="11">
        <v>1</v>
      </c>
      <c r="M381" s="404">
        <v>65190</v>
      </c>
      <c r="N381" s="11" t="s">
        <v>20155</v>
      </c>
      <c r="O381" s="11" t="s">
        <v>18283</v>
      </c>
      <c r="P381" s="872">
        <v>43987</v>
      </c>
      <c r="Q381" s="423">
        <v>0</v>
      </c>
      <c r="R381" s="423">
        <v>41000</v>
      </c>
      <c r="S381" s="423">
        <v>0</v>
      </c>
      <c r="T381" s="423">
        <v>0</v>
      </c>
      <c r="U381" s="423">
        <v>41000</v>
      </c>
      <c r="V381" s="11" t="s">
        <v>20155</v>
      </c>
      <c r="W381" s="407">
        <v>0</v>
      </c>
      <c r="X381" s="407">
        <v>65190</v>
      </c>
      <c r="Y381" s="407">
        <v>0</v>
      </c>
      <c r="Z381" s="407">
        <v>0</v>
      </c>
      <c r="AA381" s="431"/>
      <c r="AB381" s="408">
        <v>1.59</v>
      </c>
      <c r="AC381" s="408"/>
      <c r="AD381" s="408"/>
      <c r="AE381" s="409"/>
      <c r="AF381" s="410">
        <v>0</v>
      </c>
      <c r="AG381" s="410">
        <v>0</v>
      </c>
      <c r="AH381" s="411">
        <v>0</v>
      </c>
      <c r="AI381" s="412">
        <v>1.59</v>
      </c>
      <c r="AJ381" s="411">
        <v>0</v>
      </c>
      <c r="AK381" s="411">
        <v>0</v>
      </c>
      <c r="AL381" s="18"/>
      <c r="AM381" s="49"/>
      <c r="AN381" s="2"/>
      <c r="AO381" s="2"/>
    </row>
    <row r="382" spans="1:41" hidden="1">
      <c r="A382" s="14">
        <v>111</v>
      </c>
      <c r="B382" s="11" t="s">
        <v>123</v>
      </c>
      <c r="C382" s="14">
        <v>0</v>
      </c>
      <c r="D382" s="11" t="s">
        <v>18023</v>
      </c>
      <c r="E382" s="11" t="s">
        <v>123</v>
      </c>
      <c r="F382" s="12">
        <v>43955</v>
      </c>
      <c r="G382" s="11">
        <v>2020</v>
      </c>
      <c r="H382" s="11" t="s">
        <v>16444</v>
      </c>
      <c r="I382" s="11" t="s">
        <v>16445</v>
      </c>
      <c r="J382" s="11" t="s">
        <v>3</v>
      </c>
      <c r="K382" s="404">
        <v>29160</v>
      </c>
      <c r="L382" s="11">
        <v>1</v>
      </c>
      <c r="M382" s="404">
        <v>29160</v>
      </c>
      <c r="N382" s="11" t="s">
        <v>20155</v>
      </c>
      <c r="O382" s="11" t="s">
        <v>17854</v>
      </c>
      <c r="P382" s="872">
        <v>43962</v>
      </c>
      <c r="Q382" s="423">
        <v>18000</v>
      </c>
      <c r="R382" s="423">
        <v>0</v>
      </c>
      <c r="S382" s="423">
        <v>0</v>
      </c>
      <c r="T382" s="423">
        <v>0</v>
      </c>
      <c r="U382" s="423">
        <v>18000</v>
      </c>
      <c r="V382" s="11" t="s">
        <v>20155</v>
      </c>
      <c r="W382" s="407">
        <v>29160</v>
      </c>
      <c r="X382" s="407">
        <v>0</v>
      </c>
      <c r="Y382" s="407">
        <v>0</v>
      </c>
      <c r="Z382" s="407">
        <v>0</v>
      </c>
      <c r="AA382" s="408">
        <v>1.62</v>
      </c>
      <c r="AB382" s="408"/>
      <c r="AC382" s="408"/>
      <c r="AD382" s="408"/>
      <c r="AE382" s="409"/>
      <c r="AF382" s="410">
        <v>0</v>
      </c>
      <c r="AG382" s="410">
        <v>0</v>
      </c>
      <c r="AH382" s="411">
        <v>1.62</v>
      </c>
      <c r="AI382" s="411">
        <v>0</v>
      </c>
      <c r="AJ382" s="411">
        <v>0</v>
      </c>
      <c r="AK382" s="411">
        <v>0</v>
      </c>
      <c r="AL382" s="18"/>
      <c r="AM382" s="49"/>
      <c r="AN382" s="2"/>
      <c r="AO382" s="2"/>
    </row>
    <row r="383" spans="1:41" hidden="1">
      <c r="A383" s="14">
        <v>112</v>
      </c>
      <c r="B383" s="11" t="s">
        <v>124</v>
      </c>
      <c r="C383" s="14">
        <v>0</v>
      </c>
      <c r="D383" s="11" t="s">
        <v>18024</v>
      </c>
      <c r="E383" s="11" t="s">
        <v>124</v>
      </c>
      <c r="F383" s="12">
        <v>43957</v>
      </c>
      <c r="G383" s="11">
        <v>2020</v>
      </c>
      <c r="H383" s="11" t="s">
        <v>17017</v>
      </c>
      <c r="I383" s="11" t="s">
        <v>17018</v>
      </c>
      <c r="J383" s="11" t="s">
        <v>3</v>
      </c>
      <c r="K383" s="404">
        <v>42919.199999999997</v>
      </c>
      <c r="L383" s="11">
        <v>1</v>
      </c>
      <c r="M383" s="404">
        <v>42919.199999999997</v>
      </c>
      <c r="N383" s="11" t="s">
        <v>20155</v>
      </c>
      <c r="O383" s="11" t="s">
        <v>17954</v>
      </c>
      <c r="P383" s="872">
        <v>43963</v>
      </c>
      <c r="Q383" s="423">
        <v>0</v>
      </c>
      <c r="R383" s="423">
        <v>11040</v>
      </c>
      <c r="S383" s="423">
        <v>14400</v>
      </c>
      <c r="T383" s="423">
        <v>0</v>
      </c>
      <c r="U383" s="423">
        <v>25440</v>
      </c>
      <c r="V383" s="11" t="s">
        <v>20155</v>
      </c>
      <c r="W383" s="407">
        <v>0</v>
      </c>
      <c r="X383" s="407">
        <v>19375.2</v>
      </c>
      <c r="Y383" s="407">
        <v>23544</v>
      </c>
      <c r="Z383" s="407">
        <v>0</v>
      </c>
      <c r="AA383" s="431"/>
      <c r="AB383" s="408">
        <v>1.7549999999999999</v>
      </c>
      <c r="AC383" s="408">
        <v>1.635</v>
      </c>
      <c r="AD383" s="408"/>
      <c r="AE383" s="409"/>
      <c r="AF383" s="410">
        <v>0</v>
      </c>
      <c r="AG383" s="410">
        <v>0</v>
      </c>
      <c r="AH383" s="411">
        <v>0</v>
      </c>
      <c r="AI383" s="412">
        <v>1.7549999999999999</v>
      </c>
      <c r="AJ383" s="411">
        <v>1.635</v>
      </c>
      <c r="AK383" s="411">
        <v>0</v>
      </c>
      <c r="AL383" s="18"/>
      <c r="AM383" s="49"/>
      <c r="AN383" s="2"/>
      <c r="AO383" s="2"/>
    </row>
    <row r="384" spans="1:41" hidden="1">
      <c r="A384" s="14">
        <v>113</v>
      </c>
      <c r="B384" s="11" t="s">
        <v>125</v>
      </c>
      <c r="C384" s="14">
        <v>0</v>
      </c>
      <c r="D384" s="11" t="s">
        <v>18025</v>
      </c>
      <c r="E384" s="11" t="s">
        <v>125</v>
      </c>
      <c r="F384" s="12">
        <v>43957</v>
      </c>
      <c r="G384" s="11">
        <v>2020</v>
      </c>
      <c r="H384" s="11" t="s">
        <v>17017</v>
      </c>
      <c r="I384" s="11" t="s">
        <v>17018</v>
      </c>
      <c r="J384" s="11" t="s">
        <v>3</v>
      </c>
      <c r="K384" s="404">
        <v>42490.6</v>
      </c>
      <c r="L384" s="11">
        <v>1</v>
      </c>
      <c r="M384" s="404">
        <v>42490.6</v>
      </c>
      <c r="N384" s="11" t="s">
        <v>20155</v>
      </c>
      <c r="O384" s="11" t="s">
        <v>17954</v>
      </c>
      <c r="P384" s="872">
        <v>43965</v>
      </c>
      <c r="Q384" s="423">
        <v>0</v>
      </c>
      <c r="R384" s="423">
        <v>11040</v>
      </c>
      <c r="S384" s="423">
        <v>14400</v>
      </c>
      <c r="T384" s="423">
        <v>0</v>
      </c>
      <c r="U384" s="423">
        <v>25440</v>
      </c>
      <c r="V384" s="11" t="s">
        <v>20155</v>
      </c>
      <c r="W384" s="407">
        <v>0</v>
      </c>
      <c r="X384" s="407">
        <v>18946.599999999999</v>
      </c>
      <c r="Y384" s="407">
        <v>23544</v>
      </c>
      <c r="Z384" s="407">
        <v>0</v>
      </c>
      <c r="AA384" s="431"/>
      <c r="AB384" s="408">
        <v>1.7161775362318838</v>
      </c>
      <c r="AC384" s="408">
        <v>1.635</v>
      </c>
      <c r="AD384" s="408"/>
      <c r="AE384" s="409"/>
      <c r="AF384" s="410">
        <v>0</v>
      </c>
      <c r="AG384" s="410">
        <v>0</v>
      </c>
      <c r="AH384" s="411">
        <v>0</v>
      </c>
      <c r="AI384" s="412">
        <v>1.7161775362318838</v>
      </c>
      <c r="AJ384" s="411">
        <v>1.635</v>
      </c>
      <c r="AK384" s="411">
        <v>0</v>
      </c>
      <c r="AL384" s="18"/>
      <c r="AM384" s="49"/>
      <c r="AN384" s="2"/>
      <c r="AO384" s="2"/>
    </row>
    <row r="385" spans="1:41" hidden="1">
      <c r="A385" s="14">
        <v>114</v>
      </c>
      <c r="B385" s="11" t="s">
        <v>126</v>
      </c>
      <c r="C385" s="14">
        <v>0</v>
      </c>
      <c r="D385" s="11" t="s">
        <v>18026</v>
      </c>
      <c r="E385" s="11" t="s">
        <v>126</v>
      </c>
      <c r="F385" s="12">
        <v>43957</v>
      </c>
      <c r="G385" s="11">
        <v>2020</v>
      </c>
      <c r="H385" s="11" t="s">
        <v>17017</v>
      </c>
      <c r="I385" s="11" t="s">
        <v>17018</v>
      </c>
      <c r="J385" s="11" t="s">
        <v>3</v>
      </c>
      <c r="K385" s="404">
        <v>42417.599999999999</v>
      </c>
      <c r="L385" s="11">
        <v>1</v>
      </c>
      <c r="M385" s="404">
        <v>42417.599999999999</v>
      </c>
      <c r="N385" s="11" t="s">
        <v>20155</v>
      </c>
      <c r="O385" s="11" t="s">
        <v>17954</v>
      </c>
      <c r="P385" s="872">
        <v>43965</v>
      </c>
      <c r="Q385" s="423">
        <v>0</v>
      </c>
      <c r="R385" s="423">
        <v>11040</v>
      </c>
      <c r="S385" s="423">
        <v>14400</v>
      </c>
      <c r="T385" s="423">
        <v>0</v>
      </c>
      <c r="U385" s="423">
        <v>25440</v>
      </c>
      <c r="V385" s="11" t="s">
        <v>20155</v>
      </c>
      <c r="W385" s="407">
        <v>0</v>
      </c>
      <c r="X385" s="407">
        <v>18873.599999999999</v>
      </c>
      <c r="Y385" s="407">
        <v>23544</v>
      </c>
      <c r="Z385" s="407">
        <v>0</v>
      </c>
      <c r="AA385" s="431"/>
      <c r="AB385" s="408">
        <v>1.7095652173913043</v>
      </c>
      <c r="AC385" s="408">
        <v>1.635</v>
      </c>
      <c r="AD385" s="408"/>
      <c r="AE385" s="409"/>
      <c r="AF385" s="410">
        <v>0</v>
      </c>
      <c r="AG385" s="410">
        <v>0</v>
      </c>
      <c r="AH385" s="411">
        <v>0</v>
      </c>
      <c r="AI385" s="412">
        <v>1.7095652173913043</v>
      </c>
      <c r="AJ385" s="411">
        <v>1.635</v>
      </c>
      <c r="AK385" s="411">
        <v>0</v>
      </c>
      <c r="AL385" s="18"/>
      <c r="AM385" s="49"/>
      <c r="AN385" s="2"/>
      <c r="AO385" s="2"/>
    </row>
    <row r="386" spans="1:41" hidden="1">
      <c r="A386" s="14">
        <v>115</v>
      </c>
      <c r="B386" s="11" t="s">
        <v>127</v>
      </c>
      <c r="C386" s="14">
        <v>0</v>
      </c>
      <c r="D386" s="11" t="s">
        <v>18027</v>
      </c>
      <c r="E386" s="11" t="s">
        <v>127</v>
      </c>
      <c r="F386" s="12">
        <v>43957</v>
      </c>
      <c r="G386" s="11">
        <v>2020</v>
      </c>
      <c r="H386" s="11" t="s">
        <v>16444</v>
      </c>
      <c r="I386" s="11" t="s">
        <v>16445</v>
      </c>
      <c r="J386" s="11" t="s">
        <v>3</v>
      </c>
      <c r="K386" s="404">
        <v>33452.160000000003</v>
      </c>
      <c r="L386" s="11">
        <v>1</v>
      </c>
      <c r="M386" s="404">
        <v>33452.160000000003</v>
      </c>
      <c r="N386" s="11" t="s">
        <v>20155</v>
      </c>
      <c r="O386" s="11" t="s">
        <v>17693</v>
      </c>
      <c r="P386" s="872">
        <v>43964</v>
      </c>
      <c r="Q386" s="423">
        <v>22008</v>
      </c>
      <c r="R386" s="423">
        <v>0</v>
      </c>
      <c r="S386" s="423">
        <v>0</v>
      </c>
      <c r="T386" s="423">
        <v>0</v>
      </c>
      <c r="U386" s="423">
        <v>22008</v>
      </c>
      <c r="V386" s="11" t="s">
        <v>20155</v>
      </c>
      <c r="W386" s="407">
        <v>33452.160000000003</v>
      </c>
      <c r="X386" s="407">
        <v>0</v>
      </c>
      <c r="Y386" s="407">
        <v>0</v>
      </c>
      <c r="Z386" s="407">
        <v>0</v>
      </c>
      <c r="AA386" s="408">
        <v>1.5200000000000002</v>
      </c>
      <c r="AB386" s="408"/>
      <c r="AC386" s="408"/>
      <c r="AD386" s="408"/>
      <c r="AE386" s="409"/>
      <c r="AF386" s="410">
        <v>0</v>
      </c>
      <c r="AG386" s="410">
        <v>0</v>
      </c>
      <c r="AH386" s="411">
        <v>1.5200000000000002</v>
      </c>
      <c r="AI386" s="411">
        <v>0</v>
      </c>
      <c r="AJ386" s="411">
        <v>0</v>
      </c>
      <c r="AK386" s="411">
        <v>0</v>
      </c>
      <c r="AL386" s="18"/>
      <c r="AM386" s="49"/>
      <c r="AN386" s="2"/>
      <c r="AO386" s="2"/>
    </row>
    <row r="387" spans="1:41" hidden="1">
      <c r="A387" s="14">
        <v>116</v>
      </c>
      <c r="B387" s="11" t="s">
        <v>128</v>
      </c>
      <c r="C387" s="14">
        <v>0</v>
      </c>
      <c r="D387" s="11" t="s">
        <v>18029</v>
      </c>
      <c r="E387" s="11" t="s">
        <v>128</v>
      </c>
      <c r="F387" s="12">
        <v>43958</v>
      </c>
      <c r="G387" s="11">
        <v>2020</v>
      </c>
      <c r="H387" s="11" t="s">
        <v>16444</v>
      </c>
      <c r="I387" s="11" t="s">
        <v>16445</v>
      </c>
      <c r="J387" s="11" t="s">
        <v>3</v>
      </c>
      <c r="K387" s="404">
        <v>133808.64000000001</v>
      </c>
      <c r="L387" s="11">
        <v>1</v>
      </c>
      <c r="M387" s="404">
        <v>133808.64000000001</v>
      </c>
      <c r="N387" s="11" t="s">
        <v>20155</v>
      </c>
      <c r="O387" s="11" t="s">
        <v>18248</v>
      </c>
      <c r="P387" s="872">
        <v>43964</v>
      </c>
      <c r="Q387" s="423">
        <v>88032</v>
      </c>
      <c r="R387" s="423">
        <v>0</v>
      </c>
      <c r="S387" s="423">
        <v>0</v>
      </c>
      <c r="T387" s="423">
        <v>0</v>
      </c>
      <c r="U387" s="423">
        <v>88032</v>
      </c>
      <c r="V387" s="11" t="s">
        <v>20155</v>
      </c>
      <c r="W387" s="407">
        <v>133808.64000000001</v>
      </c>
      <c r="X387" s="407">
        <v>0</v>
      </c>
      <c r="Y387" s="407">
        <v>0</v>
      </c>
      <c r="Z387" s="407">
        <v>0</v>
      </c>
      <c r="AA387" s="408">
        <v>1.5200000000000002</v>
      </c>
      <c r="AB387" s="408"/>
      <c r="AC387" s="408"/>
      <c r="AD387" s="408"/>
      <c r="AE387" s="409"/>
      <c r="AF387" s="410">
        <v>0</v>
      </c>
      <c r="AG387" s="410">
        <v>0</v>
      </c>
      <c r="AH387" s="411">
        <v>1.5200000000000002</v>
      </c>
      <c r="AI387" s="411">
        <v>0</v>
      </c>
      <c r="AJ387" s="411">
        <v>0</v>
      </c>
      <c r="AK387" s="411">
        <v>0</v>
      </c>
      <c r="AL387" s="18"/>
      <c r="AM387" s="49"/>
      <c r="AN387" s="2"/>
      <c r="AO387" s="2"/>
    </row>
    <row r="388" spans="1:41" hidden="1">
      <c r="A388" s="14">
        <v>117</v>
      </c>
      <c r="B388" s="11" t="s">
        <v>129</v>
      </c>
      <c r="C388" s="14">
        <v>0</v>
      </c>
      <c r="D388" s="11" t="s">
        <v>18030</v>
      </c>
      <c r="E388" s="11" t="s">
        <v>129</v>
      </c>
      <c r="F388" s="12">
        <v>43958</v>
      </c>
      <c r="G388" s="11">
        <v>2020</v>
      </c>
      <c r="H388" s="11" t="s">
        <v>17017</v>
      </c>
      <c r="I388" s="11" t="s">
        <v>17018</v>
      </c>
      <c r="J388" s="11" t="s">
        <v>3</v>
      </c>
      <c r="K388" s="404">
        <v>63200</v>
      </c>
      <c r="L388" s="11">
        <v>1</v>
      </c>
      <c r="M388" s="404">
        <v>63200</v>
      </c>
      <c r="N388" s="11" t="s">
        <v>20155</v>
      </c>
      <c r="O388" s="11" t="s">
        <v>18064</v>
      </c>
      <c r="P388" s="872">
        <v>43965</v>
      </c>
      <c r="Q388" s="423">
        <v>0</v>
      </c>
      <c r="R388" s="423">
        <v>40000</v>
      </c>
      <c r="S388" s="423">
        <v>0</v>
      </c>
      <c r="T388" s="423">
        <v>0</v>
      </c>
      <c r="U388" s="423">
        <v>40000</v>
      </c>
      <c r="V388" s="11" t="s">
        <v>20155</v>
      </c>
      <c r="W388" s="407">
        <v>0</v>
      </c>
      <c r="X388" s="407">
        <v>63200</v>
      </c>
      <c r="Y388" s="407">
        <v>0</v>
      </c>
      <c r="Z388" s="407">
        <v>0</v>
      </c>
      <c r="AA388" s="431"/>
      <c r="AB388" s="408">
        <v>1.58</v>
      </c>
      <c r="AC388" s="408"/>
      <c r="AD388" s="408"/>
      <c r="AE388" s="409"/>
      <c r="AF388" s="410">
        <v>0</v>
      </c>
      <c r="AG388" s="410">
        <v>0</v>
      </c>
      <c r="AH388" s="411">
        <v>0</v>
      </c>
      <c r="AI388" s="412">
        <v>1.58</v>
      </c>
      <c r="AJ388" s="411">
        <v>0</v>
      </c>
      <c r="AK388" s="411">
        <v>0</v>
      </c>
      <c r="AL388" s="18"/>
      <c r="AM388" s="49"/>
      <c r="AN388" s="2"/>
      <c r="AO388" s="2"/>
    </row>
    <row r="389" spans="1:41" hidden="1">
      <c r="A389" s="14">
        <v>118</v>
      </c>
      <c r="B389" s="11" t="s">
        <v>130</v>
      </c>
      <c r="C389" s="14">
        <v>0</v>
      </c>
      <c r="D389" s="11" t="s">
        <v>18031</v>
      </c>
      <c r="E389" s="11" t="s">
        <v>130</v>
      </c>
      <c r="F389" s="12">
        <v>43959</v>
      </c>
      <c r="G389" s="11">
        <v>2020</v>
      </c>
      <c r="H389" s="11" t="s">
        <v>16957</v>
      </c>
      <c r="I389" s="11" t="s">
        <v>16958</v>
      </c>
      <c r="J389" s="11" t="s">
        <v>16401</v>
      </c>
      <c r="K389" s="404">
        <v>40153.86</v>
      </c>
      <c r="L389" s="11">
        <v>2.9097</v>
      </c>
      <c r="M389" s="404">
        <v>13800</v>
      </c>
      <c r="N389" s="11" t="s">
        <v>20155</v>
      </c>
      <c r="O389" s="11" t="s">
        <v>20161</v>
      </c>
      <c r="P389" s="872">
        <v>43965</v>
      </c>
      <c r="Q389" s="423">
        <v>20000</v>
      </c>
      <c r="R389" s="423">
        <v>0</v>
      </c>
      <c r="S389" s="423">
        <v>0</v>
      </c>
      <c r="T389" s="423">
        <v>0</v>
      </c>
      <c r="U389" s="423">
        <v>20000</v>
      </c>
      <c r="V389" s="11" t="s">
        <v>20155</v>
      </c>
      <c r="W389" s="407">
        <v>40153.860000000008</v>
      </c>
      <c r="X389" s="407">
        <v>0</v>
      </c>
      <c r="Y389" s="407">
        <v>0</v>
      </c>
      <c r="Z389" s="407">
        <v>0</v>
      </c>
      <c r="AA389" s="408">
        <v>2.0076930000000002</v>
      </c>
      <c r="AB389" s="408"/>
      <c r="AC389" s="408"/>
      <c r="AD389" s="408"/>
      <c r="AE389" s="409"/>
      <c r="AF389" s="410">
        <v>4789.09</v>
      </c>
      <c r="AG389" s="410">
        <v>0.23945450000000001</v>
      </c>
      <c r="AH389" s="411">
        <v>1.7682385000000003</v>
      </c>
      <c r="AI389" s="411">
        <v>0</v>
      </c>
      <c r="AJ389" s="411">
        <v>0</v>
      </c>
      <c r="AK389" s="411">
        <v>0</v>
      </c>
      <c r="AL389" s="18"/>
      <c r="AM389" s="49"/>
      <c r="AN389" s="2"/>
      <c r="AO389" s="2"/>
    </row>
    <row r="390" spans="1:41" hidden="1">
      <c r="A390" s="14">
        <v>119</v>
      </c>
      <c r="B390" s="11" t="s">
        <v>131</v>
      </c>
      <c r="C390" s="14">
        <v>0</v>
      </c>
      <c r="D390" s="11" t="s">
        <v>18033</v>
      </c>
      <c r="E390" s="11" t="s">
        <v>131</v>
      </c>
      <c r="F390" s="12">
        <v>43959</v>
      </c>
      <c r="G390" s="11">
        <v>2020</v>
      </c>
      <c r="H390" s="11" t="s">
        <v>16823</v>
      </c>
      <c r="I390" s="11" t="s">
        <v>16824</v>
      </c>
      <c r="J390" s="11" t="s">
        <v>16401</v>
      </c>
      <c r="K390" s="404">
        <v>157622.87299999999</v>
      </c>
      <c r="L390" s="11">
        <v>2.8940999999999999</v>
      </c>
      <c r="M390" s="405">
        <v>54463.519919836908</v>
      </c>
      <c r="N390" s="11" t="s">
        <v>20155</v>
      </c>
      <c r="O390" s="11" t="s">
        <v>17965</v>
      </c>
      <c r="P390" s="872">
        <v>43972</v>
      </c>
      <c r="Q390" s="423">
        <v>44016</v>
      </c>
      <c r="R390" s="423">
        <v>44016</v>
      </c>
      <c r="S390" s="423">
        <v>0</v>
      </c>
      <c r="T390" s="423">
        <v>0</v>
      </c>
      <c r="U390" s="423">
        <v>88032</v>
      </c>
      <c r="V390" s="11" t="s">
        <v>20155</v>
      </c>
      <c r="W390" s="407">
        <v>68788.821024000004</v>
      </c>
      <c r="X390" s="407">
        <v>63944.792207999999</v>
      </c>
      <c r="Y390" s="407">
        <v>0</v>
      </c>
      <c r="Z390" s="407">
        <v>0</v>
      </c>
      <c r="AA390" s="408">
        <v>1.5628140000000001</v>
      </c>
      <c r="AB390" s="408">
        <v>1.4527624547437294</v>
      </c>
      <c r="AC390" s="408"/>
      <c r="AD390" s="408"/>
      <c r="AE390" s="409"/>
      <c r="AF390" s="410">
        <v>29972.991999999998</v>
      </c>
      <c r="AG390" s="410">
        <v>0.34047837150127225</v>
      </c>
      <c r="AH390" s="411">
        <v>1.2223356284987279</v>
      </c>
      <c r="AI390" s="412">
        <v>1.1122840832424572</v>
      </c>
      <c r="AJ390" s="411">
        <v>0</v>
      </c>
      <c r="AK390" s="411">
        <v>0</v>
      </c>
      <c r="AL390" s="18"/>
      <c r="AM390" s="49"/>
      <c r="AN390" s="2"/>
      <c r="AO390" s="2"/>
    </row>
    <row r="391" spans="1:41" hidden="1">
      <c r="A391" s="14">
        <v>120</v>
      </c>
      <c r="B391" s="11" t="s">
        <v>132</v>
      </c>
      <c r="C391" s="14">
        <v>0</v>
      </c>
      <c r="D391" s="11" t="s">
        <v>18035</v>
      </c>
      <c r="E391" s="11" t="s">
        <v>132</v>
      </c>
      <c r="F391" s="12">
        <v>43960</v>
      </c>
      <c r="G391" s="11">
        <v>2020</v>
      </c>
      <c r="H391" s="11" t="s">
        <v>16957</v>
      </c>
      <c r="I391" s="11" t="s">
        <v>16958</v>
      </c>
      <c r="J391" s="11" t="s">
        <v>16401</v>
      </c>
      <c r="K391" s="404">
        <v>77898.080000000002</v>
      </c>
      <c r="L391" s="11">
        <v>2.8639000000000001</v>
      </c>
      <c r="M391" s="404">
        <v>27200</v>
      </c>
      <c r="N391" s="11" t="s">
        <v>20155</v>
      </c>
      <c r="O391" s="11" t="s">
        <v>20161</v>
      </c>
      <c r="P391" s="872">
        <v>43986</v>
      </c>
      <c r="Q391" s="423">
        <v>40000</v>
      </c>
      <c r="R391" s="423">
        <v>0</v>
      </c>
      <c r="S391" s="423">
        <v>0</v>
      </c>
      <c r="T391" s="423">
        <v>0</v>
      </c>
      <c r="U391" s="423">
        <v>40000</v>
      </c>
      <c r="V391" s="11" t="s">
        <v>20155</v>
      </c>
      <c r="W391" s="407">
        <v>77898.080000000002</v>
      </c>
      <c r="X391" s="407">
        <v>0</v>
      </c>
      <c r="Y391" s="407">
        <v>0</v>
      </c>
      <c r="Z391" s="407">
        <v>0</v>
      </c>
      <c r="AA391" s="408">
        <v>1.947452</v>
      </c>
      <c r="AB391" s="408"/>
      <c r="AC391" s="408"/>
      <c r="AD391" s="408"/>
      <c r="AE391" s="409"/>
      <c r="AF391" s="410">
        <v>8227.6319999999996</v>
      </c>
      <c r="AG391" s="410">
        <v>0.20569079999999998</v>
      </c>
      <c r="AH391" s="411">
        <v>1.7417612</v>
      </c>
      <c r="AI391" s="411">
        <v>0</v>
      </c>
      <c r="AJ391" s="411">
        <v>0</v>
      </c>
      <c r="AK391" s="411">
        <v>0</v>
      </c>
      <c r="AL391" s="18"/>
      <c r="AM391" s="49"/>
      <c r="AN391" s="2"/>
      <c r="AO391" s="2"/>
    </row>
    <row r="392" spans="1:41" hidden="1">
      <c r="A392" s="14">
        <v>121</v>
      </c>
      <c r="B392" s="11" t="s">
        <v>133</v>
      </c>
      <c r="C392" s="14">
        <v>0</v>
      </c>
      <c r="D392" s="11" t="s">
        <v>18037</v>
      </c>
      <c r="E392" s="11" t="s">
        <v>133</v>
      </c>
      <c r="F392" s="12">
        <v>43965</v>
      </c>
      <c r="G392" s="11">
        <v>2020</v>
      </c>
      <c r="H392" s="11" t="s">
        <v>17156</v>
      </c>
      <c r="I392" s="11" t="s">
        <v>17157</v>
      </c>
      <c r="J392" s="11" t="s">
        <v>3</v>
      </c>
      <c r="K392" s="404">
        <v>64800</v>
      </c>
      <c r="L392" s="11">
        <v>1</v>
      </c>
      <c r="M392" s="405">
        <v>64800</v>
      </c>
      <c r="N392" s="11" t="s">
        <v>20155</v>
      </c>
      <c r="O392" s="11" t="s">
        <v>20161</v>
      </c>
      <c r="P392" s="872">
        <v>43978</v>
      </c>
      <c r="Q392" s="423">
        <v>0</v>
      </c>
      <c r="R392" s="423">
        <v>40000</v>
      </c>
      <c r="S392" s="423">
        <v>0</v>
      </c>
      <c r="T392" s="423">
        <v>0</v>
      </c>
      <c r="U392" s="423">
        <v>40000</v>
      </c>
      <c r="V392" s="11" t="s">
        <v>20155</v>
      </c>
      <c r="W392" s="407">
        <v>0</v>
      </c>
      <c r="X392" s="407">
        <v>64800</v>
      </c>
      <c r="Y392" s="407">
        <v>0</v>
      </c>
      <c r="Z392" s="407">
        <v>0</v>
      </c>
      <c r="AA392" s="408"/>
      <c r="AB392" s="408">
        <v>1.62</v>
      </c>
      <c r="AC392" s="408"/>
      <c r="AD392" s="408"/>
      <c r="AE392" s="409"/>
      <c r="AF392" s="410">
        <v>0</v>
      </c>
      <c r="AG392" s="410">
        <v>0</v>
      </c>
      <c r="AH392" s="411">
        <v>0</v>
      </c>
      <c r="AI392" s="412">
        <v>1.62</v>
      </c>
      <c r="AJ392" s="411">
        <v>0</v>
      </c>
      <c r="AK392" s="411">
        <v>0</v>
      </c>
      <c r="AL392" s="18"/>
      <c r="AM392" s="49"/>
      <c r="AN392" s="2"/>
      <c r="AO392" s="2"/>
    </row>
    <row r="393" spans="1:41" hidden="1">
      <c r="A393" s="14">
        <v>122</v>
      </c>
      <c r="B393" s="11" t="s">
        <v>134</v>
      </c>
      <c r="C393" s="14">
        <v>0</v>
      </c>
      <c r="D393" s="11" t="s">
        <v>18038</v>
      </c>
      <c r="E393" s="11" t="s">
        <v>134</v>
      </c>
      <c r="F393" s="12">
        <v>43965</v>
      </c>
      <c r="G393" s="11">
        <v>2020</v>
      </c>
      <c r="H393" s="11" t="s">
        <v>16880</v>
      </c>
      <c r="I393" s="11" t="s">
        <v>16881</v>
      </c>
      <c r="J393" s="11" t="s">
        <v>16401</v>
      </c>
      <c r="K393" s="404">
        <v>56728.699000000001</v>
      </c>
      <c r="L393" s="11">
        <v>2.8672</v>
      </c>
      <c r="M393" s="405">
        <v>19785.400041852678</v>
      </c>
      <c r="N393" s="11" t="s">
        <v>20155</v>
      </c>
      <c r="O393" s="11" t="s">
        <v>20156</v>
      </c>
      <c r="P393" s="872">
        <v>43983</v>
      </c>
      <c r="Q393" s="423">
        <v>360</v>
      </c>
      <c r="R393" s="423">
        <v>16000</v>
      </c>
      <c r="S393" s="423">
        <v>0</v>
      </c>
      <c r="T393" s="423">
        <v>0</v>
      </c>
      <c r="U393" s="423">
        <v>16360</v>
      </c>
      <c r="V393" s="11" t="s">
        <v>20155</v>
      </c>
      <c r="W393" s="407">
        <v>1054.2155400000001</v>
      </c>
      <c r="X393" s="407">
        <v>56028.641999999993</v>
      </c>
      <c r="Y393" s="407">
        <v>0</v>
      </c>
      <c r="Z393" s="407">
        <v>0</v>
      </c>
      <c r="AA393" s="408">
        <v>2.9283765000000006</v>
      </c>
      <c r="AB393" s="408">
        <v>3.5017901249999994</v>
      </c>
      <c r="AC393" s="408"/>
      <c r="AD393" s="408"/>
      <c r="AE393" s="409"/>
      <c r="AF393" s="410">
        <v>1542.34</v>
      </c>
      <c r="AG393" s="410">
        <v>9.4275061124694373E-2</v>
      </c>
      <c r="AH393" s="411">
        <v>2.8341014388753063</v>
      </c>
      <c r="AI393" s="412">
        <v>3.4075150638753051</v>
      </c>
      <c r="AJ393" s="411">
        <v>0</v>
      </c>
      <c r="AK393" s="411">
        <v>0</v>
      </c>
      <c r="AL393" s="18"/>
      <c r="AM393" s="49"/>
      <c r="AN393" s="2"/>
      <c r="AO393" s="2"/>
    </row>
    <row r="394" spans="1:41" hidden="1">
      <c r="A394" s="14">
        <v>123</v>
      </c>
      <c r="B394" s="11" t="s">
        <v>135</v>
      </c>
      <c r="C394" s="14">
        <v>0</v>
      </c>
      <c r="D394" s="11" t="s">
        <v>18040</v>
      </c>
      <c r="E394" s="11" t="s">
        <v>135</v>
      </c>
      <c r="F394" s="12">
        <v>43965</v>
      </c>
      <c r="G394" s="11">
        <v>2020</v>
      </c>
      <c r="H394" s="11" t="s">
        <v>16972</v>
      </c>
      <c r="I394" s="11" t="s">
        <v>16973</v>
      </c>
      <c r="J394" s="11" t="s">
        <v>3</v>
      </c>
      <c r="K394" s="404">
        <v>97500</v>
      </c>
      <c r="L394" s="11">
        <v>1</v>
      </c>
      <c r="M394" s="405">
        <v>97500</v>
      </c>
      <c r="N394" s="11" t="s">
        <v>20155</v>
      </c>
      <c r="O394" s="11" t="s">
        <v>17801</v>
      </c>
      <c r="P394" s="872">
        <v>43990</v>
      </c>
      <c r="Q394" s="423">
        <v>0</v>
      </c>
      <c r="R394" s="423">
        <v>78000</v>
      </c>
      <c r="S394" s="423">
        <v>0</v>
      </c>
      <c r="T394" s="423">
        <v>0</v>
      </c>
      <c r="U394" s="423">
        <v>78000</v>
      </c>
      <c r="V394" s="11" t="s">
        <v>20155</v>
      </c>
      <c r="W394" s="407">
        <v>0</v>
      </c>
      <c r="X394" s="407">
        <v>97500</v>
      </c>
      <c r="Y394" s="407">
        <v>0</v>
      </c>
      <c r="Z394" s="407">
        <v>0</v>
      </c>
      <c r="AA394" s="408"/>
      <c r="AB394" s="408">
        <v>1.25</v>
      </c>
      <c r="AC394" s="408"/>
      <c r="AD394" s="408"/>
      <c r="AE394" s="409"/>
      <c r="AF394" s="410">
        <v>0</v>
      </c>
      <c r="AG394" s="410">
        <v>0</v>
      </c>
      <c r="AH394" s="411">
        <v>0</v>
      </c>
      <c r="AI394" s="412">
        <v>1.25</v>
      </c>
      <c r="AJ394" s="411">
        <v>0</v>
      </c>
      <c r="AK394" s="411">
        <v>0</v>
      </c>
      <c r="AL394" s="18"/>
      <c r="AM394" s="49"/>
      <c r="AN394" s="2"/>
      <c r="AO394" s="2"/>
    </row>
    <row r="395" spans="1:41" hidden="1">
      <c r="A395" s="14">
        <v>124</v>
      </c>
      <c r="B395" s="11" t="s">
        <v>136</v>
      </c>
      <c r="C395" s="14">
        <v>0</v>
      </c>
      <c r="D395" s="11" t="s">
        <v>18042</v>
      </c>
      <c r="E395" s="11" t="s">
        <v>136</v>
      </c>
      <c r="F395" s="12">
        <v>43969</v>
      </c>
      <c r="G395" s="11">
        <v>2020</v>
      </c>
      <c r="H395" s="11" t="s">
        <v>16444</v>
      </c>
      <c r="I395" s="11" t="s">
        <v>16445</v>
      </c>
      <c r="J395" s="11" t="s">
        <v>3</v>
      </c>
      <c r="K395" s="404">
        <v>33452.160000000003</v>
      </c>
      <c r="L395" s="11">
        <v>1</v>
      </c>
      <c r="M395" s="404">
        <v>33452.160000000003</v>
      </c>
      <c r="N395" s="11" t="s">
        <v>20155</v>
      </c>
      <c r="O395" s="11" t="s">
        <v>17801</v>
      </c>
      <c r="P395" s="872">
        <v>43978</v>
      </c>
      <c r="Q395" s="423">
        <v>22008</v>
      </c>
      <c r="R395" s="423">
        <v>0</v>
      </c>
      <c r="S395" s="423">
        <v>0</v>
      </c>
      <c r="T395" s="423">
        <v>0</v>
      </c>
      <c r="U395" s="423">
        <v>22008</v>
      </c>
      <c r="V395" s="11" t="s">
        <v>20155</v>
      </c>
      <c r="W395" s="407">
        <v>33452.160000000003</v>
      </c>
      <c r="X395" s="407">
        <v>0</v>
      </c>
      <c r="Y395" s="407">
        <v>0</v>
      </c>
      <c r="Z395" s="407">
        <v>0</v>
      </c>
      <c r="AA395" s="408">
        <v>1.5200000000000002</v>
      </c>
      <c r="AB395" s="408"/>
      <c r="AC395" s="408"/>
      <c r="AD395" s="408"/>
      <c r="AE395" s="409"/>
      <c r="AF395" s="410">
        <v>0</v>
      </c>
      <c r="AG395" s="410">
        <v>0</v>
      </c>
      <c r="AH395" s="411">
        <v>0</v>
      </c>
      <c r="AI395" s="411">
        <v>0</v>
      </c>
      <c r="AJ395" s="411">
        <v>0</v>
      </c>
      <c r="AK395" s="411">
        <v>0</v>
      </c>
      <c r="AL395" s="18"/>
      <c r="AM395" s="49"/>
      <c r="AN395" s="2"/>
      <c r="AO395" s="2"/>
    </row>
    <row r="396" spans="1:41" hidden="1">
      <c r="A396" s="14">
        <v>125</v>
      </c>
      <c r="B396" s="11" t="s">
        <v>137</v>
      </c>
      <c r="C396" s="14">
        <v>0</v>
      </c>
      <c r="D396" s="11" t="s">
        <v>18043</v>
      </c>
      <c r="E396" s="11" t="s">
        <v>137</v>
      </c>
      <c r="F396" s="12">
        <v>43969</v>
      </c>
      <c r="G396" s="11">
        <v>2020</v>
      </c>
      <c r="H396" s="11" t="s">
        <v>17017</v>
      </c>
      <c r="I396" s="11" t="s">
        <v>17018</v>
      </c>
      <c r="J396" s="11" t="s">
        <v>3</v>
      </c>
      <c r="K396" s="404">
        <v>26368.32</v>
      </c>
      <c r="L396" s="11">
        <v>1</v>
      </c>
      <c r="M396" s="404">
        <v>26368.32</v>
      </c>
      <c r="N396" s="11" t="s">
        <v>20155</v>
      </c>
      <c r="O396" s="11" t="s">
        <v>17238</v>
      </c>
      <c r="P396" s="872">
        <v>43978</v>
      </c>
      <c r="Q396" s="423">
        <v>0</v>
      </c>
      <c r="R396" s="423">
        <v>4994</v>
      </c>
      <c r="S396" s="423">
        <v>9988</v>
      </c>
      <c r="T396" s="423">
        <v>0</v>
      </c>
      <c r="U396" s="423">
        <v>14982</v>
      </c>
      <c r="V396" s="11" t="s">
        <v>20155</v>
      </c>
      <c r="W396" s="407">
        <v>0</v>
      </c>
      <c r="X396" s="407">
        <v>9138.8032000000003</v>
      </c>
      <c r="Y396" s="407">
        <v>17229.3</v>
      </c>
      <c r="Z396" s="407">
        <v>0</v>
      </c>
      <c r="AA396" s="431"/>
      <c r="AB396" s="408">
        <v>1.8299565879054867</v>
      </c>
      <c r="AC396" s="408">
        <v>1.7250000000000001</v>
      </c>
      <c r="AD396" s="408"/>
      <c r="AE396" s="409"/>
      <c r="AF396" s="410">
        <v>0</v>
      </c>
      <c r="AG396" s="410">
        <v>0</v>
      </c>
      <c r="AH396" s="411">
        <v>0</v>
      </c>
      <c r="AI396" s="412">
        <v>1.8299565879054867</v>
      </c>
      <c r="AJ396" s="411">
        <v>1.7250000000000001</v>
      </c>
      <c r="AK396" s="411">
        <v>0</v>
      </c>
      <c r="AL396" s="18"/>
      <c r="AM396" s="49"/>
      <c r="AN396" s="2"/>
      <c r="AO396" s="2"/>
    </row>
    <row r="397" spans="1:41" hidden="1">
      <c r="A397" s="14">
        <v>126</v>
      </c>
      <c r="B397" s="11" t="s">
        <v>138</v>
      </c>
      <c r="C397" s="14">
        <v>0</v>
      </c>
      <c r="D397" s="11" t="s">
        <v>18044</v>
      </c>
      <c r="E397" s="11" t="s">
        <v>138</v>
      </c>
      <c r="F397" s="12">
        <v>43969</v>
      </c>
      <c r="G397" s="11">
        <v>2020</v>
      </c>
      <c r="H397" s="11" t="s">
        <v>16444</v>
      </c>
      <c r="I397" s="11" t="s">
        <v>16445</v>
      </c>
      <c r="J397" s="11" t="s">
        <v>3</v>
      </c>
      <c r="K397" s="404">
        <v>33264</v>
      </c>
      <c r="L397" s="11">
        <v>1</v>
      </c>
      <c r="M397" s="404">
        <v>33264</v>
      </c>
      <c r="N397" s="11" t="s">
        <v>20155</v>
      </c>
      <c r="O397" s="11" t="s">
        <v>17693</v>
      </c>
      <c r="P397" s="872">
        <v>43978</v>
      </c>
      <c r="Q397" s="423">
        <v>21600</v>
      </c>
      <c r="R397" s="423">
        <v>0</v>
      </c>
      <c r="S397" s="423">
        <v>0</v>
      </c>
      <c r="T397" s="423">
        <v>0</v>
      </c>
      <c r="U397" s="423">
        <v>21600</v>
      </c>
      <c r="V397" s="11" t="s">
        <v>20155</v>
      </c>
      <c r="W397" s="407">
        <v>33264</v>
      </c>
      <c r="X397" s="407">
        <v>0</v>
      </c>
      <c r="Y397" s="407">
        <v>0</v>
      </c>
      <c r="Z397" s="407">
        <v>0</v>
      </c>
      <c r="AA397" s="408">
        <v>1.54</v>
      </c>
      <c r="AB397" s="408"/>
      <c r="AC397" s="408"/>
      <c r="AD397" s="408"/>
      <c r="AE397" s="409"/>
      <c r="AF397" s="410">
        <v>0</v>
      </c>
      <c r="AG397" s="410">
        <v>0</v>
      </c>
      <c r="AH397" s="411">
        <v>0</v>
      </c>
      <c r="AI397" s="411">
        <v>0</v>
      </c>
      <c r="AJ397" s="411">
        <v>0</v>
      </c>
      <c r="AK397" s="411">
        <v>0</v>
      </c>
      <c r="AL397" s="18"/>
      <c r="AM397" s="49"/>
      <c r="AN397" s="2"/>
      <c r="AO397" s="2"/>
    </row>
    <row r="398" spans="1:41" hidden="1">
      <c r="A398" s="14">
        <v>127</v>
      </c>
      <c r="B398" s="11" t="s">
        <v>139</v>
      </c>
      <c r="C398" s="14">
        <v>0</v>
      </c>
      <c r="D398" s="11" t="s">
        <v>18045</v>
      </c>
      <c r="E398" s="11" t="s">
        <v>139</v>
      </c>
      <c r="F398" s="12">
        <v>43969</v>
      </c>
      <c r="G398" s="11">
        <v>2020</v>
      </c>
      <c r="H398" s="11" t="s">
        <v>16904</v>
      </c>
      <c r="I398" s="11" t="s">
        <v>16905</v>
      </c>
      <c r="J398" s="11" t="s">
        <v>16482</v>
      </c>
      <c r="K398" s="404">
        <v>51733.972000000002</v>
      </c>
      <c r="L398" s="11">
        <v>3.1659000000000002</v>
      </c>
      <c r="M398" s="405">
        <v>16341.000031586595</v>
      </c>
      <c r="N398" s="11" t="s">
        <v>20155</v>
      </c>
      <c r="O398" s="11" t="s">
        <v>20160</v>
      </c>
      <c r="P398" s="872">
        <v>43973</v>
      </c>
      <c r="Q398" s="423">
        <v>0</v>
      </c>
      <c r="R398" s="423">
        <v>18900</v>
      </c>
      <c r="S398" s="423">
        <v>8400</v>
      </c>
      <c r="T398" s="423">
        <v>0</v>
      </c>
      <c r="U398" s="423">
        <v>27300</v>
      </c>
      <c r="V398" s="11" t="s">
        <v>20155</v>
      </c>
      <c r="W398" s="407">
        <v>0</v>
      </c>
      <c r="X398" s="407">
        <v>29319.399899999993</v>
      </c>
      <c r="Y398" s="407">
        <v>12916.871999999999</v>
      </c>
      <c r="Z398" s="407">
        <v>0</v>
      </c>
      <c r="AA398" s="408"/>
      <c r="AB398" s="408">
        <v>1.5512909999999995</v>
      </c>
      <c r="AC398" s="408">
        <v>1.5377228571428572</v>
      </c>
      <c r="AD398" s="408"/>
      <c r="AE398" s="409"/>
      <c r="AF398" s="410">
        <v>10662.09</v>
      </c>
      <c r="AG398" s="410">
        <v>0.39055274725274725</v>
      </c>
      <c r="AH398" s="411"/>
      <c r="AI398" s="412">
        <v>1.1607382527472523</v>
      </c>
      <c r="AJ398" s="411">
        <v>1.1471701098901099</v>
      </c>
      <c r="AK398" s="411"/>
      <c r="AL398" s="18"/>
      <c r="AM398" s="49"/>
      <c r="AN398" s="2"/>
      <c r="AO398" s="2"/>
    </row>
    <row r="399" spans="1:41" hidden="1">
      <c r="A399" s="14">
        <v>128</v>
      </c>
      <c r="B399" s="11" t="s">
        <v>140</v>
      </c>
      <c r="C399" s="14">
        <v>0</v>
      </c>
      <c r="D399" s="21" t="s">
        <v>18047</v>
      </c>
      <c r="E399" s="11" t="s">
        <v>140</v>
      </c>
      <c r="F399" s="12">
        <v>43969</v>
      </c>
      <c r="G399" s="11">
        <v>2020</v>
      </c>
      <c r="H399" s="11" t="s">
        <v>16904</v>
      </c>
      <c r="I399" s="11" t="s">
        <v>16905</v>
      </c>
      <c r="J399" s="11" t="s">
        <v>16482</v>
      </c>
      <c r="K399" s="404">
        <v>51751.828000000001</v>
      </c>
      <c r="L399" s="11">
        <v>3.1659000000000002</v>
      </c>
      <c r="M399" s="405">
        <v>16346.640133927162</v>
      </c>
      <c r="N399" s="11" t="s">
        <v>20155</v>
      </c>
      <c r="O399" s="11" t="s">
        <v>20160</v>
      </c>
      <c r="P399" s="872">
        <v>43973</v>
      </c>
      <c r="Q399" s="423">
        <v>0</v>
      </c>
      <c r="R399" s="423">
        <v>18936</v>
      </c>
      <c r="S399" s="423">
        <v>8400</v>
      </c>
      <c r="T399" s="423">
        <v>0</v>
      </c>
      <c r="U399" s="423">
        <v>27336</v>
      </c>
      <c r="V399" s="11" t="s">
        <v>20155</v>
      </c>
      <c r="W399" s="407">
        <v>0</v>
      </c>
      <c r="X399" s="407">
        <v>29375.246375999999</v>
      </c>
      <c r="Y399" s="407">
        <v>12878.881199999998</v>
      </c>
      <c r="Z399" s="407">
        <v>0</v>
      </c>
      <c r="AA399" s="408"/>
      <c r="AB399" s="408">
        <v>1.551291</v>
      </c>
      <c r="AC399" s="408">
        <v>1.5332001428571427</v>
      </c>
      <c r="AD399" s="408"/>
      <c r="AE399" s="409"/>
      <c r="AF399" s="410">
        <v>10662.09</v>
      </c>
      <c r="AG399" s="410">
        <v>0.39003841088674274</v>
      </c>
      <c r="AH399" s="411">
        <v>0</v>
      </c>
      <c r="AI399" s="412">
        <v>1.1612525891132572</v>
      </c>
      <c r="AJ399" s="411">
        <v>1.1431617319703999</v>
      </c>
      <c r="AK399" s="411">
        <v>0</v>
      </c>
      <c r="AL399" s="18"/>
      <c r="AM399" s="49"/>
      <c r="AN399" s="2"/>
      <c r="AO399" s="2"/>
    </row>
    <row r="400" spans="1:41" hidden="1">
      <c r="A400" s="14">
        <v>129</v>
      </c>
      <c r="B400" s="11" t="s">
        <v>141</v>
      </c>
      <c r="C400" s="14">
        <v>0</v>
      </c>
      <c r="D400" s="11" t="s">
        <v>18049</v>
      </c>
      <c r="E400" s="11" t="s">
        <v>141</v>
      </c>
      <c r="F400" s="12">
        <v>43969</v>
      </c>
      <c r="G400" s="11">
        <v>2020</v>
      </c>
      <c r="H400" s="11" t="s">
        <v>17017</v>
      </c>
      <c r="I400" s="11" t="s">
        <v>17018</v>
      </c>
      <c r="J400" s="11" t="s">
        <v>3</v>
      </c>
      <c r="K400" s="404">
        <v>69275</v>
      </c>
      <c r="L400" s="11">
        <v>1</v>
      </c>
      <c r="M400" s="404">
        <v>69275</v>
      </c>
      <c r="N400" s="11" t="s">
        <v>20155</v>
      </c>
      <c r="O400" s="11" t="s">
        <v>17238</v>
      </c>
      <c r="P400" s="872">
        <v>43977</v>
      </c>
      <c r="Q400" s="423">
        <v>42500</v>
      </c>
      <c r="R400" s="423">
        <v>0</v>
      </c>
      <c r="S400" s="423">
        <v>0</v>
      </c>
      <c r="T400" s="423">
        <v>0</v>
      </c>
      <c r="U400" s="423">
        <v>42500</v>
      </c>
      <c r="V400" s="11" t="s">
        <v>20155</v>
      </c>
      <c r="W400" s="407">
        <v>69275</v>
      </c>
      <c r="X400" s="407">
        <v>0</v>
      </c>
      <c r="Y400" s="407">
        <v>0</v>
      </c>
      <c r="Z400" s="407">
        <v>0</v>
      </c>
      <c r="AA400" s="431">
        <v>1.63</v>
      </c>
      <c r="AB400" s="408"/>
      <c r="AC400" s="408"/>
      <c r="AD400" s="408"/>
      <c r="AE400" s="409"/>
      <c r="AF400" s="410">
        <v>0</v>
      </c>
      <c r="AG400" s="410">
        <v>0</v>
      </c>
      <c r="AH400" s="411">
        <v>1.63</v>
      </c>
      <c r="AI400" s="411">
        <v>0</v>
      </c>
      <c r="AJ400" s="411">
        <v>0</v>
      </c>
      <c r="AK400" s="411">
        <v>0</v>
      </c>
      <c r="AL400" s="18"/>
      <c r="AM400" s="49"/>
      <c r="AN400" s="2"/>
      <c r="AO400" s="2"/>
    </row>
    <row r="401" spans="1:41" hidden="1">
      <c r="A401" s="14">
        <v>130</v>
      </c>
      <c r="B401" s="11" t="s">
        <v>142</v>
      </c>
      <c r="C401" s="14">
        <v>0</v>
      </c>
      <c r="D401" s="11" t="s">
        <v>18050</v>
      </c>
      <c r="E401" s="11" t="s">
        <v>142</v>
      </c>
      <c r="F401" s="12">
        <v>43973</v>
      </c>
      <c r="G401" s="11">
        <v>2020</v>
      </c>
      <c r="H401" s="11" t="s">
        <v>16838</v>
      </c>
      <c r="I401" s="11" t="s">
        <v>16839</v>
      </c>
      <c r="J401" s="11" t="s">
        <v>3</v>
      </c>
      <c r="K401" s="404">
        <v>145784</v>
      </c>
      <c r="L401" s="11">
        <v>1</v>
      </c>
      <c r="M401" s="404">
        <v>145784</v>
      </c>
      <c r="N401" s="11" t="s">
        <v>20155</v>
      </c>
      <c r="O401" s="11" t="s">
        <v>17771</v>
      </c>
      <c r="P401" s="872" t="s">
        <v>20285</v>
      </c>
      <c r="Q401" s="423">
        <v>0</v>
      </c>
      <c r="R401" s="423">
        <v>19800</v>
      </c>
      <c r="S401" s="423">
        <v>84000</v>
      </c>
      <c r="T401" s="423">
        <v>0</v>
      </c>
      <c r="U401" s="423">
        <v>103800</v>
      </c>
      <c r="V401" s="11" t="s">
        <v>20155</v>
      </c>
      <c r="W401" s="407">
        <v>0</v>
      </c>
      <c r="X401" s="407">
        <v>29304</v>
      </c>
      <c r="Y401" s="407">
        <v>116480</v>
      </c>
      <c r="Z401" s="407">
        <v>0</v>
      </c>
      <c r="AA401" s="408"/>
      <c r="AB401" s="408">
        <v>1.48</v>
      </c>
      <c r="AC401" s="408">
        <v>1.3866666666666667</v>
      </c>
      <c r="AD401" s="408"/>
      <c r="AE401" s="409"/>
      <c r="AF401" s="410">
        <v>0</v>
      </c>
      <c r="AG401" s="410">
        <v>0</v>
      </c>
      <c r="AH401" s="411">
        <v>0</v>
      </c>
      <c r="AI401" s="412">
        <v>1.48</v>
      </c>
      <c r="AJ401" s="411">
        <v>1.3866666666666667</v>
      </c>
      <c r="AK401" s="411">
        <v>0</v>
      </c>
      <c r="AL401" s="18"/>
      <c r="AM401" s="49"/>
      <c r="AN401" s="2"/>
      <c r="AO401" s="2"/>
    </row>
    <row r="402" spans="1:41" hidden="1">
      <c r="A402" s="14">
        <v>131</v>
      </c>
      <c r="B402" s="11" t="s">
        <v>143</v>
      </c>
      <c r="C402" s="14">
        <v>0</v>
      </c>
      <c r="D402" s="11" t="s">
        <v>18052</v>
      </c>
      <c r="E402" s="11" t="s">
        <v>143</v>
      </c>
      <c r="F402" s="12">
        <v>43973</v>
      </c>
      <c r="G402" s="11">
        <v>2020</v>
      </c>
      <c r="H402" s="11" t="s">
        <v>16838</v>
      </c>
      <c r="I402" s="11" t="s">
        <v>16839</v>
      </c>
      <c r="J402" s="11" t="s">
        <v>3</v>
      </c>
      <c r="K402" s="404">
        <v>107424</v>
      </c>
      <c r="L402" s="11">
        <v>1</v>
      </c>
      <c r="M402" s="404">
        <v>107424</v>
      </c>
      <c r="N402" s="11" t="s">
        <v>20155</v>
      </c>
      <c r="O402" s="11" t="s">
        <v>17771</v>
      </c>
      <c r="P402" s="872">
        <v>43983</v>
      </c>
      <c r="Q402" s="423">
        <v>0</v>
      </c>
      <c r="R402" s="423">
        <v>19800</v>
      </c>
      <c r="S402" s="423">
        <v>56000</v>
      </c>
      <c r="T402" s="423">
        <v>0</v>
      </c>
      <c r="U402" s="423">
        <v>75800</v>
      </c>
      <c r="V402" s="11" t="s">
        <v>20155</v>
      </c>
      <c r="W402" s="407">
        <v>0</v>
      </c>
      <c r="X402" s="407">
        <v>29304</v>
      </c>
      <c r="Y402" s="407">
        <v>78120</v>
      </c>
      <c r="Z402" s="407">
        <v>0</v>
      </c>
      <c r="AA402" s="408"/>
      <c r="AB402" s="408">
        <v>1.48</v>
      </c>
      <c r="AC402" s="408">
        <v>1.4466666666666668</v>
      </c>
      <c r="AD402" s="408"/>
      <c r="AE402" s="409"/>
      <c r="AF402" s="410">
        <v>0</v>
      </c>
      <c r="AG402" s="410">
        <v>0</v>
      </c>
      <c r="AH402" s="411">
        <v>0</v>
      </c>
      <c r="AI402" s="412">
        <v>1.48</v>
      </c>
      <c r="AJ402" s="411">
        <v>1.4466666666666668</v>
      </c>
      <c r="AK402" s="411">
        <v>0</v>
      </c>
      <c r="AL402" s="18"/>
      <c r="AM402" s="49"/>
      <c r="AN402" s="2"/>
      <c r="AO402" s="2"/>
    </row>
    <row r="403" spans="1:41" hidden="1">
      <c r="A403" s="14">
        <v>132</v>
      </c>
      <c r="B403" s="11" t="s">
        <v>144</v>
      </c>
      <c r="C403" s="14">
        <v>0</v>
      </c>
      <c r="D403" s="11" t="s">
        <v>18054</v>
      </c>
      <c r="E403" s="11" t="s">
        <v>144</v>
      </c>
      <c r="F403" s="12">
        <v>43973</v>
      </c>
      <c r="G403" s="11">
        <v>2020</v>
      </c>
      <c r="H403" s="11" t="s">
        <v>16838</v>
      </c>
      <c r="I403" s="11" t="s">
        <v>16839</v>
      </c>
      <c r="J403" s="11" t="s">
        <v>3</v>
      </c>
      <c r="K403" s="404">
        <v>90432</v>
      </c>
      <c r="L403" s="11">
        <v>1</v>
      </c>
      <c r="M403" s="404">
        <v>90432</v>
      </c>
      <c r="N403" s="11" t="s">
        <v>20155</v>
      </c>
      <c r="O403" s="11" t="s">
        <v>17949</v>
      </c>
      <c r="P403" s="872">
        <v>43980</v>
      </c>
      <c r="Q403" s="423">
        <v>57600</v>
      </c>
      <c r="R403" s="423">
        <v>0</v>
      </c>
      <c r="S403" s="423">
        <v>0</v>
      </c>
      <c r="T403" s="423">
        <v>0</v>
      </c>
      <c r="U403" s="423">
        <v>57600</v>
      </c>
      <c r="V403" s="11" t="s">
        <v>20155</v>
      </c>
      <c r="W403" s="407">
        <v>90432</v>
      </c>
      <c r="X403" s="407">
        <v>0</v>
      </c>
      <c r="Y403" s="407">
        <v>0</v>
      </c>
      <c r="Z403" s="407">
        <v>0</v>
      </c>
      <c r="AA403" s="408">
        <v>1.57</v>
      </c>
      <c r="AB403" s="408"/>
      <c r="AC403" s="408"/>
      <c r="AD403" s="408"/>
      <c r="AE403" s="409"/>
      <c r="AF403" s="410">
        <v>0</v>
      </c>
      <c r="AG403" s="410">
        <v>0</v>
      </c>
      <c r="AH403" s="411">
        <v>1.57</v>
      </c>
      <c r="AI403" s="411">
        <v>0</v>
      </c>
      <c r="AJ403" s="411">
        <v>0</v>
      </c>
      <c r="AK403" s="411">
        <v>0</v>
      </c>
      <c r="AL403" s="18"/>
      <c r="AM403" s="49"/>
      <c r="AN403" s="2"/>
      <c r="AO403" s="2"/>
    </row>
    <row r="404" spans="1:41" hidden="1">
      <c r="A404" s="14">
        <v>133</v>
      </c>
      <c r="B404" s="11" t="s">
        <v>145</v>
      </c>
      <c r="C404" s="14">
        <v>0</v>
      </c>
      <c r="D404" s="11" t="s">
        <v>18055</v>
      </c>
      <c r="E404" s="11" t="s">
        <v>145</v>
      </c>
      <c r="F404" s="12">
        <v>43978</v>
      </c>
      <c r="G404" s="11">
        <v>2020</v>
      </c>
      <c r="H404" s="11" t="s">
        <v>16838</v>
      </c>
      <c r="I404" s="11" t="s">
        <v>16839</v>
      </c>
      <c r="J404" s="11" t="s">
        <v>3</v>
      </c>
      <c r="K404" s="404">
        <v>115080</v>
      </c>
      <c r="L404" s="11">
        <v>1</v>
      </c>
      <c r="M404" s="404">
        <v>115080</v>
      </c>
      <c r="N404" s="11" t="s">
        <v>20155</v>
      </c>
      <c r="O404" s="11" t="s">
        <v>17771</v>
      </c>
      <c r="P404" s="872">
        <v>44007</v>
      </c>
      <c r="Q404" s="423">
        <v>0</v>
      </c>
      <c r="R404" s="423">
        <v>0</v>
      </c>
      <c r="S404" s="423">
        <v>84000</v>
      </c>
      <c r="T404" s="423">
        <v>0</v>
      </c>
      <c r="U404" s="423">
        <v>84000</v>
      </c>
      <c r="V404" s="11" t="s">
        <v>20155</v>
      </c>
      <c r="W404" s="407">
        <v>0</v>
      </c>
      <c r="X404" s="407">
        <v>0</v>
      </c>
      <c r="Y404" s="407">
        <v>115080</v>
      </c>
      <c r="Z404" s="407">
        <v>0</v>
      </c>
      <c r="AA404" s="408"/>
      <c r="AB404" s="408"/>
      <c r="AC404" s="408">
        <v>1.37</v>
      </c>
      <c r="AD404" s="408"/>
      <c r="AE404" s="409"/>
      <c r="AF404" s="410">
        <v>0</v>
      </c>
      <c r="AG404" s="410">
        <v>0</v>
      </c>
      <c r="AH404" s="411">
        <v>0</v>
      </c>
      <c r="AI404" s="411">
        <v>0</v>
      </c>
      <c r="AJ404" s="411">
        <v>1.37</v>
      </c>
      <c r="AK404" s="411">
        <v>0</v>
      </c>
      <c r="AL404" s="18"/>
      <c r="AM404" s="49"/>
      <c r="AN404" s="2"/>
      <c r="AO404" s="2"/>
    </row>
    <row r="405" spans="1:41" hidden="1">
      <c r="A405" s="14">
        <v>134</v>
      </c>
      <c r="B405" s="11" t="s">
        <v>146</v>
      </c>
      <c r="C405" s="14">
        <v>0</v>
      </c>
      <c r="D405" s="11" t="s">
        <v>18056</v>
      </c>
      <c r="E405" s="11" t="s">
        <v>146</v>
      </c>
      <c r="F405" s="12">
        <v>43978</v>
      </c>
      <c r="G405" s="11">
        <v>2020</v>
      </c>
      <c r="H405" s="11" t="s">
        <v>16838</v>
      </c>
      <c r="I405" s="11" t="s">
        <v>16839</v>
      </c>
      <c r="J405" s="11" t="s">
        <v>3</v>
      </c>
      <c r="K405" s="404">
        <v>38360</v>
      </c>
      <c r="L405" s="11">
        <v>1</v>
      </c>
      <c r="M405" s="404">
        <v>38360</v>
      </c>
      <c r="N405" s="11" t="s">
        <v>20155</v>
      </c>
      <c r="O405" s="11" t="s">
        <v>17771</v>
      </c>
      <c r="P405" s="872">
        <v>44007</v>
      </c>
      <c r="Q405" s="423">
        <v>0</v>
      </c>
      <c r="R405" s="423">
        <v>0</v>
      </c>
      <c r="S405" s="423">
        <v>28000</v>
      </c>
      <c r="T405" s="423">
        <v>0</v>
      </c>
      <c r="U405" s="423">
        <v>28000</v>
      </c>
      <c r="V405" s="11" t="s">
        <v>20155</v>
      </c>
      <c r="W405" s="407">
        <v>0</v>
      </c>
      <c r="X405" s="407">
        <v>0</v>
      </c>
      <c r="Y405" s="407">
        <v>38360</v>
      </c>
      <c r="Z405" s="407">
        <v>0</v>
      </c>
      <c r="AA405" s="408"/>
      <c r="AB405" s="408"/>
      <c r="AC405" s="408">
        <v>1.37</v>
      </c>
      <c r="AD405" s="408"/>
      <c r="AE405" s="409"/>
      <c r="AF405" s="410">
        <v>0</v>
      </c>
      <c r="AG405" s="410">
        <v>0</v>
      </c>
      <c r="AH405" s="411">
        <v>0</v>
      </c>
      <c r="AI405" s="411">
        <v>0</v>
      </c>
      <c r="AJ405" s="411">
        <v>1.37</v>
      </c>
      <c r="AK405" s="411">
        <v>0</v>
      </c>
      <c r="AL405" s="18"/>
      <c r="AM405" s="49"/>
      <c r="AN405" s="2"/>
      <c r="AO405" s="2"/>
    </row>
    <row r="406" spans="1:41" hidden="1">
      <c r="A406" s="14">
        <v>135</v>
      </c>
      <c r="B406" s="11" t="s">
        <v>147</v>
      </c>
      <c r="C406" s="14">
        <v>0</v>
      </c>
      <c r="D406" s="11" t="s">
        <v>18057</v>
      </c>
      <c r="E406" s="11" t="s">
        <v>147</v>
      </c>
      <c r="F406" s="12">
        <v>43983</v>
      </c>
      <c r="G406" s="11">
        <v>2020</v>
      </c>
      <c r="H406" s="11" t="s">
        <v>16444</v>
      </c>
      <c r="I406" s="11" t="s">
        <v>16445</v>
      </c>
      <c r="J406" s="11" t="s">
        <v>3</v>
      </c>
      <c r="K406" s="404">
        <v>347200</v>
      </c>
      <c r="L406" s="11">
        <v>1</v>
      </c>
      <c r="M406" s="405">
        <v>347200</v>
      </c>
      <c r="N406" s="11" t="s">
        <v>20155</v>
      </c>
      <c r="O406" s="11" t="s">
        <v>17801</v>
      </c>
      <c r="P406" s="872" t="s">
        <v>20286</v>
      </c>
      <c r="Q406" s="423">
        <v>0</v>
      </c>
      <c r="R406" s="423">
        <v>0</v>
      </c>
      <c r="S406" s="423">
        <v>280000</v>
      </c>
      <c r="T406" s="423">
        <v>0</v>
      </c>
      <c r="U406" s="423">
        <v>280000</v>
      </c>
      <c r="V406" s="11" t="s">
        <v>20155</v>
      </c>
      <c r="W406" s="407">
        <v>0</v>
      </c>
      <c r="X406" s="407">
        <v>0</v>
      </c>
      <c r="Y406" s="407">
        <v>347200</v>
      </c>
      <c r="Z406" s="407">
        <v>0</v>
      </c>
      <c r="AA406" s="408"/>
      <c r="AB406" s="408"/>
      <c r="AC406" s="408">
        <v>1.24</v>
      </c>
      <c r="AD406" s="408"/>
      <c r="AE406" s="409"/>
      <c r="AF406" s="410">
        <v>0</v>
      </c>
      <c r="AG406" s="410">
        <v>0</v>
      </c>
      <c r="AH406" s="411">
        <v>0</v>
      </c>
      <c r="AI406" s="411">
        <v>0</v>
      </c>
      <c r="AJ406" s="411">
        <v>1.24</v>
      </c>
      <c r="AK406" s="411">
        <v>0</v>
      </c>
      <c r="AL406" s="18"/>
      <c r="AM406" s="49"/>
      <c r="AN406" s="2"/>
      <c r="AO406" s="2"/>
    </row>
    <row r="407" spans="1:41" hidden="1">
      <c r="A407" s="14">
        <v>136</v>
      </c>
      <c r="B407" s="11" t="s">
        <v>148</v>
      </c>
      <c r="C407" s="14">
        <v>0</v>
      </c>
      <c r="D407" s="11" t="s">
        <v>18058</v>
      </c>
      <c r="E407" s="11" t="s">
        <v>148</v>
      </c>
      <c r="F407" s="12">
        <v>43983</v>
      </c>
      <c r="G407" s="11">
        <v>2020</v>
      </c>
      <c r="H407" s="11" t="s">
        <v>16384</v>
      </c>
      <c r="I407" s="11" t="s">
        <v>16385</v>
      </c>
      <c r="J407" s="11" t="s">
        <v>3</v>
      </c>
      <c r="K407" s="404">
        <v>90432</v>
      </c>
      <c r="L407" s="11">
        <v>1</v>
      </c>
      <c r="M407" s="404">
        <v>90432</v>
      </c>
      <c r="N407" s="11" t="s">
        <v>20155</v>
      </c>
      <c r="O407" s="11" t="s">
        <v>18248</v>
      </c>
      <c r="P407" s="872" t="s">
        <v>20287</v>
      </c>
      <c r="Q407" s="423">
        <v>57600</v>
      </c>
      <c r="R407" s="423">
        <v>0</v>
      </c>
      <c r="S407" s="423">
        <v>0</v>
      </c>
      <c r="T407" s="423">
        <v>0</v>
      </c>
      <c r="U407" s="423">
        <v>57600</v>
      </c>
      <c r="V407" s="11" t="s">
        <v>20155</v>
      </c>
      <c r="W407" s="407">
        <v>90432</v>
      </c>
      <c r="X407" s="407">
        <v>0</v>
      </c>
      <c r="Y407" s="407">
        <v>0</v>
      </c>
      <c r="Z407" s="407">
        <v>0</v>
      </c>
      <c r="AA407" s="408">
        <v>1.57</v>
      </c>
      <c r="AB407" s="408"/>
      <c r="AC407" s="408"/>
      <c r="AD407" s="408"/>
      <c r="AE407" s="409"/>
      <c r="AF407" s="410">
        <v>0</v>
      </c>
      <c r="AG407" s="410">
        <v>0</v>
      </c>
      <c r="AH407" s="411">
        <v>1.57</v>
      </c>
      <c r="AI407" s="411">
        <v>0</v>
      </c>
      <c r="AJ407" s="411">
        <v>0</v>
      </c>
      <c r="AK407" s="411">
        <v>0</v>
      </c>
      <c r="AL407" s="18"/>
      <c r="AM407" s="49"/>
      <c r="AN407" s="2"/>
      <c r="AO407" s="2"/>
    </row>
    <row r="408" spans="1:41" hidden="1">
      <c r="A408" s="14">
        <v>137</v>
      </c>
      <c r="B408" s="11" t="s">
        <v>149</v>
      </c>
      <c r="C408" s="14">
        <v>0</v>
      </c>
      <c r="D408" s="11" t="s">
        <v>18059</v>
      </c>
      <c r="E408" s="11" t="s">
        <v>149</v>
      </c>
      <c r="F408" s="12">
        <v>43983</v>
      </c>
      <c r="G408" s="11">
        <v>2020</v>
      </c>
      <c r="H408" s="11" t="s">
        <v>17156</v>
      </c>
      <c r="I408" s="11" t="s">
        <v>17157</v>
      </c>
      <c r="J408" s="11" t="s">
        <v>3</v>
      </c>
      <c r="K408" s="404">
        <v>34800</v>
      </c>
      <c r="L408" s="11">
        <v>1</v>
      </c>
      <c r="M408" s="404">
        <v>34800</v>
      </c>
      <c r="N408" s="11" t="s">
        <v>20155</v>
      </c>
      <c r="O408" s="11" t="s">
        <v>20161</v>
      </c>
      <c r="P408" s="872" t="s">
        <v>20287</v>
      </c>
      <c r="Q408" s="423">
        <v>20000</v>
      </c>
      <c r="R408" s="423">
        <v>0</v>
      </c>
      <c r="S408" s="423">
        <v>0</v>
      </c>
      <c r="T408" s="423">
        <v>0</v>
      </c>
      <c r="U408" s="423">
        <v>20000</v>
      </c>
      <c r="V408" s="11" t="s">
        <v>20155</v>
      </c>
      <c r="W408" s="407">
        <v>34800</v>
      </c>
      <c r="X408" s="407">
        <v>0</v>
      </c>
      <c r="Y408" s="407">
        <v>0</v>
      </c>
      <c r="Z408" s="407">
        <v>0</v>
      </c>
      <c r="AA408" s="408">
        <v>1.74</v>
      </c>
      <c r="AB408" s="408"/>
      <c r="AC408" s="408"/>
      <c r="AD408" s="408"/>
      <c r="AE408" s="409"/>
      <c r="AF408" s="410">
        <v>0</v>
      </c>
      <c r="AG408" s="410">
        <v>0</v>
      </c>
      <c r="AH408" s="411">
        <v>1.74</v>
      </c>
      <c r="AI408" s="411">
        <v>0</v>
      </c>
      <c r="AJ408" s="411">
        <v>0</v>
      </c>
      <c r="AK408" s="411">
        <v>0</v>
      </c>
      <c r="AL408" s="18"/>
      <c r="AM408" s="49"/>
      <c r="AN408" s="2"/>
      <c r="AO408" s="2"/>
    </row>
    <row r="409" spans="1:41" hidden="1">
      <c r="A409" s="14">
        <v>138</v>
      </c>
      <c r="B409" s="11" t="s">
        <v>150</v>
      </c>
      <c r="C409" s="14">
        <v>0</v>
      </c>
      <c r="D409" s="11" t="s">
        <v>18061</v>
      </c>
      <c r="E409" s="11" t="s">
        <v>150</v>
      </c>
      <c r="F409" s="12">
        <v>43983</v>
      </c>
      <c r="G409" s="11">
        <v>2020</v>
      </c>
      <c r="H409" s="11" t="s">
        <v>16957</v>
      </c>
      <c r="I409" s="11" t="s">
        <v>16958</v>
      </c>
      <c r="J409" s="11" t="s">
        <v>16401</v>
      </c>
      <c r="K409" s="404">
        <v>80761.98</v>
      </c>
      <c r="L409" s="11">
        <v>2.8639000000000001</v>
      </c>
      <c r="M409" s="404">
        <v>28199.999999999996</v>
      </c>
      <c r="N409" s="11" t="s">
        <v>20155</v>
      </c>
      <c r="O409" s="11" t="s">
        <v>20161</v>
      </c>
      <c r="P409" s="872">
        <v>44002</v>
      </c>
      <c r="Q409" s="423">
        <v>40000</v>
      </c>
      <c r="R409" s="423">
        <v>0</v>
      </c>
      <c r="S409" s="423">
        <v>0</v>
      </c>
      <c r="T409" s="423">
        <v>0</v>
      </c>
      <c r="U409" s="423">
        <v>40000</v>
      </c>
      <c r="V409" s="11" t="s">
        <v>20155</v>
      </c>
      <c r="W409" s="407">
        <v>80761.98</v>
      </c>
      <c r="X409" s="407">
        <v>0</v>
      </c>
      <c r="Y409" s="407">
        <v>0</v>
      </c>
      <c r="Z409" s="407">
        <v>0</v>
      </c>
      <c r="AA409" s="408">
        <v>2.0190494999999999</v>
      </c>
      <c r="AB409" s="408"/>
      <c r="AC409" s="408"/>
      <c r="AD409" s="408"/>
      <c r="AE409" s="409"/>
      <c r="AF409" s="410">
        <v>9592.7999999999993</v>
      </c>
      <c r="AG409" s="410">
        <v>0.23981999999999998</v>
      </c>
      <c r="AH409" s="411">
        <v>1.7792295</v>
      </c>
      <c r="AI409" s="411">
        <v>0</v>
      </c>
      <c r="AJ409" s="411">
        <v>0</v>
      </c>
      <c r="AK409" s="411">
        <v>0</v>
      </c>
      <c r="AL409" s="18"/>
      <c r="AM409" s="49"/>
      <c r="AN409" s="2"/>
      <c r="AO409" s="2"/>
    </row>
    <row r="410" spans="1:41" hidden="1">
      <c r="A410" s="14">
        <v>139</v>
      </c>
      <c r="B410" s="11" t="s">
        <v>151</v>
      </c>
      <c r="C410" s="14">
        <v>0</v>
      </c>
      <c r="D410" s="11" t="s">
        <v>18063</v>
      </c>
      <c r="E410" s="11" t="s">
        <v>151</v>
      </c>
      <c r="F410" s="12">
        <v>43983</v>
      </c>
      <c r="G410" s="11">
        <v>2020</v>
      </c>
      <c r="H410" s="11" t="s">
        <v>17017</v>
      </c>
      <c r="I410" s="11" t="s">
        <v>17018</v>
      </c>
      <c r="J410" s="11" t="s">
        <v>3</v>
      </c>
      <c r="K410" s="404">
        <v>33000</v>
      </c>
      <c r="L410" s="11">
        <v>1</v>
      </c>
      <c r="M410" s="404">
        <v>33000</v>
      </c>
      <c r="N410" s="11" t="s">
        <v>20155</v>
      </c>
      <c r="O410" s="11" t="s">
        <v>18064</v>
      </c>
      <c r="P410" s="872">
        <v>43999</v>
      </c>
      <c r="Q410" s="423">
        <v>0</v>
      </c>
      <c r="R410" s="423">
        <v>20000</v>
      </c>
      <c r="S410" s="423">
        <v>0</v>
      </c>
      <c r="T410" s="423">
        <v>0</v>
      </c>
      <c r="U410" s="423">
        <v>20000</v>
      </c>
      <c r="V410" s="11" t="s">
        <v>20155</v>
      </c>
      <c r="W410" s="407">
        <v>0</v>
      </c>
      <c r="X410" s="407">
        <v>33000</v>
      </c>
      <c r="Y410" s="407">
        <v>0</v>
      </c>
      <c r="Z410" s="407">
        <v>0</v>
      </c>
      <c r="AA410" s="431"/>
      <c r="AB410" s="408">
        <v>1.65</v>
      </c>
      <c r="AC410" s="408"/>
      <c r="AD410" s="408"/>
      <c r="AE410" s="409"/>
      <c r="AF410" s="410">
        <v>0</v>
      </c>
      <c r="AG410" s="410">
        <v>0</v>
      </c>
      <c r="AH410" s="411">
        <v>0</v>
      </c>
      <c r="AI410" s="412">
        <v>1.65</v>
      </c>
      <c r="AJ410" s="411">
        <v>0</v>
      </c>
      <c r="AK410" s="411">
        <v>0</v>
      </c>
      <c r="AL410" s="18"/>
      <c r="AM410" s="49"/>
      <c r="AN410" s="2"/>
      <c r="AO410" s="2"/>
    </row>
    <row r="411" spans="1:41" hidden="1">
      <c r="A411" s="14">
        <v>140</v>
      </c>
      <c r="B411" s="11" t="s">
        <v>152</v>
      </c>
      <c r="C411" s="14">
        <v>0</v>
      </c>
      <c r="D411" s="11" t="s">
        <v>18065</v>
      </c>
      <c r="E411" s="11" t="s">
        <v>152</v>
      </c>
      <c r="F411" s="12">
        <v>43986</v>
      </c>
      <c r="G411" s="11">
        <v>2020</v>
      </c>
      <c r="H411" s="11" t="s">
        <v>16783</v>
      </c>
      <c r="I411" s="11" t="s">
        <v>16784</v>
      </c>
      <c r="J411" s="11" t="s">
        <v>16401</v>
      </c>
      <c r="K411" s="404">
        <v>1009998.679</v>
      </c>
      <c r="L411" s="11">
        <v>2.8268</v>
      </c>
      <c r="M411" s="405">
        <v>357293.99992924865</v>
      </c>
      <c r="N411" s="11" t="s">
        <v>20155</v>
      </c>
      <c r="O411" s="11" t="s">
        <v>17939</v>
      </c>
      <c r="P411" s="872">
        <v>44001</v>
      </c>
      <c r="Q411" s="423">
        <v>84000</v>
      </c>
      <c r="R411" s="423">
        <v>428400</v>
      </c>
      <c r="S411" s="423">
        <v>67200</v>
      </c>
      <c r="T411" s="423">
        <v>0</v>
      </c>
      <c r="U411" s="423">
        <v>579600</v>
      </c>
      <c r="V411" s="11" t="s">
        <v>20155</v>
      </c>
      <c r="W411" s="407">
        <v>141283.46400000004</v>
      </c>
      <c r="X411" s="407">
        <v>685626.22861439968</v>
      </c>
      <c r="Y411" s="407">
        <v>105917.34658560003</v>
      </c>
      <c r="Z411" s="407">
        <v>0</v>
      </c>
      <c r="AA411" s="408">
        <v>1.6819460000000004</v>
      </c>
      <c r="AB411" s="408">
        <v>1.6004347073165259</v>
      </c>
      <c r="AC411" s="408">
        <v>1.5761509908571432</v>
      </c>
      <c r="AD411" s="408"/>
      <c r="AE411" s="409"/>
      <c r="AF411" s="410">
        <v>96741.195000000007</v>
      </c>
      <c r="AG411" s="410">
        <v>0.16691027432712216</v>
      </c>
      <c r="AH411" s="411">
        <v>1.5150357256728781</v>
      </c>
      <c r="AI411" s="412">
        <v>1.4335244329894037</v>
      </c>
      <c r="AJ411" s="411">
        <v>1.4092407165300209</v>
      </c>
      <c r="AK411" s="411">
        <v>0</v>
      </c>
      <c r="AL411" s="18"/>
      <c r="AM411" s="49"/>
      <c r="AN411" s="2"/>
      <c r="AO411" s="2"/>
    </row>
    <row r="412" spans="1:41" hidden="1">
      <c r="A412" s="14">
        <v>141</v>
      </c>
      <c r="B412" s="11" t="s">
        <v>153</v>
      </c>
      <c r="C412" s="14">
        <v>0</v>
      </c>
      <c r="D412" s="11" t="s">
        <v>18066</v>
      </c>
      <c r="E412" s="11" t="s">
        <v>153</v>
      </c>
      <c r="F412" s="12">
        <v>43986</v>
      </c>
      <c r="G412" s="11">
        <v>2020</v>
      </c>
      <c r="H412" s="11" t="s">
        <v>17233</v>
      </c>
      <c r="I412" s="11" t="s">
        <v>17234</v>
      </c>
      <c r="J412" s="11" t="s">
        <v>16401</v>
      </c>
      <c r="K412" s="404">
        <v>1476862.5460000001</v>
      </c>
      <c r="L412" s="11">
        <v>2.83785</v>
      </c>
      <c r="M412" s="405">
        <v>520416.00014095183</v>
      </c>
      <c r="N412" s="11" t="s">
        <v>20155</v>
      </c>
      <c r="O412" s="11" t="s">
        <v>17939</v>
      </c>
      <c r="P412" s="872">
        <v>43996</v>
      </c>
      <c r="Q412" s="423">
        <v>0</v>
      </c>
      <c r="R412" s="423">
        <v>794544</v>
      </c>
      <c r="S412" s="423">
        <v>100416</v>
      </c>
      <c r="T412" s="423">
        <v>0</v>
      </c>
      <c r="U412" s="423">
        <v>894960</v>
      </c>
      <c r="V412" s="11" t="s">
        <v>20155</v>
      </c>
      <c r="W412" s="407">
        <v>0</v>
      </c>
      <c r="X412" s="407">
        <v>1206316.2293640007</v>
      </c>
      <c r="Y412" s="407">
        <v>152456.56689599997</v>
      </c>
      <c r="Z412" s="407">
        <v>0</v>
      </c>
      <c r="AA412" s="408"/>
      <c r="AB412" s="408">
        <v>1.518249750000001</v>
      </c>
      <c r="AC412" s="408">
        <v>1.5182497499999998</v>
      </c>
      <c r="AD412" s="408"/>
      <c r="AE412" s="409"/>
      <c r="AF412" s="410">
        <v>152021.535</v>
      </c>
      <c r="AG412" s="410">
        <v>0.16986405537677662</v>
      </c>
      <c r="AH412" s="411">
        <v>0</v>
      </c>
      <c r="AI412" s="412">
        <v>1.3483856946232242</v>
      </c>
      <c r="AJ412" s="411">
        <v>1.3483856946232233</v>
      </c>
      <c r="AK412" s="411">
        <v>0</v>
      </c>
      <c r="AL412" s="18"/>
      <c r="AM412" s="49"/>
      <c r="AN412" s="2"/>
      <c r="AO412" s="2"/>
    </row>
    <row r="413" spans="1:41" hidden="1">
      <c r="A413" s="14">
        <v>142</v>
      </c>
      <c r="B413" s="11" t="s">
        <v>154</v>
      </c>
      <c r="C413" s="14">
        <v>0</v>
      </c>
      <c r="D413" s="11" t="s">
        <v>18068</v>
      </c>
      <c r="E413" s="11" t="s">
        <v>154</v>
      </c>
      <c r="F413" s="12">
        <v>43991</v>
      </c>
      <c r="G413" s="11">
        <v>2020</v>
      </c>
      <c r="H413" s="11" t="s">
        <v>17219</v>
      </c>
      <c r="I413" s="11" t="s">
        <v>17220</v>
      </c>
      <c r="J413" s="11" t="s">
        <v>16401</v>
      </c>
      <c r="K413" s="404">
        <v>432393.55499999999</v>
      </c>
      <c r="L413" s="11">
        <v>2.82795</v>
      </c>
      <c r="M413" s="404">
        <v>152900</v>
      </c>
      <c r="N413" s="11" t="s">
        <v>20155</v>
      </c>
      <c r="O413" s="11" t="s">
        <v>20173</v>
      </c>
      <c r="P413" s="872" t="s">
        <v>20288</v>
      </c>
      <c r="Q413" s="423">
        <v>0</v>
      </c>
      <c r="R413" s="423">
        <v>188000</v>
      </c>
      <c r="S413" s="423">
        <v>90000</v>
      </c>
      <c r="T413" s="423">
        <v>0</v>
      </c>
      <c r="U413" s="423">
        <v>278000</v>
      </c>
      <c r="V413" s="11" t="s">
        <v>20155</v>
      </c>
      <c r="W413" s="407">
        <v>0</v>
      </c>
      <c r="X413" s="407">
        <v>292410.03000000003</v>
      </c>
      <c r="Y413" s="407">
        <v>139983.52499999999</v>
      </c>
      <c r="Z413" s="407">
        <v>0</v>
      </c>
      <c r="AA413" s="408"/>
      <c r="AB413" s="408">
        <v>1.5553725</v>
      </c>
      <c r="AC413" s="408">
        <v>1.5553724999999998</v>
      </c>
      <c r="AD413" s="408"/>
      <c r="AE413" s="409"/>
      <c r="AF413" s="410">
        <v>105432.98</v>
      </c>
      <c r="AG413" s="410">
        <v>0.37925532374100718</v>
      </c>
      <c r="AH413" s="411">
        <v>0</v>
      </c>
      <c r="AI413" s="412">
        <v>1.1761171762589928</v>
      </c>
      <c r="AJ413" s="411">
        <v>1.1761171762589926</v>
      </c>
      <c r="AK413" s="411">
        <v>0</v>
      </c>
      <c r="AL413" s="18"/>
      <c r="AM413" s="49"/>
      <c r="AN413" s="2"/>
      <c r="AO413" s="2"/>
    </row>
    <row r="414" spans="1:41" hidden="1">
      <c r="A414" s="14">
        <v>143</v>
      </c>
      <c r="B414" s="11" t="s">
        <v>155</v>
      </c>
      <c r="C414" s="14">
        <v>0</v>
      </c>
      <c r="D414" s="11" t="s">
        <v>18069</v>
      </c>
      <c r="E414" s="11" t="s">
        <v>155</v>
      </c>
      <c r="F414" s="12">
        <v>43993</v>
      </c>
      <c r="G414" s="11">
        <v>2020</v>
      </c>
      <c r="H414" s="11" t="s">
        <v>16444</v>
      </c>
      <c r="I414" s="11" t="s">
        <v>16445</v>
      </c>
      <c r="J414" s="11" t="s">
        <v>3</v>
      </c>
      <c r="K414" s="404">
        <v>79097.52</v>
      </c>
      <c r="L414" s="11">
        <v>1</v>
      </c>
      <c r="M414" s="404">
        <v>79097.52</v>
      </c>
      <c r="N414" s="11" t="s">
        <v>20155</v>
      </c>
      <c r="O414" s="11" t="s">
        <v>18248</v>
      </c>
      <c r="P414" s="872">
        <v>43999</v>
      </c>
      <c r="Q414" s="423">
        <v>18000</v>
      </c>
      <c r="R414" s="423">
        <v>37404</v>
      </c>
      <c r="S414" s="423">
        <v>0</v>
      </c>
      <c r="T414" s="423">
        <v>0</v>
      </c>
      <c r="U414" s="423">
        <v>55404</v>
      </c>
      <c r="V414" s="11" t="s">
        <v>20155</v>
      </c>
      <c r="W414" s="407">
        <v>27480</v>
      </c>
      <c r="X414" s="407">
        <v>51617.52</v>
      </c>
      <c r="Y414" s="407">
        <v>0</v>
      </c>
      <c r="Z414" s="407">
        <v>0</v>
      </c>
      <c r="AA414" s="408">
        <v>1.5266666666666666</v>
      </c>
      <c r="AB414" s="408">
        <v>1.38</v>
      </c>
      <c r="AC414" s="408"/>
      <c r="AD414" s="408"/>
      <c r="AE414" s="409"/>
      <c r="AF414" s="410">
        <v>0</v>
      </c>
      <c r="AG414" s="410">
        <v>0</v>
      </c>
      <c r="AH414" s="411">
        <v>1.5266666666666666</v>
      </c>
      <c r="AI414" s="412">
        <v>1.38</v>
      </c>
      <c r="AJ414" s="411">
        <v>0</v>
      </c>
      <c r="AK414" s="411">
        <v>0</v>
      </c>
      <c r="AL414" s="18"/>
      <c r="AM414" s="49"/>
      <c r="AN414" s="2"/>
      <c r="AO414" s="2"/>
    </row>
    <row r="415" spans="1:41" hidden="1">
      <c r="A415" s="14">
        <v>144</v>
      </c>
      <c r="B415" s="11" t="s">
        <v>156</v>
      </c>
      <c r="C415" s="14">
        <v>0</v>
      </c>
      <c r="D415" s="11" t="s">
        <v>18070</v>
      </c>
      <c r="E415" s="11" t="s">
        <v>156</v>
      </c>
      <c r="F415" s="12">
        <v>43994</v>
      </c>
      <c r="G415" s="11">
        <v>2020</v>
      </c>
      <c r="H415" s="11" t="s">
        <v>16444</v>
      </c>
      <c r="I415" s="11" t="s">
        <v>16445</v>
      </c>
      <c r="J415" s="11" t="s">
        <v>3</v>
      </c>
      <c r="K415" s="404">
        <v>84637.92</v>
      </c>
      <c r="L415" s="11">
        <v>1</v>
      </c>
      <c r="M415" s="404">
        <v>84637.92</v>
      </c>
      <c r="N415" s="11" t="s">
        <v>20155</v>
      </c>
      <c r="O415" s="11" t="s">
        <v>18248</v>
      </c>
      <c r="P415" s="872">
        <v>43999</v>
      </c>
      <c r="Q415" s="423">
        <v>18000</v>
      </c>
      <c r="R415" s="423">
        <v>37404</v>
      </c>
      <c r="S415" s="423">
        <v>0</v>
      </c>
      <c r="T415" s="423">
        <v>0</v>
      </c>
      <c r="U415" s="423">
        <v>55404</v>
      </c>
      <c r="V415" s="11" t="s">
        <v>20155</v>
      </c>
      <c r="W415" s="407">
        <v>29280</v>
      </c>
      <c r="X415" s="407">
        <v>55357.919999999998</v>
      </c>
      <c r="Y415" s="407">
        <v>0</v>
      </c>
      <c r="Z415" s="407">
        <v>0</v>
      </c>
      <c r="AA415" s="408">
        <v>1.6266666666666667</v>
      </c>
      <c r="AB415" s="408">
        <v>1.48</v>
      </c>
      <c r="AC415" s="408"/>
      <c r="AD415" s="408"/>
      <c r="AE415" s="409"/>
      <c r="AF415" s="410">
        <v>0</v>
      </c>
      <c r="AG415" s="410">
        <v>0</v>
      </c>
      <c r="AH415" s="411">
        <v>1.6266666666666667</v>
      </c>
      <c r="AI415" s="412">
        <v>1.48</v>
      </c>
      <c r="AJ415" s="411">
        <v>0</v>
      </c>
      <c r="AK415" s="411">
        <v>0</v>
      </c>
      <c r="AL415" s="18"/>
      <c r="AM415" s="49"/>
      <c r="AN415" s="2"/>
      <c r="AO415" s="2"/>
    </row>
    <row r="416" spans="1:41" hidden="1">
      <c r="A416" s="14">
        <v>145</v>
      </c>
      <c r="B416" s="11" t="s">
        <v>157</v>
      </c>
      <c r="C416" s="14">
        <v>0</v>
      </c>
      <c r="D416" s="11" t="s">
        <v>18071</v>
      </c>
      <c r="E416" s="11" t="s">
        <v>157</v>
      </c>
      <c r="F416" s="12">
        <v>43994</v>
      </c>
      <c r="G416" s="11">
        <v>2020</v>
      </c>
      <c r="H416" s="11" t="s">
        <v>16444</v>
      </c>
      <c r="I416" s="11" t="s">
        <v>16445</v>
      </c>
      <c r="J416" s="11" t="s">
        <v>3</v>
      </c>
      <c r="K416" s="404">
        <v>165000</v>
      </c>
      <c r="L416" s="11">
        <v>1</v>
      </c>
      <c r="M416" s="404">
        <v>165000</v>
      </c>
      <c r="N416" s="11" t="s">
        <v>20155</v>
      </c>
      <c r="O416" s="11" t="s">
        <v>17801</v>
      </c>
      <c r="P416" s="872">
        <v>44001</v>
      </c>
      <c r="Q416" s="423">
        <v>0</v>
      </c>
      <c r="R416" s="423">
        <v>132000</v>
      </c>
      <c r="S416" s="423">
        <v>0</v>
      </c>
      <c r="T416" s="423">
        <v>0</v>
      </c>
      <c r="U416" s="423">
        <v>132000</v>
      </c>
      <c r="V416" s="11" t="s">
        <v>20155</v>
      </c>
      <c r="W416" s="407">
        <v>0</v>
      </c>
      <c r="X416" s="407">
        <v>165000</v>
      </c>
      <c r="Y416" s="407">
        <v>0</v>
      </c>
      <c r="Z416" s="407">
        <v>0</v>
      </c>
      <c r="AA416" s="408"/>
      <c r="AB416" s="408">
        <v>1.25</v>
      </c>
      <c r="AC416" s="408"/>
      <c r="AD416" s="408"/>
      <c r="AE416" s="409"/>
      <c r="AF416" s="410">
        <v>0</v>
      </c>
      <c r="AG416" s="410">
        <v>0</v>
      </c>
      <c r="AH416" s="411">
        <v>0</v>
      </c>
      <c r="AI416" s="412">
        <v>1.25</v>
      </c>
      <c r="AJ416" s="411">
        <v>0</v>
      </c>
      <c r="AK416" s="411">
        <v>0</v>
      </c>
      <c r="AL416" s="18"/>
      <c r="AM416" s="49"/>
      <c r="AN416" s="2"/>
      <c r="AO416" s="2"/>
    </row>
    <row r="417" spans="1:41" hidden="1">
      <c r="A417" s="14">
        <v>146</v>
      </c>
      <c r="B417" s="11" t="s">
        <v>158</v>
      </c>
      <c r="C417" s="14">
        <v>0</v>
      </c>
      <c r="D417" s="11" t="s">
        <v>18072</v>
      </c>
      <c r="E417" s="11" t="s">
        <v>158</v>
      </c>
      <c r="F417" s="12">
        <v>43994</v>
      </c>
      <c r="G417" s="11">
        <v>2020</v>
      </c>
      <c r="H417" s="11" t="s">
        <v>16444</v>
      </c>
      <c r="I417" s="11" t="s">
        <v>16445</v>
      </c>
      <c r="J417" s="11" t="s">
        <v>3</v>
      </c>
      <c r="K417" s="404">
        <v>32064</v>
      </c>
      <c r="L417" s="11">
        <v>1</v>
      </c>
      <c r="M417" s="404">
        <v>32064</v>
      </c>
      <c r="N417" s="11" t="s">
        <v>20155</v>
      </c>
      <c r="O417" s="11" t="s">
        <v>18248</v>
      </c>
      <c r="P417" s="872">
        <v>43999</v>
      </c>
      <c r="Q417" s="423">
        <v>19200</v>
      </c>
      <c r="R417" s="423">
        <v>0</v>
      </c>
      <c r="S417" s="423">
        <v>0</v>
      </c>
      <c r="T417" s="423">
        <v>0</v>
      </c>
      <c r="U417" s="423">
        <v>19200</v>
      </c>
      <c r="V417" s="11" t="s">
        <v>20155</v>
      </c>
      <c r="W417" s="407">
        <v>32064</v>
      </c>
      <c r="X417" s="407">
        <v>0</v>
      </c>
      <c r="Y417" s="407">
        <v>0</v>
      </c>
      <c r="Z417" s="407">
        <v>0</v>
      </c>
      <c r="AA417" s="408">
        <v>1.67</v>
      </c>
      <c r="AB417" s="408"/>
      <c r="AC417" s="408"/>
      <c r="AD417" s="408"/>
      <c r="AE417" s="409"/>
      <c r="AF417" s="410">
        <v>0</v>
      </c>
      <c r="AG417" s="410">
        <v>0</v>
      </c>
      <c r="AH417" s="411">
        <v>1.67</v>
      </c>
      <c r="AI417" s="411">
        <v>0</v>
      </c>
      <c r="AJ417" s="411">
        <v>0</v>
      </c>
      <c r="AK417" s="411">
        <v>0</v>
      </c>
      <c r="AL417" s="18"/>
      <c r="AM417" s="49"/>
      <c r="AN417" s="2"/>
      <c r="AO417" s="2"/>
    </row>
    <row r="418" spans="1:41" hidden="1">
      <c r="A418" s="14">
        <v>147</v>
      </c>
      <c r="B418" s="11" t="s">
        <v>159</v>
      </c>
      <c r="C418" s="14">
        <v>0</v>
      </c>
      <c r="D418" s="11" t="s">
        <v>18074</v>
      </c>
      <c r="E418" s="11" t="s">
        <v>159</v>
      </c>
      <c r="F418" s="12">
        <v>43995</v>
      </c>
      <c r="G418" s="11">
        <v>2020</v>
      </c>
      <c r="H418" s="11" t="s">
        <v>16838</v>
      </c>
      <c r="I418" s="11" t="s">
        <v>16839</v>
      </c>
      <c r="J418" s="11" t="s">
        <v>3</v>
      </c>
      <c r="K418" s="404">
        <v>147453.6</v>
      </c>
      <c r="L418" s="11">
        <v>1</v>
      </c>
      <c r="M418" s="404">
        <v>147453.6</v>
      </c>
      <c r="N418" s="11" t="s">
        <v>20155</v>
      </c>
      <c r="O418" s="11" t="s">
        <v>17798</v>
      </c>
      <c r="P418" s="872">
        <v>44002</v>
      </c>
      <c r="Q418" s="423">
        <v>0</v>
      </c>
      <c r="R418" s="423">
        <v>110040</v>
      </c>
      <c r="S418" s="423">
        <v>0</v>
      </c>
      <c r="T418" s="423">
        <v>0</v>
      </c>
      <c r="U418" s="423">
        <v>110040</v>
      </c>
      <c r="V418" s="11" t="s">
        <v>20155</v>
      </c>
      <c r="W418" s="407">
        <v>0</v>
      </c>
      <c r="X418" s="407">
        <v>147453.6</v>
      </c>
      <c r="Y418" s="407">
        <v>0</v>
      </c>
      <c r="Z418" s="407">
        <v>0</v>
      </c>
      <c r="AA418" s="408"/>
      <c r="AB418" s="408">
        <v>1.34</v>
      </c>
      <c r="AC418" s="408"/>
      <c r="AD418" s="408"/>
      <c r="AE418" s="409"/>
      <c r="AF418" s="410">
        <v>0</v>
      </c>
      <c r="AG418" s="410">
        <v>0</v>
      </c>
      <c r="AH418" s="411">
        <v>0</v>
      </c>
      <c r="AI418" s="412">
        <v>1.34</v>
      </c>
      <c r="AJ418" s="411">
        <v>0</v>
      </c>
      <c r="AK418" s="411">
        <v>0</v>
      </c>
      <c r="AL418" s="18"/>
      <c r="AM418" s="49"/>
      <c r="AN418" s="2"/>
      <c r="AO418" s="2"/>
    </row>
    <row r="419" spans="1:41" hidden="1">
      <c r="A419" s="14">
        <v>148</v>
      </c>
      <c r="B419" s="11" t="s">
        <v>160</v>
      </c>
      <c r="C419" s="14">
        <v>0</v>
      </c>
      <c r="D419" s="11" t="s">
        <v>18075</v>
      </c>
      <c r="E419" s="11" t="s">
        <v>160</v>
      </c>
      <c r="F419" s="12">
        <v>43995</v>
      </c>
      <c r="G419" s="11">
        <v>2020</v>
      </c>
      <c r="H419" s="11" t="s">
        <v>16384</v>
      </c>
      <c r="I419" s="11" t="s">
        <v>16385</v>
      </c>
      <c r="J419" s="11" t="s">
        <v>3</v>
      </c>
      <c r="K419" s="404">
        <v>117600</v>
      </c>
      <c r="L419" s="11">
        <v>1</v>
      </c>
      <c r="M419" s="404">
        <v>117600</v>
      </c>
      <c r="N419" s="11" t="s">
        <v>20155</v>
      </c>
      <c r="O419" s="11" t="s">
        <v>17777</v>
      </c>
      <c r="P419" s="872">
        <v>44011</v>
      </c>
      <c r="Q419" s="423">
        <v>0</v>
      </c>
      <c r="R419" s="423">
        <v>0</v>
      </c>
      <c r="S419" s="423">
        <v>84000</v>
      </c>
      <c r="T419" s="423">
        <v>0</v>
      </c>
      <c r="U419" s="423">
        <v>84000</v>
      </c>
      <c r="V419" s="11" t="s">
        <v>20155</v>
      </c>
      <c r="W419" s="407">
        <v>0</v>
      </c>
      <c r="X419" s="407">
        <v>0</v>
      </c>
      <c r="Y419" s="407">
        <v>117600</v>
      </c>
      <c r="Z419" s="407">
        <v>0</v>
      </c>
      <c r="AA419" s="408"/>
      <c r="AB419" s="408"/>
      <c r="AC419" s="408">
        <v>1.4</v>
      </c>
      <c r="AD419" s="408"/>
      <c r="AE419" s="409"/>
      <c r="AF419" s="410">
        <v>0</v>
      </c>
      <c r="AG419" s="410">
        <v>0</v>
      </c>
      <c r="AH419" s="411">
        <v>0</v>
      </c>
      <c r="AI419" s="411">
        <v>0</v>
      </c>
      <c r="AJ419" s="411">
        <v>1.4</v>
      </c>
      <c r="AK419" s="411">
        <v>0</v>
      </c>
      <c r="AL419" s="18"/>
      <c r="AM419" s="49"/>
      <c r="AN419" s="2"/>
      <c r="AO419" s="2"/>
    </row>
    <row r="420" spans="1:41" hidden="1">
      <c r="A420" s="14">
        <v>149</v>
      </c>
      <c r="B420" s="11" t="s">
        <v>161</v>
      </c>
      <c r="C420" s="14">
        <v>0</v>
      </c>
      <c r="D420" s="21" t="s">
        <v>18076</v>
      </c>
      <c r="E420" s="11" t="s">
        <v>161</v>
      </c>
      <c r="F420" s="12">
        <v>43995</v>
      </c>
      <c r="G420" s="11">
        <v>2020</v>
      </c>
      <c r="H420" s="11" t="s">
        <v>16904</v>
      </c>
      <c r="I420" s="11" t="s">
        <v>16905</v>
      </c>
      <c r="J420" s="11" t="s">
        <v>16482</v>
      </c>
      <c r="K420" s="404">
        <v>52315.044000000002</v>
      </c>
      <c r="L420" s="11">
        <v>3.2035999999999998</v>
      </c>
      <c r="M420" s="405">
        <v>16330.079910101138</v>
      </c>
      <c r="N420" s="11" t="s">
        <v>20155</v>
      </c>
      <c r="O420" s="11" t="s">
        <v>20160</v>
      </c>
      <c r="P420" s="872">
        <v>44001</v>
      </c>
      <c r="Q420" s="423">
        <v>0</v>
      </c>
      <c r="R420" s="423">
        <v>13680</v>
      </c>
      <c r="S420" s="423">
        <v>13656</v>
      </c>
      <c r="T420" s="423">
        <v>0</v>
      </c>
      <c r="U420" s="423">
        <v>27336</v>
      </c>
      <c r="V420" s="11" t="s">
        <v>20155</v>
      </c>
      <c r="W420" s="407">
        <v>0</v>
      </c>
      <c r="X420" s="407">
        <v>31085.171519999996</v>
      </c>
      <c r="Y420" s="407">
        <v>21229.872768000001</v>
      </c>
      <c r="Z420" s="407">
        <v>0</v>
      </c>
      <c r="AA420" s="408"/>
      <c r="AB420" s="408">
        <v>2.2723078596491226</v>
      </c>
      <c r="AC420" s="408">
        <v>1.5546186854130053</v>
      </c>
      <c r="AD420" s="408"/>
      <c r="AE420" s="409"/>
      <c r="AF420" s="410">
        <v>10312.09</v>
      </c>
      <c r="AG420" s="410">
        <v>0.3772347819724905</v>
      </c>
      <c r="AH420" s="411">
        <v>0</v>
      </c>
      <c r="AI420" s="412">
        <v>1.8950730776766322</v>
      </c>
      <c r="AJ420" s="411">
        <v>1.1773839034405147</v>
      </c>
      <c r="AK420" s="411">
        <v>0</v>
      </c>
      <c r="AL420" s="18"/>
      <c r="AM420" s="49"/>
      <c r="AN420" s="2"/>
      <c r="AO420" s="2"/>
    </row>
    <row r="421" spans="1:41" hidden="1">
      <c r="A421" s="14">
        <v>150</v>
      </c>
      <c r="B421" s="11" t="s">
        <v>162</v>
      </c>
      <c r="C421" s="14">
        <v>0</v>
      </c>
      <c r="D421" s="21" t="s">
        <v>18078</v>
      </c>
      <c r="E421" s="11" t="s">
        <v>162</v>
      </c>
      <c r="F421" s="12">
        <v>43995</v>
      </c>
      <c r="G421" s="11">
        <v>2020</v>
      </c>
      <c r="H421" s="11" t="s">
        <v>16904</v>
      </c>
      <c r="I421" s="11" t="s">
        <v>16905</v>
      </c>
      <c r="J421" s="11" t="s">
        <v>16482</v>
      </c>
      <c r="K421" s="404">
        <v>52368.095999999998</v>
      </c>
      <c r="L421" s="11">
        <v>3.2035999999999998</v>
      </c>
      <c r="M421" s="405">
        <v>16346.640029966289</v>
      </c>
      <c r="N421" s="11" t="s">
        <v>20155</v>
      </c>
      <c r="O421" s="11" t="s">
        <v>20160</v>
      </c>
      <c r="P421" s="872">
        <v>44001</v>
      </c>
      <c r="Q421" s="423">
        <v>0</v>
      </c>
      <c r="R421" s="423">
        <v>19176</v>
      </c>
      <c r="S421" s="423">
        <v>8160</v>
      </c>
      <c r="T421" s="423">
        <v>0</v>
      </c>
      <c r="U421" s="423">
        <v>27336</v>
      </c>
      <c r="V421" s="11" t="s">
        <v>20155</v>
      </c>
      <c r="W421" s="407">
        <v>0</v>
      </c>
      <c r="X421" s="407">
        <v>39712.594463999994</v>
      </c>
      <c r="Y421" s="407">
        <v>12655.501439999998</v>
      </c>
      <c r="Z421" s="407">
        <v>0</v>
      </c>
      <c r="AA421" s="408"/>
      <c r="AB421" s="408">
        <v>2.0709529862327907</v>
      </c>
      <c r="AC421" s="408">
        <v>1.5509192941176468</v>
      </c>
      <c r="AD421" s="408"/>
      <c r="AE421" s="409"/>
      <c r="AF421" s="410">
        <v>10312.09</v>
      </c>
      <c r="AG421" s="410">
        <v>0.3772347819724905</v>
      </c>
      <c r="AH421" s="411">
        <v>0</v>
      </c>
      <c r="AI421" s="412">
        <v>1.6937182042603003</v>
      </c>
      <c r="AJ421" s="411">
        <v>1.1736845121451562</v>
      </c>
      <c r="AK421" s="411">
        <v>0</v>
      </c>
      <c r="AL421" s="18"/>
      <c r="AM421" s="49"/>
      <c r="AN421" s="2"/>
      <c r="AO421" s="2"/>
    </row>
    <row r="422" spans="1:41" hidden="1">
      <c r="A422" s="14">
        <v>151</v>
      </c>
      <c r="B422" s="11" t="s">
        <v>163</v>
      </c>
      <c r="C422" s="14">
        <v>0</v>
      </c>
      <c r="D422" s="11" t="s">
        <v>18080</v>
      </c>
      <c r="E422" s="11" t="s">
        <v>163</v>
      </c>
      <c r="F422" s="12">
        <v>43995</v>
      </c>
      <c r="G422" s="11">
        <v>2020</v>
      </c>
      <c r="H422" s="11" t="s">
        <v>16470</v>
      </c>
      <c r="I422" s="11" t="s">
        <v>16471</v>
      </c>
      <c r="J422" s="11" t="s">
        <v>16401</v>
      </c>
      <c r="K422" s="404">
        <v>301411.65700000001</v>
      </c>
      <c r="L422" s="11">
        <v>2.8357000000000001</v>
      </c>
      <c r="M422" s="404">
        <v>106291.79990831188</v>
      </c>
      <c r="N422" s="11" t="s">
        <v>20155</v>
      </c>
      <c r="O422" s="11" t="s">
        <v>20159</v>
      </c>
      <c r="P422" s="872" t="s">
        <v>20289</v>
      </c>
      <c r="Q422" s="423">
        <v>14448</v>
      </c>
      <c r="R422" s="423">
        <v>159852</v>
      </c>
      <c r="S422" s="423">
        <v>0</v>
      </c>
      <c r="T422" s="423">
        <v>0</v>
      </c>
      <c r="U422" s="423">
        <v>174300</v>
      </c>
      <c r="V422" s="11" t="s">
        <v>20155</v>
      </c>
      <c r="W422" s="407">
        <v>23274.404748000004</v>
      </c>
      <c r="X422" s="407">
        <v>214257.43861199994</v>
      </c>
      <c r="Y422" s="407">
        <v>0</v>
      </c>
      <c r="Z422" s="407">
        <v>0</v>
      </c>
      <c r="AA422" s="408">
        <v>1.6109084127906981</v>
      </c>
      <c r="AB422" s="408">
        <v>1.3403488139779292</v>
      </c>
      <c r="AC422" s="408"/>
      <c r="AD422" s="408"/>
      <c r="AE422" s="409"/>
      <c r="AF422" s="410">
        <v>75583.67</v>
      </c>
      <c r="AG422" s="410">
        <v>0.43364125071715431</v>
      </c>
      <c r="AH422" s="411">
        <v>1.1772671620735438</v>
      </c>
      <c r="AI422" s="412">
        <v>0.90670756326077484</v>
      </c>
      <c r="AJ422" s="411">
        <v>0</v>
      </c>
      <c r="AK422" s="411">
        <v>0</v>
      </c>
      <c r="AL422" s="18"/>
      <c r="AM422" s="49"/>
      <c r="AN422" s="2"/>
      <c r="AO422" s="2"/>
    </row>
    <row r="423" spans="1:41" hidden="1">
      <c r="A423" s="14">
        <v>152</v>
      </c>
      <c r="B423" s="11" t="s">
        <v>164</v>
      </c>
      <c r="C423" s="14">
        <v>0</v>
      </c>
      <c r="D423" s="11" t="s">
        <v>18082</v>
      </c>
      <c r="E423" s="11" t="s">
        <v>164</v>
      </c>
      <c r="F423" s="12">
        <v>43997</v>
      </c>
      <c r="G423" s="11">
        <v>2020</v>
      </c>
      <c r="H423" s="11" t="s">
        <v>17119</v>
      </c>
      <c r="I423" s="11" t="s">
        <v>17120</v>
      </c>
      <c r="J423" s="11" t="s">
        <v>16401</v>
      </c>
      <c r="K423" s="404">
        <v>158420.39600000001</v>
      </c>
      <c r="L423" s="11">
        <v>2.8571499999999999</v>
      </c>
      <c r="M423" s="404">
        <v>55446.999982500049</v>
      </c>
      <c r="N423" s="11" t="s">
        <v>20155</v>
      </c>
      <c r="O423" s="11" t="s">
        <v>17965</v>
      </c>
      <c r="P423" s="872">
        <v>44006</v>
      </c>
      <c r="Q423" s="423">
        <v>57600</v>
      </c>
      <c r="R423" s="423">
        <v>25800</v>
      </c>
      <c r="S423" s="423">
        <v>0</v>
      </c>
      <c r="T423" s="423">
        <v>0</v>
      </c>
      <c r="U423" s="423">
        <v>83400</v>
      </c>
      <c r="V423" s="11" t="s">
        <v>20155</v>
      </c>
      <c r="W423" s="407">
        <v>98743.103999999992</v>
      </c>
      <c r="X423" s="407">
        <v>37962.952049999993</v>
      </c>
      <c r="Y423" s="407">
        <v>0</v>
      </c>
      <c r="Z423" s="407">
        <v>0</v>
      </c>
      <c r="AA423" s="408">
        <v>1.7142899999999999</v>
      </c>
      <c r="AB423" s="408">
        <v>1.4714322499999997</v>
      </c>
      <c r="AC423" s="408"/>
      <c r="AD423" s="408"/>
      <c r="AE423" s="409"/>
      <c r="AF423" s="410">
        <v>12593.54</v>
      </c>
      <c r="AG423" s="410">
        <v>0.15100167865707434</v>
      </c>
      <c r="AH423" s="411">
        <v>1.5632883213429256</v>
      </c>
      <c r="AI423" s="412">
        <v>1.3204305713429254</v>
      </c>
      <c r="AJ423" s="411">
        <v>0</v>
      </c>
      <c r="AK423" s="411">
        <v>0</v>
      </c>
      <c r="AL423" s="18"/>
      <c r="AM423" s="49"/>
      <c r="AN423" s="2"/>
      <c r="AO423" s="2"/>
    </row>
    <row r="424" spans="1:41" hidden="1">
      <c r="A424" s="14">
        <v>153</v>
      </c>
      <c r="B424" s="11" t="s">
        <v>165</v>
      </c>
      <c r="C424" s="14">
        <v>0</v>
      </c>
      <c r="D424" s="11" t="s">
        <v>18083</v>
      </c>
      <c r="E424" s="11" t="s">
        <v>165</v>
      </c>
      <c r="F424" s="12">
        <v>43997</v>
      </c>
      <c r="G424" s="11">
        <v>2020</v>
      </c>
      <c r="H424" s="11" t="s">
        <v>17244</v>
      </c>
      <c r="I424" s="11" t="s">
        <v>17245</v>
      </c>
      <c r="J424" s="11" t="s">
        <v>3</v>
      </c>
      <c r="K424" s="404">
        <v>9238.08</v>
      </c>
      <c r="L424" s="11">
        <v>1</v>
      </c>
      <c r="M424" s="404">
        <v>9238.08</v>
      </c>
      <c r="N424" s="11" t="s">
        <v>20155</v>
      </c>
      <c r="O424" s="11" t="s">
        <v>20290</v>
      </c>
      <c r="P424" s="872">
        <v>44019</v>
      </c>
      <c r="Q424" s="423">
        <v>0</v>
      </c>
      <c r="R424" s="423">
        <v>2304</v>
      </c>
      <c r="S424" s="423">
        <v>3000</v>
      </c>
      <c r="T424" s="423">
        <v>0</v>
      </c>
      <c r="U424" s="423">
        <v>5304</v>
      </c>
      <c r="V424" s="11" t="s">
        <v>20155</v>
      </c>
      <c r="W424" s="407">
        <v>0</v>
      </c>
      <c r="X424" s="407">
        <v>4078.08</v>
      </c>
      <c r="Y424" s="407">
        <v>5160</v>
      </c>
      <c r="Z424" s="407">
        <v>0</v>
      </c>
      <c r="AA424" s="408"/>
      <c r="AB424" s="408">
        <v>1.77</v>
      </c>
      <c r="AC424" s="408">
        <v>1.72</v>
      </c>
      <c r="AD424" s="408"/>
      <c r="AE424" s="409"/>
      <c r="AF424" s="410">
        <v>0</v>
      </c>
      <c r="AG424" s="410">
        <v>0</v>
      </c>
      <c r="AH424" s="411">
        <v>0</v>
      </c>
      <c r="AI424" s="412">
        <v>1.77</v>
      </c>
      <c r="AJ424" s="411">
        <v>1.72</v>
      </c>
      <c r="AK424" s="411">
        <v>0</v>
      </c>
      <c r="AL424" s="18"/>
      <c r="AM424" s="49"/>
      <c r="AN424" s="2"/>
      <c r="AO424" s="2"/>
    </row>
    <row r="425" spans="1:41" hidden="1">
      <c r="A425" s="14">
        <v>154</v>
      </c>
      <c r="B425" s="11" t="s">
        <v>166</v>
      </c>
      <c r="C425" s="14">
        <v>0</v>
      </c>
      <c r="D425" s="11" t="s">
        <v>18086</v>
      </c>
      <c r="E425" s="11" t="s">
        <v>166</v>
      </c>
      <c r="F425" s="12">
        <v>43997</v>
      </c>
      <c r="G425" s="11">
        <v>2020</v>
      </c>
      <c r="H425" s="11" t="s">
        <v>17242</v>
      </c>
      <c r="I425" s="11" t="s">
        <v>17243</v>
      </c>
      <c r="J425" s="11" t="s">
        <v>16401</v>
      </c>
      <c r="K425" s="404">
        <v>485563.32</v>
      </c>
      <c r="L425" s="11">
        <v>2.8495499999999998</v>
      </c>
      <c r="M425" s="405">
        <v>170400</v>
      </c>
      <c r="N425" s="11" t="s">
        <v>20155</v>
      </c>
      <c r="O425" s="11" t="s">
        <v>17939</v>
      </c>
      <c r="P425" s="872">
        <v>44002</v>
      </c>
      <c r="Q425" s="423">
        <v>0</v>
      </c>
      <c r="R425" s="423">
        <v>279984</v>
      </c>
      <c r="S425" s="423">
        <v>20016</v>
      </c>
      <c r="T425" s="423">
        <v>0</v>
      </c>
      <c r="U425" s="423">
        <v>300000</v>
      </c>
      <c r="V425" s="11" t="s">
        <v>20155</v>
      </c>
      <c r="W425" s="407">
        <v>0</v>
      </c>
      <c r="X425" s="407">
        <v>435107.13602400006</v>
      </c>
      <c r="Y425" s="407">
        <v>22245.638975999995</v>
      </c>
      <c r="Z425" s="407">
        <v>0</v>
      </c>
      <c r="AA425" s="408"/>
      <c r="AB425" s="408">
        <v>1.5540428596776961</v>
      </c>
      <c r="AC425" s="408">
        <v>1.1113928345323738</v>
      </c>
      <c r="AD425" s="408"/>
      <c r="AE425" s="409"/>
      <c r="AF425" s="410">
        <v>44081.58</v>
      </c>
      <c r="AG425" s="410">
        <v>0.1469386</v>
      </c>
      <c r="AH425" s="411">
        <v>0</v>
      </c>
      <c r="AI425" s="412">
        <v>1.4071042596776961</v>
      </c>
      <c r="AJ425" s="411">
        <v>0.96445423453237378</v>
      </c>
      <c r="AK425" s="411">
        <v>0</v>
      </c>
      <c r="AL425" s="18"/>
      <c r="AM425" s="49"/>
      <c r="AN425" s="2"/>
      <c r="AO425" s="2"/>
    </row>
    <row r="426" spans="1:41" hidden="1">
      <c r="A426" s="14">
        <v>155</v>
      </c>
      <c r="B426" s="11" t="s">
        <v>167</v>
      </c>
      <c r="C426" s="14">
        <v>0</v>
      </c>
      <c r="D426" s="11" t="s">
        <v>18087</v>
      </c>
      <c r="E426" s="11" t="s">
        <v>167</v>
      </c>
      <c r="F426" s="12">
        <v>43997</v>
      </c>
      <c r="G426" s="11">
        <v>2020</v>
      </c>
      <c r="H426" s="11" t="s">
        <v>17017</v>
      </c>
      <c r="I426" s="11" t="s">
        <v>17018</v>
      </c>
      <c r="J426" s="11" t="s">
        <v>3</v>
      </c>
      <c r="K426" s="404">
        <v>38154</v>
      </c>
      <c r="L426" s="11">
        <v>1</v>
      </c>
      <c r="M426" s="404">
        <v>38154</v>
      </c>
      <c r="N426" s="11" t="s">
        <v>20155</v>
      </c>
      <c r="O426" s="11" t="s">
        <v>20162</v>
      </c>
      <c r="P426" s="872">
        <v>44011</v>
      </c>
      <c r="Q426" s="423">
        <v>0</v>
      </c>
      <c r="R426" s="423">
        <v>16800</v>
      </c>
      <c r="S426" s="423">
        <v>5400</v>
      </c>
      <c r="T426" s="423">
        <v>1200</v>
      </c>
      <c r="U426" s="423">
        <v>23400</v>
      </c>
      <c r="V426" s="11" t="s">
        <v>20155</v>
      </c>
      <c r="W426" s="407">
        <v>0</v>
      </c>
      <c r="X426" s="407">
        <v>26880</v>
      </c>
      <c r="Y426" s="407">
        <v>8478</v>
      </c>
      <c r="Z426" s="407">
        <v>2796</v>
      </c>
      <c r="AA426" s="431"/>
      <c r="AB426" s="408">
        <v>1.6</v>
      </c>
      <c r="AC426" s="408">
        <v>1.57</v>
      </c>
      <c r="AD426" s="408">
        <v>2.33</v>
      </c>
      <c r="AE426" s="409"/>
      <c r="AF426" s="410">
        <v>0</v>
      </c>
      <c r="AG426" s="410">
        <v>0</v>
      </c>
      <c r="AH426" s="411">
        <v>0</v>
      </c>
      <c r="AI426" s="412">
        <v>1.6</v>
      </c>
      <c r="AJ426" s="411">
        <v>1.57</v>
      </c>
      <c r="AK426" s="411">
        <v>2.33</v>
      </c>
      <c r="AL426" s="18"/>
      <c r="AM426" s="49"/>
      <c r="AN426" s="2"/>
      <c r="AO426" s="2"/>
    </row>
    <row r="427" spans="1:41" hidden="1">
      <c r="A427" s="14">
        <v>156</v>
      </c>
      <c r="B427" s="11" t="s">
        <v>168</v>
      </c>
      <c r="C427" s="14">
        <v>0</v>
      </c>
      <c r="D427" s="11" t="s">
        <v>18088</v>
      </c>
      <c r="E427" s="11" t="s">
        <v>168</v>
      </c>
      <c r="F427" s="12">
        <v>43997</v>
      </c>
      <c r="G427" s="11">
        <v>2020</v>
      </c>
      <c r="H427" s="11" t="s">
        <v>16899</v>
      </c>
      <c r="I427" s="11" t="s">
        <v>16900</v>
      </c>
      <c r="J427" s="11" t="s">
        <v>3</v>
      </c>
      <c r="K427" s="404">
        <v>75040</v>
      </c>
      <c r="L427" s="11">
        <v>1</v>
      </c>
      <c r="M427" s="404">
        <v>75040</v>
      </c>
      <c r="N427" s="11" t="s">
        <v>20155</v>
      </c>
      <c r="O427" s="11" t="s">
        <v>17261</v>
      </c>
      <c r="P427" s="872">
        <v>44053</v>
      </c>
      <c r="Q427" s="423">
        <v>0</v>
      </c>
      <c r="R427" s="423">
        <v>0</v>
      </c>
      <c r="S427" s="423">
        <v>56000</v>
      </c>
      <c r="T427" s="423">
        <v>0</v>
      </c>
      <c r="U427" s="423">
        <v>56000</v>
      </c>
      <c r="V427" s="11" t="s">
        <v>20155</v>
      </c>
      <c r="W427" s="407">
        <v>0</v>
      </c>
      <c r="X427" s="407">
        <v>0</v>
      </c>
      <c r="Y427" s="407">
        <v>75040</v>
      </c>
      <c r="Z427" s="407">
        <v>0</v>
      </c>
      <c r="AA427" s="408"/>
      <c r="AB427" s="408"/>
      <c r="AC427" s="408">
        <v>1.34</v>
      </c>
      <c r="AD427" s="408"/>
      <c r="AE427" s="409"/>
      <c r="AF427" s="410">
        <v>0</v>
      </c>
      <c r="AG427" s="410">
        <v>0</v>
      </c>
      <c r="AH427" s="411">
        <v>0</v>
      </c>
      <c r="AI427" s="411">
        <v>0</v>
      </c>
      <c r="AJ427" s="411">
        <v>1.34</v>
      </c>
      <c r="AK427" s="411">
        <v>0</v>
      </c>
      <c r="AL427" s="18"/>
      <c r="AM427" s="49"/>
      <c r="AN427" s="2"/>
      <c r="AO427" s="2"/>
    </row>
    <row r="428" spans="1:41" hidden="1">
      <c r="A428" s="14">
        <v>157</v>
      </c>
      <c r="B428" s="11" t="s">
        <v>169</v>
      </c>
      <c r="C428" s="14">
        <v>0</v>
      </c>
      <c r="D428" s="11" t="s">
        <v>18090</v>
      </c>
      <c r="E428" s="11" t="s">
        <v>169</v>
      </c>
      <c r="F428" s="12">
        <v>43999</v>
      </c>
      <c r="G428" s="11">
        <v>2020</v>
      </c>
      <c r="H428" s="11" t="s">
        <v>16444</v>
      </c>
      <c r="I428" s="11" t="s">
        <v>16445</v>
      </c>
      <c r="J428" s="11" t="s">
        <v>3</v>
      </c>
      <c r="K428" s="404">
        <v>66904.320000000007</v>
      </c>
      <c r="L428" s="11">
        <v>1</v>
      </c>
      <c r="M428" s="404">
        <v>66904.320000000007</v>
      </c>
      <c r="N428" s="11" t="s">
        <v>20155</v>
      </c>
      <c r="O428" s="11" t="s">
        <v>17693</v>
      </c>
      <c r="P428" s="872">
        <v>44006</v>
      </c>
      <c r="Q428" s="423">
        <v>44016</v>
      </c>
      <c r="R428" s="423">
        <v>0</v>
      </c>
      <c r="S428" s="423">
        <v>0</v>
      </c>
      <c r="T428" s="423">
        <v>0</v>
      </c>
      <c r="U428" s="423">
        <v>44016</v>
      </c>
      <c r="V428" s="11" t="s">
        <v>20155</v>
      </c>
      <c r="W428" s="407">
        <v>66904.320000000007</v>
      </c>
      <c r="X428" s="407">
        <v>0</v>
      </c>
      <c r="Y428" s="407">
        <v>0</v>
      </c>
      <c r="Z428" s="407">
        <v>0</v>
      </c>
      <c r="AA428" s="408">
        <v>1.5200000000000002</v>
      </c>
      <c r="AB428" s="408"/>
      <c r="AC428" s="408"/>
      <c r="AD428" s="408"/>
      <c r="AE428" s="409"/>
      <c r="AF428" s="410">
        <v>0</v>
      </c>
      <c r="AG428" s="410">
        <v>0</v>
      </c>
      <c r="AH428" s="411">
        <v>1.5200000000000002</v>
      </c>
      <c r="AI428" s="411">
        <v>0</v>
      </c>
      <c r="AJ428" s="411">
        <v>0</v>
      </c>
      <c r="AK428" s="411">
        <v>0</v>
      </c>
      <c r="AL428" s="18"/>
      <c r="AM428" s="49"/>
      <c r="AN428" s="2"/>
      <c r="AO428" s="2"/>
    </row>
    <row r="429" spans="1:41" hidden="1">
      <c r="A429" s="14">
        <v>158</v>
      </c>
      <c r="B429" s="11" t="s">
        <v>170</v>
      </c>
      <c r="C429" s="14">
        <v>0</v>
      </c>
      <c r="D429" s="11" t="s">
        <v>18091</v>
      </c>
      <c r="E429" s="11" t="s">
        <v>170</v>
      </c>
      <c r="F429" s="12">
        <v>44002</v>
      </c>
      <c r="G429" s="11">
        <v>2020</v>
      </c>
      <c r="H429" s="11" t="s">
        <v>17017</v>
      </c>
      <c r="I429" s="11" t="s">
        <v>17018</v>
      </c>
      <c r="J429" s="11" t="s">
        <v>3</v>
      </c>
      <c r="K429" s="404">
        <v>8444</v>
      </c>
      <c r="L429" s="11">
        <v>1</v>
      </c>
      <c r="M429" s="404">
        <v>8444</v>
      </c>
      <c r="N429" s="11" t="s">
        <v>20155</v>
      </c>
      <c r="O429" s="11" t="s">
        <v>17238</v>
      </c>
      <c r="P429" s="872">
        <v>44006</v>
      </c>
      <c r="Q429" s="423">
        <v>0</v>
      </c>
      <c r="R429" s="423">
        <v>4540</v>
      </c>
      <c r="S429" s="423">
        <v>0</v>
      </c>
      <c r="T429" s="423">
        <v>0</v>
      </c>
      <c r="U429" s="423">
        <v>4540</v>
      </c>
      <c r="V429" s="11" t="s">
        <v>20155</v>
      </c>
      <c r="W429" s="407">
        <v>0</v>
      </c>
      <c r="X429" s="407">
        <v>8444</v>
      </c>
      <c r="Y429" s="407">
        <v>0</v>
      </c>
      <c r="Z429" s="407">
        <v>0</v>
      </c>
      <c r="AA429" s="431"/>
      <c r="AB429" s="408">
        <v>1.8599118942731279</v>
      </c>
      <c r="AC429" s="408"/>
      <c r="AD429" s="408"/>
      <c r="AE429" s="409"/>
      <c r="AF429" s="410">
        <v>0</v>
      </c>
      <c r="AG429" s="410">
        <v>0</v>
      </c>
      <c r="AH429" s="411">
        <v>0</v>
      </c>
      <c r="AI429" s="412">
        <v>1.8599118942731279</v>
      </c>
      <c r="AJ429" s="411">
        <v>0</v>
      </c>
      <c r="AK429" s="411">
        <v>0</v>
      </c>
      <c r="AL429" s="18"/>
      <c r="AM429" s="49"/>
      <c r="AN429" s="2"/>
      <c r="AO429" s="2"/>
    </row>
    <row r="430" spans="1:41" hidden="1">
      <c r="A430" s="14">
        <v>159</v>
      </c>
      <c r="B430" s="11" t="s">
        <v>171</v>
      </c>
      <c r="C430" s="14">
        <v>0</v>
      </c>
      <c r="D430" s="11" t="s">
        <v>18093</v>
      </c>
      <c r="E430" s="11" t="s">
        <v>171</v>
      </c>
      <c r="F430" s="12">
        <v>44004</v>
      </c>
      <c r="G430" s="11">
        <v>2020</v>
      </c>
      <c r="H430" s="11" t="s">
        <v>16384</v>
      </c>
      <c r="I430" s="11" t="s">
        <v>16385</v>
      </c>
      <c r="J430" s="11" t="s">
        <v>3</v>
      </c>
      <c r="K430" s="404">
        <v>68388</v>
      </c>
      <c r="L430" s="11">
        <v>1</v>
      </c>
      <c r="M430" s="404">
        <v>68388</v>
      </c>
      <c r="N430" s="11" t="s">
        <v>20155</v>
      </c>
      <c r="O430" s="11" t="s">
        <v>20170</v>
      </c>
      <c r="P430" s="872">
        <v>44007</v>
      </c>
      <c r="Q430" s="423">
        <v>7200</v>
      </c>
      <c r="R430" s="423">
        <v>38400</v>
      </c>
      <c r="S430" s="423">
        <v>0</v>
      </c>
      <c r="T430" s="423">
        <v>0</v>
      </c>
      <c r="U430" s="423">
        <v>45600</v>
      </c>
      <c r="V430" s="11" t="s">
        <v>20155</v>
      </c>
      <c r="W430" s="407">
        <v>11016</v>
      </c>
      <c r="X430" s="407">
        <v>57372</v>
      </c>
      <c r="Y430" s="407">
        <v>0</v>
      </c>
      <c r="Z430" s="407">
        <v>0</v>
      </c>
      <c r="AA430" s="408">
        <v>1.53</v>
      </c>
      <c r="AB430" s="408">
        <v>1.4940625000000001</v>
      </c>
      <c r="AC430" s="408"/>
      <c r="AD430" s="408"/>
      <c r="AE430" s="409"/>
      <c r="AF430" s="410">
        <v>0</v>
      </c>
      <c r="AG430" s="410">
        <v>0</v>
      </c>
      <c r="AH430" s="411">
        <v>1.53</v>
      </c>
      <c r="AI430" s="412">
        <v>1.4940625000000001</v>
      </c>
      <c r="AJ430" s="411">
        <v>0</v>
      </c>
      <c r="AK430" s="411">
        <v>0</v>
      </c>
      <c r="AL430" s="18"/>
      <c r="AM430" s="49"/>
      <c r="AN430" s="2"/>
      <c r="AO430" s="2"/>
    </row>
    <row r="431" spans="1:41" hidden="1">
      <c r="A431" s="14">
        <v>160</v>
      </c>
      <c r="B431" s="11" t="s">
        <v>172</v>
      </c>
      <c r="C431" s="14">
        <v>0</v>
      </c>
      <c r="D431" s="11" t="s">
        <v>18095</v>
      </c>
      <c r="E431" s="11" t="s">
        <v>172</v>
      </c>
      <c r="F431" s="12">
        <v>44004</v>
      </c>
      <c r="G431" s="11">
        <v>2020</v>
      </c>
      <c r="H431" s="11" t="s">
        <v>16838</v>
      </c>
      <c r="I431" s="11" t="s">
        <v>16839</v>
      </c>
      <c r="J431" s="11" t="s">
        <v>3</v>
      </c>
      <c r="K431" s="404">
        <v>37200</v>
      </c>
      <c r="L431" s="11">
        <v>1</v>
      </c>
      <c r="M431" s="404">
        <v>37200</v>
      </c>
      <c r="N431" s="11" t="s">
        <v>20155</v>
      </c>
      <c r="O431" s="11" t="s">
        <v>17949</v>
      </c>
      <c r="P431" s="872">
        <v>44008</v>
      </c>
      <c r="Q431" s="423">
        <v>0</v>
      </c>
      <c r="R431" s="423">
        <v>24000</v>
      </c>
      <c r="S431" s="423">
        <v>0</v>
      </c>
      <c r="T431" s="423">
        <v>0</v>
      </c>
      <c r="U431" s="423">
        <v>24000</v>
      </c>
      <c r="V431" s="11" t="s">
        <v>20155</v>
      </c>
      <c r="W431" s="407">
        <v>0</v>
      </c>
      <c r="X431" s="407">
        <v>37200</v>
      </c>
      <c r="Y431" s="407">
        <v>0</v>
      </c>
      <c r="Z431" s="407">
        <v>0</v>
      </c>
      <c r="AA431" s="408"/>
      <c r="AB431" s="408">
        <v>1.55</v>
      </c>
      <c r="AC431" s="408"/>
      <c r="AD431" s="408"/>
      <c r="AE431" s="409"/>
      <c r="AF431" s="410">
        <v>0</v>
      </c>
      <c r="AG431" s="410">
        <v>0</v>
      </c>
      <c r="AH431" s="411">
        <v>0</v>
      </c>
      <c r="AI431" s="412">
        <v>1.55</v>
      </c>
      <c r="AJ431" s="411">
        <v>0</v>
      </c>
      <c r="AK431" s="411">
        <v>0</v>
      </c>
      <c r="AL431" s="18"/>
      <c r="AM431" s="49"/>
      <c r="AN431" s="2"/>
      <c r="AO431" s="2"/>
    </row>
    <row r="432" spans="1:41" hidden="1">
      <c r="A432" s="14">
        <v>161</v>
      </c>
      <c r="B432" s="11" t="s">
        <v>173</v>
      </c>
      <c r="C432" s="14">
        <v>0</v>
      </c>
      <c r="D432" s="11" t="s">
        <v>18096</v>
      </c>
      <c r="E432" s="11" t="s">
        <v>173</v>
      </c>
      <c r="F432" s="12">
        <v>44004</v>
      </c>
      <c r="G432" s="11">
        <v>2020</v>
      </c>
      <c r="H432" s="11" t="s">
        <v>16643</v>
      </c>
      <c r="I432" s="11" t="s">
        <v>16644</v>
      </c>
      <c r="J432" s="11" t="s">
        <v>16482</v>
      </c>
      <c r="K432" s="404">
        <v>153884.91200000001</v>
      </c>
      <c r="L432" s="11">
        <v>3.2018</v>
      </c>
      <c r="M432" s="404">
        <v>48062.000124929727</v>
      </c>
      <c r="N432" s="11" t="s">
        <v>20155</v>
      </c>
      <c r="O432" s="11" t="s">
        <v>20159</v>
      </c>
      <c r="P432" s="872">
        <v>44005</v>
      </c>
      <c r="Q432" s="423">
        <v>0</v>
      </c>
      <c r="R432" s="423">
        <v>80400</v>
      </c>
      <c r="S432" s="423">
        <v>0</v>
      </c>
      <c r="T432" s="423">
        <v>0</v>
      </c>
      <c r="U432" s="423">
        <v>80400</v>
      </c>
      <c r="V432" s="11" t="s">
        <v>20155</v>
      </c>
      <c r="W432" s="407">
        <v>0</v>
      </c>
      <c r="X432" s="407">
        <v>117128.24759999997</v>
      </c>
      <c r="Y432" s="407">
        <v>0</v>
      </c>
      <c r="Z432" s="407">
        <v>0</v>
      </c>
      <c r="AA432" s="408"/>
      <c r="AB432" s="408">
        <v>1.4568189999999996</v>
      </c>
      <c r="AC432" s="408"/>
      <c r="AD432" s="408"/>
      <c r="AE432" s="409"/>
      <c r="AF432" s="410">
        <v>42924.08</v>
      </c>
      <c r="AG432" s="410">
        <v>0.53388159203980101</v>
      </c>
      <c r="AH432" s="411">
        <v>0</v>
      </c>
      <c r="AI432" s="412">
        <v>0.92293740796019863</v>
      </c>
      <c r="AJ432" s="411">
        <v>0</v>
      </c>
      <c r="AK432" s="411">
        <v>0</v>
      </c>
      <c r="AL432" s="18"/>
      <c r="AM432" s="49"/>
      <c r="AN432" s="2"/>
      <c r="AO432" s="2"/>
    </row>
    <row r="433" spans="1:41" hidden="1">
      <c r="A433" s="14">
        <v>162</v>
      </c>
      <c r="B433" s="11" t="s">
        <v>174</v>
      </c>
      <c r="C433" s="14">
        <v>0</v>
      </c>
      <c r="D433" s="11" t="s">
        <v>18098</v>
      </c>
      <c r="E433" s="11" t="s">
        <v>174</v>
      </c>
      <c r="F433" s="12">
        <v>44005</v>
      </c>
      <c r="G433" s="11">
        <v>2020</v>
      </c>
      <c r="H433" s="11" t="s">
        <v>16972</v>
      </c>
      <c r="I433" s="11" t="s">
        <v>16973</v>
      </c>
      <c r="J433" s="11" t="s">
        <v>3</v>
      </c>
      <c r="K433" s="404">
        <v>218400</v>
      </c>
      <c r="L433" s="11">
        <v>1</v>
      </c>
      <c r="M433" s="404">
        <v>218400</v>
      </c>
      <c r="N433" s="11" t="s">
        <v>20155</v>
      </c>
      <c r="O433" s="11" t="s">
        <v>17801</v>
      </c>
      <c r="P433" s="872">
        <v>44019</v>
      </c>
      <c r="Q433" s="423">
        <v>0</v>
      </c>
      <c r="R433" s="423">
        <v>0</v>
      </c>
      <c r="S433" s="423">
        <v>168000</v>
      </c>
      <c r="T433" s="423">
        <v>0</v>
      </c>
      <c r="U433" s="423">
        <v>168000</v>
      </c>
      <c r="V433" s="11" t="s">
        <v>20155</v>
      </c>
      <c r="W433" s="407">
        <v>0</v>
      </c>
      <c r="X433" s="407">
        <v>0</v>
      </c>
      <c r="Y433" s="407">
        <v>218400</v>
      </c>
      <c r="Z433" s="407">
        <v>0</v>
      </c>
      <c r="AA433" s="408"/>
      <c r="AB433" s="408"/>
      <c r="AC433" s="408">
        <v>1.3</v>
      </c>
      <c r="AD433" s="408"/>
      <c r="AE433" s="409"/>
      <c r="AF433" s="410">
        <v>0</v>
      </c>
      <c r="AG433" s="410">
        <v>0</v>
      </c>
      <c r="AH433" s="411">
        <v>0</v>
      </c>
      <c r="AI433" s="411">
        <v>0</v>
      </c>
      <c r="AJ433" s="411">
        <v>1.3</v>
      </c>
      <c r="AK433" s="411">
        <v>0</v>
      </c>
      <c r="AL433" s="18"/>
      <c r="AM433" s="49"/>
      <c r="AN433" s="2"/>
      <c r="AO433" s="2"/>
    </row>
    <row r="434" spans="1:41" hidden="1">
      <c r="A434" s="14">
        <v>163</v>
      </c>
      <c r="B434" s="11" t="s">
        <v>175</v>
      </c>
      <c r="C434" s="14">
        <v>0</v>
      </c>
      <c r="D434" s="11" t="s">
        <v>18100</v>
      </c>
      <c r="E434" s="11" t="s">
        <v>175</v>
      </c>
      <c r="F434" s="12">
        <v>44005</v>
      </c>
      <c r="G434" s="11">
        <v>2020</v>
      </c>
      <c r="H434" s="11" t="s">
        <v>17156</v>
      </c>
      <c r="I434" s="11" t="s">
        <v>17157</v>
      </c>
      <c r="J434" s="11" t="s">
        <v>3</v>
      </c>
      <c r="K434" s="404">
        <v>178350</v>
      </c>
      <c r="L434" s="11">
        <v>1</v>
      </c>
      <c r="M434" s="404">
        <v>178350</v>
      </c>
      <c r="N434" s="11" t="s">
        <v>20155</v>
      </c>
      <c r="O434" s="11" t="s">
        <v>20161</v>
      </c>
      <c r="P434" s="872">
        <v>44014</v>
      </c>
      <c r="Q434" s="423">
        <v>0</v>
      </c>
      <c r="R434" s="423">
        <v>102500</v>
      </c>
      <c r="S434" s="423">
        <v>0</v>
      </c>
      <c r="T434" s="423">
        <v>0</v>
      </c>
      <c r="U434" s="423">
        <v>102500</v>
      </c>
      <c r="V434" s="11" t="s">
        <v>20155</v>
      </c>
      <c r="W434" s="407">
        <v>0</v>
      </c>
      <c r="X434" s="407">
        <v>178350</v>
      </c>
      <c r="Y434" s="407">
        <v>0</v>
      </c>
      <c r="Z434" s="407">
        <v>0</v>
      </c>
      <c r="AA434" s="408"/>
      <c r="AB434" s="408">
        <v>1.74</v>
      </c>
      <c r="AC434" s="408"/>
      <c r="AD434" s="408"/>
      <c r="AE434" s="409"/>
      <c r="AF434" s="410">
        <v>0</v>
      </c>
      <c r="AG434" s="410">
        <v>0</v>
      </c>
      <c r="AH434" s="411">
        <v>0</v>
      </c>
      <c r="AI434" s="412">
        <v>1.74</v>
      </c>
      <c r="AJ434" s="411">
        <v>0</v>
      </c>
      <c r="AK434" s="411">
        <v>0</v>
      </c>
      <c r="AL434" s="18"/>
      <c r="AM434" s="49"/>
      <c r="AN434" s="2"/>
      <c r="AO434" s="2"/>
    </row>
    <row r="435" spans="1:41" hidden="1">
      <c r="A435" s="14">
        <v>164</v>
      </c>
      <c r="B435" s="11" t="s">
        <v>176</v>
      </c>
      <c r="C435" s="14">
        <v>0</v>
      </c>
      <c r="D435" s="11" t="s">
        <v>18101</v>
      </c>
      <c r="E435" s="11" t="s">
        <v>176</v>
      </c>
      <c r="F435" s="12">
        <v>44005</v>
      </c>
      <c r="G435" s="11">
        <v>2020</v>
      </c>
      <c r="H435" s="11" t="s">
        <v>17156</v>
      </c>
      <c r="I435" s="11" t="s">
        <v>17157</v>
      </c>
      <c r="J435" s="11" t="s">
        <v>3</v>
      </c>
      <c r="K435" s="404">
        <v>41340</v>
      </c>
      <c r="L435" s="11">
        <v>1</v>
      </c>
      <c r="M435" s="404">
        <v>41340</v>
      </c>
      <c r="N435" s="11" t="s">
        <v>20155</v>
      </c>
      <c r="O435" s="11" t="s">
        <v>18248</v>
      </c>
      <c r="P435" s="872">
        <v>44014</v>
      </c>
      <c r="Q435" s="423">
        <v>0</v>
      </c>
      <c r="R435" s="423">
        <v>0</v>
      </c>
      <c r="S435" s="423">
        <v>26000</v>
      </c>
      <c r="T435" s="423">
        <v>0</v>
      </c>
      <c r="U435" s="423">
        <v>26000</v>
      </c>
      <c r="V435" s="11" t="s">
        <v>20155</v>
      </c>
      <c r="W435" s="407">
        <v>0</v>
      </c>
      <c r="X435" s="407">
        <v>0</v>
      </c>
      <c r="Y435" s="407">
        <v>41340</v>
      </c>
      <c r="Z435" s="407">
        <v>0</v>
      </c>
      <c r="AA435" s="408"/>
      <c r="AB435" s="408"/>
      <c r="AC435" s="408">
        <v>1.59</v>
      </c>
      <c r="AD435" s="408"/>
      <c r="AE435" s="409"/>
      <c r="AF435" s="410">
        <v>0</v>
      </c>
      <c r="AG435" s="410">
        <v>0</v>
      </c>
      <c r="AH435" s="411">
        <v>0</v>
      </c>
      <c r="AI435" s="411">
        <v>0</v>
      </c>
      <c r="AJ435" s="411">
        <v>1.59</v>
      </c>
      <c r="AK435" s="411">
        <v>0</v>
      </c>
      <c r="AL435" s="18"/>
      <c r="AM435" s="49"/>
      <c r="AN435" s="2"/>
      <c r="AO435" s="2"/>
    </row>
    <row r="436" spans="1:41" hidden="1">
      <c r="A436" s="14">
        <v>165</v>
      </c>
      <c r="B436" s="11" t="s">
        <v>177</v>
      </c>
      <c r="C436" s="14">
        <v>0</v>
      </c>
      <c r="D436" s="11" t="s">
        <v>18102</v>
      </c>
      <c r="E436" s="11" t="s">
        <v>177</v>
      </c>
      <c r="F436" s="12">
        <v>44005</v>
      </c>
      <c r="G436" s="11">
        <v>2020</v>
      </c>
      <c r="H436" s="11" t="s">
        <v>17172</v>
      </c>
      <c r="I436" s="11" t="s">
        <v>17173</v>
      </c>
      <c r="J436" s="11" t="s">
        <v>16482</v>
      </c>
      <c r="K436" s="404">
        <v>87585.890499999994</v>
      </c>
      <c r="L436" s="11">
        <v>3.2094499999999999</v>
      </c>
      <c r="M436" s="404">
        <v>27290</v>
      </c>
      <c r="N436" s="11" t="s">
        <v>20155</v>
      </c>
      <c r="O436" s="11" t="s">
        <v>17771</v>
      </c>
      <c r="P436" s="872" t="s">
        <v>20291</v>
      </c>
      <c r="Q436" s="423">
        <v>0</v>
      </c>
      <c r="R436" s="423">
        <v>0</v>
      </c>
      <c r="S436" s="423">
        <v>52000</v>
      </c>
      <c r="T436" s="423">
        <v>0</v>
      </c>
      <c r="U436" s="423">
        <v>52000</v>
      </c>
      <c r="V436" s="11" t="s">
        <v>20155</v>
      </c>
      <c r="W436" s="407">
        <v>0</v>
      </c>
      <c r="X436" s="407">
        <v>0</v>
      </c>
      <c r="Y436" s="407">
        <v>77315.650500000003</v>
      </c>
      <c r="Z436" s="407">
        <v>0</v>
      </c>
      <c r="AA436" s="408"/>
      <c r="AB436" s="408"/>
      <c r="AC436" s="408">
        <v>1.4868394326923078</v>
      </c>
      <c r="AD436" s="408"/>
      <c r="AE436" s="409"/>
      <c r="AF436" s="410">
        <v>0</v>
      </c>
      <c r="AG436" s="410">
        <v>0</v>
      </c>
      <c r="AH436" s="411">
        <v>0</v>
      </c>
      <c r="AI436" s="411">
        <v>0</v>
      </c>
      <c r="AJ436" s="411">
        <v>1.4868394326923078</v>
      </c>
      <c r="AK436" s="411">
        <v>0</v>
      </c>
      <c r="AL436" s="18"/>
      <c r="AM436" s="49"/>
      <c r="AN436" s="2"/>
      <c r="AO436" s="2"/>
    </row>
    <row r="437" spans="1:41" hidden="1">
      <c r="A437" s="14">
        <v>166</v>
      </c>
      <c r="B437" s="11" t="s">
        <v>178</v>
      </c>
      <c r="C437" s="14">
        <v>0</v>
      </c>
      <c r="D437" s="11" t="s">
        <v>18103</v>
      </c>
      <c r="E437" s="11" t="s">
        <v>178</v>
      </c>
      <c r="F437" s="12">
        <v>44008</v>
      </c>
      <c r="G437" s="11">
        <v>2020</v>
      </c>
      <c r="H437" s="11" t="s">
        <v>16444</v>
      </c>
      <c r="I437" s="11" t="s">
        <v>16445</v>
      </c>
      <c r="J437" s="11" t="s">
        <v>3</v>
      </c>
      <c r="K437" s="404">
        <v>264300</v>
      </c>
      <c r="L437" s="11">
        <v>1</v>
      </c>
      <c r="M437" s="404">
        <v>264300</v>
      </c>
      <c r="N437" s="11" t="s">
        <v>20155</v>
      </c>
      <c r="O437" s="11" t="s">
        <v>17801</v>
      </c>
      <c r="P437" s="872" t="s">
        <v>20291</v>
      </c>
      <c r="Q437" s="423">
        <v>0</v>
      </c>
      <c r="R437" s="423">
        <v>211440</v>
      </c>
      <c r="S437" s="423">
        <v>0</v>
      </c>
      <c r="T437" s="423">
        <v>0</v>
      </c>
      <c r="U437" s="423">
        <v>211440</v>
      </c>
      <c r="V437" s="11" t="s">
        <v>20155</v>
      </c>
      <c r="W437" s="407">
        <v>0</v>
      </c>
      <c r="X437" s="407">
        <v>264300</v>
      </c>
      <c r="Y437" s="407">
        <v>0</v>
      </c>
      <c r="Z437" s="407">
        <v>0</v>
      </c>
      <c r="AA437" s="408"/>
      <c r="AB437" s="408">
        <v>1.25</v>
      </c>
      <c r="AC437" s="408"/>
      <c r="AD437" s="408"/>
      <c r="AE437" s="409"/>
      <c r="AF437" s="410">
        <v>0</v>
      </c>
      <c r="AG437" s="410">
        <v>0</v>
      </c>
      <c r="AH437" s="411">
        <v>0</v>
      </c>
      <c r="AI437" s="412">
        <v>1.25</v>
      </c>
      <c r="AJ437" s="411">
        <v>0</v>
      </c>
      <c r="AK437" s="411">
        <v>0</v>
      </c>
      <c r="AL437" s="18"/>
      <c r="AM437" s="49"/>
      <c r="AN437" s="2"/>
      <c r="AO437" s="2"/>
    </row>
    <row r="438" spans="1:41" hidden="1">
      <c r="A438" s="14">
        <v>167</v>
      </c>
      <c r="B438" s="11" t="s">
        <v>179</v>
      </c>
      <c r="C438" s="14">
        <v>0</v>
      </c>
      <c r="D438" s="11" t="s">
        <v>18104</v>
      </c>
      <c r="E438" s="11" t="s">
        <v>179</v>
      </c>
      <c r="F438" s="12">
        <v>44009</v>
      </c>
      <c r="G438" s="11">
        <v>2020</v>
      </c>
      <c r="H438" s="11" t="s">
        <v>17017</v>
      </c>
      <c r="I438" s="11" t="s">
        <v>17018</v>
      </c>
      <c r="J438" s="11" t="s">
        <v>3</v>
      </c>
      <c r="K438" s="404">
        <v>33000</v>
      </c>
      <c r="L438" s="11">
        <v>1</v>
      </c>
      <c r="M438" s="405">
        <v>33000</v>
      </c>
      <c r="N438" s="11" t="s">
        <v>20155</v>
      </c>
      <c r="O438" s="11" t="s">
        <v>18064</v>
      </c>
      <c r="P438" s="872">
        <v>44025</v>
      </c>
      <c r="Q438" s="423">
        <v>0</v>
      </c>
      <c r="R438" s="423">
        <v>20000</v>
      </c>
      <c r="S438" s="423">
        <v>0</v>
      </c>
      <c r="T438" s="423">
        <v>0</v>
      </c>
      <c r="U438" s="423">
        <v>20000</v>
      </c>
      <c r="V438" s="11" t="s">
        <v>20155</v>
      </c>
      <c r="W438" s="407">
        <v>0</v>
      </c>
      <c r="X438" s="407">
        <v>33000</v>
      </c>
      <c r="Y438" s="407">
        <v>0</v>
      </c>
      <c r="Z438" s="407">
        <v>0</v>
      </c>
      <c r="AA438" s="431"/>
      <c r="AB438" s="408">
        <v>1.65</v>
      </c>
      <c r="AC438" s="408"/>
      <c r="AD438" s="408"/>
      <c r="AE438" s="409"/>
      <c r="AF438" s="410">
        <v>0</v>
      </c>
      <c r="AG438" s="410">
        <v>0</v>
      </c>
      <c r="AH438" s="411">
        <v>0</v>
      </c>
      <c r="AI438" s="412">
        <v>1.65</v>
      </c>
      <c r="AJ438" s="411">
        <v>0</v>
      </c>
      <c r="AK438" s="411">
        <v>0</v>
      </c>
      <c r="AL438" s="18"/>
      <c r="AM438" s="49"/>
      <c r="AN438" s="2"/>
      <c r="AO438" s="2"/>
    </row>
    <row r="439" spans="1:41" hidden="1">
      <c r="A439" s="14">
        <v>168</v>
      </c>
      <c r="B439" s="11" t="s">
        <v>180</v>
      </c>
      <c r="C439" s="14">
        <v>0</v>
      </c>
      <c r="D439" s="11" t="s">
        <v>18106</v>
      </c>
      <c r="E439" s="11" t="s">
        <v>180</v>
      </c>
      <c r="F439" s="12">
        <v>44012</v>
      </c>
      <c r="G439" s="11">
        <v>2020</v>
      </c>
      <c r="H439" s="11" t="s">
        <v>16444</v>
      </c>
      <c r="I439" s="11" t="s">
        <v>16445</v>
      </c>
      <c r="J439" s="11" t="s">
        <v>3</v>
      </c>
      <c r="K439" s="404">
        <v>247875</v>
      </c>
      <c r="L439" s="11">
        <v>1</v>
      </c>
      <c r="M439" s="405">
        <v>247875</v>
      </c>
      <c r="N439" s="11" t="s">
        <v>20155</v>
      </c>
      <c r="O439" s="11" t="s">
        <v>17801</v>
      </c>
      <c r="P439" s="872">
        <v>44016</v>
      </c>
      <c r="Q439" s="423">
        <v>0</v>
      </c>
      <c r="R439" s="423">
        <v>198300</v>
      </c>
      <c r="S439" s="423">
        <v>0</v>
      </c>
      <c r="T439" s="423">
        <v>0</v>
      </c>
      <c r="U439" s="423">
        <v>198300</v>
      </c>
      <c r="V439" s="11" t="s">
        <v>20155</v>
      </c>
      <c r="W439" s="407">
        <v>0</v>
      </c>
      <c r="X439" s="407">
        <v>247875</v>
      </c>
      <c r="Y439" s="407">
        <v>0</v>
      </c>
      <c r="Z439" s="407">
        <v>0</v>
      </c>
      <c r="AA439" s="408"/>
      <c r="AB439" s="408">
        <v>1.25</v>
      </c>
      <c r="AC439" s="408"/>
      <c r="AD439" s="408"/>
      <c r="AE439" s="409"/>
      <c r="AF439" s="410">
        <v>0</v>
      </c>
      <c r="AG439" s="410">
        <v>0</v>
      </c>
      <c r="AH439" s="411">
        <v>0</v>
      </c>
      <c r="AI439" s="412">
        <v>1.25</v>
      </c>
      <c r="AJ439" s="411">
        <v>0</v>
      </c>
      <c r="AK439" s="411">
        <v>0</v>
      </c>
      <c r="AL439" s="18"/>
      <c r="AM439" s="49"/>
      <c r="AN439" s="2"/>
      <c r="AO439" s="2"/>
    </row>
    <row r="440" spans="1:41" hidden="1">
      <c r="A440" s="14">
        <v>169</v>
      </c>
      <c r="B440" s="11" t="s">
        <v>181</v>
      </c>
      <c r="C440" s="14">
        <v>0</v>
      </c>
      <c r="D440" s="11" t="s">
        <v>18107</v>
      </c>
      <c r="E440" s="11" t="s">
        <v>181</v>
      </c>
      <c r="F440" s="12">
        <v>44012</v>
      </c>
      <c r="G440" s="11">
        <v>2020</v>
      </c>
      <c r="H440" s="11" t="s">
        <v>16972</v>
      </c>
      <c r="I440" s="11" t="s">
        <v>16973</v>
      </c>
      <c r="J440" s="11" t="s">
        <v>3</v>
      </c>
      <c r="K440" s="404">
        <v>105638.39999999999</v>
      </c>
      <c r="L440" s="11">
        <v>1</v>
      </c>
      <c r="M440" s="405">
        <v>105638.39999999999</v>
      </c>
      <c r="N440" s="11" t="s">
        <v>20155</v>
      </c>
      <c r="O440" s="11" t="s">
        <v>17801</v>
      </c>
      <c r="P440" s="872">
        <v>44015</v>
      </c>
      <c r="Q440" s="423">
        <v>66024</v>
      </c>
      <c r="R440" s="423">
        <v>0</v>
      </c>
      <c r="S440" s="423">
        <v>0</v>
      </c>
      <c r="T440" s="423">
        <v>0</v>
      </c>
      <c r="U440" s="423">
        <v>66024</v>
      </c>
      <c r="V440" s="11" t="s">
        <v>20155</v>
      </c>
      <c r="W440" s="407">
        <v>105638.39999999999</v>
      </c>
      <c r="X440" s="407">
        <v>0</v>
      </c>
      <c r="Y440" s="407">
        <v>0</v>
      </c>
      <c r="Z440" s="407">
        <v>0</v>
      </c>
      <c r="AA440" s="408">
        <v>1.6</v>
      </c>
      <c r="AB440" s="408"/>
      <c r="AC440" s="408"/>
      <c r="AD440" s="408"/>
      <c r="AE440" s="409"/>
      <c r="AF440" s="410">
        <v>0</v>
      </c>
      <c r="AG440" s="410">
        <v>0</v>
      </c>
      <c r="AH440" s="411">
        <v>1.6</v>
      </c>
      <c r="AI440" s="411">
        <v>0</v>
      </c>
      <c r="AJ440" s="411">
        <v>0</v>
      </c>
      <c r="AK440" s="411">
        <v>0</v>
      </c>
      <c r="AL440" s="18"/>
      <c r="AM440" s="49"/>
      <c r="AN440" s="2"/>
      <c r="AO440" s="2"/>
    </row>
    <row r="441" spans="1:41" hidden="1">
      <c r="A441" s="14">
        <v>170</v>
      </c>
      <c r="B441" s="11" t="s">
        <v>182</v>
      </c>
      <c r="C441" s="14">
        <v>0</v>
      </c>
      <c r="D441" s="11" t="s">
        <v>18108</v>
      </c>
      <c r="E441" s="11" t="s">
        <v>182</v>
      </c>
      <c r="F441" s="12">
        <v>44012</v>
      </c>
      <c r="G441" s="11">
        <v>2020</v>
      </c>
      <c r="H441" s="11" t="s">
        <v>16957</v>
      </c>
      <c r="I441" s="11" t="s">
        <v>16958</v>
      </c>
      <c r="J441" s="11" t="s">
        <v>16401</v>
      </c>
      <c r="K441" s="404">
        <v>38619.195</v>
      </c>
      <c r="L441" s="11">
        <v>2.73895</v>
      </c>
      <c r="M441" s="405">
        <v>14100</v>
      </c>
      <c r="N441" s="11" t="s">
        <v>20155</v>
      </c>
      <c r="O441" s="11" t="s">
        <v>20161</v>
      </c>
      <c r="P441" s="872">
        <v>44064</v>
      </c>
      <c r="Q441" s="423">
        <v>20000</v>
      </c>
      <c r="R441" s="423">
        <v>0</v>
      </c>
      <c r="S441" s="423">
        <v>0</v>
      </c>
      <c r="T441" s="423">
        <v>0</v>
      </c>
      <c r="U441" s="423">
        <v>20000</v>
      </c>
      <c r="V441" s="11" t="s">
        <v>20155</v>
      </c>
      <c r="W441" s="407">
        <v>38619.195</v>
      </c>
      <c r="X441" s="407">
        <v>0</v>
      </c>
      <c r="Y441" s="407">
        <v>0</v>
      </c>
      <c r="Z441" s="407">
        <v>0</v>
      </c>
      <c r="AA441" s="408">
        <v>1.93095975</v>
      </c>
      <c r="AB441" s="408"/>
      <c r="AC441" s="408"/>
      <c r="AD441" s="408"/>
      <c r="AE441" s="409"/>
      <c r="AF441" s="410">
        <v>4996.43</v>
      </c>
      <c r="AG441" s="410">
        <v>0.2498215</v>
      </c>
      <c r="AH441" s="411">
        <v>1.6811382500000001</v>
      </c>
      <c r="AI441" s="411">
        <v>0</v>
      </c>
      <c r="AJ441" s="411">
        <v>0</v>
      </c>
      <c r="AK441" s="411">
        <v>0</v>
      </c>
      <c r="AL441" s="18"/>
      <c r="AM441" s="49"/>
      <c r="AN441" s="2"/>
      <c r="AO441" s="2"/>
    </row>
    <row r="442" spans="1:41" hidden="1">
      <c r="A442" s="14">
        <v>171</v>
      </c>
      <c r="B442" s="11" t="s">
        <v>183</v>
      </c>
      <c r="C442" s="14">
        <v>0</v>
      </c>
      <c r="D442" s="11" t="s">
        <v>18110</v>
      </c>
      <c r="E442" s="11" t="s">
        <v>183</v>
      </c>
      <c r="F442" s="12">
        <v>44013</v>
      </c>
      <c r="G442" s="11">
        <v>2020</v>
      </c>
      <c r="H442" s="11" t="s">
        <v>16783</v>
      </c>
      <c r="I442" s="11" t="s">
        <v>16784</v>
      </c>
      <c r="J442" s="11" t="s">
        <v>16401</v>
      </c>
      <c r="K442" s="404">
        <v>790951.44759999996</v>
      </c>
      <c r="L442" s="11">
        <v>2.84605</v>
      </c>
      <c r="M442" s="405">
        <v>277912</v>
      </c>
      <c r="N442" s="11" t="s">
        <v>20155</v>
      </c>
      <c r="O442" s="11" t="s">
        <v>17939</v>
      </c>
      <c r="P442" s="872">
        <v>44019</v>
      </c>
      <c r="Q442" s="423">
        <v>45600</v>
      </c>
      <c r="R442" s="423">
        <v>331200</v>
      </c>
      <c r="S442" s="423">
        <v>19200</v>
      </c>
      <c r="T442" s="423">
        <v>48000</v>
      </c>
      <c r="U442" s="423">
        <v>444000</v>
      </c>
      <c r="V442" s="11" t="s">
        <v>20155</v>
      </c>
      <c r="W442" s="407">
        <v>101630.453265</v>
      </c>
      <c r="X442" s="407">
        <v>499584.2328</v>
      </c>
      <c r="Y442" s="407">
        <v>28961.4048</v>
      </c>
      <c r="Z442" s="407">
        <v>101575.52450000001</v>
      </c>
      <c r="AA442" s="408">
        <v>2.2287380101973686</v>
      </c>
      <c r="AB442" s="408">
        <v>1.5084065</v>
      </c>
      <c r="AC442" s="408">
        <v>1.5084065</v>
      </c>
      <c r="AD442" s="408">
        <v>2.1161567604166671</v>
      </c>
      <c r="AE442" s="409"/>
      <c r="AF442" s="410">
        <v>57016.44</v>
      </c>
      <c r="AG442" s="410">
        <v>0.12841540540540541</v>
      </c>
      <c r="AH442" s="411">
        <v>2.1003226047919634</v>
      </c>
      <c r="AI442" s="412">
        <v>1.3799910945945946</v>
      </c>
      <c r="AJ442" s="411">
        <v>1.3799910945945946</v>
      </c>
      <c r="AK442" s="411">
        <v>1.9877413550112617</v>
      </c>
      <c r="AL442" s="18"/>
      <c r="AM442" s="49"/>
      <c r="AN442" s="2"/>
      <c r="AO442" s="2"/>
    </row>
    <row r="443" spans="1:41" hidden="1">
      <c r="A443" s="14">
        <v>172</v>
      </c>
      <c r="B443" s="11" t="s">
        <v>184</v>
      </c>
      <c r="C443" s="14">
        <v>0</v>
      </c>
      <c r="D443" s="11" t="s">
        <v>18111</v>
      </c>
      <c r="E443" s="11" t="s">
        <v>184</v>
      </c>
      <c r="F443" s="12">
        <v>44016</v>
      </c>
      <c r="G443" s="11">
        <v>2020</v>
      </c>
      <c r="H443" s="11" t="s">
        <v>16838</v>
      </c>
      <c r="I443" s="11" t="s">
        <v>16839</v>
      </c>
      <c r="J443" s="11" t="s">
        <v>3</v>
      </c>
      <c r="K443" s="404">
        <v>32791.919999999998</v>
      </c>
      <c r="L443" s="11">
        <v>1</v>
      </c>
      <c r="M443" s="405">
        <v>32791.919999999998</v>
      </c>
      <c r="N443" s="11" t="s">
        <v>20155</v>
      </c>
      <c r="O443" s="11" t="s">
        <v>17949</v>
      </c>
      <c r="P443" s="872">
        <v>44020</v>
      </c>
      <c r="Q443" s="423">
        <v>22008</v>
      </c>
      <c r="R443" s="423">
        <v>0</v>
      </c>
      <c r="S443" s="423">
        <v>0</v>
      </c>
      <c r="T443" s="423">
        <v>0</v>
      </c>
      <c r="U443" s="423">
        <v>22008</v>
      </c>
      <c r="V443" s="11" t="s">
        <v>20155</v>
      </c>
      <c r="W443" s="407">
        <v>32791.919999999998</v>
      </c>
      <c r="X443" s="407">
        <v>0</v>
      </c>
      <c r="Y443" s="407">
        <v>0</v>
      </c>
      <c r="Z443" s="407">
        <v>0</v>
      </c>
      <c r="AA443" s="408">
        <v>1.49</v>
      </c>
      <c r="AB443" s="408"/>
      <c r="AC443" s="408"/>
      <c r="AD443" s="408"/>
      <c r="AE443" s="409"/>
      <c r="AF443" s="410">
        <v>0</v>
      </c>
      <c r="AG443" s="410">
        <v>0</v>
      </c>
      <c r="AH443" s="411">
        <v>1.49</v>
      </c>
      <c r="AI443" s="411">
        <v>0</v>
      </c>
      <c r="AJ443" s="411">
        <v>0</v>
      </c>
      <c r="AK443" s="411">
        <v>0</v>
      </c>
      <c r="AL443" s="18"/>
      <c r="AM443" s="49"/>
      <c r="AN443" s="2"/>
      <c r="AO443" s="2"/>
    </row>
    <row r="444" spans="1:41" hidden="1">
      <c r="A444" s="14">
        <v>173</v>
      </c>
      <c r="B444" s="11" t="s">
        <v>185</v>
      </c>
      <c r="C444" s="14">
        <v>0</v>
      </c>
      <c r="D444" s="11" t="s">
        <v>18112</v>
      </c>
      <c r="E444" s="11" t="s">
        <v>185</v>
      </c>
      <c r="F444" s="12">
        <v>44016</v>
      </c>
      <c r="G444" s="11">
        <v>2020</v>
      </c>
      <c r="H444" s="11" t="s">
        <v>17230</v>
      </c>
      <c r="I444" s="11" t="s">
        <v>17231</v>
      </c>
      <c r="J444" s="11" t="s">
        <v>16482</v>
      </c>
      <c r="K444" s="404">
        <v>43867.1</v>
      </c>
      <c r="L444" s="11">
        <v>3.21095</v>
      </c>
      <c r="M444" s="405">
        <v>13661.720051698096</v>
      </c>
      <c r="N444" s="11" t="s">
        <v>20155</v>
      </c>
      <c r="O444" s="11" t="s">
        <v>16394</v>
      </c>
      <c r="P444" s="872">
        <v>44021</v>
      </c>
      <c r="Q444" s="423">
        <v>0</v>
      </c>
      <c r="R444" s="423">
        <v>16944</v>
      </c>
      <c r="S444" s="423">
        <v>6000</v>
      </c>
      <c r="T444" s="423">
        <v>1780</v>
      </c>
      <c r="U444" s="423">
        <v>24724</v>
      </c>
      <c r="V444" s="11" t="s">
        <v>20155</v>
      </c>
      <c r="W444" s="407">
        <v>0</v>
      </c>
      <c r="X444" s="407">
        <v>28958.658984000002</v>
      </c>
      <c r="Y444" s="407">
        <v>9729.1785000000018</v>
      </c>
      <c r="Z444" s="407">
        <v>5179.26235</v>
      </c>
      <c r="AA444" s="408"/>
      <c r="AB444" s="408">
        <v>1.7090804405099151</v>
      </c>
      <c r="AC444" s="408">
        <v>1.6215297500000003</v>
      </c>
      <c r="AD444" s="408">
        <v>2.9096979494382023</v>
      </c>
      <c r="AE444" s="409"/>
      <c r="AF444" s="410">
        <v>1245.3</v>
      </c>
      <c r="AG444" s="410">
        <v>5.0368063420158551E-2</v>
      </c>
      <c r="AH444" s="411">
        <v>0</v>
      </c>
      <c r="AI444" s="412">
        <v>1.6587123770897565</v>
      </c>
      <c r="AJ444" s="411">
        <v>1.5711616865798417</v>
      </c>
      <c r="AK444" s="411">
        <v>2.8593298860180436</v>
      </c>
      <c r="AL444" s="18"/>
      <c r="AM444" s="49"/>
      <c r="AN444" s="2"/>
      <c r="AO444" s="2"/>
    </row>
    <row r="445" spans="1:41" hidden="1">
      <c r="A445" s="14">
        <v>174</v>
      </c>
      <c r="B445" s="11" t="s">
        <v>186</v>
      </c>
      <c r="C445" s="14">
        <v>0</v>
      </c>
      <c r="D445" s="11" t="s">
        <v>18114</v>
      </c>
      <c r="E445" s="11" t="s">
        <v>186</v>
      </c>
      <c r="F445" s="12">
        <v>44016</v>
      </c>
      <c r="G445" s="11">
        <v>2020</v>
      </c>
      <c r="H445" s="11" t="s">
        <v>16972</v>
      </c>
      <c r="I445" s="11" t="s">
        <v>16973</v>
      </c>
      <c r="J445" s="11" t="s">
        <v>3</v>
      </c>
      <c r="K445" s="404">
        <v>145600</v>
      </c>
      <c r="L445" s="11">
        <v>1</v>
      </c>
      <c r="M445" s="405">
        <v>145600</v>
      </c>
      <c r="N445" s="11" t="s">
        <v>20155</v>
      </c>
      <c r="O445" s="11" t="s">
        <v>17801</v>
      </c>
      <c r="P445" s="872">
        <v>44019</v>
      </c>
      <c r="Q445" s="423">
        <v>0</v>
      </c>
      <c r="R445" s="423">
        <v>0</v>
      </c>
      <c r="S445" s="423">
        <v>112000</v>
      </c>
      <c r="T445" s="423">
        <v>0</v>
      </c>
      <c r="U445" s="423">
        <v>112000</v>
      </c>
      <c r="V445" s="11" t="s">
        <v>20155</v>
      </c>
      <c r="W445" s="407">
        <v>0</v>
      </c>
      <c r="X445" s="407">
        <v>0</v>
      </c>
      <c r="Y445" s="407">
        <v>145600</v>
      </c>
      <c r="Z445" s="407">
        <v>0</v>
      </c>
      <c r="AA445" s="408"/>
      <c r="AB445" s="408"/>
      <c r="AC445" s="408">
        <v>1.3</v>
      </c>
      <c r="AD445" s="408"/>
      <c r="AE445" s="409"/>
      <c r="AF445" s="410">
        <v>0</v>
      </c>
      <c r="AG445" s="410">
        <v>0</v>
      </c>
      <c r="AH445" s="411">
        <v>0</v>
      </c>
      <c r="AI445" s="411">
        <v>0</v>
      </c>
      <c r="AJ445" s="411">
        <v>1.3</v>
      </c>
      <c r="AK445" s="411">
        <v>0</v>
      </c>
      <c r="AL445" s="18"/>
      <c r="AM445" s="49"/>
      <c r="AN445" s="2"/>
      <c r="AO445" s="2"/>
    </row>
    <row r="446" spans="1:41" hidden="1">
      <c r="A446" s="14">
        <v>175</v>
      </c>
      <c r="B446" s="11" t="s">
        <v>187</v>
      </c>
      <c r="C446" s="14">
        <v>0</v>
      </c>
      <c r="D446" s="11" t="s">
        <v>18115</v>
      </c>
      <c r="E446" s="11" t="s">
        <v>187</v>
      </c>
      <c r="F446" s="12">
        <v>44019</v>
      </c>
      <c r="G446" s="11">
        <v>2020</v>
      </c>
      <c r="H446" s="11" t="s">
        <v>16444</v>
      </c>
      <c r="I446" s="11" t="s">
        <v>16445</v>
      </c>
      <c r="J446" s="11" t="s">
        <v>3</v>
      </c>
      <c r="K446" s="404">
        <v>76181.759999999995</v>
      </c>
      <c r="L446" s="11">
        <v>1</v>
      </c>
      <c r="M446" s="405">
        <v>76181.759999999995</v>
      </c>
      <c r="N446" s="11" t="s">
        <v>20155</v>
      </c>
      <c r="O446" s="11" t="s">
        <v>17693</v>
      </c>
      <c r="P446" s="872">
        <v>44027</v>
      </c>
      <c r="Q446" s="423">
        <v>0</v>
      </c>
      <c r="R446" s="423">
        <v>0</v>
      </c>
      <c r="S446" s="423">
        <v>56016</v>
      </c>
      <c r="T446" s="423">
        <v>0</v>
      </c>
      <c r="U446" s="423">
        <v>56016</v>
      </c>
      <c r="V446" s="11" t="s">
        <v>20155</v>
      </c>
      <c r="W446" s="407">
        <v>0</v>
      </c>
      <c r="X446" s="407">
        <v>0</v>
      </c>
      <c r="Y446" s="407">
        <v>76181.759999999995</v>
      </c>
      <c r="Z446" s="407">
        <v>0</v>
      </c>
      <c r="AA446" s="408"/>
      <c r="AB446" s="408"/>
      <c r="AC446" s="408">
        <v>1.36</v>
      </c>
      <c r="AD446" s="408"/>
      <c r="AE446" s="409"/>
      <c r="AF446" s="410">
        <v>0</v>
      </c>
      <c r="AG446" s="410">
        <v>0</v>
      </c>
      <c r="AH446" s="411">
        <v>0</v>
      </c>
      <c r="AI446" s="411">
        <v>0</v>
      </c>
      <c r="AJ446" s="411">
        <v>1.36</v>
      </c>
      <c r="AK446" s="411">
        <v>0</v>
      </c>
      <c r="AL446" s="18"/>
      <c r="AM446" s="49"/>
      <c r="AN446" s="2"/>
      <c r="AO446" s="2"/>
    </row>
    <row r="447" spans="1:41" hidden="1">
      <c r="A447" s="14">
        <v>176</v>
      </c>
      <c r="B447" s="11" t="s">
        <v>188</v>
      </c>
      <c r="C447" s="14">
        <v>0</v>
      </c>
      <c r="D447" s="11" t="s">
        <v>18117</v>
      </c>
      <c r="E447" s="11" t="s">
        <v>188</v>
      </c>
      <c r="F447" s="12">
        <v>44019</v>
      </c>
      <c r="G447" s="11">
        <v>2020</v>
      </c>
      <c r="H447" s="11" t="s">
        <v>16444</v>
      </c>
      <c r="I447" s="11" t="s">
        <v>16445</v>
      </c>
      <c r="J447" s="11" t="s">
        <v>3</v>
      </c>
      <c r="K447" s="404">
        <v>68916.960000000006</v>
      </c>
      <c r="L447" s="11">
        <v>1</v>
      </c>
      <c r="M447" s="405">
        <v>68916.960000000006</v>
      </c>
      <c r="N447" s="11" t="s">
        <v>20155</v>
      </c>
      <c r="O447" s="11" t="s">
        <v>17693</v>
      </c>
      <c r="P447" s="872">
        <v>44034</v>
      </c>
      <c r="Q447" s="423">
        <v>43608</v>
      </c>
      <c r="R447" s="423">
        <v>0</v>
      </c>
      <c r="S447" s="423">
        <v>0</v>
      </c>
      <c r="T447" s="423">
        <v>0</v>
      </c>
      <c r="U447" s="423">
        <v>43608</v>
      </c>
      <c r="V447" s="11" t="s">
        <v>20155</v>
      </c>
      <c r="W447" s="407">
        <v>68916.960000000006</v>
      </c>
      <c r="X447" s="407">
        <v>0</v>
      </c>
      <c r="Y447" s="407">
        <v>0</v>
      </c>
      <c r="Z447" s="407">
        <v>0</v>
      </c>
      <c r="AA447" s="408">
        <v>1.5803742432581178</v>
      </c>
      <c r="AB447" s="408"/>
      <c r="AC447" s="408"/>
      <c r="AD447" s="408"/>
      <c r="AE447" s="409"/>
      <c r="AF447" s="410">
        <v>0</v>
      </c>
      <c r="AG447" s="410">
        <v>0</v>
      </c>
      <c r="AH447" s="411">
        <v>1.5803742432581178</v>
      </c>
      <c r="AI447" s="411">
        <v>0</v>
      </c>
      <c r="AJ447" s="411">
        <v>0</v>
      </c>
      <c r="AK447" s="411">
        <v>0</v>
      </c>
      <c r="AL447" s="18"/>
      <c r="AM447" s="49"/>
      <c r="AN447" s="2"/>
      <c r="AO447" s="2"/>
    </row>
    <row r="448" spans="1:41" hidden="1">
      <c r="A448" s="14">
        <v>177</v>
      </c>
      <c r="B448" s="11" t="s">
        <v>189</v>
      </c>
      <c r="C448" s="14">
        <v>0</v>
      </c>
      <c r="D448" s="11" t="s">
        <v>18118</v>
      </c>
      <c r="E448" s="11" t="s">
        <v>189</v>
      </c>
      <c r="F448" s="12">
        <v>44019</v>
      </c>
      <c r="G448" s="11">
        <v>2020</v>
      </c>
      <c r="H448" s="11" t="s">
        <v>16444</v>
      </c>
      <c r="I448" s="11" t="s">
        <v>16445</v>
      </c>
      <c r="J448" s="11" t="s">
        <v>3</v>
      </c>
      <c r="K448" s="404">
        <v>31161</v>
      </c>
      <c r="L448" s="11">
        <v>1</v>
      </c>
      <c r="M448" s="405">
        <v>31161</v>
      </c>
      <c r="N448" s="11" t="s">
        <v>20155</v>
      </c>
      <c r="O448" s="11" t="s">
        <v>17854</v>
      </c>
      <c r="P448" s="872">
        <v>44022</v>
      </c>
      <c r="Q448" s="423">
        <v>18030</v>
      </c>
      <c r="R448" s="423">
        <v>0</v>
      </c>
      <c r="S448" s="423">
        <v>0</v>
      </c>
      <c r="T448" s="423">
        <v>0</v>
      </c>
      <c r="U448" s="423">
        <v>18030</v>
      </c>
      <c r="V448" s="11" t="s">
        <v>20155</v>
      </c>
      <c r="W448" s="407">
        <v>31161</v>
      </c>
      <c r="X448" s="407">
        <v>0</v>
      </c>
      <c r="Y448" s="407">
        <v>0</v>
      </c>
      <c r="Z448" s="407">
        <v>0</v>
      </c>
      <c r="AA448" s="408">
        <v>1.7282861896838602</v>
      </c>
      <c r="AB448" s="408"/>
      <c r="AC448" s="408"/>
      <c r="AD448" s="408"/>
      <c r="AE448" s="409"/>
      <c r="AF448" s="410">
        <v>0</v>
      </c>
      <c r="AG448" s="410">
        <v>0</v>
      </c>
      <c r="AH448" s="411">
        <v>1.7282861896838602</v>
      </c>
      <c r="AI448" s="411">
        <v>0</v>
      </c>
      <c r="AJ448" s="411">
        <v>0</v>
      </c>
      <c r="AK448" s="411">
        <v>0</v>
      </c>
      <c r="AL448" s="18"/>
      <c r="AM448" s="49"/>
      <c r="AN448" s="2"/>
      <c r="AO448" s="2"/>
    </row>
    <row r="449" spans="1:41" hidden="1">
      <c r="A449" s="14">
        <v>178</v>
      </c>
      <c r="B449" s="11" t="s">
        <v>190</v>
      </c>
      <c r="C449" s="14">
        <v>0</v>
      </c>
      <c r="D449" s="11" t="s">
        <v>18119</v>
      </c>
      <c r="E449" s="11" t="s">
        <v>190</v>
      </c>
      <c r="F449" s="12">
        <v>44019</v>
      </c>
      <c r="G449" s="11">
        <v>2020</v>
      </c>
      <c r="H449" s="11" t="s">
        <v>17017</v>
      </c>
      <c r="I449" s="11" t="s">
        <v>17018</v>
      </c>
      <c r="J449" s="11" t="s">
        <v>3</v>
      </c>
      <c r="K449" s="404">
        <v>78624</v>
      </c>
      <c r="L449" s="11">
        <v>1</v>
      </c>
      <c r="M449" s="405">
        <v>78624</v>
      </c>
      <c r="N449" s="11" t="s">
        <v>20155</v>
      </c>
      <c r="O449" s="11" t="s">
        <v>20292</v>
      </c>
      <c r="P449" s="872">
        <v>44033</v>
      </c>
      <c r="Q449" s="423">
        <v>0</v>
      </c>
      <c r="R449" s="423">
        <v>0</v>
      </c>
      <c r="S449" s="423">
        <v>50400</v>
      </c>
      <c r="T449" s="423">
        <v>0</v>
      </c>
      <c r="U449" s="423">
        <v>50400</v>
      </c>
      <c r="V449" s="11" t="s">
        <v>20155</v>
      </c>
      <c r="W449" s="407">
        <v>0</v>
      </c>
      <c r="X449" s="407">
        <v>0</v>
      </c>
      <c r="Y449" s="407">
        <v>78624</v>
      </c>
      <c r="Z449" s="407">
        <v>0</v>
      </c>
      <c r="AA449" s="431"/>
      <c r="AB449" s="408"/>
      <c r="AC449" s="408">
        <v>1.56</v>
      </c>
      <c r="AD449" s="408"/>
      <c r="AE449" s="409"/>
      <c r="AF449" s="410">
        <v>0</v>
      </c>
      <c r="AG449" s="410">
        <v>0</v>
      </c>
      <c r="AH449" s="411">
        <v>0</v>
      </c>
      <c r="AI449" s="411">
        <v>0</v>
      </c>
      <c r="AJ449" s="411">
        <v>1.56</v>
      </c>
      <c r="AK449" s="411">
        <v>0</v>
      </c>
      <c r="AL449" s="18"/>
      <c r="AM449" s="49"/>
      <c r="AN449" s="2"/>
      <c r="AO449" s="2"/>
    </row>
    <row r="450" spans="1:41" hidden="1">
      <c r="A450" s="14">
        <v>179</v>
      </c>
      <c r="B450" s="11" t="s">
        <v>191</v>
      </c>
      <c r="C450" s="14">
        <v>0</v>
      </c>
      <c r="D450" s="11" t="s">
        <v>18120</v>
      </c>
      <c r="E450" s="11" t="s">
        <v>191</v>
      </c>
      <c r="F450" s="12">
        <v>44019</v>
      </c>
      <c r="G450" s="11">
        <v>2020</v>
      </c>
      <c r="H450" s="11" t="s">
        <v>17017</v>
      </c>
      <c r="I450" s="11" t="s">
        <v>17018</v>
      </c>
      <c r="J450" s="11" t="s">
        <v>3</v>
      </c>
      <c r="K450" s="404">
        <v>33000</v>
      </c>
      <c r="L450" s="11">
        <v>1</v>
      </c>
      <c r="M450" s="405">
        <v>33000</v>
      </c>
      <c r="N450" s="11" t="s">
        <v>20155</v>
      </c>
      <c r="O450" s="11" t="s">
        <v>18064</v>
      </c>
      <c r="P450" s="872">
        <v>44025</v>
      </c>
      <c r="Q450" s="423">
        <v>0</v>
      </c>
      <c r="R450" s="423">
        <v>20000</v>
      </c>
      <c r="S450" s="423">
        <v>0</v>
      </c>
      <c r="T450" s="423">
        <v>0</v>
      </c>
      <c r="U450" s="423">
        <v>20000</v>
      </c>
      <c r="V450" s="11" t="s">
        <v>20155</v>
      </c>
      <c r="W450" s="407">
        <v>0</v>
      </c>
      <c r="X450" s="407">
        <v>33000</v>
      </c>
      <c r="Y450" s="407">
        <v>0</v>
      </c>
      <c r="Z450" s="407">
        <v>0</v>
      </c>
      <c r="AA450" s="431"/>
      <c r="AB450" s="408">
        <v>1.65</v>
      </c>
      <c r="AC450" s="408"/>
      <c r="AD450" s="408"/>
      <c r="AE450" s="409"/>
      <c r="AF450" s="410">
        <v>0</v>
      </c>
      <c r="AG450" s="410">
        <v>0</v>
      </c>
      <c r="AH450" s="411">
        <v>0</v>
      </c>
      <c r="AI450" s="412">
        <v>1.65</v>
      </c>
      <c r="AJ450" s="411">
        <v>0</v>
      </c>
      <c r="AK450" s="411">
        <v>0</v>
      </c>
      <c r="AL450" s="18"/>
      <c r="AM450" s="49"/>
      <c r="AN450" s="2"/>
      <c r="AO450" s="2"/>
    </row>
    <row r="451" spans="1:41" hidden="1">
      <c r="A451" s="14">
        <v>180</v>
      </c>
      <c r="B451" s="11" t="s">
        <v>192</v>
      </c>
      <c r="C451" s="14">
        <v>0</v>
      </c>
      <c r="D451" s="11" t="s">
        <v>18122</v>
      </c>
      <c r="E451" s="11" t="s">
        <v>192</v>
      </c>
      <c r="F451" s="12">
        <v>44019</v>
      </c>
      <c r="G451" s="11">
        <v>2020</v>
      </c>
      <c r="H451" s="11" t="s">
        <v>17017</v>
      </c>
      <c r="I451" s="11" t="s">
        <v>17018</v>
      </c>
      <c r="J451" s="11" t="s">
        <v>3</v>
      </c>
      <c r="K451" s="404">
        <v>33000</v>
      </c>
      <c r="L451" s="11">
        <v>1</v>
      </c>
      <c r="M451" s="405">
        <v>33000</v>
      </c>
      <c r="N451" s="11" t="s">
        <v>20155</v>
      </c>
      <c r="O451" s="11" t="s">
        <v>18064</v>
      </c>
      <c r="P451" s="872">
        <v>44025</v>
      </c>
      <c r="Q451" s="423">
        <v>0</v>
      </c>
      <c r="R451" s="423">
        <v>20000</v>
      </c>
      <c r="S451" s="423">
        <v>0</v>
      </c>
      <c r="T451" s="423">
        <v>0</v>
      </c>
      <c r="U451" s="423">
        <v>20000</v>
      </c>
      <c r="V451" s="11" t="s">
        <v>20155</v>
      </c>
      <c r="W451" s="407">
        <v>0</v>
      </c>
      <c r="X451" s="407">
        <v>33000</v>
      </c>
      <c r="Y451" s="407">
        <v>0</v>
      </c>
      <c r="Z451" s="407">
        <v>0</v>
      </c>
      <c r="AA451" s="431"/>
      <c r="AB451" s="408">
        <v>1.65</v>
      </c>
      <c r="AC451" s="408"/>
      <c r="AD451" s="408"/>
      <c r="AE451" s="409"/>
      <c r="AF451" s="410">
        <v>0</v>
      </c>
      <c r="AG451" s="410">
        <v>0</v>
      </c>
      <c r="AH451" s="411">
        <v>0</v>
      </c>
      <c r="AI451" s="412">
        <v>1.65</v>
      </c>
      <c r="AJ451" s="411">
        <v>0</v>
      </c>
      <c r="AK451" s="411">
        <v>0</v>
      </c>
      <c r="AL451" s="18"/>
      <c r="AM451" s="49"/>
      <c r="AN451" s="2"/>
      <c r="AO451" s="2"/>
    </row>
    <row r="452" spans="1:41" hidden="1">
      <c r="A452" s="14">
        <v>181</v>
      </c>
      <c r="B452" s="11" t="s">
        <v>193</v>
      </c>
      <c r="C452" s="14">
        <v>0</v>
      </c>
      <c r="D452" s="11" t="s">
        <v>18124</v>
      </c>
      <c r="E452" s="11" t="s">
        <v>193</v>
      </c>
      <c r="F452" s="12">
        <v>44021</v>
      </c>
      <c r="G452" s="11">
        <v>2020</v>
      </c>
      <c r="H452" s="11" t="s">
        <v>17017</v>
      </c>
      <c r="I452" s="11" t="s">
        <v>17018</v>
      </c>
      <c r="J452" s="11" t="s">
        <v>3</v>
      </c>
      <c r="K452" s="404">
        <v>34771.86</v>
      </c>
      <c r="L452" s="11">
        <v>1</v>
      </c>
      <c r="M452" s="405">
        <v>34771.86</v>
      </c>
      <c r="N452" s="11" t="s">
        <v>20155</v>
      </c>
      <c r="O452" s="11" t="s">
        <v>17238</v>
      </c>
      <c r="P452" s="872">
        <v>44035</v>
      </c>
      <c r="Q452" s="423">
        <v>0</v>
      </c>
      <c r="R452" s="423">
        <v>0</v>
      </c>
      <c r="S452" s="423">
        <v>20157.86</v>
      </c>
      <c r="T452" s="423">
        <v>0</v>
      </c>
      <c r="U452" s="423">
        <v>20157.86</v>
      </c>
      <c r="V452" s="11" t="s">
        <v>20155</v>
      </c>
      <c r="W452" s="407">
        <v>0</v>
      </c>
      <c r="X452" s="407">
        <v>0</v>
      </c>
      <c r="Y452" s="407">
        <v>34771.86</v>
      </c>
      <c r="Z452" s="407">
        <v>0</v>
      </c>
      <c r="AA452" s="431"/>
      <c r="AB452" s="408"/>
      <c r="AC452" s="408">
        <v>1.7249777506144006</v>
      </c>
      <c r="AD452" s="408"/>
      <c r="AE452" s="409"/>
      <c r="AF452" s="410">
        <v>0</v>
      </c>
      <c r="AG452" s="410">
        <v>0</v>
      </c>
      <c r="AH452" s="411">
        <v>0</v>
      </c>
      <c r="AI452" s="411">
        <v>0</v>
      </c>
      <c r="AJ452" s="411">
        <v>1.7249777506144006</v>
      </c>
      <c r="AK452" s="411">
        <v>0</v>
      </c>
      <c r="AL452" s="18"/>
      <c r="AM452" s="49"/>
      <c r="AN452" s="2"/>
      <c r="AO452" s="2"/>
    </row>
    <row r="453" spans="1:41" hidden="1">
      <c r="A453" s="14">
        <v>182</v>
      </c>
      <c r="B453" s="11" t="s">
        <v>194</v>
      </c>
      <c r="C453" s="14">
        <v>0</v>
      </c>
      <c r="D453" s="11" t="s">
        <v>18125</v>
      </c>
      <c r="E453" s="11" t="s">
        <v>194</v>
      </c>
      <c r="F453" s="12">
        <v>44021</v>
      </c>
      <c r="G453" s="11">
        <v>2020</v>
      </c>
      <c r="H453" s="11" t="s">
        <v>16838</v>
      </c>
      <c r="I453" s="11" t="s">
        <v>16839</v>
      </c>
      <c r="J453" s="11" t="s">
        <v>3</v>
      </c>
      <c r="K453" s="404">
        <v>148333.92000000001</v>
      </c>
      <c r="L453" s="11">
        <v>1</v>
      </c>
      <c r="M453" s="405">
        <v>148333.92000000001</v>
      </c>
      <c r="N453" s="11" t="s">
        <v>20155</v>
      </c>
      <c r="O453" s="11" t="s">
        <v>17798</v>
      </c>
      <c r="P453" s="872">
        <v>44032</v>
      </c>
      <c r="Q453" s="423">
        <v>0</v>
      </c>
      <c r="R453" s="423">
        <v>110040</v>
      </c>
      <c r="S453" s="423">
        <v>0</v>
      </c>
      <c r="T453" s="423">
        <v>0</v>
      </c>
      <c r="U453" s="423">
        <v>110040</v>
      </c>
      <c r="V453" s="11" t="s">
        <v>20155</v>
      </c>
      <c r="W453" s="407">
        <v>0</v>
      </c>
      <c r="X453" s="407">
        <v>148333.92000000001</v>
      </c>
      <c r="Y453" s="407">
        <v>0</v>
      </c>
      <c r="Z453" s="407">
        <v>0</v>
      </c>
      <c r="AA453" s="408"/>
      <c r="AB453" s="408">
        <v>1.3480000000000001</v>
      </c>
      <c r="AC453" s="408"/>
      <c r="AD453" s="408"/>
      <c r="AE453" s="409"/>
      <c r="AF453" s="410">
        <v>0</v>
      </c>
      <c r="AG453" s="410">
        <v>0</v>
      </c>
      <c r="AH453" s="411">
        <v>0</v>
      </c>
      <c r="AI453" s="412">
        <v>1.3480000000000001</v>
      </c>
      <c r="AJ453" s="411">
        <v>0</v>
      </c>
      <c r="AK453" s="411">
        <v>0</v>
      </c>
      <c r="AL453" s="18"/>
      <c r="AM453" s="49"/>
      <c r="AN453" s="2"/>
      <c r="AO453" s="2"/>
    </row>
    <row r="454" spans="1:41" hidden="1">
      <c r="A454" s="14">
        <v>183</v>
      </c>
      <c r="B454" s="11" t="s">
        <v>195</v>
      </c>
      <c r="C454" s="14">
        <v>0</v>
      </c>
      <c r="D454" s="11" t="s">
        <v>18126</v>
      </c>
      <c r="E454" s="11" t="s">
        <v>195</v>
      </c>
      <c r="F454" s="12">
        <v>44023</v>
      </c>
      <c r="G454" s="11">
        <v>2020</v>
      </c>
      <c r="H454" s="11" t="s">
        <v>16470</v>
      </c>
      <c r="I454" s="11" t="s">
        <v>16471</v>
      </c>
      <c r="J454" s="11" t="s">
        <v>16401</v>
      </c>
      <c r="K454" s="404">
        <v>532095.75300000003</v>
      </c>
      <c r="L454" s="11">
        <v>2.8027500000000001</v>
      </c>
      <c r="M454" s="405">
        <v>189847.73989831415</v>
      </c>
      <c r="N454" s="11" t="s">
        <v>20155</v>
      </c>
      <c r="O454" s="11" t="s">
        <v>20159</v>
      </c>
      <c r="P454" s="872">
        <v>44036</v>
      </c>
      <c r="Q454" s="423">
        <v>28080</v>
      </c>
      <c r="R454" s="423">
        <v>262236</v>
      </c>
      <c r="S454" s="423">
        <v>0</v>
      </c>
      <c r="T454" s="423">
        <v>0</v>
      </c>
      <c r="U454" s="423">
        <v>290316</v>
      </c>
      <c r="V454" s="11" t="s">
        <v>20155</v>
      </c>
      <c r="W454" s="407">
        <v>47417.48505000001</v>
      </c>
      <c r="X454" s="407">
        <v>367475.67148500006</v>
      </c>
      <c r="Y454" s="407">
        <v>0</v>
      </c>
      <c r="Z454" s="407">
        <v>0</v>
      </c>
      <c r="AA454" s="408">
        <v>1.6886568750000004</v>
      </c>
      <c r="AB454" s="408">
        <v>1.4013166441106486</v>
      </c>
      <c r="AC454" s="408"/>
      <c r="AD454" s="408"/>
      <c r="AE454" s="409"/>
      <c r="AF454" s="410">
        <v>140422.345</v>
      </c>
      <c r="AG454" s="410">
        <v>0.48368792970418439</v>
      </c>
      <c r="AH454" s="411">
        <v>1.2049689452958159</v>
      </c>
      <c r="AI454" s="412">
        <v>0.91762871440646421</v>
      </c>
      <c r="AJ454" s="411">
        <v>0</v>
      </c>
      <c r="AK454" s="411">
        <v>0</v>
      </c>
      <c r="AL454" s="18"/>
      <c r="AM454" s="49"/>
      <c r="AN454" s="2"/>
      <c r="AO454" s="2"/>
    </row>
    <row r="455" spans="1:41" hidden="1">
      <c r="A455" s="14">
        <v>184</v>
      </c>
      <c r="B455" s="11" t="s">
        <v>196</v>
      </c>
      <c r="C455" s="14">
        <v>0</v>
      </c>
      <c r="D455" s="11" t="s">
        <v>18127</v>
      </c>
      <c r="E455" s="11" t="s">
        <v>196</v>
      </c>
      <c r="F455" s="12">
        <v>44023</v>
      </c>
      <c r="G455" s="11">
        <v>2020</v>
      </c>
      <c r="H455" s="11" t="s">
        <v>16957</v>
      </c>
      <c r="I455" s="11" t="s">
        <v>16958</v>
      </c>
      <c r="J455" s="11" t="s">
        <v>16401</v>
      </c>
      <c r="K455" s="404">
        <v>76630.559999999998</v>
      </c>
      <c r="L455" s="11">
        <v>2.8172999999999999</v>
      </c>
      <c r="M455" s="405">
        <v>27200</v>
      </c>
      <c r="N455" s="11" t="s">
        <v>20155</v>
      </c>
      <c r="O455" s="11" t="s">
        <v>20161</v>
      </c>
      <c r="P455" s="872">
        <v>44033</v>
      </c>
      <c r="Q455" s="423">
        <v>40000</v>
      </c>
      <c r="R455" s="423">
        <v>0</v>
      </c>
      <c r="S455" s="423">
        <v>0</v>
      </c>
      <c r="T455" s="423">
        <v>0</v>
      </c>
      <c r="U455" s="423">
        <v>40000</v>
      </c>
      <c r="V455" s="11" t="s">
        <v>20155</v>
      </c>
      <c r="W455" s="407">
        <v>76630.559999999998</v>
      </c>
      <c r="X455" s="407">
        <v>0</v>
      </c>
      <c r="Y455" s="407">
        <v>0</v>
      </c>
      <c r="Z455" s="407">
        <v>0</v>
      </c>
      <c r="AA455" s="408">
        <v>1.915764</v>
      </c>
      <c r="AB455" s="408"/>
      <c r="AC455" s="408"/>
      <c r="AD455" s="408"/>
      <c r="AE455" s="409"/>
      <c r="AF455" s="410">
        <v>7900.0720000000001</v>
      </c>
      <c r="AG455" s="410">
        <v>0.19750180000000001</v>
      </c>
      <c r="AH455" s="411">
        <v>1.7182622000000001</v>
      </c>
      <c r="AI455" s="411">
        <v>0</v>
      </c>
      <c r="AJ455" s="411">
        <v>0</v>
      </c>
      <c r="AK455" s="411">
        <v>0</v>
      </c>
      <c r="AL455" s="18"/>
      <c r="AM455" s="49"/>
      <c r="AN455" s="2"/>
      <c r="AO455" s="2"/>
    </row>
    <row r="456" spans="1:41" hidden="1">
      <c r="A456" s="14">
        <v>185</v>
      </c>
      <c r="B456" s="11" t="s">
        <v>197</v>
      </c>
      <c r="C456" s="14">
        <v>0</v>
      </c>
      <c r="D456" s="11" t="s">
        <v>18128</v>
      </c>
      <c r="E456" s="11" t="s">
        <v>197</v>
      </c>
      <c r="F456" s="12">
        <v>44025</v>
      </c>
      <c r="G456" s="11">
        <v>2020</v>
      </c>
      <c r="H456" s="11" t="s">
        <v>16444</v>
      </c>
      <c r="I456" s="11" t="s">
        <v>16445</v>
      </c>
      <c r="J456" s="11" t="s">
        <v>3</v>
      </c>
      <c r="K456" s="404">
        <v>347200</v>
      </c>
      <c r="L456" s="11">
        <v>1</v>
      </c>
      <c r="M456" s="405">
        <v>347200</v>
      </c>
      <c r="N456" s="11" t="s">
        <v>20155</v>
      </c>
      <c r="O456" s="11" t="s">
        <v>17801</v>
      </c>
      <c r="P456" s="872">
        <v>44033</v>
      </c>
      <c r="Q456" s="423">
        <v>0</v>
      </c>
      <c r="R456" s="423">
        <v>0</v>
      </c>
      <c r="S456" s="423">
        <v>280000</v>
      </c>
      <c r="T456" s="423">
        <v>0</v>
      </c>
      <c r="U456" s="423">
        <v>280000</v>
      </c>
      <c r="V456" s="11" t="s">
        <v>20155</v>
      </c>
      <c r="W456" s="407">
        <v>0</v>
      </c>
      <c r="X456" s="407">
        <v>0</v>
      </c>
      <c r="Y456" s="407">
        <v>347200</v>
      </c>
      <c r="Z456" s="407">
        <v>0</v>
      </c>
      <c r="AA456" s="408"/>
      <c r="AB456" s="408"/>
      <c r="AC456" s="408">
        <v>1.24</v>
      </c>
      <c r="AD456" s="408"/>
      <c r="AE456" s="409"/>
      <c r="AF456" s="410">
        <v>0</v>
      </c>
      <c r="AG456" s="410">
        <v>0</v>
      </c>
      <c r="AH456" s="411">
        <v>0</v>
      </c>
      <c r="AI456" s="411">
        <v>0</v>
      </c>
      <c r="AJ456" s="411">
        <v>1.24</v>
      </c>
      <c r="AK456" s="411">
        <v>0</v>
      </c>
      <c r="AL456" s="18"/>
      <c r="AM456" s="49"/>
      <c r="AN456" s="2"/>
      <c r="AO456" s="2"/>
    </row>
    <row r="457" spans="1:41" hidden="1">
      <c r="A457" s="14">
        <v>186</v>
      </c>
      <c r="B457" s="11" t="s">
        <v>198</v>
      </c>
      <c r="C457" s="14">
        <v>0</v>
      </c>
      <c r="D457" s="11" t="s">
        <v>18129</v>
      </c>
      <c r="E457" s="11" t="s">
        <v>198</v>
      </c>
      <c r="F457" s="12">
        <v>44025</v>
      </c>
      <c r="G457" s="11">
        <v>2020</v>
      </c>
      <c r="H457" s="11" t="s">
        <v>16444</v>
      </c>
      <c r="I457" s="11" t="s">
        <v>16445</v>
      </c>
      <c r="J457" s="11" t="s">
        <v>3</v>
      </c>
      <c r="K457" s="404">
        <v>65570</v>
      </c>
      <c r="L457" s="11">
        <v>1</v>
      </c>
      <c r="M457" s="405">
        <v>65570</v>
      </c>
      <c r="N457" s="11" t="s">
        <v>20155</v>
      </c>
      <c r="O457" s="11" t="s">
        <v>17693</v>
      </c>
      <c r="P457" s="872">
        <v>44049</v>
      </c>
      <c r="Q457" s="423">
        <v>41500</v>
      </c>
      <c r="R457" s="423">
        <v>0</v>
      </c>
      <c r="S457" s="423">
        <v>0</v>
      </c>
      <c r="T457" s="423">
        <v>0</v>
      </c>
      <c r="U457" s="423">
        <v>41500</v>
      </c>
      <c r="V457" s="11" t="s">
        <v>20155</v>
      </c>
      <c r="W457" s="407">
        <v>65570</v>
      </c>
      <c r="X457" s="407">
        <v>0</v>
      </c>
      <c r="Y457" s="407">
        <v>0</v>
      </c>
      <c r="Z457" s="407">
        <v>0</v>
      </c>
      <c r="AA457" s="408">
        <v>1.58</v>
      </c>
      <c r="AB457" s="408"/>
      <c r="AC457" s="408"/>
      <c r="AD457" s="408"/>
      <c r="AE457" s="409"/>
      <c r="AF457" s="410">
        <v>0</v>
      </c>
      <c r="AG457" s="410">
        <v>0</v>
      </c>
      <c r="AH457" s="411">
        <v>1.58</v>
      </c>
      <c r="AI457" s="411">
        <v>0</v>
      </c>
      <c r="AJ457" s="411">
        <v>0</v>
      </c>
      <c r="AK457" s="411">
        <v>0</v>
      </c>
      <c r="AL457" s="18"/>
      <c r="AM457" s="49"/>
      <c r="AN457" s="2"/>
      <c r="AO457" s="2"/>
    </row>
    <row r="458" spans="1:41" hidden="1">
      <c r="A458" s="14">
        <v>187</v>
      </c>
      <c r="B458" s="11" t="s">
        <v>199</v>
      </c>
      <c r="C458" s="14">
        <v>0</v>
      </c>
      <c r="D458" s="11" t="s">
        <v>18130</v>
      </c>
      <c r="E458" s="11" t="s">
        <v>199</v>
      </c>
      <c r="F458" s="12">
        <v>44028</v>
      </c>
      <c r="G458" s="11">
        <v>2020</v>
      </c>
      <c r="H458" s="11" t="s">
        <v>16384</v>
      </c>
      <c r="I458" s="11" t="s">
        <v>16385</v>
      </c>
      <c r="J458" s="11" t="s">
        <v>3</v>
      </c>
      <c r="K458" s="404">
        <v>64000</v>
      </c>
      <c r="L458" s="11">
        <v>1</v>
      </c>
      <c r="M458" s="405">
        <v>64000</v>
      </c>
      <c r="N458" s="11" t="s">
        <v>20155</v>
      </c>
      <c r="O458" s="11" t="s">
        <v>17771</v>
      </c>
      <c r="P458" s="872">
        <v>44046</v>
      </c>
      <c r="Q458" s="423">
        <v>40000</v>
      </c>
      <c r="R458" s="423">
        <v>0</v>
      </c>
      <c r="S458" s="423">
        <v>0</v>
      </c>
      <c r="T458" s="423">
        <v>0</v>
      </c>
      <c r="U458" s="423">
        <v>40000</v>
      </c>
      <c r="V458" s="11" t="s">
        <v>20155</v>
      </c>
      <c r="W458" s="407">
        <v>64000</v>
      </c>
      <c r="X458" s="407">
        <v>0</v>
      </c>
      <c r="Y458" s="407">
        <v>0</v>
      </c>
      <c r="Z458" s="407">
        <v>0</v>
      </c>
      <c r="AA458" s="408">
        <v>1.6</v>
      </c>
      <c r="AB458" s="408"/>
      <c r="AC458" s="408"/>
      <c r="AD458" s="408"/>
      <c r="AE458" s="409"/>
      <c r="AF458" s="410">
        <v>0</v>
      </c>
      <c r="AG458" s="410">
        <v>0</v>
      </c>
      <c r="AH458" s="411">
        <v>1.6</v>
      </c>
      <c r="AI458" s="411">
        <v>0</v>
      </c>
      <c r="AJ458" s="411">
        <v>0</v>
      </c>
      <c r="AK458" s="411">
        <v>0</v>
      </c>
      <c r="AL458" s="18"/>
      <c r="AM458" s="49"/>
      <c r="AN458" s="2"/>
      <c r="AO458" s="2"/>
    </row>
    <row r="459" spans="1:41" hidden="1">
      <c r="A459" s="14">
        <v>188</v>
      </c>
      <c r="B459" s="11" t="s">
        <v>200</v>
      </c>
      <c r="C459" s="14">
        <v>0</v>
      </c>
      <c r="D459" s="11" t="s">
        <v>18131</v>
      </c>
      <c r="E459" s="11" t="s">
        <v>200</v>
      </c>
      <c r="F459" s="12">
        <v>44028</v>
      </c>
      <c r="G459" s="11">
        <v>2020</v>
      </c>
      <c r="H459" s="11" t="s">
        <v>17119</v>
      </c>
      <c r="I459" s="11" t="s">
        <v>17120</v>
      </c>
      <c r="J459" s="11" t="s">
        <v>16401</v>
      </c>
      <c r="K459" s="404">
        <v>103000.488</v>
      </c>
      <c r="L459" s="11">
        <v>2.8172999999999999</v>
      </c>
      <c r="M459" s="405">
        <v>36560</v>
      </c>
      <c r="N459" s="11" t="s">
        <v>20155</v>
      </c>
      <c r="O459" s="11" t="s">
        <v>17965</v>
      </c>
      <c r="P459" s="872">
        <v>44034</v>
      </c>
      <c r="Q459" s="423">
        <v>57600</v>
      </c>
      <c r="R459" s="423">
        <v>0</v>
      </c>
      <c r="S459" s="423">
        <v>0</v>
      </c>
      <c r="T459" s="423">
        <v>0</v>
      </c>
      <c r="U459" s="423">
        <v>57600</v>
      </c>
      <c r="V459" s="11" t="s">
        <v>20155</v>
      </c>
      <c r="W459" s="407">
        <v>83896.940160000013</v>
      </c>
      <c r="X459" s="407">
        <v>0</v>
      </c>
      <c r="Y459" s="407">
        <v>0</v>
      </c>
      <c r="Z459" s="407">
        <v>0</v>
      </c>
      <c r="AA459" s="408">
        <v>1.4565441000000001</v>
      </c>
      <c r="AB459" s="408"/>
      <c r="AC459" s="408"/>
      <c r="AD459" s="408"/>
      <c r="AE459" s="409"/>
      <c r="AF459" s="410">
        <v>22723.003000000001</v>
      </c>
      <c r="AG459" s="410">
        <v>0.39449657986111114</v>
      </c>
      <c r="AH459" s="411">
        <v>1.062047520138889</v>
      </c>
      <c r="AI459" s="411">
        <v>0</v>
      </c>
      <c r="AJ459" s="411">
        <v>0</v>
      </c>
      <c r="AK459" s="411">
        <v>0</v>
      </c>
      <c r="AL459" s="18"/>
      <c r="AM459" s="49"/>
      <c r="AN459" s="2"/>
      <c r="AO459" s="2"/>
    </row>
    <row r="460" spans="1:41" hidden="1">
      <c r="A460" s="14">
        <v>189</v>
      </c>
      <c r="B460" s="11" t="s">
        <v>201</v>
      </c>
      <c r="C460" s="14">
        <v>0</v>
      </c>
      <c r="D460" s="11" t="s">
        <v>18132</v>
      </c>
      <c r="E460" s="11" t="s">
        <v>201</v>
      </c>
      <c r="F460" s="12">
        <v>44028</v>
      </c>
      <c r="G460" s="11">
        <v>2020</v>
      </c>
      <c r="H460" s="11" t="s">
        <v>17233</v>
      </c>
      <c r="I460" s="11" t="s">
        <v>17234</v>
      </c>
      <c r="J460" s="11" t="s">
        <v>16401</v>
      </c>
      <c r="K460" s="404">
        <v>1490778</v>
      </c>
      <c r="L460" s="11">
        <v>2.7606999999999999</v>
      </c>
      <c r="M460" s="405">
        <v>540000</v>
      </c>
      <c r="N460" s="11" t="s">
        <v>20155</v>
      </c>
      <c r="O460" s="11" t="s">
        <v>17939</v>
      </c>
      <c r="P460" s="872" t="s">
        <v>20293</v>
      </c>
      <c r="Q460" s="423">
        <v>0</v>
      </c>
      <c r="R460" s="423">
        <v>706560</v>
      </c>
      <c r="S460" s="423">
        <v>176640</v>
      </c>
      <c r="T460" s="423">
        <v>0</v>
      </c>
      <c r="U460" s="423">
        <v>883200</v>
      </c>
      <c r="V460" s="11" t="s">
        <v>20155</v>
      </c>
      <c r="W460" s="407">
        <v>0</v>
      </c>
      <c r="X460" s="407">
        <v>1102089.1084799981</v>
      </c>
      <c r="Y460" s="407">
        <v>275522.2771200001</v>
      </c>
      <c r="Z460" s="407">
        <v>0</v>
      </c>
      <c r="AA460" s="408"/>
      <c r="AB460" s="408">
        <v>1.5597954999999972</v>
      </c>
      <c r="AC460" s="408">
        <v>1.5597955000000006</v>
      </c>
      <c r="AD460" s="408"/>
      <c r="AE460" s="409"/>
      <c r="AF460" s="410">
        <v>117639.94</v>
      </c>
      <c r="AG460" s="410">
        <v>0.13319739583333334</v>
      </c>
      <c r="AH460" s="411"/>
      <c r="AI460" s="412">
        <v>1.426598104166664</v>
      </c>
      <c r="AJ460" s="411">
        <v>1.4265981041666671</v>
      </c>
      <c r="AK460" s="411">
        <v>0</v>
      </c>
      <c r="AL460" s="18"/>
      <c r="AM460" s="49"/>
      <c r="AN460" s="2"/>
      <c r="AO460" s="2"/>
    </row>
    <row r="461" spans="1:41" hidden="1">
      <c r="A461" s="14">
        <v>190</v>
      </c>
      <c r="B461" s="11" t="s">
        <v>202</v>
      </c>
      <c r="C461" s="14">
        <v>0</v>
      </c>
      <c r="D461" s="11" t="s">
        <v>18134</v>
      </c>
      <c r="E461" s="11" t="s">
        <v>202</v>
      </c>
      <c r="F461" s="12">
        <v>44028</v>
      </c>
      <c r="G461" s="11">
        <v>2020</v>
      </c>
      <c r="H461" s="11" t="s">
        <v>17251</v>
      </c>
      <c r="I461" s="11" t="s">
        <v>17252</v>
      </c>
      <c r="J461" s="11" t="s">
        <v>16401</v>
      </c>
      <c r="K461" s="404">
        <v>282084.32299999997</v>
      </c>
      <c r="L461" s="11">
        <v>2.81555</v>
      </c>
      <c r="M461" s="405">
        <v>100187.99985793183</v>
      </c>
      <c r="N461" s="11" t="s">
        <v>20155</v>
      </c>
      <c r="O461" s="11" t="s">
        <v>17939</v>
      </c>
      <c r="P461" s="872">
        <v>44035</v>
      </c>
      <c r="Q461" s="423">
        <v>0</v>
      </c>
      <c r="R461" s="423">
        <v>132480</v>
      </c>
      <c r="S461" s="423">
        <v>33120</v>
      </c>
      <c r="T461" s="423">
        <v>0</v>
      </c>
      <c r="U461" s="423">
        <v>165600</v>
      </c>
      <c r="V461" s="11" t="s">
        <v>20155</v>
      </c>
      <c r="W461" s="407">
        <v>0</v>
      </c>
      <c r="X461" s="407">
        <v>225667.45871999997</v>
      </c>
      <c r="Y461" s="407">
        <v>56416.864679999991</v>
      </c>
      <c r="Z461" s="407">
        <v>0</v>
      </c>
      <c r="AA461" s="408"/>
      <c r="AB461" s="408">
        <v>1.7034077499999998</v>
      </c>
      <c r="AC461" s="408">
        <v>1.7034077499999998</v>
      </c>
      <c r="AD461" s="408"/>
      <c r="AE461" s="409"/>
      <c r="AF461" s="410">
        <v>22150.38</v>
      </c>
      <c r="AG461" s="410">
        <v>0.13375833333333334</v>
      </c>
      <c r="AH461" s="411"/>
      <c r="AI461" s="412">
        <v>1.5696494166666664</v>
      </c>
      <c r="AJ461" s="411">
        <v>1.5696494166666664</v>
      </c>
      <c r="AK461" s="411">
        <v>0</v>
      </c>
      <c r="AL461" s="18"/>
      <c r="AM461" s="49"/>
      <c r="AN461" s="2"/>
      <c r="AO461" s="2"/>
    </row>
    <row r="462" spans="1:41" hidden="1">
      <c r="A462" s="14">
        <v>191</v>
      </c>
      <c r="B462" s="11" t="s">
        <v>203</v>
      </c>
      <c r="C462" s="14">
        <v>0</v>
      </c>
      <c r="D462" s="11" t="s">
        <v>18136</v>
      </c>
      <c r="E462" s="11" t="s">
        <v>203</v>
      </c>
      <c r="F462" s="12">
        <v>44034</v>
      </c>
      <c r="G462" s="11">
        <v>2020</v>
      </c>
      <c r="H462" s="11" t="s">
        <v>16560</v>
      </c>
      <c r="I462" s="11" t="s">
        <v>16561</v>
      </c>
      <c r="J462" s="11" t="s">
        <v>16482</v>
      </c>
      <c r="K462" s="404">
        <v>150017.454</v>
      </c>
      <c r="L462" s="11">
        <v>3.2303500000000001</v>
      </c>
      <c r="M462" s="405">
        <v>46440</v>
      </c>
      <c r="N462" s="11" t="s">
        <v>20155</v>
      </c>
      <c r="O462" s="11" t="s">
        <v>17801</v>
      </c>
      <c r="P462" s="872">
        <v>44036</v>
      </c>
      <c r="Q462" s="423">
        <v>0</v>
      </c>
      <c r="R462" s="423">
        <v>0</v>
      </c>
      <c r="S462" s="423">
        <v>108000</v>
      </c>
      <c r="T462" s="423">
        <v>0</v>
      </c>
      <c r="U462" s="423">
        <v>108000</v>
      </c>
      <c r="V462" s="11" t="s">
        <v>20155</v>
      </c>
      <c r="W462" s="407">
        <v>0</v>
      </c>
      <c r="X462" s="407">
        <v>0</v>
      </c>
      <c r="Y462" s="407">
        <v>150017.454</v>
      </c>
      <c r="Z462" s="407">
        <v>0</v>
      </c>
      <c r="AA462" s="408"/>
      <c r="AB462" s="408"/>
      <c r="AC462" s="408">
        <v>1.3890505</v>
      </c>
      <c r="AD462" s="408"/>
      <c r="AE462" s="409"/>
      <c r="AF462" s="410">
        <v>21208.403999999999</v>
      </c>
      <c r="AG462" s="410">
        <v>0.19637411111111111</v>
      </c>
      <c r="AH462" s="411"/>
      <c r="AI462" s="411">
        <v>0</v>
      </c>
      <c r="AJ462" s="411">
        <v>1.1926763888888889</v>
      </c>
      <c r="AK462" s="411">
        <v>0</v>
      </c>
      <c r="AL462" s="18"/>
      <c r="AM462" s="49"/>
      <c r="AN462" s="2"/>
      <c r="AO462" s="2"/>
    </row>
    <row r="463" spans="1:41" hidden="1">
      <c r="A463" s="14">
        <v>192</v>
      </c>
      <c r="B463" s="11" t="s">
        <v>204</v>
      </c>
      <c r="C463" s="14">
        <v>0</v>
      </c>
      <c r="D463" s="11" t="s">
        <v>18137</v>
      </c>
      <c r="E463" s="11" t="s">
        <v>204</v>
      </c>
      <c r="F463" s="12">
        <v>44034</v>
      </c>
      <c r="G463" s="11">
        <v>2020</v>
      </c>
      <c r="H463" s="11" t="s">
        <v>16560</v>
      </c>
      <c r="I463" s="11" t="s">
        <v>16561</v>
      </c>
      <c r="J463" s="11" t="s">
        <v>16482</v>
      </c>
      <c r="K463" s="404">
        <v>150017.454</v>
      </c>
      <c r="L463" s="11">
        <v>3.2303500000000001</v>
      </c>
      <c r="M463" s="405">
        <v>46440</v>
      </c>
      <c r="N463" s="11" t="s">
        <v>20155</v>
      </c>
      <c r="O463" s="11" t="s">
        <v>17801</v>
      </c>
      <c r="P463" s="872">
        <v>44036</v>
      </c>
      <c r="Q463" s="423">
        <v>0</v>
      </c>
      <c r="R463" s="423">
        <v>0</v>
      </c>
      <c r="S463" s="423">
        <v>108000</v>
      </c>
      <c r="T463" s="423">
        <v>0</v>
      </c>
      <c r="U463" s="423">
        <v>108000</v>
      </c>
      <c r="V463" s="11" t="s">
        <v>20155</v>
      </c>
      <c r="W463" s="407">
        <v>0</v>
      </c>
      <c r="X463" s="407">
        <v>0</v>
      </c>
      <c r="Y463" s="407">
        <v>150017.454</v>
      </c>
      <c r="Z463" s="407">
        <v>0</v>
      </c>
      <c r="AA463" s="408"/>
      <c r="AB463" s="408"/>
      <c r="AC463" s="408">
        <v>1.3890505</v>
      </c>
      <c r="AD463" s="408"/>
      <c r="AE463" s="409"/>
      <c r="AF463" s="410">
        <v>21208.403999999999</v>
      </c>
      <c r="AG463" s="410">
        <v>0.19637411111111111</v>
      </c>
      <c r="AH463" s="411"/>
      <c r="AI463" s="411">
        <v>0</v>
      </c>
      <c r="AJ463" s="411">
        <v>1.1926763888888889</v>
      </c>
      <c r="AK463" s="411">
        <v>0</v>
      </c>
      <c r="AL463" s="18"/>
      <c r="AM463" s="49"/>
      <c r="AN463" s="2"/>
      <c r="AO463" s="2"/>
    </row>
    <row r="464" spans="1:41" hidden="1">
      <c r="A464" s="14">
        <v>193</v>
      </c>
      <c r="B464" s="11" t="s">
        <v>205</v>
      </c>
      <c r="C464" s="14">
        <v>0</v>
      </c>
      <c r="D464" s="11" t="s">
        <v>18138</v>
      </c>
      <c r="E464" s="11" t="s">
        <v>205</v>
      </c>
      <c r="F464" s="12">
        <v>44034</v>
      </c>
      <c r="G464" s="11">
        <v>2020</v>
      </c>
      <c r="H464" s="11" t="s">
        <v>16838</v>
      </c>
      <c r="I464" s="11" t="s">
        <v>16839</v>
      </c>
      <c r="J464" s="11" t="s">
        <v>3</v>
      </c>
      <c r="K464" s="404">
        <v>209956.32</v>
      </c>
      <c r="L464" s="11">
        <v>1</v>
      </c>
      <c r="M464" s="405">
        <v>209956.32</v>
      </c>
      <c r="N464" s="11" t="s">
        <v>20155</v>
      </c>
      <c r="O464" s="11" t="s">
        <v>17798</v>
      </c>
      <c r="P464" s="872">
        <v>44040</v>
      </c>
      <c r="Q464" s="423">
        <v>0</v>
      </c>
      <c r="R464" s="423">
        <v>154056</v>
      </c>
      <c r="S464" s="423">
        <v>0</v>
      </c>
      <c r="T464" s="423">
        <v>0</v>
      </c>
      <c r="U464" s="423">
        <v>154056</v>
      </c>
      <c r="V464" s="11" t="s">
        <v>20155</v>
      </c>
      <c r="W464" s="407">
        <v>0</v>
      </c>
      <c r="X464" s="407">
        <v>209956.32</v>
      </c>
      <c r="Y464" s="407">
        <v>0</v>
      </c>
      <c r="Z464" s="407">
        <v>0</v>
      </c>
      <c r="AA464" s="408"/>
      <c r="AB464" s="408">
        <v>1.362857142857143</v>
      </c>
      <c r="AC464" s="408"/>
      <c r="AD464" s="408"/>
      <c r="AE464" s="409"/>
      <c r="AF464" s="410">
        <v>0</v>
      </c>
      <c r="AG464" s="410">
        <v>0</v>
      </c>
      <c r="AH464" s="411">
        <v>0</v>
      </c>
      <c r="AI464" s="412">
        <v>1.362857142857143</v>
      </c>
      <c r="AJ464" s="411">
        <v>0</v>
      </c>
      <c r="AK464" s="411">
        <v>0</v>
      </c>
      <c r="AL464" s="18"/>
      <c r="AM464" s="49"/>
      <c r="AN464" s="2"/>
      <c r="AO464" s="2"/>
    </row>
    <row r="465" spans="1:41" hidden="1">
      <c r="A465" s="14">
        <v>194</v>
      </c>
      <c r="B465" s="11" t="s">
        <v>206</v>
      </c>
      <c r="C465" s="14">
        <v>0</v>
      </c>
      <c r="D465" s="11" t="s">
        <v>18140</v>
      </c>
      <c r="E465" s="11" t="s">
        <v>206</v>
      </c>
      <c r="F465" s="12">
        <v>44034</v>
      </c>
      <c r="G465" s="11">
        <v>2020</v>
      </c>
      <c r="H465" s="11" t="s">
        <v>16838</v>
      </c>
      <c r="I465" s="11" t="s">
        <v>16839</v>
      </c>
      <c r="J465" s="11" t="s">
        <v>3</v>
      </c>
      <c r="K465" s="404">
        <v>216002.4</v>
      </c>
      <c r="L465" s="11">
        <v>1</v>
      </c>
      <c r="M465" s="405">
        <v>216002.4</v>
      </c>
      <c r="N465" s="11" t="s">
        <v>20155</v>
      </c>
      <c r="O465" s="11" t="s">
        <v>17949</v>
      </c>
      <c r="P465" s="872">
        <v>44042</v>
      </c>
      <c r="Q465" s="423">
        <v>109224</v>
      </c>
      <c r="R465" s="423">
        <v>18000</v>
      </c>
      <c r="S465" s="423">
        <v>8400</v>
      </c>
      <c r="T465" s="423">
        <v>0</v>
      </c>
      <c r="U465" s="423">
        <v>135624</v>
      </c>
      <c r="V465" s="11" t="s">
        <v>20155</v>
      </c>
      <c r="W465" s="407">
        <v>175622.39999999999</v>
      </c>
      <c r="X465" s="407">
        <v>28620</v>
      </c>
      <c r="Y465" s="407">
        <v>11760</v>
      </c>
      <c r="Z465" s="407">
        <v>0</v>
      </c>
      <c r="AA465" s="408">
        <v>1.6079103493737639</v>
      </c>
      <c r="AB465" s="408">
        <v>1.59</v>
      </c>
      <c r="AC465" s="408">
        <v>1.4</v>
      </c>
      <c r="AD465" s="408"/>
      <c r="AE465" s="409"/>
      <c r="AF465" s="410">
        <v>0</v>
      </c>
      <c r="AG465" s="410">
        <v>0</v>
      </c>
      <c r="AH465" s="411">
        <v>1.6079103493737639</v>
      </c>
      <c r="AI465" s="412">
        <v>1.59</v>
      </c>
      <c r="AJ465" s="411">
        <v>1.4</v>
      </c>
      <c r="AK465" s="411">
        <v>0</v>
      </c>
      <c r="AL465" s="18"/>
      <c r="AM465" s="49"/>
      <c r="AN465" s="2"/>
      <c r="AO465" s="2"/>
    </row>
    <row r="466" spans="1:41" hidden="1">
      <c r="A466" s="14">
        <v>195</v>
      </c>
      <c r="B466" s="11" t="s">
        <v>207</v>
      </c>
      <c r="C466" s="14">
        <v>0</v>
      </c>
      <c r="D466" s="11" t="s">
        <v>18141</v>
      </c>
      <c r="E466" s="11" t="s">
        <v>207</v>
      </c>
      <c r="F466" s="12">
        <v>44035</v>
      </c>
      <c r="G466" s="11">
        <v>2020</v>
      </c>
      <c r="H466" s="11" t="s">
        <v>16783</v>
      </c>
      <c r="I466" s="11" t="s">
        <v>16784</v>
      </c>
      <c r="J466" s="11" t="s">
        <v>16401</v>
      </c>
      <c r="K466" s="404">
        <v>441409.21299999999</v>
      </c>
      <c r="L466" s="11">
        <v>2.7876500000000002</v>
      </c>
      <c r="M466" s="405">
        <v>158344.56011335712</v>
      </c>
      <c r="N466" s="11" t="s">
        <v>20155</v>
      </c>
      <c r="O466" s="11" t="s">
        <v>17939</v>
      </c>
      <c r="P466" s="872">
        <v>44037</v>
      </c>
      <c r="Q466" s="423">
        <v>242088</v>
      </c>
      <c r="R466" s="423">
        <v>0</v>
      </c>
      <c r="S466" s="423">
        <v>0</v>
      </c>
      <c r="T466" s="423">
        <v>0</v>
      </c>
      <c r="U466" s="423">
        <v>242088</v>
      </c>
      <c r="V466" s="11" t="s">
        <v>20155</v>
      </c>
      <c r="W466" s="407">
        <v>418411.10018400004</v>
      </c>
      <c r="X466" s="407">
        <v>0</v>
      </c>
      <c r="Y466" s="407">
        <v>0</v>
      </c>
      <c r="Z466" s="407">
        <v>0</v>
      </c>
      <c r="AA466" s="408">
        <v>1.7283430000000002</v>
      </c>
      <c r="AB466" s="408"/>
      <c r="AC466" s="408"/>
      <c r="AD466" s="408"/>
      <c r="AE466" s="409"/>
      <c r="AF466" s="410">
        <v>34099.78</v>
      </c>
      <c r="AG466" s="410">
        <v>0.14085696110505269</v>
      </c>
      <c r="AH466" s="411">
        <v>1.5874860388949474</v>
      </c>
      <c r="AI466" s="411">
        <v>0</v>
      </c>
      <c r="AJ466" s="411">
        <v>0</v>
      </c>
      <c r="AK466" s="411">
        <v>0</v>
      </c>
      <c r="AL466" s="18"/>
      <c r="AM466" s="49"/>
      <c r="AN466" s="2"/>
      <c r="AO466" s="2"/>
    </row>
    <row r="467" spans="1:41" hidden="1">
      <c r="A467" s="14">
        <v>196</v>
      </c>
      <c r="B467" s="11" t="s">
        <v>208</v>
      </c>
      <c r="C467" s="14">
        <v>0</v>
      </c>
      <c r="D467" s="11" t="s">
        <v>18143</v>
      </c>
      <c r="E467" s="11" t="s">
        <v>208</v>
      </c>
      <c r="F467" s="12">
        <v>44035</v>
      </c>
      <c r="G467" s="11">
        <v>2020</v>
      </c>
      <c r="H467" s="11" t="s">
        <v>17017</v>
      </c>
      <c r="I467" s="11" t="s">
        <v>17018</v>
      </c>
      <c r="J467" s="11" t="s">
        <v>3</v>
      </c>
      <c r="K467" s="404">
        <v>59213.826999999997</v>
      </c>
      <c r="L467" s="11">
        <v>1</v>
      </c>
      <c r="M467" s="405">
        <v>59213.826999999997</v>
      </c>
      <c r="N467" s="11" t="s">
        <v>20155</v>
      </c>
      <c r="O467" s="11" t="s">
        <v>17954</v>
      </c>
      <c r="P467" s="872">
        <v>44041</v>
      </c>
      <c r="Q467" s="423">
        <v>0</v>
      </c>
      <c r="R467" s="423">
        <v>16419.52</v>
      </c>
      <c r="S467" s="423">
        <v>2400</v>
      </c>
      <c r="T467" s="423">
        <v>6390</v>
      </c>
      <c r="U467" s="423">
        <v>25209.52</v>
      </c>
      <c r="V467" s="11" t="s">
        <v>20155</v>
      </c>
      <c r="W467" s="407">
        <v>0</v>
      </c>
      <c r="X467" s="407">
        <v>26122.696</v>
      </c>
      <c r="Y467" s="407">
        <v>3672</v>
      </c>
      <c r="Z467" s="407">
        <v>29418.400000000001</v>
      </c>
      <c r="AA467" s="431"/>
      <c r="AB467" s="408">
        <v>1.590953694139658</v>
      </c>
      <c r="AC467" s="408">
        <v>1.53</v>
      </c>
      <c r="AD467" s="408">
        <v>4.6038184663536779</v>
      </c>
      <c r="AE467" s="409"/>
      <c r="AF467" s="410">
        <v>0</v>
      </c>
      <c r="AG467" s="410">
        <v>0</v>
      </c>
      <c r="AH467" s="411">
        <v>0</v>
      </c>
      <c r="AI467" s="412">
        <v>1.590953694139658</v>
      </c>
      <c r="AJ467" s="411">
        <v>1.53</v>
      </c>
      <c r="AK467" s="411">
        <v>4.6038184663536779</v>
      </c>
      <c r="AL467" s="18"/>
      <c r="AM467" s="49"/>
      <c r="AN467" s="2"/>
      <c r="AO467" s="2"/>
    </row>
    <row r="468" spans="1:41" hidden="1">
      <c r="A468" s="14">
        <v>197</v>
      </c>
      <c r="B468" s="11" t="s">
        <v>209</v>
      </c>
      <c r="C468" s="14">
        <v>0</v>
      </c>
      <c r="D468" s="11" t="s">
        <v>18145</v>
      </c>
      <c r="E468" s="11" t="s">
        <v>209</v>
      </c>
      <c r="F468" s="12">
        <v>44040</v>
      </c>
      <c r="G468" s="11">
        <v>2020</v>
      </c>
      <c r="H468" s="11" t="s">
        <v>16904</v>
      </c>
      <c r="I468" s="11" t="s">
        <v>16905</v>
      </c>
      <c r="J468" s="11" t="s">
        <v>16482</v>
      </c>
      <c r="K468" s="404">
        <v>52831.446000000004</v>
      </c>
      <c r="L468" s="11">
        <v>3.2461000000000002</v>
      </c>
      <c r="M468" s="405">
        <v>16275.35997042605</v>
      </c>
      <c r="N468" s="11" t="s">
        <v>20155</v>
      </c>
      <c r="O468" s="11" t="s">
        <v>20160</v>
      </c>
      <c r="P468" s="872">
        <v>44110</v>
      </c>
      <c r="Q468" s="423">
        <v>0</v>
      </c>
      <c r="R468" s="423">
        <v>15984</v>
      </c>
      <c r="S468" s="423">
        <v>11280</v>
      </c>
      <c r="T468" s="423">
        <v>0</v>
      </c>
      <c r="U468" s="423">
        <v>27264</v>
      </c>
      <c r="V468" s="11" t="s">
        <v>20155</v>
      </c>
      <c r="W468" s="407">
        <v>0</v>
      </c>
      <c r="X468" s="407">
        <v>39743.170895999996</v>
      </c>
      <c r="Y468" s="407">
        <v>13088.2752</v>
      </c>
      <c r="Z468" s="407">
        <v>0</v>
      </c>
      <c r="AA468" s="408"/>
      <c r="AB468" s="408">
        <v>2.4864346156156154</v>
      </c>
      <c r="AC468" s="408">
        <v>1.1603080851063829</v>
      </c>
      <c r="AD468" s="408"/>
      <c r="AE468" s="409"/>
      <c r="AF468" s="410">
        <v>10277.299999999999</v>
      </c>
      <c r="AG468" s="410">
        <v>0.37695495892018777</v>
      </c>
      <c r="AH468" s="411"/>
      <c r="AI468" s="412">
        <v>2.1094796566954277</v>
      </c>
      <c r="AJ468" s="411">
        <v>0.78335312618619524</v>
      </c>
      <c r="AK468" s="411">
        <v>0</v>
      </c>
      <c r="AL468" s="18"/>
      <c r="AM468" s="49"/>
      <c r="AN468" s="2"/>
      <c r="AO468" s="2"/>
    </row>
    <row r="469" spans="1:41" hidden="1">
      <c r="A469" s="14">
        <v>198</v>
      </c>
      <c r="B469" s="11" t="s">
        <v>210</v>
      </c>
      <c r="C469" s="14">
        <v>0</v>
      </c>
      <c r="D469" s="11" t="s">
        <v>18147</v>
      </c>
      <c r="E469" s="11" t="s">
        <v>210</v>
      </c>
      <c r="F469" s="12">
        <v>44042</v>
      </c>
      <c r="G469" s="11">
        <v>2020</v>
      </c>
      <c r="H469" s="11" t="s">
        <v>16444</v>
      </c>
      <c r="I469" s="11" t="s">
        <v>16445</v>
      </c>
      <c r="J469" s="11" t="s">
        <v>3</v>
      </c>
      <c r="K469" s="404">
        <v>343480</v>
      </c>
      <c r="L469" s="11">
        <v>1</v>
      </c>
      <c r="M469" s="405">
        <v>343480</v>
      </c>
      <c r="N469" s="11" t="s">
        <v>20155</v>
      </c>
      <c r="O469" s="11" t="s">
        <v>17801</v>
      </c>
      <c r="P469" s="872">
        <v>44062</v>
      </c>
      <c r="Q469" s="423">
        <v>0</v>
      </c>
      <c r="R469" s="423">
        <v>0</v>
      </c>
      <c r="S469" s="423">
        <v>277000</v>
      </c>
      <c r="T469" s="423">
        <v>0</v>
      </c>
      <c r="U469" s="423">
        <v>277000</v>
      </c>
      <c r="V469" s="11" t="s">
        <v>20155</v>
      </c>
      <c r="W469" s="407">
        <v>0</v>
      </c>
      <c r="X469" s="407">
        <v>0</v>
      </c>
      <c r="Y469" s="407">
        <v>343480</v>
      </c>
      <c r="Z469" s="407">
        <v>0</v>
      </c>
      <c r="AA469" s="408"/>
      <c r="AB469" s="408"/>
      <c r="AC469" s="408">
        <v>1.24</v>
      </c>
      <c r="AD469" s="408"/>
      <c r="AE469" s="409"/>
      <c r="AF469" s="410">
        <v>0</v>
      </c>
      <c r="AG469" s="410">
        <v>0</v>
      </c>
      <c r="AH469" s="411">
        <v>0</v>
      </c>
      <c r="AI469" s="411">
        <v>0</v>
      </c>
      <c r="AJ469" s="411">
        <v>1.24</v>
      </c>
      <c r="AK469" s="411">
        <v>0</v>
      </c>
      <c r="AL469" s="18"/>
      <c r="AM469" s="49"/>
      <c r="AN469" s="2"/>
      <c r="AO469" s="2"/>
    </row>
    <row r="470" spans="1:41" hidden="1">
      <c r="A470" s="14">
        <v>199</v>
      </c>
      <c r="B470" s="11" t="s">
        <v>211</v>
      </c>
      <c r="C470" s="14">
        <v>0</v>
      </c>
      <c r="D470" s="11" t="s">
        <v>18148</v>
      </c>
      <c r="E470" s="11" t="s">
        <v>211</v>
      </c>
      <c r="F470" s="12">
        <v>44042</v>
      </c>
      <c r="G470" s="11">
        <v>2020</v>
      </c>
      <c r="H470" s="11" t="s">
        <v>16444</v>
      </c>
      <c r="I470" s="11" t="s">
        <v>16445</v>
      </c>
      <c r="J470" s="11" t="s">
        <v>3</v>
      </c>
      <c r="K470" s="404">
        <v>380250</v>
      </c>
      <c r="L470" s="11">
        <v>1</v>
      </c>
      <c r="M470" s="405">
        <v>380250</v>
      </c>
      <c r="N470" s="11" t="s">
        <v>20155</v>
      </c>
      <c r="O470" s="11" t="s">
        <v>17801</v>
      </c>
      <c r="P470" s="872">
        <v>44069</v>
      </c>
      <c r="Q470" s="423">
        <v>0</v>
      </c>
      <c r="R470" s="423">
        <v>304200</v>
      </c>
      <c r="S470" s="423">
        <v>0</v>
      </c>
      <c r="T470" s="423">
        <v>0</v>
      </c>
      <c r="U470" s="423">
        <v>304200</v>
      </c>
      <c r="V470" s="11" t="s">
        <v>20155</v>
      </c>
      <c r="W470" s="407">
        <v>0</v>
      </c>
      <c r="X470" s="407">
        <v>380250</v>
      </c>
      <c r="Y470" s="407">
        <v>0</v>
      </c>
      <c r="Z470" s="407">
        <v>0</v>
      </c>
      <c r="AA470" s="408"/>
      <c r="AB470" s="408">
        <v>1.25</v>
      </c>
      <c r="AC470" s="408"/>
      <c r="AD470" s="408"/>
      <c r="AE470" s="409"/>
      <c r="AF470" s="410">
        <v>0</v>
      </c>
      <c r="AG470" s="410">
        <v>0</v>
      </c>
      <c r="AH470" s="411">
        <v>0</v>
      </c>
      <c r="AI470" s="412">
        <v>1.25</v>
      </c>
      <c r="AJ470" s="411">
        <v>0</v>
      </c>
      <c r="AK470" s="411">
        <v>0</v>
      </c>
      <c r="AL470" s="18"/>
      <c r="AM470" s="49"/>
      <c r="AN470" s="2"/>
      <c r="AO470" s="2"/>
    </row>
    <row r="471" spans="1:41" hidden="1">
      <c r="A471" s="14">
        <v>200</v>
      </c>
      <c r="B471" s="11" t="s">
        <v>212</v>
      </c>
      <c r="C471" s="14">
        <v>0</v>
      </c>
      <c r="D471" s="11" t="s">
        <v>18149</v>
      </c>
      <c r="E471" s="11" t="s">
        <v>212</v>
      </c>
      <c r="F471" s="12">
        <v>44042</v>
      </c>
      <c r="G471" s="11">
        <v>2020</v>
      </c>
      <c r="H471" s="11" t="s">
        <v>16444</v>
      </c>
      <c r="I471" s="11" t="s">
        <v>16445</v>
      </c>
      <c r="J471" s="11" t="s">
        <v>3</v>
      </c>
      <c r="K471" s="404">
        <v>70962.48</v>
      </c>
      <c r="L471" s="11">
        <v>1</v>
      </c>
      <c r="M471" s="405">
        <v>70962.48</v>
      </c>
      <c r="N471" s="11" t="s">
        <v>20155</v>
      </c>
      <c r="O471" s="11" t="s">
        <v>17693</v>
      </c>
      <c r="P471" s="872">
        <v>44053</v>
      </c>
      <c r="Q471" s="423">
        <v>43404</v>
      </c>
      <c r="R471" s="423">
        <v>0</v>
      </c>
      <c r="S471" s="423">
        <v>0</v>
      </c>
      <c r="T471" s="423">
        <v>0</v>
      </c>
      <c r="U471" s="423">
        <v>43404</v>
      </c>
      <c r="V471" s="11" t="s">
        <v>20155</v>
      </c>
      <c r="W471" s="407">
        <v>70962.48</v>
      </c>
      <c r="X471" s="407">
        <v>0</v>
      </c>
      <c r="Y471" s="407">
        <v>0</v>
      </c>
      <c r="Z471" s="407">
        <v>0</v>
      </c>
      <c r="AA471" s="408">
        <v>1.6349294995852917</v>
      </c>
      <c r="AB471" s="408"/>
      <c r="AC471" s="408"/>
      <c r="AD471" s="408"/>
      <c r="AE471" s="409"/>
      <c r="AF471" s="410">
        <v>0</v>
      </c>
      <c r="AG471" s="410">
        <v>0</v>
      </c>
      <c r="AH471" s="411">
        <v>1.6349294995852917</v>
      </c>
      <c r="AI471" s="411">
        <v>0</v>
      </c>
      <c r="AJ471" s="411">
        <v>0</v>
      </c>
      <c r="AK471" s="411">
        <v>0</v>
      </c>
      <c r="AL471" s="18"/>
      <c r="AM471" s="49"/>
      <c r="AN471" s="2"/>
      <c r="AO471" s="2"/>
    </row>
    <row r="472" spans="1:41" hidden="1">
      <c r="A472" s="14">
        <v>201</v>
      </c>
      <c r="B472" s="11" t="s">
        <v>213</v>
      </c>
      <c r="C472" s="14">
        <v>0</v>
      </c>
      <c r="D472" s="11" t="s">
        <v>18150</v>
      </c>
      <c r="E472" s="11" t="s">
        <v>213</v>
      </c>
      <c r="F472" s="12">
        <v>44047</v>
      </c>
      <c r="G472" s="11">
        <v>2020</v>
      </c>
      <c r="H472" s="11" t="s">
        <v>17156</v>
      </c>
      <c r="I472" s="11" t="s">
        <v>17157</v>
      </c>
      <c r="J472" s="11" t="s">
        <v>3</v>
      </c>
      <c r="K472" s="404">
        <v>415740</v>
      </c>
      <c r="L472" s="11">
        <v>1</v>
      </c>
      <c r="M472" s="405">
        <v>415740</v>
      </c>
      <c r="N472" s="11" t="s">
        <v>20155</v>
      </c>
      <c r="O472" s="11" t="s">
        <v>20161</v>
      </c>
      <c r="P472" s="872">
        <v>44062</v>
      </c>
      <c r="Q472" s="423">
        <v>0</v>
      </c>
      <c r="R472" s="423">
        <v>246000</v>
      </c>
      <c r="S472" s="423">
        <v>0</v>
      </c>
      <c r="T472" s="423">
        <v>0</v>
      </c>
      <c r="U472" s="423">
        <v>246000</v>
      </c>
      <c r="V472" s="11" t="s">
        <v>20155</v>
      </c>
      <c r="W472" s="407">
        <v>0</v>
      </c>
      <c r="X472" s="407">
        <v>415740</v>
      </c>
      <c r="Y472" s="407">
        <v>0</v>
      </c>
      <c r="Z472" s="407">
        <v>0</v>
      </c>
      <c r="AA472" s="408"/>
      <c r="AB472" s="408">
        <v>1.69</v>
      </c>
      <c r="AC472" s="408"/>
      <c r="AD472" s="408"/>
      <c r="AE472" s="409"/>
      <c r="AF472" s="410">
        <v>0</v>
      </c>
      <c r="AG472" s="410">
        <v>0</v>
      </c>
      <c r="AH472" s="411">
        <v>0</v>
      </c>
      <c r="AI472" s="412">
        <v>1.69</v>
      </c>
      <c r="AJ472" s="411">
        <v>0</v>
      </c>
      <c r="AK472" s="411">
        <v>0</v>
      </c>
      <c r="AL472" s="18"/>
      <c r="AM472" s="49"/>
      <c r="AN472" s="2"/>
      <c r="AO472" s="2"/>
    </row>
    <row r="473" spans="1:41" hidden="1">
      <c r="A473" s="14">
        <v>202</v>
      </c>
      <c r="B473" s="11" t="s">
        <v>214</v>
      </c>
      <c r="C473" s="14">
        <v>0</v>
      </c>
      <c r="D473" s="11" t="s">
        <v>18152</v>
      </c>
      <c r="E473" s="11" t="s">
        <v>214</v>
      </c>
      <c r="F473" s="12">
        <v>44047</v>
      </c>
      <c r="G473" s="11">
        <v>2020</v>
      </c>
      <c r="H473" s="11" t="s">
        <v>16972</v>
      </c>
      <c r="I473" s="11" t="s">
        <v>16973</v>
      </c>
      <c r="J473" s="11" t="s">
        <v>3</v>
      </c>
      <c r="K473" s="404">
        <v>355600</v>
      </c>
      <c r="L473" s="11">
        <v>1</v>
      </c>
      <c r="M473" s="405">
        <v>355600</v>
      </c>
      <c r="N473" s="11" t="s">
        <v>20155</v>
      </c>
      <c r="O473" s="11" t="s">
        <v>17801</v>
      </c>
      <c r="P473" s="872">
        <v>44089</v>
      </c>
      <c r="Q473" s="423">
        <v>0</v>
      </c>
      <c r="R473" s="423">
        <v>0</v>
      </c>
      <c r="S473" s="423">
        <v>280000</v>
      </c>
      <c r="T473" s="423">
        <v>0</v>
      </c>
      <c r="U473" s="423">
        <v>280000</v>
      </c>
      <c r="V473" s="11" t="s">
        <v>20155</v>
      </c>
      <c r="W473" s="407">
        <v>0</v>
      </c>
      <c r="X473" s="407">
        <v>0</v>
      </c>
      <c r="Y473" s="407">
        <v>355600</v>
      </c>
      <c r="Z473" s="407">
        <v>0</v>
      </c>
      <c r="AA473" s="408"/>
      <c r="AB473" s="408"/>
      <c r="AC473" s="408">
        <v>1.27</v>
      </c>
      <c r="AD473" s="408"/>
      <c r="AE473" s="409"/>
      <c r="AF473" s="410">
        <v>0</v>
      </c>
      <c r="AG473" s="410">
        <v>0</v>
      </c>
      <c r="AH473" s="411">
        <v>0</v>
      </c>
      <c r="AI473" s="411">
        <v>0</v>
      </c>
      <c r="AJ473" s="411">
        <v>1.27</v>
      </c>
      <c r="AK473" s="411">
        <v>0</v>
      </c>
      <c r="AL473" s="18"/>
      <c r="AM473" s="49"/>
      <c r="AN473" s="2"/>
      <c r="AO473" s="2"/>
    </row>
    <row r="474" spans="1:41" hidden="1">
      <c r="A474" s="14">
        <v>203</v>
      </c>
      <c r="B474" s="11" t="s">
        <v>215</v>
      </c>
      <c r="C474" s="14">
        <v>0</v>
      </c>
      <c r="D474" s="11" t="s">
        <v>18153</v>
      </c>
      <c r="E474" s="11" t="s">
        <v>215</v>
      </c>
      <c r="F474" s="12">
        <v>44047</v>
      </c>
      <c r="G474" s="11">
        <v>2020</v>
      </c>
      <c r="H474" s="11" t="s">
        <v>17209</v>
      </c>
      <c r="I474" s="11" t="s">
        <v>17210</v>
      </c>
      <c r="J474" s="11" t="s">
        <v>16401</v>
      </c>
      <c r="K474" s="404">
        <v>57099.925000000003</v>
      </c>
      <c r="L474" s="11">
        <v>2.7330999999999999</v>
      </c>
      <c r="M474" s="405">
        <v>20891.999926823024</v>
      </c>
      <c r="N474" s="11" t="s">
        <v>20155</v>
      </c>
      <c r="O474" s="11" t="s">
        <v>20168</v>
      </c>
      <c r="P474" s="872">
        <v>44051</v>
      </c>
      <c r="Q474" s="423">
        <v>5700</v>
      </c>
      <c r="R474" s="423">
        <v>4320</v>
      </c>
      <c r="S474" s="423">
        <v>0</v>
      </c>
      <c r="T474" s="423">
        <v>10250</v>
      </c>
      <c r="U474" s="423">
        <v>20270</v>
      </c>
      <c r="V474" s="11" t="s">
        <v>20155</v>
      </c>
      <c r="W474" s="407">
        <v>9347.2019999999993</v>
      </c>
      <c r="X474" s="407">
        <v>7084.1952000000001</v>
      </c>
      <c r="Y474" s="407">
        <v>0</v>
      </c>
      <c r="Z474" s="407">
        <v>36350.230000000003</v>
      </c>
      <c r="AA474" s="408">
        <v>1.6398599999999999</v>
      </c>
      <c r="AB474" s="408">
        <v>1.6398600000000001</v>
      </c>
      <c r="AC474" s="408"/>
      <c r="AD474" s="408">
        <v>3.5463639024390248</v>
      </c>
      <c r="AE474" s="409"/>
      <c r="AF474" s="410">
        <v>5640.18</v>
      </c>
      <c r="AG474" s="410">
        <v>0.27825259003453379</v>
      </c>
      <c r="AH474" s="411">
        <v>1.361607409965466</v>
      </c>
      <c r="AI474" s="412">
        <v>1.3616074099654663</v>
      </c>
      <c r="AJ474" s="411"/>
      <c r="AK474" s="411">
        <v>3.2681113124044909</v>
      </c>
      <c r="AL474" s="18"/>
      <c r="AM474" s="49"/>
      <c r="AN474" s="2"/>
      <c r="AO474" s="2"/>
    </row>
    <row r="475" spans="1:41" hidden="1">
      <c r="A475" s="14">
        <v>204</v>
      </c>
      <c r="B475" s="11" t="s">
        <v>216</v>
      </c>
      <c r="C475" s="14">
        <v>0</v>
      </c>
      <c r="D475" s="11" t="s">
        <v>18154</v>
      </c>
      <c r="E475" s="11" t="s">
        <v>216</v>
      </c>
      <c r="F475" s="12">
        <v>44053</v>
      </c>
      <c r="G475" s="11">
        <v>2020</v>
      </c>
      <c r="H475" s="11" t="s">
        <v>16838</v>
      </c>
      <c r="I475" s="11" t="s">
        <v>16839</v>
      </c>
      <c r="J475" s="11" t="s">
        <v>3</v>
      </c>
      <c r="K475" s="404">
        <v>72540</v>
      </c>
      <c r="L475" s="11">
        <v>1</v>
      </c>
      <c r="M475" s="405">
        <v>72540</v>
      </c>
      <c r="N475" s="11" t="s">
        <v>20155</v>
      </c>
      <c r="O475" s="11" t="s">
        <v>17798</v>
      </c>
      <c r="P475" s="872">
        <v>44064</v>
      </c>
      <c r="Q475" s="423">
        <v>0</v>
      </c>
      <c r="R475" s="423">
        <v>0</v>
      </c>
      <c r="S475" s="423">
        <v>52000</v>
      </c>
      <c r="T475" s="423">
        <v>0</v>
      </c>
      <c r="U475" s="423">
        <v>52000</v>
      </c>
      <c r="V475" s="11" t="s">
        <v>20155</v>
      </c>
      <c r="W475" s="407">
        <v>0</v>
      </c>
      <c r="X475" s="407">
        <v>0</v>
      </c>
      <c r="Y475" s="407">
        <v>72540</v>
      </c>
      <c r="Z475" s="407">
        <v>0</v>
      </c>
      <c r="AA475" s="408"/>
      <c r="AB475" s="408"/>
      <c r="AC475" s="408">
        <v>1.395</v>
      </c>
      <c r="AD475" s="408"/>
      <c r="AE475" s="409"/>
      <c r="AF475" s="410">
        <v>0</v>
      </c>
      <c r="AG475" s="410">
        <v>0</v>
      </c>
      <c r="AH475" s="411">
        <v>0</v>
      </c>
      <c r="AI475" s="411">
        <v>0</v>
      </c>
      <c r="AJ475" s="411">
        <v>1.395</v>
      </c>
      <c r="AK475" s="411">
        <v>0</v>
      </c>
      <c r="AL475" s="18"/>
      <c r="AM475" s="49"/>
      <c r="AN475" s="2"/>
      <c r="AO475" s="2"/>
    </row>
    <row r="476" spans="1:41" hidden="1">
      <c r="A476" s="14">
        <v>205</v>
      </c>
      <c r="B476" s="11" t="s">
        <v>217</v>
      </c>
      <c r="C476" s="14">
        <v>0</v>
      </c>
      <c r="D476" s="11" t="s">
        <v>18155</v>
      </c>
      <c r="E476" s="11" t="s">
        <v>217</v>
      </c>
      <c r="F476" s="12">
        <v>44053</v>
      </c>
      <c r="G476" s="11">
        <v>2020</v>
      </c>
      <c r="H476" s="11" t="s">
        <v>16838</v>
      </c>
      <c r="I476" s="11" t="s">
        <v>16839</v>
      </c>
      <c r="J476" s="11" t="s">
        <v>3</v>
      </c>
      <c r="K476" s="404">
        <v>75408</v>
      </c>
      <c r="L476" s="11">
        <v>1</v>
      </c>
      <c r="M476" s="405">
        <v>75408</v>
      </c>
      <c r="N476" s="11" t="s">
        <v>20155</v>
      </c>
      <c r="O476" s="11" t="s">
        <v>17949</v>
      </c>
      <c r="P476" s="872">
        <v>44075</v>
      </c>
      <c r="Q476" s="423">
        <v>0</v>
      </c>
      <c r="R476" s="423">
        <v>43200</v>
      </c>
      <c r="S476" s="423">
        <v>4800</v>
      </c>
      <c r="T476" s="423">
        <v>0</v>
      </c>
      <c r="U476" s="423">
        <v>48000</v>
      </c>
      <c r="V476" s="11" t="s">
        <v>20155</v>
      </c>
      <c r="W476" s="407">
        <v>0</v>
      </c>
      <c r="X476" s="407">
        <v>68688</v>
      </c>
      <c r="Y476" s="407">
        <v>6720</v>
      </c>
      <c r="Z476" s="407">
        <v>0</v>
      </c>
      <c r="AA476" s="408"/>
      <c r="AB476" s="408">
        <v>1.59</v>
      </c>
      <c r="AC476" s="408">
        <v>1.4</v>
      </c>
      <c r="AD476" s="408"/>
      <c r="AE476" s="409"/>
      <c r="AF476" s="410">
        <v>0</v>
      </c>
      <c r="AG476" s="410">
        <v>0</v>
      </c>
      <c r="AH476" s="411">
        <v>0</v>
      </c>
      <c r="AI476" s="412">
        <v>1.59</v>
      </c>
      <c r="AJ476" s="411">
        <v>1.4</v>
      </c>
      <c r="AK476" s="411">
        <v>0</v>
      </c>
      <c r="AL476" s="18"/>
      <c r="AM476" s="49"/>
      <c r="AN476" s="2"/>
      <c r="AO476" s="2"/>
    </row>
    <row r="477" spans="1:41" hidden="1">
      <c r="A477" s="14">
        <v>206</v>
      </c>
      <c r="B477" s="11" t="s">
        <v>218</v>
      </c>
      <c r="C477" s="14">
        <v>0</v>
      </c>
      <c r="D477" s="11" t="s">
        <v>18157</v>
      </c>
      <c r="E477" s="11" t="s">
        <v>218</v>
      </c>
      <c r="F477" s="12">
        <v>44054</v>
      </c>
      <c r="G477" s="11">
        <v>2020</v>
      </c>
      <c r="H477" s="11" t="s">
        <v>17248</v>
      </c>
      <c r="I477" s="11" t="s">
        <v>17249</v>
      </c>
      <c r="J477" s="11" t="s">
        <v>16401</v>
      </c>
      <c r="K477" s="404">
        <v>51157.635000000002</v>
      </c>
      <c r="L477" s="11">
        <v>2.7296999999999998</v>
      </c>
      <c r="M477" s="405">
        <v>18741.119903286079</v>
      </c>
      <c r="N477" s="11" t="s">
        <v>20155</v>
      </c>
      <c r="O477" s="11" t="s">
        <v>17954</v>
      </c>
      <c r="P477" s="872">
        <v>44064</v>
      </c>
      <c r="Q477" s="423">
        <v>0</v>
      </c>
      <c r="R477" s="423">
        <v>23426</v>
      </c>
      <c r="S477" s="423">
        <v>0</v>
      </c>
      <c r="T477" s="423">
        <v>0</v>
      </c>
      <c r="U477" s="423">
        <v>23426</v>
      </c>
      <c r="V477" s="11" t="s">
        <v>20155</v>
      </c>
      <c r="W477" s="407">
        <v>0</v>
      </c>
      <c r="X477" s="407">
        <v>51157.635264000011</v>
      </c>
      <c r="Y477" s="407">
        <v>0</v>
      </c>
      <c r="Z477" s="407">
        <v>0</v>
      </c>
      <c r="AA477" s="408"/>
      <c r="AB477" s="408">
        <v>2.183797287799881</v>
      </c>
      <c r="AC477" s="408"/>
      <c r="AD477" s="408"/>
      <c r="AE477" s="409"/>
      <c r="AF477" s="410">
        <v>10794.536</v>
      </c>
      <c r="AG477" s="410">
        <v>0.46079296508153333</v>
      </c>
      <c r="AH477" s="411"/>
      <c r="AI477" s="412">
        <v>1.7230043227183476</v>
      </c>
      <c r="AJ477" s="411">
        <v>0</v>
      </c>
      <c r="AK477" s="411">
        <v>0</v>
      </c>
      <c r="AL477" s="18"/>
      <c r="AM477" s="49"/>
      <c r="AN477" s="2"/>
      <c r="AO477" s="2"/>
    </row>
    <row r="478" spans="1:41" hidden="1">
      <c r="A478" s="14">
        <v>207</v>
      </c>
      <c r="B478" s="11" t="s">
        <v>219</v>
      </c>
      <c r="C478" s="14">
        <v>0</v>
      </c>
      <c r="D478" s="11" t="s">
        <v>18160</v>
      </c>
      <c r="E478" s="11" t="s">
        <v>219</v>
      </c>
      <c r="F478" s="12">
        <v>44058</v>
      </c>
      <c r="G478" s="11">
        <v>2020</v>
      </c>
      <c r="H478" s="11" t="s">
        <v>17017</v>
      </c>
      <c r="I478" s="11" t="s">
        <v>17018</v>
      </c>
      <c r="J478" s="11" t="s">
        <v>3</v>
      </c>
      <c r="K478" s="404">
        <v>3565.7159999999999</v>
      </c>
      <c r="L478" s="11">
        <v>1</v>
      </c>
      <c r="M478" s="405">
        <v>3565.7159999999999</v>
      </c>
      <c r="N478" s="11" t="s">
        <v>20155</v>
      </c>
      <c r="O478" s="11" t="s">
        <v>17238</v>
      </c>
      <c r="P478" s="872">
        <v>44071</v>
      </c>
      <c r="Q478" s="423">
        <v>0</v>
      </c>
      <c r="R478" s="423">
        <v>1906.8</v>
      </c>
      <c r="S478" s="423">
        <v>0</v>
      </c>
      <c r="T478" s="423">
        <v>0</v>
      </c>
      <c r="U478" s="423">
        <v>1906.8</v>
      </c>
      <c r="V478" s="11" t="s">
        <v>20155</v>
      </c>
      <c r="W478" s="407">
        <v>0</v>
      </c>
      <c r="X478" s="407">
        <v>3565.59</v>
      </c>
      <c r="Y478" s="407">
        <v>0</v>
      </c>
      <c r="Z478" s="407">
        <v>0</v>
      </c>
      <c r="AA478" s="431"/>
      <c r="AB478" s="408">
        <v>1.869933920704846</v>
      </c>
      <c r="AC478" s="408"/>
      <c r="AD478" s="408"/>
      <c r="AE478" s="409"/>
      <c r="AF478" s="410">
        <v>0</v>
      </c>
      <c r="AG478" s="410">
        <v>0</v>
      </c>
      <c r="AH478" s="411">
        <v>0</v>
      </c>
      <c r="AI478" s="412">
        <v>1.869933920704846</v>
      </c>
      <c r="AJ478" s="411">
        <v>0</v>
      </c>
      <c r="AK478" s="411">
        <v>0</v>
      </c>
      <c r="AL478" s="18"/>
      <c r="AM478" s="49"/>
      <c r="AN478" s="2"/>
      <c r="AO478" s="2"/>
    </row>
    <row r="479" spans="1:41" hidden="1">
      <c r="A479" s="14">
        <v>208</v>
      </c>
      <c r="B479" s="11" t="s">
        <v>220</v>
      </c>
      <c r="C479" s="14">
        <v>0</v>
      </c>
      <c r="D479" s="11" t="s">
        <v>18161</v>
      </c>
      <c r="E479" s="11" t="s">
        <v>220</v>
      </c>
      <c r="F479" s="12">
        <v>44062</v>
      </c>
      <c r="G479" s="11">
        <v>2020</v>
      </c>
      <c r="H479" s="11" t="s">
        <v>17017</v>
      </c>
      <c r="I479" s="11" t="s">
        <v>17018</v>
      </c>
      <c r="J479" s="11" t="s">
        <v>3</v>
      </c>
      <c r="K479" s="404">
        <v>52416</v>
      </c>
      <c r="L479" s="11">
        <v>1</v>
      </c>
      <c r="M479" s="405">
        <v>52416</v>
      </c>
      <c r="N479" s="11" t="s">
        <v>20155</v>
      </c>
      <c r="O479" s="11" t="s">
        <v>20158</v>
      </c>
      <c r="P479" s="872">
        <v>44077</v>
      </c>
      <c r="Q479" s="423">
        <v>0</v>
      </c>
      <c r="R479" s="423">
        <v>0</v>
      </c>
      <c r="S479" s="423">
        <v>33600</v>
      </c>
      <c r="T479" s="423">
        <v>0</v>
      </c>
      <c r="U479" s="423">
        <v>33600</v>
      </c>
      <c r="V479" s="11" t="s">
        <v>20155</v>
      </c>
      <c r="W479" s="407">
        <v>0</v>
      </c>
      <c r="X479" s="407">
        <v>0</v>
      </c>
      <c r="Y479" s="407">
        <v>52416</v>
      </c>
      <c r="Z479" s="407">
        <v>0</v>
      </c>
      <c r="AA479" s="431"/>
      <c r="AB479" s="408"/>
      <c r="AC479" s="408">
        <v>1.56</v>
      </c>
      <c r="AD479" s="408"/>
      <c r="AE479" s="409"/>
      <c r="AF479" s="410">
        <v>0</v>
      </c>
      <c r="AG479" s="410">
        <v>0</v>
      </c>
      <c r="AH479" s="411">
        <v>0</v>
      </c>
      <c r="AI479" s="411">
        <v>0</v>
      </c>
      <c r="AJ479" s="411">
        <v>1.56</v>
      </c>
      <c r="AK479" s="411">
        <v>0</v>
      </c>
      <c r="AL479" s="18"/>
      <c r="AM479" s="49"/>
      <c r="AN479" s="2"/>
      <c r="AO479" s="2"/>
    </row>
    <row r="480" spans="1:41" hidden="1">
      <c r="A480" s="14">
        <v>209</v>
      </c>
      <c r="B480" s="11" t="s">
        <v>221</v>
      </c>
      <c r="C480" s="14">
        <v>0</v>
      </c>
      <c r="D480" s="11" t="s">
        <v>18162</v>
      </c>
      <c r="E480" s="11" t="s">
        <v>221</v>
      </c>
      <c r="F480" s="12">
        <v>44062</v>
      </c>
      <c r="G480" s="11">
        <v>2020</v>
      </c>
      <c r="H480" s="11" t="s">
        <v>16444</v>
      </c>
      <c r="I480" s="11" t="s">
        <v>16445</v>
      </c>
      <c r="J480" s="11" t="s">
        <v>3</v>
      </c>
      <c r="K480" s="404">
        <v>68916.960000000006</v>
      </c>
      <c r="L480" s="11">
        <v>1</v>
      </c>
      <c r="M480" s="405">
        <v>68916.960000000006</v>
      </c>
      <c r="N480" s="11" t="s">
        <v>20155</v>
      </c>
      <c r="O480" s="11" t="s">
        <v>17693</v>
      </c>
      <c r="P480" s="872">
        <v>44067</v>
      </c>
      <c r="Q480" s="423">
        <v>43608</v>
      </c>
      <c r="R480" s="423">
        <v>0</v>
      </c>
      <c r="S480" s="423">
        <v>0</v>
      </c>
      <c r="T480" s="423">
        <v>0</v>
      </c>
      <c r="U480" s="423">
        <v>43608</v>
      </c>
      <c r="V480" s="11" t="s">
        <v>20155</v>
      </c>
      <c r="W480" s="407">
        <v>68916.960000000006</v>
      </c>
      <c r="X480" s="407">
        <v>0</v>
      </c>
      <c r="Y480" s="407">
        <v>0</v>
      </c>
      <c r="Z480" s="407">
        <v>0</v>
      </c>
      <c r="AA480" s="408">
        <v>1.5803742432581178</v>
      </c>
      <c r="AB480" s="408"/>
      <c r="AC480" s="408"/>
      <c r="AD480" s="408"/>
      <c r="AE480" s="409"/>
      <c r="AF480" s="410">
        <v>0</v>
      </c>
      <c r="AG480" s="410">
        <v>0</v>
      </c>
      <c r="AH480" s="411">
        <v>1.5803742432581178</v>
      </c>
      <c r="AI480" s="411">
        <v>0</v>
      </c>
      <c r="AJ480" s="411">
        <v>0</v>
      </c>
      <c r="AK480" s="411">
        <v>0</v>
      </c>
      <c r="AL480" s="18"/>
      <c r="AM480" s="49"/>
      <c r="AN480" s="2"/>
      <c r="AO480" s="2"/>
    </row>
    <row r="481" spans="1:41" hidden="1">
      <c r="A481" s="14">
        <v>210</v>
      </c>
      <c r="B481" s="11" t="s">
        <v>222</v>
      </c>
      <c r="C481" s="14">
        <v>0</v>
      </c>
      <c r="D481" s="11" t="s">
        <v>18163</v>
      </c>
      <c r="E481" s="11" t="s">
        <v>222</v>
      </c>
      <c r="F481" s="12">
        <v>44064</v>
      </c>
      <c r="G481" s="11">
        <v>2020</v>
      </c>
      <c r="H481" s="11" t="s">
        <v>17017</v>
      </c>
      <c r="I481" s="11" t="s">
        <v>17018</v>
      </c>
      <c r="J481" s="11" t="s">
        <v>3</v>
      </c>
      <c r="K481" s="404">
        <v>11717.7</v>
      </c>
      <c r="L481" s="11">
        <v>1</v>
      </c>
      <c r="M481" s="405">
        <v>11717.7</v>
      </c>
      <c r="N481" s="11" t="s">
        <v>20155</v>
      </c>
      <c r="O481" s="11" t="s">
        <v>20158</v>
      </c>
      <c r="P481" s="872">
        <v>44074</v>
      </c>
      <c r="Q481" s="423">
        <v>5490</v>
      </c>
      <c r="R481" s="423">
        <v>840</v>
      </c>
      <c r="S481" s="423">
        <v>0</v>
      </c>
      <c r="T481" s="423">
        <v>0</v>
      </c>
      <c r="U481" s="423">
        <v>6330</v>
      </c>
      <c r="V481" s="11" t="s">
        <v>20155</v>
      </c>
      <c r="W481" s="407">
        <v>10163.700000000001</v>
      </c>
      <c r="X481" s="407">
        <v>1554</v>
      </c>
      <c r="Y481" s="407">
        <v>0</v>
      </c>
      <c r="Z481" s="407">
        <v>0</v>
      </c>
      <c r="AA481" s="431">
        <v>1.8513114754098361</v>
      </c>
      <c r="AB481" s="408">
        <v>1.85</v>
      </c>
      <c r="AC481" s="408"/>
      <c r="AD481" s="408"/>
      <c r="AE481" s="409"/>
      <c r="AF481" s="410">
        <v>0</v>
      </c>
      <c r="AG481" s="410">
        <v>0</v>
      </c>
      <c r="AH481" s="411">
        <v>1.8513114754098361</v>
      </c>
      <c r="AI481" s="412">
        <v>1.85</v>
      </c>
      <c r="AJ481" s="411">
        <v>0</v>
      </c>
      <c r="AK481" s="411">
        <v>0</v>
      </c>
      <c r="AL481" s="18"/>
      <c r="AM481" s="49"/>
      <c r="AN481" s="2"/>
      <c r="AO481" s="2"/>
    </row>
    <row r="482" spans="1:41" hidden="1">
      <c r="A482" s="14">
        <v>211</v>
      </c>
      <c r="B482" s="11" t="s">
        <v>223</v>
      </c>
      <c r="C482" s="14">
        <v>0</v>
      </c>
      <c r="D482" s="11" t="s">
        <v>18164</v>
      </c>
      <c r="E482" s="11" t="s">
        <v>223</v>
      </c>
      <c r="F482" s="12">
        <v>44064</v>
      </c>
      <c r="G482" s="11">
        <v>2020</v>
      </c>
      <c r="H482" s="11" t="s">
        <v>16783</v>
      </c>
      <c r="I482" s="11" t="s">
        <v>16784</v>
      </c>
      <c r="J482" s="11" t="s">
        <v>16401</v>
      </c>
      <c r="K482" s="404">
        <v>354604.005</v>
      </c>
      <c r="L482" s="11">
        <v>2.7370999999999999</v>
      </c>
      <c r="M482" s="405">
        <v>129554.63994738959</v>
      </c>
      <c r="N482" s="11" t="s">
        <v>20155</v>
      </c>
      <c r="O482" s="11" t="s">
        <v>17939</v>
      </c>
      <c r="P482" s="872">
        <v>44069</v>
      </c>
      <c r="Q482" s="423">
        <v>198072</v>
      </c>
      <c r="R482" s="423">
        <v>0</v>
      </c>
      <c r="S482" s="423">
        <v>0</v>
      </c>
      <c r="T482" s="423">
        <v>0</v>
      </c>
      <c r="U482" s="423">
        <v>198072</v>
      </c>
      <c r="V482" s="11" t="s">
        <v>20155</v>
      </c>
      <c r="W482" s="407">
        <v>336128.58014400007</v>
      </c>
      <c r="X482" s="407">
        <v>0</v>
      </c>
      <c r="Y482" s="407">
        <v>0</v>
      </c>
      <c r="Z482" s="407">
        <v>0</v>
      </c>
      <c r="AA482" s="408">
        <v>1.6970020000000003</v>
      </c>
      <c r="AB482" s="408"/>
      <c r="AC482" s="408"/>
      <c r="AD482" s="408"/>
      <c r="AE482" s="409"/>
      <c r="AF482" s="410">
        <v>31060.5</v>
      </c>
      <c r="AG482" s="410">
        <v>0.15681418877983763</v>
      </c>
      <c r="AH482" s="411">
        <v>1.5401878112201628</v>
      </c>
      <c r="AI482" s="411">
        <v>0</v>
      </c>
      <c r="AJ482" s="411">
        <v>0</v>
      </c>
      <c r="AK482" s="411">
        <v>0</v>
      </c>
      <c r="AL482" s="18"/>
      <c r="AM482" s="49"/>
      <c r="AN482" s="2"/>
      <c r="AO482" s="2"/>
    </row>
    <row r="483" spans="1:41" hidden="1">
      <c r="A483" s="14">
        <v>212</v>
      </c>
      <c r="B483" s="11" t="s">
        <v>224</v>
      </c>
      <c r="C483" s="14">
        <v>0</v>
      </c>
      <c r="D483" s="11" t="s">
        <v>18166</v>
      </c>
      <c r="E483" s="11" t="s">
        <v>224</v>
      </c>
      <c r="F483" s="12">
        <v>44064</v>
      </c>
      <c r="G483" s="11">
        <v>2020</v>
      </c>
      <c r="H483" s="11" t="s">
        <v>16838</v>
      </c>
      <c r="I483" s="11" t="s">
        <v>16839</v>
      </c>
      <c r="J483" s="11" t="s">
        <v>3</v>
      </c>
      <c r="K483" s="404">
        <v>358290.24</v>
      </c>
      <c r="L483" s="11">
        <v>1</v>
      </c>
      <c r="M483" s="405">
        <v>358290.24</v>
      </c>
      <c r="N483" s="11" t="s">
        <v>20155</v>
      </c>
      <c r="O483" s="11" t="s">
        <v>17798</v>
      </c>
      <c r="P483" s="872">
        <v>44071</v>
      </c>
      <c r="Q483" s="423">
        <v>0</v>
      </c>
      <c r="R483" s="423">
        <v>264096</v>
      </c>
      <c r="S483" s="423">
        <v>0</v>
      </c>
      <c r="T483" s="423">
        <v>0</v>
      </c>
      <c r="U483" s="423">
        <v>264096</v>
      </c>
      <c r="V483" s="11" t="s">
        <v>20155</v>
      </c>
      <c r="W483" s="407">
        <v>0</v>
      </c>
      <c r="X483" s="407">
        <v>358290.24</v>
      </c>
      <c r="Y483" s="407">
        <v>0</v>
      </c>
      <c r="Z483" s="407">
        <v>0</v>
      </c>
      <c r="AA483" s="408"/>
      <c r="AB483" s="408">
        <v>1.3566666666666667</v>
      </c>
      <c r="AC483" s="408"/>
      <c r="AD483" s="408"/>
      <c r="AE483" s="409"/>
      <c r="AF483" s="410">
        <v>0</v>
      </c>
      <c r="AG483" s="410">
        <v>0</v>
      </c>
      <c r="AH483" s="411">
        <v>0</v>
      </c>
      <c r="AI483" s="412">
        <v>1.3566666666666667</v>
      </c>
      <c r="AJ483" s="411">
        <v>0</v>
      </c>
      <c r="AK483" s="411">
        <v>0</v>
      </c>
      <c r="AL483" s="18"/>
      <c r="AM483" s="49"/>
      <c r="AN483" s="2"/>
      <c r="AO483" s="2"/>
    </row>
    <row r="484" spans="1:41" hidden="1">
      <c r="A484" s="14">
        <v>213</v>
      </c>
      <c r="B484" s="11" t="s">
        <v>225</v>
      </c>
      <c r="C484" s="14">
        <v>0</v>
      </c>
      <c r="D484" s="11" t="s">
        <v>18167</v>
      </c>
      <c r="E484" s="11" t="s">
        <v>225</v>
      </c>
      <c r="F484" s="12">
        <v>44064</v>
      </c>
      <c r="G484" s="11">
        <v>2020</v>
      </c>
      <c r="H484" s="11" t="s">
        <v>16560</v>
      </c>
      <c r="I484" s="11" t="s">
        <v>16561</v>
      </c>
      <c r="J484" s="11" t="s">
        <v>16482</v>
      </c>
      <c r="K484" s="404">
        <v>154052.712</v>
      </c>
      <c r="L484" s="11">
        <v>3.2418499999999999</v>
      </c>
      <c r="M484" s="405">
        <v>47520</v>
      </c>
      <c r="N484" s="11" t="s">
        <v>20155</v>
      </c>
      <c r="O484" s="11" t="s">
        <v>17801</v>
      </c>
      <c r="P484" s="872">
        <v>44070</v>
      </c>
      <c r="Q484" s="423">
        <v>0</v>
      </c>
      <c r="R484" s="423">
        <v>0</v>
      </c>
      <c r="S484" s="423">
        <v>108000</v>
      </c>
      <c r="T484" s="423">
        <v>0</v>
      </c>
      <c r="U484" s="423">
        <v>108000</v>
      </c>
      <c r="V484" s="11" t="s">
        <v>20155</v>
      </c>
      <c r="W484" s="407">
        <v>0</v>
      </c>
      <c r="X484" s="407">
        <v>0</v>
      </c>
      <c r="Y484" s="407">
        <v>154052.712</v>
      </c>
      <c r="Z484" s="407">
        <v>0</v>
      </c>
      <c r="AA484" s="408"/>
      <c r="AB484" s="408"/>
      <c r="AC484" s="408">
        <v>1.4264140000000001</v>
      </c>
      <c r="AD484" s="408"/>
      <c r="AE484" s="409"/>
      <c r="AF484" s="410">
        <v>20146.34</v>
      </c>
      <c r="AG484" s="410">
        <v>0.1865401851851852</v>
      </c>
      <c r="AH484" s="411"/>
      <c r="AI484" s="411">
        <v>0</v>
      </c>
      <c r="AJ484" s="411">
        <v>1.239873814814815</v>
      </c>
      <c r="AK484" s="411">
        <v>0</v>
      </c>
      <c r="AL484" s="18"/>
      <c r="AM484" s="49"/>
      <c r="AN484" s="2"/>
      <c r="AO484" s="2"/>
    </row>
    <row r="485" spans="1:41" hidden="1">
      <c r="A485" s="14">
        <v>214</v>
      </c>
      <c r="B485" s="11" t="s">
        <v>226</v>
      </c>
      <c r="C485" s="14">
        <v>0</v>
      </c>
      <c r="D485" s="11" t="s">
        <v>18168</v>
      </c>
      <c r="E485" s="11" t="s">
        <v>226</v>
      </c>
      <c r="F485" s="12">
        <v>44064</v>
      </c>
      <c r="G485" s="11">
        <v>2020</v>
      </c>
      <c r="H485" s="11" t="s">
        <v>16560</v>
      </c>
      <c r="I485" s="11" t="s">
        <v>16561</v>
      </c>
      <c r="J485" s="11" t="s">
        <v>16482</v>
      </c>
      <c r="K485" s="404">
        <v>154119.24</v>
      </c>
      <c r="L485" s="11">
        <v>3.2432500000000002</v>
      </c>
      <c r="M485" s="405">
        <v>47519.999999999993</v>
      </c>
      <c r="N485" s="11" t="s">
        <v>20155</v>
      </c>
      <c r="O485" s="11" t="s">
        <v>17801</v>
      </c>
      <c r="P485" s="872">
        <v>44071</v>
      </c>
      <c r="Q485" s="423">
        <v>0</v>
      </c>
      <c r="R485" s="423">
        <v>0</v>
      </c>
      <c r="S485" s="423">
        <v>108000</v>
      </c>
      <c r="T485" s="423">
        <v>0</v>
      </c>
      <c r="U485" s="423">
        <v>108000</v>
      </c>
      <c r="V485" s="11" t="s">
        <v>20155</v>
      </c>
      <c r="W485" s="407">
        <v>0</v>
      </c>
      <c r="X485" s="407">
        <v>0</v>
      </c>
      <c r="Y485" s="407">
        <v>154119.24</v>
      </c>
      <c r="Z485" s="407">
        <v>0</v>
      </c>
      <c r="AA485" s="408"/>
      <c r="AB485" s="408"/>
      <c r="AC485" s="408">
        <v>1.42703</v>
      </c>
      <c r="AD485" s="408"/>
      <c r="AE485" s="409"/>
      <c r="AF485" s="410">
        <v>20146.34</v>
      </c>
      <c r="AG485" s="410">
        <v>0.1865401851851852</v>
      </c>
      <c r="AH485" s="411"/>
      <c r="AI485" s="411">
        <v>0</v>
      </c>
      <c r="AJ485" s="411">
        <v>1.2404898148148149</v>
      </c>
      <c r="AK485" s="411">
        <v>0</v>
      </c>
      <c r="AL485" s="18"/>
      <c r="AM485" s="49"/>
      <c r="AN485" s="2"/>
      <c r="AO485" s="2"/>
    </row>
    <row r="486" spans="1:41" hidden="1">
      <c r="A486" s="14">
        <v>215</v>
      </c>
      <c r="B486" s="11" t="s">
        <v>227</v>
      </c>
      <c r="C486" s="14">
        <v>0</v>
      </c>
      <c r="D486" s="11" t="s">
        <v>18169</v>
      </c>
      <c r="E486" s="11" t="s">
        <v>227</v>
      </c>
      <c r="F486" s="12">
        <v>44064</v>
      </c>
      <c r="G486" s="11">
        <v>2020</v>
      </c>
      <c r="H486" s="11" t="s">
        <v>16560</v>
      </c>
      <c r="I486" s="11" t="s">
        <v>16561</v>
      </c>
      <c r="J486" s="11" t="s">
        <v>16482</v>
      </c>
      <c r="K486" s="404">
        <v>154468.51199999999</v>
      </c>
      <c r="L486" s="11">
        <v>3.2505999999999999</v>
      </c>
      <c r="M486" s="405">
        <v>47520</v>
      </c>
      <c r="N486" s="11" t="s">
        <v>20155</v>
      </c>
      <c r="O486" s="11" t="s">
        <v>17801</v>
      </c>
      <c r="P486" s="872">
        <v>44072</v>
      </c>
      <c r="Q486" s="423">
        <v>0</v>
      </c>
      <c r="R486" s="423">
        <v>0</v>
      </c>
      <c r="S486" s="423">
        <v>108000</v>
      </c>
      <c r="T486" s="423">
        <v>0</v>
      </c>
      <c r="U486" s="423">
        <v>108000</v>
      </c>
      <c r="V486" s="11" t="s">
        <v>20155</v>
      </c>
      <c r="W486" s="407">
        <v>0</v>
      </c>
      <c r="X486" s="407">
        <v>0</v>
      </c>
      <c r="Y486" s="407">
        <v>154468.51199999999</v>
      </c>
      <c r="Z486" s="407">
        <v>0</v>
      </c>
      <c r="AA486" s="408"/>
      <c r="AB486" s="408"/>
      <c r="AC486" s="408">
        <v>1.430264</v>
      </c>
      <c r="AD486" s="408"/>
      <c r="AE486" s="409"/>
      <c r="AF486" s="410">
        <v>20146.34</v>
      </c>
      <c r="AG486" s="410">
        <v>0.1865401851851852</v>
      </c>
      <c r="AH486" s="411"/>
      <c r="AI486" s="411">
        <v>0</v>
      </c>
      <c r="AJ486" s="411">
        <v>1.2437238148148149</v>
      </c>
      <c r="AK486" s="411">
        <v>0</v>
      </c>
      <c r="AL486" s="18"/>
      <c r="AM486" s="49"/>
      <c r="AN486" s="2"/>
      <c r="AO486" s="2"/>
    </row>
    <row r="487" spans="1:41" hidden="1">
      <c r="A487" s="14">
        <v>216</v>
      </c>
      <c r="B487" s="11" t="s">
        <v>228</v>
      </c>
      <c r="C487" s="14">
        <v>0</v>
      </c>
      <c r="D487" s="11" t="s">
        <v>18170</v>
      </c>
      <c r="E487" s="11" t="s">
        <v>228</v>
      </c>
      <c r="F487" s="12">
        <v>44064</v>
      </c>
      <c r="G487" s="11">
        <v>2020</v>
      </c>
      <c r="H487" s="11" t="s">
        <v>17242</v>
      </c>
      <c r="I487" s="11" t="s">
        <v>17243</v>
      </c>
      <c r="J487" s="11" t="s">
        <v>16401</v>
      </c>
      <c r="K487" s="404">
        <v>397912.783</v>
      </c>
      <c r="L487" s="11">
        <v>2.7394500000000002</v>
      </c>
      <c r="M487" s="447">
        <v>145252.79999999999</v>
      </c>
      <c r="N487" s="11" t="s">
        <v>20155</v>
      </c>
      <c r="O487" s="11" t="s">
        <v>17939</v>
      </c>
      <c r="P487" s="872">
        <v>44072</v>
      </c>
      <c r="Q487" s="423">
        <v>220080</v>
      </c>
      <c r="R487" s="423">
        <v>0</v>
      </c>
      <c r="S487" s="423">
        <v>0</v>
      </c>
      <c r="T487" s="423">
        <v>0</v>
      </c>
      <c r="U487" s="423">
        <v>220080</v>
      </c>
      <c r="V487" s="11" t="s">
        <v>20155</v>
      </c>
      <c r="W487" s="407">
        <v>379825.83827999985</v>
      </c>
      <c r="X487" s="407">
        <v>0</v>
      </c>
      <c r="Y487" s="407">
        <v>0</v>
      </c>
      <c r="Z487" s="407">
        <v>0</v>
      </c>
      <c r="AA487" s="408">
        <v>1.7258534999999993</v>
      </c>
      <c r="AB487" s="408"/>
      <c r="AC487" s="408"/>
      <c r="AD487" s="408"/>
      <c r="AE487" s="409"/>
      <c r="AF487" s="410">
        <v>29640.400000000001</v>
      </c>
      <c r="AG487" s="410">
        <v>0.1346801163213377</v>
      </c>
      <c r="AH487" s="411">
        <v>1.5911733836786617</v>
      </c>
      <c r="AI487" s="411">
        <v>0</v>
      </c>
      <c r="AJ487" s="411">
        <v>0</v>
      </c>
      <c r="AK487" s="411">
        <v>0</v>
      </c>
      <c r="AL487" s="18"/>
      <c r="AM487" s="49"/>
      <c r="AN487" s="2"/>
      <c r="AO487" s="2"/>
    </row>
    <row r="488" spans="1:41" hidden="1">
      <c r="A488" s="14">
        <v>217</v>
      </c>
      <c r="B488" s="11" t="s">
        <v>229</v>
      </c>
      <c r="C488" s="14">
        <v>0</v>
      </c>
      <c r="D488" s="11" t="s">
        <v>18172</v>
      </c>
      <c r="E488" s="11" t="s">
        <v>229</v>
      </c>
      <c r="F488" s="12">
        <v>44068</v>
      </c>
      <c r="G488" s="11">
        <v>2020</v>
      </c>
      <c r="H488" s="11" t="s">
        <v>16444</v>
      </c>
      <c r="I488" s="11" t="s">
        <v>16445</v>
      </c>
      <c r="J488" s="11" t="s">
        <v>3</v>
      </c>
      <c r="K488" s="404">
        <v>32785</v>
      </c>
      <c r="L488" s="11">
        <v>1</v>
      </c>
      <c r="M488" s="405">
        <v>32785</v>
      </c>
      <c r="N488" s="11" t="s">
        <v>20155</v>
      </c>
      <c r="O488" s="11" t="s">
        <v>17693</v>
      </c>
      <c r="P488" s="872">
        <v>44076</v>
      </c>
      <c r="Q488" s="423">
        <v>20750</v>
      </c>
      <c r="R488" s="423">
        <v>0</v>
      </c>
      <c r="S488" s="423">
        <v>0</v>
      </c>
      <c r="T488" s="423">
        <v>0</v>
      </c>
      <c r="U488" s="423">
        <v>20750</v>
      </c>
      <c r="V488" s="11" t="s">
        <v>20155</v>
      </c>
      <c r="W488" s="407">
        <v>32785</v>
      </c>
      <c r="X488" s="407">
        <v>0</v>
      </c>
      <c r="Y488" s="407">
        <v>0</v>
      </c>
      <c r="Z488" s="407">
        <v>0</v>
      </c>
      <c r="AA488" s="408">
        <v>1.58</v>
      </c>
      <c r="AB488" s="408"/>
      <c r="AC488" s="408"/>
      <c r="AD488" s="408"/>
      <c r="AE488" s="409"/>
      <c r="AF488" s="410">
        <v>0</v>
      </c>
      <c r="AG488" s="410">
        <v>0</v>
      </c>
      <c r="AH488" s="411">
        <v>1.58</v>
      </c>
      <c r="AI488" s="411">
        <v>0</v>
      </c>
      <c r="AJ488" s="411">
        <v>0</v>
      </c>
      <c r="AK488" s="411">
        <v>0</v>
      </c>
      <c r="AL488" s="18"/>
      <c r="AM488" s="49"/>
      <c r="AN488" s="2"/>
      <c r="AO488" s="2"/>
    </row>
    <row r="489" spans="1:41" hidden="1">
      <c r="A489" s="14">
        <v>218</v>
      </c>
      <c r="B489" s="11" t="s">
        <v>230</v>
      </c>
      <c r="C489" s="14">
        <v>0</v>
      </c>
      <c r="D489" s="11" t="s">
        <v>18173</v>
      </c>
      <c r="E489" s="11" t="s">
        <v>230</v>
      </c>
      <c r="F489" s="12">
        <v>44068</v>
      </c>
      <c r="G489" s="11">
        <v>2020</v>
      </c>
      <c r="H489" s="11" t="s">
        <v>16444</v>
      </c>
      <c r="I489" s="11" t="s">
        <v>16445</v>
      </c>
      <c r="J489" s="11" t="s">
        <v>3</v>
      </c>
      <c r="K489" s="404">
        <v>32064</v>
      </c>
      <c r="L489" s="11">
        <v>1</v>
      </c>
      <c r="M489" s="405">
        <v>32064</v>
      </c>
      <c r="N489" s="11" t="s">
        <v>20155</v>
      </c>
      <c r="O489" s="11" t="s">
        <v>18248</v>
      </c>
      <c r="P489" s="872">
        <v>44076</v>
      </c>
      <c r="Q489" s="423">
        <v>19200</v>
      </c>
      <c r="R489" s="423">
        <v>0</v>
      </c>
      <c r="S489" s="423">
        <v>0</v>
      </c>
      <c r="T489" s="423">
        <v>0</v>
      </c>
      <c r="U489" s="423">
        <v>19200</v>
      </c>
      <c r="V489" s="11" t="s">
        <v>20155</v>
      </c>
      <c r="W489" s="407">
        <v>32064</v>
      </c>
      <c r="X489" s="407">
        <v>0</v>
      </c>
      <c r="Y489" s="407">
        <v>0</v>
      </c>
      <c r="Z489" s="407">
        <v>0</v>
      </c>
      <c r="AA489" s="408">
        <v>1.67</v>
      </c>
      <c r="AB489" s="408"/>
      <c r="AC489" s="408"/>
      <c r="AD489" s="408"/>
      <c r="AE489" s="409"/>
      <c r="AF489" s="410">
        <v>0</v>
      </c>
      <c r="AG489" s="410">
        <v>0</v>
      </c>
      <c r="AH489" s="411">
        <v>1.67</v>
      </c>
      <c r="AI489" s="411">
        <v>0</v>
      </c>
      <c r="AJ489" s="411">
        <v>0</v>
      </c>
      <c r="AK489" s="411">
        <v>0</v>
      </c>
      <c r="AL489" s="18"/>
      <c r="AM489" s="49"/>
      <c r="AN489" s="2"/>
      <c r="AO489" s="2"/>
    </row>
    <row r="490" spans="1:41" hidden="1">
      <c r="A490" s="14">
        <v>219</v>
      </c>
      <c r="B490" s="11" t="s">
        <v>231</v>
      </c>
      <c r="C490" s="14">
        <v>0</v>
      </c>
      <c r="D490" s="11" t="s">
        <v>18174</v>
      </c>
      <c r="E490" s="11" t="s">
        <v>231</v>
      </c>
      <c r="F490" s="12">
        <v>44075</v>
      </c>
      <c r="G490" s="11">
        <v>2020</v>
      </c>
      <c r="H490" s="11" t="s">
        <v>17226</v>
      </c>
      <c r="I490" s="11" t="s">
        <v>17227</v>
      </c>
      <c r="J490" s="11" t="s">
        <v>3</v>
      </c>
      <c r="K490" s="404">
        <v>42289.5</v>
      </c>
      <c r="L490" s="11">
        <v>1</v>
      </c>
      <c r="M490" s="405">
        <v>42289.5</v>
      </c>
      <c r="N490" s="11" t="s">
        <v>20155</v>
      </c>
      <c r="O490" s="11" t="s">
        <v>17689</v>
      </c>
      <c r="P490" s="872">
        <v>44083</v>
      </c>
      <c r="Q490" s="423">
        <v>2400</v>
      </c>
      <c r="R490" s="423">
        <v>16350</v>
      </c>
      <c r="S490" s="423">
        <v>0</v>
      </c>
      <c r="T490" s="423">
        <v>3450</v>
      </c>
      <c r="U490" s="423">
        <v>22200</v>
      </c>
      <c r="V490" s="11" t="s">
        <v>20155</v>
      </c>
      <c r="W490" s="407">
        <v>4032</v>
      </c>
      <c r="X490" s="407">
        <v>27022.5</v>
      </c>
      <c r="Y490" s="407">
        <v>0</v>
      </c>
      <c r="Z490" s="407">
        <v>11235</v>
      </c>
      <c r="AA490" s="408">
        <v>1.68</v>
      </c>
      <c r="AB490" s="408">
        <v>1.6527522935779817</v>
      </c>
      <c r="AC490" s="408"/>
      <c r="AD490" s="408">
        <v>3.2565217391304349</v>
      </c>
      <c r="AE490" s="409"/>
      <c r="AF490" s="410">
        <v>0</v>
      </c>
      <c r="AG490" s="410">
        <v>0</v>
      </c>
      <c r="AH490" s="411">
        <v>1.68</v>
      </c>
      <c r="AI490" s="412">
        <v>1.6527522935779817</v>
      </c>
      <c r="AJ490" s="411">
        <v>0</v>
      </c>
      <c r="AK490" s="411">
        <v>3.2565217391304349</v>
      </c>
      <c r="AL490" s="18"/>
      <c r="AM490" s="49"/>
      <c r="AN490" s="2"/>
      <c r="AO490" s="2"/>
    </row>
    <row r="491" spans="1:41" hidden="1">
      <c r="A491" s="14">
        <v>220</v>
      </c>
      <c r="B491" s="11" t="s">
        <v>232</v>
      </c>
      <c r="C491" s="14">
        <v>0</v>
      </c>
      <c r="D491" s="11" t="s">
        <v>18175</v>
      </c>
      <c r="E491" s="11" t="s">
        <v>232</v>
      </c>
      <c r="F491" s="12">
        <v>44075</v>
      </c>
      <c r="G491" s="11">
        <v>2020</v>
      </c>
      <c r="H491" s="11" t="s">
        <v>16384</v>
      </c>
      <c r="I491" s="11" t="s">
        <v>16385</v>
      </c>
      <c r="J491" s="11" t="s">
        <v>3</v>
      </c>
      <c r="K491" s="404">
        <v>186592</v>
      </c>
      <c r="L491" s="11">
        <v>1</v>
      </c>
      <c r="M491" s="405">
        <v>186592</v>
      </c>
      <c r="N491" s="11" t="s">
        <v>20155</v>
      </c>
      <c r="O491" s="11" t="s">
        <v>17801</v>
      </c>
      <c r="P491" s="872">
        <v>44082</v>
      </c>
      <c r="Q491" s="423">
        <v>0</v>
      </c>
      <c r="R491" s="423">
        <v>137200</v>
      </c>
      <c r="S491" s="423">
        <v>0</v>
      </c>
      <c r="T491" s="423">
        <v>0</v>
      </c>
      <c r="U491" s="423">
        <v>137200</v>
      </c>
      <c r="V491" s="11" t="s">
        <v>20155</v>
      </c>
      <c r="W491" s="407">
        <v>0</v>
      </c>
      <c r="X491" s="407">
        <v>186592</v>
      </c>
      <c r="Y491" s="407">
        <v>0</v>
      </c>
      <c r="Z491" s="407">
        <v>0</v>
      </c>
      <c r="AA491" s="408"/>
      <c r="AB491" s="408">
        <v>1.36</v>
      </c>
      <c r="AC491" s="408"/>
      <c r="AD491" s="408"/>
      <c r="AE491" s="409"/>
      <c r="AF491" s="410">
        <v>0</v>
      </c>
      <c r="AG491" s="410">
        <v>0</v>
      </c>
      <c r="AH491" s="411">
        <v>0</v>
      </c>
      <c r="AI491" s="412">
        <v>1.36</v>
      </c>
      <c r="AJ491" s="411">
        <v>0</v>
      </c>
      <c r="AK491" s="411">
        <v>0</v>
      </c>
      <c r="AL491" s="18"/>
      <c r="AM491" s="49"/>
      <c r="AN491" s="2"/>
      <c r="AO491" s="2"/>
    </row>
    <row r="492" spans="1:41" hidden="1">
      <c r="A492" s="14">
        <v>221</v>
      </c>
      <c r="B492" s="11" t="s">
        <v>233</v>
      </c>
      <c r="C492" s="14">
        <v>0</v>
      </c>
      <c r="D492" s="11" t="s">
        <v>18176</v>
      </c>
      <c r="E492" s="11" t="s">
        <v>233</v>
      </c>
      <c r="F492" s="12">
        <v>44075</v>
      </c>
      <c r="G492" s="11">
        <v>2020</v>
      </c>
      <c r="H492" s="11" t="s">
        <v>16779</v>
      </c>
      <c r="I492" s="11" t="s">
        <v>16780</v>
      </c>
      <c r="J492" s="11" t="s">
        <v>16482</v>
      </c>
      <c r="K492" s="404">
        <v>46089.658000000003</v>
      </c>
      <c r="L492" s="11">
        <v>3.2484500000000001</v>
      </c>
      <c r="M492" s="405">
        <v>14188.199910726655</v>
      </c>
      <c r="N492" s="11" t="s">
        <v>20155</v>
      </c>
      <c r="O492" s="11" t="s">
        <v>16394</v>
      </c>
      <c r="P492" s="872">
        <v>44123</v>
      </c>
      <c r="Q492" s="423">
        <v>240</v>
      </c>
      <c r="R492" s="423">
        <v>18480</v>
      </c>
      <c r="S492" s="423">
        <v>240</v>
      </c>
      <c r="T492" s="423">
        <v>2580</v>
      </c>
      <c r="U492" s="423">
        <v>21540</v>
      </c>
      <c r="V492" s="11" t="s">
        <v>20155</v>
      </c>
      <c r="W492" s="407">
        <v>495.06378000000007</v>
      </c>
      <c r="X492" s="407">
        <v>35020.889760000005</v>
      </c>
      <c r="Y492" s="407">
        <v>436.59168000000005</v>
      </c>
      <c r="Z492" s="407">
        <v>10137.113069999999</v>
      </c>
      <c r="AA492" s="408">
        <v>2.0627657500000001</v>
      </c>
      <c r="AB492" s="408">
        <v>1.8950697922077926</v>
      </c>
      <c r="AC492" s="408">
        <v>1.8191320000000002</v>
      </c>
      <c r="AD492" s="408">
        <v>3.9291135930232555</v>
      </c>
      <c r="AE492" s="409"/>
      <c r="AF492" s="410">
        <v>1142.48</v>
      </c>
      <c r="AG492" s="410">
        <v>5.3039925719591458E-2</v>
      </c>
      <c r="AH492" s="411">
        <v>2.0097258242804088</v>
      </c>
      <c r="AI492" s="412">
        <v>1.8420298664882011</v>
      </c>
      <c r="AJ492" s="411">
        <v>1.7660920742804087</v>
      </c>
      <c r="AK492" s="411">
        <v>3.8760736673036642</v>
      </c>
      <c r="AL492" s="18"/>
      <c r="AM492" s="49"/>
      <c r="AN492" s="2"/>
      <c r="AO492" s="2"/>
    </row>
    <row r="493" spans="1:41" hidden="1">
      <c r="A493" s="14">
        <v>222</v>
      </c>
      <c r="B493" s="11" t="s">
        <v>234</v>
      </c>
      <c r="C493" s="14">
        <v>0</v>
      </c>
      <c r="D493" s="11" t="s">
        <v>18177</v>
      </c>
      <c r="E493" s="11" t="s">
        <v>234</v>
      </c>
      <c r="F493" s="12">
        <v>44075</v>
      </c>
      <c r="G493" s="11">
        <v>2020</v>
      </c>
      <c r="H493" s="11" t="s">
        <v>16899</v>
      </c>
      <c r="I493" s="11" t="s">
        <v>16900</v>
      </c>
      <c r="J493" s="11" t="s">
        <v>3</v>
      </c>
      <c r="K493" s="404">
        <v>156480</v>
      </c>
      <c r="L493" s="11">
        <v>1</v>
      </c>
      <c r="M493" s="405">
        <v>156480</v>
      </c>
      <c r="N493" s="11" t="s">
        <v>20155</v>
      </c>
      <c r="O493" s="11" t="s">
        <v>17801</v>
      </c>
      <c r="P493" s="872">
        <v>44088</v>
      </c>
      <c r="Q493" s="423">
        <v>96000</v>
      </c>
      <c r="R493" s="423">
        <v>0</v>
      </c>
      <c r="S493" s="423">
        <v>0</v>
      </c>
      <c r="T493" s="423">
        <v>0</v>
      </c>
      <c r="U493" s="423">
        <v>96000</v>
      </c>
      <c r="V493" s="11" t="s">
        <v>20155</v>
      </c>
      <c r="W493" s="407">
        <v>156480</v>
      </c>
      <c r="X493" s="407">
        <v>0</v>
      </c>
      <c r="Y493" s="407">
        <v>0</v>
      </c>
      <c r="Z493" s="407">
        <v>0</v>
      </c>
      <c r="AA493" s="408">
        <v>1.63</v>
      </c>
      <c r="AB493" s="408"/>
      <c r="AC493" s="408"/>
      <c r="AD493" s="408"/>
      <c r="AE493" s="409"/>
      <c r="AF493" s="410">
        <v>0</v>
      </c>
      <c r="AG493" s="410">
        <v>0</v>
      </c>
      <c r="AH493" s="411">
        <v>1.63</v>
      </c>
      <c r="AI493" s="411">
        <v>0</v>
      </c>
      <c r="AJ493" s="411">
        <v>0</v>
      </c>
      <c r="AK493" s="411">
        <v>0</v>
      </c>
      <c r="AL493" s="18"/>
      <c r="AM493" s="49"/>
      <c r="AN493" s="2"/>
      <c r="AO493" s="2"/>
    </row>
    <row r="494" spans="1:41" hidden="1">
      <c r="A494" s="14">
        <v>223</v>
      </c>
      <c r="B494" s="11" t="s">
        <v>235</v>
      </c>
      <c r="C494" s="14">
        <v>0</v>
      </c>
      <c r="D494" s="11" t="s">
        <v>18179</v>
      </c>
      <c r="E494" s="11" t="s">
        <v>235</v>
      </c>
      <c r="F494" s="12">
        <v>44068</v>
      </c>
      <c r="G494" s="11">
        <v>2020</v>
      </c>
      <c r="H494" s="11" t="s">
        <v>17017</v>
      </c>
      <c r="I494" s="11" t="s">
        <v>17018</v>
      </c>
      <c r="J494" s="11" t="s">
        <v>3</v>
      </c>
      <c r="K494" s="404">
        <v>5952.6</v>
      </c>
      <c r="L494" s="11">
        <v>1</v>
      </c>
      <c r="M494" s="405">
        <v>5952.6</v>
      </c>
      <c r="N494" s="11" t="s">
        <v>20155</v>
      </c>
      <c r="O494" s="11" t="s">
        <v>17269</v>
      </c>
      <c r="P494" s="872">
        <v>44096</v>
      </c>
      <c r="Q494" s="423">
        <v>0</v>
      </c>
      <c r="R494" s="423">
        <v>2088</v>
      </c>
      <c r="S494" s="423">
        <v>1500</v>
      </c>
      <c r="T494" s="423">
        <v>0</v>
      </c>
      <c r="U494" s="423">
        <v>3588</v>
      </c>
      <c r="V494" s="11" t="s">
        <v>20155</v>
      </c>
      <c r="W494" s="407">
        <v>0</v>
      </c>
      <c r="X494" s="407">
        <v>3477.6</v>
      </c>
      <c r="Y494" s="407">
        <v>2475</v>
      </c>
      <c r="Z494" s="407">
        <v>0</v>
      </c>
      <c r="AA494" s="431"/>
      <c r="AB494" s="408">
        <v>1.6655172413793102</v>
      </c>
      <c r="AC494" s="408">
        <v>1.65</v>
      </c>
      <c r="AD494" s="408"/>
      <c r="AE494" s="409"/>
      <c r="AF494" s="410">
        <v>0</v>
      </c>
      <c r="AG494" s="410">
        <v>0</v>
      </c>
      <c r="AH494" s="411">
        <v>0</v>
      </c>
      <c r="AI494" s="412">
        <v>1.6655172413793102</v>
      </c>
      <c r="AJ494" s="411">
        <v>1.65</v>
      </c>
      <c r="AK494" s="411">
        <v>0</v>
      </c>
      <c r="AL494" s="18"/>
      <c r="AM494" s="49"/>
      <c r="AN494" s="2"/>
      <c r="AO494" s="2"/>
    </row>
    <row r="495" spans="1:41" hidden="1">
      <c r="A495" s="14">
        <v>224</v>
      </c>
      <c r="B495" s="11" t="s">
        <v>236</v>
      </c>
      <c r="C495" s="14">
        <v>0</v>
      </c>
      <c r="D495" s="11" t="s">
        <v>18180</v>
      </c>
      <c r="E495" s="11" t="s">
        <v>236</v>
      </c>
      <c r="F495" s="12">
        <v>44075</v>
      </c>
      <c r="G495" s="11">
        <v>2020</v>
      </c>
      <c r="H495" s="11" t="s">
        <v>17156</v>
      </c>
      <c r="I495" s="11" t="s">
        <v>17157</v>
      </c>
      <c r="J495" s="11" t="s">
        <v>3</v>
      </c>
      <c r="K495" s="404">
        <v>34750</v>
      </c>
      <c r="L495" s="11">
        <v>1</v>
      </c>
      <c r="M495" s="405">
        <v>34750</v>
      </c>
      <c r="N495" s="11" t="s">
        <v>20155</v>
      </c>
      <c r="O495" s="11" t="s">
        <v>20161</v>
      </c>
      <c r="P495" s="872">
        <v>44078</v>
      </c>
      <c r="Q495" s="423">
        <v>19000</v>
      </c>
      <c r="R495" s="423">
        <v>1000</v>
      </c>
      <c r="S495" s="423">
        <v>0</v>
      </c>
      <c r="T495" s="423">
        <v>0</v>
      </c>
      <c r="U495" s="423">
        <v>20000</v>
      </c>
      <c r="V495" s="11" t="s">
        <v>20155</v>
      </c>
      <c r="W495" s="407">
        <v>33060</v>
      </c>
      <c r="X495" s="407">
        <v>1690</v>
      </c>
      <c r="Y495" s="407">
        <v>0</v>
      </c>
      <c r="Z495" s="407">
        <v>0</v>
      </c>
      <c r="AA495" s="408">
        <v>1.74</v>
      </c>
      <c r="AB495" s="408">
        <v>1.69</v>
      </c>
      <c r="AC495" s="408"/>
      <c r="AD495" s="408"/>
      <c r="AE495" s="409"/>
      <c r="AF495" s="410">
        <v>0</v>
      </c>
      <c r="AG495" s="410">
        <v>0</v>
      </c>
      <c r="AH495" s="411">
        <v>1.74</v>
      </c>
      <c r="AI495" s="412">
        <v>1.69</v>
      </c>
      <c r="AJ495" s="411">
        <v>0</v>
      </c>
      <c r="AK495" s="411">
        <v>0</v>
      </c>
      <c r="AL495" s="18"/>
      <c r="AM495" s="49"/>
      <c r="AN495" s="2"/>
      <c r="AO495" s="2"/>
    </row>
    <row r="496" spans="1:41" hidden="1">
      <c r="A496" s="14">
        <v>225</v>
      </c>
      <c r="B496" s="11" t="s">
        <v>237</v>
      </c>
      <c r="C496" s="14">
        <v>0</v>
      </c>
      <c r="D496" s="11" t="s">
        <v>18182</v>
      </c>
      <c r="E496" s="11" t="s">
        <v>237</v>
      </c>
      <c r="F496" s="12">
        <v>44075</v>
      </c>
      <c r="G496" s="11">
        <v>2020</v>
      </c>
      <c r="H496" s="11" t="s">
        <v>17233</v>
      </c>
      <c r="I496" s="11" t="s">
        <v>17234</v>
      </c>
      <c r="J496" s="11" t="s">
        <v>16401</v>
      </c>
      <c r="K496" s="404">
        <v>1677784.7679999999</v>
      </c>
      <c r="L496" s="11">
        <v>2.7403499999999998</v>
      </c>
      <c r="M496" s="405">
        <v>612251.99992701667</v>
      </c>
      <c r="N496" s="11" t="s">
        <v>20155</v>
      </c>
      <c r="O496" s="11" t="s">
        <v>17939</v>
      </c>
      <c r="P496" s="872">
        <v>44090</v>
      </c>
      <c r="Q496" s="423">
        <v>0</v>
      </c>
      <c r="R496" s="423">
        <v>820416</v>
      </c>
      <c r="S496" s="423">
        <v>180384</v>
      </c>
      <c r="T496" s="423">
        <v>0</v>
      </c>
      <c r="U496" s="423">
        <v>1000800</v>
      </c>
      <c r="V496" s="11" t="s">
        <v>20155</v>
      </c>
      <c r="W496" s="407">
        <v>0</v>
      </c>
      <c r="X496" s="407">
        <v>1270248.2468640003</v>
      </c>
      <c r="Y496" s="407">
        <v>279288.14133600006</v>
      </c>
      <c r="Z496" s="407">
        <v>0</v>
      </c>
      <c r="AA496" s="408"/>
      <c r="AB496" s="408">
        <v>1.5482977500000004</v>
      </c>
      <c r="AC496" s="408">
        <v>1.5482977500000004</v>
      </c>
      <c r="AD496" s="408"/>
      <c r="AE496" s="409"/>
      <c r="AF496" s="410">
        <v>172590.72</v>
      </c>
      <c r="AG496" s="410">
        <v>0.17245275779376498</v>
      </c>
      <c r="AH496" s="411"/>
      <c r="AI496" s="412">
        <v>1.3758449922062355</v>
      </c>
      <c r="AJ496" s="411">
        <v>1.3758449922062355</v>
      </c>
      <c r="AK496" s="411">
        <v>0</v>
      </c>
      <c r="AL496" s="18"/>
      <c r="AM496" s="49"/>
      <c r="AN496" s="2"/>
      <c r="AO496" s="2"/>
    </row>
    <row r="497" spans="1:41" hidden="1">
      <c r="A497" s="14">
        <v>226</v>
      </c>
      <c r="B497" s="11" t="s">
        <v>238</v>
      </c>
      <c r="C497" s="14">
        <v>0</v>
      </c>
      <c r="D497" s="11" t="s">
        <v>18183</v>
      </c>
      <c r="E497" s="11" t="s">
        <v>238</v>
      </c>
      <c r="F497" s="12">
        <v>44075</v>
      </c>
      <c r="G497" s="11">
        <v>2020</v>
      </c>
      <c r="H497" s="11" t="s">
        <v>16783</v>
      </c>
      <c r="I497" s="11" t="s">
        <v>16784</v>
      </c>
      <c r="J497" s="11" t="s">
        <v>16401</v>
      </c>
      <c r="K497" s="404">
        <v>981343.7</v>
      </c>
      <c r="L497" s="11">
        <v>2.7465999999999999</v>
      </c>
      <c r="M497" s="405">
        <v>357293.99985436536</v>
      </c>
      <c r="N497" s="11" t="s">
        <v>20155</v>
      </c>
      <c r="O497" s="11" t="s">
        <v>17939</v>
      </c>
      <c r="P497" s="872">
        <v>44096</v>
      </c>
      <c r="Q497" s="423">
        <v>84000</v>
      </c>
      <c r="R497" s="423">
        <v>370800</v>
      </c>
      <c r="S497" s="423">
        <v>124800</v>
      </c>
      <c r="T497" s="423">
        <v>0</v>
      </c>
      <c r="U497" s="423">
        <v>579600</v>
      </c>
      <c r="V497" s="11" t="s">
        <v>20155</v>
      </c>
      <c r="W497" s="407">
        <v>137275.068</v>
      </c>
      <c r="X497" s="407">
        <v>575418.1932000001</v>
      </c>
      <c r="Y497" s="407">
        <v>193668.25920000003</v>
      </c>
      <c r="Z497" s="407">
        <v>0</v>
      </c>
      <c r="AA497" s="408">
        <v>1.6342270000000001</v>
      </c>
      <c r="AB497" s="408">
        <v>1.5518290000000003</v>
      </c>
      <c r="AC497" s="408">
        <v>1.5518290000000003</v>
      </c>
      <c r="AD497" s="408"/>
      <c r="AE497" s="409"/>
      <c r="AF497" s="410">
        <v>101051.515</v>
      </c>
      <c r="AG497" s="410">
        <v>0.17434698930296758</v>
      </c>
      <c r="AH497" s="411">
        <v>1.4598800106970324</v>
      </c>
      <c r="AI497" s="412">
        <v>1.3774820106970327</v>
      </c>
      <c r="AJ497" s="411">
        <v>1.3774820106970327</v>
      </c>
      <c r="AK497" s="411">
        <v>0</v>
      </c>
      <c r="AL497" s="18"/>
      <c r="AM497" s="49"/>
      <c r="AN497" s="2"/>
      <c r="AO497" s="2"/>
    </row>
    <row r="498" spans="1:41" hidden="1">
      <c r="A498" s="14">
        <v>227</v>
      </c>
      <c r="B498" s="11" t="s">
        <v>239</v>
      </c>
      <c r="C498" s="14">
        <v>0</v>
      </c>
      <c r="D498" s="11" t="s">
        <v>18184</v>
      </c>
      <c r="E498" s="11" t="s">
        <v>239</v>
      </c>
      <c r="F498" s="12">
        <v>44078</v>
      </c>
      <c r="G498" s="11">
        <v>2020</v>
      </c>
      <c r="H498" s="11" t="s">
        <v>17253</v>
      </c>
      <c r="I498" s="11" t="s">
        <v>17254</v>
      </c>
      <c r="J498" s="11" t="s">
        <v>16401</v>
      </c>
      <c r="K498" s="448">
        <f>L498*M498</f>
        <v>432936.86436000007</v>
      </c>
      <c r="L498" s="11">
        <v>2.7513000000000001</v>
      </c>
      <c r="M498" s="405">
        <v>157357.20000000001</v>
      </c>
      <c r="N498" s="11" t="s">
        <v>20155</v>
      </c>
      <c r="O498" s="11" t="s">
        <v>17939</v>
      </c>
      <c r="P498" s="872">
        <v>44094</v>
      </c>
      <c r="Q498" s="423">
        <v>242088</v>
      </c>
      <c r="R498" s="423">
        <v>0</v>
      </c>
      <c r="S498" s="423">
        <v>0</v>
      </c>
      <c r="T498" s="423">
        <v>0</v>
      </c>
      <c r="U498" s="423">
        <v>242088</v>
      </c>
      <c r="V498" s="11" t="s">
        <v>20155</v>
      </c>
      <c r="W498" s="407">
        <v>432936.86435999995</v>
      </c>
      <c r="X498" s="407">
        <v>0</v>
      </c>
      <c r="Y498" s="407">
        <v>0</v>
      </c>
      <c r="Z498" s="407">
        <v>0</v>
      </c>
      <c r="AA498" s="408">
        <v>1.7883449999999999</v>
      </c>
      <c r="AB498" s="408"/>
      <c r="AC498" s="408"/>
      <c r="AD498" s="408"/>
      <c r="AE498" s="409"/>
      <c r="AF498" s="410">
        <v>36133.699999999997</v>
      </c>
      <c r="AG498" s="410">
        <v>0.14925853408677836</v>
      </c>
      <c r="AH498" s="411">
        <v>1.6390864659132216</v>
      </c>
      <c r="AI498" s="412">
        <v>0</v>
      </c>
      <c r="AJ498" s="411">
        <v>0</v>
      </c>
      <c r="AK498" s="411">
        <v>0</v>
      </c>
      <c r="AL498" s="18"/>
      <c r="AM498" s="49"/>
      <c r="AN498" s="2"/>
      <c r="AO498" s="2"/>
    </row>
    <row r="499" spans="1:41" hidden="1">
      <c r="A499" s="14">
        <v>228</v>
      </c>
      <c r="B499" s="11" t="s">
        <v>240</v>
      </c>
      <c r="C499" s="14">
        <v>0</v>
      </c>
      <c r="D499" s="11" t="s">
        <v>18187</v>
      </c>
      <c r="E499" s="11" t="s">
        <v>240</v>
      </c>
      <c r="F499" s="12">
        <v>44078</v>
      </c>
      <c r="G499" s="11">
        <v>2020</v>
      </c>
      <c r="H499" s="11" t="s">
        <v>16560</v>
      </c>
      <c r="I499" s="11" t="s">
        <v>16561</v>
      </c>
      <c r="J499" s="11" t="s">
        <v>16482</v>
      </c>
      <c r="K499" s="404">
        <v>153938.66399999999</v>
      </c>
      <c r="L499" s="11">
        <v>3.2394500000000002</v>
      </c>
      <c r="M499" s="405">
        <v>47519.999999999993</v>
      </c>
      <c r="N499" s="11" t="s">
        <v>20155</v>
      </c>
      <c r="O499" s="11" t="s">
        <v>17801</v>
      </c>
      <c r="P499" s="872">
        <v>44084</v>
      </c>
      <c r="Q499" s="423">
        <v>0</v>
      </c>
      <c r="R499" s="423">
        <v>0</v>
      </c>
      <c r="S499" s="423">
        <v>108000</v>
      </c>
      <c r="T499" s="423">
        <v>0</v>
      </c>
      <c r="U499" s="423">
        <v>108000</v>
      </c>
      <c r="V499" s="11" t="s">
        <v>20155</v>
      </c>
      <c r="W499" s="407">
        <v>0</v>
      </c>
      <c r="X499" s="407">
        <v>0</v>
      </c>
      <c r="Y499" s="407">
        <v>153938.66399999999</v>
      </c>
      <c r="Z499" s="407">
        <v>0</v>
      </c>
      <c r="AA499" s="408"/>
      <c r="AB499" s="408"/>
      <c r="AC499" s="408">
        <v>1.4253579999999999</v>
      </c>
      <c r="AD499" s="408"/>
      <c r="AE499" s="409"/>
      <c r="AF499" s="410">
        <v>23851.616000000002</v>
      </c>
      <c r="AG499" s="410">
        <v>0.22084829629629632</v>
      </c>
      <c r="AH499" s="411"/>
      <c r="AI499" s="412">
        <v>0</v>
      </c>
      <c r="AJ499" s="411">
        <v>1.2045097037037036</v>
      </c>
      <c r="AK499" s="411">
        <v>0</v>
      </c>
      <c r="AL499" s="18"/>
      <c r="AM499" s="49"/>
      <c r="AN499" s="2"/>
      <c r="AO499" s="2"/>
    </row>
    <row r="500" spans="1:41" hidden="1">
      <c r="A500" s="14">
        <v>229</v>
      </c>
      <c r="B500" s="11" t="s">
        <v>241</v>
      </c>
      <c r="C500" s="14">
        <v>0</v>
      </c>
      <c r="D500" s="11" t="s">
        <v>18188</v>
      </c>
      <c r="E500" s="11" t="s">
        <v>241</v>
      </c>
      <c r="F500" s="12">
        <v>44078</v>
      </c>
      <c r="G500" s="11">
        <v>2020</v>
      </c>
      <c r="H500" s="11" t="s">
        <v>16560</v>
      </c>
      <c r="I500" s="11" t="s">
        <v>16561</v>
      </c>
      <c r="J500" s="11" t="s">
        <v>16482</v>
      </c>
      <c r="K500" s="404">
        <v>153938.66399999999</v>
      </c>
      <c r="L500" s="11">
        <v>3.2394500000000002</v>
      </c>
      <c r="M500" s="405">
        <v>47519.999999999993</v>
      </c>
      <c r="N500" s="11" t="s">
        <v>20155</v>
      </c>
      <c r="O500" s="11" t="s">
        <v>17801</v>
      </c>
      <c r="P500" s="872">
        <v>44086</v>
      </c>
      <c r="Q500" s="423">
        <v>0</v>
      </c>
      <c r="R500" s="423">
        <v>0</v>
      </c>
      <c r="S500" s="423">
        <v>108000</v>
      </c>
      <c r="T500" s="423">
        <v>0</v>
      </c>
      <c r="U500" s="423">
        <v>108000</v>
      </c>
      <c r="V500" s="11" t="s">
        <v>20155</v>
      </c>
      <c r="W500" s="407">
        <v>0</v>
      </c>
      <c r="X500" s="407">
        <v>0</v>
      </c>
      <c r="Y500" s="407">
        <v>153938.66399999999</v>
      </c>
      <c r="Z500" s="407">
        <v>0</v>
      </c>
      <c r="AA500" s="408"/>
      <c r="AB500" s="408"/>
      <c r="AC500" s="408">
        <v>1.4253579999999999</v>
      </c>
      <c r="AD500" s="408"/>
      <c r="AE500" s="409"/>
      <c r="AF500" s="410">
        <v>23851.616000000002</v>
      </c>
      <c r="AG500" s="410">
        <v>0.22084829629629632</v>
      </c>
      <c r="AH500" s="411"/>
      <c r="AI500" s="412">
        <v>0</v>
      </c>
      <c r="AJ500" s="411">
        <v>1.2045097037037036</v>
      </c>
      <c r="AK500" s="411">
        <v>0</v>
      </c>
      <c r="AL500" s="18"/>
      <c r="AM500" s="49"/>
      <c r="AN500" s="2"/>
      <c r="AO500" s="2"/>
    </row>
    <row r="501" spans="1:41" hidden="1">
      <c r="A501" s="14">
        <v>230</v>
      </c>
      <c r="B501" s="11" t="s">
        <v>242</v>
      </c>
      <c r="C501" s="14">
        <v>0</v>
      </c>
      <c r="D501" s="11" t="s">
        <v>18189</v>
      </c>
      <c r="E501" s="11" t="s">
        <v>242</v>
      </c>
      <c r="F501" s="12">
        <v>44081</v>
      </c>
      <c r="G501" s="11">
        <v>2020</v>
      </c>
      <c r="H501" s="11" t="s">
        <v>17200</v>
      </c>
      <c r="I501" s="11" t="s">
        <v>17201</v>
      </c>
      <c r="J501" s="11" t="s">
        <v>16482</v>
      </c>
      <c r="K501" s="404">
        <v>39767.730000000003</v>
      </c>
      <c r="L501" s="11">
        <v>3.2596500000000002</v>
      </c>
      <c r="M501" s="405">
        <v>12200</v>
      </c>
      <c r="N501" s="11" t="s">
        <v>20155</v>
      </c>
      <c r="O501" s="11" t="s">
        <v>17771</v>
      </c>
      <c r="P501" s="872">
        <v>44090</v>
      </c>
      <c r="Q501" s="423">
        <v>20000</v>
      </c>
      <c r="R501" s="423">
        <v>0</v>
      </c>
      <c r="S501" s="423">
        <v>0</v>
      </c>
      <c r="T501" s="423">
        <v>0</v>
      </c>
      <c r="U501" s="423">
        <v>20000</v>
      </c>
      <c r="V501" s="11" t="s">
        <v>20155</v>
      </c>
      <c r="W501" s="407">
        <v>39767.729999999996</v>
      </c>
      <c r="X501" s="407">
        <v>0</v>
      </c>
      <c r="Y501" s="407">
        <v>0</v>
      </c>
      <c r="Z501" s="407">
        <v>0</v>
      </c>
      <c r="AA501" s="408">
        <v>1.9883864999999998</v>
      </c>
      <c r="AB501" s="408"/>
      <c r="AC501" s="408"/>
      <c r="AD501" s="408"/>
      <c r="AE501" s="409"/>
      <c r="AF501" s="410">
        <v>6372.34</v>
      </c>
      <c r="AG501" s="410">
        <v>0.31861699999999998</v>
      </c>
      <c r="AH501" s="411">
        <v>1.6697694999999999</v>
      </c>
      <c r="AI501" s="412">
        <v>0</v>
      </c>
      <c r="AJ501" s="411">
        <v>0</v>
      </c>
      <c r="AK501" s="411">
        <v>0</v>
      </c>
      <c r="AL501" s="18"/>
      <c r="AM501" s="49"/>
      <c r="AN501" s="2"/>
      <c r="AO501" s="2"/>
    </row>
    <row r="502" spans="1:41" hidden="1">
      <c r="A502" s="14">
        <v>231</v>
      </c>
      <c r="B502" s="11" t="s">
        <v>243</v>
      </c>
      <c r="C502" s="14">
        <v>0</v>
      </c>
      <c r="D502" s="11" t="s">
        <v>18190</v>
      </c>
      <c r="E502" s="11" t="s">
        <v>243</v>
      </c>
      <c r="F502" s="12">
        <v>44086</v>
      </c>
      <c r="G502" s="11">
        <v>2020</v>
      </c>
      <c r="H502" s="11" t="s">
        <v>16643</v>
      </c>
      <c r="I502" s="11" t="s">
        <v>16644</v>
      </c>
      <c r="J502" s="11" t="s">
        <v>16482</v>
      </c>
      <c r="K502" s="404">
        <v>206454.891</v>
      </c>
      <c r="L502" s="11">
        <v>3.2568999999999999</v>
      </c>
      <c r="M502" s="405">
        <v>63390</v>
      </c>
      <c r="N502" s="11" t="s">
        <v>20155</v>
      </c>
      <c r="O502" s="11" t="s">
        <v>20159</v>
      </c>
      <c r="P502" s="872">
        <v>44091</v>
      </c>
      <c r="Q502" s="423">
        <v>600</v>
      </c>
      <c r="R502" s="423">
        <v>105600</v>
      </c>
      <c r="S502" s="423">
        <v>0</v>
      </c>
      <c r="T502" s="423">
        <v>0</v>
      </c>
      <c r="U502" s="423">
        <v>106200</v>
      </c>
      <c r="V502" s="11" t="s">
        <v>20155</v>
      </c>
      <c r="W502" s="407">
        <v>1113.8598</v>
      </c>
      <c r="X502" s="407">
        <v>156487.5312</v>
      </c>
      <c r="Y502" s="407">
        <v>0</v>
      </c>
      <c r="Z502" s="407">
        <v>0</v>
      </c>
      <c r="AA502" s="408">
        <v>1.856433</v>
      </c>
      <c r="AB502" s="408">
        <v>1.4818895000000001</v>
      </c>
      <c r="AC502" s="408"/>
      <c r="AD502" s="408"/>
      <c r="AE502" s="409"/>
      <c r="AF502" s="410">
        <v>54414.025000000001</v>
      </c>
      <c r="AG502" s="410">
        <v>0.51237311676082864</v>
      </c>
      <c r="AH502" s="411">
        <v>1.3440598832391712</v>
      </c>
      <c r="AI502" s="412">
        <v>0.96951638323917144</v>
      </c>
      <c r="AJ502" s="411">
        <v>0</v>
      </c>
      <c r="AK502" s="411">
        <v>0</v>
      </c>
      <c r="AL502" s="18"/>
      <c r="AM502" s="49"/>
      <c r="AN502" s="2"/>
      <c r="AO502" s="2"/>
    </row>
    <row r="503" spans="1:41" hidden="1">
      <c r="A503" s="14">
        <v>232</v>
      </c>
      <c r="B503" s="11" t="s">
        <v>244</v>
      </c>
      <c r="C503" s="14">
        <v>0</v>
      </c>
      <c r="D503" s="11" t="s">
        <v>18192</v>
      </c>
      <c r="E503" s="11" t="s">
        <v>244</v>
      </c>
      <c r="F503" s="12">
        <v>44089</v>
      </c>
      <c r="G503" s="11">
        <v>2020</v>
      </c>
      <c r="H503" s="11" t="s">
        <v>16838</v>
      </c>
      <c r="I503" s="11" t="s">
        <v>16839</v>
      </c>
      <c r="J503" s="11" t="s">
        <v>3</v>
      </c>
      <c r="K503" s="404">
        <v>115080</v>
      </c>
      <c r="L503" s="11">
        <v>1</v>
      </c>
      <c r="M503" s="404">
        <v>115080</v>
      </c>
      <c r="N503" s="11" t="s">
        <v>20155</v>
      </c>
      <c r="O503" s="11" t="s">
        <v>17771</v>
      </c>
      <c r="P503" s="872">
        <v>44099</v>
      </c>
      <c r="Q503" s="423">
        <v>0</v>
      </c>
      <c r="R503" s="423">
        <v>0</v>
      </c>
      <c r="S503" s="423">
        <v>84000</v>
      </c>
      <c r="T503" s="423">
        <v>0</v>
      </c>
      <c r="U503" s="423">
        <v>84000</v>
      </c>
      <c r="V503" s="11" t="s">
        <v>20155</v>
      </c>
      <c r="W503" s="407">
        <v>0</v>
      </c>
      <c r="X503" s="407">
        <v>0</v>
      </c>
      <c r="Y503" s="407">
        <v>115080</v>
      </c>
      <c r="Z503" s="407">
        <v>0</v>
      </c>
      <c r="AA503" s="408"/>
      <c r="AB503" s="408"/>
      <c r="AC503" s="408">
        <v>1.37</v>
      </c>
      <c r="AD503" s="408"/>
      <c r="AE503" s="409"/>
      <c r="AF503" s="410">
        <v>0</v>
      </c>
      <c r="AG503" s="410">
        <v>0</v>
      </c>
      <c r="AH503" s="411">
        <v>0</v>
      </c>
      <c r="AI503" s="412">
        <v>0</v>
      </c>
      <c r="AJ503" s="411">
        <v>1.37</v>
      </c>
      <c r="AK503" s="411">
        <v>0</v>
      </c>
      <c r="AL503" s="18"/>
      <c r="AM503" s="49"/>
      <c r="AN503" s="2"/>
      <c r="AO503" s="2"/>
    </row>
    <row r="504" spans="1:41" hidden="1">
      <c r="A504" s="14">
        <v>233</v>
      </c>
      <c r="B504" s="11" t="s">
        <v>245</v>
      </c>
      <c r="C504" s="14">
        <v>0</v>
      </c>
      <c r="D504" s="11" t="s">
        <v>18194</v>
      </c>
      <c r="E504" s="11" t="s">
        <v>245</v>
      </c>
      <c r="F504" s="12">
        <v>44089</v>
      </c>
      <c r="G504" s="11">
        <v>2020</v>
      </c>
      <c r="H504" s="11" t="s">
        <v>16838</v>
      </c>
      <c r="I504" s="11" t="s">
        <v>16839</v>
      </c>
      <c r="J504" s="11" t="s">
        <v>3</v>
      </c>
      <c r="K504" s="404">
        <v>217620</v>
      </c>
      <c r="L504" s="11">
        <v>1</v>
      </c>
      <c r="M504" s="404">
        <v>217620</v>
      </c>
      <c r="N504" s="11" t="s">
        <v>20155</v>
      </c>
      <c r="O504" s="11" t="s">
        <v>17798</v>
      </c>
      <c r="P504" s="872">
        <v>44092</v>
      </c>
      <c r="Q504" s="423">
        <v>0</v>
      </c>
      <c r="R504" s="423">
        <v>0</v>
      </c>
      <c r="S504" s="423">
        <v>156000</v>
      </c>
      <c r="T504" s="423">
        <v>0</v>
      </c>
      <c r="U504" s="423">
        <v>156000</v>
      </c>
      <c r="V504" s="11" t="s">
        <v>20155</v>
      </c>
      <c r="W504" s="407">
        <v>0</v>
      </c>
      <c r="X504" s="407">
        <v>0</v>
      </c>
      <c r="Y504" s="407">
        <v>217620</v>
      </c>
      <c r="Z504" s="407">
        <v>0</v>
      </c>
      <c r="AA504" s="408"/>
      <c r="AB504" s="408"/>
      <c r="AC504" s="408">
        <v>1.395</v>
      </c>
      <c r="AD504" s="408"/>
      <c r="AE504" s="409"/>
      <c r="AF504" s="410">
        <v>0</v>
      </c>
      <c r="AG504" s="410">
        <v>0</v>
      </c>
      <c r="AH504" s="411">
        <v>0</v>
      </c>
      <c r="AI504" s="412">
        <v>0</v>
      </c>
      <c r="AJ504" s="411">
        <v>1.395</v>
      </c>
      <c r="AK504" s="411">
        <v>0</v>
      </c>
      <c r="AL504" s="18"/>
      <c r="AM504" s="49"/>
      <c r="AN504" s="2"/>
      <c r="AO504" s="2"/>
    </row>
    <row r="505" spans="1:41" hidden="1">
      <c r="A505" s="14">
        <v>234</v>
      </c>
      <c r="B505" s="11" t="s">
        <v>246</v>
      </c>
      <c r="C505" s="14">
        <v>0</v>
      </c>
      <c r="D505" s="11" t="s">
        <v>18195</v>
      </c>
      <c r="E505" s="11" t="s">
        <v>246</v>
      </c>
      <c r="F505" s="12">
        <v>44089</v>
      </c>
      <c r="G505" s="11">
        <v>2020</v>
      </c>
      <c r="H505" s="11" t="s">
        <v>17219</v>
      </c>
      <c r="I505" s="11" t="s">
        <v>17220</v>
      </c>
      <c r="J505" s="11" t="s">
        <v>16401</v>
      </c>
      <c r="K505" s="404">
        <v>461614.27399999998</v>
      </c>
      <c r="L505" s="11">
        <v>2.7446000000000002</v>
      </c>
      <c r="M505" s="405">
        <v>168189.99999999997</v>
      </c>
      <c r="N505" s="11" t="s">
        <v>20155</v>
      </c>
      <c r="O505" s="11" t="s">
        <v>20173</v>
      </c>
      <c r="P505" s="872">
        <v>44096</v>
      </c>
      <c r="Q505" s="423">
        <v>0</v>
      </c>
      <c r="R505" s="423">
        <v>166800</v>
      </c>
      <c r="S505" s="423">
        <v>111200</v>
      </c>
      <c r="T505" s="423">
        <v>0</v>
      </c>
      <c r="U505" s="423">
        <v>278000</v>
      </c>
      <c r="V505" s="11" t="s">
        <v>20155</v>
      </c>
      <c r="W505" s="407">
        <v>0</v>
      </c>
      <c r="X505" s="407">
        <v>276968.56440000003</v>
      </c>
      <c r="Y505" s="407">
        <v>184645.70960000006</v>
      </c>
      <c r="Z505" s="407">
        <v>0</v>
      </c>
      <c r="AA505" s="408"/>
      <c r="AB505" s="408">
        <v>1.6604830000000002</v>
      </c>
      <c r="AC505" s="408">
        <v>1.6604830000000006</v>
      </c>
      <c r="AD505" s="408"/>
      <c r="AE505" s="409"/>
      <c r="AF505" s="410">
        <v>106891.738</v>
      </c>
      <c r="AG505" s="410">
        <v>0.38450265467625899</v>
      </c>
      <c r="AH505" s="411"/>
      <c r="AI505" s="412">
        <v>1.2759803453237413</v>
      </c>
      <c r="AJ505" s="411">
        <v>1.2759803453237417</v>
      </c>
      <c r="AK505" s="411">
        <v>0</v>
      </c>
      <c r="AL505" s="18"/>
      <c r="AM505" s="49"/>
      <c r="AN505" s="2"/>
      <c r="AO505" s="2"/>
    </row>
    <row r="506" spans="1:41" hidden="1">
      <c r="A506" s="14">
        <v>235</v>
      </c>
      <c r="B506" s="11" t="s">
        <v>247</v>
      </c>
      <c r="C506" s="14">
        <v>0</v>
      </c>
      <c r="D506" s="11" t="s">
        <v>18197</v>
      </c>
      <c r="E506" s="11" t="s">
        <v>247</v>
      </c>
      <c r="F506" s="12">
        <v>44089</v>
      </c>
      <c r="G506" s="11">
        <v>2020</v>
      </c>
      <c r="H506" s="11" t="s">
        <v>16470</v>
      </c>
      <c r="I506" s="11" t="s">
        <v>16471</v>
      </c>
      <c r="J506" s="11" t="s">
        <v>16401</v>
      </c>
      <c r="K506" s="404">
        <v>414999.489</v>
      </c>
      <c r="L506" s="11">
        <v>2.7513000000000001</v>
      </c>
      <c r="M506" s="405">
        <v>150837.60004361573</v>
      </c>
      <c r="N506" s="11" t="s">
        <v>20155</v>
      </c>
      <c r="O506" s="11" t="s">
        <v>18227</v>
      </c>
      <c r="P506" s="872">
        <v>44097</v>
      </c>
      <c r="Q506" s="423">
        <v>0</v>
      </c>
      <c r="R506" s="423">
        <v>236040</v>
      </c>
      <c r="S506" s="423">
        <v>0</v>
      </c>
      <c r="T506" s="423">
        <v>0</v>
      </c>
      <c r="U506" s="423">
        <v>236040</v>
      </c>
      <c r="V506" s="11" t="s">
        <v>20155</v>
      </c>
      <c r="W506" s="407">
        <v>0</v>
      </c>
      <c r="X506" s="407">
        <v>326360.85678000015</v>
      </c>
      <c r="Y506" s="407">
        <v>0</v>
      </c>
      <c r="Z506" s="407">
        <v>0</v>
      </c>
      <c r="AA506" s="408"/>
      <c r="AB506" s="408">
        <v>1.3826506387900361</v>
      </c>
      <c r="AC506" s="408"/>
      <c r="AD506" s="408"/>
      <c r="AE506" s="409"/>
      <c r="AF506" s="410">
        <v>109236.45</v>
      </c>
      <c r="AG506" s="410">
        <v>0.46278787493645146</v>
      </c>
      <c r="AH506" s="411"/>
      <c r="AI506" s="412">
        <v>0.91986276385358468</v>
      </c>
      <c r="AJ506" s="411">
        <v>0</v>
      </c>
      <c r="AK506" s="411">
        <v>0</v>
      </c>
      <c r="AL506" s="18"/>
      <c r="AM506" s="49"/>
      <c r="AN506" s="2"/>
      <c r="AO506" s="2"/>
    </row>
    <row r="507" spans="1:41" hidden="1">
      <c r="A507" s="14">
        <v>236</v>
      </c>
      <c r="B507" s="11" t="s">
        <v>248</v>
      </c>
      <c r="C507" s="14">
        <v>0</v>
      </c>
      <c r="D507" s="11" t="s">
        <v>18198</v>
      </c>
      <c r="E507" s="11" t="s">
        <v>248</v>
      </c>
      <c r="F507" s="12">
        <v>44091</v>
      </c>
      <c r="G507" s="11">
        <v>2020</v>
      </c>
      <c r="H507" s="11" t="s">
        <v>16444</v>
      </c>
      <c r="I507" s="11" t="s">
        <v>16445</v>
      </c>
      <c r="J507" s="11" t="s">
        <v>3</v>
      </c>
      <c r="K507" s="404">
        <v>142611.84</v>
      </c>
      <c r="L507" s="11">
        <v>1</v>
      </c>
      <c r="M507" s="404">
        <v>142611.84</v>
      </c>
      <c r="N507" s="11" t="s">
        <v>20155</v>
      </c>
      <c r="O507" s="11" t="s">
        <v>18248</v>
      </c>
      <c r="P507" s="872">
        <v>44097</v>
      </c>
      <c r="Q507" s="423">
        <v>88032</v>
      </c>
      <c r="R507" s="423">
        <v>0</v>
      </c>
      <c r="S507" s="423">
        <v>0</v>
      </c>
      <c r="T507" s="423">
        <v>0</v>
      </c>
      <c r="U507" s="423">
        <v>88032</v>
      </c>
      <c r="V507" s="11" t="s">
        <v>20155</v>
      </c>
      <c r="W507" s="407">
        <v>142611.84</v>
      </c>
      <c r="X507" s="407">
        <v>0</v>
      </c>
      <c r="Y507" s="407">
        <v>0</v>
      </c>
      <c r="Z507" s="407">
        <v>0</v>
      </c>
      <c r="AA507" s="408">
        <v>1.62</v>
      </c>
      <c r="AB507" s="408"/>
      <c r="AC507" s="408"/>
      <c r="AD507" s="408"/>
      <c r="AE507" s="409"/>
      <c r="AF507" s="410">
        <v>0</v>
      </c>
      <c r="AG507" s="410">
        <v>0</v>
      </c>
      <c r="AH507" s="411">
        <v>1.62</v>
      </c>
      <c r="AI507" s="412">
        <v>0</v>
      </c>
      <c r="AJ507" s="411">
        <v>0</v>
      </c>
      <c r="AK507" s="411">
        <v>0</v>
      </c>
      <c r="AL507" s="18"/>
      <c r="AM507" s="49"/>
      <c r="AN507" s="2"/>
      <c r="AO507" s="2"/>
    </row>
    <row r="508" spans="1:41" hidden="1">
      <c r="A508" s="14">
        <v>237</v>
      </c>
      <c r="B508" s="11" t="s">
        <v>249</v>
      </c>
      <c r="C508" s="14">
        <v>0</v>
      </c>
      <c r="D508" s="11" t="s">
        <v>18200</v>
      </c>
      <c r="E508" s="11" t="s">
        <v>249</v>
      </c>
      <c r="F508" s="12">
        <v>44096</v>
      </c>
      <c r="G508" s="11">
        <v>2020</v>
      </c>
      <c r="H508" s="11" t="s">
        <v>16444</v>
      </c>
      <c r="I508" s="11" t="s">
        <v>16445</v>
      </c>
      <c r="J508" s="11" t="s">
        <v>3</v>
      </c>
      <c r="K508" s="404">
        <v>35652.959999999999</v>
      </c>
      <c r="L508" s="11">
        <v>1</v>
      </c>
      <c r="M508" s="404">
        <v>35652.959999999999</v>
      </c>
      <c r="N508" s="11" t="s">
        <v>20155</v>
      </c>
      <c r="O508" s="11" t="s">
        <v>18248</v>
      </c>
      <c r="P508" s="872">
        <v>44102</v>
      </c>
      <c r="Q508" s="423">
        <v>22008</v>
      </c>
      <c r="R508" s="423">
        <v>0</v>
      </c>
      <c r="S508" s="423">
        <v>0</v>
      </c>
      <c r="T508" s="423">
        <v>0</v>
      </c>
      <c r="U508" s="423">
        <v>22008</v>
      </c>
      <c r="V508" s="11" t="s">
        <v>20155</v>
      </c>
      <c r="W508" s="407">
        <v>35652.959999999999</v>
      </c>
      <c r="X508" s="407">
        <v>0</v>
      </c>
      <c r="Y508" s="407">
        <v>0</v>
      </c>
      <c r="Z508" s="407">
        <v>0</v>
      </c>
      <c r="AA508" s="408">
        <v>1.62</v>
      </c>
      <c r="AB508" s="408"/>
      <c r="AC508" s="408"/>
      <c r="AD508" s="408"/>
      <c r="AE508" s="409"/>
      <c r="AF508" s="410">
        <v>0</v>
      </c>
      <c r="AG508" s="410">
        <v>0</v>
      </c>
      <c r="AH508" s="411">
        <v>1.62</v>
      </c>
      <c r="AI508" s="412">
        <v>0</v>
      </c>
      <c r="AJ508" s="411">
        <v>0</v>
      </c>
      <c r="AK508" s="411">
        <v>0</v>
      </c>
      <c r="AL508" s="18"/>
      <c r="AM508" s="49"/>
      <c r="AN508" s="2"/>
      <c r="AO508" s="2"/>
    </row>
    <row r="509" spans="1:41" hidden="1">
      <c r="A509" s="14">
        <v>238</v>
      </c>
      <c r="B509" s="11" t="s">
        <v>250</v>
      </c>
      <c r="C509" s="14">
        <v>0</v>
      </c>
      <c r="D509" s="11" t="s">
        <v>18202</v>
      </c>
      <c r="E509" s="11" t="s">
        <v>250</v>
      </c>
      <c r="F509" s="12">
        <v>44098</v>
      </c>
      <c r="G509" s="11">
        <v>2020</v>
      </c>
      <c r="H509" s="11" t="s">
        <v>17017</v>
      </c>
      <c r="I509" s="11" t="s">
        <v>17018</v>
      </c>
      <c r="J509" s="11" t="s">
        <v>3</v>
      </c>
      <c r="K509" s="404">
        <v>33000</v>
      </c>
      <c r="L509" s="11">
        <v>1</v>
      </c>
      <c r="M509" s="404">
        <v>33000</v>
      </c>
      <c r="N509" s="11" t="s">
        <v>20155</v>
      </c>
      <c r="O509" s="11" t="s">
        <v>18064</v>
      </c>
      <c r="P509" s="872">
        <v>44104</v>
      </c>
      <c r="Q509" s="423">
        <v>0</v>
      </c>
      <c r="R509" s="423">
        <v>20000</v>
      </c>
      <c r="S509" s="423">
        <v>0</v>
      </c>
      <c r="T509" s="423">
        <v>0</v>
      </c>
      <c r="U509" s="423">
        <v>20000</v>
      </c>
      <c r="V509" s="11" t="s">
        <v>20155</v>
      </c>
      <c r="W509" s="407">
        <v>0</v>
      </c>
      <c r="X509" s="407">
        <v>33000</v>
      </c>
      <c r="Y509" s="407">
        <v>0</v>
      </c>
      <c r="Z509" s="407">
        <v>0</v>
      </c>
      <c r="AA509" s="431"/>
      <c r="AB509" s="408">
        <v>1.65</v>
      </c>
      <c r="AC509" s="408"/>
      <c r="AD509" s="408"/>
      <c r="AE509" s="409"/>
      <c r="AF509" s="410">
        <v>0</v>
      </c>
      <c r="AG509" s="410">
        <v>0</v>
      </c>
      <c r="AH509" s="411">
        <v>0</v>
      </c>
      <c r="AI509" s="412">
        <v>1.65</v>
      </c>
      <c r="AJ509" s="411">
        <v>0</v>
      </c>
      <c r="AK509" s="411">
        <v>0</v>
      </c>
      <c r="AL509" s="18"/>
      <c r="AM509" s="49"/>
      <c r="AN509" s="2"/>
      <c r="AO509" s="2"/>
    </row>
    <row r="510" spans="1:41" hidden="1">
      <c r="A510" s="14">
        <v>239</v>
      </c>
      <c r="B510" s="11" t="s">
        <v>251</v>
      </c>
      <c r="C510" s="14">
        <v>0</v>
      </c>
      <c r="D510" s="11" t="s">
        <v>18204</v>
      </c>
      <c r="E510" s="11" t="s">
        <v>251</v>
      </c>
      <c r="F510" s="12">
        <v>44099</v>
      </c>
      <c r="G510" s="11">
        <v>2020</v>
      </c>
      <c r="H510" s="11" t="s">
        <v>17017</v>
      </c>
      <c r="I510" s="11" t="s">
        <v>17018</v>
      </c>
      <c r="J510" s="11" t="s">
        <v>3</v>
      </c>
      <c r="K510" s="404">
        <v>34771.86</v>
      </c>
      <c r="L510" s="11">
        <v>1</v>
      </c>
      <c r="M510" s="404">
        <v>34771.86</v>
      </c>
      <c r="N510" s="11" t="s">
        <v>20155</v>
      </c>
      <c r="O510" s="11" t="s">
        <v>17238</v>
      </c>
      <c r="P510" s="872">
        <v>44125</v>
      </c>
      <c r="Q510" s="423">
        <v>0</v>
      </c>
      <c r="R510" s="423">
        <v>0</v>
      </c>
      <c r="S510" s="423">
        <v>20157.599999999999</v>
      </c>
      <c r="T510" s="423">
        <v>0</v>
      </c>
      <c r="U510" s="423">
        <v>20157.599999999999</v>
      </c>
      <c r="V510" s="11" t="s">
        <v>20155</v>
      </c>
      <c r="W510" s="407">
        <v>0</v>
      </c>
      <c r="X510" s="407">
        <v>0</v>
      </c>
      <c r="Y510" s="407">
        <v>34771.86</v>
      </c>
      <c r="Z510" s="407">
        <v>0</v>
      </c>
      <c r="AA510" s="431"/>
      <c r="AB510" s="408"/>
      <c r="AC510" s="408">
        <f>+Y510/S510</f>
        <v>1.7250000000000001</v>
      </c>
      <c r="AD510" s="408"/>
      <c r="AE510" s="409"/>
      <c r="AF510" s="410">
        <v>0</v>
      </c>
      <c r="AG510" s="410">
        <v>0</v>
      </c>
      <c r="AH510" s="411">
        <v>0</v>
      </c>
      <c r="AI510" s="412">
        <v>0</v>
      </c>
      <c r="AJ510" s="411">
        <f>+AC510-AG510</f>
        <v>1.7250000000000001</v>
      </c>
      <c r="AK510" s="411">
        <v>0</v>
      </c>
      <c r="AL510" s="18"/>
      <c r="AM510" s="49"/>
      <c r="AN510" s="2"/>
      <c r="AO510" s="2"/>
    </row>
    <row r="511" spans="1:41" hidden="1">
      <c r="A511" s="14">
        <v>240</v>
      </c>
      <c r="B511" s="11" t="s">
        <v>252</v>
      </c>
      <c r="C511" s="14">
        <v>0</v>
      </c>
      <c r="D511" s="11" t="s">
        <v>18205</v>
      </c>
      <c r="E511" s="11" t="s">
        <v>252</v>
      </c>
      <c r="F511" s="12">
        <v>44099</v>
      </c>
      <c r="G511" s="11">
        <v>2020</v>
      </c>
      <c r="H511" s="11" t="s">
        <v>16384</v>
      </c>
      <c r="I511" s="11" t="s">
        <v>16385</v>
      </c>
      <c r="J511" s="11" t="s">
        <v>3</v>
      </c>
      <c r="K511" s="404">
        <v>93888</v>
      </c>
      <c r="L511" s="11">
        <v>1</v>
      </c>
      <c r="M511" s="404">
        <v>93888</v>
      </c>
      <c r="N511" s="11" t="s">
        <v>20155</v>
      </c>
      <c r="O511" s="11" t="s">
        <v>17965</v>
      </c>
      <c r="P511" s="872">
        <v>44118</v>
      </c>
      <c r="Q511" s="423">
        <v>57600</v>
      </c>
      <c r="R511" s="423">
        <v>0</v>
      </c>
      <c r="S511" s="423">
        <v>0</v>
      </c>
      <c r="T511" s="423">
        <v>0</v>
      </c>
      <c r="U511" s="423">
        <v>57600</v>
      </c>
      <c r="V511" s="11" t="s">
        <v>20155</v>
      </c>
      <c r="W511" s="407">
        <v>93888</v>
      </c>
      <c r="X511" s="407">
        <v>0</v>
      </c>
      <c r="Y511" s="407">
        <v>0</v>
      </c>
      <c r="Z511" s="407">
        <v>0</v>
      </c>
      <c r="AA511" s="408">
        <v>1.63</v>
      </c>
      <c r="AB511" s="408"/>
      <c r="AC511" s="408"/>
      <c r="AD511" s="408"/>
      <c r="AE511" s="409"/>
      <c r="AF511" s="410">
        <v>0</v>
      </c>
      <c r="AG511" s="410">
        <v>0</v>
      </c>
      <c r="AH511" s="411">
        <v>1.63</v>
      </c>
      <c r="AI511" s="412">
        <v>0</v>
      </c>
      <c r="AJ511" s="411">
        <v>0</v>
      </c>
      <c r="AK511" s="411">
        <v>0</v>
      </c>
      <c r="AL511" s="18"/>
      <c r="AM511" s="49"/>
      <c r="AN511" s="2"/>
      <c r="AO511" s="2"/>
    </row>
    <row r="512" spans="1:41" hidden="1">
      <c r="A512" s="14">
        <v>241</v>
      </c>
      <c r="B512" s="11" t="s">
        <v>253</v>
      </c>
      <c r="C512" s="14">
        <v>0</v>
      </c>
      <c r="D512" s="11" t="s">
        <v>18206</v>
      </c>
      <c r="E512" s="11" t="s">
        <v>253</v>
      </c>
      <c r="F512" s="12">
        <v>44099</v>
      </c>
      <c r="G512" s="11">
        <v>2020</v>
      </c>
      <c r="H512" s="11" t="s">
        <v>16838</v>
      </c>
      <c r="I512" s="11" t="s">
        <v>16839</v>
      </c>
      <c r="J512" s="11" t="s">
        <v>3</v>
      </c>
      <c r="K512" s="404">
        <v>150226.4</v>
      </c>
      <c r="L512" s="11">
        <v>1</v>
      </c>
      <c r="M512" s="404">
        <v>150226.4</v>
      </c>
      <c r="N512" s="11" t="s">
        <v>20155</v>
      </c>
      <c r="O512" s="11" t="s">
        <v>17771</v>
      </c>
      <c r="P512" s="872" t="s">
        <v>20294</v>
      </c>
      <c r="Q512" s="423">
        <v>1200</v>
      </c>
      <c r="R512" s="423">
        <v>18960</v>
      </c>
      <c r="S512" s="423">
        <v>84000</v>
      </c>
      <c r="T512" s="423">
        <v>0</v>
      </c>
      <c r="U512" s="423">
        <v>104160</v>
      </c>
      <c r="V512" s="11" t="s">
        <v>20155</v>
      </c>
      <c r="W512" s="407">
        <v>1920</v>
      </c>
      <c r="X512" s="407">
        <v>30146.400000000001</v>
      </c>
      <c r="Y512" s="407">
        <v>118160</v>
      </c>
      <c r="Z512" s="407">
        <v>0</v>
      </c>
      <c r="AA512" s="408">
        <v>1.6</v>
      </c>
      <c r="AB512" s="408">
        <v>1.59</v>
      </c>
      <c r="AC512" s="408">
        <v>1.4066666666666667</v>
      </c>
      <c r="AD512" s="408"/>
      <c r="AE512" s="409"/>
      <c r="AF512" s="410">
        <v>0</v>
      </c>
      <c r="AG512" s="410">
        <v>0</v>
      </c>
      <c r="AH512" s="411">
        <v>1.6</v>
      </c>
      <c r="AI512" s="412">
        <v>1.59</v>
      </c>
      <c r="AJ512" s="411">
        <v>1.4066666666666667</v>
      </c>
      <c r="AK512" s="411">
        <v>0</v>
      </c>
      <c r="AL512" s="18"/>
      <c r="AM512" s="49"/>
      <c r="AN512" s="2"/>
      <c r="AO512" s="2"/>
    </row>
    <row r="513" spans="1:41" hidden="1">
      <c r="A513" s="14">
        <v>242</v>
      </c>
      <c r="B513" s="11" t="s">
        <v>254</v>
      </c>
      <c r="C513" s="14">
        <v>0</v>
      </c>
      <c r="D513" s="11" t="s">
        <v>18207</v>
      </c>
      <c r="E513" s="11" t="s">
        <v>254</v>
      </c>
      <c r="F513" s="12">
        <v>44099</v>
      </c>
      <c r="G513" s="11">
        <v>2020</v>
      </c>
      <c r="H513" s="11" t="s">
        <v>16880</v>
      </c>
      <c r="I513" s="11" t="s">
        <v>16881</v>
      </c>
      <c r="J513" s="11" t="s">
        <v>16401</v>
      </c>
      <c r="K513" s="404">
        <v>60865.044999999998</v>
      </c>
      <c r="L513" s="11">
        <v>2.7765</v>
      </c>
      <c r="M513" s="405">
        <v>21921.50009004142</v>
      </c>
      <c r="N513" s="11" t="s">
        <v>20155</v>
      </c>
      <c r="O513" s="11" t="s">
        <v>20156</v>
      </c>
      <c r="P513" s="872">
        <v>44103</v>
      </c>
      <c r="Q513" s="423">
        <v>0</v>
      </c>
      <c r="R513" s="423">
        <v>18050</v>
      </c>
      <c r="S513" s="423">
        <v>0</v>
      </c>
      <c r="T513" s="423">
        <v>0</v>
      </c>
      <c r="U513" s="423">
        <v>18050</v>
      </c>
      <c r="V513" s="11" t="s">
        <v>20155</v>
      </c>
      <c r="W513" s="407">
        <v>0</v>
      </c>
      <c r="X513" s="407">
        <v>60865.044749999994</v>
      </c>
      <c r="Y513" s="407">
        <v>0</v>
      </c>
      <c r="Z513" s="407">
        <v>0</v>
      </c>
      <c r="AA513" s="408"/>
      <c r="AB513" s="408">
        <v>3.3720246398891964</v>
      </c>
      <c r="AC513" s="408"/>
      <c r="AD513" s="408"/>
      <c r="AE513" s="409"/>
      <c r="AF513" s="410">
        <v>1653.69</v>
      </c>
      <c r="AG513" s="410">
        <v>9.1617174515235461E-2</v>
      </c>
      <c r="AH513" s="411"/>
      <c r="AI513" s="412">
        <v>3.280407465373961</v>
      </c>
      <c r="AJ513" s="411">
        <v>0</v>
      </c>
      <c r="AK513" s="411">
        <v>0</v>
      </c>
      <c r="AL513" s="18"/>
      <c r="AM513" s="49"/>
      <c r="AN513" s="2"/>
      <c r="AO513" s="2"/>
    </row>
    <row r="514" spans="1:41" hidden="1">
      <c r="A514" s="14">
        <v>243</v>
      </c>
      <c r="B514" s="11" t="s">
        <v>255</v>
      </c>
      <c r="C514" s="14">
        <v>0</v>
      </c>
      <c r="D514" s="11" t="s">
        <v>18209</v>
      </c>
      <c r="E514" s="11" t="s">
        <v>255</v>
      </c>
      <c r="F514" s="12">
        <v>44099</v>
      </c>
      <c r="G514" s="11">
        <v>2020</v>
      </c>
      <c r="H514" s="11" t="s">
        <v>17255</v>
      </c>
      <c r="I514" s="11" t="s">
        <v>17256</v>
      </c>
      <c r="J514" s="11" t="s">
        <v>3</v>
      </c>
      <c r="K514" s="404">
        <v>33600</v>
      </c>
      <c r="L514" s="11">
        <v>1</v>
      </c>
      <c r="M514" s="404">
        <v>33600</v>
      </c>
      <c r="N514" s="11" t="s">
        <v>20155</v>
      </c>
      <c r="O514" s="11" t="s">
        <v>20171</v>
      </c>
      <c r="P514" s="872">
        <v>44128</v>
      </c>
      <c r="Q514" s="423">
        <v>20000</v>
      </c>
      <c r="R514" s="423">
        <v>0</v>
      </c>
      <c r="S514" s="423">
        <v>0</v>
      </c>
      <c r="T514" s="423">
        <v>0</v>
      </c>
      <c r="U514" s="423">
        <v>20000</v>
      </c>
      <c r="V514" s="11" t="s">
        <v>20155</v>
      </c>
      <c r="W514" s="407">
        <v>33600</v>
      </c>
      <c r="X514" s="407">
        <v>0</v>
      </c>
      <c r="Y514" s="407">
        <v>0</v>
      </c>
      <c r="Z514" s="407">
        <v>0</v>
      </c>
      <c r="AA514" s="408">
        <v>1.68</v>
      </c>
      <c r="AB514" s="408"/>
      <c r="AC514" s="408"/>
      <c r="AD514" s="408"/>
      <c r="AE514" s="409"/>
      <c r="AF514" s="410">
        <v>0</v>
      </c>
      <c r="AG514" s="410">
        <v>0</v>
      </c>
      <c r="AH514" s="411">
        <v>1.68</v>
      </c>
      <c r="AI514" s="412">
        <v>0</v>
      </c>
      <c r="AJ514" s="411">
        <v>0</v>
      </c>
      <c r="AK514" s="411">
        <v>0</v>
      </c>
      <c r="AL514" s="18"/>
      <c r="AM514" s="49"/>
      <c r="AN514" s="2"/>
      <c r="AO514" s="2"/>
    </row>
    <row r="515" spans="1:41" hidden="1">
      <c r="A515" s="14">
        <v>244</v>
      </c>
      <c r="B515" s="11" t="s">
        <v>256</v>
      </c>
      <c r="C515" s="14">
        <v>0</v>
      </c>
      <c r="D515" s="11" t="s">
        <v>18211</v>
      </c>
      <c r="E515" s="11" t="s">
        <v>256</v>
      </c>
      <c r="F515" s="12">
        <v>44099</v>
      </c>
      <c r="G515" s="11">
        <v>2020</v>
      </c>
      <c r="H515" s="11" t="s">
        <v>17259</v>
      </c>
      <c r="I515" s="11" t="s">
        <v>17260</v>
      </c>
      <c r="J515" s="11" t="s">
        <v>16401</v>
      </c>
      <c r="K515" s="404">
        <v>59365.02</v>
      </c>
      <c r="L515" s="11">
        <v>2.7675999999999998</v>
      </c>
      <c r="M515" s="405">
        <v>21450</v>
      </c>
      <c r="N515" s="11" t="s">
        <v>20155</v>
      </c>
      <c r="O515" s="11" t="s">
        <v>17261</v>
      </c>
      <c r="P515" s="872">
        <v>44109</v>
      </c>
      <c r="Q515" s="423">
        <v>0</v>
      </c>
      <c r="R515" s="423">
        <v>38900</v>
      </c>
      <c r="S515" s="423">
        <v>3500</v>
      </c>
      <c r="T515" s="423">
        <v>250</v>
      </c>
      <c r="U515" s="423">
        <v>42650</v>
      </c>
      <c r="V515" s="11" t="s">
        <v>20155</v>
      </c>
      <c r="W515" s="407">
        <v>0</v>
      </c>
      <c r="X515" s="407">
        <v>53483.869999999988</v>
      </c>
      <c r="Y515" s="407">
        <v>4884.8140000000003</v>
      </c>
      <c r="Z515" s="407">
        <v>996.33600000000001</v>
      </c>
      <c r="AA515" s="408"/>
      <c r="AB515" s="408">
        <v>1.3749066838046269</v>
      </c>
      <c r="AC515" s="408">
        <v>1.395661142857143</v>
      </c>
      <c r="AD515" s="408">
        <v>3.985344</v>
      </c>
      <c r="AE515" s="409"/>
      <c r="AF515" s="410">
        <v>2549.66</v>
      </c>
      <c r="AG515" s="410">
        <v>5.9781008206330595E-2</v>
      </c>
      <c r="AH515" s="411"/>
      <c r="AI515" s="412">
        <v>1.3151256755982963</v>
      </c>
      <c r="AJ515" s="411">
        <v>1.3358801346508125</v>
      </c>
      <c r="AK515" s="411">
        <v>3.9255629917936692</v>
      </c>
      <c r="AL515" s="18"/>
      <c r="AM515" s="49"/>
      <c r="AN515" s="2"/>
      <c r="AO515" s="2"/>
    </row>
    <row r="516" spans="1:41" hidden="1">
      <c r="A516" s="14">
        <v>245</v>
      </c>
      <c r="B516" s="11" t="s">
        <v>257</v>
      </c>
      <c r="C516" s="14">
        <v>0</v>
      </c>
      <c r="D516" s="11" t="s">
        <v>18212</v>
      </c>
      <c r="E516" s="11" t="s">
        <v>257</v>
      </c>
      <c r="F516" s="12">
        <v>44099</v>
      </c>
      <c r="G516" s="11">
        <v>2020</v>
      </c>
      <c r="H516" s="11" t="s">
        <v>17242</v>
      </c>
      <c r="I516" s="11" t="s">
        <v>17243</v>
      </c>
      <c r="J516" s="11" t="s">
        <v>16401</v>
      </c>
      <c r="K516" s="404">
        <v>401703.88099999999</v>
      </c>
      <c r="L516" s="11">
        <v>2.7655500000000002</v>
      </c>
      <c r="M516" s="405">
        <v>145252.79998553632</v>
      </c>
      <c r="N516" s="11" t="s">
        <v>20155</v>
      </c>
      <c r="O516" s="11" t="s">
        <v>17939</v>
      </c>
      <c r="P516" s="872">
        <v>44109</v>
      </c>
      <c r="Q516" s="423">
        <v>220080</v>
      </c>
      <c r="R516" s="423">
        <v>0</v>
      </c>
      <c r="S516" s="423">
        <v>0</v>
      </c>
      <c r="T516" s="423">
        <v>0</v>
      </c>
      <c r="U516" s="423">
        <v>220080</v>
      </c>
      <c r="V516" s="11" t="s">
        <v>20155</v>
      </c>
      <c r="W516" s="407">
        <v>383444.61372000002</v>
      </c>
      <c r="X516" s="407">
        <v>0</v>
      </c>
      <c r="Y516" s="407">
        <v>0</v>
      </c>
      <c r="Z516" s="407">
        <v>0</v>
      </c>
      <c r="AA516" s="408">
        <v>1.7422965000000001</v>
      </c>
      <c r="AB516" s="408"/>
      <c r="AC516" s="408"/>
      <c r="AD516" s="408"/>
      <c r="AE516" s="409"/>
      <c r="AF516" s="410">
        <v>30050.55</v>
      </c>
      <c r="AG516" s="410">
        <v>0.13654375681570338</v>
      </c>
      <c r="AH516" s="411">
        <v>1.6057527431842968</v>
      </c>
      <c r="AI516" s="412">
        <v>0</v>
      </c>
      <c r="AJ516" s="411">
        <v>0</v>
      </c>
      <c r="AK516" s="411">
        <v>0</v>
      </c>
      <c r="AL516" s="18"/>
      <c r="AM516" s="49"/>
      <c r="AN516" s="2"/>
      <c r="AO516" s="2"/>
    </row>
    <row r="517" spans="1:41" hidden="1">
      <c r="A517" s="14">
        <v>246</v>
      </c>
      <c r="B517" s="11" t="s">
        <v>258</v>
      </c>
      <c r="C517" s="14">
        <v>0</v>
      </c>
      <c r="D517" s="11" t="s">
        <v>18214</v>
      </c>
      <c r="E517" s="11" t="s">
        <v>258</v>
      </c>
      <c r="F517" s="12">
        <v>44100</v>
      </c>
      <c r="G517" s="11">
        <v>2020</v>
      </c>
      <c r="H517" s="11" t="s">
        <v>17230</v>
      </c>
      <c r="I517" s="11" t="s">
        <v>17231</v>
      </c>
      <c r="J517" s="11" t="s">
        <v>16482</v>
      </c>
      <c r="K517" s="404">
        <v>54727.428</v>
      </c>
      <c r="L517" s="11">
        <v>3.2461000000000002</v>
      </c>
      <c r="M517" s="404">
        <v>16859.439943316593</v>
      </c>
      <c r="N517" s="11" t="s">
        <v>20155</v>
      </c>
      <c r="O517" s="11" t="s">
        <v>16394</v>
      </c>
      <c r="P517" s="872">
        <v>44111</v>
      </c>
      <c r="Q517" s="423">
        <v>1200</v>
      </c>
      <c r="R517" s="423">
        <v>14328</v>
      </c>
      <c r="S517" s="423">
        <v>9000</v>
      </c>
      <c r="T517" s="423">
        <v>3070</v>
      </c>
      <c r="U517" s="423">
        <v>27598</v>
      </c>
      <c r="V517" s="11" t="s">
        <v>20155</v>
      </c>
      <c r="W517" s="407">
        <v>2181.3792000000003</v>
      </c>
      <c r="X517" s="407">
        <v>26150.062223999998</v>
      </c>
      <c r="Y517" s="407">
        <v>15483.896999999999</v>
      </c>
      <c r="Z517" s="407">
        <v>10912.089760000001</v>
      </c>
      <c r="AA517" s="408">
        <v>1.8178160000000003</v>
      </c>
      <c r="AB517" s="408">
        <v>1.8251020536013398</v>
      </c>
      <c r="AC517" s="408">
        <v>1.7204329999999999</v>
      </c>
      <c r="AD517" s="408">
        <v>3.5544266319218245</v>
      </c>
      <c r="AE517" s="409"/>
      <c r="AF517" s="410">
        <v>0</v>
      </c>
      <c r="AG517" s="410">
        <v>0</v>
      </c>
      <c r="AH517" s="411">
        <v>1.8178160000000003</v>
      </c>
      <c r="AI517" s="412">
        <v>1.8251020536013398</v>
      </c>
      <c r="AJ517" s="411">
        <v>1.7204329999999999</v>
      </c>
      <c r="AK517" s="411">
        <v>3.5544266319218245</v>
      </c>
      <c r="AL517" s="18"/>
      <c r="AM517" s="49"/>
      <c r="AN517" s="2"/>
      <c r="AO517" s="2"/>
    </row>
    <row r="518" spans="1:41" hidden="1">
      <c r="A518" s="14">
        <v>247</v>
      </c>
      <c r="B518" s="11" t="s">
        <v>259</v>
      </c>
      <c r="C518" s="14">
        <v>0</v>
      </c>
      <c r="D518" s="11" t="s">
        <v>18215</v>
      </c>
      <c r="E518" s="11" t="s">
        <v>259</v>
      </c>
      <c r="F518" s="12">
        <v>44100</v>
      </c>
      <c r="G518" s="11">
        <v>2020</v>
      </c>
      <c r="H518" s="11" t="s">
        <v>17262</v>
      </c>
      <c r="I518" s="11" t="s">
        <v>17263</v>
      </c>
      <c r="J518" s="11" t="s">
        <v>16482</v>
      </c>
      <c r="K518" s="404">
        <v>47264.214</v>
      </c>
      <c r="L518" s="11">
        <v>3.25305</v>
      </c>
      <c r="M518" s="404">
        <v>14529.19998155577</v>
      </c>
      <c r="N518" s="11" t="s">
        <v>20155</v>
      </c>
      <c r="O518" s="11" t="s">
        <v>16394</v>
      </c>
      <c r="P518" s="872">
        <v>44117</v>
      </c>
      <c r="Q518" s="423">
        <v>0</v>
      </c>
      <c r="R518" s="423">
        <v>16800</v>
      </c>
      <c r="S518" s="423">
        <v>6000</v>
      </c>
      <c r="T518" s="423">
        <v>1680</v>
      </c>
      <c r="U518" s="423">
        <v>24480</v>
      </c>
      <c r="V518" s="11" t="s">
        <v>20155</v>
      </c>
      <c r="W518" s="407">
        <v>0</v>
      </c>
      <c r="X518" s="407">
        <v>28965.157200000001</v>
      </c>
      <c r="Y518" s="407">
        <v>10344.699000000001</v>
      </c>
      <c r="Z518" s="407">
        <v>7954.357860000001</v>
      </c>
      <c r="AA518" s="408"/>
      <c r="AB518" s="408">
        <v>1.7241165000000001</v>
      </c>
      <c r="AC518" s="408">
        <v>1.7241165000000001</v>
      </c>
      <c r="AD518" s="408">
        <v>4.7347368214285721</v>
      </c>
      <c r="AE518" s="409"/>
      <c r="AF518" s="410">
        <v>0</v>
      </c>
      <c r="AG518" s="410">
        <v>0</v>
      </c>
      <c r="AH518" s="411">
        <v>0</v>
      </c>
      <c r="AI518" s="412">
        <v>1.7241165000000001</v>
      </c>
      <c r="AJ518" s="411">
        <v>1.7241165000000001</v>
      </c>
      <c r="AK518" s="411">
        <v>4.7347368214285721</v>
      </c>
      <c r="AL518" s="18"/>
      <c r="AM518" s="49"/>
      <c r="AN518" s="2"/>
      <c r="AO518" s="2"/>
    </row>
    <row r="519" spans="1:41" hidden="1">
      <c r="A519" s="14">
        <v>248</v>
      </c>
      <c r="B519" s="11" t="s">
        <v>260</v>
      </c>
      <c r="C519" s="14">
        <v>0</v>
      </c>
      <c r="D519" s="11" t="s">
        <v>18216</v>
      </c>
      <c r="E519" s="11" t="s">
        <v>260</v>
      </c>
      <c r="F519" s="12">
        <v>44103</v>
      </c>
      <c r="G519" s="11">
        <v>2020</v>
      </c>
      <c r="H519" s="11" t="s">
        <v>17017</v>
      </c>
      <c r="I519" s="11" t="s">
        <v>17018</v>
      </c>
      <c r="J519" s="11" t="s">
        <v>3</v>
      </c>
      <c r="K519" s="404">
        <v>145317.84</v>
      </c>
      <c r="L519" s="11">
        <v>1</v>
      </c>
      <c r="M519" s="404">
        <v>145317.84</v>
      </c>
      <c r="N519" s="11" t="s">
        <v>20155</v>
      </c>
      <c r="O519" s="11" t="s">
        <v>17954</v>
      </c>
      <c r="P519" s="872">
        <v>44112</v>
      </c>
      <c r="Q519" s="423">
        <v>0</v>
      </c>
      <c r="R519" s="423">
        <v>46680</v>
      </c>
      <c r="S519" s="423">
        <v>18144</v>
      </c>
      <c r="T519" s="423">
        <v>10200</v>
      </c>
      <c r="U519" s="423">
        <v>75024</v>
      </c>
      <c r="V519" s="11" t="s">
        <v>20155</v>
      </c>
      <c r="W519" s="407">
        <v>0</v>
      </c>
      <c r="X519" s="407">
        <v>79822.8</v>
      </c>
      <c r="Y519" s="407">
        <v>30119.040000000001</v>
      </c>
      <c r="Z519" s="407">
        <v>35376</v>
      </c>
      <c r="AA519" s="431"/>
      <c r="AB519" s="408">
        <v>1.71</v>
      </c>
      <c r="AC519" s="408">
        <v>1.66</v>
      </c>
      <c r="AD519" s="408">
        <v>3.4682352941176471</v>
      </c>
      <c r="AE519" s="409"/>
      <c r="AF519" s="410">
        <v>0</v>
      </c>
      <c r="AG519" s="410">
        <v>0</v>
      </c>
      <c r="AH519" s="411">
        <v>0</v>
      </c>
      <c r="AI519" s="412">
        <v>1.71</v>
      </c>
      <c r="AJ519" s="411">
        <v>1.66</v>
      </c>
      <c r="AK519" s="411">
        <v>3.4682352941176471</v>
      </c>
      <c r="AL519" s="18"/>
      <c r="AM519" s="49"/>
      <c r="AN519" s="2"/>
      <c r="AO519" s="2"/>
    </row>
    <row r="520" spans="1:41" hidden="1">
      <c r="A520" s="14">
        <v>249</v>
      </c>
      <c r="B520" s="11" t="s">
        <v>261</v>
      </c>
      <c r="C520" s="14">
        <v>0</v>
      </c>
      <c r="D520" s="11" t="s">
        <v>18217</v>
      </c>
      <c r="E520" s="11" t="s">
        <v>261</v>
      </c>
      <c r="F520" s="12">
        <v>44106</v>
      </c>
      <c r="G520" s="11">
        <v>2020</v>
      </c>
      <c r="H520" s="11" t="s">
        <v>16444</v>
      </c>
      <c r="I520" s="11" t="s">
        <v>16445</v>
      </c>
      <c r="J520" s="11" t="s">
        <v>3</v>
      </c>
      <c r="K520" s="404">
        <v>30872</v>
      </c>
      <c r="L520" s="11">
        <v>1</v>
      </c>
      <c r="M520" s="404">
        <v>30872</v>
      </c>
      <c r="N520" s="11" t="s">
        <v>20155</v>
      </c>
      <c r="O520" s="11" t="s">
        <v>17854</v>
      </c>
      <c r="P520" s="872">
        <v>44123</v>
      </c>
      <c r="Q520" s="423">
        <v>17975</v>
      </c>
      <c r="R520" s="423">
        <v>0</v>
      </c>
      <c r="S520" s="423">
        <v>0</v>
      </c>
      <c r="T520" s="423">
        <v>0</v>
      </c>
      <c r="U520" s="423">
        <v>17975</v>
      </c>
      <c r="V520" s="11" t="s">
        <v>20155</v>
      </c>
      <c r="W520" s="407">
        <v>30872</v>
      </c>
      <c r="X520" s="407">
        <v>0</v>
      </c>
      <c r="Y520" s="407">
        <v>0</v>
      </c>
      <c r="Z520" s="407">
        <v>0</v>
      </c>
      <c r="AA520" s="408">
        <v>1.7174965229485397</v>
      </c>
      <c r="AB520" s="408"/>
      <c r="AC520" s="408"/>
      <c r="AD520" s="408"/>
      <c r="AE520" s="409"/>
      <c r="AF520" s="410">
        <v>0</v>
      </c>
      <c r="AG520" s="410">
        <v>0</v>
      </c>
      <c r="AH520" s="411">
        <v>1.7174965229485397</v>
      </c>
      <c r="AI520" s="412">
        <v>0</v>
      </c>
      <c r="AJ520" s="411">
        <v>0</v>
      </c>
      <c r="AK520" s="411">
        <v>0</v>
      </c>
      <c r="AL520" s="18"/>
      <c r="AM520" s="49"/>
      <c r="AN520" s="2"/>
      <c r="AO520" s="2"/>
    </row>
    <row r="521" spans="1:41" hidden="1">
      <c r="A521" s="14">
        <v>250</v>
      </c>
      <c r="B521" s="11" t="s">
        <v>262</v>
      </c>
      <c r="C521" s="14">
        <v>0</v>
      </c>
      <c r="D521" s="11" t="s">
        <v>18218</v>
      </c>
      <c r="E521" s="11" t="s">
        <v>262</v>
      </c>
      <c r="F521" s="12">
        <v>44112</v>
      </c>
      <c r="G521" s="11">
        <v>2020</v>
      </c>
      <c r="H521" s="11" t="s">
        <v>16444</v>
      </c>
      <c r="I521" s="11" t="s">
        <v>16445</v>
      </c>
      <c r="J521" s="11" t="s">
        <v>3</v>
      </c>
      <c r="K521" s="404">
        <v>70848</v>
      </c>
      <c r="L521" s="11">
        <v>1</v>
      </c>
      <c r="M521" s="404">
        <v>70848</v>
      </c>
      <c r="N521" s="11" t="s">
        <v>20155</v>
      </c>
      <c r="O521" s="11" t="s">
        <v>17693</v>
      </c>
      <c r="P521" s="872">
        <v>44126</v>
      </c>
      <c r="Q521" s="423">
        <v>43200</v>
      </c>
      <c r="R521" s="423">
        <v>0</v>
      </c>
      <c r="S521" s="423">
        <v>0</v>
      </c>
      <c r="T521" s="423">
        <v>0</v>
      </c>
      <c r="U521" s="423">
        <v>43200</v>
      </c>
      <c r="V521" s="11" t="s">
        <v>20155</v>
      </c>
      <c r="W521" s="407">
        <v>70848</v>
      </c>
      <c r="X521" s="407">
        <v>0</v>
      </c>
      <c r="Y521" s="407">
        <v>0</v>
      </c>
      <c r="Z521" s="407">
        <v>0</v>
      </c>
      <c r="AA521" s="408">
        <v>1.64</v>
      </c>
      <c r="AB521" s="408"/>
      <c r="AC521" s="408"/>
      <c r="AD521" s="408"/>
      <c r="AE521" s="409"/>
      <c r="AF521" s="410">
        <v>0</v>
      </c>
      <c r="AG521" s="410">
        <v>0</v>
      </c>
      <c r="AH521" s="411">
        <v>1.64</v>
      </c>
      <c r="AI521" s="412">
        <v>0</v>
      </c>
      <c r="AJ521" s="411">
        <v>0</v>
      </c>
      <c r="AK521" s="411">
        <v>0</v>
      </c>
      <c r="AL521" s="18"/>
      <c r="AM521" s="49"/>
      <c r="AN521" s="2"/>
      <c r="AO521" s="2"/>
    </row>
    <row r="522" spans="1:41" hidden="1">
      <c r="A522" s="14">
        <v>251</v>
      </c>
      <c r="B522" s="11" t="s">
        <v>263</v>
      </c>
      <c r="C522" s="14">
        <v>0</v>
      </c>
      <c r="D522" s="11" t="s">
        <v>18219</v>
      </c>
      <c r="E522" s="11" t="s">
        <v>263</v>
      </c>
      <c r="F522" s="12">
        <v>44112</v>
      </c>
      <c r="G522" s="11">
        <v>2020</v>
      </c>
      <c r="H522" s="11" t="s">
        <v>16444</v>
      </c>
      <c r="I522" s="11" t="s">
        <v>16445</v>
      </c>
      <c r="J522" s="11" t="s">
        <v>3</v>
      </c>
      <c r="K522" s="404">
        <v>163721.04</v>
      </c>
      <c r="L522" s="11">
        <v>1</v>
      </c>
      <c r="M522" s="404">
        <v>163721.04</v>
      </c>
      <c r="N522" s="11" t="s">
        <v>20155</v>
      </c>
      <c r="O522" s="11" t="s">
        <v>18248</v>
      </c>
      <c r="P522" s="872">
        <v>44118</v>
      </c>
      <c r="Q522" s="423">
        <v>32808</v>
      </c>
      <c r="R522" s="423">
        <v>73200</v>
      </c>
      <c r="S522" s="423">
        <v>1200</v>
      </c>
      <c r="T522" s="423">
        <v>0</v>
      </c>
      <c r="U522" s="423">
        <v>107208</v>
      </c>
      <c r="V522" s="11" t="s">
        <v>20155</v>
      </c>
      <c r="W522" s="407">
        <v>53609.04</v>
      </c>
      <c r="X522" s="407">
        <v>108336</v>
      </c>
      <c r="Y522" s="407">
        <v>1776</v>
      </c>
      <c r="Z522" s="407">
        <v>0</v>
      </c>
      <c r="AA522" s="408">
        <v>1.6340234089246526</v>
      </c>
      <c r="AB522" s="408">
        <v>1.48</v>
      </c>
      <c r="AC522" s="408">
        <v>1.48</v>
      </c>
      <c r="AD522" s="408"/>
      <c r="AE522" s="409"/>
      <c r="AF522" s="410">
        <v>0</v>
      </c>
      <c r="AG522" s="410">
        <v>0</v>
      </c>
      <c r="AH522" s="411">
        <v>1.6340234089246526</v>
      </c>
      <c r="AI522" s="412">
        <v>1.48</v>
      </c>
      <c r="AJ522" s="411">
        <v>1.48</v>
      </c>
      <c r="AK522" s="411">
        <v>0</v>
      </c>
      <c r="AL522" s="18"/>
      <c r="AM522" s="49"/>
      <c r="AN522" s="2"/>
      <c r="AO522" s="2"/>
    </row>
    <row r="523" spans="1:41" hidden="1">
      <c r="A523" s="14">
        <v>252</v>
      </c>
      <c r="B523" s="11" t="s">
        <v>264</v>
      </c>
      <c r="C523" s="14">
        <v>0</v>
      </c>
      <c r="D523" s="11" t="s">
        <v>18220</v>
      </c>
      <c r="E523" s="11" t="s">
        <v>264</v>
      </c>
      <c r="F523" s="12">
        <v>44112</v>
      </c>
      <c r="G523" s="11">
        <v>2020</v>
      </c>
      <c r="H523" s="11" t="s">
        <v>16384</v>
      </c>
      <c r="I523" s="11" t="s">
        <v>16385</v>
      </c>
      <c r="J523" s="11" t="s">
        <v>3</v>
      </c>
      <c r="K523" s="404">
        <v>364000</v>
      </c>
      <c r="L523" s="11">
        <v>1</v>
      </c>
      <c r="M523" s="404">
        <v>364000</v>
      </c>
      <c r="N523" s="11" t="s">
        <v>20155</v>
      </c>
      <c r="O523" s="11" t="s">
        <v>17801</v>
      </c>
      <c r="P523" s="872">
        <v>44117</v>
      </c>
      <c r="Q523" s="423">
        <v>0</v>
      </c>
      <c r="R523" s="423">
        <v>0</v>
      </c>
      <c r="S523" s="423">
        <v>280000</v>
      </c>
      <c r="T523" s="423">
        <v>0</v>
      </c>
      <c r="U523" s="423">
        <v>280000</v>
      </c>
      <c r="V523" s="11" t="s">
        <v>20155</v>
      </c>
      <c r="W523" s="407">
        <v>0</v>
      </c>
      <c r="X523" s="407">
        <v>0</v>
      </c>
      <c r="Y523" s="407">
        <v>364000</v>
      </c>
      <c r="Z523" s="407">
        <v>0</v>
      </c>
      <c r="AA523" s="408"/>
      <c r="AB523" s="408"/>
      <c r="AC523" s="408">
        <v>1.3</v>
      </c>
      <c r="AD523" s="408"/>
      <c r="AE523" s="409"/>
      <c r="AF523" s="410">
        <v>0</v>
      </c>
      <c r="AG523" s="410">
        <v>0</v>
      </c>
      <c r="AH523" s="411">
        <v>0</v>
      </c>
      <c r="AI523" s="412">
        <v>0</v>
      </c>
      <c r="AJ523" s="411">
        <v>1.3</v>
      </c>
      <c r="AK523" s="411">
        <v>0</v>
      </c>
      <c r="AL523" s="18"/>
      <c r="AM523" s="49"/>
      <c r="AN523" s="2"/>
      <c r="AO523" s="2"/>
    </row>
    <row r="524" spans="1:41" hidden="1">
      <c r="A524" s="14">
        <v>253</v>
      </c>
      <c r="B524" s="11" t="s">
        <v>265</v>
      </c>
      <c r="C524" s="14">
        <v>0</v>
      </c>
      <c r="D524" s="11" t="s">
        <v>18221</v>
      </c>
      <c r="E524" s="11" t="s">
        <v>265</v>
      </c>
      <c r="F524" s="12">
        <v>44112</v>
      </c>
      <c r="G524" s="11">
        <v>2020</v>
      </c>
      <c r="H524" s="11" t="s">
        <v>16384</v>
      </c>
      <c r="I524" s="11" t="s">
        <v>16385</v>
      </c>
      <c r="J524" s="11" t="s">
        <v>3</v>
      </c>
      <c r="K524" s="404">
        <v>93888</v>
      </c>
      <c r="L524" s="11">
        <v>1</v>
      </c>
      <c r="M524" s="404">
        <v>93888</v>
      </c>
      <c r="N524" s="11" t="s">
        <v>20155</v>
      </c>
      <c r="O524" s="11" t="s">
        <v>18248</v>
      </c>
      <c r="P524" s="872">
        <v>44120</v>
      </c>
      <c r="Q524" s="423">
        <v>57600</v>
      </c>
      <c r="R524" s="423">
        <v>0</v>
      </c>
      <c r="S524" s="423">
        <v>0</v>
      </c>
      <c r="T524" s="423">
        <v>0</v>
      </c>
      <c r="U524" s="423">
        <v>57600</v>
      </c>
      <c r="V524" s="11" t="s">
        <v>20155</v>
      </c>
      <c r="W524" s="407">
        <v>93888</v>
      </c>
      <c r="X524" s="407">
        <v>0</v>
      </c>
      <c r="Y524" s="407">
        <v>0</v>
      </c>
      <c r="Z524" s="407">
        <v>0</v>
      </c>
      <c r="AA524" s="408">
        <v>1.63</v>
      </c>
      <c r="AB524" s="408"/>
      <c r="AC524" s="408"/>
      <c r="AD524" s="408"/>
      <c r="AE524" s="409"/>
      <c r="AF524" s="410">
        <v>0</v>
      </c>
      <c r="AG524" s="410">
        <v>0</v>
      </c>
      <c r="AH524" s="411">
        <v>1.63</v>
      </c>
      <c r="AI524" s="412">
        <v>0</v>
      </c>
      <c r="AJ524" s="411">
        <v>0</v>
      </c>
      <c r="AK524" s="411">
        <v>0</v>
      </c>
      <c r="AL524" s="18"/>
      <c r="AM524" s="49"/>
      <c r="AN524" s="2"/>
      <c r="AO524" s="2"/>
    </row>
    <row r="525" spans="1:41" hidden="1">
      <c r="A525" s="14">
        <v>254</v>
      </c>
      <c r="B525" s="11" t="s">
        <v>266</v>
      </c>
      <c r="C525" s="14">
        <v>0</v>
      </c>
      <c r="D525" s="11" t="s">
        <v>18222</v>
      </c>
      <c r="E525" s="11" t="s">
        <v>266</v>
      </c>
      <c r="F525" s="12">
        <v>44112</v>
      </c>
      <c r="G525" s="11">
        <v>2020</v>
      </c>
      <c r="H525" s="11" t="s">
        <v>17226</v>
      </c>
      <c r="I525" s="11" t="s">
        <v>17227</v>
      </c>
      <c r="J525" s="11" t="s">
        <v>3</v>
      </c>
      <c r="K525" s="404">
        <v>47611.8</v>
      </c>
      <c r="L525" s="11">
        <v>1</v>
      </c>
      <c r="M525" s="404">
        <v>47611.8</v>
      </c>
      <c r="N525" s="11" t="s">
        <v>20155</v>
      </c>
      <c r="O525" s="11" t="s">
        <v>17689</v>
      </c>
      <c r="P525" s="872">
        <v>44126</v>
      </c>
      <c r="Q525" s="423">
        <v>9360</v>
      </c>
      <c r="R525" s="423">
        <v>14400</v>
      </c>
      <c r="S525" s="423">
        <v>1800</v>
      </c>
      <c r="T525" s="423">
        <v>2050</v>
      </c>
      <c r="U525" s="423">
        <v>27610</v>
      </c>
      <c r="V525" s="11" t="s">
        <v>20155</v>
      </c>
      <c r="W525" s="407">
        <v>15616.8</v>
      </c>
      <c r="X525" s="407">
        <v>25860</v>
      </c>
      <c r="Y525" s="407">
        <v>2970</v>
      </c>
      <c r="Z525" s="407">
        <v>3165</v>
      </c>
      <c r="AA525" s="408">
        <v>1.6684615384615384</v>
      </c>
      <c r="AB525" s="408">
        <v>1.7958333333333334</v>
      </c>
      <c r="AC525" s="408">
        <v>1.65</v>
      </c>
      <c r="AD525" s="408">
        <v>1.5439024390243903</v>
      </c>
      <c r="AE525" s="409"/>
      <c r="AF525" s="410">
        <v>0</v>
      </c>
      <c r="AG525" s="410">
        <v>0</v>
      </c>
      <c r="AH525" s="411">
        <v>1.6684615384615384</v>
      </c>
      <c r="AI525" s="412">
        <v>1.7958333333333334</v>
      </c>
      <c r="AJ525" s="411">
        <v>1.65</v>
      </c>
      <c r="AK525" s="411">
        <v>1.5439024390243903</v>
      </c>
      <c r="AL525" s="18"/>
      <c r="AM525" s="49"/>
      <c r="AN525" s="2"/>
      <c r="AO525" s="2"/>
    </row>
    <row r="526" spans="1:41" hidden="1">
      <c r="A526" s="14">
        <v>255</v>
      </c>
      <c r="B526" s="11" t="s">
        <v>267</v>
      </c>
      <c r="C526" s="14">
        <v>0</v>
      </c>
      <c r="D526" s="11" t="s">
        <v>18223</v>
      </c>
      <c r="E526" s="11" t="s">
        <v>267</v>
      </c>
      <c r="F526" s="12">
        <v>44112</v>
      </c>
      <c r="G526" s="11">
        <v>2020</v>
      </c>
      <c r="H526" s="11" t="s">
        <v>16972</v>
      </c>
      <c r="I526" s="11" t="s">
        <v>16973</v>
      </c>
      <c r="J526" s="11" t="s">
        <v>3</v>
      </c>
      <c r="K526" s="404">
        <v>64140</v>
      </c>
      <c r="L526" s="11">
        <v>1</v>
      </c>
      <c r="M526" s="404">
        <v>64140</v>
      </c>
      <c r="N526" s="11" t="s">
        <v>20155</v>
      </c>
      <c r="O526" s="11" t="s">
        <v>17801</v>
      </c>
      <c r="P526" s="872">
        <v>44131</v>
      </c>
      <c r="Q526" s="423">
        <v>38000</v>
      </c>
      <c r="R526" s="423">
        <v>0</v>
      </c>
      <c r="S526" s="423">
        <v>0</v>
      </c>
      <c r="T526" s="423">
        <v>0</v>
      </c>
      <c r="U526" s="423">
        <v>38000</v>
      </c>
      <c r="V526" s="11" t="s">
        <v>20155</v>
      </c>
      <c r="W526" s="407">
        <v>64140</v>
      </c>
      <c r="X526" s="407">
        <v>0</v>
      </c>
      <c r="Y526" s="407">
        <v>0</v>
      </c>
      <c r="Z526" s="407">
        <v>0</v>
      </c>
      <c r="AA526" s="408">
        <v>1.6878947368421053</v>
      </c>
      <c r="AB526" s="408"/>
      <c r="AC526" s="408"/>
      <c r="AD526" s="408"/>
      <c r="AE526" s="409"/>
      <c r="AF526" s="410">
        <v>0</v>
      </c>
      <c r="AG526" s="410">
        <v>0</v>
      </c>
      <c r="AH526" s="411">
        <v>1.6878947368421053</v>
      </c>
      <c r="AI526" s="412">
        <v>0</v>
      </c>
      <c r="AJ526" s="411">
        <v>0</v>
      </c>
      <c r="AK526" s="411">
        <v>0</v>
      </c>
      <c r="AL526" s="18"/>
      <c r="AM526" s="49"/>
      <c r="AN526" s="2"/>
      <c r="AO526" s="2"/>
    </row>
    <row r="527" spans="1:41" hidden="1">
      <c r="A527" s="14">
        <v>256</v>
      </c>
      <c r="B527" s="11" t="s">
        <v>268</v>
      </c>
      <c r="C527" s="14">
        <v>0</v>
      </c>
      <c r="D527" s="11" t="s">
        <v>18224</v>
      </c>
      <c r="E527" s="11" t="s">
        <v>268</v>
      </c>
      <c r="F527" s="12">
        <v>44112</v>
      </c>
      <c r="G527" s="11">
        <v>2020</v>
      </c>
      <c r="H527" s="11" t="s">
        <v>16972</v>
      </c>
      <c r="I527" s="11" t="s">
        <v>16973</v>
      </c>
      <c r="J527" s="11" t="s">
        <v>3</v>
      </c>
      <c r="K527" s="404">
        <v>102960</v>
      </c>
      <c r="L527" s="11">
        <v>1</v>
      </c>
      <c r="M527" s="404">
        <v>102960</v>
      </c>
      <c r="N527" s="11" t="s">
        <v>20155</v>
      </c>
      <c r="O527" s="11" t="s">
        <v>17801</v>
      </c>
      <c r="P527" s="872">
        <v>44132</v>
      </c>
      <c r="Q527" s="423">
        <v>0</v>
      </c>
      <c r="R527" s="423">
        <v>78000</v>
      </c>
      <c r="S527" s="423">
        <v>0</v>
      </c>
      <c r="T527" s="423">
        <v>0</v>
      </c>
      <c r="U527" s="423">
        <v>78000</v>
      </c>
      <c r="V527" s="11" t="s">
        <v>20155</v>
      </c>
      <c r="W527" s="407">
        <v>0</v>
      </c>
      <c r="X527" s="407">
        <v>102960</v>
      </c>
      <c r="Y527" s="407">
        <v>0</v>
      </c>
      <c r="Z527" s="407">
        <v>0</v>
      </c>
      <c r="AA527" s="408"/>
      <c r="AB527" s="408">
        <v>1.32</v>
      </c>
      <c r="AC527" s="408"/>
      <c r="AD527" s="408"/>
      <c r="AE527" s="409"/>
      <c r="AF527" s="410">
        <v>0</v>
      </c>
      <c r="AG527" s="410">
        <v>0</v>
      </c>
      <c r="AH527" s="411">
        <v>0</v>
      </c>
      <c r="AI527" s="412">
        <v>1.32</v>
      </c>
      <c r="AJ527" s="411">
        <v>0</v>
      </c>
      <c r="AK527" s="411">
        <v>0</v>
      </c>
      <c r="AL527" s="18"/>
      <c r="AM527" s="49"/>
      <c r="AN527" s="2"/>
      <c r="AO527" s="2"/>
    </row>
    <row r="528" spans="1:41" hidden="1">
      <c r="A528" s="14">
        <v>257</v>
      </c>
      <c r="B528" s="11" t="s">
        <v>269</v>
      </c>
      <c r="C528" s="14">
        <v>0</v>
      </c>
      <c r="D528" s="11" t="s">
        <v>18225</v>
      </c>
      <c r="E528" s="11" t="s">
        <v>269</v>
      </c>
      <c r="F528" s="12">
        <v>44120</v>
      </c>
      <c r="G528" s="11">
        <v>2020</v>
      </c>
      <c r="H528" s="11" t="s">
        <v>17156</v>
      </c>
      <c r="I528" s="11" t="s">
        <v>17157</v>
      </c>
      <c r="J528" s="11" t="s">
        <v>3</v>
      </c>
      <c r="K528" s="404">
        <v>32955</v>
      </c>
      <c r="L528" s="11">
        <v>1</v>
      </c>
      <c r="M528" s="404">
        <v>32955</v>
      </c>
      <c r="N528" s="11" t="s">
        <v>20155</v>
      </c>
      <c r="O528" s="11" t="s">
        <v>20161</v>
      </c>
      <c r="P528" s="872">
        <v>44139</v>
      </c>
      <c r="Q528" s="423">
        <v>0</v>
      </c>
      <c r="R528" s="423">
        <v>19500</v>
      </c>
      <c r="S528" s="423">
        <v>0</v>
      </c>
      <c r="T528" s="423">
        <v>0</v>
      </c>
      <c r="U528" s="423">
        <v>19500</v>
      </c>
      <c r="V528" s="11" t="s">
        <v>20155</v>
      </c>
      <c r="W528" s="407">
        <v>0</v>
      </c>
      <c r="X528" s="407">
        <v>32955</v>
      </c>
      <c r="Y528" s="407">
        <v>0</v>
      </c>
      <c r="Z528" s="407">
        <v>0</v>
      </c>
      <c r="AA528" s="408"/>
      <c r="AB528" s="408">
        <v>1.69</v>
      </c>
      <c r="AC528" s="408"/>
      <c r="AD528" s="408"/>
      <c r="AE528" s="409"/>
      <c r="AF528" s="410">
        <v>0</v>
      </c>
      <c r="AG528" s="410">
        <v>0</v>
      </c>
      <c r="AH528" s="411">
        <v>0</v>
      </c>
      <c r="AI528" s="412">
        <v>1.69</v>
      </c>
      <c r="AJ528" s="411">
        <v>0</v>
      </c>
      <c r="AK528" s="411">
        <v>0</v>
      </c>
      <c r="AL528" s="18"/>
      <c r="AM528" s="49"/>
      <c r="AN528" s="2"/>
      <c r="AO528" s="2"/>
    </row>
    <row r="529" spans="1:41" hidden="1">
      <c r="A529" s="14">
        <v>258</v>
      </c>
      <c r="B529" s="11" t="s">
        <v>270</v>
      </c>
      <c r="C529" s="14">
        <v>0</v>
      </c>
      <c r="D529" s="11" t="s">
        <v>18226</v>
      </c>
      <c r="E529" s="11" t="s">
        <v>270</v>
      </c>
      <c r="F529" s="12">
        <v>44120</v>
      </c>
      <c r="G529" s="11">
        <v>2020</v>
      </c>
      <c r="H529" s="11" t="s">
        <v>16470</v>
      </c>
      <c r="I529" s="11" t="s">
        <v>16471</v>
      </c>
      <c r="J529" s="11" t="s">
        <v>16401</v>
      </c>
      <c r="K529" s="404">
        <v>405793.239</v>
      </c>
      <c r="L529" s="11">
        <v>2.7405499999999998</v>
      </c>
      <c r="M529" s="405">
        <v>148070.00018244513</v>
      </c>
      <c r="N529" s="11" t="s">
        <v>20155</v>
      </c>
      <c r="O529" s="11" t="s">
        <v>20159</v>
      </c>
      <c r="P529" s="872">
        <v>44152</v>
      </c>
      <c r="Q529" s="423">
        <v>0</v>
      </c>
      <c r="R529" s="423">
        <v>231600</v>
      </c>
      <c r="S529" s="423">
        <v>0</v>
      </c>
      <c r="T529" s="423">
        <v>0</v>
      </c>
      <c r="U529" s="423">
        <v>231600</v>
      </c>
      <c r="V529" s="11" t="s">
        <v>20155</v>
      </c>
      <c r="W529" s="407">
        <v>0</v>
      </c>
      <c r="X529" s="407">
        <v>317585.89619999973</v>
      </c>
      <c r="Y529" s="407">
        <v>0</v>
      </c>
      <c r="Z529" s="407">
        <v>0</v>
      </c>
      <c r="AA529" s="408"/>
      <c r="AB529" s="408">
        <v>1.3712689818652839</v>
      </c>
      <c r="AC529" s="408"/>
      <c r="AD529" s="408"/>
      <c r="AE529" s="409"/>
      <c r="AF529" s="410">
        <v>108790.55</v>
      </c>
      <c r="AG529" s="410">
        <v>0.46973467184801382</v>
      </c>
      <c r="AH529" s="411"/>
      <c r="AI529" s="412">
        <v>0.90153431001727014</v>
      </c>
      <c r="AJ529" s="411"/>
      <c r="AK529" s="411"/>
      <c r="AL529" s="18"/>
      <c r="AM529" s="49"/>
      <c r="AN529" s="2"/>
      <c r="AO529" s="2"/>
    </row>
    <row r="530" spans="1:41" hidden="1">
      <c r="A530" s="14">
        <v>259</v>
      </c>
      <c r="B530" s="11" t="s">
        <v>271</v>
      </c>
      <c r="C530" s="14">
        <v>0</v>
      </c>
      <c r="D530" s="11" t="s">
        <v>18228</v>
      </c>
      <c r="E530" s="11" t="s">
        <v>271</v>
      </c>
      <c r="F530" s="12">
        <v>44120</v>
      </c>
      <c r="G530" s="11">
        <v>2020</v>
      </c>
      <c r="H530" s="11" t="s">
        <v>16957</v>
      </c>
      <c r="I530" s="11" t="s">
        <v>16958</v>
      </c>
      <c r="J530" s="11" t="s">
        <v>16401</v>
      </c>
      <c r="K530" s="404">
        <v>37657.72</v>
      </c>
      <c r="L530" s="11">
        <v>2.7689499999999998</v>
      </c>
      <c r="M530" s="405">
        <v>13600.000000000002</v>
      </c>
      <c r="N530" s="11" t="s">
        <v>20155</v>
      </c>
      <c r="O530" s="11" t="s">
        <v>20161</v>
      </c>
      <c r="P530" s="872">
        <v>44124</v>
      </c>
      <c r="Q530" s="423">
        <v>20000</v>
      </c>
      <c r="R530" s="423">
        <v>0</v>
      </c>
      <c r="S530" s="423">
        <v>0</v>
      </c>
      <c r="T530" s="423">
        <v>0</v>
      </c>
      <c r="U530" s="423">
        <v>20000</v>
      </c>
      <c r="V530" s="11" t="s">
        <v>20155</v>
      </c>
      <c r="W530" s="407">
        <v>37657.72</v>
      </c>
      <c r="X530" s="407">
        <v>0</v>
      </c>
      <c r="Y530" s="407">
        <v>0</v>
      </c>
      <c r="Z530" s="407">
        <v>0</v>
      </c>
      <c r="AA530" s="408">
        <v>1.8828860000000001</v>
      </c>
      <c r="AB530" s="408"/>
      <c r="AC530" s="408"/>
      <c r="AD530" s="408"/>
      <c r="AE530" s="409"/>
      <c r="AF530" s="410">
        <v>3989.011</v>
      </c>
      <c r="AG530" s="410">
        <v>0.19945055</v>
      </c>
      <c r="AH530" s="411">
        <v>1.6834354500000002</v>
      </c>
      <c r="AI530" s="412">
        <v>0</v>
      </c>
      <c r="AJ530" s="411">
        <v>0</v>
      </c>
      <c r="AK530" s="411">
        <v>0</v>
      </c>
      <c r="AL530" s="18"/>
      <c r="AM530" s="49"/>
      <c r="AN530" s="2"/>
      <c r="AO530" s="2"/>
    </row>
    <row r="531" spans="1:41" hidden="1">
      <c r="A531" s="14">
        <v>260</v>
      </c>
      <c r="B531" s="11" t="s">
        <v>272</v>
      </c>
      <c r="C531" s="14">
        <v>0</v>
      </c>
      <c r="D531" s="11" t="s">
        <v>18230</v>
      </c>
      <c r="E531" s="11" t="s">
        <v>272</v>
      </c>
      <c r="F531" s="12">
        <v>44120</v>
      </c>
      <c r="G531" s="11">
        <v>2020</v>
      </c>
      <c r="H531" s="11" t="s">
        <v>17267</v>
      </c>
      <c r="I531" s="11" t="s">
        <v>17268</v>
      </c>
      <c r="J531" s="11" t="s">
        <v>16401</v>
      </c>
      <c r="K531" s="404">
        <v>51189.591</v>
      </c>
      <c r="L531" s="11">
        <v>2.7477999999999998</v>
      </c>
      <c r="M531" s="405">
        <v>18629.300167406655</v>
      </c>
      <c r="N531" s="11" t="s">
        <v>20155</v>
      </c>
      <c r="O531" s="11" t="s">
        <v>17269</v>
      </c>
      <c r="P531" s="872">
        <v>44130</v>
      </c>
      <c r="Q531" s="423">
        <v>6000</v>
      </c>
      <c r="R531" s="423">
        <v>9000</v>
      </c>
      <c r="S531" s="423">
        <v>3000</v>
      </c>
      <c r="T531" s="423">
        <v>6370</v>
      </c>
      <c r="U531" s="423">
        <v>24370</v>
      </c>
      <c r="V531" s="11" t="s">
        <v>20155</v>
      </c>
      <c r="W531" s="407">
        <v>10963.722</v>
      </c>
      <c r="X531" s="407">
        <v>19953.974039999997</v>
      </c>
      <c r="Y531" s="407">
        <v>5358.2099999999991</v>
      </c>
      <c r="Z531" s="407">
        <v>14913.684499999998</v>
      </c>
      <c r="AA531" s="408">
        <v>1.8272869999999999</v>
      </c>
      <c r="AB531" s="408">
        <v>2.2171082266666664</v>
      </c>
      <c r="AC531" s="408">
        <v>1.7860699999999996</v>
      </c>
      <c r="AD531" s="408">
        <v>2.3412377551020405</v>
      </c>
      <c r="AE531" s="409"/>
      <c r="AF531" s="410">
        <v>1540.826</v>
      </c>
      <c r="AG531" s="410">
        <v>6.3226343865408291E-2</v>
      </c>
      <c r="AH531" s="411">
        <v>1.7640606561345915</v>
      </c>
      <c r="AI531" s="412">
        <v>2.153881882801258</v>
      </c>
      <c r="AJ531" s="411">
        <v>1.7228436561345912</v>
      </c>
      <c r="AK531" s="411">
        <v>2.2780114112366321</v>
      </c>
      <c r="AL531" s="18"/>
      <c r="AM531" s="49"/>
      <c r="AN531" s="2"/>
      <c r="AO531" s="2"/>
    </row>
    <row r="532" spans="1:41" hidden="1">
      <c r="A532" s="14">
        <v>261</v>
      </c>
      <c r="B532" s="11" t="s">
        <v>273</v>
      </c>
      <c r="C532" s="14">
        <v>0</v>
      </c>
      <c r="D532" s="11" t="s">
        <v>18231</v>
      </c>
      <c r="E532" s="11" t="s">
        <v>273</v>
      </c>
      <c r="F532" s="12">
        <v>44120</v>
      </c>
      <c r="G532" s="11">
        <v>2020</v>
      </c>
      <c r="H532" s="11" t="s">
        <v>17017</v>
      </c>
      <c r="I532" s="11" t="s">
        <v>17018</v>
      </c>
      <c r="J532" s="11" t="s">
        <v>3</v>
      </c>
      <c r="K532" s="404">
        <v>33000</v>
      </c>
      <c r="L532" s="11">
        <v>1</v>
      </c>
      <c r="M532" s="404">
        <v>33000</v>
      </c>
      <c r="N532" s="11" t="s">
        <v>20155</v>
      </c>
      <c r="O532" s="11" t="s">
        <v>18064</v>
      </c>
      <c r="P532" s="872">
        <v>44139</v>
      </c>
      <c r="Q532" s="423">
        <v>0</v>
      </c>
      <c r="R532" s="423">
        <v>20000</v>
      </c>
      <c r="S532" s="423">
        <v>0</v>
      </c>
      <c r="T532" s="423">
        <v>0</v>
      </c>
      <c r="U532" s="423">
        <v>20000</v>
      </c>
      <c r="V532" s="11" t="s">
        <v>20155</v>
      </c>
      <c r="W532" s="407">
        <v>0</v>
      </c>
      <c r="X532" s="407">
        <v>33000</v>
      </c>
      <c r="Y532" s="407">
        <v>0</v>
      </c>
      <c r="Z532" s="407">
        <v>0</v>
      </c>
      <c r="AA532" s="431"/>
      <c r="AB532" s="408">
        <v>1.65</v>
      </c>
      <c r="AC532" s="408"/>
      <c r="AD532" s="408"/>
      <c r="AE532" s="409"/>
      <c r="AF532" s="410">
        <v>0</v>
      </c>
      <c r="AG532" s="410">
        <v>0</v>
      </c>
      <c r="AH532" s="411">
        <v>0</v>
      </c>
      <c r="AI532" s="412">
        <v>1.65</v>
      </c>
      <c r="AJ532" s="411">
        <v>0</v>
      </c>
      <c r="AK532" s="411">
        <v>0</v>
      </c>
      <c r="AL532" s="18"/>
      <c r="AM532" s="49"/>
      <c r="AN532" s="2"/>
      <c r="AO532" s="2"/>
    </row>
    <row r="533" spans="1:41" hidden="1">
      <c r="A533" s="14">
        <v>262</v>
      </c>
      <c r="B533" s="11" t="s">
        <v>274</v>
      </c>
      <c r="C533" s="14">
        <v>0</v>
      </c>
      <c r="D533" s="11" t="s">
        <v>18233</v>
      </c>
      <c r="E533" s="11" t="s">
        <v>274</v>
      </c>
      <c r="F533" s="12">
        <v>44120</v>
      </c>
      <c r="G533" s="11">
        <v>2020</v>
      </c>
      <c r="H533" s="11" t="s">
        <v>17017</v>
      </c>
      <c r="I533" s="11" t="s">
        <v>17018</v>
      </c>
      <c r="J533" s="11" t="s">
        <v>3</v>
      </c>
      <c r="K533" s="404">
        <v>33759</v>
      </c>
      <c r="L533" s="11">
        <v>1</v>
      </c>
      <c r="M533" s="404">
        <v>33759</v>
      </c>
      <c r="N533" s="11" t="s">
        <v>20155</v>
      </c>
      <c r="O533" s="11" t="s">
        <v>17238</v>
      </c>
      <c r="P533" s="872">
        <v>44127</v>
      </c>
      <c r="Q533" s="423">
        <v>0</v>
      </c>
      <c r="R533" s="423">
        <v>19976</v>
      </c>
      <c r="S533" s="423">
        <v>0</v>
      </c>
      <c r="T533" s="423">
        <v>0</v>
      </c>
      <c r="U533" s="423">
        <v>19976</v>
      </c>
      <c r="V533" s="11" t="s">
        <v>20155</v>
      </c>
      <c r="W533" s="407">
        <v>0</v>
      </c>
      <c r="X533" s="407">
        <v>33759.440000000002</v>
      </c>
      <c r="Y533" s="407">
        <v>0</v>
      </c>
      <c r="Z533" s="407">
        <v>0</v>
      </c>
      <c r="AA533" s="431"/>
      <c r="AB533" s="408">
        <v>1.6900000000000002</v>
      </c>
      <c r="AC533" s="408"/>
      <c r="AD533" s="408"/>
      <c r="AE533" s="409"/>
      <c r="AF533" s="410">
        <v>0</v>
      </c>
      <c r="AG533" s="410">
        <v>0</v>
      </c>
      <c r="AH533" s="411">
        <v>0</v>
      </c>
      <c r="AI533" s="412">
        <v>1.6900000000000002</v>
      </c>
      <c r="AJ533" s="411">
        <v>0</v>
      </c>
      <c r="AK533" s="411">
        <v>0</v>
      </c>
      <c r="AL533" s="18"/>
      <c r="AM533" s="49"/>
      <c r="AN533" s="2"/>
      <c r="AO533" s="2"/>
    </row>
    <row r="534" spans="1:41" hidden="1">
      <c r="A534" s="14">
        <v>263</v>
      </c>
      <c r="B534" s="11" t="s">
        <v>275</v>
      </c>
      <c r="C534" s="14">
        <v>0</v>
      </c>
      <c r="D534" s="11" t="s">
        <v>18235</v>
      </c>
      <c r="E534" s="11" t="s">
        <v>275</v>
      </c>
      <c r="F534" s="12">
        <v>44125</v>
      </c>
      <c r="G534" s="11">
        <v>2020</v>
      </c>
      <c r="H534" s="11" t="s">
        <v>16838</v>
      </c>
      <c r="I534" s="11" t="s">
        <v>16839</v>
      </c>
      <c r="J534" s="11" t="s">
        <v>3</v>
      </c>
      <c r="K534" s="404">
        <v>362700</v>
      </c>
      <c r="L534" s="11">
        <v>1</v>
      </c>
      <c r="M534" s="405">
        <v>362700</v>
      </c>
      <c r="N534" s="11" t="s">
        <v>20155</v>
      </c>
      <c r="O534" s="11" t="s">
        <v>17798</v>
      </c>
      <c r="P534" s="872">
        <v>44130</v>
      </c>
      <c r="Q534" s="423">
        <v>0</v>
      </c>
      <c r="R534" s="423">
        <v>0</v>
      </c>
      <c r="S534" s="423">
        <v>260000</v>
      </c>
      <c r="T534" s="423">
        <v>0</v>
      </c>
      <c r="U534" s="423">
        <v>260000</v>
      </c>
      <c r="V534" s="11" t="s">
        <v>20155</v>
      </c>
      <c r="W534" s="407">
        <v>0</v>
      </c>
      <c r="X534" s="407">
        <v>0</v>
      </c>
      <c r="Y534" s="407">
        <v>362700</v>
      </c>
      <c r="Z534" s="407">
        <v>0</v>
      </c>
      <c r="AA534" s="408"/>
      <c r="AB534" s="408"/>
      <c r="AC534" s="408">
        <v>1.395</v>
      </c>
      <c r="AD534" s="408"/>
      <c r="AE534" s="409"/>
      <c r="AF534" s="410">
        <v>0</v>
      </c>
      <c r="AG534" s="410">
        <v>0</v>
      </c>
      <c r="AH534" s="411">
        <v>0</v>
      </c>
      <c r="AI534" s="412">
        <v>0</v>
      </c>
      <c r="AJ534" s="411">
        <v>1.395</v>
      </c>
      <c r="AK534" s="411">
        <v>0</v>
      </c>
      <c r="AL534" s="18"/>
      <c r="AM534" s="49"/>
      <c r="AN534" s="2"/>
      <c r="AO534" s="2"/>
    </row>
    <row r="535" spans="1:41" hidden="1">
      <c r="A535" s="14">
        <v>264</v>
      </c>
      <c r="B535" s="11" t="s">
        <v>276</v>
      </c>
      <c r="C535" s="14">
        <v>0</v>
      </c>
      <c r="D535" s="11" t="s">
        <v>18236</v>
      </c>
      <c r="E535" s="11" t="s">
        <v>276</v>
      </c>
      <c r="F535" s="12">
        <v>44125</v>
      </c>
      <c r="G535" s="11">
        <v>2020</v>
      </c>
      <c r="H535" s="11" t="s">
        <v>16838</v>
      </c>
      <c r="I535" s="11" t="s">
        <v>16839</v>
      </c>
      <c r="J535" s="11" t="s">
        <v>3</v>
      </c>
      <c r="K535" s="404">
        <v>116220</v>
      </c>
      <c r="L535" s="11">
        <v>1</v>
      </c>
      <c r="M535" s="405">
        <v>116220</v>
      </c>
      <c r="N535" s="11" t="s">
        <v>20155</v>
      </c>
      <c r="O535" s="11" t="s">
        <v>17949</v>
      </c>
      <c r="P535" s="872">
        <v>44135</v>
      </c>
      <c r="Q535" s="423">
        <v>21600</v>
      </c>
      <c r="R535" s="423">
        <v>42000</v>
      </c>
      <c r="S535" s="423">
        <v>12000</v>
      </c>
      <c r="T535" s="423">
        <v>0</v>
      </c>
      <c r="U535" s="423">
        <v>75600</v>
      </c>
      <c r="V535" s="11" t="s">
        <v>20155</v>
      </c>
      <c r="W535" s="407">
        <v>34992</v>
      </c>
      <c r="X535" s="407">
        <v>64428</v>
      </c>
      <c r="Y535" s="407">
        <v>16800</v>
      </c>
      <c r="Z535" s="407">
        <v>0</v>
      </c>
      <c r="AA535" s="408">
        <v>1.62</v>
      </c>
      <c r="AB535" s="408">
        <v>1.534</v>
      </c>
      <c r="AC535" s="408">
        <v>1.4</v>
      </c>
      <c r="AD535" s="408"/>
      <c r="AE535" s="409"/>
      <c r="AF535" s="410">
        <v>0</v>
      </c>
      <c r="AG535" s="410">
        <v>0</v>
      </c>
      <c r="AH535" s="411">
        <v>1.62</v>
      </c>
      <c r="AI535" s="412">
        <v>1.534</v>
      </c>
      <c r="AJ535" s="411">
        <v>1.4</v>
      </c>
      <c r="AK535" s="411">
        <v>0</v>
      </c>
      <c r="AL535" s="18"/>
      <c r="AM535" s="49"/>
      <c r="AN535" s="2"/>
      <c r="AO535" s="2"/>
    </row>
    <row r="536" spans="1:41" hidden="1">
      <c r="A536" s="14">
        <v>265</v>
      </c>
      <c r="B536" s="11" t="s">
        <v>277</v>
      </c>
      <c r="C536" s="14">
        <v>0</v>
      </c>
      <c r="D536" s="11" t="s">
        <v>18237</v>
      </c>
      <c r="E536" s="11" t="s">
        <v>277</v>
      </c>
      <c r="F536" s="12">
        <v>44125</v>
      </c>
      <c r="G536" s="11">
        <v>2020</v>
      </c>
      <c r="H536" s="11" t="s">
        <v>16838</v>
      </c>
      <c r="I536" s="11" t="s">
        <v>16839</v>
      </c>
      <c r="J536" s="11" t="s">
        <v>3</v>
      </c>
      <c r="K536" s="404">
        <v>221835.68</v>
      </c>
      <c r="L536" s="11">
        <v>1</v>
      </c>
      <c r="M536" s="405">
        <v>221835.68</v>
      </c>
      <c r="N536" s="11" t="s">
        <v>20155</v>
      </c>
      <c r="O536" s="11" t="s">
        <v>17949</v>
      </c>
      <c r="P536" s="872">
        <v>44133</v>
      </c>
      <c r="Q536" s="423">
        <v>96908</v>
      </c>
      <c r="R536" s="423">
        <v>36012</v>
      </c>
      <c r="S536" s="423">
        <v>6000</v>
      </c>
      <c r="T536" s="423">
        <v>0</v>
      </c>
      <c r="U536" s="423">
        <v>138920</v>
      </c>
      <c r="V536" s="11" t="s">
        <v>20155</v>
      </c>
      <c r="W536" s="407">
        <v>156036.79999999999</v>
      </c>
      <c r="X536" s="407">
        <v>56258.879999999997</v>
      </c>
      <c r="Y536" s="407">
        <v>9540</v>
      </c>
      <c r="Z536" s="407">
        <v>0</v>
      </c>
      <c r="AA536" s="408">
        <v>1.6101539604573409</v>
      </c>
      <c r="AB536" s="408">
        <v>1.5622259246917694</v>
      </c>
      <c r="AC536" s="408">
        <v>1.59</v>
      </c>
      <c r="AD536" s="408"/>
      <c r="AE536" s="409"/>
      <c r="AF536" s="410">
        <v>0</v>
      </c>
      <c r="AG536" s="410">
        <v>0</v>
      </c>
      <c r="AH536" s="411">
        <v>1.6101539604573409</v>
      </c>
      <c r="AI536" s="412">
        <v>1.5622259246917694</v>
      </c>
      <c r="AJ536" s="411">
        <v>1.59</v>
      </c>
      <c r="AK536" s="411">
        <v>0</v>
      </c>
      <c r="AL536" s="18"/>
      <c r="AM536" s="49"/>
      <c r="AN536" s="2"/>
      <c r="AO536" s="2"/>
    </row>
    <row r="537" spans="1:41" hidden="1">
      <c r="A537" s="14">
        <v>266</v>
      </c>
      <c r="B537" s="11" t="s">
        <v>278</v>
      </c>
      <c r="C537" s="14">
        <v>0</v>
      </c>
      <c r="D537" s="11" t="s">
        <v>18238</v>
      </c>
      <c r="E537" s="11" t="s">
        <v>278</v>
      </c>
      <c r="F537" s="12">
        <v>44125</v>
      </c>
      <c r="G537" s="11">
        <v>2020</v>
      </c>
      <c r="H537" s="11" t="s">
        <v>16838</v>
      </c>
      <c r="I537" s="11" t="s">
        <v>16839</v>
      </c>
      <c r="J537" s="11" t="s">
        <v>3</v>
      </c>
      <c r="K537" s="404">
        <v>245609.28</v>
      </c>
      <c r="L537" s="11">
        <v>1</v>
      </c>
      <c r="M537" s="405">
        <v>245609.28</v>
      </c>
      <c r="N537" s="11" t="s">
        <v>20155</v>
      </c>
      <c r="O537" s="11" t="s">
        <v>17798</v>
      </c>
      <c r="P537" s="872">
        <v>44137</v>
      </c>
      <c r="Q537" s="423">
        <v>0</v>
      </c>
      <c r="R537" s="423">
        <v>176064</v>
      </c>
      <c r="S537" s="423">
        <v>0</v>
      </c>
      <c r="T537" s="423">
        <v>0</v>
      </c>
      <c r="U537" s="423">
        <v>176064</v>
      </c>
      <c r="V537" s="11" t="s">
        <v>20155</v>
      </c>
      <c r="W537" s="407">
        <v>0</v>
      </c>
      <c r="X537" s="407">
        <v>245609.28</v>
      </c>
      <c r="Y537" s="407">
        <v>0</v>
      </c>
      <c r="Z537" s="407">
        <v>0</v>
      </c>
      <c r="AA537" s="408"/>
      <c r="AB537" s="408">
        <v>1.395</v>
      </c>
      <c r="AC537" s="408"/>
      <c r="AD537" s="408"/>
      <c r="AE537" s="409"/>
      <c r="AF537" s="410">
        <v>0</v>
      </c>
      <c r="AG537" s="410">
        <v>0</v>
      </c>
      <c r="AH537" s="411">
        <v>0</v>
      </c>
      <c r="AI537" s="412">
        <v>1.395</v>
      </c>
      <c r="AJ537" s="411">
        <v>0</v>
      </c>
      <c r="AK537" s="411">
        <v>0</v>
      </c>
      <c r="AL537" s="18"/>
      <c r="AM537" s="49"/>
      <c r="AN537" s="2"/>
      <c r="AO537" s="2"/>
    </row>
    <row r="538" spans="1:41" hidden="1">
      <c r="A538" s="14">
        <v>267</v>
      </c>
      <c r="B538" s="11" t="s">
        <v>279</v>
      </c>
      <c r="C538" s="14">
        <v>0</v>
      </c>
      <c r="D538" s="11" t="s">
        <v>18239</v>
      </c>
      <c r="E538" s="11" t="s">
        <v>279</v>
      </c>
      <c r="F538" s="12">
        <v>44126</v>
      </c>
      <c r="G538" s="11">
        <v>2020</v>
      </c>
      <c r="H538" s="11" t="s">
        <v>16384</v>
      </c>
      <c r="I538" s="11" t="s">
        <v>16385</v>
      </c>
      <c r="J538" s="11" t="s">
        <v>3</v>
      </c>
      <c r="K538" s="404">
        <v>314808</v>
      </c>
      <c r="L538" s="11">
        <v>1</v>
      </c>
      <c r="M538" s="405">
        <v>314808</v>
      </c>
      <c r="N538" s="11" t="s">
        <v>20155</v>
      </c>
      <c r="O538" s="11" t="s">
        <v>17801</v>
      </c>
      <c r="P538" s="872">
        <v>44135</v>
      </c>
      <c r="Q538" s="423">
        <v>0</v>
      </c>
      <c r="R538" s="423">
        <v>204300</v>
      </c>
      <c r="S538" s="423">
        <v>28000</v>
      </c>
      <c r="T538" s="423">
        <v>0</v>
      </c>
      <c r="U538" s="423">
        <v>232300</v>
      </c>
      <c r="V538" s="11" t="s">
        <v>20155</v>
      </c>
      <c r="W538" s="407">
        <v>0</v>
      </c>
      <c r="X538" s="407">
        <v>277848</v>
      </c>
      <c r="Y538" s="407">
        <v>36960</v>
      </c>
      <c r="Z538" s="407">
        <v>0</v>
      </c>
      <c r="AA538" s="408"/>
      <c r="AB538" s="408">
        <v>1.36</v>
      </c>
      <c r="AC538" s="408">
        <v>1.32</v>
      </c>
      <c r="AD538" s="408"/>
      <c r="AE538" s="409"/>
      <c r="AF538" s="410">
        <v>0</v>
      </c>
      <c r="AG538" s="410">
        <v>0</v>
      </c>
      <c r="AH538" s="411">
        <v>0</v>
      </c>
      <c r="AI538" s="412">
        <v>1.36</v>
      </c>
      <c r="AJ538" s="411">
        <v>1.32</v>
      </c>
      <c r="AK538" s="411">
        <v>0</v>
      </c>
      <c r="AL538" s="18"/>
      <c r="AM538" s="49"/>
      <c r="AN538" s="2"/>
      <c r="AO538" s="2"/>
    </row>
    <row r="539" spans="1:41" hidden="1">
      <c r="A539" s="14">
        <v>268</v>
      </c>
      <c r="B539" s="11" t="s">
        <v>280</v>
      </c>
      <c r="C539" s="14">
        <v>0</v>
      </c>
      <c r="D539" s="11" t="s">
        <v>18240</v>
      </c>
      <c r="E539" s="11" t="s">
        <v>280</v>
      </c>
      <c r="F539" s="12">
        <v>44126</v>
      </c>
      <c r="G539" s="11">
        <v>2020</v>
      </c>
      <c r="H539" s="11" t="s">
        <v>16904</v>
      </c>
      <c r="I539" s="11" t="s">
        <v>16905</v>
      </c>
      <c r="J539" s="11" t="s">
        <v>16482</v>
      </c>
      <c r="K539" s="404">
        <v>53146.214</v>
      </c>
      <c r="L539" s="11">
        <v>3.2507000000000001</v>
      </c>
      <c r="M539" s="405">
        <v>16349.159873258066</v>
      </c>
      <c r="N539" s="11" t="s">
        <v>20155</v>
      </c>
      <c r="O539" s="11" t="s">
        <v>20160</v>
      </c>
      <c r="P539" s="872">
        <v>44145</v>
      </c>
      <c r="Q539" s="423">
        <v>0</v>
      </c>
      <c r="R539" s="423">
        <v>19644</v>
      </c>
      <c r="S539" s="423">
        <v>7668</v>
      </c>
      <c r="T539" s="423">
        <v>0</v>
      </c>
      <c r="U539" s="423">
        <v>27312</v>
      </c>
      <c r="V539" s="11" t="s">
        <v>20155</v>
      </c>
      <c r="W539" s="407">
        <v>0</v>
      </c>
      <c r="X539" s="407">
        <v>31289.807892000004</v>
      </c>
      <c r="Y539" s="407">
        <v>12104.30652</v>
      </c>
      <c r="Z539" s="407">
        <v>0</v>
      </c>
      <c r="AA539" s="408"/>
      <c r="AB539" s="408">
        <v>1.5928430000000002</v>
      </c>
      <c r="AC539" s="408">
        <v>1.5785480594679187</v>
      </c>
      <c r="AD539" s="408"/>
      <c r="AE539" s="409"/>
      <c r="AF539" s="410">
        <v>10923.7</v>
      </c>
      <c r="AG539" s="410">
        <v>0.39995972466315177</v>
      </c>
      <c r="AH539" s="411"/>
      <c r="AI539" s="412">
        <v>1.1928832753368486</v>
      </c>
      <c r="AJ539" s="411">
        <v>1.178588334804767</v>
      </c>
      <c r="AK539" s="411"/>
      <c r="AL539" s="18"/>
      <c r="AM539" s="49"/>
      <c r="AN539" s="2"/>
      <c r="AO539" s="2"/>
    </row>
    <row r="540" spans="1:41" hidden="1">
      <c r="A540" s="14">
        <v>269</v>
      </c>
      <c r="B540" s="11" t="s">
        <v>281</v>
      </c>
      <c r="C540" s="14">
        <v>0</v>
      </c>
      <c r="D540" s="11" t="s">
        <v>18242</v>
      </c>
      <c r="E540" s="11" t="s">
        <v>281</v>
      </c>
      <c r="F540" s="12">
        <v>44126</v>
      </c>
      <c r="G540" s="11">
        <v>2020</v>
      </c>
      <c r="H540" s="11" t="s">
        <v>17119</v>
      </c>
      <c r="I540" s="11" t="s">
        <v>17120</v>
      </c>
      <c r="J540" s="11" t="s">
        <v>16401</v>
      </c>
      <c r="K540" s="404">
        <v>145751.09</v>
      </c>
      <c r="L540" s="11">
        <v>2.7481</v>
      </c>
      <c r="M540" s="405">
        <v>53037.040136821801</v>
      </c>
      <c r="N540" s="11" t="s">
        <v>20155</v>
      </c>
      <c r="O540" s="11" t="s">
        <v>17965</v>
      </c>
      <c r="P540" s="872">
        <v>44149</v>
      </c>
      <c r="Q540" s="423">
        <v>38400</v>
      </c>
      <c r="R540" s="423">
        <v>44016</v>
      </c>
      <c r="S540" s="423">
        <v>0</v>
      </c>
      <c r="T540" s="423">
        <v>0</v>
      </c>
      <c r="U540" s="423">
        <v>82416</v>
      </c>
      <c r="V540" s="11" t="s">
        <v>20155</v>
      </c>
      <c r="W540" s="407">
        <v>63316.224000000002</v>
      </c>
      <c r="X540" s="407">
        <v>63198.165623999994</v>
      </c>
      <c r="Y540" s="407">
        <v>0</v>
      </c>
      <c r="Z540" s="407">
        <v>0</v>
      </c>
      <c r="AA540" s="408">
        <v>1.64886</v>
      </c>
      <c r="AB540" s="408">
        <v>1.4357998369683751</v>
      </c>
      <c r="AC540" s="408"/>
      <c r="AD540" s="408"/>
      <c r="AE540" s="409"/>
      <c r="AF540" s="410">
        <v>24208.18</v>
      </c>
      <c r="AG540" s="410">
        <v>0.29373155697922732</v>
      </c>
      <c r="AH540" s="411">
        <v>1.3551284430207726</v>
      </c>
      <c r="AI540" s="412">
        <v>1.1420682799891477</v>
      </c>
      <c r="AJ540" s="411"/>
      <c r="AK540" s="411"/>
      <c r="AL540" s="18"/>
      <c r="AM540" s="49"/>
      <c r="AN540" s="2"/>
      <c r="AO540" s="2"/>
    </row>
    <row r="541" spans="1:41" hidden="1">
      <c r="A541" s="14">
        <v>270</v>
      </c>
      <c r="B541" s="11" t="s">
        <v>282</v>
      </c>
      <c r="C541" s="14">
        <v>0</v>
      </c>
      <c r="D541" s="11" t="s">
        <v>18244</v>
      </c>
      <c r="E541" s="11" t="s">
        <v>282</v>
      </c>
      <c r="F541" s="12">
        <v>44126</v>
      </c>
      <c r="G541" s="11">
        <v>2020</v>
      </c>
      <c r="H541" s="11" t="s">
        <v>16957</v>
      </c>
      <c r="I541" s="11" t="s">
        <v>16958</v>
      </c>
      <c r="J541" s="11" t="s">
        <v>16401</v>
      </c>
      <c r="K541" s="404">
        <v>112044.96</v>
      </c>
      <c r="L541" s="11">
        <v>2.7462</v>
      </c>
      <c r="M541" s="405">
        <v>40800</v>
      </c>
      <c r="N541" s="11" t="s">
        <v>20155</v>
      </c>
      <c r="O541" s="11" t="s">
        <v>20161</v>
      </c>
      <c r="P541" s="872">
        <v>44145</v>
      </c>
      <c r="Q541" s="423">
        <v>60000</v>
      </c>
      <c r="R541" s="423">
        <v>0</v>
      </c>
      <c r="S541" s="423">
        <v>0</v>
      </c>
      <c r="T541" s="423">
        <v>0</v>
      </c>
      <c r="U541" s="423">
        <v>60000</v>
      </c>
      <c r="V541" s="11" t="s">
        <v>20155</v>
      </c>
      <c r="W541" s="407">
        <v>112044.96</v>
      </c>
      <c r="X541" s="407">
        <v>0</v>
      </c>
      <c r="Y541" s="407">
        <v>0</v>
      </c>
      <c r="Z541" s="407">
        <v>0</v>
      </c>
      <c r="AA541" s="408">
        <v>1.8674160000000002</v>
      </c>
      <c r="AB541" s="408"/>
      <c r="AC541" s="408"/>
      <c r="AD541" s="408"/>
      <c r="AE541" s="409"/>
      <c r="AF541" s="410">
        <v>11967.438</v>
      </c>
      <c r="AG541" s="410">
        <v>0.1994573</v>
      </c>
      <c r="AH541" s="411">
        <v>1.6679587000000002</v>
      </c>
      <c r="AI541" s="412"/>
      <c r="AJ541" s="411"/>
      <c r="AK541" s="411"/>
      <c r="AL541" s="18"/>
      <c r="AM541" s="49"/>
      <c r="AN541" s="2"/>
      <c r="AO541" s="2"/>
    </row>
    <row r="542" spans="1:41" hidden="1">
      <c r="A542" s="14">
        <v>271</v>
      </c>
      <c r="B542" s="11" t="s">
        <v>283</v>
      </c>
      <c r="C542" s="14">
        <v>0</v>
      </c>
      <c r="D542" s="11" t="s">
        <v>18246</v>
      </c>
      <c r="E542" s="11" t="s">
        <v>283</v>
      </c>
      <c r="F542" s="12">
        <v>44130</v>
      </c>
      <c r="G542" s="11">
        <v>2020</v>
      </c>
      <c r="H542" s="11" t="s">
        <v>16444</v>
      </c>
      <c r="I542" s="11" t="s">
        <v>16445</v>
      </c>
      <c r="J542" s="11" t="s">
        <v>3</v>
      </c>
      <c r="K542" s="404">
        <v>235575</v>
      </c>
      <c r="L542" s="11">
        <v>1</v>
      </c>
      <c r="M542" s="405">
        <v>235575</v>
      </c>
      <c r="N542" s="11" t="s">
        <v>20155</v>
      </c>
      <c r="O542" s="11" t="s">
        <v>17801</v>
      </c>
      <c r="P542" s="872">
        <v>44132</v>
      </c>
      <c r="Q542" s="423">
        <v>0</v>
      </c>
      <c r="R542" s="423">
        <v>188460</v>
      </c>
      <c r="S542" s="423">
        <v>0</v>
      </c>
      <c r="T542" s="423">
        <v>0</v>
      </c>
      <c r="U542" s="423">
        <v>188460</v>
      </c>
      <c r="V542" s="11" t="s">
        <v>20155</v>
      </c>
      <c r="W542" s="407">
        <v>0</v>
      </c>
      <c r="X542" s="407">
        <v>235575</v>
      </c>
      <c r="Y542" s="407">
        <v>0</v>
      </c>
      <c r="Z542" s="407">
        <v>0</v>
      </c>
      <c r="AA542" s="408"/>
      <c r="AB542" s="408">
        <v>1.25</v>
      </c>
      <c r="AC542" s="408"/>
      <c r="AD542" s="408"/>
      <c r="AE542" s="409"/>
      <c r="AF542" s="410">
        <v>0</v>
      </c>
      <c r="AG542" s="410">
        <v>0</v>
      </c>
      <c r="AH542" s="411">
        <v>0</v>
      </c>
      <c r="AI542" s="412">
        <v>1.25</v>
      </c>
      <c r="AJ542" s="411">
        <v>0</v>
      </c>
      <c r="AK542" s="411">
        <v>0</v>
      </c>
      <c r="AL542" s="18"/>
      <c r="AM542" s="49"/>
      <c r="AN542" s="2"/>
      <c r="AO542" s="2"/>
    </row>
    <row r="543" spans="1:41" hidden="1">
      <c r="A543" s="14">
        <v>272</v>
      </c>
      <c r="B543" s="11" t="s">
        <v>284</v>
      </c>
      <c r="C543" s="14">
        <v>0</v>
      </c>
      <c r="D543" s="11" t="s">
        <v>18247</v>
      </c>
      <c r="E543" s="11" t="s">
        <v>284</v>
      </c>
      <c r="F543" s="12">
        <v>44137</v>
      </c>
      <c r="G543" s="11">
        <v>2020</v>
      </c>
      <c r="H543" s="11" t="s">
        <v>16384</v>
      </c>
      <c r="I543" s="11" t="s">
        <v>16385</v>
      </c>
      <c r="J543" s="11" t="s">
        <v>3</v>
      </c>
      <c r="K543" s="404">
        <v>93888</v>
      </c>
      <c r="L543" s="11">
        <v>1</v>
      </c>
      <c r="M543" s="405">
        <v>93888</v>
      </c>
      <c r="N543" s="11" t="s">
        <v>20155</v>
      </c>
      <c r="O543" s="11" t="s">
        <v>17965</v>
      </c>
      <c r="P543" s="872">
        <v>44148</v>
      </c>
      <c r="Q543" s="423">
        <v>57600</v>
      </c>
      <c r="R543" s="423">
        <v>0</v>
      </c>
      <c r="S543" s="423">
        <v>0</v>
      </c>
      <c r="T543" s="423">
        <v>0</v>
      </c>
      <c r="U543" s="423">
        <v>57600</v>
      </c>
      <c r="V543" s="11" t="s">
        <v>20155</v>
      </c>
      <c r="W543" s="407">
        <v>93888</v>
      </c>
      <c r="X543" s="407">
        <v>0</v>
      </c>
      <c r="Y543" s="407">
        <v>0</v>
      </c>
      <c r="Z543" s="407">
        <v>0</v>
      </c>
      <c r="AA543" s="408">
        <v>1.63</v>
      </c>
      <c r="AB543" s="408"/>
      <c r="AC543" s="408"/>
      <c r="AD543" s="408"/>
      <c r="AE543" s="409"/>
      <c r="AF543" s="410">
        <v>0</v>
      </c>
      <c r="AG543" s="410">
        <v>0</v>
      </c>
      <c r="AH543" s="411">
        <v>1.63</v>
      </c>
      <c r="AI543" s="412">
        <v>0</v>
      </c>
      <c r="AJ543" s="411">
        <v>0</v>
      </c>
      <c r="AK543" s="411">
        <v>0</v>
      </c>
      <c r="AL543" s="18"/>
      <c r="AM543" s="49"/>
      <c r="AN543" s="2"/>
      <c r="AO543" s="2"/>
    </row>
    <row r="544" spans="1:41" hidden="1">
      <c r="A544" s="14">
        <v>273</v>
      </c>
      <c r="B544" s="11" t="s">
        <v>285</v>
      </c>
      <c r="C544" s="14">
        <v>0</v>
      </c>
      <c r="D544" s="11" t="s">
        <v>18249</v>
      </c>
      <c r="E544" s="11" t="s">
        <v>285</v>
      </c>
      <c r="F544" s="12">
        <v>44137</v>
      </c>
      <c r="G544" s="11">
        <v>2020</v>
      </c>
      <c r="H544" s="11" t="s">
        <v>16384</v>
      </c>
      <c r="I544" s="11" t="s">
        <v>16385</v>
      </c>
      <c r="J544" s="11" t="s">
        <v>3</v>
      </c>
      <c r="K544" s="404">
        <v>32000</v>
      </c>
      <c r="L544" s="11">
        <v>1</v>
      </c>
      <c r="M544" s="405">
        <v>32000</v>
      </c>
      <c r="N544" s="11" t="s">
        <v>20155</v>
      </c>
      <c r="O544" s="11" t="s">
        <v>17771</v>
      </c>
      <c r="P544" s="872">
        <v>44172</v>
      </c>
      <c r="Q544" s="423">
        <v>20000</v>
      </c>
      <c r="R544" s="423">
        <v>0</v>
      </c>
      <c r="S544" s="423">
        <v>0</v>
      </c>
      <c r="T544" s="423">
        <v>0</v>
      </c>
      <c r="U544" s="423">
        <v>20000</v>
      </c>
      <c r="V544" s="11" t="s">
        <v>20155</v>
      </c>
      <c r="W544" s="407">
        <v>32000</v>
      </c>
      <c r="X544" s="407">
        <v>0</v>
      </c>
      <c r="Y544" s="407">
        <v>0</v>
      </c>
      <c r="Z544" s="407">
        <v>0</v>
      </c>
      <c r="AA544" s="408">
        <v>1.6</v>
      </c>
      <c r="AB544" s="408"/>
      <c r="AC544" s="408"/>
      <c r="AD544" s="408"/>
      <c r="AE544" s="409"/>
      <c r="AF544" s="410">
        <v>0</v>
      </c>
      <c r="AG544" s="410">
        <v>0</v>
      </c>
      <c r="AH544" s="411">
        <v>1.6</v>
      </c>
      <c r="AI544" s="412">
        <v>0</v>
      </c>
      <c r="AJ544" s="411">
        <v>0</v>
      </c>
      <c r="AK544" s="411">
        <v>0</v>
      </c>
      <c r="AL544" s="18"/>
      <c r="AM544" s="49"/>
      <c r="AN544" s="2"/>
      <c r="AO544" s="2"/>
    </row>
    <row r="545" spans="1:41" hidden="1">
      <c r="A545" s="14">
        <v>274</v>
      </c>
      <c r="B545" s="11" t="s">
        <v>286</v>
      </c>
      <c r="C545" s="14">
        <v>0</v>
      </c>
      <c r="D545" s="11" t="s">
        <v>18250</v>
      </c>
      <c r="E545" s="11" t="s">
        <v>286</v>
      </c>
      <c r="F545" s="12">
        <v>44137</v>
      </c>
      <c r="G545" s="11">
        <v>2020</v>
      </c>
      <c r="H545" s="11" t="s">
        <v>16444</v>
      </c>
      <c r="I545" s="11" t="s">
        <v>16445</v>
      </c>
      <c r="J545" s="11" t="s">
        <v>3</v>
      </c>
      <c r="K545" s="404">
        <v>32064</v>
      </c>
      <c r="L545" s="11">
        <v>1</v>
      </c>
      <c r="M545" s="405">
        <v>32064</v>
      </c>
      <c r="N545" s="11" t="s">
        <v>20155</v>
      </c>
      <c r="O545" s="11" t="s">
        <v>18248</v>
      </c>
      <c r="P545" s="872">
        <v>44146</v>
      </c>
      <c r="Q545" s="423">
        <v>19200</v>
      </c>
      <c r="R545" s="423">
        <v>0</v>
      </c>
      <c r="S545" s="423">
        <v>0</v>
      </c>
      <c r="T545" s="423">
        <v>0</v>
      </c>
      <c r="U545" s="423">
        <v>19200</v>
      </c>
      <c r="V545" s="11" t="s">
        <v>20155</v>
      </c>
      <c r="W545" s="407">
        <v>32064</v>
      </c>
      <c r="X545" s="407">
        <v>0</v>
      </c>
      <c r="Y545" s="407">
        <v>0</v>
      </c>
      <c r="Z545" s="407">
        <v>0</v>
      </c>
      <c r="AA545" s="408">
        <v>1.67</v>
      </c>
      <c r="AB545" s="408"/>
      <c r="AC545" s="408"/>
      <c r="AD545" s="408"/>
      <c r="AE545" s="409"/>
      <c r="AF545" s="410">
        <v>0</v>
      </c>
      <c r="AG545" s="410">
        <v>0</v>
      </c>
      <c r="AH545" s="411">
        <v>1.67</v>
      </c>
      <c r="AI545" s="412">
        <v>0</v>
      </c>
      <c r="AJ545" s="411">
        <v>0</v>
      </c>
      <c r="AK545" s="411">
        <v>0</v>
      </c>
      <c r="AL545" s="18"/>
      <c r="AM545" s="49"/>
      <c r="AN545" s="2"/>
      <c r="AO545" s="2"/>
    </row>
    <row r="546" spans="1:41" hidden="1">
      <c r="A546" s="14">
        <v>275</v>
      </c>
      <c r="B546" s="11" t="s">
        <v>287</v>
      </c>
      <c r="C546" s="14">
        <v>0</v>
      </c>
      <c r="D546" s="11" t="s">
        <v>18252</v>
      </c>
      <c r="E546" s="11" t="s">
        <v>287</v>
      </c>
      <c r="F546" s="12">
        <v>44137</v>
      </c>
      <c r="G546" s="11">
        <v>2020</v>
      </c>
      <c r="H546" s="11" t="s">
        <v>17264</v>
      </c>
      <c r="I546" s="11" t="s">
        <v>17265</v>
      </c>
      <c r="J546" s="11" t="s">
        <v>16401</v>
      </c>
      <c r="K546" s="404">
        <v>124471.515</v>
      </c>
      <c r="L546" s="11">
        <v>2.7462</v>
      </c>
      <c r="M546" s="405">
        <v>45325</v>
      </c>
      <c r="N546" s="11" t="s">
        <v>20155</v>
      </c>
      <c r="O546" s="11" t="s">
        <v>20157</v>
      </c>
      <c r="P546" s="872">
        <v>44146</v>
      </c>
      <c r="Q546" s="423">
        <v>0</v>
      </c>
      <c r="R546" s="423">
        <v>0</v>
      </c>
      <c r="S546" s="423">
        <v>0</v>
      </c>
      <c r="T546" s="423">
        <v>35000</v>
      </c>
      <c r="U546" s="423">
        <v>35000</v>
      </c>
      <c r="V546" s="11" t="s">
        <v>20155</v>
      </c>
      <c r="W546" s="407">
        <v>0</v>
      </c>
      <c r="X546" s="407">
        <v>0</v>
      </c>
      <c r="Y546" s="407">
        <v>0</v>
      </c>
      <c r="Z546" s="407">
        <v>124471.515</v>
      </c>
      <c r="AA546" s="408"/>
      <c r="AB546" s="408"/>
      <c r="AC546" s="408"/>
      <c r="AD546" s="408">
        <v>3.5563289999999999</v>
      </c>
      <c r="AE546" s="409"/>
      <c r="AF546" s="410">
        <v>2559.83</v>
      </c>
      <c r="AG546" s="410">
        <v>7.3137999999999995E-2</v>
      </c>
      <c r="AH546" s="411"/>
      <c r="AI546" s="412"/>
      <c r="AJ546" s="411"/>
      <c r="AK546" s="411">
        <v>3.4831909999999997</v>
      </c>
      <c r="AL546" s="18"/>
      <c r="AM546" s="49"/>
      <c r="AN546" s="2"/>
      <c r="AO546" s="2"/>
    </row>
    <row r="547" spans="1:41" hidden="1">
      <c r="A547" s="14">
        <v>276</v>
      </c>
      <c r="B547" s="11" t="s">
        <v>288</v>
      </c>
      <c r="C547" s="14">
        <v>0</v>
      </c>
      <c r="D547" s="11" t="s">
        <v>18254</v>
      </c>
      <c r="E547" s="11" t="s">
        <v>288</v>
      </c>
      <c r="F547" s="12">
        <v>44137</v>
      </c>
      <c r="G547" s="11">
        <v>2020</v>
      </c>
      <c r="H547" s="11" t="s">
        <v>17274</v>
      </c>
      <c r="I547" s="11" t="s">
        <v>17275</v>
      </c>
      <c r="J547" s="11" t="s">
        <v>16482</v>
      </c>
      <c r="K547" s="404">
        <v>40885.197999999997</v>
      </c>
      <c r="L547" s="11">
        <v>3.2452999999999999</v>
      </c>
      <c r="M547" s="405">
        <v>12598.279974116414</v>
      </c>
      <c r="N547" s="11" t="s">
        <v>20155</v>
      </c>
      <c r="O547" s="11" t="s">
        <v>16394</v>
      </c>
      <c r="P547" s="872">
        <v>44144</v>
      </c>
      <c r="Q547" s="423">
        <v>0</v>
      </c>
      <c r="R547" s="423">
        <v>12960</v>
      </c>
      <c r="S547" s="423">
        <v>4500</v>
      </c>
      <c r="T547" s="423">
        <v>860</v>
      </c>
      <c r="U547" s="423">
        <v>18320</v>
      </c>
      <c r="V547" s="11" t="s">
        <v>20155</v>
      </c>
      <c r="W547" s="407">
        <v>0</v>
      </c>
      <c r="X547" s="407">
        <v>23048.380223999997</v>
      </c>
      <c r="Y547" s="407">
        <v>7769.2481999999991</v>
      </c>
      <c r="Z547" s="407">
        <v>3414.7046600000003</v>
      </c>
      <c r="AA547" s="408"/>
      <c r="AB547" s="408">
        <v>1.7784243999999998</v>
      </c>
      <c r="AC547" s="408">
        <v>1.7264995999999997</v>
      </c>
      <c r="AD547" s="408">
        <v>3.9705868139534886</v>
      </c>
      <c r="AE547" s="409"/>
      <c r="AF547" s="410">
        <v>7929.76</v>
      </c>
      <c r="AG547" s="410">
        <v>0.43284716157205244</v>
      </c>
      <c r="AH547" s="411"/>
      <c r="AI547" s="412">
        <v>1.3455772384279474</v>
      </c>
      <c r="AJ547" s="411">
        <v>1.2936524384279473</v>
      </c>
      <c r="AK547" s="411">
        <v>3.5377396523814362</v>
      </c>
      <c r="AL547" s="18"/>
      <c r="AM547" s="49"/>
      <c r="AN547" s="2"/>
      <c r="AO547" s="2"/>
    </row>
    <row r="548" spans="1:41" hidden="1">
      <c r="A548" s="14">
        <v>277</v>
      </c>
      <c r="B548" s="11" t="s">
        <v>289</v>
      </c>
      <c r="C548" s="14">
        <v>0</v>
      </c>
      <c r="D548" s="11" t="s">
        <v>18255</v>
      </c>
      <c r="E548" s="11" t="s">
        <v>289</v>
      </c>
      <c r="F548" s="12">
        <v>44137</v>
      </c>
      <c r="G548" s="11">
        <v>2020</v>
      </c>
      <c r="H548" s="11" t="s">
        <v>17272</v>
      </c>
      <c r="I548" s="11" t="s">
        <v>17273</v>
      </c>
      <c r="J548" s="11" t="s">
        <v>3</v>
      </c>
      <c r="K548" s="404">
        <v>21664.799999999999</v>
      </c>
      <c r="L548" s="11">
        <v>1</v>
      </c>
      <c r="M548" s="405">
        <v>21664.799999999999</v>
      </c>
      <c r="N548" s="11" t="s">
        <v>20155</v>
      </c>
      <c r="O548" s="11" t="s">
        <v>16394</v>
      </c>
      <c r="P548" s="872">
        <v>44147</v>
      </c>
      <c r="Q548" s="423">
        <v>3600</v>
      </c>
      <c r="R548" s="423">
        <v>6936</v>
      </c>
      <c r="S548" s="423">
        <v>1500</v>
      </c>
      <c r="T548" s="423">
        <v>0</v>
      </c>
      <c r="U548" s="423">
        <v>12036</v>
      </c>
      <c r="V548" s="11" t="s">
        <v>20155</v>
      </c>
      <c r="W548" s="407">
        <v>6480</v>
      </c>
      <c r="X548" s="407">
        <v>12484.8</v>
      </c>
      <c r="Y548" s="407">
        <v>2700</v>
      </c>
      <c r="Z548" s="407">
        <v>0</v>
      </c>
      <c r="AA548" s="408">
        <v>1.8</v>
      </c>
      <c r="AB548" s="408">
        <v>1.7999999999999998</v>
      </c>
      <c r="AC548" s="408">
        <v>1.8</v>
      </c>
      <c r="AD548" s="408"/>
      <c r="AE548" s="409"/>
      <c r="AF548" s="410">
        <v>0</v>
      </c>
      <c r="AG548" s="410">
        <v>0</v>
      </c>
      <c r="AH548" s="411">
        <v>1.8</v>
      </c>
      <c r="AI548" s="412">
        <v>1.7999999999999998</v>
      </c>
      <c r="AJ548" s="411">
        <v>1.8</v>
      </c>
      <c r="AK548" s="411">
        <v>0</v>
      </c>
      <c r="AL548" s="18"/>
      <c r="AM548" s="49"/>
      <c r="AN548" s="2"/>
      <c r="AO548" s="2"/>
    </row>
    <row r="549" spans="1:41" hidden="1">
      <c r="A549" s="14">
        <v>278</v>
      </c>
      <c r="B549" s="11" t="s">
        <v>290</v>
      </c>
      <c r="C549" s="14">
        <v>0</v>
      </c>
      <c r="D549" s="11" t="s">
        <v>18256</v>
      </c>
      <c r="E549" s="11" t="s">
        <v>290</v>
      </c>
      <c r="F549" s="12">
        <v>44137</v>
      </c>
      <c r="G549" s="11">
        <v>2020</v>
      </c>
      <c r="H549" s="11" t="s">
        <v>17209</v>
      </c>
      <c r="I549" s="11" t="s">
        <v>17210</v>
      </c>
      <c r="J549" s="11" t="s">
        <v>16401</v>
      </c>
      <c r="K549" s="404">
        <v>51578.966</v>
      </c>
      <c r="L549" s="11">
        <v>2.7603</v>
      </c>
      <c r="M549" s="405">
        <v>18686.000072455892</v>
      </c>
      <c r="N549" s="11" t="s">
        <v>20155</v>
      </c>
      <c r="O549" s="11" t="s">
        <v>20168</v>
      </c>
      <c r="P549" s="872">
        <v>44144</v>
      </c>
      <c r="Q549" s="423">
        <v>7500</v>
      </c>
      <c r="R549" s="423">
        <v>13440</v>
      </c>
      <c r="S549" s="423">
        <v>1920</v>
      </c>
      <c r="T549" s="423">
        <v>1500</v>
      </c>
      <c r="U549" s="423">
        <v>24360</v>
      </c>
      <c r="V549" s="11" t="s">
        <v>20155</v>
      </c>
      <c r="W549" s="407">
        <v>15013.380480295566</v>
      </c>
      <c r="X549" s="407">
        <v>26903.977820689652</v>
      </c>
      <c r="Y549" s="407">
        <v>3843.4254029556641</v>
      </c>
      <c r="Z549" s="407">
        <v>5818.1820960591131</v>
      </c>
      <c r="AA549" s="408">
        <v>2.0017840640394087</v>
      </c>
      <c r="AB549" s="408">
        <v>2.0017840640394087</v>
      </c>
      <c r="AC549" s="408">
        <v>2.0017840640394082</v>
      </c>
      <c r="AD549" s="408">
        <v>3.8787880640394086</v>
      </c>
      <c r="AE549" s="409"/>
      <c r="AF549" s="410">
        <v>5628.7020000000002</v>
      </c>
      <c r="AG549" s="410">
        <v>0.23106330049261084</v>
      </c>
      <c r="AH549" s="449">
        <v>1.7707207635467979</v>
      </c>
      <c r="AI549" s="450">
        <v>1.7707207635467979</v>
      </c>
      <c r="AJ549" s="449">
        <v>1.7707207635467974</v>
      </c>
      <c r="AK549" s="449">
        <v>3.6477247635467975</v>
      </c>
      <c r="AL549" s="18"/>
      <c r="AM549" s="49"/>
      <c r="AN549" s="2"/>
      <c r="AO549" s="2"/>
    </row>
    <row r="550" spans="1:41" hidden="1">
      <c r="A550" s="14">
        <v>279</v>
      </c>
      <c r="B550" s="11" t="s">
        <v>291</v>
      </c>
      <c r="C550" s="14">
        <v>0</v>
      </c>
      <c r="D550" s="11" t="s">
        <v>18257</v>
      </c>
      <c r="E550" s="11" t="s">
        <v>291</v>
      </c>
      <c r="F550" s="12">
        <v>44137</v>
      </c>
      <c r="G550" s="11">
        <v>2020</v>
      </c>
      <c r="H550" s="11" t="s">
        <v>17017</v>
      </c>
      <c r="I550" s="11" t="s">
        <v>17018</v>
      </c>
      <c r="J550" s="11" t="s">
        <v>3</v>
      </c>
      <c r="K550" s="404">
        <v>26265</v>
      </c>
      <c r="L550" s="11">
        <v>1</v>
      </c>
      <c r="M550" s="405">
        <v>26265</v>
      </c>
      <c r="N550" s="11" t="s">
        <v>20155</v>
      </c>
      <c r="O550" s="11" t="s">
        <v>17954</v>
      </c>
      <c r="P550" s="872">
        <v>44145</v>
      </c>
      <c r="Q550" s="423">
        <v>0</v>
      </c>
      <c r="R550" s="423">
        <v>15360</v>
      </c>
      <c r="S550" s="423">
        <v>0</v>
      </c>
      <c r="T550" s="423">
        <v>0</v>
      </c>
      <c r="U550" s="423">
        <v>15360</v>
      </c>
      <c r="V550" s="11" t="s">
        <v>20155</v>
      </c>
      <c r="W550" s="407">
        <v>0</v>
      </c>
      <c r="X550" s="407">
        <v>26265.599999999999</v>
      </c>
      <c r="Y550" s="407">
        <v>0</v>
      </c>
      <c r="Z550" s="407">
        <v>0</v>
      </c>
      <c r="AA550" s="431"/>
      <c r="AB550" s="408">
        <v>1.71</v>
      </c>
      <c r="AC550" s="408"/>
      <c r="AD550" s="408"/>
      <c r="AE550" s="409"/>
      <c r="AF550" s="410">
        <v>0</v>
      </c>
      <c r="AG550" s="410">
        <v>0</v>
      </c>
      <c r="AH550" s="411">
        <v>0</v>
      </c>
      <c r="AI550" s="412">
        <v>1.71</v>
      </c>
      <c r="AJ550" s="411">
        <v>0</v>
      </c>
      <c r="AK550" s="411">
        <v>0</v>
      </c>
      <c r="AL550" s="18"/>
      <c r="AM550" s="49"/>
      <c r="AN550" s="2"/>
      <c r="AO550" s="2"/>
    </row>
    <row r="551" spans="1:41" hidden="1">
      <c r="A551" s="14">
        <v>280</v>
      </c>
      <c r="B551" s="11" t="s">
        <v>292</v>
      </c>
      <c r="C551" s="14">
        <v>0</v>
      </c>
      <c r="D551" s="11" t="s">
        <v>18259</v>
      </c>
      <c r="E551" s="11" t="s">
        <v>292</v>
      </c>
      <c r="F551" s="12">
        <v>44137</v>
      </c>
      <c r="G551" s="11">
        <v>2020</v>
      </c>
      <c r="H551" s="11" t="s">
        <v>17257</v>
      </c>
      <c r="I551" s="11" t="s">
        <v>17258</v>
      </c>
      <c r="J551" s="11" t="s">
        <v>16401</v>
      </c>
      <c r="K551" s="404">
        <v>51020.281000000003</v>
      </c>
      <c r="L551" s="11">
        <v>2.7603</v>
      </c>
      <c r="M551" s="405">
        <v>18483.599971017644</v>
      </c>
      <c r="N551" s="11" t="s">
        <v>20155</v>
      </c>
      <c r="O551" s="11" t="s">
        <v>18261</v>
      </c>
      <c r="P551" s="872">
        <v>44144</v>
      </c>
      <c r="Q551" s="423">
        <v>1800</v>
      </c>
      <c r="R551" s="423">
        <v>20160</v>
      </c>
      <c r="S551" s="423">
        <v>2400</v>
      </c>
      <c r="T551" s="423">
        <v>0</v>
      </c>
      <c r="U551" s="423">
        <v>24360</v>
      </c>
      <c r="V551" s="11" t="s">
        <v>20179</v>
      </c>
      <c r="W551" s="407">
        <v>3738.6427832512318</v>
      </c>
      <c r="X551" s="407">
        <v>42429.275652413788</v>
      </c>
      <c r="Y551" s="407">
        <v>4852.362644334974</v>
      </c>
      <c r="Z551" s="407">
        <v>0</v>
      </c>
      <c r="AA551" s="408">
        <v>2.0770237684729067</v>
      </c>
      <c r="AB551" s="408">
        <v>2.1046267684729063</v>
      </c>
      <c r="AC551" s="408">
        <v>2.0218177684729057</v>
      </c>
      <c r="AD551" s="408"/>
      <c r="AE551" s="409"/>
      <c r="AF551" s="410">
        <v>4783.0619999999999</v>
      </c>
      <c r="AG551" s="410">
        <v>0.19634901477832511</v>
      </c>
      <c r="AH551" s="411">
        <v>1.8806747536945816</v>
      </c>
      <c r="AI551" s="412">
        <v>1.9082777536945812</v>
      </c>
      <c r="AJ551" s="411">
        <v>1.8254687536945806</v>
      </c>
      <c r="AK551" s="411"/>
      <c r="AL551" s="18"/>
      <c r="AM551" s="49"/>
      <c r="AN551" s="2"/>
      <c r="AO551" s="2"/>
    </row>
    <row r="552" spans="1:41" hidden="1">
      <c r="A552" s="14">
        <v>281</v>
      </c>
      <c r="B552" s="11" t="s">
        <v>293</v>
      </c>
      <c r="C552" s="14">
        <v>0</v>
      </c>
      <c r="D552" s="11" t="s">
        <v>18262</v>
      </c>
      <c r="E552" s="11" t="s">
        <v>293</v>
      </c>
      <c r="F552" s="12">
        <v>44137</v>
      </c>
      <c r="G552" s="11">
        <v>2020</v>
      </c>
      <c r="H552" s="11" t="s">
        <v>16783</v>
      </c>
      <c r="I552" s="11" t="s">
        <v>16784</v>
      </c>
      <c r="J552" s="11" t="s">
        <v>16401</v>
      </c>
      <c r="K552" s="404">
        <v>208689.85200000001</v>
      </c>
      <c r="L552" s="11">
        <v>2.7351999999999999</v>
      </c>
      <c r="M552" s="405">
        <v>76297.840011699343</v>
      </c>
      <c r="N552" s="11" t="s">
        <v>20155</v>
      </c>
      <c r="O552" s="11" t="s">
        <v>17939</v>
      </c>
      <c r="P552" s="872">
        <v>44161</v>
      </c>
      <c r="Q552" s="423">
        <v>0</v>
      </c>
      <c r="R552" s="423">
        <v>94368</v>
      </c>
      <c r="S552" s="423">
        <v>27936</v>
      </c>
      <c r="T552" s="423">
        <v>0</v>
      </c>
      <c r="U552" s="423">
        <v>122304</v>
      </c>
      <c r="V552" s="11" t="s">
        <v>20155</v>
      </c>
      <c r="W552" s="407">
        <v>0</v>
      </c>
      <c r="X552" s="407">
        <v>161022.075733551</v>
      </c>
      <c r="Y552" s="407">
        <v>47667.776234448975</v>
      </c>
      <c r="Z552" s="407">
        <v>0</v>
      </c>
      <c r="AA552" s="408"/>
      <c r="AB552" s="408">
        <v>1.7063207414965984</v>
      </c>
      <c r="AC552" s="408">
        <v>1.7063207414965984</v>
      </c>
      <c r="AD552" s="408"/>
      <c r="AE552" s="409"/>
      <c r="AF552" s="410">
        <v>18409.858</v>
      </c>
      <c r="AG552" s="410">
        <v>0.15052539573521717</v>
      </c>
      <c r="AH552" s="411"/>
      <c r="AI552" s="412">
        <v>1.5557953457613811</v>
      </c>
      <c r="AJ552" s="411">
        <v>1.5557953457613811</v>
      </c>
      <c r="AK552" s="411"/>
      <c r="AL552" s="18"/>
      <c r="AM552" s="49"/>
      <c r="AN552" s="2"/>
      <c r="AO552" s="2"/>
    </row>
    <row r="553" spans="1:41" hidden="1">
      <c r="A553" s="14">
        <v>282</v>
      </c>
      <c r="B553" s="11" t="s">
        <v>294</v>
      </c>
      <c r="C553" s="14">
        <v>0</v>
      </c>
      <c r="D553" s="11" t="s">
        <v>18263</v>
      </c>
      <c r="E553" s="11" t="s">
        <v>294</v>
      </c>
      <c r="F553" s="12">
        <v>44137</v>
      </c>
      <c r="G553" s="11">
        <v>2020</v>
      </c>
      <c r="H553" s="11" t="s">
        <v>16444</v>
      </c>
      <c r="I553" s="11" t="s">
        <v>16445</v>
      </c>
      <c r="J553" s="11" t="s">
        <v>3</v>
      </c>
      <c r="K553" s="404">
        <v>142611.84</v>
      </c>
      <c r="L553" s="11">
        <v>1</v>
      </c>
      <c r="M553" s="405">
        <v>142611.84</v>
      </c>
      <c r="N553" s="11" t="s">
        <v>20155</v>
      </c>
      <c r="O553" s="11" t="s">
        <v>18248</v>
      </c>
      <c r="P553" s="872">
        <v>44140</v>
      </c>
      <c r="Q553" s="423">
        <v>88032</v>
      </c>
      <c r="R553" s="423">
        <v>0</v>
      </c>
      <c r="S553" s="423">
        <v>0</v>
      </c>
      <c r="T553" s="423">
        <v>0</v>
      </c>
      <c r="U553" s="423">
        <v>88032</v>
      </c>
      <c r="V553" s="11" t="s">
        <v>20155</v>
      </c>
      <c r="W553" s="407">
        <v>142611.84</v>
      </c>
      <c r="X553" s="407">
        <v>0</v>
      </c>
      <c r="Y553" s="407">
        <v>0</v>
      </c>
      <c r="Z553" s="407">
        <v>0</v>
      </c>
      <c r="AA553" s="408">
        <v>1.62</v>
      </c>
      <c r="AB553" s="408"/>
      <c r="AC553" s="408"/>
      <c r="AD553" s="408"/>
      <c r="AE553" s="409"/>
      <c r="AF553" s="410">
        <v>0</v>
      </c>
      <c r="AG553" s="410">
        <v>0</v>
      </c>
      <c r="AH553" s="411">
        <v>1.62</v>
      </c>
      <c r="AI553" s="412">
        <v>0</v>
      </c>
      <c r="AJ553" s="411">
        <v>0</v>
      </c>
      <c r="AK553" s="411">
        <v>0</v>
      </c>
      <c r="AL553" s="18"/>
      <c r="AM553" s="49"/>
      <c r="AN553" s="2"/>
      <c r="AO553" s="2"/>
    </row>
    <row r="554" spans="1:41" hidden="1">
      <c r="A554" s="14">
        <v>283</v>
      </c>
      <c r="B554" s="11" t="s">
        <v>295</v>
      </c>
      <c r="C554" s="14">
        <v>0</v>
      </c>
      <c r="D554" s="11" t="s">
        <v>18264</v>
      </c>
      <c r="E554" s="11" t="s">
        <v>295</v>
      </c>
      <c r="F554" s="12">
        <v>44138</v>
      </c>
      <c r="G554" s="11">
        <v>2020</v>
      </c>
      <c r="H554" s="11" t="s">
        <v>16560</v>
      </c>
      <c r="I554" s="11" t="s">
        <v>16561</v>
      </c>
      <c r="J554" s="11" t="s">
        <v>16482</v>
      </c>
      <c r="K554" s="404">
        <v>146948.25599999999</v>
      </c>
      <c r="L554" s="11">
        <v>3.2395999999999998</v>
      </c>
      <c r="M554" s="405">
        <v>45360</v>
      </c>
      <c r="N554" s="11" t="s">
        <v>20155</v>
      </c>
      <c r="O554" s="11" t="s">
        <v>17801</v>
      </c>
      <c r="P554" s="872">
        <v>44141</v>
      </c>
      <c r="Q554" s="423">
        <v>0</v>
      </c>
      <c r="R554" s="423">
        <v>0</v>
      </c>
      <c r="S554" s="423">
        <v>108000</v>
      </c>
      <c r="T554" s="423">
        <v>0</v>
      </c>
      <c r="U554" s="423">
        <v>108000</v>
      </c>
      <c r="V554" s="11" t="s">
        <v>20155</v>
      </c>
      <c r="W554" s="407">
        <v>0</v>
      </c>
      <c r="X554" s="407">
        <v>0</v>
      </c>
      <c r="Y554" s="407">
        <v>146948.25599999999</v>
      </c>
      <c r="Z554" s="407">
        <v>0</v>
      </c>
      <c r="AA554" s="408"/>
      <c r="AB554" s="408"/>
      <c r="AC554" s="408">
        <v>1.3606319999999998</v>
      </c>
      <c r="AD554" s="408"/>
      <c r="AE554" s="409"/>
      <c r="AF554" s="410">
        <v>24203.643</v>
      </c>
      <c r="AG554" s="410">
        <v>0.22410780555555557</v>
      </c>
      <c r="AH554" s="411"/>
      <c r="AI554" s="412"/>
      <c r="AJ554" s="411">
        <v>1.1365241944444442</v>
      </c>
      <c r="AK554" s="411"/>
      <c r="AL554" s="18"/>
      <c r="AM554" s="49"/>
      <c r="AN554" s="2"/>
      <c r="AO554" s="2"/>
    </row>
    <row r="555" spans="1:41" hidden="1">
      <c r="A555" s="14">
        <v>284</v>
      </c>
      <c r="B555" s="11" t="s">
        <v>296</v>
      </c>
      <c r="C555" s="14">
        <v>0</v>
      </c>
      <c r="D555" s="11" t="s">
        <v>18265</v>
      </c>
      <c r="E555" s="11" t="s">
        <v>296</v>
      </c>
      <c r="F555" s="12">
        <v>44138</v>
      </c>
      <c r="G555" s="11">
        <v>2020</v>
      </c>
      <c r="H555" s="11" t="s">
        <v>16560</v>
      </c>
      <c r="I555" s="11" t="s">
        <v>16561</v>
      </c>
      <c r="J555" s="11" t="s">
        <v>16482</v>
      </c>
      <c r="K555" s="404">
        <v>146948.25599999999</v>
      </c>
      <c r="L555" s="11">
        <v>3.2395999999999998</v>
      </c>
      <c r="M555" s="405">
        <v>45360</v>
      </c>
      <c r="N555" s="11" t="s">
        <v>20155</v>
      </c>
      <c r="O555" s="11" t="s">
        <v>17801</v>
      </c>
      <c r="P555" s="872">
        <v>44141</v>
      </c>
      <c r="Q555" s="423">
        <v>0</v>
      </c>
      <c r="R555" s="423">
        <v>0</v>
      </c>
      <c r="S555" s="423">
        <v>108000</v>
      </c>
      <c r="T555" s="423">
        <v>0</v>
      </c>
      <c r="U555" s="423">
        <v>108000</v>
      </c>
      <c r="V555" s="11" t="s">
        <v>20155</v>
      </c>
      <c r="W555" s="407">
        <v>0</v>
      </c>
      <c r="X555" s="407">
        <v>0</v>
      </c>
      <c r="Y555" s="407">
        <v>146948.25599999999</v>
      </c>
      <c r="Z555" s="407">
        <v>0</v>
      </c>
      <c r="AA555" s="408"/>
      <c r="AB555" s="408"/>
      <c r="AC555" s="408">
        <v>1.3606319999999998</v>
      </c>
      <c r="AD555" s="408"/>
      <c r="AE555" s="409"/>
      <c r="AF555" s="410">
        <v>24203.643</v>
      </c>
      <c r="AG555" s="410">
        <v>0.22410780555555557</v>
      </c>
      <c r="AH555" s="411"/>
      <c r="AI555" s="412"/>
      <c r="AJ555" s="411">
        <v>1.1365241944444442</v>
      </c>
      <c r="AK555" s="411"/>
      <c r="AL555" s="18"/>
      <c r="AM555" s="49"/>
      <c r="AN555" s="2"/>
      <c r="AO555" s="2"/>
    </row>
    <row r="556" spans="1:41" hidden="1">
      <c r="A556" s="14">
        <v>285</v>
      </c>
      <c r="B556" s="11" t="s">
        <v>297</v>
      </c>
      <c r="C556" s="14">
        <v>0</v>
      </c>
      <c r="D556" s="11" t="s">
        <v>18266</v>
      </c>
      <c r="E556" s="11" t="s">
        <v>297</v>
      </c>
      <c r="F556" s="12">
        <v>44138</v>
      </c>
      <c r="G556" s="11">
        <v>2020</v>
      </c>
      <c r="H556" s="11" t="s">
        <v>16560</v>
      </c>
      <c r="I556" s="11" t="s">
        <v>16561</v>
      </c>
      <c r="J556" s="11" t="s">
        <v>16482</v>
      </c>
      <c r="K556" s="404">
        <v>147206.80799999999</v>
      </c>
      <c r="L556" s="11">
        <v>3.2452999999999999</v>
      </c>
      <c r="M556" s="405">
        <v>45360</v>
      </c>
      <c r="N556" s="11" t="s">
        <v>20155</v>
      </c>
      <c r="O556" s="11" t="s">
        <v>17801</v>
      </c>
      <c r="P556" s="872">
        <v>44142</v>
      </c>
      <c r="Q556" s="423">
        <v>0</v>
      </c>
      <c r="R556" s="423">
        <v>0</v>
      </c>
      <c r="S556" s="423">
        <v>108000</v>
      </c>
      <c r="T556" s="423">
        <v>0</v>
      </c>
      <c r="U556" s="423">
        <v>108000</v>
      </c>
      <c r="V556" s="11" t="s">
        <v>20155</v>
      </c>
      <c r="W556" s="407">
        <v>0</v>
      </c>
      <c r="X556" s="407">
        <v>0</v>
      </c>
      <c r="Y556" s="407">
        <v>147206.80799999996</v>
      </c>
      <c r="Z556" s="407">
        <v>0</v>
      </c>
      <c r="AA556" s="408"/>
      <c r="AB556" s="408"/>
      <c r="AC556" s="408">
        <v>1.3630259999999996</v>
      </c>
      <c r="AD556" s="408"/>
      <c r="AE556" s="409"/>
      <c r="AF556" s="410">
        <v>24203.643</v>
      </c>
      <c r="AG556" s="410">
        <v>0.22410780555555557</v>
      </c>
      <c r="AH556" s="411"/>
      <c r="AI556" s="412"/>
      <c r="AJ556" s="411">
        <v>1.138918194444444</v>
      </c>
      <c r="AK556" s="411"/>
      <c r="AL556" s="18"/>
      <c r="AM556" s="49"/>
      <c r="AN556" s="2"/>
      <c r="AO556" s="2"/>
    </row>
    <row r="557" spans="1:41" hidden="1">
      <c r="A557" s="14">
        <v>286</v>
      </c>
      <c r="B557" s="11" t="s">
        <v>298</v>
      </c>
      <c r="C557" s="14">
        <v>0</v>
      </c>
      <c r="D557" s="11" t="s">
        <v>18267</v>
      </c>
      <c r="E557" s="11" t="s">
        <v>298</v>
      </c>
      <c r="F557" s="12">
        <v>44138</v>
      </c>
      <c r="G557" s="11">
        <v>2020</v>
      </c>
      <c r="H557" s="11" t="s">
        <v>16560</v>
      </c>
      <c r="I557" s="11" t="s">
        <v>16561</v>
      </c>
      <c r="J557" s="11" t="s">
        <v>16482</v>
      </c>
      <c r="K557" s="404">
        <v>147206.80799999999</v>
      </c>
      <c r="L557" s="11">
        <v>3.2452999999999999</v>
      </c>
      <c r="M557" s="405">
        <v>45360</v>
      </c>
      <c r="N557" s="11" t="s">
        <v>20155</v>
      </c>
      <c r="O557" s="11" t="s">
        <v>17801</v>
      </c>
      <c r="P557" s="872">
        <v>44142</v>
      </c>
      <c r="Q557" s="423">
        <v>0</v>
      </c>
      <c r="R557" s="423">
        <v>0</v>
      </c>
      <c r="S557" s="423">
        <v>108000</v>
      </c>
      <c r="T557" s="423">
        <v>0</v>
      </c>
      <c r="U557" s="423">
        <v>108000</v>
      </c>
      <c r="V557" s="11" t="s">
        <v>20155</v>
      </c>
      <c r="W557" s="407">
        <v>0</v>
      </c>
      <c r="X557" s="407">
        <v>0</v>
      </c>
      <c r="Y557" s="407">
        <v>147206.80799999996</v>
      </c>
      <c r="Z557" s="407">
        <v>0</v>
      </c>
      <c r="AA557" s="408"/>
      <c r="AB557" s="408"/>
      <c r="AC557" s="408">
        <v>1.3630259999999996</v>
      </c>
      <c r="AD557" s="408"/>
      <c r="AE557" s="409"/>
      <c r="AF557" s="410">
        <v>24203.643</v>
      </c>
      <c r="AG557" s="410">
        <v>0.22410780555555557</v>
      </c>
      <c r="AH557" s="411"/>
      <c r="AI557" s="412"/>
      <c r="AJ557" s="411">
        <v>1.138918194444444</v>
      </c>
      <c r="AK557" s="411"/>
      <c r="AL557" s="18"/>
      <c r="AM557" s="49"/>
      <c r="AN557" s="2"/>
      <c r="AO557" s="2"/>
    </row>
    <row r="558" spans="1:41" hidden="1">
      <c r="A558" s="14">
        <v>287</v>
      </c>
      <c r="B558" s="11" t="s">
        <v>299</v>
      </c>
      <c r="C558" s="14">
        <v>0</v>
      </c>
      <c r="D558" s="11" t="s">
        <v>18268</v>
      </c>
      <c r="E558" s="11" t="s">
        <v>299</v>
      </c>
      <c r="F558" s="12">
        <v>44138</v>
      </c>
      <c r="G558" s="11">
        <v>2020</v>
      </c>
      <c r="H558" s="11" t="s">
        <v>17017</v>
      </c>
      <c r="I558" s="11" t="s">
        <v>17018</v>
      </c>
      <c r="J558" s="11" t="s">
        <v>3</v>
      </c>
      <c r="K558" s="404">
        <v>44785.279999999999</v>
      </c>
      <c r="L558" s="11">
        <v>1</v>
      </c>
      <c r="M558" s="405">
        <v>44785.279999999999</v>
      </c>
      <c r="N558" s="11" t="s">
        <v>20155</v>
      </c>
      <c r="O558" s="11" t="s">
        <v>17954</v>
      </c>
      <c r="P558" s="872">
        <v>44146</v>
      </c>
      <c r="Q558" s="423">
        <v>0</v>
      </c>
      <c r="R558" s="423">
        <v>14528</v>
      </c>
      <c r="S558" s="423">
        <v>4800</v>
      </c>
      <c r="T558" s="423">
        <v>2400</v>
      </c>
      <c r="U558" s="423">
        <v>21728</v>
      </c>
      <c r="V558" s="11" t="s">
        <v>20155</v>
      </c>
      <c r="W558" s="407">
        <v>0</v>
      </c>
      <c r="X558" s="407">
        <v>25569.279999999999</v>
      </c>
      <c r="Y558" s="407">
        <v>8496</v>
      </c>
      <c r="Z558" s="407">
        <v>10720</v>
      </c>
      <c r="AA558" s="431"/>
      <c r="AB558" s="408">
        <v>1.76</v>
      </c>
      <c r="AC558" s="408">
        <v>1.77</v>
      </c>
      <c r="AD558" s="408">
        <v>4.4666666666666668</v>
      </c>
      <c r="AE558" s="409"/>
      <c r="AF558" s="410">
        <v>0</v>
      </c>
      <c r="AG558" s="410">
        <v>0</v>
      </c>
      <c r="AH558" s="411">
        <v>0</v>
      </c>
      <c r="AI558" s="412">
        <v>1.76</v>
      </c>
      <c r="AJ558" s="411">
        <v>1.77</v>
      </c>
      <c r="AK558" s="411">
        <v>4.4666666666666668</v>
      </c>
      <c r="AL558" s="18"/>
      <c r="AM558" s="49"/>
      <c r="AN558" s="2"/>
      <c r="AO558" s="2"/>
    </row>
    <row r="559" spans="1:41" hidden="1">
      <c r="A559" s="14">
        <v>288</v>
      </c>
      <c r="B559" s="11" t="s">
        <v>300</v>
      </c>
      <c r="C559" s="14">
        <v>0</v>
      </c>
      <c r="D559" s="11" t="s">
        <v>18269</v>
      </c>
      <c r="E559" s="11" t="s">
        <v>300</v>
      </c>
      <c r="F559" s="12">
        <v>44139</v>
      </c>
      <c r="G559" s="11">
        <v>2020</v>
      </c>
      <c r="H559" s="11" t="s">
        <v>16444</v>
      </c>
      <c r="I559" s="11" t="s">
        <v>16445</v>
      </c>
      <c r="J559" s="11" t="s">
        <v>3</v>
      </c>
      <c r="K559" s="404">
        <v>65570</v>
      </c>
      <c r="L559" s="11">
        <v>1</v>
      </c>
      <c r="M559" s="405">
        <v>65570</v>
      </c>
      <c r="N559" s="11" t="s">
        <v>20155</v>
      </c>
      <c r="O559" s="11" t="s">
        <v>17693</v>
      </c>
      <c r="P559" s="872">
        <v>44146</v>
      </c>
      <c r="Q559" s="423">
        <v>41500</v>
      </c>
      <c r="R559" s="423">
        <v>0</v>
      </c>
      <c r="S559" s="423">
        <v>0</v>
      </c>
      <c r="T559" s="423">
        <v>0</v>
      </c>
      <c r="U559" s="423">
        <v>41500</v>
      </c>
      <c r="V559" s="11" t="s">
        <v>20155</v>
      </c>
      <c r="W559" s="407">
        <v>65570</v>
      </c>
      <c r="X559" s="407">
        <v>0</v>
      </c>
      <c r="Y559" s="407">
        <v>0</v>
      </c>
      <c r="Z559" s="407">
        <v>0</v>
      </c>
      <c r="AA559" s="408">
        <v>1.58</v>
      </c>
      <c r="AB559" s="408"/>
      <c r="AC559" s="408"/>
      <c r="AD559" s="408"/>
      <c r="AE559" s="409"/>
      <c r="AF559" s="410">
        <v>0</v>
      </c>
      <c r="AG559" s="410">
        <v>0</v>
      </c>
      <c r="AH559" s="411">
        <v>1.58</v>
      </c>
      <c r="AI559" s="412">
        <v>0</v>
      </c>
      <c r="AJ559" s="411">
        <v>0</v>
      </c>
      <c r="AK559" s="411">
        <v>0</v>
      </c>
      <c r="AL559" s="18"/>
      <c r="AM559" s="49"/>
      <c r="AN559" s="2"/>
      <c r="AO559" s="2"/>
    </row>
    <row r="560" spans="1:41" hidden="1">
      <c r="A560" s="14">
        <v>289</v>
      </c>
      <c r="B560" s="11" t="s">
        <v>301</v>
      </c>
      <c r="C560" s="14">
        <v>0</v>
      </c>
      <c r="D560" s="11" t="s">
        <v>18271</v>
      </c>
      <c r="E560" s="11" t="s">
        <v>301</v>
      </c>
      <c r="F560" s="12">
        <v>44147</v>
      </c>
      <c r="G560" s="11">
        <v>2020</v>
      </c>
      <c r="H560" s="11" t="s">
        <v>16838</v>
      </c>
      <c r="I560" s="11" t="s">
        <v>16839</v>
      </c>
      <c r="J560" s="11" t="s">
        <v>3</v>
      </c>
      <c r="K560" s="404">
        <v>435240</v>
      </c>
      <c r="L560" s="11">
        <v>1</v>
      </c>
      <c r="M560" s="405">
        <v>435240</v>
      </c>
      <c r="N560" s="11" t="s">
        <v>20155</v>
      </c>
      <c r="O560" s="11" t="s">
        <v>17798</v>
      </c>
      <c r="P560" s="872">
        <v>44161</v>
      </c>
      <c r="Q560" s="423">
        <v>0</v>
      </c>
      <c r="R560" s="423">
        <v>0</v>
      </c>
      <c r="S560" s="423">
        <v>312000</v>
      </c>
      <c r="T560" s="423">
        <v>0</v>
      </c>
      <c r="U560" s="423">
        <v>312000</v>
      </c>
      <c r="V560" s="11" t="s">
        <v>20155</v>
      </c>
      <c r="W560" s="407">
        <v>0</v>
      </c>
      <c r="X560" s="407">
        <v>0</v>
      </c>
      <c r="Y560" s="407">
        <v>435240</v>
      </c>
      <c r="Z560" s="407">
        <v>0</v>
      </c>
      <c r="AA560" s="408"/>
      <c r="AB560" s="408"/>
      <c r="AC560" s="408">
        <v>1.395</v>
      </c>
      <c r="AD560" s="408"/>
      <c r="AE560" s="409"/>
      <c r="AF560" s="410">
        <v>0</v>
      </c>
      <c r="AG560" s="410">
        <v>0</v>
      </c>
      <c r="AH560" s="411">
        <v>0</v>
      </c>
      <c r="AI560" s="412">
        <v>0</v>
      </c>
      <c r="AJ560" s="411">
        <v>1.395</v>
      </c>
      <c r="AK560" s="411">
        <v>0</v>
      </c>
      <c r="AL560" s="18"/>
      <c r="AM560" s="49"/>
      <c r="AN560" s="2"/>
      <c r="AO560" s="2"/>
    </row>
    <row r="561" spans="1:41" hidden="1">
      <c r="A561" s="14">
        <v>290</v>
      </c>
      <c r="B561" s="11" t="s">
        <v>302</v>
      </c>
      <c r="C561" s="14">
        <v>0</v>
      </c>
      <c r="D561" s="11" t="s">
        <v>18272</v>
      </c>
      <c r="E561" s="11" t="s">
        <v>302</v>
      </c>
      <c r="F561" s="12">
        <v>44147</v>
      </c>
      <c r="G561" s="11">
        <v>2020</v>
      </c>
      <c r="H561" s="11" t="s">
        <v>16384</v>
      </c>
      <c r="I561" s="11" t="s">
        <v>16385</v>
      </c>
      <c r="J561" s="11" t="s">
        <v>3</v>
      </c>
      <c r="K561" s="404">
        <v>364000</v>
      </c>
      <c r="L561" s="11">
        <v>1</v>
      </c>
      <c r="M561" s="405">
        <v>364000</v>
      </c>
      <c r="N561" s="11" t="s">
        <v>20155</v>
      </c>
      <c r="O561" s="11" t="s">
        <v>17801</v>
      </c>
      <c r="P561" s="872">
        <v>44154</v>
      </c>
      <c r="Q561" s="423">
        <v>0</v>
      </c>
      <c r="R561" s="423">
        <v>0</v>
      </c>
      <c r="S561" s="423">
        <v>280000</v>
      </c>
      <c r="T561" s="423">
        <v>0</v>
      </c>
      <c r="U561" s="423">
        <v>280000</v>
      </c>
      <c r="V561" s="11" t="s">
        <v>20155</v>
      </c>
      <c r="W561" s="407">
        <v>0</v>
      </c>
      <c r="X561" s="407">
        <v>0</v>
      </c>
      <c r="Y561" s="407">
        <v>364000</v>
      </c>
      <c r="Z561" s="407">
        <v>0</v>
      </c>
      <c r="AA561" s="408"/>
      <c r="AB561" s="408"/>
      <c r="AC561" s="408">
        <v>1.3</v>
      </c>
      <c r="AD561" s="408"/>
      <c r="AE561" s="409"/>
      <c r="AF561" s="410">
        <v>0</v>
      </c>
      <c r="AG561" s="410">
        <v>0</v>
      </c>
      <c r="AH561" s="411">
        <v>0</v>
      </c>
      <c r="AI561" s="412">
        <v>0</v>
      </c>
      <c r="AJ561" s="411">
        <v>1.3</v>
      </c>
      <c r="AK561" s="411">
        <v>0</v>
      </c>
      <c r="AL561" s="18"/>
      <c r="AM561" s="49"/>
      <c r="AN561" s="2"/>
      <c r="AO561" s="2"/>
    </row>
    <row r="562" spans="1:41" hidden="1">
      <c r="A562" s="14">
        <v>291</v>
      </c>
      <c r="B562" s="11" t="s">
        <v>303</v>
      </c>
      <c r="C562" s="14">
        <v>0</v>
      </c>
      <c r="D562" s="11" t="s">
        <v>18273</v>
      </c>
      <c r="E562" s="11" t="s">
        <v>303</v>
      </c>
      <c r="F562" s="12">
        <v>44147</v>
      </c>
      <c r="G562" s="11">
        <v>2020</v>
      </c>
      <c r="H562" s="11" t="s">
        <v>16444</v>
      </c>
      <c r="I562" s="11" t="s">
        <v>16445</v>
      </c>
      <c r="J562" s="11" t="s">
        <v>3</v>
      </c>
      <c r="K562" s="404">
        <v>70848</v>
      </c>
      <c r="L562" s="11">
        <v>1</v>
      </c>
      <c r="M562" s="405">
        <v>70848</v>
      </c>
      <c r="N562" s="11" t="s">
        <v>20155</v>
      </c>
      <c r="O562" s="11" t="s">
        <v>17693</v>
      </c>
      <c r="P562" s="872">
        <v>44159</v>
      </c>
      <c r="Q562" s="423">
        <v>43200</v>
      </c>
      <c r="R562" s="423">
        <v>0</v>
      </c>
      <c r="S562" s="423">
        <v>0</v>
      </c>
      <c r="T562" s="423">
        <v>0</v>
      </c>
      <c r="U562" s="423">
        <v>43200</v>
      </c>
      <c r="V562" s="11" t="s">
        <v>20155</v>
      </c>
      <c r="W562" s="407">
        <v>70848</v>
      </c>
      <c r="X562" s="407">
        <v>0</v>
      </c>
      <c r="Y562" s="407">
        <v>0</v>
      </c>
      <c r="Z562" s="407">
        <v>0</v>
      </c>
      <c r="AA562" s="408">
        <v>1.64</v>
      </c>
      <c r="AB562" s="408"/>
      <c r="AC562" s="408"/>
      <c r="AD562" s="408"/>
      <c r="AE562" s="409"/>
      <c r="AF562" s="410">
        <v>0</v>
      </c>
      <c r="AG562" s="410">
        <v>0</v>
      </c>
      <c r="AH562" s="411">
        <v>1.64</v>
      </c>
      <c r="AI562" s="412">
        <v>0</v>
      </c>
      <c r="AJ562" s="411">
        <v>0</v>
      </c>
      <c r="AK562" s="411">
        <v>0</v>
      </c>
      <c r="AL562" s="18"/>
      <c r="AM562" s="49"/>
      <c r="AN562" s="2"/>
      <c r="AO562" s="2"/>
    </row>
    <row r="563" spans="1:41" hidden="1">
      <c r="A563" s="14">
        <v>292</v>
      </c>
      <c r="B563" s="11" t="s">
        <v>304</v>
      </c>
      <c r="C563" s="14">
        <v>0</v>
      </c>
      <c r="D563" s="11" t="s">
        <v>18274</v>
      </c>
      <c r="E563" s="11" t="s">
        <v>304</v>
      </c>
      <c r="F563" s="12">
        <v>44147</v>
      </c>
      <c r="G563" s="11">
        <v>2020</v>
      </c>
      <c r="H563" s="11" t="s">
        <v>16444</v>
      </c>
      <c r="I563" s="11" t="s">
        <v>16445</v>
      </c>
      <c r="J563" s="11" t="s">
        <v>3</v>
      </c>
      <c r="K563" s="404">
        <v>70089.2</v>
      </c>
      <c r="L563" s="11">
        <v>1</v>
      </c>
      <c r="M563" s="405">
        <v>70089.2</v>
      </c>
      <c r="N563" s="11" t="s">
        <v>20155</v>
      </c>
      <c r="O563" s="11" t="s">
        <v>17693</v>
      </c>
      <c r="P563" s="872">
        <v>44159</v>
      </c>
      <c r="Q563" s="423">
        <v>43060</v>
      </c>
      <c r="R563" s="423">
        <v>0</v>
      </c>
      <c r="S563" s="423">
        <v>0</v>
      </c>
      <c r="T563" s="423">
        <v>0</v>
      </c>
      <c r="U563" s="423">
        <v>43060</v>
      </c>
      <c r="V563" s="11" t="s">
        <v>20155</v>
      </c>
      <c r="W563" s="407">
        <v>70089.2</v>
      </c>
      <c r="X563" s="407">
        <v>0</v>
      </c>
      <c r="Y563" s="407">
        <v>0</v>
      </c>
      <c r="Z563" s="407">
        <v>0</v>
      </c>
      <c r="AA563" s="408">
        <v>1.6277101718532281</v>
      </c>
      <c r="AB563" s="408"/>
      <c r="AC563" s="408"/>
      <c r="AD563" s="408"/>
      <c r="AE563" s="409"/>
      <c r="AF563" s="410">
        <v>0</v>
      </c>
      <c r="AG563" s="410">
        <v>0</v>
      </c>
      <c r="AH563" s="411">
        <v>1.6277101718532281</v>
      </c>
      <c r="AI563" s="412">
        <v>0</v>
      </c>
      <c r="AJ563" s="411">
        <v>0</v>
      </c>
      <c r="AK563" s="411">
        <v>0</v>
      </c>
      <c r="AL563" s="18"/>
      <c r="AM563" s="49"/>
      <c r="AN563" s="2"/>
      <c r="AO563" s="2"/>
    </row>
    <row r="564" spans="1:41" hidden="1">
      <c r="A564" s="14">
        <v>293</v>
      </c>
      <c r="B564" s="11" t="s">
        <v>305</v>
      </c>
      <c r="C564" s="14">
        <v>0</v>
      </c>
      <c r="D564" s="11" t="s">
        <v>18275</v>
      </c>
      <c r="E564" s="11" t="s">
        <v>305</v>
      </c>
      <c r="F564" s="12">
        <v>44147</v>
      </c>
      <c r="G564" s="11">
        <v>2020</v>
      </c>
      <c r="H564" s="11" t="s">
        <v>17156</v>
      </c>
      <c r="I564" s="11" t="s">
        <v>17157</v>
      </c>
      <c r="J564" s="11" t="s">
        <v>3</v>
      </c>
      <c r="K564" s="404">
        <v>29952</v>
      </c>
      <c r="L564" s="11">
        <v>1</v>
      </c>
      <c r="M564" s="405">
        <v>29952</v>
      </c>
      <c r="N564" s="11" t="s">
        <v>20155</v>
      </c>
      <c r="O564" s="11" t="s">
        <v>18335</v>
      </c>
      <c r="P564" s="872">
        <v>44158</v>
      </c>
      <c r="Q564" s="423">
        <v>19200</v>
      </c>
      <c r="R564" s="423">
        <v>0</v>
      </c>
      <c r="S564" s="423">
        <v>0</v>
      </c>
      <c r="T564" s="423">
        <v>0</v>
      </c>
      <c r="U564" s="423">
        <v>19200</v>
      </c>
      <c r="V564" s="11" t="s">
        <v>20155</v>
      </c>
      <c r="W564" s="407">
        <v>29952</v>
      </c>
      <c r="X564" s="407">
        <v>0</v>
      </c>
      <c r="Y564" s="407">
        <v>0</v>
      </c>
      <c r="Z564" s="407">
        <v>0</v>
      </c>
      <c r="AA564" s="408">
        <v>1.56</v>
      </c>
      <c r="AB564" s="408"/>
      <c r="AC564" s="408"/>
      <c r="AD564" s="408"/>
      <c r="AE564" s="409"/>
      <c r="AF564" s="410">
        <v>0</v>
      </c>
      <c r="AG564" s="410">
        <v>0</v>
      </c>
      <c r="AH564" s="411">
        <v>1.56</v>
      </c>
      <c r="AI564" s="412">
        <v>0</v>
      </c>
      <c r="AJ564" s="411">
        <v>0</v>
      </c>
      <c r="AK564" s="411">
        <v>0</v>
      </c>
      <c r="AL564" s="18"/>
      <c r="AM564" s="49"/>
      <c r="AN564" s="2"/>
      <c r="AO564" s="2"/>
    </row>
    <row r="565" spans="1:41" hidden="1">
      <c r="A565" s="14">
        <v>294</v>
      </c>
      <c r="B565" s="11" t="s">
        <v>306</v>
      </c>
      <c r="C565" s="14">
        <v>0</v>
      </c>
      <c r="D565" s="11" t="s">
        <v>18277</v>
      </c>
      <c r="E565" s="11" t="s">
        <v>306</v>
      </c>
      <c r="F565" s="12">
        <v>44147</v>
      </c>
      <c r="G565" s="11">
        <v>2020</v>
      </c>
      <c r="H565" s="11" t="s">
        <v>16880</v>
      </c>
      <c r="I565" s="11" t="s">
        <v>16881</v>
      </c>
      <c r="J565" s="11" t="s">
        <v>16401</v>
      </c>
      <c r="K565" s="404">
        <v>51716.093000000001</v>
      </c>
      <c r="L565" s="11">
        <v>2.7515000000000001</v>
      </c>
      <c r="M565" s="405">
        <v>18795.59985462475</v>
      </c>
      <c r="N565" s="11" t="s">
        <v>20155</v>
      </c>
      <c r="O565" s="11" t="s">
        <v>20156</v>
      </c>
      <c r="P565" s="872">
        <v>44158</v>
      </c>
      <c r="Q565" s="423">
        <v>0</v>
      </c>
      <c r="R565" s="423">
        <v>15480</v>
      </c>
      <c r="S565" s="423">
        <v>0</v>
      </c>
      <c r="T565" s="423">
        <v>0</v>
      </c>
      <c r="U565" s="423">
        <v>15480</v>
      </c>
      <c r="V565" s="11" t="s">
        <v>20155</v>
      </c>
      <c r="W565" s="407">
        <v>0</v>
      </c>
      <c r="X565" s="407">
        <v>51716.093399999991</v>
      </c>
      <c r="Y565" s="407">
        <v>0</v>
      </c>
      <c r="Z565" s="407">
        <v>0</v>
      </c>
      <c r="AA565" s="408"/>
      <c r="AB565" s="408">
        <v>3.3408329069767437</v>
      </c>
      <c r="AC565" s="408"/>
      <c r="AD565" s="408"/>
      <c r="AE565" s="409"/>
      <c r="AF565" s="410">
        <v>1783.89</v>
      </c>
      <c r="AG565" s="410">
        <v>0.11523837209302326</v>
      </c>
      <c r="AH565" s="411"/>
      <c r="AI565" s="412">
        <v>3.2255945348837205</v>
      </c>
      <c r="AJ565" s="411">
        <v>0</v>
      </c>
      <c r="AK565" s="411">
        <v>0</v>
      </c>
      <c r="AL565" s="18"/>
      <c r="AM565" s="49"/>
      <c r="AN565" s="2"/>
      <c r="AO565" s="2"/>
    </row>
    <row r="566" spans="1:41" hidden="1">
      <c r="A566" s="14">
        <v>295</v>
      </c>
      <c r="B566" s="11" t="s">
        <v>307</v>
      </c>
      <c r="C566" s="14">
        <v>0</v>
      </c>
      <c r="D566" s="11" t="s">
        <v>18279</v>
      </c>
      <c r="E566" s="11" t="s">
        <v>307</v>
      </c>
      <c r="F566" s="12">
        <v>44153</v>
      </c>
      <c r="G566" s="11">
        <v>2020</v>
      </c>
      <c r="H566" s="11" t="s">
        <v>17017</v>
      </c>
      <c r="I566" s="11" t="s">
        <v>17018</v>
      </c>
      <c r="J566" s="11" t="s">
        <v>3</v>
      </c>
      <c r="K566" s="404">
        <v>33900</v>
      </c>
      <c r="L566" s="11">
        <v>1</v>
      </c>
      <c r="M566" s="405">
        <v>33900</v>
      </c>
      <c r="N566" s="11" t="s">
        <v>20155</v>
      </c>
      <c r="O566" s="11" t="s">
        <v>18064</v>
      </c>
      <c r="P566" s="872">
        <v>44158</v>
      </c>
      <c r="Q566" s="423">
        <v>0</v>
      </c>
      <c r="R566" s="423">
        <v>20000</v>
      </c>
      <c r="S566" s="423">
        <v>0</v>
      </c>
      <c r="T566" s="423">
        <v>0</v>
      </c>
      <c r="U566" s="423">
        <v>20000</v>
      </c>
      <c r="V566" s="11" t="s">
        <v>20155</v>
      </c>
      <c r="W566" s="407">
        <v>0</v>
      </c>
      <c r="X566" s="407">
        <v>33900</v>
      </c>
      <c r="Y566" s="407">
        <v>0</v>
      </c>
      <c r="Z566" s="407">
        <v>0</v>
      </c>
      <c r="AA566" s="431"/>
      <c r="AB566" s="408">
        <v>1.6950000000000001</v>
      </c>
      <c r="AC566" s="408"/>
      <c r="AD566" s="408"/>
      <c r="AE566" s="409"/>
      <c r="AF566" s="410">
        <v>0</v>
      </c>
      <c r="AG566" s="410">
        <v>0</v>
      </c>
      <c r="AH566" s="411">
        <v>0</v>
      </c>
      <c r="AI566" s="412">
        <v>1.6950000000000001</v>
      </c>
      <c r="AJ566" s="411">
        <v>0</v>
      </c>
      <c r="AK566" s="411">
        <v>0</v>
      </c>
      <c r="AL566" s="18"/>
      <c r="AM566" s="49"/>
      <c r="AN566" s="2"/>
      <c r="AO566" s="2"/>
    </row>
    <row r="567" spans="1:41" hidden="1">
      <c r="A567" s="14">
        <v>296</v>
      </c>
      <c r="B567" s="11" t="s">
        <v>308</v>
      </c>
      <c r="C567" s="14">
        <v>0</v>
      </c>
      <c r="D567" s="11" t="s">
        <v>18281</v>
      </c>
      <c r="E567" s="11" t="s">
        <v>308</v>
      </c>
      <c r="F567" s="12">
        <v>44153</v>
      </c>
      <c r="G567" s="11">
        <v>2020</v>
      </c>
      <c r="H567" s="11" t="s">
        <v>16444</v>
      </c>
      <c r="I567" s="11" t="s">
        <v>16445</v>
      </c>
      <c r="J567" s="11" t="s">
        <v>3</v>
      </c>
      <c r="K567" s="404">
        <v>32064</v>
      </c>
      <c r="L567" s="11">
        <v>1</v>
      </c>
      <c r="M567" s="405">
        <v>32064</v>
      </c>
      <c r="N567" s="11" t="s">
        <v>20155</v>
      </c>
      <c r="O567" s="11" t="s">
        <v>18248</v>
      </c>
      <c r="P567" s="872">
        <v>44159</v>
      </c>
      <c r="Q567" s="423">
        <v>19200</v>
      </c>
      <c r="R567" s="423">
        <v>0</v>
      </c>
      <c r="S567" s="423">
        <v>0</v>
      </c>
      <c r="T567" s="423">
        <v>0</v>
      </c>
      <c r="U567" s="423">
        <v>19200</v>
      </c>
      <c r="V567" s="11" t="s">
        <v>20155</v>
      </c>
      <c r="W567" s="407">
        <v>32064</v>
      </c>
      <c r="X567" s="407">
        <v>0</v>
      </c>
      <c r="Y567" s="407">
        <v>0</v>
      </c>
      <c r="Z567" s="407">
        <v>0</v>
      </c>
      <c r="AA567" s="408">
        <v>1.67</v>
      </c>
      <c r="AB567" s="408"/>
      <c r="AC567" s="408"/>
      <c r="AD567" s="408"/>
      <c r="AE567" s="409"/>
      <c r="AF567" s="410">
        <v>0</v>
      </c>
      <c r="AG567" s="410">
        <v>0</v>
      </c>
      <c r="AH567" s="411">
        <v>1.67</v>
      </c>
      <c r="AI567" s="412">
        <v>0</v>
      </c>
      <c r="AJ567" s="411">
        <v>0</v>
      </c>
      <c r="AK567" s="411">
        <v>0</v>
      </c>
      <c r="AL567" s="18"/>
      <c r="AM567" s="49"/>
      <c r="AN567" s="2"/>
      <c r="AO567" s="2"/>
    </row>
    <row r="568" spans="1:41" hidden="1">
      <c r="A568" s="14">
        <v>297</v>
      </c>
      <c r="B568" s="11" t="s">
        <v>309</v>
      </c>
      <c r="C568" s="14">
        <v>0</v>
      </c>
      <c r="D568" s="11" t="s">
        <v>18282</v>
      </c>
      <c r="E568" s="11" t="s">
        <v>309</v>
      </c>
      <c r="F568" s="12">
        <v>44154</v>
      </c>
      <c r="G568" s="11">
        <v>2020</v>
      </c>
      <c r="H568" s="11" t="s">
        <v>17017</v>
      </c>
      <c r="I568" s="11" t="s">
        <v>17018</v>
      </c>
      <c r="J568" s="11" t="s">
        <v>3</v>
      </c>
      <c r="K568" s="404">
        <v>69700</v>
      </c>
      <c r="L568" s="11">
        <v>1</v>
      </c>
      <c r="M568" s="405">
        <v>69700</v>
      </c>
      <c r="N568" s="11" t="s">
        <v>20155</v>
      </c>
      <c r="O568" s="11" t="s">
        <v>18283</v>
      </c>
      <c r="P568" s="872">
        <v>44174</v>
      </c>
      <c r="Q568" s="423">
        <v>0</v>
      </c>
      <c r="R568" s="423">
        <v>41000</v>
      </c>
      <c r="S568" s="423">
        <v>0</v>
      </c>
      <c r="T568" s="423">
        <v>0</v>
      </c>
      <c r="U568" s="423">
        <v>41000</v>
      </c>
      <c r="V568" s="11" t="s">
        <v>20155</v>
      </c>
      <c r="W568" s="407">
        <v>0</v>
      </c>
      <c r="X568" s="407">
        <v>69700</v>
      </c>
      <c r="Y568" s="407">
        <v>0</v>
      </c>
      <c r="Z568" s="407">
        <v>0</v>
      </c>
      <c r="AA568" s="431"/>
      <c r="AB568" s="408">
        <v>1.7</v>
      </c>
      <c r="AC568" s="408"/>
      <c r="AD568" s="408"/>
      <c r="AE568" s="409"/>
      <c r="AF568" s="410">
        <v>0</v>
      </c>
      <c r="AG568" s="410">
        <v>0</v>
      </c>
      <c r="AH568" s="411">
        <v>0</v>
      </c>
      <c r="AI568" s="412">
        <v>1.7</v>
      </c>
      <c r="AJ568" s="411">
        <v>0</v>
      </c>
      <c r="AK568" s="411">
        <v>0</v>
      </c>
      <c r="AL568" s="18"/>
      <c r="AM568" s="49"/>
      <c r="AN568" s="2"/>
      <c r="AO568" s="2"/>
    </row>
    <row r="569" spans="1:41" hidden="1">
      <c r="A569" s="14">
        <v>298</v>
      </c>
      <c r="B569" s="11" t="s">
        <v>310</v>
      </c>
      <c r="C569" s="14">
        <v>0</v>
      </c>
      <c r="D569" s="11" t="s">
        <v>18284</v>
      </c>
      <c r="E569" s="11" t="s">
        <v>310</v>
      </c>
      <c r="F569" s="12">
        <v>44154</v>
      </c>
      <c r="G569" s="11">
        <v>2020</v>
      </c>
      <c r="H569" s="11" t="s">
        <v>16904</v>
      </c>
      <c r="I569" s="11" t="s">
        <v>16905</v>
      </c>
      <c r="J569" s="11" t="s">
        <v>16482</v>
      </c>
      <c r="K569" s="404">
        <v>53288.908000000003</v>
      </c>
      <c r="L569" s="11">
        <v>3.2600500000000001</v>
      </c>
      <c r="M569" s="405">
        <v>16346.040091409641</v>
      </c>
      <c r="N569" s="11" t="s">
        <v>20155</v>
      </c>
      <c r="O569" s="11" t="s">
        <v>20160</v>
      </c>
      <c r="P569" s="872">
        <v>44163</v>
      </c>
      <c r="Q569" s="423">
        <v>0</v>
      </c>
      <c r="R569" s="423">
        <v>20388</v>
      </c>
      <c r="S569" s="423">
        <v>6948</v>
      </c>
      <c r="T569" s="423">
        <v>0</v>
      </c>
      <c r="U569" s="423">
        <v>27336</v>
      </c>
      <c r="V569" s="11" t="s">
        <v>20155</v>
      </c>
      <c r="W569" s="407">
        <v>0</v>
      </c>
      <c r="X569" s="407">
        <v>39862.616803453901</v>
      </c>
      <c r="Y569" s="407">
        <v>13426.290898546093</v>
      </c>
      <c r="Z569" s="407">
        <v>0</v>
      </c>
      <c r="AA569" s="408"/>
      <c r="AB569" s="408">
        <v>1.9551999609306405</v>
      </c>
      <c r="AC569" s="408">
        <v>1.932396502381418</v>
      </c>
      <c r="AD569" s="408"/>
      <c r="AE569" s="409"/>
      <c r="AF569" s="410">
        <v>11003</v>
      </c>
      <c r="AG569" s="410">
        <v>0.40250951126719342</v>
      </c>
      <c r="AH569" s="411"/>
      <c r="AI569" s="412">
        <v>1.552690449663447</v>
      </c>
      <c r="AJ569" s="411">
        <v>1.5298869911142245</v>
      </c>
      <c r="AK569" s="411"/>
      <c r="AL569" s="18"/>
      <c r="AM569" s="49"/>
      <c r="AN569" s="2"/>
      <c r="AO569" s="2"/>
    </row>
    <row r="570" spans="1:41" hidden="1">
      <c r="A570" s="14">
        <v>299</v>
      </c>
      <c r="B570" s="11" t="s">
        <v>311</v>
      </c>
      <c r="C570" s="14">
        <v>0</v>
      </c>
      <c r="D570" s="11" t="s">
        <v>18286</v>
      </c>
      <c r="E570" s="11" t="s">
        <v>311</v>
      </c>
      <c r="F570" s="12">
        <v>44154</v>
      </c>
      <c r="G570" s="11">
        <v>2020</v>
      </c>
      <c r="H570" s="11" t="s">
        <v>16384</v>
      </c>
      <c r="I570" s="11" t="s">
        <v>16385</v>
      </c>
      <c r="J570" s="11" t="s">
        <v>3</v>
      </c>
      <c r="K570" s="404">
        <v>245424</v>
      </c>
      <c r="L570" s="11">
        <v>1</v>
      </c>
      <c r="M570" s="405">
        <v>245424</v>
      </c>
      <c r="N570" s="11" t="s">
        <v>20155</v>
      </c>
      <c r="O570" s="11" t="s">
        <v>17801</v>
      </c>
      <c r="P570" s="872">
        <v>44163</v>
      </c>
      <c r="Q570" s="423">
        <v>0</v>
      </c>
      <c r="R570" s="423">
        <v>73400</v>
      </c>
      <c r="S570" s="423">
        <v>112000</v>
      </c>
      <c r="T570" s="423">
        <v>0</v>
      </c>
      <c r="U570" s="423">
        <v>185400</v>
      </c>
      <c r="V570" s="11" t="s">
        <v>20155</v>
      </c>
      <c r="W570" s="407">
        <v>0</v>
      </c>
      <c r="X570" s="407">
        <v>99824</v>
      </c>
      <c r="Y570" s="407">
        <v>145600</v>
      </c>
      <c r="Z570" s="407">
        <v>0</v>
      </c>
      <c r="AA570" s="408"/>
      <c r="AB570" s="408">
        <v>1.36</v>
      </c>
      <c r="AC570" s="408">
        <v>1.3</v>
      </c>
      <c r="AD570" s="408"/>
      <c r="AE570" s="409"/>
      <c r="AF570" s="410">
        <v>0</v>
      </c>
      <c r="AG570" s="410">
        <v>0</v>
      </c>
      <c r="AH570" s="411">
        <v>0</v>
      </c>
      <c r="AI570" s="412">
        <v>1.36</v>
      </c>
      <c r="AJ570" s="411">
        <v>1.3</v>
      </c>
      <c r="AK570" s="411">
        <v>0</v>
      </c>
      <c r="AL570" s="18"/>
      <c r="AM570" s="49"/>
      <c r="AN570" s="2"/>
      <c r="AO570" s="2"/>
    </row>
    <row r="571" spans="1:41" hidden="1">
      <c r="A571" s="14">
        <v>300</v>
      </c>
      <c r="B571" s="11" t="s">
        <v>312</v>
      </c>
      <c r="C571" s="14">
        <v>0</v>
      </c>
      <c r="D571" s="11" t="s">
        <v>18287</v>
      </c>
      <c r="E571" s="11" t="s">
        <v>312</v>
      </c>
      <c r="F571" s="12">
        <v>44154</v>
      </c>
      <c r="G571" s="11">
        <v>2020</v>
      </c>
      <c r="H571" s="11" t="s">
        <v>16444</v>
      </c>
      <c r="I571" s="11" t="s">
        <v>16445</v>
      </c>
      <c r="J571" s="11" t="s">
        <v>3</v>
      </c>
      <c r="K571" s="404">
        <v>255840</v>
      </c>
      <c r="L571" s="11">
        <v>1</v>
      </c>
      <c r="M571" s="405">
        <v>255840</v>
      </c>
      <c r="N571" s="11" t="s">
        <v>20155</v>
      </c>
      <c r="O571" s="11" t="s">
        <v>17801</v>
      </c>
      <c r="P571" s="872">
        <v>44160</v>
      </c>
      <c r="Q571" s="423">
        <v>0</v>
      </c>
      <c r="R571" s="423">
        <v>196800</v>
      </c>
      <c r="S571" s="423">
        <v>0</v>
      </c>
      <c r="T571" s="423">
        <v>0</v>
      </c>
      <c r="U571" s="423">
        <v>196800</v>
      </c>
      <c r="V571" s="11" t="s">
        <v>20155</v>
      </c>
      <c r="W571" s="407">
        <v>0</v>
      </c>
      <c r="X571" s="407">
        <v>255840</v>
      </c>
      <c r="Y571" s="407">
        <v>0</v>
      </c>
      <c r="Z571" s="407">
        <v>0</v>
      </c>
      <c r="AA571" s="408"/>
      <c r="AB571" s="408">
        <v>1.3</v>
      </c>
      <c r="AC571" s="408"/>
      <c r="AD571" s="408"/>
      <c r="AE571" s="409"/>
      <c r="AF571" s="410">
        <v>0</v>
      </c>
      <c r="AG571" s="410">
        <v>0</v>
      </c>
      <c r="AH571" s="411">
        <v>0</v>
      </c>
      <c r="AI571" s="412">
        <v>1.3</v>
      </c>
      <c r="AJ571" s="411">
        <v>0</v>
      </c>
      <c r="AK571" s="411">
        <v>0</v>
      </c>
      <c r="AL571" s="18"/>
      <c r="AM571" s="49"/>
      <c r="AN571" s="2"/>
      <c r="AO571" s="2"/>
    </row>
    <row r="572" spans="1:41" hidden="1">
      <c r="A572" s="14">
        <v>301</v>
      </c>
      <c r="B572" s="11" t="s">
        <v>313</v>
      </c>
      <c r="C572" s="14">
        <v>0</v>
      </c>
      <c r="D572" s="11" t="s">
        <v>18288</v>
      </c>
      <c r="E572" s="11" t="s">
        <v>313</v>
      </c>
      <c r="F572" s="12">
        <v>44154</v>
      </c>
      <c r="G572" s="11">
        <v>2020</v>
      </c>
      <c r="H572" s="11" t="s">
        <v>17270</v>
      </c>
      <c r="I572" s="11" t="s">
        <v>17271</v>
      </c>
      <c r="J572" s="11" t="s">
        <v>16482</v>
      </c>
      <c r="K572" s="404">
        <v>50183.383999999998</v>
      </c>
      <c r="L572" s="11">
        <v>3.2600500000000001</v>
      </c>
      <c r="M572" s="405">
        <v>15393.439977914448</v>
      </c>
      <c r="N572" s="11" t="s">
        <v>20155</v>
      </c>
      <c r="O572" s="11" t="s">
        <v>16394</v>
      </c>
      <c r="P572" s="872">
        <v>44170</v>
      </c>
      <c r="Q572" s="423">
        <v>0</v>
      </c>
      <c r="R572" s="423">
        <v>12528</v>
      </c>
      <c r="S572" s="423">
        <v>10500</v>
      </c>
      <c r="T572" s="423">
        <v>1840</v>
      </c>
      <c r="U572" s="423">
        <v>24868</v>
      </c>
      <c r="V572" s="11" t="s">
        <v>20155</v>
      </c>
      <c r="W572" s="407">
        <v>0</v>
      </c>
      <c r="X572" s="407">
        <v>22667.258052000005</v>
      </c>
      <c r="Y572" s="407">
        <v>18484.483500000002</v>
      </c>
      <c r="Z572" s="407">
        <v>9031.6425199999994</v>
      </c>
      <c r="AA572" s="408"/>
      <c r="AB572" s="408">
        <v>1.8093277500000005</v>
      </c>
      <c r="AC572" s="408">
        <v>1.7604270000000002</v>
      </c>
      <c r="AD572" s="408">
        <v>4.9085013695652169</v>
      </c>
      <c r="AE572" s="409"/>
      <c r="AF572" s="410">
        <v>550</v>
      </c>
      <c r="AG572" s="410">
        <v>2.2116776580344218E-2</v>
      </c>
      <c r="AH572" s="411"/>
      <c r="AI572" s="412">
        <v>1.7872109734196562</v>
      </c>
      <c r="AJ572" s="411">
        <v>1.7383102234196559</v>
      </c>
      <c r="AK572" s="411">
        <v>4.8863845929848724</v>
      </c>
      <c r="AL572" s="18"/>
      <c r="AM572" s="49"/>
      <c r="AN572" s="2"/>
      <c r="AO572" s="2"/>
    </row>
    <row r="573" spans="1:41" hidden="1">
      <c r="A573" s="14">
        <v>302</v>
      </c>
      <c r="B573" s="11" t="s">
        <v>314</v>
      </c>
      <c r="C573" s="14">
        <v>0</v>
      </c>
      <c r="D573" s="11" t="s">
        <v>18289</v>
      </c>
      <c r="E573" s="11" t="s">
        <v>314</v>
      </c>
      <c r="F573" s="12">
        <v>44155</v>
      </c>
      <c r="G573" s="11">
        <v>2020</v>
      </c>
      <c r="H573" s="11" t="s">
        <v>16444</v>
      </c>
      <c r="I573" s="11" t="s">
        <v>16445</v>
      </c>
      <c r="J573" s="11" t="s">
        <v>3</v>
      </c>
      <c r="K573" s="404">
        <v>30872</v>
      </c>
      <c r="L573" s="11">
        <v>1</v>
      </c>
      <c r="M573" s="405">
        <v>30872</v>
      </c>
      <c r="N573" s="11" t="s">
        <v>20155</v>
      </c>
      <c r="O573" s="11" t="s">
        <v>17854</v>
      </c>
      <c r="P573" s="872">
        <v>44165</v>
      </c>
      <c r="Q573" s="423">
        <v>17975</v>
      </c>
      <c r="R573" s="423">
        <v>0</v>
      </c>
      <c r="S573" s="423">
        <v>0</v>
      </c>
      <c r="T573" s="423">
        <v>0</v>
      </c>
      <c r="U573" s="423">
        <v>17975</v>
      </c>
      <c r="V573" s="11" t="s">
        <v>20155</v>
      </c>
      <c r="W573" s="407">
        <v>30872</v>
      </c>
      <c r="X573" s="407">
        <v>0</v>
      </c>
      <c r="Y573" s="407">
        <v>0</v>
      </c>
      <c r="Z573" s="407">
        <v>0</v>
      </c>
      <c r="AA573" s="408">
        <v>1.7174965229485397</v>
      </c>
      <c r="AB573" s="408"/>
      <c r="AC573" s="408"/>
      <c r="AD573" s="408"/>
      <c r="AE573" s="409"/>
      <c r="AF573" s="410">
        <v>0</v>
      </c>
      <c r="AG573" s="410">
        <v>0</v>
      </c>
      <c r="AH573" s="411">
        <v>1.7174965229485397</v>
      </c>
      <c r="AI573" s="412">
        <v>0</v>
      </c>
      <c r="AJ573" s="411">
        <v>0</v>
      </c>
      <c r="AK573" s="411">
        <v>0</v>
      </c>
      <c r="AL573" s="18"/>
      <c r="AM573" s="49"/>
      <c r="AN573" s="2"/>
      <c r="AO573" s="2"/>
    </row>
    <row r="574" spans="1:41" hidden="1">
      <c r="A574" s="14">
        <v>303</v>
      </c>
      <c r="B574" s="11" t="s">
        <v>315</v>
      </c>
      <c r="C574" s="14">
        <v>0</v>
      </c>
      <c r="D574" s="11" t="s">
        <v>18290</v>
      </c>
      <c r="E574" s="11" t="s">
        <v>315</v>
      </c>
      <c r="F574" s="12">
        <v>44155</v>
      </c>
      <c r="G574" s="11">
        <v>2020</v>
      </c>
      <c r="H574" s="11" t="s">
        <v>16384</v>
      </c>
      <c r="I574" s="11" t="s">
        <v>16385</v>
      </c>
      <c r="J574" s="11" t="s">
        <v>3</v>
      </c>
      <c r="K574" s="404">
        <v>76180</v>
      </c>
      <c r="L574" s="11">
        <v>1</v>
      </c>
      <c r="M574" s="404">
        <v>76180</v>
      </c>
      <c r="N574" s="11" t="s">
        <v>20155</v>
      </c>
      <c r="O574" s="11" t="s">
        <v>18291</v>
      </c>
      <c r="P574" s="872">
        <v>44160</v>
      </c>
      <c r="Q574" s="423">
        <v>0</v>
      </c>
      <c r="R574" s="423">
        <v>0</v>
      </c>
      <c r="S574" s="423">
        <v>52000</v>
      </c>
      <c r="T574" s="423">
        <v>0</v>
      </c>
      <c r="U574" s="423">
        <v>52000</v>
      </c>
      <c r="V574" s="11" t="s">
        <v>20155</v>
      </c>
      <c r="W574" s="407">
        <v>0</v>
      </c>
      <c r="X574" s="407">
        <v>0</v>
      </c>
      <c r="Y574" s="407">
        <v>76180</v>
      </c>
      <c r="Z574" s="407">
        <v>0</v>
      </c>
      <c r="AA574" s="408"/>
      <c r="AB574" s="408"/>
      <c r="AC574" s="408">
        <v>1.4650000000000001</v>
      </c>
      <c r="AD574" s="408"/>
      <c r="AE574" s="409"/>
      <c r="AF574" s="410">
        <v>0</v>
      </c>
      <c r="AG574" s="410">
        <v>0</v>
      </c>
      <c r="AH574" s="411">
        <v>0</v>
      </c>
      <c r="AI574" s="412">
        <v>0</v>
      </c>
      <c r="AJ574" s="411">
        <v>1.4650000000000001</v>
      </c>
      <c r="AK574" s="411">
        <v>0</v>
      </c>
      <c r="AL574" s="18"/>
      <c r="AM574" s="49"/>
      <c r="AN574" s="2"/>
      <c r="AO574" s="2"/>
    </row>
    <row r="575" spans="1:41" hidden="1">
      <c r="A575" s="14">
        <v>304</v>
      </c>
      <c r="B575" s="11" t="s">
        <v>316</v>
      </c>
      <c r="C575" s="14">
        <v>0</v>
      </c>
      <c r="D575" s="11" t="s">
        <v>18292</v>
      </c>
      <c r="E575" s="11" t="s">
        <v>316</v>
      </c>
      <c r="F575" s="12">
        <v>44162</v>
      </c>
      <c r="G575" s="11">
        <v>2020</v>
      </c>
      <c r="H575" s="11" t="s">
        <v>16444</v>
      </c>
      <c r="I575" s="11" t="s">
        <v>16445</v>
      </c>
      <c r="J575" s="11" t="s">
        <v>3</v>
      </c>
      <c r="K575" s="404">
        <v>127488</v>
      </c>
      <c r="L575" s="11">
        <v>1</v>
      </c>
      <c r="M575" s="404">
        <v>127488</v>
      </c>
      <c r="N575" s="11" t="s">
        <v>20155</v>
      </c>
      <c r="O575" s="11" t="s">
        <v>17798</v>
      </c>
      <c r="P575" s="872">
        <v>44167</v>
      </c>
      <c r="Q575" s="423">
        <v>76800</v>
      </c>
      <c r="R575" s="423">
        <v>0</v>
      </c>
      <c r="S575" s="423">
        <v>0</v>
      </c>
      <c r="T575" s="423">
        <v>0</v>
      </c>
      <c r="U575" s="423">
        <v>76800</v>
      </c>
      <c r="V575" s="11" t="s">
        <v>20155</v>
      </c>
      <c r="W575" s="407">
        <v>127488</v>
      </c>
      <c r="X575" s="407">
        <v>0</v>
      </c>
      <c r="Y575" s="407">
        <v>0</v>
      </c>
      <c r="Z575" s="407">
        <v>0</v>
      </c>
      <c r="AA575" s="408">
        <v>1.66</v>
      </c>
      <c r="AB575" s="408"/>
      <c r="AC575" s="408"/>
      <c r="AD575" s="408"/>
      <c r="AE575" s="409"/>
      <c r="AF575" s="410">
        <v>0</v>
      </c>
      <c r="AG575" s="410">
        <v>0</v>
      </c>
      <c r="AH575" s="411">
        <v>1.66</v>
      </c>
      <c r="AI575" s="412">
        <v>0</v>
      </c>
      <c r="AJ575" s="411">
        <v>0</v>
      </c>
      <c r="AK575" s="411">
        <v>0</v>
      </c>
      <c r="AL575" s="18"/>
      <c r="AM575" s="49"/>
      <c r="AN575" s="2"/>
      <c r="AO575" s="2"/>
    </row>
    <row r="576" spans="1:41" hidden="1">
      <c r="A576" s="14">
        <v>305</v>
      </c>
      <c r="B576" s="11" t="s">
        <v>317</v>
      </c>
      <c r="C576" s="14">
        <v>0</v>
      </c>
      <c r="D576" s="11" t="s">
        <v>18293</v>
      </c>
      <c r="E576" s="11" t="s">
        <v>317</v>
      </c>
      <c r="F576" s="12">
        <v>44162</v>
      </c>
      <c r="G576" s="11">
        <v>2020</v>
      </c>
      <c r="H576" s="11" t="s">
        <v>16444</v>
      </c>
      <c r="I576" s="11" t="s">
        <v>16445</v>
      </c>
      <c r="J576" s="11" t="s">
        <v>3</v>
      </c>
      <c r="K576" s="404">
        <v>119973.12</v>
      </c>
      <c r="L576" s="11">
        <v>1</v>
      </c>
      <c r="M576" s="404">
        <v>119973.12</v>
      </c>
      <c r="N576" s="11" t="s">
        <v>20155</v>
      </c>
      <c r="O576" s="11" t="s">
        <v>18248</v>
      </c>
      <c r="P576" s="872">
        <v>44174</v>
      </c>
      <c r="Q576" s="423">
        <v>19008</v>
      </c>
      <c r="R576" s="423">
        <v>60000</v>
      </c>
      <c r="S576" s="423">
        <v>0</v>
      </c>
      <c r="T576" s="423">
        <v>0</v>
      </c>
      <c r="U576" s="423">
        <v>79008</v>
      </c>
      <c r="V576" s="11" t="s">
        <v>20155</v>
      </c>
      <c r="W576" s="407">
        <v>31173.119999999999</v>
      </c>
      <c r="X576" s="407">
        <v>88800</v>
      </c>
      <c r="Y576" s="407">
        <v>0</v>
      </c>
      <c r="Z576" s="407">
        <v>0</v>
      </c>
      <c r="AA576" s="408">
        <v>1.64</v>
      </c>
      <c r="AB576" s="408">
        <v>1.48</v>
      </c>
      <c r="AC576" s="408"/>
      <c r="AD576" s="408"/>
      <c r="AE576" s="409"/>
      <c r="AF576" s="410">
        <v>0</v>
      </c>
      <c r="AG576" s="410">
        <v>0</v>
      </c>
      <c r="AH576" s="411">
        <v>1.64</v>
      </c>
      <c r="AI576" s="412">
        <v>1.48</v>
      </c>
      <c r="AJ576" s="411">
        <v>0</v>
      </c>
      <c r="AK576" s="411">
        <v>0</v>
      </c>
      <c r="AL576" s="18"/>
      <c r="AM576" s="49"/>
      <c r="AN576" s="2"/>
      <c r="AO576" s="2"/>
    </row>
    <row r="577" spans="1:41" hidden="1">
      <c r="A577" s="14">
        <v>306</v>
      </c>
      <c r="B577" s="11" t="s">
        <v>318</v>
      </c>
      <c r="C577" s="14">
        <v>0</v>
      </c>
      <c r="D577" s="11" t="s">
        <v>18294</v>
      </c>
      <c r="E577" s="11" t="s">
        <v>318</v>
      </c>
      <c r="F577" s="12">
        <v>44162</v>
      </c>
      <c r="G577" s="11">
        <v>2020</v>
      </c>
      <c r="H577" s="11" t="s">
        <v>17119</v>
      </c>
      <c r="I577" s="11" t="s">
        <v>17120</v>
      </c>
      <c r="J577" s="11" t="s">
        <v>16401</v>
      </c>
      <c r="K577" s="404">
        <v>71477.528000000006</v>
      </c>
      <c r="L577" s="11">
        <v>2.6932</v>
      </c>
      <c r="M577" s="404">
        <v>26540</v>
      </c>
      <c r="N577" s="11" t="s">
        <v>20155</v>
      </c>
      <c r="O577" s="11" t="s">
        <v>17965</v>
      </c>
      <c r="P577" s="872">
        <v>44191</v>
      </c>
      <c r="Q577" s="423">
        <v>38400</v>
      </c>
      <c r="R577" s="423">
        <v>0</v>
      </c>
      <c r="S577" s="423">
        <v>0</v>
      </c>
      <c r="T577" s="423">
        <v>0</v>
      </c>
      <c r="U577" s="423">
        <v>38400</v>
      </c>
      <c r="V577" s="11" t="s">
        <v>20155</v>
      </c>
      <c r="W577" s="407">
        <v>71477.528000000006</v>
      </c>
      <c r="X577" s="407">
        <v>0</v>
      </c>
      <c r="Y577" s="407">
        <v>0</v>
      </c>
      <c r="Z577" s="407">
        <v>0</v>
      </c>
      <c r="AA577" s="408">
        <v>1.8613939583333334</v>
      </c>
      <c r="AB577" s="408"/>
      <c r="AC577" s="408"/>
      <c r="AD577" s="408"/>
      <c r="AE577" s="409"/>
      <c r="AF577" s="410">
        <v>11851.13</v>
      </c>
      <c r="AG577" s="410">
        <v>0.30862317708333331</v>
      </c>
      <c r="AH577" s="411">
        <v>1.55277078125</v>
      </c>
      <c r="AI577" s="412"/>
      <c r="AJ577" s="411"/>
      <c r="AK577" s="411"/>
      <c r="AL577" s="18"/>
      <c r="AM577" s="49"/>
      <c r="AN577" s="2"/>
      <c r="AO577" s="2"/>
    </row>
    <row r="578" spans="1:41" hidden="1">
      <c r="A578" s="14">
        <v>307</v>
      </c>
      <c r="B578" s="11" t="s">
        <v>319</v>
      </c>
      <c r="C578" s="14">
        <v>0</v>
      </c>
      <c r="D578" s="11" t="s">
        <v>18295</v>
      </c>
      <c r="E578" s="11" t="s">
        <v>319</v>
      </c>
      <c r="F578" s="12">
        <v>44167</v>
      </c>
      <c r="G578" s="11">
        <v>2020</v>
      </c>
      <c r="H578" s="11" t="s">
        <v>16957</v>
      </c>
      <c r="I578" s="11" t="s">
        <v>16958</v>
      </c>
      <c r="J578" s="11" t="s">
        <v>16401</v>
      </c>
      <c r="K578" s="404">
        <v>38134.154999999999</v>
      </c>
      <c r="L578" s="11">
        <v>2.7045499999999998</v>
      </c>
      <c r="M578" s="404">
        <v>14100</v>
      </c>
      <c r="N578" s="11" t="s">
        <v>20155</v>
      </c>
      <c r="O578" s="11" t="s">
        <v>20161</v>
      </c>
      <c r="P578" s="872">
        <v>44173</v>
      </c>
      <c r="Q578" s="423">
        <v>20000</v>
      </c>
      <c r="R578" s="423">
        <v>0</v>
      </c>
      <c r="S578" s="423">
        <v>0</v>
      </c>
      <c r="T578" s="423">
        <v>0</v>
      </c>
      <c r="U578" s="423">
        <v>20000</v>
      </c>
      <c r="V578" s="11" t="s">
        <v>20179</v>
      </c>
      <c r="W578" s="407">
        <v>38134.154999999999</v>
      </c>
      <c r="X578" s="407">
        <v>0</v>
      </c>
      <c r="Y578" s="407">
        <v>0</v>
      </c>
      <c r="Z578" s="407">
        <v>0</v>
      </c>
      <c r="AA578" s="408">
        <v>1.90670775</v>
      </c>
      <c r="AB578" s="408"/>
      <c r="AC578" s="408"/>
      <c r="AD578" s="408"/>
      <c r="AE578" s="409"/>
      <c r="AF578" s="410">
        <v>4036.16</v>
      </c>
      <c r="AG578" s="410">
        <v>0.20180799999999999</v>
      </c>
      <c r="AH578" s="411">
        <v>1.70489975</v>
      </c>
      <c r="AI578" s="412"/>
      <c r="AJ578" s="411"/>
      <c r="AK578" s="411"/>
      <c r="AL578" s="18"/>
      <c r="AM578" s="49"/>
      <c r="AN578" s="2"/>
      <c r="AO578" s="2"/>
    </row>
    <row r="579" spans="1:41" hidden="1">
      <c r="A579" s="14">
        <v>308</v>
      </c>
      <c r="B579" s="11" t="s">
        <v>320</v>
      </c>
      <c r="C579" s="14">
        <v>0</v>
      </c>
      <c r="D579" s="11" t="s">
        <v>18297</v>
      </c>
      <c r="E579" s="11" t="s">
        <v>320</v>
      </c>
      <c r="F579" s="12">
        <v>44167</v>
      </c>
      <c r="G579" s="11">
        <v>2020</v>
      </c>
      <c r="H579" s="11" t="s">
        <v>16384</v>
      </c>
      <c r="I579" s="11" t="s">
        <v>16385</v>
      </c>
      <c r="J579" s="11" t="s">
        <v>3</v>
      </c>
      <c r="K579" s="404">
        <v>33744</v>
      </c>
      <c r="L579" s="11">
        <v>1</v>
      </c>
      <c r="M579" s="404">
        <v>33744</v>
      </c>
      <c r="N579" s="11" t="s">
        <v>20155</v>
      </c>
      <c r="O579" s="11" t="s">
        <v>17777</v>
      </c>
      <c r="P579" s="872">
        <v>44174</v>
      </c>
      <c r="Q579" s="423">
        <v>0</v>
      </c>
      <c r="R579" s="423">
        <v>22800</v>
      </c>
      <c r="S579" s="423">
        <v>0</v>
      </c>
      <c r="T579" s="423">
        <v>0</v>
      </c>
      <c r="U579" s="423">
        <v>22800</v>
      </c>
      <c r="V579" s="11" t="s">
        <v>20155</v>
      </c>
      <c r="W579" s="407">
        <v>0</v>
      </c>
      <c r="X579" s="407">
        <v>33744</v>
      </c>
      <c r="Y579" s="407">
        <v>0</v>
      </c>
      <c r="Z579" s="407">
        <v>0</v>
      </c>
      <c r="AA579" s="408"/>
      <c r="AB579" s="408">
        <v>1.48</v>
      </c>
      <c r="AC579" s="408"/>
      <c r="AD579" s="408"/>
      <c r="AE579" s="409"/>
      <c r="AF579" s="410">
        <v>0</v>
      </c>
      <c r="AG579" s="410">
        <v>0</v>
      </c>
      <c r="AH579" s="411">
        <v>0</v>
      </c>
      <c r="AI579" s="412">
        <v>1.48</v>
      </c>
      <c r="AJ579" s="411">
        <v>0</v>
      </c>
      <c r="AK579" s="411">
        <v>0</v>
      </c>
      <c r="AL579" s="18"/>
      <c r="AM579" s="49"/>
      <c r="AN579" s="2"/>
      <c r="AO579" s="2"/>
    </row>
    <row r="580" spans="1:41" hidden="1">
      <c r="A580" s="14">
        <v>309</v>
      </c>
      <c r="B580" s="11" t="s">
        <v>321</v>
      </c>
      <c r="C580" s="14">
        <v>0</v>
      </c>
      <c r="D580" s="11" t="s">
        <v>18298</v>
      </c>
      <c r="E580" s="11" t="s">
        <v>321</v>
      </c>
      <c r="F580" s="12">
        <v>44167</v>
      </c>
      <c r="G580" s="11">
        <v>2020</v>
      </c>
      <c r="H580" s="11" t="s">
        <v>16838</v>
      </c>
      <c r="I580" s="11" t="s">
        <v>16839</v>
      </c>
      <c r="J580" s="11" t="s">
        <v>3</v>
      </c>
      <c r="K580" s="404">
        <v>117780.4</v>
      </c>
      <c r="L580" s="11">
        <v>1</v>
      </c>
      <c r="M580" s="404">
        <v>117780.4</v>
      </c>
      <c r="N580" s="11" t="s">
        <v>20155</v>
      </c>
      <c r="O580" s="11" t="s">
        <v>17771</v>
      </c>
      <c r="P580" s="872">
        <v>44176</v>
      </c>
      <c r="Q580" s="423">
        <v>3360</v>
      </c>
      <c r="R580" s="423">
        <v>20280</v>
      </c>
      <c r="S580" s="423">
        <v>56000</v>
      </c>
      <c r="T580" s="423">
        <v>0</v>
      </c>
      <c r="U580" s="423">
        <v>79640</v>
      </c>
      <c r="V580" s="11" t="s">
        <v>20155</v>
      </c>
      <c r="W580" s="407">
        <v>5476.8</v>
      </c>
      <c r="X580" s="407">
        <v>32853.599999999999</v>
      </c>
      <c r="Y580" s="407">
        <v>79450</v>
      </c>
      <c r="Z580" s="407">
        <v>0</v>
      </c>
      <c r="AA580" s="408">
        <v>1.63</v>
      </c>
      <c r="AB580" s="408">
        <v>1.62</v>
      </c>
      <c r="AC580" s="408">
        <v>1.41875</v>
      </c>
      <c r="AD580" s="408"/>
      <c r="AE580" s="409"/>
      <c r="AF580" s="410">
        <v>0</v>
      </c>
      <c r="AG580" s="410">
        <v>0</v>
      </c>
      <c r="AH580" s="411">
        <v>1.63</v>
      </c>
      <c r="AI580" s="412">
        <v>1.62</v>
      </c>
      <c r="AJ580" s="411">
        <v>1.41875</v>
      </c>
      <c r="AK580" s="411">
        <v>0</v>
      </c>
      <c r="AL580" s="18"/>
      <c r="AM580" s="49"/>
      <c r="AN580" s="2"/>
      <c r="AO580" s="2"/>
    </row>
    <row r="581" spans="1:41" hidden="1">
      <c r="A581" s="14">
        <v>310</v>
      </c>
      <c r="B581" s="11" t="s">
        <v>322</v>
      </c>
      <c r="C581" s="14">
        <v>0</v>
      </c>
      <c r="D581" s="11" t="s">
        <v>18299</v>
      </c>
      <c r="E581" s="11" t="s">
        <v>322</v>
      </c>
      <c r="F581" s="12">
        <v>44167</v>
      </c>
      <c r="G581" s="11">
        <v>2020</v>
      </c>
      <c r="H581" s="11" t="s">
        <v>16384</v>
      </c>
      <c r="I581" s="11" t="s">
        <v>16385</v>
      </c>
      <c r="J581" s="11" t="s">
        <v>3</v>
      </c>
      <c r="K581" s="404">
        <v>736400</v>
      </c>
      <c r="L581" s="11">
        <v>1</v>
      </c>
      <c r="M581" s="404">
        <v>736400</v>
      </c>
      <c r="N581" s="11" t="s">
        <v>20155</v>
      </c>
      <c r="O581" s="11" t="s">
        <v>17801</v>
      </c>
      <c r="P581" s="872">
        <v>44186</v>
      </c>
      <c r="Q581" s="423">
        <v>0</v>
      </c>
      <c r="R581" s="423">
        <v>0</v>
      </c>
      <c r="S581" s="423">
        <v>560000</v>
      </c>
      <c r="T581" s="423">
        <v>0</v>
      </c>
      <c r="U581" s="423">
        <v>560000</v>
      </c>
      <c r="V581" s="11" t="s">
        <v>20155</v>
      </c>
      <c r="W581" s="407">
        <v>0</v>
      </c>
      <c r="X581" s="407">
        <v>0</v>
      </c>
      <c r="Y581" s="407">
        <v>736400</v>
      </c>
      <c r="Z581" s="407">
        <v>0</v>
      </c>
      <c r="AA581" s="408"/>
      <c r="AB581" s="408"/>
      <c r="AC581" s="408">
        <v>1.3149999999999999</v>
      </c>
      <c r="AD581" s="408"/>
      <c r="AE581" s="409"/>
      <c r="AF581" s="410">
        <v>0</v>
      </c>
      <c r="AG581" s="410">
        <v>0</v>
      </c>
      <c r="AH581" s="411">
        <v>0</v>
      </c>
      <c r="AI581" s="412">
        <v>0</v>
      </c>
      <c r="AJ581" s="411">
        <v>1.3149999999999999</v>
      </c>
      <c r="AK581" s="411">
        <v>0</v>
      </c>
      <c r="AL581" s="18"/>
      <c r="AM581" s="49"/>
      <c r="AN581" s="2"/>
      <c r="AO581" s="2"/>
    </row>
    <row r="582" spans="1:41" hidden="1">
      <c r="A582" s="14">
        <v>311</v>
      </c>
      <c r="B582" s="11" t="s">
        <v>323</v>
      </c>
      <c r="C582" s="14">
        <v>0</v>
      </c>
      <c r="D582" s="11" t="s">
        <v>18301</v>
      </c>
      <c r="E582" s="11" t="s">
        <v>323</v>
      </c>
      <c r="F582" s="12">
        <v>44169</v>
      </c>
      <c r="G582" s="11">
        <v>2020</v>
      </c>
      <c r="H582" s="11" t="s">
        <v>16444</v>
      </c>
      <c r="I582" s="11" t="s">
        <v>16445</v>
      </c>
      <c r="J582" s="11" t="s">
        <v>3</v>
      </c>
      <c r="K582" s="404">
        <v>73506.720000000001</v>
      </c>
      <c r="L582" s="11">
        <v>1</v>
      </c>
      <c r="M582" s="405">
        <v>73506.720000000001</v>
      </c>
      <c r="N582" s="11" t="s">
        <v>20155</v>
      </c>
      <c r="O582" s="11" t="s">
        <v>18248</v>
      </c>
      <c r="P582" s="872">
        <v>44174</v>
      </c>
      <c r="Q582" s="423">
        <v>44016</v>
      </c>
      <c r="R582" s="423">
        <v>0</v>
      </c>
      <c r="S582" s="423">
        <v>0</v>
      </c>
      <c r="T582" s="423">
        <v>0</v>
      </c>
      <c r="U582" s="423">
        <v>44016</v>
      </c>
      <c r="V582" s="11" t="s">
        <v>20155</v>
      </c>
      <c r="W582" s="407">
        <v>73506.720000000001</v>
      </c>
      <c r="X582" s="407">
        <v>0</v>
      </c>
      <c r="Y582" s="407">
        <v>0</v>
      </c>
      <c r="Z582" s="407">
        <v>0</v>
      </c>
      <c r="AA582" s="408">
        <v>1.67</v>
      </c>
      <c r="AB582" s="408"/>
      <c r="AC582" s="408"/>
      <c r="AD582" s="408"/>
      <c r="AE582" s="409"/>
      <c r="AF582" s="410">
        <v>0</v>
      </c>
      <c r="AG582" s="410">
        <v>0</v>
      </c>
      <c r="AH582" s="411">
        <v>1.67</v>
      </c>
      <c r="AI582" s="412">
        <v>0</v>
      </c>
      <c r="AJ582" s="411">
        <v>0</v>
      </c>
      <c r="AK582" s="411">
        <v>0</v>
      </c>
      <c r="AL582" s="18"/>
      <c r="AM582" s="49"/>
      <c r="AN582" s="2"/>
      <c r="AO582" s="2"/>
    </row>
    <row r="583" spans="1:41" hidden="1">
      <c r="A583" s="14">
        <v>312</v>
      </c>
      <c r="B583" s="11" t="s">
        <v>324</v>
      </c>
      <c r="C583" s="14">
        <v>0</v>
      </c>
      <c r="D583" s="11" t="s">
        <v>18303</v>
      </c>
      <c r="E583" s="11" t="s">
        <v>324</v>
      </c>
      <c r="F583" s="12">
        <v>44169</v>
      </c>
      <c r="G583" s="11">
        <v>2020</v>
      </c>
      <c r="H583" s="11" t="s">
        <v>17017</v>
      </c>
      <c r="I583" s="11" t="s">
        <v>17018</v>
      </c>
      <c r="J583" s="11" t="s">
        <v>3</v>
      </c>
      <c r="K583" s="404">
        <v>76928</v>
      </c>
      <c r="L583" s="11">
        <v>1</v>
      </c>
      <c r="M583" s="405">
        <v>76928</v>
      </c>
      <c r="N583" s="11" t="s">
        <v>20155</v>
      </c>
      <c r="O583" s="11" t="s">
        <v>17954</v>
      </c>
      <c r="P583" s="872">
        <v>44176</v>
      </c>
      <c r="Q583" s="423">
        <v>0</v>
      </c>
      <c r="R583" s="423">
        <v>0</v>
      </c>
      <c r="S583" s="423">
        <v>0</v>
      </c>
      <c r="T583" s="423">
        <v>25600</v>
      </c>
      <c r="U583" s="423">
        <v>25600</v>
      </c>
      <c r="V583" s="11" t="s">
        <v>20155</v>
      </c>
      <c r="W583" s="407">
        <v>0</v>
      </c>
      <c r="X583" s="407">
        <v>0</v>
      </c>
      <c r="Y583" s="407">
        <v>0</v>
      </c>
      <c r="Z583" s="407">
        <v>76928</v>
      </c>
      <c r="AA583" s="431"/>
      <c r="AB583" s="408"/>
      <c r="AC583" s="408"/>
      <c r="AD583" s="408">
        <v>3.0049999999999999</v>
      </c>
      <c r="AE583" s="409"/>
      <c r="AF583" s="410">
        <v>0</v>
      </c>
      <c r="AG583" s="410">
        <v>0</v>
      </c>
      <c r="AH583" s="411">
        <v>0</v>
      </c>
      <c r="AI583" s="412">
        <v>0</v>
      </c>
      <c r="AJ583" s="411">
        <v>0</v>
      </c>
      <c r="AK583" s="411">
        <v>3.0049999999999999</v>
      </c>
      <c r="AL583" s="18"/>
      <c r="AM583" s="49"/>
      <c r="AN583" s="2"/>
      <c r="AO583" s="2"/>
    </row>
    <row r="584" spans="1:41" hidden="1">
      <c r="A584" s="14">
        <v>313</v>
      </c>
      <c r="B584" s="11" t="s">
        <v>325</v>
      </c>
      <c r="C584" s="14">
        <v>0</v>
      </c>
      <c r="D584" s="11" t="s">
        <v>18305</v>
      </c>
      <c r="E584" s="11" t="s">
        <v>325</v>
      </c>
      <c r="F584" s="12">
        <v>44169</v>
      </c>
      <c r="G584" s="11">
        <v>2020</v>
      </c>
      <c r="H584" s="11" t="s">
        <v>17017</v>
      </c>
      <c r="I584" s="11" t="s">
        <v>17018</v>
      </c>
      <c r="J584" s="11" t="s">
        <v>3</v>
      </c>
      <c r="K584" s="404">
        <v>34771.86</v>
      </c>
      <c r="L584" s="11">
        <v>1</v>
      </c>
      <c r="M584" s="405">
        <v>34771.86</v>
      </c>
      <c r="N584" s="11" t="s">
        <v>20155</v>
      </c>
      <c r="O584" s="11" t="s">
        <v>17238</v>
      </c>
      <c r="P584" s="872">
        <v>44181</v>
      </c>
      <c r="Q584" s="423">
        <v>0</v>
      </c>
      <c r="R584" s="423">
        <v>0</v>
      </c>
      <c r="S584" s="423">
        <v>20157.599999999999</v>
      </c>
      <c r="T584" s="423">
        <v>0</v>
      </c>
      <c r="U584" s="423">
        <v>20157.599999999999</v>
      </c>
      <c r="V584" s="11" t="s">
        <v>20155</v>
      </c>
      <c r="W584" s="407">
        <v>0</v>
      </c>
      <c r="X584" s="407">
        <v>0</v>
      </c>
      <c r="Y584" s="407">
        <v>34771.86</v>
      </c>
      <c r="Z584" s="407">
        <v>0</v>
      </c>
      <c r="AA584" s="431"/>
      <c r="AB584" s="408"/>
      <c r="AC584" s="408">
        <v>1.7250000000000001</v>
      </c>
      <c r="AD584" s="408"/>
      <c r="AE584" s="409"/>
      <c r="AF584" s="410">
        <v>0</v>
      </c>
      <c r="AG584" s="410">
        <v>0</v>
      </c>
      <c r="AH584" s="411">
        <v>0</v>
      </c>
      <c r="AI584" s="412">
        <v>0</v>
      </c>
      <c r="AJ584" s="411">
        <v>1.7250000000000001</v>
      </c>
      <c r="AK584" s="411">
        <v>0</v>
      </c>
      <c r="AL584" s="18"/>
      <c r="AM584" s="49"/>
      <c r="AN584" s="2"/>
      <c r="AO584" s="2"/>
    </row>
    <row r="585" spans="1:41" hidden="1">
      <c r="A585" s="14">
        <v>314</v>
      </c>
      <c r="B585" s="11" t="s">
        <v>326</v>
      </c>
      <c r="C585" s="14">
        <v>0</v>
      </c>
      <c r="D585" s="11" t="s">
        <v>18307</v>
      </c>
      <c r="E585" s="11" t="s">
        <v>326</v>
      </c>
      <c r="F585" s="12">
        <v>44176</v>
      </c>
      <c r="G585" s="11">
        <v>2020</v>
      </c>
      <c r="H585" s="11" t="s">
        <v>16444</v>
      </c>
      <c r="I585" s="11" t="s">
        <v>16445</v>
      </c>
      <c r="J585" s="11" t="s">
        <v>3</v>
      </c>
      <c r="K585" s="404">
        <v>171080</v>
      </c>
      <c r="L585" s="11">
        <v>1</v>
      </c>
      <c r="M585" s="404">
        <v>171080</v>
      </c>
      <c r="N585" s="11" t="s">
        <v>20155</v>
      </c>
      <c r="O585" s="11" t="s">
        <v>17801</v>
      </c>
      <c r="P585" s="872">
        <v>44181</v>
      </c>
      <c r="Q585" s="423">
        <v>0</v>
      </c>
      <c r="R585" s="423">
        <v>131600</v>
      </c>
      <c r="S585" s="423">
        <v>0</v>
      </c>
      <c r="T585" s="423">
        <v>0</v>
      </c>
      <c r="U585" s="423">
        <v>131600</v>
      </c>
      <c r="V585" s="11" t="s">
        <v>20155</v>
      </c>
      <c r="W585" s="407">
        <v>0</v>
      </c>
      <c r="X585" s="407">
        <v>171080</v>
      </c>
      <c r="Y585" s="407">
        <v>0</v>
      </c>
      <c r="Z585" s="407">
        <v>0</v>
      </c>
      <c r="AA585" s="408"/>
      <c r="AB585" s="408">
        <v>1.3</v>
      </c>
      <c r="AC585" s="408"/>
      <c r="AD585" s="408"/>
      <c r="AE585" s="409"/>
      <c r="AF585" s="410">
        <v>0</v>
      </c>
      <c r="AG585" s="410">
        <v>0</v>
      </c>
      <c r="AH585" s="411">
        <v>0</v>
      </c>
      <c r="AI585" s="412">
        <v>1.3</v>
      </c>
      <c r="AJ585" s="411">
        <v>0</v>
      </c>
      <c r="AK585" s="411">
        <v>0</v>
      </c>
      <c r="AL585" s="18"/>
      <c r="AM585" s="49"/>
      <c r="AN585" s="2"/>
      <c r="AO585" s="2"/>
    </row>
    <row r="586" spans="1:41" hidden="1">
      <c r="A586" s="14">
        <v>315</v>
      </c>
      <c r="B586" s="11" t="s">
        <v>327</v>
      </c>
      <c r="C586" s="14">
        <v>0</v>
      </c>
      <c r="D586" s="11" t="s">
        <v>18308</v>
      </c>
      <c r="E586" s="11" t="s">
        <v>327</v>
      </c>
      <c r="F586" s="12">
        <v>44176</v>
      </c>
      <c r="G586" s="11">
        <v>2020</v>
      </c>
      <c r="H586" s="11" t="s">
        <v>16444</v>
      </c>
      <c r="I586" s="11" t="s">
        <v>16445</v>
      </c>
      <c r="J586" s="11" t="s">
        <v>3</v>
      </c>
      <c r="K586" s="404">
        <v>248775</v>
      </c>
      <c r="L586" s="11">
        <v>1</v>
      </c>
      <c r="M586" s="404">
        <v>248775</v>
      </c>
      <c r="N586" s="11" t="s">
        <v>20155</v>
      </c>
      <c r="O586" s="11" t="s">
        <v>17801</v>
      </c>
      <c r="P586" s="872">
        <v>44188</v>
      </c>
      <c r="Q586" s="423">
        <v>0</v>
      </c>
      <c r="R586" s="423">
        <v>199020</v>
      </c>
      <c r="S586" s="423">
        <v>0</v>
      </c>
      <c r="T586" s="423">
        <v>0</v>
      </c>
      <c r="U586" s="423">
        <v>199020</v>
      </c>
      <c r="V586" s="11" t="s">
        <v>20155</v>
      </c>
      <c r="W586" s="407">
        <v>0</v>
      </c>
      <c r="X586" s="407">
        <v>248775</v>
      </c>
      <c r="Y586" s="407">
        <v>0</v>
      </c>
      <c r="Z586" s="407">
        <v>0</v>
      </c>
      <c r="AA586" s="408"/>
      <c r="AB586" s="408">
        <v>1.1338878760255242</v>
      </c>
      <c r="AC586" s="408"/>
      <c r="AD586" s="408"/>
      <c r="AE586" s="409"/>
      <c r="AF586" s="410">
        <v>0</v>
      </c>
      <c r="AG586" s="410">
        <v>0</v>
      </c>
      <c r="AH586" s="411">
        <v>0</v>
      </c>
      <c r="AI586" s="412">
        <v>1.1338878760255242</v>
      </c>
      <c r="AJ586" s="411">
        <v>0</v>
      </c>
      <c r="AK586" s="411">
        <v>0</v>
      </c>
      <c r="AL586" s="18"/>
      <c r="AM586" s="49"/>
      <c r="AN586" s="2"/>
      <c r="AO586" s="2"/>
    </row>
    <row r="587" spans="1:41" hidden="1">
      <c r="A587" s="14">
        <v>316</v>
      </c>
      <c r="B587" s="11" t="s">
        <v>328</v>
      </c>
      <c r="C587" s="14">
        <v>0</v>
      </c>
      <c r="D587" s="11" t="s">
        <v>18309</v>
      </c>
      <c r="E587" s="11" t="s">
        <v>328</v>
      </c>
      <c r="F587" s="12">
        <v>44176</v>
      </c>
      <c r="G587" s="11">
        <v>2020</v>
      </c>
      <c r="H587" s="11" t="s">
        <v>16444</v>
      </c>
      <c r="I587" s="11" t="s">
        <v>16445</v>
      </c>
      <c r="J587" s="11" t="s">
        <v>3</v>
      </c>
      <c r="K587" s="404">
        <v>63541.5</v>
      </c>
      <c r="L587" s="11">
        <v>1</v>
      </c>
      <c r="M587" s="404">
        <v>63541.5</v>
      </c>
      <c r="N587" s="11" t="s">
        <v>20155</v>
      </c>
      <c r="O587" s="11" t="s">
        <v>17854</v>
      </c>
      <c r="P587" s="872">
        <v>44193</v>
      </c>
      <c r="Q587" s="451">
        <v>35950</v>
      </c>
      <c r="R587" s="451">
        <v>0</v>
      </c>
      <c r="S587" s="451">
        <v>0</v>
      </c>
      <c r="T587" s="451">
        <v>0</v>
      </c>
      <c r="U587" s="451">
        <v>35950</v>
      </c>
      <c r="V587" s="11" t="s">
        <v>20155</v>
      </c>
      <c r="W587" s="452">
        <v>63541.5</v>
      </c>
      <c r="X587" s="452">
        <v>0</v>
      </c>
      <c r="Y587" s="452">
        <v>0</v>
      </c>
      <c r="Z587" s="452">
        <v>0</v>
      </c>
      <c r="AA587" s="452">
        <v>1.7674965229485395</v>
      </c>
      <c r="AB587" s="452"/>
      <c r="AC587" s="452"/>
      <c r="AD587" s="452"/>
      <c r="AE587" s="409"/>
      <c r="AF587" s="453">
        <v>0</v>
      </c>
      <c r="AG587" s="453">
        <v>0</v>
      </c>
      <c r="AH587" s="452">
        <v>1.7674965229485395</v>
      </c>
      <c r="AI587" s="454">
        <v>0</v>
      </c>
      <c r="AJ587" s="452">
        <v>0</v>
      </c>
      <c r="AK587" s="452">
        <v>0</v>
      </c>
      <c r="AL587" s="18"/>
      <c r="AM587" s="49"/>
      <c r="AN587" s="2"/>
      <c r="AO587" s="2"/>
    </row>
    <row r="588" spans="1:41" hidden="1">
      <c r="A588" s="14">
        <v>317</v>
      </c>
      <c r="B588" s="11" t="s">
        <v>329</v>
      </c>
      <c r="C588" s="14">
        <v>0</v>
      </c>
      <c r="D588" s="11" t="s">
        <v>18310</v>
      </c>
      <c r="E588" s="11" t="s">
        <v>329</v>
      </c>
      <c r="F588" s="12">
        <v>44176</v>
      </c>
      <c r="G588" s="11">
        <v>2020</v>
      </c>
      <c r="H588" s="11" t="s">
        <v>16957</v>
      </c>
      <c r="I588" s="11" t="s">
        <v>16958</v>
      </c>
      <c r="J588" s="11" t="s">
        <v>16401</v>
      </c>
      <c r="K588" s="404">
        <v>73021.12000000001</v>
      </c>
      <c r="L588" s="11">
        <v>2.6846000000000001</v>
      </c>
      <c r="M588" s="404">
        <v>27200.000000000004</v>
      </c>
      <c r="N588" s="11" t="s">
        <v>20155</v>
      </c>
      <c r="O588" s="11" t="s">
        <v>20161</v>
      </c>
      <c r="P588" s="872">
        <v>44187</v>
      </c>
      <c r="Q588" s="423">
        <v>40000</v>
      </c>
      <c r="R588" s="423">
        <v>0</v>
      </c>
      <c r="S588" s="423">
        <v>0</v>
      </c>
      <c r="T588" s="423">
        <v>0</v>
      </c>
      <c r="U588" s="423">
        <v>40000</v>
      </c>
      <c r="V588" s="11" t="s">
        <v>20155</v>
      </c>
      <c r="W588" s="407">
        <v>73021.119999999995</v>
      </c>
      <c r="X588" s="407">
        <v>0</v>
      </c>
      <c r="Y588" s="407">
        <v>0</v>
      </c>
      <c r="Z588" s="407">
        <v>0</v>
      </c>
      <c r="AA588" s="408">
        <v>1.8255279999999998</v>
      </c>
      <c r="AB588" s="408"/>
      <c r="AC588" s="408"/>
      <c r="AD588" s="408"/>
      <c r="AE588" s="409"/>
      <c r="AF588" s="410">
        <v>7784.4480000000003</v>
      </c>
      <c r="AG588" s="410">
        <v>0.19461120000000001</v>
      </c>
      <c r="AH588" s="411">
        <v>1.6309167999999998</v>
      </c>
      <c r="AI588" s="412"/>
      <c r="AJ588" s="411"/>
      <c r="AK588" s="411"/>
      <c r="AL588" s="18"/>
      <c r="AM588" s="49"/>
      <c r="AN588" s="2"/>
      <c r="AO588" s="2"/>
    </row>
    <row r="589" spans="1:41" hidden="1">
      <c r="A589" s="14">
        <v>318</v>
      </c>
      <c r="B589" s="11" t="s">
        <v>330</v>
      </c>
      <c r="C589" s="14">
        <v>0</v>
      </c>
      <c r="D589" s="11" t="s">
        <v>18312</v>
      </c>
      <c r="E589" s="11" t="s">
        <v>330</v>
      </c>
      <c r="F589" s="12">
        <v>44176</v>
      </c>
      <c r="G589" s="11">
        <v>2020</v>
      </c>
      <c r="H589" s="11" t="s">
        <v>16880</v>
      </c>
      <c r="I589" s="11" t="s">
        <v>16881</v>
      </c>
      <c r="J589" s="11" t="s">
        <v>16401</v>
      </c>
      <c r="K589" s="404">
        <v>57859.573040000003</v>
      </c>
      <c r="L589" s="11">
        <v>2.6846000000000001</v>
      </c>
      <c r="M589" s="404">
        <v>21552.400000000001</v>
      </c>
      <c r="N589" s="11" t="s">
        <v>20155</v>
      </c>
      <c r="O589" s="11" t="s">
        <v>20156</v>
      </c>
      <c r="P589" s="872">
        <v>44186</v>
      </c>
      <c r="Q589" s="423">
        <v>0</v>
      </c>
      <c r="R589" s="423">
        <v>17720</v>
      </c>
      <c r="S589" s="423">
        <v>0</v>
      </c>
      <c r="T589" s="423">
        <v>0</v>
      </c>
      <c r="U589" s="423">
        <v>17720</v>
      </c>
      <c r="V589" s="11" t="s">
        <v>20155</v>
      </c>
      <c r="W589" s="407">
        <v>0</v>
      </c>
      <c r="X589" s="407">
        <v>57859.573040000003</v>
      </c>
      <c r="Y589" s="407">
        <v>0</v>
      </c>
      <c r="Z589" s="407">
        <v>0</v>
      </c>
      <c r="AA589" s="408"/>
      <c r="AB589" s="408">
        <v>3.265212925507901</v>
      </c>
      <c r="AC589" s="408"/>
      <c r="AD589" s="408"/>
      <c r="AE589" s="409"/>
      <c r="AF589" s="410">
        <v>1412.72</v>
      </c>
      <c r="AG589" s="410">
        <v>7.972460496613995E-2</v>
      </c>
      <c r="AH589" s="411"/>
      <c r="AI589" s="412">
        <v>3.185488320541761</v>
      </c>
      <c r="AJ589" s="411"/>
      <c r="AK589" s="411"/>
      <c r="AL589" s="18"/>
      <c r="AM589" s="49"/>
      <c r="AN589" s="2"/>
      <c r="AO589" s="2"/>
    </row>
    <row r="590" spans="1:41" hidden="1">
      <c r="A590" s="14">
        <v>319</v>
      </c>
      <c r="B590" s="11" t="s">
        <v>331</v>
      </c>
      <c r="C590" s="14">
        <v>0</v>
      </c>
      <c r="D590" s="11" t="s">
        <v>18314</v>
      </c>
      <c r="E590" s="11" t="s">
        <v>331</v>
      </c>
      <c r="F590" s="12">
        <v>44176</v>
      </c>
      <c r="G590" s="11">
        <v>2020</v>
      </c>
      <c r="H590" s="11" t="s">
        <v>17226</v>
      </c>
      <c r="I590" s="11" t="s">
        <v>17227</v>
      </c>
      <c r="J590" s="11" t="s">
        <v>3</v>
      </c>
      <c r="K590" s="404">
        <v>91723</v>
      </c>
      <c r="L590" s="11">
        <v>1</v>
      </c>
      <c r="M590" s="404">
        <v>91723</v>
      </c>
      <c r="N590" s="11" t="s">
        <v>20155</v>
      </c>
      <c r="O590" s="11" t="s">
        <v>17689</v>
      </c>
      <c r="P590" s="872">
        <v>44189</v>
      </c>
      <c r="Q590" s="423">
        <v>7200</v>
      </c>
      <c r="R590" s="423">
        <v>31000</v>
      </c>
      <c r="S590" s="423">
        <v>12000</v>
      </c>
      <c r="T590" s="423">
        <v>2650</v>
      </c>
      <c r="U590" s="423">
        <v>52850</v>
      </c>
      <c r="V590" s="11" t="s">
        <v>20155</v>
      </c>
      <c r="W590" s="407">
        <v>11988</v>
      </c>
      <c r="X590" s="407">
        <v>51170</v>
      </c>
      <c r="Y590" s="407">
        <v>19800</v>
      </c>
      <c r="Z590" s="407">
        <v>8765</v>
      </c>
      <c r="AA590" s="408">
        <v>1.665</v>
      </c>
      <c r="AB590" s="408">
        <v>1.6506451612903226</v>
      </c>
      <c r="AC590" s="408">
        <v>1.65</v>
      </c>
      <c r="AD590" s="408">
        <v>3.3075471698113206</v>
      </c>
      <c r="AE590" s="409"/>
      <c r="AF590" s="410">
        <v>0</v>
      </c>
      <c r="AG590" s="410">
        <v>0</v>
      </c>
      <c r="AH590" s="411">
        <v>1.665</v>
      </c>
      <c r="AI590" s="412">
        <v>1.6506451612903226</v>
      </c>
      <c r="AJ590" s="411">
        <v>1.65</v>
      </c>
      <c r="AK590" s="411">
        <v>3.3075471698113206</v>
      </c>
      <c r="AL590" s="18"/>
      <c r="AM590" s="49"/>
      <c r="AN590" s="2"/>
      <c r="AO590" s="2"/>
    </row>
    <row r="591" spans="1:41" hidden="1">
      <c r="A591" s="14">
        <v>320</v>
      </c>
      <c r="B591" s="11" t="s">
        <v>332</v>
      </c>
      <c r="C591" s="14">
        <v>0</v>
      </c>
      <c r="D591" s="11" t="s">
        <v>18316</v>
      </c>
      <c r="E591" s="11" t="s">
        <v>332</v>
      </c>
      <c r="F591" s="12">
        <v>44176</v>
      </c>
      <c r="G591" s="11">
        <v>2020</v>
      </c>
      <c r="H591" s="11" t="s">
        <v>16838</v>
      </c>
      <c r="I591" s="11" t="s">
        <v>16839</v>
      </c>
      <c r="J591" s="11" t="s">
        <v>3</v>
      </c>
      <c r="K591" s="404">
        <v>251675.12</v>
      </c>
      <c r="L591" s="11">
        <v>1</v>
      </c>
      <c r="M591" s="404">
        <v>251675.12</v>
      </c>
      <c r="N591" s="11" t="s">
        <v>20155</v>
      </c>
      <c r="O591" s="11" t="s">
        <v>17949</v>
      </c>
      <c r="P591" s="872">
        <v>44180</v>
      </c>
      <c r="Q591" s="423">
        <v>129224</v>
      </c>
      <c r="R591" s="423">
        <v>19200</v>
      </c>
      <c r="S591" s="423">
        <v>8400</v>
      </c>
      <c r="T591" s="423">
        <v>0</v>
      </c>
      <c r="U591" s="423">
        <v>156824</v>
      </c>
      <c r="V591" s="11" t="s">
        <v>20155</v>
      </c>
      <c r="W591" s="407">
        <v>211499.12</v>
      </c>
      <c r="X591" s="407">
        <v>28416</v>
      </c>
      <c r="Y591" s="407">
        <v>11760</v>
      </c>
      <c r="Z591" s="407">
        <v>0</v>
      </c>
      <c r="AA591" s="408">
        <v>1.6366860645081409</v>
      </c>
      <c r="AB591" s="408">
        <v>1.48</v>
      </c>
      <c r="AC591" s="408">
        <v>1.4</v>
      </c>
      <c r="AD591" s="408"/>
      <c r="AE591" s="409"/>
      <c r="AF591" s="410">
        <v>0</v>
      </c>
      <c r="AG591" s="410">
        <v>0</v>
      </c>
      <c r="AH591" s="411">
        <v>1.6366860645081409</v>
      </c>
      <c r="AI591" s="412">
        <v>1.48</v>
      </c>
      <c r="AJ591" s="411">
        <v>1.4</v>
      </c>
      <c r="AK591" s="411">
        <v>0</v>
      </c>
      <c r="AL591" s="18"/>
      <c r="AM591" s="49"/>
      <c r="AN591" s="2"/>
      <c r="AO591" s="2"/>
    </row>
    <row r="592" spans="1:41" hidden="1">
      <c r="A592" s="455">
        <v>321</v>
      </c>
      <c r="B592" s="51" t="s">
        <v>333</v>
      </c>
      <c r="C592" s="455">
        <v>0</v>
      </c>
      <c r="D592" s="51" t="s">
        <v>18317</v>
      </c>
      <c r="E592" s="51" t="s">
        <v>333</v>
      </c>
      <c r="F592" s="52">
        <v>44176</v>
      </c>
      <c r="G592" s="51">
        <v>2020</v>
      </c>
      <c r="H592" s="51" t="s">
        <v>16838</v>
      </c>
      <c r="I592" s="51" t="s">
        <v>16839</v>
      </c>
      <c r="J592" s="51" t="s">
        <v>3</v>
      </c>
      <c r="K592" s="456">
        <v>233331.12</v>
      </c>
      <c r="L592" s="51">
        <v>1</v>
      </c>
      <c r="M592" s="457">
        <v>233331.12</v>
      </c>
      <c r="N592" s="51" t="s">
        <v>20155</v>
      </c>
      <c r="O592" s="51" t="s">
        <v>17949</v>
      </c>
      <c r="P592" s="874">
        <v>44184</v>
      </c>
      <c r="Q592" s="423">
        <v>102624</v>
      </c>
      <c r="R592" s="423">
        <v>43800</v>
      </c>
      <c r="S592" s="423">
        <v>0</v>
      </c>
      <c r="T592" s="423">
        <v>0</v>
      </c>
      <c r="U592" s="423">
        <v>146424</v>
      </c>
      <c r="V592" s="11" t="s">
        <v>20155</v>
      </c>
      <c r="W592" s="458">
        <v>168141.12</v>
      </c>
      <c r="X592" s="458">
        <v>65190</v>
      </c>
      <c r="Y592" s="458">
        <v>0</v>
      </c>
      <c r="Z592" s="458">
        <v>0</v>
      </c>
      <c r="AA592" s="458">
        <v>1.7224750040976888</v>
      </c>
      <c r="AB592" s="458">
        <v>1.5595693779904307</v>
      </c>
      <c r="AC592" s="458"/>
      <c r="AD592" s="458"/>
      <c r="AE592" s="409"/>
      <c r="AF592" s="459">
        <v>0</v>
      </c>
      <c r="AG592" s="459">
        <v>0</v>
      </c>
      <c r="AH592" s="458">
        <v>1.7224750040976888</v>
      </c>
      <c r="AI592" s="460">
        <v>1.5595693779904307</v>
      </c>
      <c r="AJ592" s="458">
        <v>0</v>
      </c>
      <c r="AK592" s="458">
        <v>0</v>
      </c>
      <c r="AL592" s="461"/>
      <c r="AM592" s="462"/>
      <c r="AN592" s="34"/>
      <c r="AO592" s="34"/>
    </row>
    <row r="593" spans="1:41" hidden="1">
      <c r="A593" s="14">
        <v>322</v>
      </c>
      <c r="B593" s="11" t="s">
        <v>334</v>
      </c>
      <c r="C593" s="14">
        <v>0</v>
      </c>
      <c r="D593" s="11" t="s">
        <v>18318</v>
      </c>
      <c r="E593" s="11" t="s">
        <v>334</v>
      </c>
      <c r="F593" s="12">
        <v>44176</v>
      </c>
      <c r="G593" s="11">
        <v>2020</v>
      </c>
      <c r="H593" s="11" t="s">
        <v>17017</v>
      </c>
      <c r="I593" s="11" t="s">
        <v>17018</v>
      </c>
      <c r="J593" s="11" t="s">
        <v>3</v>
      </c>
      <c r="K593" s="404">
        <v>44756.652999999998</v>
      </c>
      <c r="L593" s="11">
        <v>1</v>
      </c>
      <c r="M593" s="404">
        <v>44756.652999999998</v>
      </c>
      <c r="N593" s="11" t="s">
        <v>20155</v>
      </c>
      <c r="O593" s="11" t="s">
        <v>17954</v>
      </c>
      <c r="P593" s="872">
        <v>44190</v>
      </c>
      <c r="Q593" s="423">
        <v>0</v>
      </c>
      <c r="R593" s="423">
        <v>20121</v>
      </c>
      <c r="S593" s="423">
        <v>1800</v>
      </c>
      <c r="T593" s="423">
        <v>2724</v>
      </c>
      <c r="U593" s="423">
        <v>24645</v>
      </c>
      <c r="V593" s="11" t="s">
        <v>20155</v>
      </c>
      <c r="W593" s="407">
        <v>0</v>
      </c>
      <c r="X593" s="407">
        <v>35413.452799999999</v>
      </c>
      <c r="Y593" s="407">
        <v>3078</v>
      </c>
      <c r="Z593" s="407">
        <v>6265.2</v>
      </c>
      <c r="AA593" s="431"/>
      <c r="AB593" s="408">
        <v>1.7600244918244619</v>
      </c>
      <c r="AC593" s="408">
        <v>1.6949339207048457</v>
      </c>
      <c r="AD593" s="408">
        <v>2.2999999999999998</v>
      </c>
      <c r="AE593" s="409"/>
      <c r="AF593" s="410">
        <v>0</v>
      </c>
      <c r="AG593" s="410">
        <v>0</v>
      </c>
      <c r="AH593" s="411">
        <v>0</v>
      </c>
      <c r="AI593" s="412">
        <v>1.7600244918244619</v>
      </c>
      <c r="AJ593" s="411">
        <v>1.6949339207048457</v>
      </c>
      <c r="AK593" s="411">
        <v>2.2999999999999998</v>
      </c>
      <c r="AL593" s="18"/>
      <c r="AM593" s="49"/>
      <c r="AN593" s="2"/>
      <c r="AO593" s="2"/>
    </row>
    <row r="594" spans="1:41" hidden="1">
      <c r="A594" s="14">
        <v>323</v>
      </c>
      <c r="B594" s="11" t="s">
        <v>335</v>
      </c>
      <c r="C594" s="14">
        <v>0</v>
      </c>
      <c r="D594" s="11" t="s">
        <v>18319</v>
      </c>
      <c r="E594" s="11" t="s">
        <v>335</v>
      </c>
      <c r="F594" s="12">
        <v>44176</v>
      </c>
      <c r="G594" s="11">
        <v>2020</v>
      </c>
      <c r="H594" s="11" t="s">
        <v>16904</v>
      </c>
      <c r="I594" s="11" t="s">
        <v>16905</v>
      </c>
      <c r="J594" s="11" t="s">
        <v>16482</v>
      </c>
      <c r="K594" s="404">
        <v>148828.984</v>
      </c>
      <c r="L594" s="11">
        <v>3.2883</v>
      </c>
      <c r="M594" s="404">
        <v>45260.15996107411</v>
      </c>
      <c r="N594" s="11" t="s">
        <v>20155</v>
      </c>
      <c r="O594" s="11" t="s">
        <v>20160</v>
      </c>
      <c r="P594" s="872">
        <v>44189</v>
      </c>
      <c r="Q594" s="423">
        <v>0</v>
      </c>
      <c r="R594" s="423">
        <v>50544</v>
      </c>
      <c r="S594" s="423">
        <v>18000</v>
      </c>
      <c r="T594" s="423">
        <v>0</v>
      </c>
      <c r="U594" s="423">
        <v>68544</v>
      </c>
      <c r="V594" s="11" t="s">
        <v>20155</v>
      </c>
      <c r="W594" s="407">
        <v>0</v>
      </c>
      <c r="X594" s="407">
        <v>109963.97232337816</v>
      </c>
      <c r="Y594" s="407">
        <v>38865.011804621856</v>
      </c>
      <c r="Z594" s="407">
        <v>0</v>
      </c>
      <c r="AA594" s="408"/>
      <c r="AB594" s="408">
        <v>2.1756088224789916</v>
      </c>
      <c r="AC594" s="408">
        <v>2.159167322478992</v>
      </c>
      <c r="AD594" s="408"/>
      <c r="AE594" s="409"/>
      <c r="AF594" s="410">
        <v>34283.160000000003</v>
      </c>
      <c r="AG594" s="410">
        <v>0.50016281512605043</v>
      </c>
      <c r="AH594" s="411"/>
      <c r="AI594" s="412">
        <v>1.6754460073529411</v>
      </c>
      <c r="AJ594" s="411">
        <v>1.6590045073529416</v>
      </c>
      <c r="AK594" s="411"/>
      <c r="AL594" s="18"/>
      <c r="AM594" s="49"/>
      <c r="AN594" s="2"/>
      <c r="AO594" s="2"/>
    </row>
    <row r="595" spans="1:41" hidden="1">
      <c r="A595" s="14">
        <v>324</v>
      </c>
      <c r="B595" s="11" t="s">
        <v>336</v>
      </c>
      <c r="C595" s="14">
        <v>0</v>
      </c>
      <c r="D595" s="11" t="s">
        <v>18320</v>
      </c>
      <c r="E595" s="11" t="s">
        <v>336</v>
      </c>
      <c r="F595" s="12">
        <v>44176</v>
      </c>
      <c r="G595" s="11">
        <v>2020</v>
      </c>
      <c r="H595" s="11" t="s">
        <v>16779</v>
      </c>
      <c r="I595" s="11" t="s">
        <v>16780</v>
      </c>
      <c r="J595" s="11" t="s">
        <v>16482</v>
      </c>
      <c r="K595" s="404">
        <v>38376.443496</v>
      </c>
      <c r="L595" s="11">
        <v>3.2919</v>
      </c>
      <c r="M595" s="404">
        <v>11657.84</v>
      </c>
      <c r="N595" s="11" t="s">
        <v>20155</v>
      </c>
      <c r="O595" s="11" t="s">
        <v>16394</v>
      </c>
      <c r="P595" s="872">
        <v>44186</v>
      </c>
      <c r="Q595" s="423">
        <v>480</v>
      </c>
      <c r="R595" s="423">
        <v>15504</v>
      </c>
      <c r="S595" s="423">
        <v>1500</v>
      </c>
      <c r="T595" s="423">
        <v>1520</v>
      </c>
      <c r="U595" s="423">
        <v>19004</v>
      </c>
      <c r="V595" s="11" t="s">
        <v>20155</v>
      </c>
      <c r="W595" s="407">
        <v>900.66383999999994</v>
      </c>
      <c r="X595" s="407">
        <v>28640.320055999997</v>
      </c>
      <c r="Y595" s="407">
        <v>2765.1959999999999</v>
      </c>
      <c r="Z595" s="407">
        <v>6070.2636000000002</v>
      </c>
      <c r="AA595" s="408">
        <v>1.8763829999999999</v>
      </c>
      <c r="AB595" s="408">
        <v>1.735356280659234</v>
      </c>
      <c r="AC595" s="408">
        <v>1.843464</v>
      </c>
      <c r="AD595" s="408">
        <v>3.9935944736842108</v>
      </c>
      <c r="AE595" s="409"/>
      <c r="AF595" s="410">
        <v>1439.48</v>
      </c>
      <c r="AG595" s="410">
        <v>7.5746158703430863E-2</v>
      </c>
      <c r="AH595" s="411">
        <v>1.800636841296569</v>
      </c>
      <c r="AI595" s="412">
        <v>1.659610121955803</v>
      </c>
      <c r="AJ595" s="411">
        <v>1.7677178412965691</v>
      </c>
      <c r="AK595" s="411">
        <v>3.9178483149807799</v>
      </c>
      <c r="AL595" s="18"/>
      <c r="AM595" s="49"/>
      <c r="AN595" s="2"/>
      <c r="AO595" s="2"/>
    </row>
    <row r="596" spans="1:41" hidden="1">
      <c r="A596" s="14">
        <v>325</v>
      </c>
      <c r="B596" s="11" t="s">
        <v>337</v>
      </c>
      <c r="C596" s="14">
        <v>0</v>
      </c>
      <c r="D596" s="11" t="s">
        <v>18321</v>
      </c>
      <c r="E596" s="11" t="s">
        <v>337</v>
      </c>
      <c r="F596" s="12">
        <v>44176</v>
      </c>
      <c r="G596" s="11">
        <v>2020</v>
      </c>
      <c r="H596" s="11" t="s">
        <v>17209</v>
      </c>
      <c r="I596" s="11" t="s">
        <v>17210</v>
      </c>
      <c r="J596" s="11" t="s">
        <v>16401</v>
      </c>
      <c r="K596" s="404">
        <v>33074.272000000004</v>
      </c>
      <c r="L596" s="11">
        <v>2.6846000000000001</v>
      </c>
      <c r="M596" s="404">
        <v>12320.000000000002</v>
      </c>
      <c r="N596" s="11" t="s">
        <v>20155</v>
      </c>
      <c r="O596" s="11" t="s">
        <v>20168</v>
      </c>
      <c r="P596" s="872">
        <v>44186</v>
      </c>
      <c r="Q596" s="423">
        <v>0</v>
      </c>
      <c r="R596" s="423">
        <v>0</v>
      </c>
      <c r="S596" s="423">
        <v>0</v>
      </c>
      <c r="T596" s="423">
        <v>7500</v>
      </c>
      <c r="U596" s="423">
        <v>7500</v>
      </c>
      <c r="V596" s="11" t="s">
        <v>20155</v>
      </c>
      <c r="W596" s="407">
        <v>0</v>
      </c>
      <c r="X596" s="407">
        <v>0</v>
      </c>
      <c r="Y596" s="407">
        <v>0</v>
      </c>
      <c r="Z596" s="407">
        <v>33074.271999999997</v>
      </c>
      <c r="AA596" s="408"/>
      <c r="AB596" s="408"/>
      <c r="AC596" s="408"/>
      <c r="AD596" s="408">
        <v>4.4099029333333331</v>
      </c>
      <c r="AE596" s="409"/>
      <c r="AF596" s="410">
        <v>4458.99</v>
      </c>
      <c r="AG596" s="410">
        <v>0.59453199999999995</v>
      </c>
      <c r="AH596" s="411"/>
      <c r="AI596" s="412"/>
      <c r="AJ596" s="411"/>
      <c r="AK596" s="411">
        <v>3.815370933333333</v>
      </c>
      <c r="AL596" s="18"/>
      <c r="AM596" s="49"/>
      <c r="AN596" s="2"/>
      <c r="AO596" s="2"/>
    </row>
    <row r="597" spans="1:41" hidden="1">
      <c r="A597" s="14">
        <v>326</v>
      </c>
      <c r="B597" s="11" t="s">
        <v>338</v>
      </c>
      <c r="C597" s="14">
        <v>0</v>
      </c>
      <c r="D597" s="11" t="s">
        <v>18322</v>
      </c>
      <c r="E597" s="11" t="s">
        <v>338</v>
      </c>
      <c r="F597" s="12">
        <v>44176</v>
      </c>
      <c r="G597" s="11">
        <v>2020</v>
      </c>
      <c r="H597" s="11" t="s">
        <v>16480</v>
      </c>
      <c r="I597" s="11" t="s">
        <v>16481</v>
      </c>
      <c r="J597" s="11" t="s">
        <v>16482</v>
      </c>
      <c r="K597" s="404">
        <v>58957.048722</v>
      </c>
      <c r="L597" s="11">
        <v>3.2883</v>
      </c>
      <c r="M597" s="404">
        <v>17929.34</v>
      </c>
      <c r="N597" s="11" t="s">
        <v>20155</v>
      </c>
      <c r="O597" s="11" t="s">
        <v>20160</v>
      </c>
      <c r="P597" s="872">
        <v>44189</v>
      </c>
      <c r="Q597" s="423">
        <v>0</v>
      </c>
      <c r="R597" s="423">
        <v>15984</v>
      </c>
      <c r="S597" s="423">
        <v>11388</v>
      </c>
      <c r="T597" s="423">
        <v>0</v>
      </c>
      <c r="U597" s="423">
        <v>27372</v>
      </c>
      <c r="V597" s="11" t="s">
        <v>20155</v>
      </c>
      <c r="W597" s="407">
        <v>0</v>
      </c>
      <c r="X597" s="407">
        <v>34552.428016971506</v>
      </c>
      <c r="Y597" s="407">
        <v>24404.620705028494</v>
      </c>
      <c r="Z597" s="407">
        <v>0</v>
      </c>
      <c r="AA597" s="408"/>
      <c r="AB597" s="408">
        <v>2.1616884395002192</v>
      </c>
      <c r="AC597" s="408">
        <v>2.1430120043052772</v>
      </c>
      <c r="AD597" s="408"/>
      <c r="AE597" s="409"/>
      <c r="AF597" s="410">
        <v>11428.12</v>
      </c>
      <c r="AG597" s="410">
        <v>0.4175113254420576</v>
      </c>
      <c r="AH597" s="411"/>
      <c r="AI597" s="412">
        <v>1.7441771140581617</v>
      </c>
      <c r="AJ597" s="411">
        <v>1.7255006788632197</v>
      </c>
      <c r="AK597" s="411"/>
      <c r="AL597" s="18"/>
      <c r="AM597" s="49"/>
      <c r="AN597" s="2"/>
      <c r="AO597" s="2"/>
    </row>
    <row r="598" spans="1:41" hidden="1">
      <c r="A598" s="14">
        <v>327</v>
      </c>
      <c r="B598" s="11" t="s">
        <v>339</v>
      </c>
      <c r="C598" s="14">
        <v>0</v>
      </c>
      <c r="D598" s="11" t="s">
        <v>18324</v>
      </c>
      <c r="E598" s="11" t="s">
        <v>339</v>
      </c>
      <c r="F598" s="12">
        <v>44176</v>
      </c>
      <c r="G598" s="11">
        <v>2020</v>
      </c>
      <c r="H598" s="11" t="s">
        <v>16444</v>
      </c>
      <c r="I598" s="11" t="s">
        <v>16445</v>
      </c>
      <c r="J598" s="11" t="s">
        <v>3</v>
      </c>
      <c r="K598" s="404">
        <v>36753.360000000001</v>
      </c>
      <c r="L598" s="11">
        <v>1</v>
      </c>
      <c r="M598" s="404">
        <v>36753.360000000001</v>
      </c>
      <c r="N598" s="11" t="s">
        <v>20155</v>
      </c>
      <c r="O598" s="11" t="s">
        <v>18248</v>
      </c>
      <c r="P598" s="872">
        <v>44181</v>
      </c>
      <c r="Q598" s="423">
        <v>22008</v>
      </c>
      <c r="R598" s="423">
        <v>0</v>
      </c>
      <c r="S598" s="423">
        <v>0</v>
      </c>
      <c r="T598" s="423">
        <v>0</v>
      </c>
      <c r="U598" s="423">
        <v>22008</v>
      </c>
      <c r="V598" s="11" t="s">
        <v>20155</v>
      </c>
      <c r="W598" s="407">
        <v>36753.360000000001</v>
      </c>
      <c r="X598" s="407">
        <v>0</v>
      </c>
      <c r="Y598" s="407">
        <v>0</v>
      </c>
      <c r="Z598" s="407">
        <v>0</v>
      </c>
      <c r="AA598" s="408">
        <v>1.67</v>
      </c>
      <c r="AB598" s="408"/>
      <c r="AC598" s="408"/>
      <c r="AD598" s="408"/>
      <c r="AE598" s="409"/>
      <c r="AF598" s="410">
        <v>0</v>
      </c>
      <c r="AG598" s="410">
        <v>0</v>
      </c>
      <c r="AH598" s="411">
        <v>1.67</v>
      </c>
      <c r="AI598" s="412">
        <v>0</v>
      </c>
      <c r="AJ598" s="411">
        <v>0</v>
      </c>
      <c r="AK598" s="411">
        <v>0</v>
      </c>
      <c r="AL598" s="18"/>
      <c r="AM598" s="49"/>
      <c r="AN598" s="2"/>
      <c r="AO598" s="2"/>
    </row>
    <row r="599" spans="1:41" hidden="1">
      <c r="A599" s="14">
        <v>328</v>
      </c>
      <c r="B599" s="11" t="s">
        <v>340</v>
      </c>
      <c r="C599" s="14">
        <v>0</v>
      </c>
      <c r="D599" s="11" t="s">
        <v>18326</v>
      </c>
      <c r="E599" s="11" t="s">
        <v>340</v>
      </c>
      <c r="F599" s="12">
        <v>44176</v>
      </c>
      <c r="G599" s="11">
        <v>2020</v>
      </c>
      <c r="H599" s="11" t="s">
        <v>16444</v>
      </c>
      <c r="I599" s="11" t="s">
        <v>16445</v>
      </c>
      <c r="J599" s="11" t="s">
        <v>3</v>
      </c>
      <c r="K599" s="404">
        <v>33024</v>
      </c>
      <c r="L599" s="11">
        <v>1</v>
      </c>
      <c r="M599" s="404">
        <v>33024</v>
      </c>
      <c r="N599" s="11" t="s">
        <v>20155</v>
      </c>
      <c r="O599" s="11" t="s">
        <v>18248</v>
      </c>
      <c r="P599" s="872">
        <v>44188</v>
      </c>
      <c r="Q599" s="451">
        <v>19200</v>
      </c>
      <c r="R599" s="451">
        <v>0</v>
      </c>
      <c r="S599" s="451">
        <v>0</v>
      </c>
      <c r="T599" s="451">
        <v>0</v>
      </c>
      <c r="U599" s="451">
        <v>19200</v>
      </c>
      <c r="V599" s="11" t="s">
        <v>20155</v>
      </c>
      <c r="W599" s="452">
        <v>33024</v>
      </c>
      <c r="X599" s="452">
        <v>0</v>
      </c>
      <c r="Y599" s="452">
        <v>0</v>
      </c>
      <c r="Z599" s="452">
        <v>0</v>
      </c>
      <c r="AA599" s="452">
        <v>1.72</v>
      </c>
      <c r="AB599" s="452"/>
      <c r="AC599" s="452"/>
      <c r="AD599" s="452"/>
      <c r="AE599" s="409"/>
      <c r="AF599" s="453">
        <v>0</v>
      </c>
      <c r="AG599" s="453">
        <v>0</v>
      </c>
      <c r="AH599" s="452">
        <v>1.72</v>
      </c>
      <c r="AI599" s="454">
        <v>0</v>
      </c>
      <c r="AJ599" s="452">
        <v>0</v>
      </c>
      <c r="AK599" s="452">
        <v>0</v>
      </c>
      <c r="AL599" s="18"/>
      <c r="AM599" s="49"/>
      <c r="AN599" s="2"/>
      <c r="AO599" s="2"/>
    </row>
    <row r="600" spans="1:41" hidden="1">
      <c r="A600" s="14">
        <v>329</v>
      </c>
      <c r="B600" s="11" t="s">
        <v>341</v>
      </c>
      <c r="C600" s="14">
        <v>0</v>
      </c>
      <c r="D600" s="11" t="s">
        <v>18327</v>
      </c>
      <c r="E600" s="11" t="s">
        <v>341</v>
      </c>
      <c r="F600" s="12">
        <v>44183</v>
      </c>
      <c r="G600" s="11">
        <v>2020</v>
      </c>
      <c r="H600" s="11" t="s">
        <v>16444</v>
      </c>
      <c r="I600" s="11" t="s">
        <v>16445</v>
      </c>
      <c r="J600" s="11" t="s">
        <v>3</v>
      </c>
      <c r="K600" s="404">
        <v>26975</v>
      </c>
      <c r="L600" s="11">
        <v>1</v>
      </c>
      <c r="M600" s="404">
        <v>26975</v>
      </c>
      <c r="N600" s="11" t="s">
        <v>20155</v>
      </c>
      <c r="O600" s="11" t="s">
        <v>17801</v>
      </c>
      <c r="P600" s="872">
        <v>44195</v>
      </c>
      <c r="Q600" s="451">
        <v>0</v>
      </c>
      <c r="R600" s="451">
        <v>21580</v>
      </c>
      <c r="S600" s="451">
        <v>0</v>
      </c>
      <c r="T600" s="451">
        <v>0</v>
      </c>
      <c r="U600" s="451">
        <v>21580</v>
      </c>
      <c r="V600" s="11" t="s">
        <v>20155</v>
      </c>
      <c r="W600" s="452">
        <v>0</v>
      </c>
      <c r="X600" s="452">
        <v>26975</v>
      </c>
      <c r="Y600" s="452">
        <v>0</v>
      </c>
      <c r="Z600" s="452">
        <v>0</v>
      </c>
      <c r="AA600" s="452"/>
      <c r="AB600" s="452">
        <v>1.25</v>
      </c>
      <c r="AC600" s="452"/>
      <c r="AD600" s="452"/>
      <c r="AE600" s="409"/>
      <c r="AF600" s="453">
        <v>0</v>
      </c>
      <c r="AG600" s="453">
        <v>0</v>
      </c>
      <c r="AH600" s="452">
        <v>0</v>
      </c>
      <c r="AI600" s="454">
        <v>1.25</v>
      </c>
      <c r="AJ600" s="452">
        <v>0</v>
      </c>
      <c r="AK600" s="452">
        <v>0</v>
      </c>
      <c r="AL600" s="18"/>
      <c r="AM600" s="49"/>
      <c r="AN600" s="2"/>
      <c r="AO600" s="2"/>
    </row>
    <row r="601" spans="1:41" hidden="1">
      <c r="A601" s="455">
        <v>330</v>
      </c>
      <c r="B601" s="51" t="s">
        <v>342</v>
      </c>
      <c r="C601" s="455">
        <v>0</v>
      </c>
      <c r="D601" s="51" t="s">
        <v>18328</v>
      </c>
      <c r="E601" s="51" t="s">
        <v>342</v>
      </c>
      <c r="F601" s="52">
        <v>44188</v>
      </c>
      <c r="G601" s="51">
        <v>2020</v>
      </c>
      <c r="H601" s="51" t="s">
        <v>16384</v>
      </c>
      <c r="I601" s="51" t="s">
        <v>16385</v>
      </c>
      <c r="J601" s="51" t="s">
        <v>3</v>
      </c>
      <c r="K601" s="456">
        <v>129024</v>
      </c>
      <c r="L601" s="51">
        <v>1</v>
      </c>
      <c r="M601" s="463">
        <v>129024</v>
      </c>
      <c r="N601" s="51" t="s">
        <v>20155</v>
      </c>
      <c r="O601" s="51" t="s">
        <v>17965</v>
      </c>
      <c r="P601" s="874">
        <v>44195</v>
      </c>
      <c r="Q601" s="423">
        <v>76800</v>
      </c>
      <c r="R601" s="423">
        <v>0</v>
      </c>
      <c r="S601" s="423">
        <v>0</v>
      </c>
      <c r="T601" s="423">
        <v>0</v>
      </c>
      <c r="U601" s="423">
        <v>76800</v>
      </c>
      <c r="V601" s="11" t="s">
        <v>20155</v>
      </c>
      <c r="W601" s="458">
        <v>129024</v>
      </c>
      <c r="X601" s="458">
        <v>0</v>
      </c>
      <c r="Y601" s="458">
        <v>0</v>
      </c>
      <c r="Z601" s="458">
        <v>0</v>
      </c>
      <c r="AA601" s="458">
        <v>1.68</v>
      </c>
      <c r="AB601" s="458"/>
      <c r="AC601" s="458"/>
      <c r="AD601" s="458"/>
      <c r="AE601" s="409"/>
      <c r="AF601" s="459">
        <v>0</v>
      </c>
      <c r="AG601" s="459">
        <v>0</v>
      </c>
      <c r="AH601" s="458">
        <v>1.68</v>
      </c>
      <c r="AI601" s="460">
        <v>0</v>
      </c>
      <c r="AJ601" s="458">
        <v>0</v>
      </c>
      <c r="AK601" s="458">
        <v>0</v>
      </c>
      <c r="AL601" s="461"/>
      <c r="AM601" s="462"/>
      <c r="AN601" s="34"/>
      <c r="AO601" s="34"/>
    </row>
    <row r="602" spans="1:41" hidden="1">
      <c r="A602" s="455">
        <v>331</v>
      </c>
      <c r="B602" s="51" t="s">
        <v>343</v>
      </c>
      <c r="C602" s="455">
        <v>0</v>
      </c>
      <c r="D602" s="51" t="s">
        <v>18330</v>
      </c>
      <c r="E602" s="51" t="s">
        <v>343</v>
      </c>
      <c r="F602" s="52">
        <v>44188</v>
      </c>
      <c r="G602" s="51">
        <v>2020</v>
      </c>
      <c r="H602" s="51" t="s">
        <v>16384</v>
      </c>
      <c r="I602" s="51" t="s">
        <v>16385</v>
      </c>
      <c r="J602" s="51" t="s">
        <v>3</v>
      </c>
      <c r="K602" s="456">
        <v>104400</v>
      </c>
      <c r="L602" s="51">
        <v>1</v>
      </c>
      <c r="M602" s="463">
        <v>104400</v>
      </c>
      <c r="N602" s="51" t="s">
        <v>20155</v>
      </c>
      <c r="O602" s="51" t="s">
        <v>17771</v>
      </c>
      <c r="P602" s="874">
        <v>44193</v>
      </c>
      <c r="Q602" s="423">
        <v>40000</v>
      </c>
      <c r="R602" s="423">
        <v>0</v>
      </c>
      <c r="S602" s="423">
        <v>28000</v>
      </c>
      <c r="T602" s="423">
        <v>0</v>
      </c>
      <c r="U602" s="423">
        <v>68000</v>
      </c>
      <c r="V602" s="11" t="s">
        <v>20155</v>
      </c>
      <c r="W602" s="458">
        <v>65200</v>
      </c>
      <c r="X602" s="458">
        <v>0</v>
      </c>
      <c r="Y602" s="458">
        <v>39200</v>
      </c>
      <c r="Z602" s="458">
        <v>0</v>
      </c>
      <c r="AA602" s="458">
        <v>1.63</v>
      </c>
      <c r="AB602" s="458"/>
      <c r="AC602" s="458">
        <v>1.4</v>
      </c>
      <c r="AD602" s="458"/>
      <c r="AE602" s="409"/>
      <c r="AF602" s="459">
        <v>0</v>
      </c>
      <c r="AG602" s="459">
        <v>0</v>
      </c>
      <c r="AH602" s="458">
        <v>1.63</v>
      </c>
      <c r="AI602" s="460">
        <v>0</v>
      </c>
      <c r="AJ602" s="458">
        <v>1.4</v>
      </c>
      <c r="AK602" s="458">
        <v>0</v>
      </c>
      <c r="AL602" s="461"/>
      <c r="AM602" s="462"/>
      <c r="AN602" s="34"/>
      <c r="AO602" s="34"/>
    </row>
    <row r="603" spans="1:41" hidden="1">
      <c r="A603" s="455">
        <v>332</v>
      </c>
      <c r="B603" s="51" t="s">
        <v>344</v>
      </c>
      <c r="C603" s="455">
        <v>0</v>
      </c>
      <c r="D603" s="51" t="s">
        <v>18331</v>
      </c>
      <c r="E603" s="51" t="s">
        <v>344</v>
      </c>
      <c r="F603" s="52">
        <v>44188</v>
      </c>
      <c r="G603" s="51">
        <v>2020</v>
      </c>
      <c r="H603" s="51" t="s">
        <v>16384</v>
      </c>
      <c r="I603" s="51" t="s">
        <v>16385</v>
      </c>
      <c r="J603" s="51" t="s">
        <v>3</v>
      </c>
      <c r="K603" s="456">
        <v>35900</v>
      </c>
      <c r="L603" s="51">
        <v>1</v>
      </c>
      <c r="M603" s="463">
        <v>35900</v>
      </c>
      <c r="N603" s="51" t="s">
        <v>20155</v>
      </c>
      <c r="O603" s="51" t="s">
        <v>17771</v>
      </c>
      <c r="P603" s="874">
        <v>44193</v>
      </c>
      <c r="Q603" s="423">
        <v>10000</v>
      </c>
      <c r="R603" s="423">
        <v>0</v>
      </c>
      <c r="S603" s="423">
        <v>14000</v>
      </c>
      <c r="T603" s="423">
        <v>0</v>
      </c>
      <c r="U603" s="423">
        <v>24000</v>
      </c>
      <c r="V603" s="11" t="s">
        <v>20155</v>
      </c>
      <c r="W603" s="458">
        <v>16300</v>
      </c>
      <c r="X603" s="458">
        <v>0</v>
      </c>
      <c r="Y603" s="458">
        <v>19600</v>
      </c>
      <c r="Z603" s="458">
        <v>0</v>
      </c>
      <c r="AA603" s="458">
        <v>1.63</v>
      </c>
      <c r="AB603" s="458"/>
      <c r="AC603" s="458">
        <v>1.4</v>
      </c>
      <c r="AD603" s="458"/>
      <c r="AE603" s="409"/>
      <c r="AF603" s="459">
        <v>0</v>
      </c>
      <c r="AG603" s="459">
        <v>0</v>
      </c>
      <c r="AH603" s="458">
        <v>1.63</v>
      </c>
      <c r="AI603" s="460">
        <v>0</v>
      </c>
      <c r="AJ603" s="458">
        <v>1.4</v>
      </c>
      <c r="AK603" s="458">
        <v>0</v>
      </c>
      <c r="AL603" s="461"/>
      <c r="AM603" s="462"/>
      <c r="AN603" s="34"/>
      <c r="AO603" s="34"/>
    </row>
    <row r="604" spans="1:41" hidden="1">
      <c r="A604" s="455">
        <v>333</v>
      </c>
      <c r="B604" s="51" t="s">
        <v>345</v>
      </c>
      <c r="C604" s="455">
        <v>0</v>
      </c>
      <c r="D604" s="51" t="s">
        <v>18332</v>
      </c>
      <c r="E604" s="51" t="s">
        <v>345</v>
      </c>
      <c r="F604" s="52">
        <v>44188</v>
      </c>
      <c r="G604" s="51">
        <v>2020</v>
      </c>
      <c r="H604" s="51" t="s">
        <v>16838</v>
      </c>
      <c r="I604" s="51" t="s">
        <v>16839</v>
      </c>
      <c r="J604" s="51" t="s">
        <v>3</v>
      </c>
      <c r="K604" s="456">
        <v>67488</v>
      </c>
      <c r="L604" s="51">
        <v>1</v>
      </c>
      <c r="M604" s="463">
        <v>67488</v>
      </c>
      <c r="N604" s="51" t="s">
        <v>20155</v>
      </c>
      <c r="O604" s="51" t="s">
        <v>17949</v>
      </c>
      <c r="P604" s="874">
        <v>44193</v>
      </c>
      <c r="Q604" s="423">
        <v>0</v>
      </c>
      <c r="R604" s="423">
        <v>45600</v>
      </c>
      <c r="S604" s="423">
        <v>0</v>
      </c>
      <c r="T604" s="423">
        <v>0</v>
      </c>
      <c r="U604" s="423">
        <v>45600</v>
      </c>
      <c r="V604" s="11" t="s">
        <v>20155</v>
      </c>
      <c r="W604" s="458">
        <v>0</v>
      </c>
      <c r="X604" s="458">
        <v>67488</v>
      </c>
      <c r="Y604" s="458">
        <v>0</v>
      </c>
      <c r="Z604" s="458">
        <v>0</v>
      </c>
      <c r="AA604" s="458"/>
      <c r="AB604" s="458">
        <v>1.48</v>
      </c>
      <c r="AC604" s="458"/>
      <c r="AD604" s="458"/>
      <c r="AE604" s="409"/>
      <c r="AF604" s="459">
        <v>0</v>
      </c>
      <c r="AG604" s="459">
        <v>0</v>
      </c>
      <c r="AH604" s="458">
        <v>0</v>
      </c>
      <c r="AI604" s="460">
        <v>1.48</v>
      </c>
      <c r="AJ604" s="458">
        <v>0</v>
      </c>
      <c r="AK604" s="458">
        <v>0</v>
      </c>
      <c r="AL604" s="461"/>
      <c r="AM604" s="462"/>
      <c r="AN604" s="34"/>
      <c r="AO604" s="34"/>
    </row>
    <row r="605" spans="1:41" hidden="1">
      <c r="A605" s="14">
        <v>334</v>
      </c>
      <c r="B605" s="11" t="s">
        <v>346</v>
      </c>
      <c r="C605" s="14">
        <v>0</v>
      </c>
      <c r="D605" s="11" t="s">
        <v>18334</v>
      </c>
      <c r="E605" s="11" t="s">
        <v>346</v>
      </c>
      <c r="F605" s="12">
        <v>44188</v>
      </c>
      <c r="G605" s="11">
        <v>2020</v>
      </c>
      <c r="H605" s="11" t="s">
        <v>17156</v>
      </c>
      <c r="I605" s="11" t="s">
        <v>17157</v>
      </c>
      <c r="J605" s="11" t="s">
        <v>3</v>
      </c>
      <c r="K605" s="404">
        <v>34476</v>
      </c>
      <c r="L605" s="11">
        <v>1</v>
      </c>
      <c r="M605" s="405">
        <v>34476</v>
      </c>
      <c r="N605" s="11" t="s">
        <v>20155</v>
      </c>
      <c r="O605" s="11" t="s">
        <v>18335</v>
      </c>
      <c r="P605" s="872">
        <v>44195</v>
      </c>
      <c r="Q605" s="423">
        <v>20400</v>
      </c>
      <c r="R605" s="423">
        <v>0</v>
      </c>
      <c r="S605" s="423">
        <v>0</v>
      </c>
      <c r="T605" s="423">
        <v>0</v>
      </c>
      <c r="U605" s="423">
        <v>20400</v>
      </c>
      <c r="V605" s="11" t="s">
        <v>20155</v>
      </c>
      <c r="W605" s="407">
        <v>34476</v>
      </c>
      <c r="X605" s="407">
        <v>0</v>
      </c>
      <c r="Y605" s="407">
        <v>0</v>
      </c>
      <c r="Z605" s="407">
        <v>0</v>
      </c>
      <c r="AA605" s="408">
        <v>1.69</v>
      </c>
      <c r="AB605" s="408"/>
      <c r="AC605" s="408"/>
      <c r="AD605" s="408"/>
      <c r="AE605" s="409"/>
      <c r="AF605" s="410">
        <v>0</v>
      </c>
      <c r="AG605" s="410">
        <v>0</v>
      </c>
      <c r="AH605" s="411">
        <v>1.69</v>
      </c>
      <c r="AI605" s="412">
        <v>0</v>
      </c>
      <c r="AJ605" s="411">
        <v>0</v>
      </c>
      <c r="AK605" s="411">
        <v>0</v>
      </c>
      <c r="AL605" s="18"/>
      <c r="AM605" s="49"/>
      <c r="AN605" s="2"/>
      <c r="AO605" s="2"/>
    </row>
    <row r="606" spans="1:41" hidden="1">
      <c r="A606" s="50">
        <v>1</v>
      </c>
      <c r="B606" s="1" t="s">
        <v>20181</v>
      </c>
      <c r="C606" s="50">
        <v>0</v>
      </c>
      <c r="D606" s="464" t="s">
        <v>18336</v>
      </c>
      <c r="E606" s="1" t="s">
        <v>20181</v>
      </c>
      <c r="F606" s="53" t="s">
        <v>20295</v>
      </c>
      <c r="G606" s="1">
        <v>2021</v>
      </c>
      <c r="H606" s="1" t="s">
        <v>16838</v>
      </c>
      <c r="I606" s="3" t="s">
        <v>16839</v>
      </c>
      <c r="J606" s="3" t="s">
        <v>3</v>
      </c>
      <c r="K606" s="54">
        <v>221520</v>
      </c>
      <c r="L606" s="3">
        <v>1</v>
      </c>
      <c r="M606" s="465">
        <v>221520</v>
      </c>
      <c r="N606" s="3" t="s">
        <v>20155</v>
      </c>
      <c r="O606" s="3" t="s">
        <v>17798</v>
      </c>
      <c r="P606" s="875">
        <v>44211</v>
      </c>
      <c r="Q606" s="466">
        <v>0</v>
      </c>
      <c r="R606" s="466">
        <v>0</v>
      </c>
      <c r="S606" s="466">
        <v>156000</v>
      </c>
      <c r="T606" s="466">
        <v>0</v>
      </c>
      <c r="U606" s="466">
        <v>156000</v>
      </c>
      <c r="V606" s="11" t="s">
        <v>20155</v>
      </c>
      <c r="W606" s="39">
        <v>0</v>
      </c>
      <c r="X606" s="39">
        <v>0</v>
      </c>
      <c r="Y606" s="39">
        <v>221520</v>
      </c>
      <c r="Z606" s="39">
        <v>0</v>
      </c>
      <c r="AA606" s="56">
        <v>0</v>
      </c>
      <c r="AB606" s="56">
        <v>0</v>
      </c>
      <c r="AC606" s="56">
        <v>1.42</v>
      </c>
      <c r="AD606" s="56">
        <v>0</v>
      </c>
      <c r="AE606" s="41">
        <v>0</v>
      </c>
      <c r="AF606" s="42">
        <v>0</v>
      </c>
      <c r="AG606" s="42">
        <v>0</v>
      </c>
      <c r="AH606" s="467">
        <v>0</v>
      </c>
      <c r="AI606" s="467">
        <v>0</v>
      </c>
      <c r="AJ606" s="467">
        <v>1.42</v>
      </c>
      <c r="AK606" s="467">
        <v>0</v>
      </c>
      <c r="AL606" s="44">
        <v>0</v>
      </c>
      <c r="AM606" s="44">
        <v>0</v>
      </c>
      <c r="AN606" s="468" t="s">
        <v>20296</v>
      </c>
      <c r="AO606" s="468">
        <v>0</v>
      </c>
    </row>
    <row r="607" spans="1:41" hidden="1">
      <c r="A607" s="50">
        <v>2</v>
      </c>
      <c r="B607" s="1" t="s">
        <v>20182</v>
      </c>
      <c r="C607" s="50">
        <v>0</v>
      </c>
      <c r="D607" s="464" t="s">
        <v>18337</v>
      </c>
      <c r="E607" s="1" t="s">
        <v>20182</v>
      </c>
      <c r="F607" s="53" t="s">
        <v>20295</v>
      </c>
      <c r="G607" s="1">
        <v>2021</v>
      </c>
      <c r="H607" s="1" t="s">
        <v>16384</v>
      </c>
      <c r="I607" s="3" t="s">
        <v>16385</v>
      </c>
      <c r="J607" s="3" t="s">
        <v>3</v>
      </c>
      <c r="K607" s="54">
        <v>161280</v>
      </c>
      <c r="L607" s="3">
        <v>1</v>
      </c>
      <c r="M607" s="465">
        <v>161280</v>
      </c>
      <c r="N607" s="3" t="s">
        <v>20155</v>
      </c>
      <c r="O607" s="3" t="s">
        <v>17965</v>
      </c>
      <c r="P607" s="875">
        <v>44217</v>
      </c>
      <c r="Q607" s="466">
        <v>96000</v>
      </c>
      <c r="R607" s="466">
        <v>0</v>
      </c>
      <c r="S607" s="466">
        <v>0</v>
      </c>
      <c r="T607" s="466">
        <v>0</v>
      </c>
      <c r="U607" s="466">
        <v>96000</v>
      </c>
      <c r="V607" s="11" t="s">
        <v>20155</v>
      </c>
      <c r="W607" s="39">
        <v>161280</v>
      </c>
      <c r="X607" s="39">
        <v>0</v>
      </c>
      <c r="Y607" s="39">
        <v>0</v>
      </c>
      <c r="Z607" s="39">
        <v>0</v>
      </c>
      <c r="AA607" s="56">
        <v>1.68</v>
      </c>
      <c r="AB607" s="56">
        <v>0</v>
      </c>
      <c r="AC607" s="56">
        <v>0</v>
      </c>
      <c r="AD607" s="56">
        <v>0</v>
      </c>
      <c r="AE607" s="41">
        <v>0</v>
      </c>
      <c r="AF607" s="42">
        <v>0</v>
      </c>
      <c r="AG607" s="42">
        <v>0</v>
      </c>
      <c r="AH607" s="467">
        <v>1.68</v>
      </c>
      <c r="AI607" s="467">
        <v>0</v>
      </c>
      <c r="AJ607" s="467">
        <v>0</v>
      </c>
      <c r="AK607" s="467">
        <v>0</v>
      </c>
      <c r="AL607" s="44">
        <v>1</v>
      </c>
      <c r="AM607" s="44">
        <v>0</v>
      </c>
      <c r="AN607" s="468">
        <v>0</v>
      </c>
      <c r="AO607" s="468">
        <v>0</v>
      </c>
    </row>
    <row r="608" spans="1:41" hidden="1">
      <c r="A608" s="50">
        <v>3</v>
      </c>
      <c r="B608" s="1" t="s">
        <v>20183</v>
      </c>
      <c r="C608" s="50">
        <v>0</v>
      </c>
      <c r="D608" s="464" t="s">
        <v>18339</v>
      </c>
      <c r="E608" s="1" t="s">
        <v>20183</v>
      </c>
      <c r="F608" s="53" t="s">
        <v>20295</v>
      </c>
      <c r="G608" s="1">
        <v>2021</v>
      </c>
      <c r="H608" s="1" t="s">
        <v>16384</v>
      </c>
      <c r="I608" s="3" t="s">
        <v>16385</v>
      </c>
      <c r="J608" s="3" t="s">
        <v>3</v>
      </c>
      <c r="K608" s="54">
        <v>129024</v>
      </c>
      <c r="L608" s="3">
        <v>1</v>
      </c>
      <c r="M608" s="465">
        <v>129024</v>
      </c>
      <c r="N608" s="3" t="s">
        <v>20155</v>
      </c>
      <c r="O608" s="3" t="s">
        <v>17965</v>
      </c>
      <c r="P608" s="875">
        <v>44224</v>
      </c>
      <c r="Q608" s="466">
        <v>76800</v>
      </c>
      <c r="R608" s="466">
        <v>0</v>
      </c>
      <c r="S608" s="466">
        <v>0</v>
      </c>
      <c r="T608" s="466">
        <v>0</v>
      </c>
      <c r="U608" s="466">
        <v>76800</v>
      </c>
      <c r="V608" s="11" t="s">
        <v>20155</v>
      </c>
      <c r="W608" s="39">
        <v>129024</v>
      </c>
      <c r="X608" s="39">
        <v>0</v>
      </c>
      <c r="Y608" s="39">
        <v>0</v>
      </c>
      <c r="Z608" s="39">
        <v>0</v>
      </c>
      <c r="AA608" s="56">
        <v>1.68</v>
      </c>
      <c r="AB608" s="56">
        <v>0</v>
      </c>
      <c r="AC608" s="56">
        <v>0</v>
      </c>
      <c r="AD608" s="56">
        <v>0</v>
      </c>
      <c r="AE608" s="41">
        <v>0</v>
      </c>
      <c r="AF608" s="42">
        <v>0</v>
      </c>
      <c r="AG608" s="42">
        <v>0</v>
      </c>
      <c r="AH608" s="467">
        <v>1.68</v>
      </c>
      <c r="AI608" s="467">
        <v>0</v>
      </c>
      <c r="AJ608" s="467">
        <v>0</v>
      </c>
      <c r="AK608" s="467">
        <v>0</v>
      </c>
      <c r="AL608" s="44">
        <v>1</v>
      </c>
      <c r="AM608" s="44">
        <v>0</v>
      </c>
      <c r="AN608" s="468">
        <v>0</v>
      </c>
      <c r="AO608" s="468">
        <v>0</v>
      </c>
    </row>
    <row r="609" spans="1:41" hidden="1">
      <c r="A609" s="50">
        <v>4</v>
      </c>
      <c r="B609" s="1" t="s">
        <v>20184</v>
      </c>
      <c r="C609" s="50">
        <v>0</v>
      </c>
      <c r="D609" s="464" t="s">
        <v>18340</v>
      </c>
      <c r="E609" s="1" t="s">
        <v>20184</v>
      </c>
      <c r="F609" s="53" t="s">
        <v>20295</v>
      </c>
      <c r="G609" s="1">
        <v>2021</v>
      </c>
      <c r="H609" s="1" t="s">
        <v>16904</v>
      </c>
      <c r="I609" s="1" t="s">
        <v>16905</v>
      </c>
      <c r="J609" s="1" t="s">
        <v>16482</v>
      </c>
      <c r="K609" s="36">
        <v>25070.207400000003</v>
      </c>
      <c r="L609" s="1">
        <v>3.2823000000000002</v>
      </c>
      <c r="M609" s="37">
        <v>7638</v>
      </c>
      <c r="N609" s="1" t="s">
        <v>20155</v>
      </c>
      <c r="O609" s="1" t="s">
        <v>20160</v>
      </c>
      <c r="P609" s="876">
        <v>44211</v>
      </c>
      <c r="Q609" s="466">
        <v>0</v>
      </c>
      <c r="R609" s="466">
        <v>10800</v>
      </c>
      <c r="S609" s="466">
        <v>0</v>
      </c>
      <c r="T609" s="466">
        <v>0</v>
      </c>
      <c r="U609" s="466">
        <v>10800</v>
      </c>
      <c r="V609" s="11" t="s">
        <v>20155</v>
      </c>
      <c r="W609" s="39">
        <v>0</v>
      </c>
      <c r="X609" s="39">
        <v>25070.207399999999</v>
      </c>
      <c r="Y609" s="39">
        <v>0</v>
      </c>
      <c r="Z609" s="39">
        <v>0</v>
      </c>
      <c r="AA609" s="56">
        <v>0</v>
      </c>
      <c r="AB609" s="56">
        <v>2.3213154999999999</v>
      </c>
      <c r="AC609" s="56">
        <v>0</v>
      </c>
      <c r="AD609" s="56">
        <v>0</v>
      </c>
      <c r="AE609" s="41">
        <v>2369.98</v>
      </c>
      <c r="AF609" s="42">
        <v>7059.51</v>
      </c>
      <c r="AG609" s="42">
        <v>0.65365833333333334</v>
      </c>
      <c r="AH609" s="467">
        <v>0</v>
      </c>
      <c r="AI609" s="467">
        <v>1.6676571666666664</v>
      </c>
      <c r="AJ609" s="467">
        <v>0</v>
      </c>
      <c r="AK609" s="467">
        <v>0</v>
      </c>
      <c r="AL609" s="44">
        <v>0</v>
      </c>
      <c r="AM609" s="44">
        <v>1</v>
      </c>
      <c r="AN609" s="468">
        <v>0</v>
      </c>
      <c r="AO609" s="468">
        <v>0</v>
      </c>
    </row>
    <row r="610" spans="1:41" hidden="1">
      <c r="A610" s="50">
        <v>5</v>
      </c>
      <c r="B610" s="1" t="s">
        <v>20185</v>
      </c>
      <c r="C610" s="50">
        <v>0</v>
      </c>
      <c r="D610" s="464" t="s">
        <v>18341</v>
      </c>
      <c r="E610" s="1" t="s">
        <v>20185</v>
      </c>
      <c r="F610" s="53" t="s">
        <v>20295</v>
      </c>
      <c r="G610" s="1">
        <v>2021</v>
      </c>
      <c r="H610" s="1" t="s">
        <v>16904</v>
      </c>
      <c r="I610" s="1" t="s">
        <v>16905</v>
      </c>
      <c r="J610" s="1" t="s">
        <v>16482</v>
      </c>
      <c r="K610" s="36">
        <v>58786.255584000013</v>
      </c>
      <c r="L610" s="1">
        <v>3.2823000000000002</v>
      </c>
      <c r="M610" s="37">
        <v>17910.080000000002</v>
      </c>
      <c r="N610" s="1" t="s">
        <v>20155</v>
      </c>
      <c r="O610" s="1" t="s">
        <v>20160</v>
      </c>
      <c r="P610" s="876">
        <v>44211</v>
      </c>
      <c r="Q610" s="466">
        <v>0</v>
      </c>
      <c r="R610" s="466">
        <v>18876</v>
      </c>
      <c r="S610" s="466">
        <v>8460</v>
      </c>
      <c r="T610" s="466">
        <v>0</v>
      </c>
      <c r="U610" s="466">
        <v>27336</v>
      </c>
      <c r="V610" s="11" t="s">
        <v>20155</v>
      </c>
      <c r="W610" s="39">
        <v>0</v>
      </c>
      <c r="X610" s="39">
        <v>40739.56392388235</v>
      </c>
      <c r="Y610" s="39">
        <v>18046.691660117649</v>
      </c>
      <c r="Z610" s="39">
        <v>0</v>
      </c>
      <c r="AA610" s="56">
        <v>0</v>
      </c>
      <c r="AB610" s="56">
        <v>2.1582731470588232</v>
      </c>
      <c r="AC610" s="56">
        <v>2.1331786832290365</v>
      </c>
      <c r="AD610" s="56">
        <v>0</v>
      </c>
      <c r="AE610" s="41">
        <v>3979.0160000000005</v>
      </c>
      <c r="AF610" s="42">
        <v>11081.8</v>
      </c>
      <c r="AG610" s="42">
        <v>0.40539215686274505</v>
      </c>
      <c r="AH610" s="467">
        <v>0</v>
      </c>
      <c r="AI610" s="467">
        <v>1.7528809901960782</v>
      </c>
      <c r="AJ610" s="467">
        <v>1.7277865263662915</v>
      </c>
      <c r="AK610" s="467">
        <v>0</v>
      </c>
      <c r="AL610" s="44">
        <v>0</v>
      </c>
      <c r="AM610" s="44">
        <v>1</v>
      </c>
      <c r="AN610" s="468">
        <v>1</v>
      </c>
      <c r="AO610" s="468">
        <v>0</v>
      </c>
    </row>
    <row r="611" spans="1:41" hidden="1">
      <c r="A611" s="50">
        <v>6</v>
      </c>
      <c r="B611" s="1" t="s">
        <v>20186</v>
      </c>
      <c r="C611" s="50">
        <v>0</v>
      </c>
      <c r="D611" s="464" t="s">
        <v>18342</v>
      </c>
      <c r="E611" s="1" t="s">
        <v>20186</v>
      </c>
      <c r="F611" s="53" t="s">
        <v>20295</v>
      </c>
      <c r="G611" s="1">
        <v>2021</v>
      </c>
      <c r="H611" s="1" t="s">
        <v>17276</v>
      </c>
      <c r="I611" s="1" t="s">
        <v>17277</v>
      </c>
      <c r="J611" s="1" t="s">
        <v>16482</v>
      </c>
      <c r="K611" s="36">
        <v>39628.582399999999</v>
      </c>
      <c r="L611" s="1">
        <v>2.7128000000000001</v>
      </c>
      <c r="M611" s="37">
        <v>14608</v>
      </c>
      <c r="N611" s="1" t="s">
        <v>20155</v>
      </c>
      <c r="O611" s="1" t="s">
        <v>20297</v>
      </c>
      <c r="P611" s="876">
        <v>44217</v>
      </c>
      <c r="Q611" s="466">
        <v>19200</v>
      </c>
      <c r="R611" s="466">
        <v>0</v>
      </c>
      <c r="S611" s="466">
        <v>0</v>
      </c>
      <c r="T611" s="466">
        <v>0</v>
      </c>
      <c r="U611" s="466">
        <v>19200</v>
      </c>
      <c r="V611" s="11" t="s">
        <v>20155</v>
      </c>
      <c r="W611" s="39">
        <v>39628.582400000007</v>
      </c>
      <c r="X611" s="39">
        <v>0</v>
      </c>
      <c r="Y611" s="39">
        <v>0</v>
      </c>
      <c r="Z611" s="39">
        <v>0</v>
      </c>
      <c r="AA611" s="56">
        <v>2.0639886666666669</v>
      </c>
      <c r="AB611" s="56">
        <v>0</v>
      </c>
      <c r="AC611" s="56">
        <v>0</v>
      </c>
      <c r="AD611" s="56">
        <v>0</v>
      </c>
      <c r="AE611" s="41">
        <v>2093.5936000000002</v>
      </c>
      <c r="AF611" s="42">
        <v>6338.7439999999997</v>
      </c>
      <c r="AG611" s="42">
        <v>0.33014291666666667</v>
      </c>
      <c r="AH611" s="467">
        <v>1.7338457500000002</v>
      </c>
      <c r="AI611" s="467">
        <v>0</v>
      </c>
      <c r="AJ611" s="467">
        <v>0</v>
      </c>
      <c r="AK611" s="467">
        <v>0</v>
      </c>
      <c r="AL611" s="44">
        <v>1</v>
      </c>
      <c r="AM611" s="44">
        <v>0</v>
      </c>
      <c r="AN611" s="468">
        <v>0</v>
      </c>
      <c r="AO611" s="468">
        <v>0</v>
      </c>
    </row>
    <row r="612" spans="1:41" hidden="1">
      <c r="A612" s="50">
        <v>7</v>
      </c>
      <c r="B612" s="1" t="s">
        <v>20187</v>
      </c>
      <c r="C612" s="50">
        <v>0</v>
      </c>
      <c r="D612" s="464" t="s">
        <v>18343</v>
      </c>
      <c r="E612" s="1" t="s">
        <v>20187</v>
      </c>
      <c r="F612" s="53" t="s">
        <v>20295</v>
      </c>
      <c r="G612" s="1">
        <v>2021</v>
      </c>
      <c r="H612" s="1" t="s">
        <v>16444</v>
      </c>
      <c r="I612" s="3" t="s">
        <v>16445</v>
      </c>
      <c r="J612" s="3" t="s">
        <v>3</v>
      </c>
      <c r="K612" s="54">
        <v>36753.360000000001</v>
      </c>
      <c r="L612" s="3">
        <v>1</v>
      </c>
      <c r="M612" s="465">
        <v>36753.360000000001</v>
      </c>
      <c r="N612" s="3" t="s">
        <v>20155</v>
      </c>
      <c r="O612" s="3" t="s">
        <v>17693</v>
      </c>
      <c r="P612" s="875">
        <v>44237</v>
      </c>
      <c r="Q612" s="466">
        <v>22008</v>
      </c>
      <c r="R612" s="466">
        <v>0</v>
      </c>
      <c r="S612" s="466">
        <v>0</v>
      </c>
      <c r="T612" s="466">
        <v>0</v>
      </c>
      <c r="U612" s="466">
        <v>22008</v>
      </c>
      <c r="V612" s="11" t="s">
        <v>20155</v>
      </c>
      <c r="W612" s="39">
        <v>36753.360000000001</v>
      </c>
      <c r="X612" s="39">
        <v>0</v>
      </c>
      <c r="Y612" s="39">
        <v>0</v>
      </c>
      <c r="Z612" s="39">
        <v>0</v>
      </c>
      <c r="AA612" s="56">
        <v>1.67</v>
      </c>
      <c r="AB612" s="56">
        <v>0</v>
      </c>
      <c r="AC612" s="56">
        <v>0</v>
      </c>
      <c r="AD612" s="56">
        <v>0</v>
      </c>
      <c r="AE612" s="41">
        <v>0</v>
      </c>
      <c r="AF612" s="42">
        <v>0</v>
      </c>
      <c r="AG612" s="42">
        <v>0</v>
      </c>
      <c r="AH612" s="467">
        <v>1.67</v>
      </c>
      <c r="AI612" s="467">
        <v>0</v>
      </c>
      <c r="AJ612" s="467">
        <v>0</v>
      </c>
      <c r="AK612" s="467">
        <v>0</v>
      </c>
      <c r="AL612" s="44">
        <v>1</v>
      </c>
      <c r="AM612" s="44">
        <v>0</v>
      </c>
      <c r="AN612" s="468">
        <v>0</v>
      </c>
      <c r="AO612" s="468">
        <v>0</v>
      </c>
    </row>
    <row r="613" spans="1:41" hidden="1">
      <c r="A613" s="50">
        <v>8</v>
      </c>
      <c r="B613" s="1" t="s">
        <v>20188</v>
      </c>
      <c r="C613" s="50">
        <v>0</v>
      </c>
      <c r="D613" s="464" t="s">
        <v>18344</v>
      </c>
      <c r="E613" s="1" t="s">
        <v>20188</v>
      </c>
      <c r="F613" s="53" t="s">
        <v>20295</v>
      </c>
      <c r="G613" s="1">
        <v>2021</v>
      </c>
      <c r="H613" s="1" t="s">
        <v>16444</v>
      </c>
      <c r="I613" s="1" t="s">
        <v>16445</v>
      </c>
      <c r="J613" s="1" t="s">
        <v>3</v>
      </c>
      <c r="K613" s="36">
        <v>67645</v>
      </c>
      <c r="L613" s="1">
        <v>1</v>
      </c>
      <c r="M613" s="37">
        <v>67645</v>
      </c>
      <c r="N613" s="1" t="s">
        <v>20155</v>
      </c>
      <c r="O613" s="1" t="s">
        <v>17693</v>
      </c>
      <c r="P613" s="876">
        <v>44214</v>
      </c>
      <c r="Q613" s="466">
        <v>41500</v>
      </c>
      <c r="R613" s="466">
        <v>0</v>
      </c>
      <c r="S613" s="466">
        <v>0</v>
      </c>
      <c r="T613" s="466">
        <v>0</v>
      </c>
      <c r="U613" s="466">
        <v>41500</v>
      </c>
      <c r="V613" s="11" t="s">
        <v>20155</v>
      </c>
      <c r="W613" s="39">
        <v>67645</v>
      </c>
      <c r="X613" s="39">
        <v>0</v>
      </c>
      <c r="Y613" s="39">
        <v>0</v>
      </c>
      <c r="Z613" s="39">
        <v>0</v>
      </c>
      <c r="AA613" s="56">
        <v>1.63</v>
      </c>
      <c r="AB613" s="56">
        <v>0</v>
      </c>
      <c r="AC613" s="56">
        <v>0</v>
      </c>
      <c r="AD613" s="56">
        <v>0</v>
      </c>
      <c r="AE613" s="41">
        <v>0</v>
      </c>
      <c r="AF613" s="42">
        <v>0</v>
      </c>
      <c r="AG613" s="42">
        <v>0</v>
      </c>
      <c r="AH613" s="467">
        <v>1.63</v>
      </c>
      <c r="AI613" s="467">
        <v>0</v>
      </c>
      <c r="AJ613" s="467">
        <v>0</v>
      </c>
      <c r="AK613" s="467">
        <v>0</v>
      </c>
      <c r="AL613" s="44">
        <v>1</v>
      </c>
      <c r="AM613" s="44">
        <v>0</v>
      </c>
      <c r="AN613" s="468">
        <v>0</v>
      </c>
      <c r="AO613" s="468">
        <v>0</v>
      </c>
    </row>
    <row r="614" spans="1:41" hidden="1">
      <c r="A614" s="50">
        <v>9</v>
      </c>
      <c r="B614" s="1" t="s">
        <v>20189</v>
      </c>
      <c r="C614" s="50">
        <v>0</v>
      </c>
      <c r="D614" s="464" t="s">
        <v>18345</v>
      </c>
      <c r="E614" s="1" t="s">
        <v>20189</v>
      </c>
      <c r="F614" s="53" t="s">
        <v>20295</v>
      </c>
      <c r="G614" s="1">
        <v>2021</v>
      </c>
      <c r="H614" s="1" t="s">
        <v>16444</v>
      </c>
      <c r="I614" s="1" t="s">
        <v>16445</v>
      </c>
      <c r="J614" s="1" t="s">
        <v>3</v>
      </c>
      <c r="K614" s="36">
        <v>33024</v>
      </c>
      <c r="L614" s="1">
        <v>1</v>
      </c>
      <c r="M614" s="37">
        <v>33024</v>
      </c>
      <c r="N614" s="1" t="s">
        <v>20155</v>
      </c>
      <c r="O614" s="1" t="s">
        <v>18248</v>
      </c>
      <c r="P614" s="876">
        <v>44228</v>
      </c>
      <c r="Q614" s="466">
        <v>19200</v>
      </c>
      <c r="R614" s="466">
        <v>0</v>
      </c>
      <c r="S614" s="466">
        <v>0</v>
      </c>
      <c r="T614" s="466">
        <v>0</v>
      </c>
      <c r="U614" s="466">
        <v>19200</v>
      </c>
      <c r="V614" s="11" t="s">
        <v>20155</v>
      </c>
      <c r="W614" s="39">
        <v>33024</v>
      </c>
      <c r="X614" s="39">
        <v>0</v>
      </c>
      <c r="Y614" s="39">
        <v>0</v>
      </c>
      <c r="Z614" s="39">
        <v>0</v>
      </c>
      <c r="AA614" s="56">
        <v>1.72</v>
      </c>
      <c r="AB614" s="56">
        <v>0</v>
      </c>
      <c r="AC614" s="56">
        <v>0</v>
      </c>
      <c r="AD614" s="56">
        <v>0</v>
      </c>
      <c r="AE614" s="41">
        <v>0</v>
      </c>
      <c r="AF614" s="42">
        <v>0</v>
      </c>
      <c r="AG614" s="42">
        <v>0</v>
      </c>
      <c r="AH614" s="467">
        <v>1.72</v>
      </c>
      <c r="AI614" s="467">
        <v>0</v>
      </c>
      <c r="AJ614" s="467">
        <v>0</v>
      </c>
      <c r="AK614" s="467">
        <v>0</v>
      </c>
      <c r="AL614" s="44">
        <v>1</v>
      </c>
      <c r="AM614" s="44">
        <v>0</v>
      </c>
      <c r="AN614" s="468">
        <v>0</v>
      </c>
      <c r="AO614" s="468">
        <v>0</v>
      </c>
    </row>
    <row r="615" spans="1:41" hidden="1">
      <c r="A615" s="50">
        <v>10</v>
      </c>
      <c r="B615" s="1" t="s">
        <v>20190</v>
      </c>
      <c r="C615" s="50">
        <v>0</v>
      </c>
      <c r="D615" s="464" t="s">
        <v>18346</v>
      </c>
      <c r="E615" s="1" t="s">
        <v>20190</v>
      </c>
      <c r="F615" s="53" t="s">
        <v>20295</v>
      </c>
      <c r="G615" s="1">
        <v>2021</v>
      </c>
      <c r="H615" s="1" t="s">
        <v>16444</v>
      </c>
      <c r="I615" s="1" t="s">
        <v>16445</v>
      </c>
      <c r="J615" s="1" t="s">
        <v>3</v>
      </c>
      <c r="K615" s="36">
        <v>63541.5</v>
      </c>
      <c r="L615" s="1">
        <v>1</v>
      </c>
      <c r="M615" s="37">
        <v>63541.5</v>
      </c>
      <c r="N615" s="1" t="s">
        <v>20155</v>
      </c>
      <c r="O615" s="1" t="s">
        <v>17854</v>
      </c>
      <c r="P615" s="876">
        <v>44222</v>
      </c>
      <c r="Q615" s="466">
        <v>35950</v>
      </c>
      <c r="R615" s="466">
        <v>0</v>
      </c>
      <c r="S615" s="466">
        <v>0</v>
      </c>
      <c r="T615" s="466">
        <v>0</v>
      </c>
      <c r="U615" s="466">
        <v>35950</v>
      </c>
      <c r="V615" s="11" t="s">
        <v>20155</v>
      </c>
      <c r="W615" s="39">
        <v>63541.5</v>
      </c>
      <c r="X615" s="39">
        <v>0</v>
      </c>
      <c r="Y615" s="39">
        <v>0</v>
      </c>
      <c r="Z615" s="39">
        <v>0</v>
      </c>
      <c r="AA615" s="56">
        <v>1.7674965229485395</v>
      </c>
      <c r="AB615" s="56">
        <v>0</v>
      </c>
      <c r="AC615" s="56">
        <v>0</v>
      </c>
      <c r="AD615" s="56">
        <v>0</v>
      </c>
      <c r="AE615" s="41">
        <v>0</v>
      </c>
      <c r="AF615" s="42">
        <v>0</v>
      </c>
      <c r="AG615" s="42">
        <v>0</v>
      </c>
      <c r="AH615" s="467">
        <v>1.7674965229485395</v>
      </c>
      <c r="AI615" s="467">
        <v>0</v>
      </c>
      <c r="AJ615" s="467">
        <v>0</v>
      </c>
      <c r="AK615" s="467">
        <v>0</v>
      </c>
      <c r="AL615" s="44">
        <v>1</v>
      </c>
      <c r="AM615" s="44">
        <v>0</v>
      </c>
      <c r="AN615" s="468">
        <v>0</v>
      </c>
      <c r="AO615" s="468">
        <v>0</v>
      </c>
    </row>
    <row r="616" spans="1:41" hidden="1">
      <c r="A616" s="50">
        <v>11</v>
      </c>
      <c r="B616" s="1" t="s">
        <v>20191</v>
      </c>
      <c r="C616" s="50">
        <v>0</v>
      </c>
      <c r="D616" s="464" t="s">
        <v>18347</v>
      </c>
      <c r="E616" s="1" t="s">
        <v>20191</v>
      </c>
      <c r="F616" s="53" t="s">
        <v>20295</v>
      </c>
      <c r="G616" s="1">
        <v>2021</v>
      </c>
      <c r="H616" s="1" t="s">
        <v>16444</v>
      </c>
      <c r="I616" s="1" t="s">
        <v>16445</v>
      </c>
      <c r="J616" s="1" t="s">
        <v>3</v>
      </c>
      <c r="K616" s="36">
        <v>73506.720000000001</v>
      </c>
      <c r="L616" s="1">
        <v>1</v>
      </c>
      <c r="M616" s="37">
        <v>73506.720000000001</v>
      </c>
      <c r="N616" s="1" t="s">
        <v>20155</v>
      </c>
      <c r="O616" s="1" t="s">
        <v>18248</v>
      </c>
      <c r="P616" s="876">
        <v>44209</v>
      </c>
      <c r="Q616" s="466">
        <v>44016</v>
      </c>
      <c r="R616" s="466">
        <v>0</v>
      </c>
      <c r="S616" s="466">
        <v>0</v>
      </c>
      <c r="T616" s="466">
        <v>0</v>
      </c>
      <c r="U616" s="466">
        <v>44016</v>
      </c>
      <c r="V616" s="11" t="s">
        <v>20155</v>
      </c>
      <c r="W616" s="39">
        <v>73506.720000000001</v>
      </c>
      <c r="X616" s="39">
        <v>0</v>
      </c>
      <c r="Y616" s="39">
        <v>0</v>
      </c>
      <c r="Z616" s="39">
        <v>0</v>
      </c>
      <c r="AA616" s="56">
        <v>1.67</v>
      </c>
      <c r="AB616" s="56">
        <v>0</v>
      </c>
      <c r="AC616" s="56">
        <v>0</v>
      </c>
      <c r="AD616" s="56">
        <v>0</v>
      </c>
      <c r="AE616" s="41">
        <v>0</v>
      </c>
      <c r="AF616" s="42">
        <v>0</v>
      </c>
      <c r="AG616" s="42">
        <v>0</v>
      </c>
      <c r="AH616" s="467">
        <v>1.67</v>
      </c>
      <c r="AI616" s="467">
        <v>0</v>
      </c>
      <c r="AJ616" s="467">
        <v>0</v>
      </c>
      <c r="AK616" s="467">
        <v>0</v>
      </c>
      <c r="AL616" s="44">
        <v>1</v>
      </c>
      <c r="AM616" s="44">
        <v>0</v>
      </c>
      <c r="AN616" s="468">
        <v>0</v>
      </c>
      <c r="AO616" s="468">
        <v>0</v>
      </c>
    </row>
    <row r="617" spans="1:41" hidden="1">
      <c r="A617" s="50">
        <v>12</v>
      </c>
      <c r="B617" s="1" t="s">
        <v>20192</v>
      </c>
      <c r="C617" s="50">
        <v>0</v>
      </c>
      <c r="D617" s="464" t="s">
        <v>18348</v>
      </c>
      <c r="E617" s="1" t="s">
        <v>20192</v>
      </c>
      <c r="F617" s="53" t="s">
        <v>20295</v>
      </c>
      <c r="G617" s="1">
        <v>2021</v>
      </c>
      <c r="H617" s="1" t="s">
        <v>16470</v>
      </c>
      <c r="I617" s="1" t="s">
        <v>16471</v>
      </c>
      <c r="J617" s="1" t="s">
        <v>16401</v>
      </c>
      <c r="K617" s="36">
        <v>499824.9118</v>
      </c>
      <c r="L617" s="1">
        <v>2.7010000000000001</v>
      </c>
      <c r="M617" s="37">
        <v>185051.8</v>
      </c>
      <c r="N617" s="1" t="s">
        <v>20155</v>
      </c>
      <c r="O617" s="1" t="s">
        <v>20159</v>
      </c>
      <c r="P617" s="876">
        <v>44216</v>
      </c>
      <c r="Q617" s="466">
        <v>28800</v>
      </c>
      <c r="R617" s="466">
        <v>250320</v>
      </c>
      <c r="S617" s="466">
        <v>0</v>
      </c>
      <c r="T617" s="466">
        <v>0</v>
      </c>
      <c r="U617" s="466">
        <v>279120</v>
      </c>
      <c r="V617" s="11" t="s">
        <v>20155</v>
      </c>
      <c r="W617" s="39">
        <v>58626.647236457437</v>
      </c>
      <c r="X617" s="39">
        <v>441198.26456354256</v>
      </c>
      <c r="Y617" s="39">
        <v>0</v>
      </c>
      <c r="Z617" s="39">
        <v>0</v>
      </c>
      <c r="AA617" s="56">
        <v>2.0356474734881056</v>
      </c>
      <c r="AB617" s="56">
        <v>1.7625370108802436</v>
      </c>
      <c r="AC617" s="56">
        <v>0</v>
      </c>
      <c r="AD617" s="56">
        <v>0</v>
      </c>
      <c r="AE617" s="41">
        <v>39455.160000000003</v>
      </c>
      <c r="AF617" s="42">
        <v>110530.7</v>
      </c>
      <c r="AG617" s="42">
        <v>0.39599706219547148</v>
      </c>
      <c r="AH617" s="467">
        <v>1.6396504112926342</v>
      </c>
      <c r="AI617" s="467">
        <v>1.366539948684772</v>
      </c>
      <c r="AJ617" s="467">
        <v>0</v>
      </c>
      <c r="AK617" s="467">
        <v>0</v>
      </c>
      <c r="AL617" s="44">
        <v>1</v>
      </c>
      <c r="AM617" s="44" t="s">
        <v>20296</v>
      </c>
      <c r="AN617" s="468">
        <v>0</v>
      </c>
      <c r="AO617" s="468">
        <v>0</v>
      </c>
    </row>
    <row r="618" spans="1:41" hidden="1">
      <c r="A618" s="50">
        <v>13</v>
      </c>
      <c r="B618" s="1" t="s">
        <v>20193</v>
      </c>
      <c r="C618" s="50">
        <v>0</v>
      </c>
      <c r="D618" s="464" t="s">
        <v>18349</v>
      </c>
      <c r="E618" s="1" t="s">
        <v>20193</v>
      </c>
      <c r="F618" s="53" t="s">
        <v>20295</v>
      </c>
      <c r="G618" s="1">
        <v>2021</v>
      </c>
      <c r="H618" s="1" t="s">
        <v>16444</v>
      </c>
      <c r="I618" s="1" t="s">
        <v>16445</v>
      </c>
      <c r="J618" s="1" t="s">
        <v>3</v>
      </c>
      <c r="K618" s="36">
        <v>165274.20000000001</v>
      </c>
      <c r="L618" s="1">
        <v>1</v>
      </c>
      <c r="M618" s="37">
        <v>165274.20000000001</v>
      </c>
      <c r="N618" s="1" t="s">
        <v>20155</v>
      </c>
      <c r="O618" s="1" t="s">
        <v>18248</v>
      </c>
      <c r="P618" s="876">
        <v>44216</v>
      </c>
      <c r="Q618" s="466">
        <v>25344</v>
      </c>
      <c r="R618" s="466">
        <v>80028</v>
      </c>
      <c r="S618" s="466">
        <v>0</v>
      </c>
      <c r="T618" s="466">
        <v>0</v>
      </c>
      <c r="U618" s="466">
        <v>105372</v>
      </c>
      <c r="V618" s="11" t="s">
        <v>20155</v>
      </c>
      <c r="W618" s="39">
        <v>42831.360000000001</v>
      </c>
      <c r="X618" s="39">
        <v>122442.84</v>
      </c>
      <c r="Y618" s="39">
        <v>0</v>
      </c>
      <c r="Z618" s="39">
        <v>0</v>
      </c>
      <c r="AA618" s="56">
        <v>1.69</v>
      </c>
      <c r="AB618" s="56">
        <v>1.53</v>
      </c>
      <c r="AC618" s="56">
        <v>0</v>
      </c>
      <c r="AD618" s="56">
        <v>0</v>
      </c>
      <c r="AE618" s="41">
        <v>0</v>
      </c>
      <c r="AF618" s="42">
        <v>0</v>
      </c>
      <c r="AG618" s="42">
        <v>0</v>
      </c>
      <c r="AH618" s="467">
        <v>1.69</v>
      </c>
      <c r="AI618" s="467">
        <v>1.53</v>
      </c>
      <c r="AJ618" s="467">
        <v>0</v>
      </c>
      <c r="AK618" s="467">
        <v>0</v>
      </c>
      <c r="AL618" s="44">
        <v>1</v>
      </c>
      <c r="AM618" s="44" t="s">
        <v>20296</v>
      </c>
      <c r="AN618" s="468">
        <v>0</v>
      </c>
      <c r="AO618" s="468">
        <v>0</v>
      </c>
    </row>
    <row r="619" spans="1:41" hidden="1">
      <c r="A619" s="50">
        <v>14</v>
      </c>
      <c r="B619" s="1" t="s">
        <v>20194</v>
      </c>
      <c r="C619" s="50">
        <v>0</v>
      </c>
      <c r="D619" s="464" t="s">
        <v>18350</v>
      </c>
      <c r="E619" s="1" t="s">
        <v>20194</v>
      </c>
      <c r="F619" s="53" t="s">
        <v>20295</v>
      </c>
      <c r="G619" s="1">
        <v>2021</v>
      </c>
      <c r="H619" s="1" t="s">
        <v>16444</v>
      </c>
      <c r="I619" s="1" t="s">
        <v>16445</v>
      </c>
      <c r="J619" s="1" t="s">
        <v>3</v>
      </c>
      <c r="K619" s="36">
        <v>36753.360000000001</v>
      </c>
      <c r="L619" s="1">
        <v>1</v>
      </c>
      <c r="M619" s="37">
        <v>36753.360000000001</v>
      </c>
      <c r="N619" s="1" t="s">
        <v>20155</v>
      </c>
      <c r="O619" s="1" t="s">
        <v>17801</v>
      </c>
      <c r="P619" s="876">
        <v>44209</v>
      </c>
      <c r="Q619" s="466">
        <v>22008</v>
      </c>
      <c r="R619" s="466">
        <v>0</v>
      </c>
      <c r="S619" s="466">
        <v>0</v>
      </c>
      <c r="T619" s="466">
        <v>0</v>
      </c>
      <c r="U619" s="466">
        <v>22008</v>
      </c>
      <c r="V619" s="11" t="s">
        <v>20155</v>
      </c>
      <c r="W619" s="39">
        <v>36753.360000000001</v>
      </c>
      <c r="X619" s="39">
        <v>0</v>
      </c>
      <c r="Y619" s="39">
        <v>0</v>
      </c>
      <c r="Z619" s="39">
        <v>0</v>
      </c>
      <c r="AA619" s="56">
        <v>1.67</v>
      </c>
      <c r="AB619" s="56">
        <v>0</v>
      </c>
      <c r="AC619" s="56">
        <v>0</v>
      </c>
      <c r="AD619" s="56">
        <v>0</v>
      </c>
      <c r="AE619" s="41">
        <v>0</v>
      </c>
      <c r="AF619" s="42">
        <v>0</v>
      </c>
      <c r="AG619" s="42">
        <v>0</v>
      </c>
      <c r="AH619" s="467">
        <v>1.67</v>
      </c>
      <c r="AI619" s="467">
        <v>0</v>
      </c>
      <c r="AJ619" s="467">
        <v>0</v>
      </c>
      <c r="AK619" s="467">
        <v>0</v>
      </c>
      <c r="AL619" s="44">
        <v>1</v>
      </c>
      <c r="AM619" s="44">
        <v>0</v>
      </c>
      <c r="AN619" s="468">
        <v>0</v>
      </c>
      <c r="AO619" s="468">
        <v>0</v>
      </c>
    </row>
    <row r="620" spans="1:41" hidden="1">
      <c r="A620" s="50">
        <v>15</v>
      </c>
      <c r="B620" s="1" t="s">
        <v>20196</v>
      </c>
      <c r="C620" s="50">
        <v>0</v>
      </c>
      <c r="D620" s="464" t="s">
        <v>18351</v>
      </c>
      <c r="E620" s="1" t="s">
        <v>20196</v>
      </c>
      <c r="F620" s="53" t="s">
        <v>20298</v>
      </c>
      <c r="G620" s="1">
        <v>2021</v>
      </c>
      <c r="H620" s="1" t="s">
        <v>17017</v>
      </c>
      <c r="I620" s="1" t="s">
        <v>17018</v>
      </c>
      <c r="J620" s="1" t="s">
        <v>3</v>
      </c>
      <c r="K620" s="36">
        <v>33200</v>
      </c>
      <c r="L620" s="1">
        <v>1</v>
      </c>
      <c r="M620" s="37">
        <v>33200</v>
      </c>
      <c r="N620" s="1" t="s">
        <v>20155</v>
      </c>
      <c r="O620" s="1" t="s">
        <v>18064</v>
      </c>
      <c r="P620" s="876">
        <v>44214</v>
      </c>
      <c r="Q620" s="466">
        <v>0</v>
      </c>
      <c r="R620" s="466">
        <v>20000</v>
      </c>
      <c r="S620" s="466">
        <v>0</v>
      </c>
      <c r="T620" s="466">
        <v>0</v>
      </c>
      <c r="U620" s="466">
        <v>20000</v>
      </c>
      <c r="V620" s="11" t="s">
        <v>20155</v>
      </c>
      <c r="W620" s="39">
        <v>0</v>
      </c>
      <c r="X620" s="39">
        <v>33200</v>
      </c>
      <c r="Y620" s="39">
        <v>0</v>
      </c>
      <c r="Z620" s="39">
        <v>0</v>
      </c>
      <c r="AA620" s="56">
        <v>0</v>
      </c>
      <c r="AB620" s="56">
        <v>1.66</v>
      </c>
      <c r="AC620" s="56">
        <v>0</v>
      </c>
      <c r="AD620" s="56">
        <v>0</v>
      </c>
      <c r="AE620" s="41">
        <v>0</v>
      </c>
      <c r="AF620" s="42">
        <v>0</v>
      </c>
      <c r="AG620" s="42">
        <v>0</v>
      </c>
      <c r="AH620" s="467">
        <v>0</v>
      </c>
      <c r="AI620" s="467">
        <v>1.66</v>
      </c>
      <c r="AJ620" s="467">
        <v>0</v>
      </c>
      <c r="AK620" s="467">
        <v>0</v>
      </c>
      <c r="AL620" s="44">
        <v>0</v>
      </c>
      <c r="AM620" s="44">
        <v>1</v>
      </c>
      <c r="AN620" s="468">
        <v>0</v>
      </c>
      <c r="AO620" s="468">
        <v>0</v>
      </c>
    </row>
    <row r="621" spans="1:41" hidden="1">
      <c r="A621" s="50">
        <v>16</v>
      </c>
      <c r="B621" s="1" t="s">
        <v>20197</v>
      </c>
      <c r="C621" s="50">
        <v>0</v>
      </c>
      <c r="D621" s="464" t="s">
        <v>18352</v>
      </c>
      <c r="E621" s="1" t="s">
        <v>20197</v>
      </c>
      <c r="F621" s="53" t="s">
        <v>20298</v>
      </c>
      <c r="G621" s="1">
        <v>2021</v>
      </c>
      <c r="H621" s="1" t="s">
        <v>16957</v>
      </c>
      <c r="I621" s="1" t="s">
        <v>16958</v>
      </c>
      <c r="J621" s="1" t="s">
        <v>16401</v>
      </c>
      <c r="K621" s="36">
        <v>37924.770000000004</v>
      </c>
      <c r="L621" s="1">
        <v>2.6897000000000002</v>
      </c>
      <c r="M621" s="37">
        <v>14100</v>
      </c>
      <c r="N621" s="1" t="s">
        <v>20155</v>
      </c>
      <c r="O621" s="1" t="s">
        <v>20161</v>
      </c>
      <c r="P621" s="876">
        <v>44208</v>
      </c>
      <c r="Q621" s="466">
        <v>20000</v>
      </c>
      <c r="R621" s="466">
        <v>0</v>
      </c>
      <c r="S621" s="466">
        <v>0</v>
      </c>
      <c r="T621" s="466">
        <v>0</v>
      </c>
      <c r="U621" s="466">
        <v>20000</v>
      </c>
      <c r="V621" s="11" t="s">
        <v>20155</v>
      </c>
      <c r="W621" s="39">
        <v>37924.770000000004</v>
      </c>
      <c r="X621" s="39">
        <v>0</v>
      </c>
      <c r="Y621" s="39">
        <v>0</v>
      </c>
      <c r="Z621" s="39">
        <v>0</v>
      </c>
      <c r="AA621" s="56">
        <v>1.8962385000000002</v>
      </c>
      <c r="AB621" s="56">
        <v>0</v>
      </c>
      <c r="AC621" s="56">
        <v>0</v>
      </c>
      <c r="AD621" s="56">
        <v>0</v>
      </c>
      <c r="AE621" s="41">
        <v>917.95</v>
      </c>
      <c r="AF621" s="42">
        <v>5187.58</v>
      </c>
      <c r="AG621" s="42">
        <v>0.25937899999999997</v>
      </c>
      <c r="AH621" s="467">
        <v>1.6368595000000001</v>
      </c>
      <c r="AI621" s="467">
        <v>0</v>
      </c>
      <c r="AJ621" s="467">
        <v>0</v>
      </c>
      <c r="AK621" s="467">
        <v>0</v>
      </c>
      <c r="AL621" s="44">
        <v>1</v>
      </c>
      <c r="AM621" s="44">
        <v>0</v>
      </c>
      <c r="AN621" s="468">
        <v>0</v>
      </c>
      <c r="AO621" s="468">
        <v>0</v>
      </c>
    </row>
    <row r="622" spans="1:41" hidden="1">
      <c r="A622" s="50">
        <v>17</v>
      </c>
      <c r="B622" s="1" t="s">
        <v>20198</v>
      </c>
      <c r="C622" s="50">
        <v>0</v>
      </c>
      <c r="D622" s="464" t="s">
        <v>18353</v>
      </c>
      <c r="E622" s="1" t="s">
        <v>20198</v>
      </c>
      <c r="F622" s="53" t="s">
        <v>20298</v>
      </c>
      <c r="G622" s="1">
        <v>2021</v>
      </c>
      <c r="H622" s="1" t="s">
        <v>17248</v>
      </c>
      <c r="I622" s="1" t="s">
        <v>17249</v>
      </c>
      <c r="J622" s="1" t="s">
        <v>16401</v>
      </c>
      <c r="K622" s="36">
        <v>50619.765119999996</v>
      </c>
      <c r="L622" s="1">
        <v>2.7010000000000001</v>
      </c>
      <c r="M622" s="37">
        <v>18741.12</v>
      </c>
      <c r="N622" s="1" t="s">
        <v>20155</v>
      </c>
      <c r="O622" s="1" t="s">
        <v>17954</v>
      </c>
      <c r="P622" s="876">
        <v>44211</v>
      </c>
      <c r="Q622" s="466">
        <v>0</v>
      </c>
      <c r="R622" s="466">
        <v>23426</v>
      </c>
      <c r="S622" s="466">
        <v>0</v>
      </c>
      <c r="T622" s="466">
        <v>0</v>
      </c>
      <c r="U622" s="466">
        <v>23426</v>
      </c>
      <c r="V622" s="11" t="s">
        <v>20155</v>
      </c>
      <c r="W622" s="39">
        <v>0</v>
      </c>
      <c r="X622" s="39">
        <v>50619.765120000004</v>
      </c>
      <c r="Y622" s="39">
        <v>0</v>
      </c>
      <c r="Z622" s="39">
        <v>0</v>
      </c>
      <c r="AA622" s="56">
        <v>0</v>
      </c>
      <c r="AB622" s="56">
        <v>2.1608368957568516</v>
      </c>
      <c r="AC622" s="56">
        <v>0</v>
      </c>
      <c r="AD622" s="56">
        <v>0</v>
      </c>
      <c r="AE622" s="41">
        <v>2016.298</v>
      </c>
      <c r="AF622" s="42">
        <v>10645.382</v>
      </c>
      <c r="AG622" s="42">
        <v>0.45442593699308459</v>
      </c>
      <c r="AH622" s="467">
        <v>0</v>
      </c>
      <c r="AI622" s="467">
        <v>1.706410958763767</v>
      </c>
      <c r="AJ622" s="467">
        <v>0</v>
      </c>
      <c r="AK622" s="467">
        <v>0</v>
      </c>
      <c r="AL622" s="44">
        <v>0</v>
      </c>
      <c r="AM622" s="44">
        <v>1</v>
      </c>
      <c r="AN622" s="468">
        <v>0</v>
      </c>
      <c r="AO622" s="468">
        <v>0</v>
      </c>
    </row>
    <row r="623" spans="1:41" hidden="1">
      <c r="A623" s="50">
        <v>18</v>
      </c>
      <c r="B623" s="1" t="s">
        <v>20199</v>
      </c>
      <c r="C623" s="50">
        <v>0</v>
      </c>
      <c r="D623" s="464" t="s">
        <v>18354</v>
      </c>
      <c r="E623" s="1" t="s">
        <v>20199</v>
      </c>
      <c r="F623" s="53" t="s">
        <v>20299</v>
      </c>
      <c r="G623" s="1">
        <v>2021</v>
      </c>
      <c r="H623" s="1" t="s">
        <v>16384</v>
      </c>
      <c r="I623" s="3" t="s">
        <v>16385</v>
      </c>
      <c r="J623" s="3" t="s">
        <v>3</v>
      </c>
      <c r="K623" s="54">
        <v>184800</v>
      </c>
      <c r="L623" s="3">
        <v>1</v>
      </c>
      <c r="M623" s="465">
        <v>184800</v>
      </c>
      <c r="N623" s="3" t="s">
        <v>20155</v>
      </c>
      <c r="O623" s="3" t="s">
        <v>17261</v>
      </c>
      <c r="P623" s="875">
        <v>44214</v>
      </c>
      <c r="Q623" s="466">
        <v>0</v>
      </c>
      <c r="R623" s="466">
        <v>0</v>
      </c>
      <c r="S623" s="466">
        <v>140000</v>
      </c>
      <c r="T623" s="466">
        <v>0</v>
      </c>
      <c r="U623" s="466">
        <v>140000</v>
      </c>
      <c r="V623" s="11" t="s">
        <v>20155</v>
      </c>
      <c r="W623" s="39">
        <v>0</v>
      </c>
      <c r="X623" s="39">
        <v>0</v>
      </c>
      <c r="Y623" s="39">
        <v>184800</v>
      </c>
      <c r="Z623" s="39">
        <v>0</v>
      </c>
      <c r="AA623" s="56">
        <v>0</v>
      </c>
      <c r="AB623" s="56">
        <v>0</v>
      </c>
      <c r="AC623" s="56">
        <v>1.32</v>
      </c>
      <c r="AD623" s="56">
        <v>0</v>
      </c>
      <c r="AE623" s="41">
        <v>0</v>
      </c>
      <c r="AF623" s="42">
        <v>0</v>
      </c>
      <c r="AG623" s="42">
        <v>0</v>
      </c>
      <c r="AH623" s="467">
        <v>0</v>
      </c>
      <c r="AI623" s="467">
        <v>0</v>
      </c>
      <c r="AJ623" s="467">
        <v>1.32</v>
      </c>
      <c r="AK623" s="467">
        <v>0</v>
      </c>
      <c r="AL623" s="44">
        <v>0</v>
      </c>
      <c r="AM623" s="44">
        <v>0</v>
      </c>
      <c r="AN623" s="468" t="s">
        <v>20300</v>
      </c>
      <c r="AO623" s="468">
        <v>0</v>
      </c>
    </row>
    <row r="624" spans="1:41" hidden="1">
      <c r="A624" s="50">
        <v>19</v>
      </c>
      <c r="B624" s="1" t="s">
        <v>20200</v>
      </c>
      <c r="C624" s="50">
        <v>0</v>
      </c>
      <c r="D624" s="464" t="s">
        <v>18355</v>
      </c>
      <c r="E624" s="1" t="s">
        <v>20200</v>
      </c>
      <c r="F624" s="53" t="s">
        <v>20299</v>
      </c>
      <c r="G624" s="1">
        <v>2021</v>
      </c>
      <c r="H624" s="1" t="s">
        <v>16384</v>
      </c>
      <c r="I624" s="3" t="s">
        <v>16385</v>
      </c>
      <c r="J624" s="3" t="s">
        <v>3</v>
      </c>
      <c r="K624" s="54">
        <v>184800</v>
      </c>
      <c r="L624" s="3">
        <v>1</v>
      </c>
      <c r="M624" s="465">
        <v>184800</v>
      </c>
      <c r="N624" s="3" t="s">
        <v>20155</v>
      </c>
      <c r="O624" s="3" t="s">
        <v>17261</v>
      </c>
      <c r="P624" s="875">
        <v>44217</v>
      </c>
      <c r="Q624" s="466">
        <v>0</v>
      </c>
      <c r="R624" s="466">
        <v>0</v>
      </c>
      <c r="S624" s="466">
        <v>140000</v>
      </c>
      <c r="T624" s="466">
        <v>0</v>
      </c>
      <c r="U624" s="466">
        <v>140000</v>
      </c>
      <c r="V624" s="11" t="s">
        <v>20155</v>
      </c>
      <c r="W624" s="39">
        <v>0</v>
      </c>
      <c r="X624" s="39">
        <v>0</v>
      </c>
      <c r="Y624" s="39">
        <v>184800</v>
      </c>
      <c r="Z624" s="39">
        <v>0</v>
      </c>
      <c r="AA624" s="56">
        <v>0</v>
      </c>
      <c r="AB624" s="56">
        <v>0</v>
      </c>
      <c r="AC624" s="56">
        <v>1.32</v>
      </c>
      <c r="AD624" s="56">
        <v>0</v>
      </c>
      <c r="AE624" s="41">
        <v>0</v>
      </c>
      <c r="AF624" s="42">
        <v>0</v>
      </c>
      <c r="AG624" s="42">
        <v>0</v>
      </c>
      <c r="AH624" s="467">
        <v>0</v>
      </c>
      <c r="AI624" s="467">
        <v>0</v>
      </c>
      <c r="AJ624" s="467">
        <v>1.32</v>
      </c>
      <c r="AK624" s="467">
        <v>0</v>
      </c>
      <c r="AL624" s="44">
        <v>0</v>
      </c>
      <c r="AM624" s="44">
        <v>0</v>
      </c>
      <c r="AN624" s="468" t="s">
        <v>20300</v>
      </c>
      <c r="AO624" s="468">
        <v>0</v>
      </c>
    </row>
    <row r="625" spans="1:41" hidden="1">
      <c r="A625" s="469">
        <v>20</v>
      </c>
      <c r="B625" s="470" t="s">
        <v>20201</v>
      </c>
      <c r="C625" s="469">
        <v>0</v>
      </c>
      <c r="D625" s="471" t="s">
        <v>18356</v>
      </c>
      <c r="E625" s="470" t="s">
        <v>20201</v>
      </c>
      <c r="F625" s="472" t="s">
        <v>20301</v>
      </c>
      <c r="G625" s="470">
        <v>2021</v>
      </c>
      <c r="H625" s="470" t="s">
        <v>17017</v>
      </c>
      <c r="I625" s="473" t="s">
        <v>17018</v>
      </c>
      <c r="J625" s="473" t="s">
        <v>3</v>
      </c>
      <c r="K625" s="474">
        <v>73330.080000000002</v>
      </c>
      <c r="L625" s="473">
        <v>1</v>
      </c>
      <c r="M625" s="475">
        <v>73330.080000000002</v>
      </c>
      <c r="N625" s="473" t="s">
        <v>20302</v>
      </c>
      <c r="O625" s="473" t="s">
        <v>17954</v>
      </c>
      <c r="P625" s="877">
        <v>44216</v>
      </c>
      <c r="Q625" s="476">
        <v>0</v>
      </c>
      <c r="R625" s="476">
        <v>38136</v>
      </c>
      <c r="S625" s="476">
        <v>3632</v>
      </c>
      <c r="T625" s="476">
        <v>0</v>
      </c>
      <c r="U625" s="476">
        <v>41768</v>
      </c>
      <c r="V625" s="11" t="s">
        <v>20155</v>
      </c>
      <c r="W625" s="477">
        <v>0</v>
      </c>
      <c r="X625" s="477">
        <v>67119.360000000001</v>
      </c>
      <c r="Y625" s="477">
        <v>6210.72</v>
      </c>
      <c r="Z625" s="477">
        <v>0</v>
      </c>
      <c r="AA625" s="56">
        <v>0</v>
      </c>
      <c r="AB625" s="56">
        <v>1.76</v>
      </c>
      <c r="AC625" s="56">
        <v>1.71</v>
      </c>
      <c r="AD625" s="56">
        <v>0</v>
      </c>
      <c r="AE625" s="478">
        <v>0</v>
      </c>
      <c r="AF625" s="479">
        <v>0</v>
      </c>
      <c r="AG625" s="479">
        <v>0</v>
      </c>
      <c r="AH625" s="467">
        <v>0</v>
      </c>
      <c r="AI625" s="467">
        <v>1.76</v>
      </c>
      <c r="AJ625" s="467">
        <v>1.71</v>
      </c>
      <c r="AK625" s="467">
        <v>0</v>
      </c>
      <c r="AL625" s="480">
        <v>0</v>
      </c>
      <c r="AM625" s="480">
        <v>1</v>
      </c>
      <c r="AN625" s="481">
        <v>1</v>
      </c>
      <c r="AO625" s="481">
        <v>0</v>
      </c>
    </row>
    <row r="626" spans="1:41" hidden="1">
      <c r="A626" s="482">
        <v>21</v>
      </c>
      <c r="B626" s="4" t="s">
        <v>20202</v>
      </c>
      <c r="C626" s="482">
        <v>0</v>
      </c>
      <c r="D626" s="483" t="s">
        <v>18357</v>
      </c>
      <c r="E626" s="4" t="s">
        <v>20202</v>
      </c>
      <c r="F626" s="484" t="s">
        <v>20303</v>
      </c>
      <c r="G626" s="4">
        <v>2021</v>
      </c>
      <c r="H626" s="4" t="s">
        <v>16880</v>
      </c>
      <c r="I626" s="4" t="s">
        <v>16881</v>
      </c>
      <c r="J626" s="4" t="s">
        <v>16401</v>
      </c>
      <c r="K626" s="485">
        <v>56824.447320000007</v>
      </c>
      <c r="L626" s="4">
        <v>2.7033</v>
      </c>
      <c r="M626" s="55">
        <v>21020.400000000001</v>
      </c>
      <c r="N626" s="4" t="s">
        <v>20155</v>
      </c>
      <c r="O626" s="4" t="s">
        <v>20156</v>
      </c>
      <c r="P626" s="878">
        <v>44222</v>
      </c>
      <c r="Q626" s="486">
        <v>0</v>
      </c>
      <c r="R626" s="486">
        <v>17320</v>
      </c>
      <c r="S626" s="486">
        <v>0</v>
      </c>
      <c r="T626" s="486">
        <v>0</v>
      </c>
      <c r="U626" s="486">
        <v>17320</v>
      </c>
      <c r="V626" s="21" t="s">
        <v>20155</v>
      </c>
      <c r="W626" s="56">
        <v>0</v>
      </c>
      <c r="X626" s="56">
        <v>56824.447320000007</v>
      </c>
      <c r="Y626" s="56">
        <v>0</v>
      </c>
      <c r="Z626" s="56">
        <v>0</v>
      </c>
      <c r="AA626" s="56">
        <v>0</v>
      </c>
      <c r="AB626" s="56">
        <v>3.2808572355658203</v>
      </c>
      <c r="AC626" s="56">
        <v>0</v>
      </c>
      <c r="AD626" s="56">
        <v>0</v>
      </c>
      <c r="AE626" s="487">
        <v>0</v>
      </c>
      <c r="AF626" s="488">
        <v>1497.02</v>
      </c>
      <c r="AG626" s="488">
        <v>8.6433025404157038E-2</v>
      </c>
      <c r="AH626" s="489">
        <v>0</v>
      </c>
      <c r="AI626" s="489">
        <v>3.1944242101616633</v>
      </c>
      <c r="AJ626" s="489">
        <v>0</v>
      </c>
      <c r="AK626" s="489">
        <v>0</v>
      </c>
      <c r="AL626" s="490">
        <v>0</v>
      </c>
      <c r="AM626" s="490">
        <v>1</v>
      </c>
      <c r="AN626" s="491">
        <v>0</v>
      </c>
      <c r="AO626" s="491">
        <v>0</v>
      </c>
    </row>
    <row r="627" spans="1:41" hidden="1">
      <c r="A627" s="482">
        <v>22</v>
      </c>
      <c r="B627" s="4" t="s">
        <v>20203</v>
      </c>
      <c r="C627" s="482">
        <v>0</v>
      </c>
      <c r="D627" s="483" t="s">
        <v>18358</v>
      </c>
      <c r="E627" s="4" t="s">
        <v>20203</v>
      </c>
      <c r="F627" s="484" t="s">
        <v>20303</v>
      </c>
      <c r="G627" s="4">
        <v>2021</v>
      </c>
      <c r="H627" s="4" t="s">
        <v>16838</v>
      </c>
      <c r="I627" s="492" t="s">
        <v>16839</v>
      </c>
      <c r="J627" s="492" t="s">
        <v>3</v>
      </c>
      <c r="K627" s="493">
        <v>368413.92</v>
      </c>
      <c r="L627" s="492">
        <v>1</v>
      </c>
      <c r="M627" s="494">
        <v>368413.92</v>
      </c>
      <c r="N627" s="492" t="s">
        <v>20155</v>
      </c>
      <c r="O627" s="492" t="s">
        <v>17798</v>
      </c>
      <c r="P627" s="879">
        <v>44221</v>
      </c>
      <c r="Q627" s="486">
        <v>0</v>
      </c>
      <c r="R627" s="486">
        <v>264096</v>
      </c>
      <c r="S627" s="486">
        <v>0</v>
      </c>
      <c r="T627" s="486">
        <v>0</v>
      </c>
      <c r="U627" s="486">
        <v>264096</v>
      </c>
      <c r="V627" s="21" t="s">
        <v>20155</v>
      </c>
      <c r="W627" s="495">
        <v>0</v>
      </c>
      <c r="X627" s="495">
        <v>368413.92</v>
      </c>
      <c r="Y627" s="495">
        <v>0</v>
      </c>
      <c r="Z627" s="495">
        <v>0</v>
      </c>
      <c r="AA627" s="56">
        <v>0</v>
      </c>
      <c r="AB627" s="56">
        <v>1.395</v>
      </c>
      <c r="AC627" s="56">
        <v>0</v>
      </c>
      <c r="AD627" s="56">
        <v>0</v>
      </c>
      <c r="AE627" s="487">
        <v>0</v>
      </c>
      <c r="AF627" s="488">
        <v>0</v>
      </c>
      <c r="AG627" s="488">
        <v>0</v>
      </c>
      <c r="AH627" s="489">
        <v>0</v>
      </c>
      <c r="AI627" s="489">
        <v>1.395</v>
      </c>
      <c r="AJ627" s="489">
        <v>0</v>
      </c>
      <c r="AK627" s="489">
        <v>0</v>
      </c>
      <c r="AL627" s="490">
        <v>0</v>
      </c>
      <c r="AM627" s="490" t="s">
        <v>20296</v>
      </c>
      <c r="AN627" s="491">
        <v>0</v>
      </c>
      <c r="AO627" s="491">
        <v>0</v>
      </c>
    </row>
    <row r="628" spans="1:41" hidden="1">
      <c r="A628" s="482">
        <v>23</v>
      </c>
      <c r="B628" s="4" t="s">
        <v>20204</v>
      </c>
      <c r="C628" s="482">
        <v>0</v>
      </c>
      <c r="D628" s="483" t="s">
        <v>18359</v>
      </c>
      <c r="E628" s="4" t="s">
        <v>20204</v>
      </c>
      <c r="F628" s="484" t="s">
        <v>20303</v>
      </c>
      <c r="G628" s="4">
        <v>2021</v>
      </c>
      <c r="H628" s="4" t="s">
        <v>17119</v>
      </c>
      <c r="I628" s="4" t="s">
        <v>17120</v>
      </c>
      <c r="J628" s="4" t="s">
        <v>16401</v>
      </c>
      <c r="K628" s="485">
        <v>71858.645040000003</v>
      </c>
      <c r="L628" s="4">
        <v>2.7006000000000001</v>
      </c>
      <c r="M628" s="55">
        <v>26608.400000000001</v>
      </c>
      <c r="N628" s="4" t="s">
        <v>20155</v>
      </c>
      <c r="O628" s="4" t="s">
        <v>17965</v>
      </c>
      <c r="P628" s="878">
        <v>44228</v>
      </c>
      <c r="Q628" s="486">
        <v>0</v>
      </c>
      <c r="R628" s="486">
        <v>44016</v>
      </c>
      <c r="S628" s="486">
        <v>0</v>
      </c>
      <c r="T628" s="486">
        <v>0</v>
      </c>
      <c r="U628" s="486">
        <v>44016</v>
      </c>
      <c r="V628" s="21" t="s">
        <v>20155</v>
      </c>
      <c r="W628" s="56">
        <v>0</v>
      </c>
      <c r="X628" s="56">
        <v>71858.645040000003</v>
      </c>
      <c r="Y628" s="56">
        <v>0</v>
      </c>
      <c r="Z628" s="56">
        <v>0</v>
      </c>
      <c r="AA628" s="56">
        <v>0</v>
      </c>
      <c r="AB628" s="56">
        <v>1.6325573664122137</v>
      </c>
      <c r="AC628" s="56">
        <v>0</v>
      </c>
      <c r="AD628" s="56">
        <v>0</v>
      </c>
      <c r="AE628" s="487">
        <v>3958.1784000000002</v>
      </c>
      <c r="AF628" s="488">
        <v>11677.806</v>
      </c>
      <c r="AG628" s="488">
        <v>0.26530820610687023</v>
      </c>
      <c r="AH628" s="489">
        <v>0</v>
      </c>
      <c r="AI628" s="489">
        <v>1.3672491603053434</v>
      </c>
      <c r="AJ628" s="489">
        <v>0</v>
      </c>
      <c r="AK628" s="489">
        <v>0</v>
      </c>
      <c r="AL628" s="490">
        <v>0</v>
      </c>
      <c r="AM628" s="490" t="s">
        <v>20296</v>
      </c>
      <c r="AN628" s="491">
        <v>0</v>
      </c>
      <c r="AO628" s="491">
        <v>0</v>
      </c>
    </row>
    <row r="629" spans="1:41" hidden="1">
      <c r="A629" s="50">
        <v>24</v>
      </c>
      <c r="B629" s="1" t="s">
        <v>20205</v>
      </c>
      <c r="C629" s="50">
        <v>0</v>
      </c>
      <c r="D629" s="464" t="s">
        <v>18360</v>
      </c>
      <c r="E629" s="1" t="s">
        <v>20205</v>
      </c>
      <c r="F629" s="53">
        <v>44217</v>
      </c>
      <c r="G629" s="1">
        <v>2021</v>
      </c>
      <c r="H629" s="1" t="s">
        <v>17262</v>
      </c>
      <c r="I629" s="1" t="s">
        <v>17263</v>
      </c>
      <c r="J629" s="1" t="s">
        <v>16482</v>
      </c>
      <c r="K629" s="36">
        <v>20858.623295999998</v>
      </c>
      <c r="L629" s="1">
        <v>3.2784</v>
      </c>
      <c r="M629" s="37">
        <v>6362.44</v>
      </c>
      <c r="N629" s="1" t="s">
        <v>20155</v>
      </c>
      <c r="O629" s="1" t="s">
        <v>16394</v>
      </c>
      <c r="P629" s="876">
        <v>44223</v>
      </c>
      <c r="Q629" s="466">
        <v>0</v>
      </c>
      <c r="R629" s="466">
        <v>3792</v>
      </c>
      <c r="S629" s="466">
        <v>1500</v>
      </c>
      <c r="T629" s="466">
        <v>2800</v>
      </c>
      <c r="U629" s="466">
        <v>8092</v>
      </c>
      <c r="V629" s="11" t="s">
        <v>20155</v>
      </c>
      <c r="W629" s="39">
        <v>0</v>
      </c>
      <c r="X629" s="39">
        <v>7086.0648959999999</v>
      </c>
      <c r="Y629" s="39">
        <v>2803.0319999999997</v>
      </c>
      <c r="Z629" s="39">
        <v>10969.526399999999</v>
      </c>
      <c r="AA629" s="56">
        <v>0</v>
      </c>
      <c r="AB629" s="56">
        <v>1.8686879999999999</v>
      </c>
      <c r="AC629" s="56">
        <v>1.8686879999999999</v>
      </c>
      <c r="AD629" s="56">
        <v>3.9176879999999996</v>
      </c>
      <c r="AE629" s="41">
        <v>0</v>
      </c>
      <c r="AF629" s="42">
        <v>0</v>
      </c>
      <c r="AG629" s="42">
        <v>0</v>
      </c>
      <c r="AH629" s="467">
        <v>0</v>
      </c>
      <c r="AI629" s="467">
        <v>1.8686879999999999</v>
      </c>
      <c r="AJ629" s="467">
        <v>1.8686879999999999</v>
      </c>
      <c r="AK629" s="467">
        <v>3.9176879999999996</v>
      </c>
      <c r="AL629" s="44">
        <v>0</v>
      </c>
      <c r="AM629" s="44">
        <v>1</v>
      </c>
      <c r="AN629" s="468">
        <v>1</v>
      </c>
      <c r="AO629" s="468">
        <v>1</v>
      </c>
    </row>
    <row r="630" spans="1:41" hidden="1">
      <c r="A630" s="50">
        <v>25</v>
      </c>
      <c r="B630" s="1" t="s">
        <v>20206</v>
      </c>
      <c r="C630" s="50">
        <v>0</v>
      </c>
      <c r="D630" s="464" t="s">
        <v>18361</v>
      </c>
      <c r="E630" s="1" t="s">
        <v>20206</v>
      </c>
      <c r="F630" s="53">
        <v>44219</v>
      </c>
      <c r="G630" s="1">
        <v>2021</v>
      </c>
      <c r="H630" s="1" t="s">
        <v>16560</v>
      </c>
      <c r="I630" s="1" t="s">
        <v>16561</v>
      </c>
      <c r="J630" s="1" t="s">
        <v>16482</v>
      </c>
      <c r="K630" s="36">
        <v>162885.81600000002</v>
      </c>
      <c r="L630" s="1">
        <v>3.2787000000000002</v>
      </c>
      <c r="M630" s="37">
        <v>49680</v>
      </c>
      <c r="N630" s="1" t="s">
        <v>20155</v>
      </c>
      <c r="O630" s="1" t="s">
        <v>17801</v>
      </c>
      <c r="P630" s="876">
        <v>44231</v>
      </c>
      <c r="Q630" s="466">
        <v>0</v>
      </c>
      <c r="R630" s="466">
        <v>0</v>
      </c>
      <c r="S630" s="466">
        <v>108000</v>
      </c>
      <c r="T630" s="466">
        <v>0</v>
      </c>
      <c r="U630" s="466">
        <v>108000</v>
      </c>
      <c r="V630" s="11" t="s">
        <v>20155</v>
      </c>
      <c r="W630" s="39">
        <v>0</v>
      </c>
      <c r="X630" s="39">
        <v>0</v>
      </c>
      <c r="Y630" s="39">
        <v>162885.81599999999</v>
      </c>
      <c r="Z630" s="39">
        <v>0</v>
      </c>
      <c r="AA630" s="56">
        <v>0</v>
      </c>
      <c r="AB630" s="56">
        <v>0</v>
      </c>
      <c r="AC630" s="56">
        <v>1.5082019999999998</v>
      </c>
      <c r="AD630" s="56">
        <v>0</v>
      </c>
      <c r="AE630" s="41">
        <v>6571.1552000000001</v>
      </c>
      <c r="AF630" s="42">
        <v>21015.42</v>
      </c>
      <c r="AG630" s="42">
        <v>0.19458722222222222</v>
      </c>
      <c r="AH630" s="467">
        <v>0</v>
      </c>
      <c r="AI630" s="467">
        <v>0</v>
      </c>
      <c r="AJ630" s="467">
        <v>1.3136147777777776</v>
      </c>
      <c r="AK630" s="467">
        <v>0</v>
      </c>
      <c r="AL630" s="44">
        <v>0</v>
      </c>
      <c r="AM630" s="44">
        <v>0</v>
      </c>
      <c r="AN630" s="468" t="s">
        <v>20300</v>
      </c>
      <c r="AO630" s="468">
        <v>0</v>
      </c>
    </row>
    <row r="631" spans="1:41" hidden="1">
      <c r="A631" s="50">
        <v>26</v>
      </c>
      <c r="B631" s="1" t="s">
        <v>20207</v>
      </c>
      <c r="C631" s="50">
        <v>0</v>
      </c>
      <c r="D631" s="464" t="s">
        <v>18362</v>
      </c>
      <c r="E631" s="1" t="s">
        <v>20207</v>
      </c>
      <c r="F631" s="53">
        <v>44219</v>
      </c>
      <c r="G631" s="1">
        <v>2021</v>
      </c>
      <c r="H631" s="1" t="s">
        <v>16560</v>
      </c>
      <c r="I631" s="1" t="s">
        <v>16561</v>
      </c>
      <c r="J631" s="1" t="s">
        <v>16482</v>
      </c>
      <c r="K631" s="36">
        <v>162885.81600000002</v>
      </c>
      <c r="L631" s="1">
        <v>3.2787000000000002</v>
      </c>
      <c r="M631" s="37">
        <v>49680</v>
      </c>
      <c r="N631" s="1" t="s">
        <v>20155</v>
      </c>
      <c r="O631" s="1" t="s">
        <v>17801</v>
      </c>
      <c r="P631" s="876">
        <v>44230</v>
      </c>
      <c r="Q631" s="466">
        <v>0</v>
      </c>
      <c r="R631" s="466">
        <v>0</v>
      </c>
      <c r="S631" s="466">
        <v>108000</v>
      </c>
      <c r="T631" s="466">
        <v>0</v>
      </c>
      <c r="U631" s="466">
        <v>108000</v>
      </c>
      <c r="V631" s="11" t="s">
        <v>20155</v>
      </c>
      <c r="W631" s="39">
        <v>0</v>
      </c>
      <c r="X631" s="39">
        <v>0</v>
      </c>
      <c r="Y631" s="39">
        <v>162885.81599999999</v>
      </c>
      <c r="Z631" s="39">
        <v>0</v>
      </c>
      <c r="AA631" s="56">
        <v>0</v>
      </c>
      <c r="AB631" s="56">
        <v>0</v>
      </c>
      <c r="AC631" s="56">
        <v>1.5082019999999998</v>
      </c>
      <c r="AD631" s="56">
        <v>0</v>
      </c>
      <c r="AE631" s="41">
        <v>6571.152000000001</v>
      </c>
      <c r="AF631" s="42">
        <v>21015.42</v>
      </c>
      <c r="AG631" s="42">
        <v>0.19458722222222222</v>
      </c>
      <c r="AH631" s="467">
        <v>0</v>
      </c>
      <c r="AI631" s="467">
        <v>0</v>
      </c>
      <c r="AJ631" s="467">
        <v>1.3136147777777776</v>
      </c>
      <c r="AK631" s="467">
        <v>0</v>
      </c>
      <c r="AL631" s="44">
        <v>0</v>
      </c>
      <c r="AM631" s="44">
        <v>0</v>
      </c>
      <c r="AN631" s="468" t="s">
        <v>20300</v>
      </c>
      <c r="AO631" s="468">
        <v>0</v>
      </c>
    </row>
    <row r="632" spans="1:41" hidden="1">
      <c r="A632" s="50">
        <v>27</v>
      </c>
      <c r="B632" s="1" t="s">
        <v>20208</v>
      </c>
      <c r="C632" s="50">
        <v>0</v>
      </c>
      <c r="D632" s="464" t="s">
        <v>18363</v>
      </c>
      <c r="E632" s="1" t="s">
        <v>20208</v>
      </c>
      <c r="F632" s="53">
        <v>44219</v>
      </c>
      <c r="G632" s="1">
        <v>2021</v>
      </c>
      <c r="H632" s="1" t="s">
        <v>16560</v>
      </c>
      <c r="I632" s="1" t="s">
        <v>16561</v>
      </c>
      <c r="J632" s="1" t="s">
        <v>16482</v>
      </c>
      <c r="K632" s="36">
        <v>162736.77600000001</v>
      </c>
      <c r="L632" s="1">
        <v>3.2757000000000001</v>
      </c>
      <c r="M632" s="37">
        <v>49680</v>
      </c>
      <c r="N632" s="1" t="s">
        <v>20155</v>
      </c>
      <c r="O632" s="1" t="s">
        <v>17801</v>
      </c>
      <c r="P632" s="876">
        <v>44232</v>
      </c>
      <c r="Q632" s="466">
        <v>0</v>
      </c>
      <c r="R632" s="466">
        <v>0</v>
      </c>
      <c r="S632" s="466">
        <v>108000</v>
      </c>
      <c r="T632" s="466">
        <v>0</v>
      </c>
      <c r="U632" s="466">
        <v>108000</v>
      </c>
      <c r="V632" s="11" t="s">
        <v>20155</v>
      </c>
      <c r="W632" s="39">
        <v>0</v>
      </c>
      <c r="X632" s="39">
        <v>0</v>
      </c>
      <c r="Y632" s="39">
        <v>162736.77599999998</v>
      </c>
      <c r="Z632" s="39">
        <v>0</v>
      </c>
      <c r="AA632" s="56">
        <v>0</v>
      </c>
      <c r="AB632" s="56">
        <v>0</v>
      </c>
      <c r="AC632" s="56">
        <v>1.5068219999999999</v>
      </c>
      <c r="AD632" s="56">
        <v>0</v>
      </c>
      <c r="AE632" s="41">
        <v>6571.1552000000001</v>
      </c>
      <c r="AF632" s="42">
        <v>21015.42</v>
      </c>
      <c r="AG632" s="42">
        <v>0.19458722222222222</v>
      </c>
      <c r="AH632" s="467">
        <v>0</v>
      </c>
      <c r="AI632" s="467">
        <v>0</v>
      </c>
      <c r="AJ632" s="467">
        <v>1.3122347777777776</v>
      </c>
      <c r="AK632" s="467">
        <v>0</v>
      </c>
      <c r="AL632" s="44">
        <v>0</v>
      </c>
      <c r="AM632" s="44">
        <v>0</v>
      </c>
      <c r="AN632" s="468" t="s">
        <v>20300</v>
      </c>
      <c r="AO632" s="468">
        <v>0</v>
      </c>
    </row>
    <row r="633" spans="1:41" hidden="1">
      <c r="A633" s="50">
        <v>28</v>
      </c>
      <c r="B633" s="1" t="s">
        <v>20209</v>
      </c>
      <c r="C633" s="50">
        <v>0</v>
      </c>
      <c r="D633" s="464" t="s">
        <v>18364</v>
      </c>
      <c r="E633" s="1" t="s">
        <v>20209</v>
      </c>
      <c r="F633" s="53">
        <v>44222</v>
      </c>
      <c r="G633" s="1">
        <v>2021</v>
      </c>
      <c r="H633" s="1" t="s">
        <v>16444</v>
      </c>
      <c r="I633" s="1" t="s">
        <v>16445</v>
      </c>
      <c r="J633" s="1" t="s">
        <v>3</v>
      </c>
      <c r="K633" s="36">
        <v>33822.5</v>
      </c>
      <c r="L633" s="1">
        <v>1</v>
      </c>
      <c r="M633" s="37">
        <v>33822.5</v>
      </c>
      <c r="N633" s="1" t="s">
        <v>20155</v>
      </c>
      <c r="O633" s="1" t="s">
        <v>17693</v>
      </c>
      <c r="P633" s="876">
        <v>44228</v>
      </c>
      <c r="Q633" s="466">
        <v>20750</v>
      </c>
      <c r="R633" s="466">
        <v>0</v>
      </c>
      <c r="S633" s="466">
        <v>0</v>
      </c>
      <c r="T633" s="466">
        <v>0</v>
      </c>
      <c r="U633" s="466">
        <v>20750</v>
      </c>
      <c r="V633" s="11" t="s">
        <v>20155</v>
      </c>
      <c r="W633" s="39">
        <v>33822.5</v>
      </c>
      <c r="X633" s="39">
        <v>0</v>
      </c>
      <c r="Y633" s="39">
        <v>0</v>
      </c>
      <c r="Z633" s="39">
        <v>0</v>
      </c>
      <c r="AA633" s="56">
        <v>1.63</v>
      </c>
      <c r="AB633" s="56">
        <v>0</v>
      </c>
      <c r="AC633" s="56">
        <v>0</v>
      </c>
      <c r="AD633" s="56">
        <v>0</v>
      </c>
      <c r="AE633" s="41">
        <v>0</v>
      </c>
      <c r="AF633" s="42">
        <v>0</v>
      </c>
      <c r="AG633" s="42">
        <v>0</v>
      </c>
      <c r="AH633" s="467">
        <v>1.63</v>
      </c>
      <c r="AI633" s="467">
        <v>0</v>
      </c>
      <c r="AJ633" s="467">
        <v>0</v>
      </c>
      <c r="AK633" s="467">
        <v>0</v>
      </c>
      <c r="AL633" s="44">
        <v>1</v>
      </c>
      <c r="AM633" s="44">
        <v>0</v>
      </c>
      <c r="AN633" s="468">
        <v>0</v>
      </c>
      <c r="AO633" s="468">
        <v>0</v>
      </c>
    </row>
    <row r="634" spans="1:41" hidden="1">
      <c r="A634" s="50">
        <v>29</v>
      </c>
      <c r="B634" s="1" t="s">
        <v>20210</v>
      </c>
      <c r="C634" s="50">
        <v>0</v>
      </c>
      <c r="D634" s="464" t="s">
        <v>18365</v>
      </c>
      <c r="E634" s="1" t="s">
        <v>20210</v>
      </c>
      <c r="F634" s="53">
        <v>44222</v>
      </c>
      <c r="G634" s="1">
        <v>2021</v>
      </c>
      <c r="H634" s="1" t="s">
        <v>17017</v>
      </c>
      <c r="I634" s="1" t="s">
        <v>17018</v>
      </c>
      <c r="J634" s="1" t="s">
        <v>3</v>
      </c>
      <c r="K634" s="36">
        <v>23744.400000000001</v>
      </c>
      <c r="L634" s="1">
        <v>1</v>
      </c>
      <c r="M634" s="37">
        <v>23744.400000000001</v>
      </c>
      <c r="N634" s="1" t="s">
        <v>20155</v>
      </c>
      <c r="O634" s="1" t="s">
        <v>20304</v>
      </c>
      <c r="P634" s="876">
        <v>44237</v>
      </c>
      <c r="Q634" s="466">
        <v>7200</v>
      </c>
      <c r="R634" s="466">
        <v>4260</v>
      </c>
      <c r="S634" s="466">
        <v>1500</v>
      </c>
      <c r="T634" s="466">
        <v>240</v>
      </c>
      <c r="U634" s="466">
        <v>13200</v>
      </c>
      <c r="V634" s="11" t="s">
        <v>20155</v>
      </c>
      <c r="W634" s="39">
        <v>12888</v>
      </c>
      <c r="X634" s="39">
        <v>8246.4</v>
      </c>
      <c r="Y634" s="39">
        <v>2610</v>
      </c>
      <c r="Z634" s="39">
        <v>0</v>
      </c>
      <c r="AA634" s="56">
        <v>1.79</v>
      </c>
      <c r="AB634" s="56">
        <v>1.9357746478873239</v>
      </c>
      <c r="AC634" s="56">
        <v>1.74</v>
      </c>
      <c r="AD634" s="56">
        <v>0</v>
      </c>
      <c r="AE634" s="41">
        <v>0</v>
      </c>
      <c r="AF634" s="42">
        <v>0</v>
      </c>
      <c r="AG634" s="42">
        <v>0</v>
      </c>
      <c r="AH634" s="467">
        <v>1.79</v>
      </c>
      <c r="AI634" s="467">
        <v>1.9357746478873239</v>
      </c>
      <c r="AJ634" s="467">
        <v>1.74</v>
      </c>
      <c r="AK634" s="467">
        <v>0</v>
      </c>
      <c r="AL634" s="44">
        <v>1</v>
      </c>
      <c r="AM634" s="44">
        <v>1</v>
      </c>
      <c r="AN634" s="468">
        <v>1</v>
      </c>
      <c r="AO634" s="468">
        <v>1</v>
      </c>
    </row>
    <row r="635" spans="1:41" hidden="1">
      <c r="A635" s="50">
        <v>30</v>
      </c>
      <c r="B635" s="1" t="s">
        <v>20211</v>
      </c>
      <c r="C635" s="50">
        <v>0</v>
      </c>
      <c r="D635" s="464" t="s">
        <v>18366</v>
      </c>
      <c r="E635" s="1" t="s">
        <v>20211</v>
      </c>
      <c r="F635" s="53">
        <v>44229</v>
      </c>
      <c r="G635" s="1">
        <v>2021</v>
      </c>
      <c r="H635" s="1" t="s">
        <v>17017</v>
      </c>
      <c r="I635" s="1" t="s">
        <v>17018</v>
      </c>
      <c r="J635" s="1" t="s">
        <v>3</v>
      </c>
      <c r="K635" s="36">
        <v>34000</v>
      </c>
      <c r="L635" s="1">
        <v>1</v>
      </c>
      <c r="M635" s="37">
        <v>34000</v>
      </c>
      <c r="N635" s="1" t="s">
        <v>20155</v>
      </c>
      <c r="O635" s="1" t="s">
        <v>18064</v>
      </c>
      <c r="P635" s="876">
        <v>44242</v>
      </c>
      <c r="Q635" s="466">
        <v>0</v>
      </c>
      <c r="R635" s="466">
        <v>20000</v>
      </c>
      <c r="S635" s="466">
        <v>0</v>
      </c>
      <c r="T635" s="466">
        <v>0</v>
      </c>
      <c r="U635" s="466">
        <v>20000</v>
      </c>
      <c r="V635" s="11" t="s">
        <v>20155</v>
      </c>
      <c r="W635" s="39">
        <v>0</v>
      </c>
      <c r="X635" s="39">
        <v>34000</v>
      </c>
      <c r="Y635" s="39">
        <v>0</v>
      </c>
      <c r="Z635" s="39">
        <v>0</v>
      </c>
      <c r="AA635" s="56">
        <v>0</v>
      </c>
      <c r="AB635" s="56">
        <v>1.7</v>
      </c>
      <c r="AC635" s="56">
        <v>0</v>
      </c>
      <c r="AD635" s="56">
        <v>0</v>
      </c>
      <c r="AE635" s="41">
        <v>0</v>
      </c>
      <c r="AF635" s="42">
        <v>0</v>
      </c>
      <c r="AG635" s="42">
        <v>0</v>
      </c>
      <c r="AH635" s="467">
        <v>0</v>
      </c>
      <c r="AI635" s="467">
        <v>1.7</v>
      </c>
      <c r="AJ635" s="467">
        <v>0</v>
      </c>
      <c r="AK635" s="467">
        <v>0</v>
      </c>
      <c r="AL635" s="44">
        <v>0</v>
      </c>
      <c r="AM635" s="44">
        <v>1</v>
      </c>
      <c r="AN635" s="468">
        <v>0</v>
      </c>
      <c r="AO635" s="468">
        <v>0</v>
      </c>
    </row>
    <row r="636" spans="1:41" hidden="1">
      <c r="A636" s="50">
        <v>31</v>
      </c>
      <c r="B636" s="1" t="s">
        <v>20212</v>
      </c>
      <c r="C636" s="50">
        <v>0</v>
      </c>
      <c r="D636" s="464" t="s">
        <v>18367</v>
      </c>
      <c r="E636" s="1" t="s">
        <v>20212</v>
      </c>
      <c r="F636" s="53">
        <v>44229</v>
      </c>
      <c r="G636" s="1">
        <v>2021</v>
      </c>
      <c r="H636" s="1" t="s">
        <v>16384</v>
      </c>
      <c r="I636" s="1" t="s">
        <v>16385</v>
      </c>
      <c r="J636" s="1" t="s">
        <v>3</v>
      </c>
      <c r="K636" s="36">
        <v>161280</v>
      </c>
      <c r="L636" s="1">
        <v>1</v>
      </c>
      <c r="M636" s="37">
        <v>161280</v>
      </c>
      <c r="N636" s="1" t="s">
        <v>20155</v>
      </c>
      <c r="O636" s="1" t="s">
        <v>17965</v>
      </c>
      <c r="P636" s="876">
        <v>44235</v>
      </c>
      <c r="Q636" s="466">
        <v>96000</v>
      </c>
      <c r="R636" s="466">
        <v>0</v>
      </c>
      <c r="S636" s="466">
        <v>0</v>
      </c>
      <c r="T636" s="466">
        <v>0</v>
      </c>
      <c r="U636" s="466">
        <v>96000</v>
      </c>
      <c r="V636" s="11" t="s">
        <v>20155</v>
      </c>
      <c r="W636" s="39">
        <v>161280</v>
      </c>
      <c r="X636" s="39">
        <v>0</v>
      </c>
      <c r="Y636" s="39">
        <v>0</v>
      </c>
      <c r="Z636" s="39">
        <v>0</v>
      </c>
      <c r="AA636" s="56">
        <v>1.68</v>
      </c>
      <c r="AB636" s="56">
        <v>0</v>
      </c>
      <c r="AC636" s="56">
        <v>0</v>
      </c>
      <c r="AD636" s="56">
        <v>0</v>
      </c>
      <c r="AE636" s="41">
        <v>0</v>
      </c>
      <c r="AF636" s="42">
        <v>0</v>
      </c>
      <c r="AG636" s="42">
        <v>0</v>
      </c>
      <c r="AH636" s="467">
        <v>1.68</v>
      </c>
      <c r="AI636" s="467">
        <v>0</v>
      </c>
      <c r="AJ636" s="467">
        <v>0</v>
      </c>
      <c r="AK636" s="467">
        <v>0</v>
      </c>
      <c r="AL636" s="44">
        <v>1</v>
      </c>
      <c r="AM636" s="44">
        <v>0</v>
      </c>
      <c r="AN636" s="468">
        <v>0</v>
      </c>
      <c r="AO636" s="468">
        <v>0</v>
      </c>
    </row>
    <row r="637" spans="1:41" hidden="1">
      <c r="A637" s="50">
        <v>32</v>
      </c>
      <c r="B637" s="1" t="s">
        <v>20213</v>
      </c>
      <c r="C637" s="50">
        <v>0</v>
      </c>
      <c r="D637" s="464" t="s">
        <v>18368</v>
      </c>
      <c r="E637" s="1" t="s">
        <v>20213</v>
      </c>
      <c r="F637" s="53">
        <v>44229</v>
      </c>
      <c r="G637" s="1">
        <v>2021</v>
      </c>
      <c r="H637" s="1" t="s">
        <v>16470</v>
      </c>
      <c r="I637" s="1" t="s">
        <v>16471</v>
      </c>
      <c r="J637" s="1" t="s">
        <v>16401</v>
      </c>
      <c r="K637" s="36">
        <v>177732.54265000002</v>
      </c>
      <c r="L637" s="1">
        <v>2.7293500000000002</v>
      </c>
      <c r="M637" s="37">
        <v>65119</v>
      </c>
      <c r="N637" s="1" t="s">
        <v>20155</v>
      </c>
      <c r="O637" s="1" t="s">
        <v>20159</v>
      </c>
      <c r="P637" s="876">
        <v>44237</v>
      </c>
      <c r="Q637" s="466">
        <v>0</v>
      </c>
      <c r="R637" s="466">
        <v>0</v>
      </c>
      <c r="S637" s="466">
        <v>104000</v>
      </c>
      <c r="T637" s="466">
        <v>0</v>
      </c>
      <c r="U637" s="466">
        <v>104000</v>
      </c>
      <c r="V637" s="11" t="s">
        <v>20155</v>
      </c>
      <c r="W637" s="39">
        <v>0</v>
      </c>
      <c r="X637" s="39">
        <v>0</v>
      </c>
      <c r="Y637" s="39">
        <v>177732.54264999999</v>
      </c>
      <c r="Z637" s="39">
        <v>0</v>
      </c>
      <c r="AA637" s="56">
        <v>0</v>
      </c>
      <c r="AB637" s="56">
        <v>0</v>
      </c>
      <c r="AC637" s="56">
        <v>1.7089667562499999</v>
      </c>
      <c r="AD637" s="56">
        <v>0</v>
      </c>
      <c r="AE637" s="41">
        <v>11443.4208</v>
      </c>
      <c r="AF637" s="42">
        <v>32957.252</v>
      </c>
      <c r="AG637" s="42">
        <v>0.31689665384615384</v>
      </c>
      <c r="AH637" s="467">
        <v>0</v>
      </c>
      <c r="AI637" s="467">
        <v>0</v>
      </c>
      <c r="AJ637" s="467">
        <v>1.3920701024038462</v>
      </c>
      <c r="AK637" s="467">
        <v>0</v>
      </c>
      <c r="AL637" s="44">
        <v>0</v>
      </c>
      <c r="AM637" s="44">
        <v>0</v>
      </c>
      <c r="AN637" s="468" t="s">
        <v>20296</v>
      </c>
      <c r="AO637" s="468">
        <v>0</v>
      </c>
    </row>
    <row r="638" spans="1:41" hidden="1">
      <c r="A638" s="50">
        <v>33</v>
      </c>
      <c r="B638" s="1" t="s">
        <v>20214</v>
      </c>
      <c r="C638" s="50">
        <v>0</v>
      </c>
      <c r="D638" s="464" t="s">
        <v>18369</v>
      </c>
      <c r="E638" s="1" t="s">
        <v>20214</v>
      </c>
      <c r="F638" s="53">
        <v>44229</v>
      </c>
      <c r="G638" s="1">
        <v>2021</v>
      </c>
      <c r="H638" s="1" t="s">
        <v>16470</v>
      </c>
      <c r="I638" s="496" t="s">
        <v>16471</v>
      </c>
      <c r="J638" s="496" t="s">
        <v>16401</v>
      </c>
      <c r="K638" s="497">
        <v>598716.39495600003</v>
      </c>
      <c r="L638" s="496">
        <v>2.7046999999999999</v>
      </c>
      <c r="M638" s="498">
        <v>221361.48</v>
      </c>
      <c r="N638" s="496" t="s">
        <v>20155</v>
      </c>
      <c r="O638" s="496" t="s">
        <v>20159</v>
      </c>
      <c r="P638" s="880">
        <v>44245</v>
      </c>
      <c r="Q638" s="466">
        <v>26496</v>
      </c>
      <c r="R638" s="466">
        <v>309408</v>
      </c>
      <c r="S638" s="466">
        <v>0</v>
      </c>
      <c r="T638" s="466">
        <v>0</v>
      </c>
      <c r="U638" s="466">
        <v>335904</v>
      </c>
      <c r="V638" s="11" t="s">
        <v>20155</v>
      </c>
      <c r="W638" s="39">
        <v>52200.675555463851</v>
      </c>
      <c r="X638" s="39">
        <v>546515.71940053615</v>
      </c>
      <c r="Y638" s="39">
        <v>0</v>
      </c>
      <c r="Z638" s="39">
        <v>0</v>
      </c>
      <c r="AA638" s="56">
        <v>1.9701341921597166</v>
      </c>
      <c r="AB638" s="56">
        <v>1.7663270484296985</v>
      </c>
      <c r="AC638" s="56">
        <v>0</v>
      </c>
      <c r="AD638" s="56">
        <v>0</v>
      </c>
      <c r="AE638" s="41">
        <v>47360.376000000004</v>
      </c>
      <c r="AF638" s="42">
        <v>131869.9</v>
      </c>
      <c r="AG638" s="42">
        <v>0.39258210679241684</v>
      </c>
      <c r="AH638" s="467">
        <v>1.5775520853672997</v>
      </c>
      <c r="AI638" s="467">
        <v>1.3737449416372816</v>
      </c>
      <c r="AJ638" s="467">
        <v>0</v>
      </c>
      <c r="AK638" s="467">
        <v>0</v>
      </c>
      <c r="AL638" s="44">
        <v>1</v>
      </c>
      <c r="AM638" s="44" t="s">
        <v>20296</v>
      </c>
      <c r="AN638" s="468">
        <v>0</v>
      </c>
      <c r="AO638" s="468">
        <v>0</v>
      </c>
    </row>
    <row r="639" spans="1:41" hidden="1">
      <c r="A639" s="50">
        <v>34</v>
      </c>
      <c r="B639" s="1" t="s">
        <v>20215</v>
      </c>
      <c r="C639" s="50">
        <v>0</v>
      </c>
      <c r="D639" s="464" t="s">
        <v>18370</v>
      </c>
      <c r="E639" s="1" t="s">
        <v>20215</v>
      </c>
      <c r="F639" s="53">
        <v>44229</v>
      </c>
      <c r="G639" s="1">
        <v>2021</v>
      </c>
      <c r="H639" s="1" t="s">
        <v>16838</v>
      </c>
      <c r="I639" s="1" t="s">
        <v>16839</v>
      </c>
      <c r="J639" s="1" t="s">
        <v>3</v>
      </c>
      <c r="K639" s="36">
        <v>221208.95999999999</v>
      </c>
      <c r="L639" s="1">
        <v>1</v>
      </c>
      <c r="M639" s="37">
        <v>221208.95999999999</v>
      </c>
      <c r="N639" s="1" t="s">
        <v>20155</v>
      </c>
      <c r="O639" s="1" t="s">
        <v>17949</v>
      </c>
      <c r="P639" s="876">
        <v>44247</v>
      </c>
      <c r="Q639" s="466">
        <v>110040</v>
      </c>
      <c r="R639" s="466">
        <v>21000</v>
      </c>
      <c r="S639" s="466">
        <v>0</v>
      </c>
      <c r="T639" s="466">
        <v>0</v>
      </c>
      <c r="U639" s="466">
        <v>131040</v>
      </c>
      <c r="V639" s="11" t="s">
        <v>20155</v>
      </c>
      <c r="W639" s="39">
        <v>189708.96</v>
      </c>
      <c r="X639" s="39">
        <v>31500</v>
      </c>
      <c r="Y639" s="39">
        <v>0</v>
      </c>
      <c r="Z639" s="39">
        <v>0</v>
      </c>
      <c r="AA639" s="56">
        <v>1.724</v>
      </c>
      <c r="AB639" s="56">
        <v>1.5</v>
      </c>
      <c r="AC639" s="56">
        <v>0</v>
      </c>
      <c r="AD639" s="56">
        <v>0</v>
      </c>
      <c r="AE639" s="41">
        <v>0</v>
      </c>
      <c r="AF639" s="42">
        <v>0</v>
      </c>
      <c r="AG639" s="42">
        <v>0</v>
      </c>
      <c r="AH639" s="467">
        <v>1.724</v>
      </c>
      <c r="AI639" s="467">
        <v>1.5</v>
      </c>
      <c r="AJ639" s="467">
        <v>0</v>
      </c>
      <c r="AK639" s="467">
        <v>0</v>
      </c>
      <c r="AL639" s="44">
        <v>1</v>
      </c>
      <c r="AM639" s="44" t="s">
        <v>20305</v>
      </c>
      <c r="AN639" s="468">
        <v>0</v>
      </c>
      <c r="AO639" s="468">
        <v>0</v>
      </c>
    </row>
    <row r="640" spans="1:41" hidden="1">
      <c r="A640" s="50">
        <v>35</v>
      </c>
      <c r="B640" s="1" t="s">
        <v>20216</v>
      </c>
      <c r="C640" s="50">
        <v>0</v>
      </c>
      <c r="D640" s="464" t="s">
        <v>18371</v>
      </c>
      <c r="E640" s="1" t="s">
        <v>20216</v>
      </c>
      <c r="F640" s="53">
        <v>44229</v>
      </c>
      <c r="G640" s="1">
        <v>2021</v>
      </c>
      <c r="H640" s="1" t="s">
        <v>16838</v>
      </c>
      <c r="I640" s="1" t="s">
        <v>16839</v>
      </c>
      <c r="J640" s="1" t="s">
        <v>3</v>
      </c>
      <c r="K640" s="36">
        <v>265289.12</v>
      </c>
      <c r="L640" s="1">
        <v>1</v>
      </c>
      <c r="M640" s="37">
        <v>265289.12</v>
      </c>
      <c r="N640" s="1" t="s">
        <v>20155</v>
      </c>
      <c r="O640" s="1" t="s">
        <v>17949</v>
      </c>
      <c r="P640" s="876">
        <v>44240</v>
      </c>
      <c r="Q640" s="466">
        <v>130040</v>
      </c>
      <c r="R640" s="466">
        <v>17880</v>
      </c>
      <c r="S640" s="466">
        <v>9600</v>
      </c>
      <c r="T640" s="466">
        <v>0</v>
      </c>
      <c r="U640" s="466">
        <v>157520</v>
      </c>
      <c r="V640" s="11" t="s">
        <v>20155</v>
      </c>
      <c r="W640" s="39">
        <v>224549.12</v>
      </c>
      <c r="X640" s="39">
        <v>26820</v>
      </c>
      <c r="Y640" s="39">
        <v>13920</v>
      </c>
      <c r="Z640" s="39">
        <v>0</v>
      </c>
      <c r="AA640" s="56">
        <v>1.7267696093509688</v>
      </c>
      <c r="AB640" s="56">
        <v>1.5</v>
      </c>
      <c r="AC640" s="56">
        <v>1.45</v>
      </c>
      <c r="AD640" s="56">
        <v>0</v>
      </c>
      <c r="AE640" s="41">
        <v>0</v>
      </c>
      <c r="AF640" s="42">
        <v>0</v>
      </c>
      <c r="AG640" s="42">
        <v>0</v>
      </c>
      <c r="AH640" s="467">
        <v>1.7267696093509688</v>
      </c>
      <c r="AI640" s="467">
        <v>1.5</v>
      </c>
      <c r="AJ640" s="467">
        <v>1.45</v>
      </c>
      <c r="AK640" s="467">
        <v>0</v>
      </c>
      <c r="AL640" s="44">
        <v>1</v>
      </c>
      <c r="AM640" s="44" t="s">
        <v>20305</v>
      </c>
      <c r="AN640" s="468" t="s">
        <v>20296</v>
      </c>
      <c r="AO640" s="468">
        <v>0</v>
      </c>
    </row>
    <row r="641" spans="1:41" hidden="1">
      <c r="A641" s="50">
        <v>36</v>
      </c>
      <c r="B641" s="1" t="s">
        <v>20217</v>
      </c>
      <c r="C641" s="50">
        <v>0</v>
      </c>
      <c r="D641" s="464" t="s">
        <v>18372</v>
      </c>
      <c r="E641" s="1" t="s">
        <v>20217</v>
      </c>
      <c r="F641" s="53">
        <v>44229</v>
      </c>
      <c r="G641" s="1">
        <v>2021</v>
      </c>
      <c r="H641" s="1" t="s">
        <v>16384</v>
      </c>
      <c r="I641" s="1" t="s">
        <v>16385</v>
      </c>
      <c r="J641" s="1" t="s">
        <v>3</v>
      </c>
      <c r="K641" s="36">
        <v>101376</v>
      </c>
      <c r="L641" s="1">
        <v>1</v>
      </c>
      <c r="M641" s="37">
        <v>101376</v>
      </c>
      <c r="N641" s="1" t="s">
        <v>20155</v>
      </c>
      <c r="O641" s="1" t="s">
        <v>18248</v>
      </c>
      <c r="P641" s="876">
        <v>44249</v>
      </c>
      <c r="Q641" s="466">
        <v>57600</v>
      </c>
      <c r="R641" s="466">
        <v>0</v>
      </c>
      <c r="S641" s="466">
        <v>0</v>
      </c>
      <c r="T641" s="466">
        <v>0</v>
      </c>
      <c r="U641" s="466">
        <v>57600</v>
      </c>
      <c r="V641" s="11" t="s">
        <v>20155</v>
      </c>
      <c r="W641" s="39">
        <v>101376</v>
      </c>
      <c r="X641" s="39">
        <v>0</v>
      </c>
      <c r="Y641" s="39">
        <v>0</v>
      </c>
      <c r="Z641" s="39">
        <v>0</v>
      </c>
      <c r="AA641" s="56">
        <v>1.76</v>
      </c>
      <c r="AB641" s="56">
        <v>0</v>
      </c>
      <c r="AC641" s="56">
        <v>0</v>
      </c>
      <c r="AD641" s="56">
        <v>0</v>
      </c>
      <c r="AE641" s="41">
        <v>0</v>
      </c>
      <c r="AF641" s="42">
        <v>0</v>
      </c>
      <c r="AG641" s="42">
        <v>0</v>
      </c>
      <c r="AH641" s="467">
        <v>1.76</v>
      </c>
      <c r="AI641" s="467">
        <v>0</v>
      </c>
      <c r="AJ641" s="467">
        <v>0</v>
      </c>
      <c r="AK641" s="467">
        <v>0</v>
      </c>
      <c r="AL641" s="44">
        <v>1</v>
      </c>
      <c r="AM641" s="44">
        <v>0</v>
      </c>
      <c r="AN641" s="468">
        <v>0</v>
      </c>
      <c r="AO641" s="468">
        <v>0</v>
      </c>
    </row>
    <row r="642" spans="1:41" hidden="1">
      <c r="A642" s="50">
        <v>37</v>
      </c>
      <c r="B642" s="1" t="s">
        <v>20218</v>
      </c>
      <c r="C642" s="50">
        <v>0</v>
      </c>
      <c r="D642" s="464" t="s">
        <v>18373</v>
      </c>
      <c r="E642" s="1" t="s">
        <v>20218</v>
      </c>
      <c r="F642" s="53">
        <v>44230</v>
      </c>
      <c r="G642" s="1">
        <v>2021</v>
      </c>
      <c r="H642" s="1" t="s">
        <v>16444</v>
      </c>
      <c r="I642" s="3" t="s">
        <v>16445</v>
      </c>
      <c r="J642" s="3" t="s">
        <v>3</v>
      </c>
      <c r="K642" s="54">
        <v>73506.720000000001</v>
      </c>
      <c r="L642" s="3">
        <v>1</v>
      </c>
      <c r="M642" s="465">
        <v>73506.720000000001</v>
      </c>
      <c r="N642" s="3" t="s">
        <v>20155</v>
      </c>
      <c r="O642" s="3" t="s">
        <v>18248</v>
      </c>
      <c r="P642" s="875">
        <v>44237</v>
      </c>
      <c r="Q642" s="466">
        <v>44016</v>
      </c>
      <c r="R642" s="466">
        <v>0</v>
      </c>
      <c r="S642" s="466">
        <v>0</v>
      </c>
      <c r="T642" s="466">
        <v>0</v>
      </c>
      <c r="U642" s="466">
        <v>44016</v>
      </c>
      <c r="V642" s="11" t="s">
        <v>20155</v>
      </c>
      <c r="W642" s="39">
        <v>73506.720000000001</v>
      </c>
      <c r="X642" s="39">
        <v>0</v>
      </c>
      <c r="Y642" s="39">
        <v>0</v>
      </c>
      <c r="Z642" s="39">
        <v>0</v>
      </c>
      <c r="AA642" s="56">
        <v>1.67</v>
      </c>
      <c r="AB642" s="56">
        <v>0</v>
      </c>
      <c r="AC642" s="56">
        <v>0</v>
      </c>
      <c r="AD642" s="56">
        <v>0</v>
      </c>
      <c r="AE642" s="41">
        <v>0</v>
      </c>
      <c r="AF642" s="42">
        <v>0</v>
      </c>
      <c r="AG642" s="42">
        <v>0</v>
      </c>
      <c r="AH642" s="467">
        <v>1.67</v>
      </c>
      <c r="AI642" s="467">
        <v>0</v>
      </c>
      <c r="AJ642" s="467">
        <v>0</v>
      </c>
      <c r="AK642" s="467">
        <v>0</v>
      </c>
      <c r="AL642" s="44">
        <v>1</v>
      </c>
      <c r="AM642" s="44">
        <v>0</v>
      </c>
      <c r="AN642" s="468">
        <v>0</v>
      </c>
      <c r="AO642" s="468">
        <v>0</v>
      </c>
    </row>
    <row r="643" spans="1:41" hidden="1">
      <c r="A643" s="50">
        <v>38</v>
      </c>
      <c r="B643" s="1" t="s">
        <v>20219</v>
      </c>
      <c r="C643" s="50">
        <v>0</v>
      </c>
      <c r="D643" s="464" t="s">
        <v>18374</v>
      </c>
      <c r="E643" s="1" t="s">
        <v>20219</v>
      </c>
      <c r="F643" s="53">
        <v>44230</v>
      </c>
      <c r="G643" s="1">
        <v>2021</v>
      </c>
      <c r="H643" s="1" t="s">
        <v>16384</v>
      </c>
      <c r="I643" s="1" t="s">
        <v>16385</v>
      </c>
      <c r="J643" s="1" t="s">
        <v>3</v>
      </c>
      <c r="K643" s="36">
        <v>191800</v>
      </c>
      <c r="L643" s="1">
        <v>1</v>
      </c>
      <c r="M643" s="37">
        <v>191800</v>
      </c>
      <c r="N643" s="1" t="s">
        <v>20155</v>
      </c>
      <c r="O643" s="1" t="s">
        <v>17261</v>
      </c>
      <c r="P643" s="876">
        <v>44243</v>
      </c>
      <c r="Q643" s="466">
        <v>0</v>
      </c>
      <c r="R643" s="466">
        <v>0</v>
      </c>
      <c r="S643" s="466">
        <v>140000</v>
      </c>
      <c r="T643" s="466">
        <v>0</v>
      </c>
      <c r="U643" s="466">
        <v>140000</v>
      </c>
      <c r="V643" s="11" t="s">
        <v>20155</v>
      </c>
      <c r="W643" s="39">
        <v>0</v>
      </c>
      <c r="X643" s="39">
        <v>0</v>
      </c>
      <c r="Y643" s="39">
        <v>191800</v>
      </c>
      <c r="Z643" s="39">
        <v>0</v>
      </c>
      <c r="AA643" s="56">
        <v>0</v>
      </c>
      <c r="AB643" s="56">
        <v>0</v>
      </c>
      <c r="AC643" s="56">
        <v>1.37</v>
      </c>
      <c r="AD643" s="56">
        <v>0</v>
      </c>
      <c r="AE643" s="41">
        <v>0</v>
      </c>
      <c r="AF643" s="42">
        <v>0</v>
      </c>
      <c r="AG643" s="42">
        <v>0</v>
      </c>
      <c r="AH643" s="467">
        <v>0</v>
      </c>
      <c r="AI643" s="467">
        <v>0</v>
      </c>
      <c r="AJ643" s="467">
        <v>1.37</v>
      </c>
      <c r="AK643" s="467">
        <v>0</v>
      </c>
      <c r="AL643" s="44">
        <v>0</v>
      </c>
      <c r="AM643" s="44">
        <v>0</v>
      </c>
      <c r="AN643" s="468" t="s">
        <v>20300</v>
      </c>
      <c r="AO643" s="468">
        <v>0</v>
      </c>
    </row>
    <row r="644" spans="1:41" hidden="1">
      <c r="A644" s="50">
        <v>39</v>
      </c>
      <c r="B644" s="1" t="s">
        <v>20220</v>
      </c>
      <c r="C644" s="50">
        <v>0</v>
      </c>
      <c r="D644" s="464" t="s">
        <v>18375</v>
      </c>
      <c r="E644" s="1" t="s">
        <v>20220</v>
      </c>
      <c r="F644" s="53">
        <v>44230</v>
      </c>
      <c r="G644" s="1">
        <v>2021</v>
      </c>
      <c r="H644" s="1" t="s">
        <v>17274</v>
      </c>
      <c r="I644" s="1" t="s">
        <v>17275</v>
      </c>
      <c r="J644" s="1" t="s">
        <v>16482</v>
      </c>
      <c r="K644" s="36">
        <v>51980.777182500002</v>
      </c>
      <c r="L644" s="1">
        <v>3.2842500000000001</v>
      </c>
      <c r="M644" s="37">
        <v>15827.29</v>
      </c>
      <c r="N644" s="1" t="s">
        <v>20155</v>
      </c>
      <c r="O644" s="1" t="s">
        <v>16394</v>
      </c>
      <c r="P644" s="876">
        <v>44239</v>
      </c>
      <c r="Q644" s="466">
        <v>0</v>
      </c>
      <c r="R644" s="466">
        <v>16392</v>
      </c>
      <c r="S644" s="466">
        <v>7500</v>
      </c>
      <c r="T644" s="466">
        <v>1810</v>
      </c>
      <c r="U644" s="466">
        <v>25702</v>
      </c>
      <c r="V644" s="11" t="s">
        <v>20155</v>
      </c>
      <c r="W644" s="39">
        <v>0</v>
      </c>
      <c r="X644" s="39">
        <v>31234.498357499997</v>
      </c>
      <c r="Y644" s="39">
        <v>14040.168750000001</v>
      </c>
      <c r="Z644" s="39">
        <v>6706.1100750000005</v>
      </c>
      <c r="AA644" s="56">
        <v>0</v>
      </c>
      <c r="AB644" s="56">
        <v>1.9054720813506587</v>
      </c>
      <c r="AC644" s="56">
        <v>1.8720225000000001</v>
      </c>
      <c r="AD644" s="56">
        <v>3.7050331906077352</v>
      </c>
      <c r="AE644" s="41">
        <v>0</v>
      </c>
      <c r="AF644" s="42">
        <v>0</v>
      </c>
      <c r="AG644" s="42">
        <v>0</v>
      </c>
      <c r="AH644" s="467">
        <v>0</v>
      </c>
      <c r="AI644" s="467">
        <v>1.9054720813506587</v>
      </c>
      <c r="AJ644" s="467">
        <v>1.8720225000000001</v>
      </c>
      <c r="AK644" s="467">
        <v>3.7050331906077352</v>
      </c>
      <c r="AL644" s="44">
        <v>0</v>
      </c>
      <c r="AM644" s="44">
        <v>1</v>
      </c>
      <c r="AN644" s="468">
        <v>1</v>
      </c>
      <c r="AO644" s="468">
        <v>1</v>
      </c>
    </row>
    <row r="645" spans="1:41" hidden="1">
      <c r="A645" s="50">
        <v>40</v>
      </c>
      <c r="B645" s="1" t="s">
        <v>20221</v>
      </c>
      <c r="C645" s="50">
        <v>0</v>
      </c>
      <c r="D645" s="464" t="s">
        <v>18376</v>
      </c>
      <c r="E645" s="1" t="s">
        <v>20221</v>
      </c>
      <c r="F645" s="53">
        <v>44230</v>
      </c>
      <c r="G645" s="1">
        <v>2021</v>
      </c>
      <c r="H645" s="1" t="s">
        <v>16444</v>
      </c>
      <c r="I645" s="3" t="s">
        <v>16445</v>
      </c>
      <c r="J645" s="3" t="s">
        <v>3</v>
      </c>
      <c r="K645" s="54">
        <v>44100</v>
      </c>
      <c r="L645" s="3">
        <v>1</v>
      </c>
      <c r="M645" s="465">
        <v>44100</v>
      </c>
      <c r="N645" s="3" t="s">
        <v>20155</v>
      </c>
      <c r="O645" s="3" t="s">
        <v>18248</v>
      </c>
      <c r="P645" s="875">
        <v>44237</v>
      </c>
      <c r="Q645" s="466">
        <v>9000</v>
      </c>
      <c r="R645" s="466">
        <v>18000</v>
      </c>
      <c r="S645" s="466">
        <v>0</v>
      </c>
      <c r="T645" s="466">
        <v>0</v>
      </c>
      <c r="U645" s="466">
        <v>27000</v>
      </c>
      <c r="V645" s="11" t="s">
        <v>20155</v>
      </c>
      <c r="W645" s="39">
        <v>15660</v>
      </c>
      <c r="X645" s="39">
        <v>28440</v>
      </c>
      <c r="Y645" s="39">
        <v>0</v>
      </c>
      <c r="Z645" s="39">
        <v>0</v>
      </c>
      <c r="AA645" s="56">
        <v>1.74</v>
      </c>
      <c r="AB645" s="56">
        <v>1.58</v>
      </c>
      <c r="AC645" s="56">
        <v>0</v>
      </c>
      <c r="AD645" s="56">
        <v>0</v>
      </c>
      <c r="AE645" s="41">
        <v>0</v>
      </c>
      <c r="AF645" s="42">
        <v>0</v>
      </c>
      <c r="AG645" s="42">
        <v>0</v>
      </c>
      <c r="AH645" s="467">
        <v>1.74</v>
      </c>
      <c r="AI645" s="467">
        <v>1.58</v>
      </c>
      <c r="AJ645" s="467">
        <v>0</v>
      </c>
      <c r="AK645" s="467">
        <v>0</v>
      </c>
      <c r="AL645" s="44">
        <v>1</v>
      </c>
      <c r="AM645" s="44" t="s">
        <v>20296</v>
      </c>
      <c r="AN645" s="468">
        <v>0</v>
      </c>
      <c r="AO645" s="468">
        <v>0</v>
      </c>
    </row>
    <row r="646" spans="1:41" hidden="1">
      <c r="A646" s="50">
        <v>41</v>
      </c>
      <c r="B646" s="1" t="s">
        <v>20222</v>
      </c>
      <c r="C646" s="50">
        <v>0</v>
      </c>
      <c r="D646" s="464" t="s">
        <v>18377</v>
      </c>
      <c r="E646" s="1" t="s">
        <v>20222</v>
      </c>
      <c r="F646" s="53">
        <v>44230</v>
      </c>
      <c r="G646" s="1">
        <v>2021</v>
      </c>
      <c r="H646" s="1" t="s">
        <v>17119</v>
      </c>
      <c r="I646" s="1" t="s">
        <v>17120</v>
      </c>
      <c r="J646" s="1" t="s">
        <v>16401</v>
      </c>
      <c r="K646" s="36">
        <v>195272.94503999999</v>
      </c>
      <c r="L646" s="1">
        <v>2.7132999999999998</v>
      </c>
      <c r="M646" s="37">
        <v>71968.800000000003</v>
      </c>
      <c r="N646" s="1" t="s">
        <v>20155</v>
      </c>
      <c r="O646" s="1" t="s">
        <v>17965</v>
      </c>
      <c r="P646" s="876">
        <v>44238</v>
      </c>
      <c r="Q646" s="466">
        <v>38400</v>
      </c>
      <c r="R646" s="466">
        <v>68616</v>
      </c>
      <c r="S646" s="466">
        <v>0</v>
      </c>
      <c r="T646" s="466">
        <v>0</v>
      </c>
      <c r="U646" s="466">
        <v>107016</v>
      </c>
      <c r="V646" s="11" t="s">
        <v>20155</v>
      </c>
      <c r="W646" s="39">
        <v>76320.695471451007</v>
      </c>
      <c r="X646" s="39">
        <v>118952.24956854898</v>
      </c>
      <c r="Y646" s="39">
        <v>0</v>
      </c>
      <c r="Z646" s="39">
        <v>0</v>
      </c>
      <c r="AA646" s="56">
        <v>1.9875181112357032</v>
      </c>
      <c r="AB646" s="56">
        <v>1.733593470452212</v>
      </c>
      <c r="AC646" s="56">
        <v>0</v>
      </c>
      <c r="AD646" s="56">
        <v>0</v>
      </c>
      <c r="AE646" s="41">
        <v>10938.564</v>
      </c>
      <c r="AF646" s="42">
        <v>32960.11</v>
      </c>
      <c r="AG646" s="42">
        <v>0.30799235628317262</v>
      </c>
      <c r="AH646" s="467">
        <v>1.6795257549525306</v>
      </c>
      <c r="AI646" s="467">
        <v>1.4256011141690395</v>
      </c>
      <c r="AJ646" s="467">
        <v>0</v>
      </c>
      <c r="AK646" s="467">
        <v>0</v>
      </c>
      <c r="AL646" s="44">
        <v>1</v>
      </c>
      <c r="AM646" s="44" t="s">
        <v>20296</v>
      </c>
      <c r="AN646" s="468">
        <v>0</v>
      </c>
      <c r="AO646" s="468">
        <v>0</v>
      </c>
    </row>
    <row r="647" spans="1:41" hidden="1">
      <c r="A647" s="50">
        <v>42</v>
      </c>
      <c r="B647" s="1" t="s">
        <v>20223</v>
      </c>
      <c r="C647" s="50">
        <v>0</v>
      </c>
      <c r="D647" s="464" t="s">
        <v>18378</v>
      </c>
      <c r="E647" s="1" t="s">
        <v>20223</v>
      </c>
      <c r="F647" s="53">
        <v>44231</v>
      </c>
      <c r="G647" s="1">
        <v>2021</v>
      </c>
      <c r="H647" s="1" t="s">
        <v>16560</v>
      </c>
      <c r="I647" s="1" t="s">
        <v>16561</v>
      </c>
      <c r="J647" s="1" t="s">
        <v>16482</v>
      </c>
      <c r="K647" s="36">
        <v>163136.70000000001</v>
      </c>
      <c r="L647" s="1">
        <v>3.2837499999999999</v>
      </c>
      <c r="M647" s="37">
        <v>49680</v>
      </c>
      <c r="N647" s="1" t="s">
        <v>20155</v>
      </c>
      <c r="O647" s="1" t="s">
        <v>17801</v>
      </c>
      <c r="P647" s="876">
        <v>44240</v>
      </c>
      <c r="Q647" s="466">
        <v>0</v>
      </c>
      <c r="R647" s="466">
        <v>0</v>
      </c>
      <c r="S647" s="466">
        <v>108000</v>
      </c>
      <c r="T647" s="466">
        <v>0</v>
      </c>
      <c r="U647" s="466">
        <v>108000</v>
      </c>
      <c r="V647" s="11" t="s">
        <v>20155</v>
      </c>
      <c r="W647" s="39">
        <v>0</v>
      </c>
      <c r="X647" s="39">
        <v>0</v>
      </c>
      <c r="Y647" s="39">
        <v>163136.70000000001</v>
      </c>
      <c r="Z647" s="39">
        <v>0</v>
      </c>
      <c r="AA647" s="56">
        <v>0</v>
      </c>
      <c r="AB647" s="56">
        <v>0</v>
      </c>
      <c r="AC647" s="56">
        <v>1.5105250000000001</v>
      </c>
      <c r="AD647" s="56">
        <v>0</v>
      </c>
      <c r="AE647" s="41">
        <v>6590.8320000000012</v>
      </c>
      <c r="AF647" s="42">
        <v>20812.919999999998</v>
      </c>
      <c r="AG647" s="42">
        <v>0.1927122222222222</v>
      </c>
      <c r="AH647" s="467">
        <v>0</v>
      </c>
      <c r="AI647" s="467">
        <v>0</v>
      </c>
      <c r="AJ647" s="467">
        <v>1.3178127777777779</v>
      </c>
      <c r="AK647" s="467">
        <v>0</v>
      </c>
      <c r="AL647" s="44">
        <v>0</v>
      </c>
      <c r="AM647" s="44">
        <v>0</v>
      </c>
      <c r="AN647" s="468" t="s">
        <v>20300</v>
      </c>
      <c r="AO647" s="468">
        <v>0</v>
      </c>
    </row>
    <row r="648" spans="1:41" hidden="1">
      <c r="A648" s="50">
        <v>43</v>
      </c>
      <c r="B648" s="1" t="s">
        <v>20224</v>
      </c>
      <c r="C648" s="50">
        <v>0</v>
      </c>
      <c r="D648" s="464" t="s">
        <v>18379</v>
      </c>
      <c r="E648" s="1" t="s">
        <v>20224</v>
      </c>
      <c r="F648" s="53">
        <v>44231</v>
      </c>
      <c r="G648" s="1">
        <v>2021</v>
      </c>
      <c r="H648" s="1" t="s">
        <v>16560</v>
      </c>
      <c r="I648" s="1" t="s">
        <v>16561</v>
      </c>
      <c r="J648" s="1" t="s">
        <v>16482</v>
      </c>
      <c r="K648" s="36">
        <v>163136.70000000001</v>
      </c>
      <c r="L648" s="1">
        <v>3.2837499999999999</v>
      </c>
      <c r="M648" s="37">
        <v>49680</v>
      </c>
      <c r="N648" s="1" t="s">
        <v>20155</v>
      </c>
      <c r="O648" s="1" t="s">
        <v>17801</v>
      </c>
      <c r="P648" s="876">
        <v>44242</v>
      </c>
      <c r="Q648" s="466">
        <v>0</v>
      </c>
      <c r="R648" s="466">
        <v>0</v>
      </c>
      <c r="S648" s="466">
        <v>108000</v>
      </c>
      <c r="T648" s="466">
        <v>0</v>
      </c>
      <c r="U648" s="466">
        <v>108000</v>
      </c>
      <c r="V648" s="11" t="s">
        <v>20155</v>
      </c>
      <c r="W648" s="39">
        <v>0</v>
      </c>
      <c r="X648" s="39">
        <v>0</v>
      </c>
      <c r="Y648" s="39">
        <v>163136.70000000001</v>
      </c>
      <c r="Z648" s="39">
        <v>0</v>
      </c>
      <c r="AA648" s="56">
        <v>0</v>
      </c>
      <c r="AB648" s="56">
        <v>0</v>
      </c>
      <c r="AC648" s="56">
        <v>1.5105250000000001</v>
      </c>
      <c r="AD648" s="56">
        <v>0</v>
      </c>
      <c r="AE648" s="41">
        <v>6590.8320000000012</v>
      </c>
      <c r="AF648" s="42">
        <v>20336.919999999998</v>
      </c>
      <c r="AG648" s="42">
        <v>0.18830481481481479</v>
      </c>
      <c r="AH648" s="467">
        <v>0</v>
      </c>
      <c r="AI648" s="467">
        <v>0</v>
      </c>
      <c r="AJ648" s="467">
        <v>1.3222201851851854</v>
      </c>
      <c r="AK648" s="467">
        <v>0</v>
      </c>
      <c r="AL648" s="44">
        <v>0</v>
      </c>
      <c r="AM648" s="44">
        <v>0</v>
      </c>
      <c r="AN648" s="468" t="s">
        <v>20300</v>
      </c>
      <c r="AO648" s="468">
        <v>0</v>
      </c>
    </row>
    <row r="649" spans="1:41" hidden="1">
      <c r="A649" s="50">
        <v>44</v>
      </c>
      <c r="B649" s="1" t="s">
        <v>20225</v>
      </c>
      <c r="C649" s="50">
        <v>0</v>
      </c>
      <c r="D649" s="464" t="s">
        <v>18380</v>
      </c>
      <c r="E649" s="1" t="s">
        <v>20225</v>
      </c>
      <c r="F649" s="53">
        <v>44235</v>
      </c>
      <c r="G649" s="1">
        <v>2021</v>
      </c>
      <c r="H649" s="1" t="s">
        <v>17281</v>
      </c>
      <c r="I649" s="1" t="s">
        <v>17282</v>
      </c>
      <c r="J649" s="1" t="s">
        <v>3</v>
      </c>
      <c r="K649" s="36">
        <v>76002</v>
      </c>
      <c r="L649" s="1">
        <v>1</v>
      </c>
      <c r="M649" s="37">
        <v>76002</v>
      </c>
      <c r="N649" s="1" t="s">
        <v>20155</v>
      </c>
      <c r="O649" s="1" t="s">
        <v>20306</v>
      </c>
      <c r="P649" s="876">
        <v>44242</v>
      </c>
      <c r="Q649" s="466">
        <v>0</v>
      </c>
      <c r="R649" s="466">
        <v>6480</v>
      </c>
      <c r="S649" s="466">
        <v>9000</v>
      </c>
      <c r="T649" s="466">
        <v>11200</v>
      </c>
      <c r="U649" s="466">
        <v>26680</v>
      </c>
      <c r="V649" s="11" t="s">
        <v>20155</v>
      </c>
      <c r="W649" s="39">
        <v>0</v>
      </c>
      <c r="X649" s="39">
        <v>12312</v>
      </c>
      <c r="Y649" s="39">
        <v>16650</v>
      </c>
      <c r="Z649" s="39">
        <v>47040</v>
      </c>
      <c r="AA649" s="56">
        <v>0</v>
      </c>
      <c r="AB649" s="56">
        <v>1.9</v>
      </c>
      <c r="AC649" s="56">
        <v>1.85</v>
      </c>
      <c r="AD649" s="56">
        <v>4.2</v>
      </c>
      <c r="AE649" s="41">
        <v>0</v>
      </c>
      <c r="AF649" s="42">
        <v>0</v>
      </c>
      <c r="AG649" s="42">
        <v>0</v>
      </c>
      <c r="AH649" s="467">
        <v>0</v>
      </c>
      <c r="AI649" s="467">
        <v>1.9</v>
      </c>
      <c r="AJ649" s="467">
        <v>1.85</v>
      </c>
      <c r="AK649" s="467">
        <v>4.2</v>
      </c>
      <c r="AL649" s="44">
        <v>0</v>
      </c>
      <c r="AM649" s="44">
        <v>1</v>
      </c>
      <c r="AN649" s="468">
        <v>1</v>
      </c>
      <c r="AO649" s="468">
        <v>1</v>
      </c>
    </row>
    <row r="650" spans="1:41" hidden="1">
      <c r="A650" s="50">
        <v>45</v>
      </c>
      <c r="B650" s="1" t="s">
        <v>20226</v>
      </c>
      <c r="C650" s="50">
        <v>0</v>
      </c>
      <c r="D650" s="464" t="s">
        <v>18382</v>
      </c>
      <c r="E650" s="1" t="s">
        <v>20226</v>
      </c>
      <c r="F650" s="53">
        <v>44235</v>
      </c>
      <c r="G650" s="1">
        <v>2021</v>
      </c>
      <c r="H650" s="1" t="s">
        <v>17284</v>
      </c>
      <c r="I650" s="1" t="s">
        <v>17285</v>
      </c>
      <c r="J650" s="1" t="s">
        <v>3</v>
      </c>
      <c r="K650" s="36">
        <v>20991.599999999999</v>
      </c>
      <c r="L650" s="1">
        <v>1</v>
      </c>
      <c r="M650" s="37">
        <v>20991.599999999999</v>
      </c>
      <c r="N650" s="1" t="s">
        <v>20155</v>
      </c>
      <c r="O650" s="1" t="s">
        <v>20306</v>
      </c>
      <c r="P650" s="876">
        <v>44250</v>
      </c>
      <c r="Q650" s="466">
        <v>2400</v>
      </c>
      <c r="R650" s="466">
        <v>3144</v>
      </c>
      <c r="S650" s="466">
        <v>1500</v>
      </c>
      <c r="T650" s="466">
        <v>2280</v>
      </c>
      <c r="U650" s="466">
        <v>9324</v>
      </c>
      <c r="V650" s="11" t="s">
        <v>20155</v>
      </c>
      <c r="W650" s="39">
        <v>4560</v>
      </c>
      <c r="X650" s="39">
        <v>7533.6</v>
      </c>
      <c r="Y650" s="39">
        <v>2850</v>
      </c>
      <c r="Z650" s="39">
        <v>6048</v>
      </c>
      <c r="AA650" s="56">
        <v>1.9</v>
      </c>
      <c r="AB650" s="56">
        <v>2.3961832061068704</v>
      </c>
      <c r="AC650" s="56">
        <v>1.9</v>
      </c>
      <c r="AD650" s="56">
        <v>2.6526315789473682</v>
      </c>
      <c r="AE650" s="41">
        <v>0</v>
      </c>
      <c r="AF650" s="42">
        <v>0</v>
      </c>
      <c r="AG650" s="42">
        <v>0</v>
      </c>
      <c r="AH650" s="467">
        <v>1.9</v>
      </c>
      <c r="AI650" s="467">
        <v>2.3961832061068704</v>
      </c>
      <c r="AJ650" s="467">
        <v>1.9</v>
      </c>
      <c r="AK650" s="467">
        <v>2.6526315789473682</v>
      </c>
      <c r="AL650" s="44">
        <v>1</v>
      </c>
      <c r="AM650" s="44">
        <v>1</v>
      </c>
      <c r="AN650" s="468">
        <v>1</v>
      </c>
      <c r="AO650" s="468">
        <v>1</v>
      </c>
    </row>
    <row r="651" spans="1:41" hidden="1">
      <c r="A651" s="50">
        <v>46</v>
      </c>
      <c r="B651" s="1" t="s">
        <v>20227</v>
      </c>
      <c r="C651" s="50">
        <v>0</v>
      </c>
      <c r="D651" s="464" t="s">
        <v>18384</v>
      </c>
      <c r="E651" s="1" t="s">
        <v>20227</v>
      </c>
      <c r="F651" s="53">
        <v>44235</v>
      </c>
      <c r="G651" s="1">
        <v>2021</v>
      </c>
      <c r="H651" s="1" t="s">
        <v>16972</v>
      </c>
      <c r="I651" s="1" t="s">
        <v>16973</v>
      </c>
      <c r="J651" s="1" t="s">
        <v>3</v>
      </c>
      <c r="K651" s="36">
        <v>66688</v>
      </c>
      <c r="L651" s="1">
        <v>1</v>
      </c>
      <c r="M651" s="37">
        <v>66688</v>
      </c>
      <c r="N651" s="1" t="s">
        <v>20155</v>
      </c>
      <c r="O651" s="1" t="s">
        <v>17693</v>
      </c>
      <c r="P651" s="876">
        <v>44244</v>
      </c>
      <c r="Q651" s="466">
        <v>38000</v>
      </c>
      <c r="R651" s="466">
        <v>0</v>
      </c>
      <c r="S651" s="466">
        <v>0</v>
      </c>
      <c r="T651" s="466">
        <v>0</v>
      </c>
      <c r="U651" s="466">
        <v>38000</v>
      </c>
      <c r="V651" s="11" t="s">
        <v>20155</v>
      </c>
      <c r="W651" s="39">
        <v>66688</v>
      </c>
      <c r="X651" s="39">
        <v>0</v>
      </c>
      <c r="Y651" s="39">
        <v>0</v>
      </c>
      <c r="Z651" s="39">
        <v>0</v>
      </c>
      <c r="AA651" s="56">
        <v>1.7549473684210526</v>
      </c>
      <c r="AB651" s="56">
        <v>0</v>
      </c>
      <c r="AC651" s="56">
        <v>0</v>
      </c>
      <c r="AD651" s="56">
        <v>0</v>
      </c>
      <c r="AE651" s="41">
        <v>0</v>
      </c>
      <c r="AF651" s="42">
        <v>0</v>
      </c>
      <c r="AG651" s="42">
        <v>0</v>
      </c>
      <c r="AH651" s="467">
        <v>1.7549473684210526</v>
      </c>
      <c r="AI651" s="467">
        <v>0</v>
      </c>
      <c r="AJ651" s="467">
        <v>0</v>
      </c>
      <c r="AK651" s="467">
        <v>0</v>
      </c>
      <c r="AL651" s="44">
        <v>1</v>
      </c>
      <c r="AM651" s="44">
        <v>0</v>
      </c>
      <c r="AN651" s="468">
        <v>0</v>
      </c>
      <c r="AO651" s="468">
        <v>0</v>
      </c>
    </row>
    <row r="652" spans="1:41" hidden="1">
      <c r="A652" s="50">
        <v>47</v>
      </c>
      <c r="B652" s="1" t="s">
        <v>20228</v>
      </c>
      <c r="C652" s="50">
        <v>0</v>
      </c>
      <c r="D652" s="464" t="s">
        <v>18385</v>
      </c>
      <c r="E652" s="1" t="s">
        <v>20228</v>
      </c>
      <c r="F652" s="53">
        <v>44237</v>
      </c>
      <c r="G652" s="1">
        <v>2021</v>
      </c>
      <c r="H652" s="1" t="s">
        <v>17017</v>
      </c>
      <c r="I652" s="1" t="s">
        <v>17018</v>
      </c>
      <c r="J652" s="1" t="s">
        <v>3</v>
      </c>
      <c r="K652" s="36">
        <v>45141</v>
      </c>
      <c r="L652" s="1">
        <v>1</v>
      </c>
      <c r="M652" s="37">
        <v>45141</v>
      </c>
      <c r="N652" s="1" t="s">
        <v>20155</v>
      </c>
      <c r="O652" s="1" t="s">
        <v>20162</v>
      </c>
      <c r="P652" s="876">
        <v>44245</v>
      </c>
      <c r="Q652" s="466">
        <v>0</v>
      </c>
      <c r="R652" s="466">
        <v>16200</v>
      </c>
      <c r="S652" s="466">
        <v>8400</v>
      </c>
      <c r="T652" s="466">
        <v>1200</v>
      </c>
      <c r="U652" s="466">
        <v>25800</v>
      </c>
      <c r="V652" s="11" t="s">
        <v>20155</v>
      </c>
      <c r="W652" s="39">
        <v>0</v>
      </c>
      <c r="X652" s="39">
        <v>28107</v>
      </c>
      <c r="Y652" s="39">
        <v>14154</v>
      </c>
      <c r="Z652" s="39">
        <v>2880</v>
      </c>
      <c r="AA652" s="56">
        <v>0</v>
      </c>
      <c r="AB652" s="56">
        <v>1.7350000000000001</v>
      </c>
      <c r="AC652" s="56">
        <v>1.6850000000000001</v>
      </c>
      <c r="AD652" s="56">
        <v>2.4</v>
      </c>
      <c r="AE652" s="41">
        <v>0</v>
      </c>
      <c r="AF652" s="42">
        <v>0</v>
      </c>
      <c r="AG652" s="42">
        <v>0</v>
      </c>
      <c r="AH652" s="467">
        <v>0</v>
      </c>
      <c r="AI652" s="467">
        <v>1.7350000000000001</v>
      </c>
      <c r="AJ652" s="467">
        <v>1.6850000000000001</v>
      </c>
      <c r="AK652" s="467">
        <v>2.4</v>
      </c>
      <c r="AL652" s="44">
        <v>0</v>
      </c>
      <c r="AM652" s="44">
        <v>1</v>
      </c>
      <c r="AN652" s="468">
        <v>1</v>
      </c>
      <c r="AO652" s="468">
        <v>1</v>
      </c>
    </row>
    <row r="653" spans="1:41" hidden="1">
      <c r="A653" s="50">
        <v>48</v>
      </c>
      <c r="B653" s="1" t="s">
        <v>20229</v>
      </c>
      <c r="C653" s="50">
        <v>0</v>
      </c>
      <c r="D653" s="464" t="s">
        <v>18386</v>
      </c>
      <c r="E653" s="1" t="s">
        <v>20229</v>
      </c>
      <c r="F653" s="53">
        <v>44237</v>
      </c>
      <c r="G653" s="1">
        <v>2021</v>
      </c>
      <c r="H653" s="1" t="s">
        <v>17017</v>
      </c>
      <c r="I653" s="1" t="s">
        <v>17018</v>
      </c>
      <c r="J653" s="1" t="s">
        <v>3</v>
      </c>
      <c r="K653" s="36">
        <v>8512.5</v>
      </c>
      <c r="L653" s="1">
        <v>1</v>
      </c>
      <c r="M653" s="37">
        <v>8512.5</v>
      </c>
      <c r="N653" s="1" t="s">
        <v>20155</v>
      </c>
      <c r="O653" s="1" t="s">
        <v>17238</v>
      </c>
      <c r="P653" s="876">
        <v>44246</v>
      </c>
      <c r="Q653" s="466">
        <v>0</v>
      </c>
      <c r="R653" s="466">
        <v>4540</v>
      </c>
      <c r="S653" s="466">
        <v>0</v>
      </c>
      <c r="T653" s="466">
        <v>0</v>
      </c>
      <c r="U653" s="466">
        <v>4540</v>
      </c>
      <c r="V653" s="11" t="s">
        <v>20155</v>
      </c>
      <c r="W653" s="39">
        <v>0</v>
      </c>
      <c r="X653" s="39">
        <v>8512.5</v>
      </c>
      <c r="Y653" s="39">
        <v>0</v>
      </c>
      <c r="Z653" s="39">
        <v>0</v>
      </c>
      <c r="AA653" s="56">
        <v>0</v>
      </c>
      <c r="AB653" s="56">
        <v>1.875</v>
      </c>
      <c r="AC653" s="56">
        <v>0</v>
      </c>
      <c r="AD653" s="56">
        <v>0</v>
      </c>
      <c r="AE653" s="41">
        <v>0</v>
      </c>
      <c r="AF653" s="42">
        <v>0</v>
      </c>
      <c r="AG653" s="42">
        <v>0</v>
      </c>
      <c r="AH653" s="467">
        <v>0</v>
      </c>
      <c r="AI653" s="467">
        <v>1.875</v>
      </c>
      <c r="AJ653" s="467">
        <v>0</v>
      </c>
      <c r="AK653" s="467">
        <v>0</v>
      </c>
      <c r="AL653" s="44">
        <v>0</v>
      </c>
      <c r="AM653" s="44">
        <v>1</v>
      </c>
      <c r="AN653" s="468">
        <v>0</v>
      </c>
      <c r="AO653" s="468">
        <v>0</v>
      </c>
    </row>
    <row r="654" spans="1:41" hidden="1">
      <c r="A654" s="50">
        <v>49</v>
      </c>
      <c r="B654" s="1" t="s">
        <v>20230</v>
      </c>
      <c r="C654" s="50">
        <v>0</v>
      </c>
      <c r="D654" s="464" t="s">
        <v>18387</v>
      </c>
      <c r="E654" s="1" t="s">
        <v>20230</v>
      </c>
      <c r="F654" s="53">
        <v>44239</v>
      </c>
      <c r="G654" s="1">
        <v>2021</v>
      </c>
      <c r="H654" s="1" t="s">
        <v>17270</v>
      </c>
      <c r="I654" s="1" t="s">
        <v>17271</v>
      </c>
      <c r="J654" s="1" t="s">
        <v>16482</v>
      </c>
      <c r="K654" s="36">
        <v>64458.560271999995</v>
      </c>
      <c r="L654" s="1">
        <v>3.2860999999999998</v>
      </c>
      <c r="M654" s="37">
        <v>19615.52</v>
      </c>
      <c r="N654" s="1" t="s">
        <v>20155</v>
      </c>
      <c r="O654" s="1" t="s">
        <v>16394</v>
      </c>
      <c r="P654" s="876">
        <v>44260</v>
      </c>
      <c r="Q654" s="466">
        <v>0</v>
      </c>
      <c r="R654" s="466">
        <v>14832</v>
      </c>
      <c r="S654" s="466">
        <v>0</v>
      </c>
      <c r="T654" s="466">
        <v>7280</v>
      </c>
      <c r="U654" s="466">
        <v>22112</v>
      </c>
      <c r="V654" s="11" t="s">
        <v>20155</v>
      </c>
      <c r="W654" s="39">
        <v>0</v>
      </c>
      <c r="X654" s="39">
        <v>38549.965370900143</v>
      </c>
      <c r="Y654" s="39">
        <v>0</v>
      </c>
      <c r="Z654" s="39">
        <v>25908.594901099856</v>
      </c>
      <c r="AA654" s="56">
        <v>0</v>
      </c>
      <c r="AB654" s="56">
        <v>2.5991076976065361</v>
      </c>
      <c r="AC654" s="56">
        <v>0</v>
      </c>
      <c r="AD654" s="56">
        <v>3.5588729259752547</v>
      </c>
      <c r="AE654" s="41">
        <v>2502.75</v>
      </c>
      <c r="AF654" s="42">
        <v>11069.2</v>
      </c>
      <c r="AG654" s="42">
        <v>0.50059696092619399</v>
      </c>
      <c r="AH654" s="467">
        <v>0</v>
      </c>
      <c r="AI654" s="467">
        <v>2.0985107366803422</v>
      </c>
      <c r="AJ654" s="467">
        <v>0</v>
      </c>
      <c r="AK654" s="467">
        <v>3.0582759650490607</v>
      </c>
      <c r="AL654" s="44">
        <v>0</v>
      </c>
      <c r="AM654" s="44">
        <v>1</v>
      </c>
      <c r="AN654" s="468">
        <v>0</v>
      </c>
      <c r="AO654" s="468">
        <v>1</v>
      </c>
    </row>
    <row r="655" spans="1:41" hidden="1">
      <c r="A655" s="50">
        <v>50</v>
      </c>
      <c r="B655" s="1" t="s">
        <v>20232</v>
      </c>
      <c r="C655" s="50">
        <v>0</v>
      </c>
      <c r="D655" s="464" t="s">
        <v>18388</v>
      </c>
      <c r="E655" s="1" t="s">
        <v>20232</v>
      </c>
      <c r="F655" s="53">
        <v>44239</v>
      </c>
      <c r="G655" s="1">
        <v>2021</v>
      </c>
      <c r="H655" s="1" t="s">
        <v>17259</v>
      </c>
      <c r="I655" s="1" t="s">
        <v>17260</v>
      </c>
      <c r="J655" s="1" t="s">
        <v>16401</v>
      </c>
      <c r="K655" s="36">
        <v>132312.63045</v>
      </c>
      <c r="L655" s="1">
        <v>2.7142499999999998</v>
      </c>
      <c r="M655" s="37">
        <v>48747.4</v>
      </c>
      <c r="N655" s="1" t="s">
        <v>20155</v>
      </c>
      <c r="O655" s="1" t="s">
        <v>17261</v>
      </c>
      <c r="P655" s="876">
        <v>44251</v>
      </c>
      <c r="Q655" s="466">
        <v>240</v>
      </c>
      <c r="R655" s="466">
        <v>53500</v>
      </c>
      <c r="S655" s="466">
        <v>0</v>
      </c>
      <c r="T655" s="466">
        <v>6700</v>
      </c>
      <c r="U655" s="466">
        <v>60440</v>
      </c>
      <c r="V655" s="11" t="s">
        <v>20155</v>
      </c>
      <c r="W655" s="39">
        <v>544.38837438782264</v>
      </c>
      <c r="X655" s="39">
        <v>111154.44741561879</v>
      </c>
      <c r="Y655" s="39">
        <v>0</v>
      </c>
      <c r="Z655" s="39">
        <v>20613.794659993382</v>
      </c>
      <c r="AA655" s="56">
        <v>2.2682848932825945</v>
      </c>
      <c r="AB655" s="56">
        <v>2.0776532227218465</v>
      </c>
      <c r="AC655" s="56">
        <v>0</v>
      </c>
      <c r="AD655" s="56">
        <v>3.0766857701482659</v>
      </c>
      <c r="AE655" s="41">
        <v>10088.0208</v>
      </c>
      <c r="AF655" s="42">
        <v>28463.092000000001</v>
      </c>
      <c r="AG655" s="42">
        <v>0.47093136995367307</v>
      </c>
      <c r="AH655" s="467">
        <v>1.7973535233289215</v>
      </c>
      <c r="AI655" s="467">
        <v>1.6067218527681735</v>
      </c>
      <c r="AJ655" s="467">
        <v>0</v>
      </c>
      <c r="AK655" s="467">
        <v>2.6057544001945927</v>
      </c>
      <c r="AL655" s="44">
        <v>1</v>
      </c>
      <c r="AM655" s="44">
        <v>1</v>
      </c>
      <c r="AN655" s="468">
        <v>0</v>
      </c>
      <c r="AO655" s="468">
        <v>1</v>
      </c>
    </row>
    <row r="656" spans="1:41" hidden="1">
      <c r="A656" s="469">
        <v>51</v>
      </c>
      <c r="B656" s="470" t="s">
        <v>20233</v>
      </c>
      <c r="C656" s="469">
        <v>0</v>
      </c>
      <c r="D656" s="471" t="s">
        <v>18389</v>
      </c>
      <c r="E656" s="470" t="s">
        <v>20233</v>
      </c>
      <c r="F656" s="472">
        <v>44239</v>
      </c>
      <c r="G656" s="470">
        <v>2021</v>
      </c>
      <c r="H656" s="470" t="s">
        <v>16643</v>
      </c>
      <c r="I656" s="473" t="s">
        <v>16644</v>
      </c>
      <c r="J656" s="473" t="s">
        <v>16482</v>
      </c>
      <c r="K656" s="474">
        <v>246786.11</v>
      </c>
      <c r="L656" s="473">
        <v>3.2860999999999998</v>
      </c>
      <c r="M656" s="475">
        <v>75100</v>
      </c>
      <c r="N656" s="473" t="s">
        <v>20155</v>
      </c>
      <c r="O656" s="473" t="s">
        <v>20159</v>
      </c>
      <c r="P656" s="877">
        <v>44259</v>
      </c>
      <c r="Q656" s="476">
        <v>4000</v>
      </c>
      <c r="R656" s="476">
        <v>96000</v>
      </c>
      <c r="S656" s="476">
        <v>26000</v>
      </c>
      <c r="T656" s="476">
        <v>0</v>
      </c>
      <c r="U656" s="476">
        <v>126000</v>
      </c>
      <c r="V656" s="11" t="s">
        <v>20155</v>
      </c>
      <c r="W656" s="477">
        <v>9029.9941587301582</v>
      </c>
      <c r="X656" s="477">
        <v>186750.62780952384</v>
      </c>
      <c r="Y656" s="477">
        <v>51005.488031746034</v>
      </c>
      <c r="Z656" s="477">
        <v>0</v>
      </c>
      <c r="AA656" s="56">
        <v>2.2574985396825396</v>
      </c>
      <c r="AB656" s="56">
        <v>1.9453190396825399</v>
      </c>
      <c r="AC656" s="56">
        <v>1.9617495396825397</v>
      </c>
      <c r="AD656" s="56">
        <v>0</v>
      </c>
      <c r="AE656" s="478">
        <v>21495.619200000001</v>
      </c>
      <c r="AF656" s="479">
        <v>60484.728000000003</v>
      </c>
      <c r="AG656" s="479">
        <v>0.48003752380952386</v>
      </c>
      <c r="AH656" s="467">
        <v>1.7774610158730157</v>
      </c>
      <c r="AI656" s="467">
        <v>1.4652815158730161</v>
      </c>
      <c r="AJ656" s="467">
        <v>1.4817120158730159</v>
      </c>
      <c r="AK656" s="467">
        <v>0</v>
      </c>
      <c r="AL656" s="480">
        <v>1</v>
      </c>
      <c r="AM656" s="480" t="s">
        <v>20296</v>
      </c>
      <c r="AN656" s="481" t="s">
        <v>20296</v>
      </c>
      <c r="AO656" s="481">
        <v>0</v>
      </c>
    </row>
    <row r="657" spans="1:41" hidden="1">
      <c r="A657" s="50">
        <v>52</v>
      </c>
      <c r="B657" s="1" t="s">
        <v>20234</v>
      </c>
      <c r="C657" s="50">
        <v>0</v>
      </c>
      <c r="D657" s="464" t="s">
        <v>18390</v>
      </c>
      <c r="E657" s="1" t="s">
        <v>20234</v>
      </c>
      <c r="F657" s="53">
        <v>44239</v>
      </c>
      <c r="G657" s="1">
        <v>2021</v>
      </c>
      <c r="H657" s="1" t="s">
        <v>17209</v>
      </c>
      <c r="I657" s="1" t="s">
        <v>17210</v>
      </c>
      <c r="J657" s="1" t="s">
        <v>16401</v>
      </c>
      <c r="K657" s="36">
        <v>51974.067950000004</v>
      </c>
      <c r="L657" s="1">
        <v>2.7103000000000002</v>
      </c>
      <c r="M657" s="37">
        <v>19176.5</v>
      </c>
      <c r="N657" s="1" t="s">
        <v>20155</v>
      </c>
      <c r="O657" s="1" t="s">
        <v>20168</v>
      </c>
      <c r="P657" s="876">
        <v>44250</v>
      </c>
      <c r="Q657" s="466">
        <v>4800</v>
      </c>
      <c r="R657" s="466">
        <v>15840</v>
      </c>
      <c r="S657" s="466">
        <v>3840</v>
      </c>
      <c r="T657" s="466">
        <v>2300</v>
      </c>
      <c r="U657" s="466">
        <v>26780</v>
      </c>
      <c r="V657" s="11" t="s">
        <v>20155</v>
      </c>
      <c r="W657" s="39">
        <v>8864.1990918595948</v>
      </c>
      <c r="X657" s="39">
        <v>29251.857003136665</v>
      </c>
      <c r="Y657" s="39">
        <v>7091.3592734876775</v>
      </c>
      <c r="Z657" s="39">
        <v>6766.6525815160567</v>
      </c>
      <c r="AA657" s="56">
        <v>1.8467081441374156</v>
      </c>
      <c r="AB657" s="56">
        <v>1.8467081441374158</v>
      </c>
      <c r="AC657" s="56">
        <v>1.846708144137416</v>
      </c>
      <c r="AD657" s="56">
        <v>2.9420228615287205</v>
      </c>
      <c r="AE657" s="41">
        <v>1093.3599999999999</v>
      </c>
      <c r="AF657" s="42">
        <v>5447.52</v>
      </c>
      <c r="AG657" s="42">
        <v>0.20341747572815536</v>
      </c>
      <c r="AH657" s="467">
        <v>1.6432906684092603</v>
      </c>
      <c r="AI657" s="467">
        <v>1.6432906684092605</v>
      </c>
      <c r="AJ657" s="467">
        <v>1.6432906684092607</v>
      </c>
      <c r="AK657" s="467">
        <v>2.738605385800565</v>
      </c>
      <c r="AL657" s="44">
        <v>1</v>
      </c>
      <c r="AM657" s="44">
        <v>1</v>
      </c>
      <c r="AN657" s="468">
        <v>1</v>
      </c>
      <c r="AO657" s="468">
        <v>1</v>
      </c>
    </row>
    <row r="658" spans="1:41" hidden="1">
      <c r="A658" s="50">
        <v>53</v>
      </c>
      <c r="B658" s="1" t="s">
        <v>20235</v>
      </c>
      <c r="C658" s="50">
        <v>0</v>
      </c>
      <c r="D658" s="464" t="s">
        <v>18391</v>
      </c>
      <c r="E658" s="1" t="s">
        <v>20235</v>
      </c>
      <c r="F658" s="53">
        <v>44240</v>
      </c>
      <c r="G658" s="1">
        <v>2021</v>
      </c>
      <c r="H658" s="1" t="s">
        <v>17209</v>
      </c>
      <c r="I658" s="1" t="s">
        <v>17210</v>
      </c>
      <c r="J658" s="1" t="s">
        <v>16401</v>
      </c>
      <c r="K658" s="36">
        <v>37209.302155000005</v>
      </c>
      <c r="L658" s="1">
        <v>2.7103000000000002</v>
      </c>
      <c r="M658" s="37">
        <v>13728.85</v>
      </c>
      <c r="N658" s="1" t="s">
        <v>20155</v>
      </c>
      <c r="O658" s="1" t="s">
        <v>20168</v>
      </c>
      <c r="P658" s="876">
        <v>44250</v>
      </c>
      <c r="Q658" s="466">
        <v>0</v>
      </c>
      <c r="R658" s="466">
        <v>0</v>
      </c>
      <c r="S658" s="466">
        <v>0</v>
      </c>
      <c r="T658" s="466">
        <v>8330</v>
      </c>
      <c r="U658" s="466">
        <v>8330</v>
      </c>
      <c r="V658" s="11" t="s">
        <v>20155</v>
      </c>
      <c r="W658" s="39">
        <v>0</v>
      </c>
      <c r="X658" s="39">
        <v>0</v>
      </c>
      <c r="Y658" s="39">
        <v>0</v>
      </c>
      <c r="Z658" s="39">
        <v>37209.302155000005</v>
      </c>
      <c r="AA658" s="56">
        <v>0</v>
      </c>
      <c r="AB658" s="56">
        <v>0</v>
      </c>
      <c r="AC658" s="56">
        <v>0</v>
      </c>
      <c r="AD658" s="56">
        <v>4.4669030198079236</v>
      </c>
      <c r="AE658" s="41">
        <v>1093.3599999999999</v>
      </c>
      <c r="AF658" s="42">
        <v>5447.52</v>
      </c>
      <c r="AG658" s="42">
        <v>0.65396398559423774</v>
      </c>
      <c r="AH658" s="467">
        <v>0</v>
      </c>
      <c r="AI658" s="467">
        <v>0</v>
      </c>
      <c r="AJ658" s="467">
        <v>0</v>
      </c>
      <c r="AK658" s="467">
        <v>3.8129390342136857</v>
      </c>
      <c r="AL658" s="44">
        <v>0</v>
      </c>
      <c r="AM658" s="44">
        <v>0</v>
      </c>
      <c r="AN658" s="468">
        <v>0</v>
      </c>
      <c r="AO658" s="468">
        <v>1</v>
      </c>
    </row>
    <row r="659" spans="1:41" hidden="1">
      <c r="A659" s="50">
        <v>54</v>
      </c>
      <c r="B659" s="1" t="s">
        <v>20236</v>
      </c>
      <c r="C659" s="50">
        <v>0</v>
      </c>
      <c r="D659" s="464" t="s">
        <v>18392</v>
      </c>
      <c r="E659" s="1" t="s">
        <v>20236</v>
      </c>
      <c r="F659" s="53">
        <v>44245</v>
      </c>
      <c r="G659" s="1">
        <v>2021</v>
      </c>
      <c r="H659" s="1" t="s">
        <v>16444</v>
      </c>
      <c r="I659" s="1" t="s">
        <v>16445</v>
      </c>
      <c r="J659" s="1" t="s">
        <v>3</v>
      </c>
      <c r="K659" s="36">
        <v>63919.8</v>
      </c>
      <c r="L659" s="1">
        <v>1</v>
      </c>
      <c r="M659" s="37">
        <v>63919.8</v>
      </c>
      <c r="N659" s="1" t="s">
        <v>20155</v>
      </c>
      <c r="O659" s="1" t="s">
        <v>17854</v>
      </c>
      <c r="P659" s="876">
        <v>44254</v>
      </c>
      <c r="Q659" s="466">
        <v>35940</v>
      </c>
      <c r="R659" s="466">
        <v>0</v>
      </c>
      <c r="S659" s="466">
        <v>0</v>
      </c>
      <c r="T659" s="466">
        <v>0</v>
      </c>
      <c r="U659" s="466">
        <v>35940</v>
      </c>
      <c r="V659" s="11" t="s">
        <v>20155</v>
      </c>
      <c r="W659" s="39">
        <v>63919.8</v>
      </c>
      <c r="X659" s="39">
        <v>0</v>
      </c>
      <c r="Y659" s="39">
        <v>0</v>
      </c>
      <c r="Z659" s="39">
        <v>0</v>
      </c>
      <c r="AA659" s="56">
        <v>1.7785141903171955</v>
      </c>
      <c r="AB659" s="56">
        <v>0</v>
      </c>
      <c r="AC659" s="56">
        <v>0</v>
      </c>
      <c r="AD659" s="56">
        <v>0</v>
      </c>
      <c r="AE659" s="41">
        <v>0</v>
      </c>
      <c r="AF659" s="42">
        <v>0</v>
      </c>
      <c r="AG659" s="42">
        <v>0</v>
      </c>
      <c r="AH659" s="467">
        <v>1.7785141903171955</v>
      </c>
      <c r="AI659" s="467">
        <v>0</v>
      </c>
      <c r="AJ659" s="467">
        <v>0</v>
      </c>
      <c r="AK659" s="467">
        <v>0</v>
      </c>
      <c r="AL659" s="44">
        <v>1</v>
      </c>
      <c r="AM659" s="44">
        <v>0</v>
      </c>
      <c r="AN659" s="468">
        <v>0</v>
      </c>
      <c r="AO659" s="468">
        <v>0</v>
      </c>
    </row>
    <row r="660" spans="1:41" hidden="1">
      <c r="A660" s="50">
        <v>55</v>
      </c>
      <c r="B660" s="1" t="s">
        <v>20237</v>
      </c>
      <c r="C660" s="50">
        <v>0</v>
      </c>
      <c r="D660" s="464" t="s">
        <v>18393</v>
      </c>
      <c r="E660" s="1" t="s">
        <v>20237</v>
      </c>
      <c r="F660" s="53">
        <v>44245</v>
      </c>
      <c r="G660" s="1">
        <v>2021</v>
      </c>
      <c r="H660" s="1" t="s">
        <v>16444</v>
      </c>
      <c r="I660" s="1" t="s">
        <v>16445</v>
      </c>
      <c r="J660" s="1" t="s">
        <v>3</v>
      </c>
      <c r="K660" s="36">
        <v>67296</v>
      </c>
      <c r="L660" s="1">
        <v>1</v>
      </c>
      <c r="M660" s="37">
        <v>67296</v>
      </c>
      <c r="N660" s="1" t="s">
        <v>20155</v>
      </c>
      <c r="O660" s="1" t="s">
        <v>17798</v>
      </c>
      <c r="P660" s="876">
        <v>44256</v>
      </c>
      <c r="Q660" s="466">
        <v>38400</v>
      </c>
      <c r="R660" s="466">
        <v>0</v>
      </c>
      <c r="S660" s="466">
        <v>0</v>
      </c>
      <c r="T660" s="466">
        <v>0</v>
      </c>
      <c r="U660" s="466">
        <v>38400</v>
      </c>
      <c r="V660" s="11" t="s">
        <v>20155</v>
      </c>
      <c r="W660" s="39">
        <v>67296</v>
      </c>
      <c r="X660" s="39">
        <v>0</v>
      </c>
      <c r="Y660" s="39">
        <v>0</v>
      </c>
      <c r="Z660" s="39">
        <v>0</v>
      </c>
      <c r="AA660" s="56">
        <v>1.7524999999999999</v>
      </c>
      <c r="AB660" s="56">
        <v>0</v>
      </c>
      <c r="AC660" s="56">
        <v>0</v>
      </c>
      <c r="AD660" s="56">
        <v>0</v>
      </c>
      <c r="AE660" s="41">
        <v>0</v>
      </c>
      <c r="AF660" s="42">
        <v>0</v>
      </c>
      <c r="AG660" s="42">
        <v>0</v>
      </c>
      <c r="AH660" s="467">
        <v>1.7524999999999999</v>
      </c>
      <c r="AI660" s="467">
        <v>0</v>
      </c>
      <c r="AJ660" s="467">
        <v>0</v>
      </c>
      <c r="AK660" s="467">
        <v>0</v>
      </c>
      <c r="AL660" s="44">
        <v>1</v>
      </c>
      <c r="AM660" s="44">
        <v>0</v>
      </c>
      <c r="AN660" s="468">
        <v>0</v>
      </c>
      <c r="AO660" s="468">
        <v>0</v>
      </c>
    </row>
    <row r="661" spans="1:41" hidden="1">
      <c r="A661" s="50">
        <v>56</v>
      </c>
      <c r="B661" s="1" t="s">
        <v>20238</v>
      </c>
      <c r="C661" s="50">
        <v>0</v>
      </c>
      <c r="D661" s="464" t="s">
        <v>18394</v>
      </c>
      <c r="E661" s="1" t="s">
        <v>20238</v>
      </c>
      <c r="F661" s="53">
        <v>44249</v>
      </c>
      <c r="G661" s="1">
        <v>2021</v>
      </c>
      <c r="H661" s="1" t="s">
        <v>16444</v>
      </c>
      <c r="I661" s="1" t="s">
        <v>16445</v>
      </c>
      <c r="J661" s="1" t="s">
        <v>3</v>
      </c>
      <c r="K661" s="36">
        <v>172305.96</v>
      </c>
      <c r="L661" s="1">
        <v>1</v>
      </c>
      <c r="M661" s="37">
        <v>172305.96</v>
      </c>
      <c r="N661" s="1" t="s">
        <v>20155</v>
      </c>
      <c r="O661" s="1" t="s">
        <v>18248</v>
      </c>
      <c r="P661" s="876">
        <v>44265</v>
      </c>
      <c r="Q661" s="466">
        <v>44736</v>
      </c>
      <c r="R661" s="466">
        <v>63204</v>
      </c>
      <c r="S661" s="466">
        <v>0</v>
      </c>
      <c r="T661" s="466">
        <v>0</v>
      </c>
      <c r="U661" s="466">
        <v>107940</v>
      </c>
      <c r="V661" s="11" t="s">
        <v>20155</v>
      </c>
      <c r="W661" s="39">
        <v>75603.839999999997</v>
      </c>
      <c r="X661" s="39">
        <v>96702.12</v>
      </c>
      <c r="Y661" s="39">
        <v>0</v>
      </c>
      <c r="Z661" s="39">
        <v>0</v>
      </c>
      <c r="AA661" s="56">
        <v>1.69</v>
      </c>
      <c r="AB661" s="56">
        <v>1.53</v>
      </c>
      <c r="AC661" s="56">
        <v>0</v>
      </c>
      <c r="AD661" s="56">
        <v>0</v>
      </c>
      <c r="AE661" s="41">
        <v>0</v>
      </c>
      <c r="AF661" s="42">
        <v>0</v>
      </c>
      <c r="AG661" s="42">
        <v>0</v>
      </c>
      <c r="AH661" s="467">
        <v>1.69</v>
      </c>
      <c r="AI661" s="467">
        <v>1.53</v>
      </c>
      <c r="AJ661" s="467">
        <v>0</v>
      </c>
      <c r="AK661" s="467">
        <v>0</v>
      </c>
      <c r="AL661" s="44">
        <v>1</v>
      </c>
      <c r="AM661" s="44" t="s">
        <v>20296</v>
      </c>
      <c r="AN661" s="468">
        <v>0</v>
      </c>
      <c r="AO661" s="468">
        <v>0</v>
      </c>
    </row>
    <row r="662" spans="1:41" hidden="1">
      <c r="A662" s="50">
        <v>57</v>
      </c>
      <c r="B662" s="1" t="s">
        <v>20239</v>
      </c>
      <c r="C662" s="50">
        <v>0</v>
      </c>
      <c r="D662" s="464" t="s">
        <v>18395</v>
      </c>
      <c r="E662" s="1" t="s">
        <v>20239</v>
      </c>
      <c r="F662" s="53">
        <v>44249</v>
      </c>
      <c r="G662" s="1">
        <v>2021</v>
      </c>
      <c r="H662" s="1" t="s">
        <v>16444</v>
      </c>
      <c r="I662" s="1" t="s">
        <v>16445</v>
      </c>
      <c r="J662" s="1" t="s">
        <v>3</v>
      </c>
      <c r="K662" s="36">
        <v>67968</v>
      </c>
      <c r="L662" s="1">
        <v>1</v>
      </c>
      <c r="M662" s="37">
        <v>67968</v>
      </c>
      <c r="N662" s="1" t="s">
        <v>20155</v>
      </c>
      <c r="O662" s="1" t="s">
        <v>18248</v>
      </c>
      <c r="P662" s="876">
        <v>44265</v>
      </c>
      <c r="Q662" s="466">
        <v>38400</v>
      </c>
      <c r="R662" s="466">
        <v>0</v>
      </c>
      <c r="S662" s="466">
        <v>0</v>
      </c>
      <c r="T662" s="466">
        <v>0</v>
      </c>
      <c r="U662" s="466">
        <v>38400</v>
      </c>
      <c r="V662" s="11" t="s">
        <v>20155</v>
      </c>
      <c r="W662" s="39">
        <v>67968</v>
      </c>
      <c r="X662" s="39">
        <v>0</v>
      </c>
      <c r="Y662" s="39">
        <v>0</v>
      </c>
      <c r="Z662" s="39">
        <v>0</v>
      </c>
      <c r="AA662" s="56">
        <v>1.77</v>
      </c>
      <c r="AB662" s="56">
        <v>0</v>
      </c>
      <c r="AC662" s="56">
        <v>0</v>
      </c>
      <c r="AD662" s="56">
        <v>0</v>
      </c>
      <c r="AE662" s="41">
        <v>0</v>
      </c>
      <c r="AF662" s="42">
        <v>0</v>
      </c>
      <c r="AG662" s="42">
        <v>0</v>
      </c>
      <c r="AH662" s="467">
        <v>1.77</v>
      </c>
      <c r="AI662" s="467">
        <v>0</v>
      </c>
      <c r="AJ662" s="467">
        <v>0</v>
      </c>
      <c r="AK662" s="467">
        <v>0</v>
      </c>
      <c r="AL662" s="44">
        <v>1</v>
      </c>
      <c r="AM662" s="44">
        <v>0</v>
      </c>
      <c r="AN662" s="468">
        <v>0</v>
      </c>
      <c r="AO662" s="468">
        <v>0</v>
      </c>
    </row>
    <row r="663" spans="1:41" hidden="1">
      <c r="A663" s="50">
        <v>58</v>
      </c>
      <c r="B663" s="1" t="s">
        <v>20240</v>
      </c>
      <c r="C663" s="50">
        <v>0</v>
      </c>
      <c r="D663" s="464" t="s">
        <v>18396</v>
      </c>
      <c r="E663" s="1" t="s">
        <v>20240</v>
      </c>
      <c r="F663" s="53">
        <v>44249</v>
      </c>
      <c r="G663" s="1">
        <v>2021</v>
      </c>
      <c r="H663" s="1" t="s">
        <v>16972</v>
      </c>
      <c r="I663" s="1" t="s">
        <v>16973</v>
      </c>
      <c r="J663" s="1" t="s">
        <v>3</v>
      </c>
      <c r="K663" s="36">
        <v>378000</v>
      </c>
      <c r="L663" s="1">
        <v>1</v>
      </c>
      <c r="M663" s="37">
        <v>378000</v>
      </c>
      <c r="N663" s="1" t="s">
        <v>20155</v>
      </c>
      <c r="O663" s="1" t="s">
        <v>17801</v>
      </c>
      <c r="P663" s="876">
        <v>44268</v>
      </c>
      <c r="Q663" s="466">
        <v>0</v>
      </c>
      <c r="R663" s="466">
        <v>0</v>
      </c>
      <c r="S663" s="466">
        <v>280000</v>
      </c>
      <c r="T663" s="466">
        <v>0</v>
      </c>
      <c r="U663" s="466">
        <v>280000</v>
      </c>
      <c r="V663" s="11" t="s">
        <v>20155</v>
      </c>
      <c r="W663" s="39">
        <v>0</v>
      </c>
      <c r="X663" s="39">
        <v>0</v>
      </c>
      <c r="Y663" s="39">
        <v>378000</v>
      </c>
      <c r="Z663" s="39">
        <v>0</v>
      </c>
      <c r="AA663" s="56">
        <v>0</v>
      </c>
      <c r="AB663" s="56">
        <v>0</v>
      </c>
      <c r="AC663" s="56">
        <v>1.35</v>
      </c>
      <c r="AD663" s="56">
        <v>0</v>
      </c>
      <c r="AE663" s="41">
        <v>0</v>
      </c>
      <c r="AF663" s="42">
        <v>0</v>
      </c>
      <c r="AG663" s="42">
        <v>0</v>
      </c>
      <c r="AH663" s="467">
        <v>0</v>
      </c>
      <c r="AI663" s="467">
        <v>0</v>
      </c>
      <c r="AJ663" s="467">
        <v>1.35</v>
      </c>
      <c r="AK663" s="467">
        <v>0</v>
      </c>
      <c r="AL663" s="44">
        <v>0</v>
      </c>
      <c r="AM663" s="44">
        <v>0</v>
      </c>
      <c r="AN663" s="468" t="s">
        <v>20300</v>
      </c>
      <c r="AO663" s="468">
        <v>0</v>
      </c>
    </row>
    <row r="664" spans="1:41" hidden="1">
      <c r="A664" s="50">
        <v>59</v>
      </c>
      <c r="B664" s="1" t="s">
        <v>20241</v>
      </c>
      <c r="C664" s="50">
        <v>0</v>
      </c>
      <c r="D664" s="464" t="s">
        <v>18397</v>
      </c>
      <c r="E664" s="1" t="s">
        <v>20241</v>
      </c>
      <c r="F664" s="53">
        <v>44249</v>
      </c>
      <c r="G664" s="1">
        <v>2021</v>
      </c>
      <c r="H664" s="1" t="s">
        <v>17287</v>
      </c>
      <c r="I664" s="1" t="s">
        <v>17288</v>
      </c>
      <c r="J664" s="1" t="s">
        <v>3</v>
      </c>
      <c r="K664" s="36">
        <v>74256</v>
      </c>
      <c r="L664" s="1">
        <v>1</v>
      </c>
      <c r="M664" s="37">
        <v>74256</v>
      </c>
      <c r="N664" s="1" t="s">
        <v>20155</v>
      </c>
      <c r="O664" s="1" t="s">
        <v>17261</v>
      </c>
      <c r="P664" s="876">
        <v>44265</v>
      </c>
      <c r="Q664" s="466">
        <v>0</v>
      </c>
      <c r="R664" s="466">
        <v>0</v>
      </c>
      <c r="S664" s="466">
        <v>54600</v>
      </c>
      <c r="T664" s="466">
        <v>0</v>
      </c>
      <c r="U664" s="466">
        <v>54600</v>
      </c>
      <c r="V664" s="11" t="s">
        <v>20155</v>
      </c>
      <c r="W664" s="39">
        <v>0</v>
      </c>
      <c r="X664" s="39">
        <v>0</v>
      </c>
      <c r="Y664" s="39">
        <v>74256</v>
      </c>
      <c r="Z664" s="39">
        <v>0</v>
      </c>
      <c r="AA664" s="56">
        <v>0</v>
      </c>
      <c r="AB664" s="56">
        <v>0</v>
      </c>
      <c r="AC664" s="56">
        <v>1.36</v>
      </c>
      <c r="AD664" s="56">
        <v>0</v>
      </c>
      <c r="AE664" s="41">
        <v>0</v>
      </c>
      <c r="AF664" s="42">
        <v>0</v>
      </c>
      <c r="AG664" s="42">
        <v>0</v>
      </c>
      <c r="AH664" s="467">
        <v>0</v>
      </c>
      <c r="AI664" s="467">
        <v>0</v>
      </c>
      <c r="AJ664" s="467">
        <v>1.36</v>
      </c>
      <c r="AK664" s="467">
        <v>0</v>
      </c>
      <c r="AL664" s="44">
        <v>0</v>
      </c>
      <c r="AM664" s="44">
        <v>0</v>
      </c>
      <c r="AN664" s="468" t="s">
        <v>20300</v>
      </c>
      <c r="AO664" s="468">
        <v>0</v>
      </c>
    </row>
    <row r="665" spans="1:41" hidden="1">
      <c r="A665" s="50">
        <v>60</v>
      </c>
      <c r="B665" s="1" t="s">
        <v>20242</v>
      </c>
      <c r="C665" s="50">
        <v>0</v>
      </c>
      <c r="D665" s="464" t="s">
        <v>18399</v>
      </c>
      <c r="E665" s="1" t="s">
        <v>20242</v>
      </c>
      <c r="F665" s="53">
        <v>44249</v>
      </c>
      <c r="G665" s="1">
        <v>2021</v>
      </c>
      <c r="H665" s="1" t="s">
        <v>16957</v>
      </c>
      <c r="I665" s="1" t="s">
        <v>16958</v>
      </c>
      <c r="J665" s="1" t="s">
        <v>16401</v>
      </c>
      <c r="K665" s="36">
        <v>81324</v>
      </c>
      <c r="L665" s="1">
        <v>2.7107999999999999</v>
      </c>
      <c r="M665" s="37">
        <v>30000</v>
      </c>
      <c r="N665" s="1" t="s">
        <v>20155</v>
      </c>
      <c r="O665" s="1" t="s">
        <v>20161</v>
      </c>
      <c r="P665" s="876">
        <v>44258</v>
      </c>
      <c r="Q665" s="466">
        <v>40000</v>
      </c>
      <c r="R665" s="466">
        <v>0</v>
      </c>
      <c r="S665" s="466">
        <v>0</v>
      </c>
      <c r="T665" s="466">
        <v>0</v>
      </c>
      <c r="U665" s="466">
        <v>40000</v>
      </c>
      <c r="V665" s="11" t="s">
        <v>20155</v>
      </c>
      <c r="W665" s="39">
        <v>81324</v>
      </c>
      <c r="X665" s="39">
        <v>0</v>
      </c>
      <c r="Y665" s="39">
        <v>0</v>
      </c>
      <c r="Z665" s="39">
        <v>0</v>
      </c>
      <c r="AA665" s="56">
        <v>2.0331000000000001</v>
      </c>
      <c r="AB665" s="56">
        <v>0</v>
      </c>
      <c r="AC665" s="56">
        <v>0</v>
      </c>
      <c r="AD665" s="56">
        <v>0</v>
      </c>
      <c r="AE665" s="41">
        <v>1881.5039999999999</v>
      </c>
      <c r="AF665" s="42">
        <v>9725.4760000000006</v>
      </c>
      <c r="AG665" s="42">
        <v>0.24313690000000002</v>
      </c>
      <c r="AH665" s="467">
        <v>1.7899631</v>
      </c>
      <c r="AI665" s="467">
        <v>0</v>
      </c>
      <c r="AJ665" s="467">
        <v>0</v>
      </c>
      <c r="AK665" s="467">
        <v>0</v>
      </c>
      <c r="AL665" s="44">
        <v>1</v>
      </c>
      <c r="AM665" s="44">
        <v>0</v>
      </c>
      <c r="AN665" s="468">
        <v>0</v>
      </c>
      <c r="AO665" s="468">
        <v>0</v>
      </c>
    </row>
    <row r="666" spans="1:41" hidden="1">
      <c r="A666" s="50">
        <v>61</v>
      </c>
      <c r="B666" s="1" t="s">
        <v>20243</v>
      </c>
      <c r="C666" s="50">
        <v>0</v>
      </c>
      <c r="D666" s="464" t="s">
        <v>18400</v>
      </c>
      <c r="E666" s="1" t="s">
        <v>20243</v>
      </c>
      <c r="F666" s="53">
        <v>44249</v>
      </c>
      <c r="G666" s="1">
        <v>2021</v>
      </c>
      <c r="H666" s="1" t="s">
        <v>17017</v>
      </c>
      <c r="I666" s="1" t="s">
        <v>17018</v>
      </c>
      <c r="J666" s="1" t="s">
        <v>3</v>
      </c>
      <c r="K666" s="36">
        <v>72000</v>
      </c>
      <c r="L666" s="1">
        <v>1</v>
      </c>
      <c r="M666" s="37">
        <v>72000</v>
      </c>
      <c r="N666" s="1" t="s">
        <v>20155</v>
      </c>
      <c r="O666" s="1" t="s">
        <v>20307</v>
      </c>
      <c r="P666" s="876">
        <v>44272</v>
      </c>
      <c r="Q666" s="466">
        <v>40000</v>
      </c>
      <c r="R666" s="466">
        <v>0</v>
      </c>
      <c r="S666" s="466">
        <v>0</v>
      </c>
      <c r="T666" s="466">
        <v>0</v>
      </c>
      <c r="U666" s="466">
        <v>40000</v>
      </c>
      <c r="V666" s="11" t="s">
        <v>20155</v>
      </c>
      <c r="W666" s="39">
        <v>72000</v>
      </c>
      <c r="X666" s="39">
        <v>0</v>
      </c>
      <c r="Y666" s="39">
        <v>0</v>
      </c>
      <c r="Z666" s="39">
        <v>0</v>
      </c>
      <c r="AA666" s="56">
        <v>1.8</v>
      </c>
      <c r="AB666" s="56">
        <v>0</v>
      </c>
      <c r="AC666" s="56">
        <v>0</v>
      </c>
      <c r="AD666" s="56">
        <v>0</v>
      </c>
      <c r="AE666" s="41">
        <v>0</v>
      </c>
      <c r="AF666" s="42">
        <v>0</v>
      </c>
      <c r="AG666" s="42">
        <v>0</v>
      </c>
      <c r="AH666" s="467">
        <v>1.8</v>
      </c>
      <c r="AI666" s="467">
        <v>0</v>
      </c>
      <c r="AJ666" s="467">
        <v>0</v>
      </c>
      <c r="AK666" s="467">
        <v>0</v>
      </c>
      <c r="AL666" s="44">
        <v>1</v>
      </c>
      <c r="AM666" s="44">
        <v>0</v>
      </c>
      <c r="AN666" s="468">
        <v>0</v>
      </c>
      <c r="AO666" s="468">
        <v>0</v>
      </c>
    </row>
    <row r="667" spans="1:41" hidden="1">
      <c r="A667" s="50">
        <v>62</v>
      </c>
      <c r="B667" s="1" t="s">
        <v>20244</v>
      </c>
      <c r="C667" s="50">
        <v>0</v>
      </c>
      <c r="D667" s="464" t="s">
        <v>18401</v>
      </c>
      <c r="E667" s="1" t="s">
        <v>20244</v>
      </c>
      <c r="F667" s="53">
        <v>44249</v>
      </c>
      <c r="G667" s="1">
        <v>2021</v>
      </c>
      <c r="H667" s="1" t="s">
        <v>17017</v>
      </c>
      <c r="I667" s="1" t="s">
        <v>17018</v>
      </c>
      <c r="J667" s="1" t="s">
        <v>3</v>
      </c>
      <c r="K667" s="36">
        <v>35880.527999999998</v>
      </c>
      <c r="L667" s="1">
        <v>1</v>
      </c>
      <c r="M667" s="37">
        <v>35880.527999999998</v>
      </c>
      <c r="N667" s="1" t="s">
        <v>20155</v>
      </c>
      <c r="O667" s="1" t="s">
        <v>17238</v>
      </c>
      <c r="P667" s="876">
        <v>44288</v>
      </c>
      <c r="Q667" s="466">
        <v>0</v>
      </c>
      <c r="R667" s="466">
        <v>0</v>
      </c>
      <c r="S667" s="466">
        <v>20157.599999999999</v>
      </c>
      <c r="T667" s="466">
        <v>0</v>
      </c>
      <c r="U667" s="466">
        <v>20157.599999999999</v>
      </c>
      <c r="V667" s="11" t="s">
        <v>20155</v>
      </c>
      <c r="W667" s="39">
        <v>0</v>
      </c>
      <c r="X667" s="39">
        <v>0</v>
      </c>
      <c r="Y667" s="39">
        <v>35880.527999999998</v>
      </c>
      <c r="Z667" s="39">
        <v>0</v>
      </c>
      <c r="AA667" s="56">
        <v>0</v>
      </c>
      <c r="AB667" s="56">
        <v>0</v>
      </c>
      <c r="AC667" s="56">
        <v>1.78</v>
      </c>
      <c r="AD667" s="56">
        <v>0</v>
      </c>
      <c r="AE667" s="41">
        <v>0</v>
      </c>
      <c r="AF667" s="42">
        <v>0</v>
      </c>
      <c r="AG667" s="42">
        <v>0</v>
      </c>
      <c r="AH667" s="467">
        <v>0</v>
      </c>
      <c r="AI667" s="467">
        <v>0</v>
      </c>
      <c r="AJ667" s="467">
        <v>1.78</v>
      </c>
      <c r="AK667" s="467">
        <v>0</v>
      </c>
      <c r="AL667" s="44">
        <v>0</v>
      </c>
      <c r="AM667" s="44">
        <v>0</v>
      </c>
      <c r="AN667" s="468">
        <v>1</v>
      </c>
      <c r="AO667" s="468">
        <v>0</v>
      </c>
    </row>
    <row r="668" spans="1:41" hidden="1">
      <c r="A668" s="50">
        <v>63</v>
      </c>
      <c r="B668" s="1" t="s">
        <v>20245</v>
      </c>
      <c r="C668" s="50">
        <v>0</v>
      </c>
      <c r="D668" s="464" t="s">
        <v>18402</v>
      </c>
      <c r="E668" s="1" t="s">
        <v>20245</v>
      </c>
      <c r="F668" s="53">
        <v>44249</v>
      </c>
      <c r="G668" s="1">
        <v>2021</v>
      </c>
      <c r="H668" s="1" t="s">
        <v>17262</v>
      </c>
      <c r="I668" s="1" t="s">
        <v>17263</v>
      </c>
      <c r="J668" s="1" t="s">
        <v>16482</v>
      </c>
      <c r="K668" s="36">
        <v>54328.522080000002</v>
      </c>
      <c r="L668" s="1">
        <v>3.2934999999999999</v>
      </c>
      <c r="M668" s="37">
        <v>16495.68</v>
      </c>
      <c r="N668" s="1" t="s">
        <v>20155</v>
      </c>
      <c r="O668" s="1" t="s">
        <v>16394</v>
      </c>
      <c r="P668" s="876">
        <v>44257</v>
      </c>
      <c r="Q668" s="466">
        <v>0</v>
      </c>
      <c r="R668" s="466">
        <v>14784</v>
      </c>
      <c r="S668" s="466">
        <v>0</v>
      </c>
      <c r="T668" s="466">
        <v>5680</v>
      </c>
      <c r="U668" s="466">
        <v>20464</v>
      </c>
      <c r="V668" s="11" t="s">
        <v>20155</v>
      </c>
      <c r="W668" s="39">
        <v>0</v>
      </c>
      <c r="X668" s="39">
        <v>27753.929279999993</v>
      </c>
      <c r="Y668" s="39">
        <v>0</v>
      </c>
      <c r="Z668" s="39">
        <v>26574.592800000002</v>
      </c>
      <c r="AA668" s="56">
        <v>0</v>
      </c>
      <c r="AB668" s="56">
        <v>1.8772949999999995</v>
      </c>
      <c r="AC668" s="56">
        <v>0</v>
      </c>
      <c r="AD668" s="56">
        <v>4.6786254929577469</v>
      </c>
      <c r="AE668" s="41">
        <v>0</v>
      </c>
      <c r="AF668" s="42">
        <v>0</v>
      </c>
      <c r="AG668" s="42">
        <v>0</v>
      </c>
      <c r="AH668" s="467">
        <v>0</v>
      </c>
      <c r="AI668" s="467">
        <v>1.8772949999999995</v>
      </c>
      <c r="AJ668" s="467">
        <v>0</v>
      </c>
      <c r="AK668" s="467">
        <v>4.6786254929577469</v>
      </c>
      <c r="AL668" s="44">
        <v>0</v>
      </c>
      <c r="AM668" s="44">
        <v>1</v>
      </c>
      <c r="AN668" s="468">
        <v>0</v>
      </c>
      <c r="AO668" s="468">
        <v>1</v>
      </c>
    </row>
    <row r="669" spans="1:41" hidden="1">
      <c r="A669" s="50">
        <v>64</v>
      </c>
      <c r="B669" s="1" t="s">
        <v>20246</v>
      </c>
      <c r="C669" s="50">
        <v>0</v>
      </c>
      <c r="D669" s="464" t="s">
        <v>18403</v>
      </c>
      <c r="E669" s="1" t="s">
        <v>20246</v>
      </c>
      <c r="F669" s="53">
        <v>44249</v>
      </c>
      <c r="G669" s="1">
        <v>2021</v>
      </c>
      <c r="H669" s="1" t="s">
        <v>16904</v>
      </c>
      <c r="I669" s="1" t="s">
        <v>16905</v>
      </c>
      <c r="J669" s="1" t="s">
        <v>16482</v>
      </c>
      <c r="K669" s="36">
        <v>58986.453259999995</v>
      </c>
      <c r="L669" s="1">
        <v>3.2934999999999999</v>
      </c>
      <c r="M669" s="37">
        <v>17909.96</v>
      </c>
      <c r="N669" s="1" t="s">
        <v>20302</v>
      </c>
      <c r="O669" s="1" t="s">
        <v>20160</v>
      </c>
      <c r="P669" s="876">
        <v>44256</v>
      </c>
      <c r="Q669" s="466">
        <v>0</v>
      </c>
      <c r="R669" s="466">
        <v>18696</v>
      </c>
      <c r="S669" s="466">
        <v>8640</v>
      </c>
      <c r="T669" s="466">
        <v>0</v>
      </c>
      <c r="U669" s="466">
        <v>27336</v>
      </c>
      <c r="V669" s="11" t="s">
        <v>20155</v>
      </c>
      <c r="W669" s="39">
        <v>0</v>
      </c>
      <c r="X669" s="39">
        <v>40488.76236588235</v>
      </c>
      <c r="Y669" s="39">
        <v>18497.690894117648</v>
      </c>
      <c r="Z669" s="39">
        <v>0</v>
      </c>
      <c r="AA669" s="56">
        <v>0</v>
      </c>
      <c r="AB669" s="56">
        <v>2.1656376960784312</v>
      </c>
      <c r="AC669" s="56">
        <v>2.1409364460784315</v>
      </c>
      <c r="AD669" s="56">
        <v>0</v>
      </c>
      <c r="AE669" s="41">
        <v>4023.2160000000003</v>
      </c>
      <c r="AF669" s="42">
        <v>11182.12</v>
      </c>
      <c r="AG669" s="42">
        <v>0.40906204272753882</v>
      </c>
      <c r="AH669" s="467">
        <v>0</v>
      </c>
      <c r="AI669" s="467">
        <v>1.7565756533508923</v>
      </c>
      <c r="AJ669" s="467">
        <v>1.7318744033508926</v>
      </c>
      <c r="AK669" s="467">
        <v>0</v>
      </c>
      <c r="AL669" s="44">
        <v>0</v>
      </c>
      <c r="AM669" s="44">
        <v>1</v>
      </c>
      <c r="AN669" s="468">
        <v>1</v>
      </c>
      <c r="AO669" s="468">
        <v>0</v>
      </c>
    </row>
    <row r="670" spans="1:41" hidden="1">
      <c r="A670" s="50">
        <v>65</v>
      </c>
      <c r="B670" s="1" t="s">
        <v>20247</v>
      </c>
      <c r="C670" s="50">
        <v>0</v>
      </c>
      <c r="D670" s="464" t="s">
        <v>18404</v>
      </c>
      <c r="E670" s="1" t="s">
        <v>20247</v>
      </c>
      <c r="F670" s="53">
        <v>44249</v>
      </c>
      <c r="G670" s="1">
        <v>2021</v>
      </c>
      <c r="H670" s="1" t="s">
        <v>16838</v>
      </c>
      <c r="I670" s="1" t="s">
        <v>16839</v>
      </c>
      <c r="J670" s="1" t="s">
        <v>3</v>
      </c>
      <c r="K670" s="36">
        <v>110760</v>
      </c>
      <c r="L670" s="1">
        <v>1</v>
      </c>
      <c r="M670" s="37">
        <v>110760</v>
      </c>
      <c r="N670" s="1" t="s">
        <v>20155</v>
      </c>
      <c r="O670" s="1" t="s">
        <v>17798</v>
      </c>
      <c r="P670" s="876">
        <v>44252</v>
      </c>
      <c r="Q670" s="466">
        <v>0</v>
      </c>
      <c r="R670" s="466">
        <v>0</v>
      </c>
      <c r="S670" s="466">
        <v>78000</v>
      </c>
      <c r="T670" s="466">
        <v>0</v>
      </c>
      <c r="U670" s="466">
        <v>78000</v>
      </c>
      <c r="V670" s="11" t="s">
        <v>20155</v>
      </c>
      <c r="W670" s="39">
        <v>0</v>
      </c>
      <c r="X670" s="39">
        <v>0</v>
      </c>
      <c r="Y670" s="39">
        <v>110760</v>
      </c>
      <c r="Z670" s="39">
        <v>0</v>
      </c>
      <c r="AA670" s="56">
        <v>0</v>
      </c>
      <c r="AB670" s="56">
        <v>0</v>
      </c>
      <c r="AC670" s="56">
        <v>1.42</v>
      </c>
      <c r="AD670" s="56">
        <v>0</v>
      </c>
      <c r="AE670" s="41">
        <v>0</v>
      </c>
      <c r="AF670" s="42">
        <v>0</v>
      </c>
      <c r="AG670" s="42">
        <v>0</v>
      </c>
      <c r="AH670" s="467">
        <v>0</v>
      </c>
      <c r="AI670" s="467">
        <v>0</v>
      </c>
      <c r="AJ670" s="467">
        <v>1.42</v>
      </c>
      <c r="AK670" s="467">
        <v>0</v>
      </c>
      <c r="AL670" s="44">
        <v>0</v>
      </c>
      <c r="AM670" s="44">
        <v>0</v>
      </c>
      <c r="AN670" s="468" t="s">
        <v>20296</v>
      </c>
      <c r="AO670" s="468">
        <v>0</v>
      </c>
    </row>
    <row r="671" spans="1:41" hidden="1">
      <c r="A671" s="50">
        <v>66</v>
      </c>
      <c r="B671" s="1" t="s">
        <v>20248</v>
      </c>
      <c r="C671" s="50">
        <v>0</v>
      </c>
      <c r="D671" s="464" t="s">
        <v>18405</v>
      </c>
      <c r="E671" s="1" t="s">
        <v>20248</v>
      </c>
      <c r="F671" s="53">
        <v>44249</v>
      </c>
      <c r="G671" s="1">
        <v>2021</v>
      </c>
      <c r="H671" s="1" t="s">
        <v>16444</v>
      </c>
      <c r="I671" s="1" t="s">
        <v>16445</v>
      </c>
      <c r="J671" s="1" t="s">
        <v>3</v>
      </c>
      <c r="K671" s="36">
        <v>33024</v>
      </c>
      <c r="L671" s="1">
        <v>1</v>
      </c>
      <c r="M671" s="37">
        <v>33024</v>
      </c>
      <c r="N671" s="1" t="s">
        <v>20155</v>
      </c>
      <c r="O671" s="1" t="s">
        <v>18248</v>
      </c>
      <c r="P671" s="876">
        <v>44258</v>
      </c>
      <c r="Q671" s="466">
        <v>19200</v>
      </c>
      <c r="R671" s="466">
        <v>0</v>
      </c>
      <c r="S671" s="466">
        <v>0</v>
      </c>
      <c r="T671" s="466">
        <v>0</v>
      </c>
      <c r="U671" s="466">
        <v>19200</v>
      </c>
      <c r="V671" s="11" t="s">
        <v>20155</v>
      </c>
      <c r="W671" s="39">
        <v>33024</v>
      </c>
      <c r="X671" s="39">
        <v>0</v>
      </c>
      <c r="Y671" s="39">
        <v>0</v>
      </c>
      <c r="Z671" s="39">
        <v>0</v>
      </c>
      <c r="AA671" s="56">
        <v>1.72</v>
      </c>
      <c r="AB671" s="56">
        <v>0</v>
      </c>
      <c r="AC671" s="56">
        <v>0</v>
      </c>
      <c r="AD671" s="56">
        <v>0</v>
      </c>
      <c r="AE671" s="41">
        <v>0</v>
      </c>
      <c r="AF671" s="42">
        <v>0</v>
      </c>
      <c r="AG671" s="42">
        <v>0</v>
      </c>
      <c r="AH671" s="467">
        <v>1.72</v>
      </c>
      <c r="AI671" s="467">
        <v>0</v>
      </c>
      <c r="AJ671" s="467">
        <v>0</v>
      </c>
      <c r="AK671" s="467">
        <v>0</v>
      </c>
      <c r="AL671" s="44">
        <v>1</v>
      </c>
      <c r="AM671" s="44">
        <v>0</v>
      </c>
      <c r="AN671" s="468">
        <v>0</v>
      </c>
      <c r="AO671" s="468">
        <v>0</v>
      </c>
    </row>
    <row r="672" spans="1:41" hidden="1">
      <c r="A672" s="50">
        <v>67</v>
      </c>
      <c r="B672" s="1" t="s">
        <v>20249</v>
      </c>
      <c r="C672" s="50">
        <v>0</v>
      </c>
      <c r="D672" s="464" t="s">
        <v>18406</v>
      </c>
      <c r="E672" s="1" t="s">
        <v>20249</v>
      </c>
      <c r="F672" s="53">
        <v>44251</v>
      </c>
      <c r="G672" s="1">
        <v>2021</v>
      </c>
      <c r="H672" s="1" t="s">
        <v>16444</v>
      </c>
      <c r="I672" s="1" t="s">
        <v>16445</v>
      </c>
      <c r="J672" s="1" t="s">
        <v>3</v>
      </c>
      <c r="K672" s="36">
        <v>36504</v>
      </c>
      <c r="L672" s="1">
        <v>1</v>
      </c>
      <c r="M672" s="37">
        <v>21600</v>
      </c>
      <c r="N672" s="1" t="s">
        <v>20155</v>
      </c>
      <c r="O672" s="1" t="s">
        <v>17693</v>
      </c>
      <c r="P672" s="876">
        <v>44259</v>
      </c>
      <c r="Q672" s="466">
        <v>21600</v>
      </c>
      <c r="R672" s="466">
        <v>0</v>
      </c>
      <c r="S672" s="466">
        <v>0</v>
      </c>
      <c r="T672" s="466">
        <v>0</v>
      </c>
      <c r="U672" s="466">
        <v>21600</v>
      </c>
      <c r="V672" s="11" t="s">
        <v>20155</v>
      </c>
      <c r="W672" s="39">
        <v>36504</v>
      </c>
      <c r="X672" s="39">
        <v>0</v>
      </c>
      <c r="Y672" s="39">
        <v>0</v>
      </c>
      <c r="Z672" s="39">
        <v>0</v>
      </c>
      <c r="AA672" s="56">
        <v>1.69</v>
      </c>
      <c r="AB672" s="56">
        <v>0</v>
      </c>
      <c r="AC672" s="56">
        <v>0</v>
      </c>
      <c r="AD672" s="56">
        <v>0</v>
      </c>
      <c r="AE672" s="41">
        <v>0</v>
      </c>
      <c r="AF672" s="42">
        <v>0</v>
      </c>
      <c r="AG672" s="42">
        <v>0</v>
      </c>
      <c r="AH672" s="467">
        <v>1.69</v>
      </c>
      <c r="AI672" s="467">
        <v>0</v>
      </c>
      <c r="AJ672" s="467">
        <v>0</v>
      </c>
      <c r="AK672" s="467">
        <v>0</v>
      </c>
      <c r="AL672" s="44">
        <v>1</v>
      </c>
      <c r="AM672" s="44">
        <v>0</v>
      </c>
      <c r="AN672" s="468">
        <v>0</v>
      </c>
      <c r="AO672" s="468">
        <v>0</v>
      </c>
    </row>
    <row r="673" spans="1:41" hidden="1">
      <c r="A673" s="469">
        <v>68</v>
      </c>
      <c r="B673" s="470" t="s">
        <v>20250</v>
      </c>
      <c r="C673" s="469">
        <v>0</v>
      </c>
      <c r="D673" s="471" t="s">
        <v>18407</v>
      </c>
      <c r="E673" s="470" t="s">
        <v>20250</v>
      </c>
      <c r="F673" s="472">
        <v>44252</v>
      </c>
      <c r="G673" s="470">
        <v>2021</v>
      </c>
      <c r="H673" s="470" t="s">
        <v>17278</v>
      </c>
      <c r="I673" s="473" t="s">
        <v>17279</v>
      </c>
      <c r="J673" s="473" t="s">
        <v>16482</v>
      </c>
      <c r="K673" s="474">
        <v>645579.21542599995</v>
      </c>
      <c r="L673" s="473">
        <v>3.2896999999999998</v>
      </c>
      <c r="M673" s="475">
        <v>196242.58</v>
      </c>
      <c r="N673" s="473" t="s">
        <v>20155</v>
      </c>
      <c r="O673" s="473" t="s">
        <v>20173</v>
      </c>
      <c r="P673" s="877">
        <v>44264</v>
      </c>
      <c r="Q673" s="476">
        <v>0</v>
      </c>
      <c r="R673" s="476">
        <v>262032</v>
      </c>
      <c r="S673" s="476">
        <v>120720</v>
      </c>
      <c r="T673" s="476">
        <v>0</v>
      </c>
      <c r="U673" s="476">
        <v>382752</v>
      </c>
      <c r="V673" s="11" t="s">
        <v>20155</v>
      </c>
      <c r="W673" s="477">
        <v>0</v>
      </c>
      <c r="X673" s="477">
        <v>442209.435</v>
      </c>
      <c r="Y673" s="477">
        <v>203369.78</v>
      </c>
      <c r="Z673" s="477">
        <v>0</v>
      </c>
      <c r="AA673" s="56">
        <v>0</v>
      </c>
      <c r="AB673" s="56">
        <v>1.6876161499358857</v>
      </c>
      <c r="AC673" s="56">
        <v>1.6846403247183566</v>
      </c>
      <c r="AD673" s="56">
        <v>0</v>
      </c>
      <c r="AE673" s="478">
        <v>49012.512000000002</v>
      </c>
      <c r="AF673" s="479">
        <v>138016</v>
      </c>
      <c r="AG673" s="479">
        <v>0.36058857955020485</v>
      </c>
      <c r="AH673" s="467">
        <v>0</v>
      </c>
      <c r="AI673" s="467">
        <v>1.3270275703856809</v>
      </c>
      <c r="AJ673" s="467">
        <v>1.3240517451681517</v>
      </c>
      <c r="AK673" s="467">
        <v>0</v>
      </c>
      <c r="AL673" s="480">
        <v>0</v>
      </c>
      <c r="AM673" s="480" t="s">
        <v>20296</v>
      </c>
      <c r="AN673" s="481" t="s">
        <v>20296</v>
      </c>
      <c r="AO673" s="481">
        <v>0</v>
      </c>
    </row>
    <row r="674" spans="1:41" hidden="1">
      <c r="A674" s="50">
        <v>69</v>
      </c>
      <c r="B674" s="1" t="s">
        <v>20251</v>
      </c>
      <c r="C674" s="50">
        <v>0</v>
      </c>
      <c r="D674" s="464" t="s">
        <v>18408</v>
      </c>
      <c r="E674" s="1" t="s">
        <v>20251</v>
      </c>
      <c r="F674" s="53">
        <v>44252</v>
      </c>
      <c r="G674" s="1">
        <v>2021</v>
      </c>
      <c r="H674" s="1" t="s">
        <v>17278</v>
      </c>
      <c r="I674" s="1" t="s">
        <v>17279</v>
      </c>
      <c r="J674" s="1" t="s">
        <v>16482</v>
      </c>
      <c r="K674" s="36">
        <v>42715.833383999998</v>
      </c>
      <c r="L674" s="1">
        <v>3.2896999999999998</v>
      </c>
      <c r="M674" s="37">
        <v>12984.72</v>
      </c>
      <c r="N674" s="1" t="s">
        <v>20155</v>
      </c>
      <c r="O674" s="1" t="s">
        <v>20173</v>
      </c>
      <c r="P674" s="876">
        <v>44264</v>
      </c>
      <c r="Q674" s="466">
        <v>22008</v>
      </c>
      <c r="R674" s="466">
        <v>0</v>
      </c>
      <c r="S674" s="466">
        <v>0</v>
      </c>
      <c r="T674" s="466">
        <v>0</v>
      </c>
      <c r="U674" s="466">
        <v>22008</v>
      </c>
      <c r="V674" s="11" t="s">
        <v>20155</v>
      </c>
      <c r="W674" s="39">
        <v>42715.833384000005</v>
      </c>
      <c r="X674" s="39">
        <v>0</v>
      </c>
      <c r="Y674" s="39">
        <v>0</v>
      </c>
      <c r="Z674" s="39">
        <v>0</v>
      </c>
      <c r="AA674" s="56">
        <v>1.9409230000000002</v>
      </c>
      <c r="AB674" s="56">
        <v>0</v>
      </c>
      <c r="AC674" s="56">
        <v>0</v>
      </c>
      <c r="AD674" s="56">
        <v>0</v>
      </c>
      <c r="AE674" s="41">
        <v>2594.0736000000002</v>
      </c>
      <c r="AF674" s="42">
        <v>7630.0640000000003</v>
      </c>
      <c r="AG674" s="42">
        <v>0.34669501999272995</v>
      </c>
      <c r="AH674" s="467">
        <v>1.5942279800072703</v>
      </c>
      <c r="AI674" s="467">
        <v>0</v>
      </c>
      <c r="AJ674" s="467">
        <v>0</v>
      </c>
      <c r="AK674" s="467">
        <v>0</v>
      </c>
      <c r="AL674" s="44">
        <v>1</v>
      </c>
      <c r="AM674" s="44">
        <v>0</v>
      </c>
      <c r="AN674" s="468">
        <v>0</v>
      </c>
      <c r="AO674" s="468">
        <v>0</v>
      </c>
    </row>
    <row r="675" spans="1:41" hidden="1">
      <c r="A675" s="50">
        <v>70</v>
      </c>
      <c r="B675" s="1" t="s">
        <v>20252</v>
      </c>
      <c r="C675" s="50">
        <v>0</v>
      </c>
      <c r="D675" s="464" t="s">
        <v>18409</v>
      </c>
      <c r="E675" s="1" t="s">
        <v>20252</v>
      </c>
      <c r="F675" s="53">
        <v>44252</v>
      </c>
      <c r="G675" s="1">
        <v>2021</v>
      </c>
      <c r="H675" s="1" t="s">
        <v>17257</v>
      </c>
      <c r="I675" s="1" t="s">
        <v>17258</v>
      </c>
      <c r="J675" s="1" t="s">
        <v>16401</v>
      </c>
      <c r="K675" s="36">
        <v>50356.719839999998</v>
      </c>
      <c r="L675" s="1">
        <v>2.7244000000000002</v>
      </c>
      <c r="M675" s="37">
        <v>18483.599999999999</v>
      </c>
      <c r="N675" s="1" t="s">
        <v>20155</v>
      </c>
      <c r="O675" s="1" t="s">
        <v>18261</v>
      </c>
      <c r="P675" s="876">
        <v>44263</v>
      </c>
      <c r="Q675" s="466">
        <v>1800</v>
      </c>
      <c r="R675" s="466">
        <v>20160</v>
      </c>
      <c r="S675" s="466">
        <v>2400</v>
      </c>
      <c r="T675" s="466">
        <v>0</v>
      </c>
      <c r="U675" s="466">
        <v>24360</v>
      </c>
      <c r="V675" s="11" t="s">
        <v>20155</v>
      </c>
      <c r="W675" s="39">
        <v>3690.0186206896551</v>
      </c>
      <c r="X675" s="39">
        <v>41877.447591724143</v>
      </c>
      <c r="Y675" s="39">
        <v>4789.2536275862058</v>
      </c>
      <c r="Z675" s="39">
        <v>0</v>
      </c>
      <c r="AA675" s="56">
        <v>2.0500103448275864</v>
      </c>
      <c r="AB675" s="56">
        <v>2.0772543448275864</v>
      </c>
      <c r="AC675" s="56">
        <v>1.9955223448275858</v>
      </c>
      <c r="AD675" s="56">
        <v>0</v>
      </c>
      <c r="AE675" s="41">
        <v>923.13</v>
      </c>
      <c r="AF675" s="42">
        <v>4777.08</v>
      </c>
      <c r="AG675" s="42">
        <v>0.19610344827586207</v>
      </c>
      <c r="AH675" s="467">
        <v>1.8539068965517242</v>
      </c>
      <c r="AI675" s="467">
        <v>1.8811508965517243</v>
      </c>
      <c r="AJ675" s="467">
        <v>1.7994188965517237</v>
      </c>
      <c r="AK675" s="467">
        <v>0</v>
      </c>
      <c r="AL675" s="44">
        <v>1</v>
      </c>
      <c r="AM675" s="44">
        <v>1</v>
      </c>
      <c r="AN675" s="468">
        <v>1</v>
      </c>
      <c r="AO675" s="468">
        <v>0</v>
      </c>
    </row>
    <row r="676" spans="1:41" hidden="1">
      <c r="A676" s="50">
        <v>71</v>
      </c>
      <c r="B676" s="1" t="s">
        <v>20253</v>
      </c>
      <c r="C676" s="50">
        <v>0</v>
      </c>
      <c r="D676" s="464" t="s">
        <v>18410</v>
      </c>
      <c r="E676" s="1" t="s">
        <v>20253</v>
      </c>
      <c r="F676" s="53">
        <v>44256</v>
      </c>
      <c r="G676" s="1">
        <v>2021</v>
      </c>
      <c r="H676" s="1" t="s">
        <v>17017</v>
      </c>
      <c r="I676" s="1" t="s">
        <v>17018</v>
      </c>
      <c r="J676" s="1" t="s">
        <v>3</v>
      </c>
      <c r="K676" s="36">
        <v>22982.400000000001</v>
      </c>
      <c r="L676" s="1">
        <v>1</v>
      </c>
      <c r="M676" s="37">
        <v>22982.400000000001</v>
      </c>
      <c r="N676" s="1" t="s">
        <v>20155</v>
      </c>
      <c r="O676" s="1" t="s">
        <v>20158</v>
      </c>
      <c r="P676" s="876">
        <v>44263</v>
      </c>
      <c r="Q676" s="466">
        <v>0</v>
      </c>
      <c r="R676" s="466">
        <v>0</v>
      </c>
      <c r="S676" s="466">
        <v>16800</v>
      </c>
      <c r="T676" s="466">
        <v>0</v>
      </c>
      <c r="U676" s="466">
        <v>16800</v>
      </c>
      <c r="V676" s="11" t="s">
        <v>20155</v>
      </c>
      <c r="W676" s="39">
        <v>0</v>
      </c>
      <c r="X676" s="39">
        <v>0</v>
      </c>
      <c r="Y676" s="39">
        <v>22982.400000000005</v>
      </c>
      <c r="Z676" s="39">
        <v>0</v>
      </c>
      <c r="AA676" s="56">
        <v>0</v>
      </c>
      <c r="AB676" s="56">
        <v>0</v>
      </c>
      <c r="AC676" s="56">
        <v>1.3680000000000003</v>
      </c>
      <c r="AD676" s="56">
        <v>0</v>
      </c>
      <c r="AE676" s="41">
        <v>0</v>
      </c>
      <c r="AF676" s="42">
        <v>0</v>
      </c>
      <c r="AG676" s="42">
        <v>0</v>
      </c>
      <c r="AH676" s="467">
        <v>0</v>
      </c>
      <c r="AI676" s="467">
        <v>0</v>
      </c>
      <c r="AJ676" s="467">
        <v>1.3680000000000003</v>
      </c>
      <c r="AK676" s="467">
        <v>0</v>
      </c>
      <c r="AL676" s="44">
        <v>0</v>
      </c>
      <c r="AM676" s="44">
        <v>0</v>
      </c>
      <c r="AN676" s="468">
        <v>1</v>
      </c>
      <c r="AO676" s="468">
        <v>0</v>
      </c>
    </row>
    <row r="677" spans="1:41" hidden="1">
      <c r="A677" s="50">
        <v>72</v>
      </c>
      <c r="B677" s="1" t="s">
        <v>20254</v>
      </c>
      <c r="C677" s="50">
        <v>0</v>
      </c>
      <c r="D677" s="464" t="s">
        <v>18411</v>
      </c>
      <c r="E677" s="1" t="s">
        <v>20254</v>
      </c>
      <c r="F677" s="53">
        <v>44256</v>
      </c>
      <c r="G677" s="1">
        <v>2021</v>
      </c>
      <c r="H677" s="1" t="s">
        <v>16880</v>
      </c>
      <c r="I677" s="1" t="s">
        <v>16881</v>
      </c>
      <c r="J677" s="1" t="s">
        <v>16401</v>
      </c>
      <c r="K677" s="36">
        <v>61259.768640000002</v>
      </c>
      <c r="L677" s="1">
        <v>2.7244000000000002</v>
      </c>
      <c r="M677" s="37">
        <v>22485.599999999999</v>
      </c>
      <c r="N677" s="1" t="s">
        <v>20155</v>
      </c>
      <c r="O677" s="1" t="s">
        <v>20156</v>
      </c>
      <c r="P677" s="876">
        <v>44264</v>
      </c>
      <c r="Q677" s="466">
        <v>0</v>
      </c>
      <c r="R677" s="466">
        <v>18480</v>
      </c>
      <c r="S677" s="466">
        <v>0</v>
      </c>
      <c r="T677" s="466">
        <v>0</v>
      </c>
      <c r="U677" s="466">
        <v>18480</v>
      </c>
      <c r="V677" s="11" t="s">
        <v>20155</v>
      </c>
      <c r="W677" s="39">
        <v>0</v>
      </c>
      <c r="X677" s="39">
        <v>61259.768640000002</v>
      </c>
      <c r="Y677" s="39">
        <v>0</v>
      </c>
      <c r="Z677" s="39">
        <v>0</v>
      </c>
      <c r="AA677" s="56">
        <v>0</v>
      </c>
      <c r="AB677" s="56">
        <v>3.3149225454545457</v>
      </c>
      <c r="AC677" s="56">
        <v>0</v>
      </c>
      <c r="AD677" s="56">
        <v>0</v>
      </c>
      <c r="AE677" s="41">
        <v>0</v>
      </c>
      <c r="AF677" s="42">
        <v>1510.12</v>
      </c>
      <c r="AG677" s="42">
        <v>8.1716450216450215E-2</v>
      </c>
      <c r="AH677" s="467">
        <v>0</v>
      </c>
      <c r="AI677" s="467">
        <v>3.2332060952380957</v>
      </c>
      <c r="AJ677" s="467">
        <v>0</v>
      </c>
      <c r="AK677" s="467">
        <v>0</v>
      </c>
      <c r="AL677" s="44">
        <v>0</v>
      </c>
      <c r="AM677" s="44">
        <v>1</v>
      </c>
      <c r="AN677" s="468">
        <v>0</v>
      </c>
      <c r="AO677" s="468">
        <v>0</v>
      </c>
    </row>
    <row r="678" spans="1:41" hidden="1">
      <c r="A678" s="50">
        <v>73</v>
      </c>
      <c r="B678" s="1" t="s">
        <v>20256</v>
      </c>
      <c r="C678" s="50">
        <v>0</v>
      </c>
      <c r="D678" s="464" t="s">
        <v>18412</v>
      </c>
      <c r="E678" s="1" t="s">
        <v>20256</v>
      </c>
      <c r="F678" s="53">
        <v>44260</v>
      </c>
      <c r="G678" s="1">
        <v>2021</v>
      </c>
      <c r="H678" s="1" t="s">
        <v>17017</v>
      </c>
      <c r="I678" s="1" t="s">
        <v>17018</v>
      </c>
      <c r="J678" s="1" t="s">
        <v>3</v>
      </c>
      <c r="K678" s="36">
        <v>35200</v>
      </c>
      <c r="L678" s="1">
        <v>1</v>
      </c>
      <c r="M678" s="37">
        <v>35200</v>
      </c>
      <c r="N678" s="1" t="s">
        <v>20155</v>
      </c>
      <c r="O678" s="1" t="s">
        <v>18064</v>
      </c>
      <c r="P678" s="876">
        <v>44270</v>
      </c>
      <c r="Q678" s="466">
        <v>0</v>
      </c>
      <c r="R678" s="466">
        <v>20000</v>
      </c>
      <c r="S678" s="466">
        <v>0</v>
      </c>
      <c r="T678" s="466">
        <v>0</v>
      </c>
      <c r="U678" s="466">
        <v>20000</v>
      </c>
      <c r="V678" s="11" t="s">
        <v>20155</v>
      </c>
      <c r="W678" s="39">
        <v>0</v>
      </c>
      <c r="X678" s="39">
        <v>35200</v>
      </c>
      <c r="Y678" s="39">
        <v>0</v>
      </c>
      <c r="Z678" s="39">
        <v>0</v>
      </c>
      <c r="AA678" s="56">
        <v>0</v>
      </c>
      <c r="AB678" s="56">
        <v>1.76</v>
      </c>
      <c r="AC678" s="56">
        <v>0</v>
      </c>
      <c r="AD678" s="56">
        <v>0</v>
      </c>
      <c r="AE678" s="41">
        <v>0</v>
      </c>
      <c r="AF678" s="42">
        <v>0</v>
      </c>
      <c r="AG678" s="42">
        <v>0</v>
      </c>
      <c r="AH678" s="467">
        <v>0</v>
      </c>
      <c r="AI678" s="467">
        <v>1.76</v>
      </c>
      <c r="AJ678" s="467">
        <v>0</v>
      </c>
      <c r="AK678" s="467">
        <v>0</v>
      </c>
      <c r="AL678" s="44">
        <v>0</v>
      </c>
      <c r="AM678" s="44">
        <v>1</v>
      </c>
      <c r="AN678" s="468">
        <v>0</v>
      </c>
      <c r="AO678" s="468">
        <v>0</v>
      </c>
    </row>
    <row r="679" spans="1:41" hidden="1">
      <c r="A679" s="50">
        <v>74</v>
      </c>
      <c r="B679" s="1" t="s">
        <v>20257</v>
      </c>
      <c r="C679" s="50">
        <v>0</v>
      </c>
      <c r="D679" s="464" t="s">
        <v>18413</v>
      </c>
      <c r="E679" s="1" t="s">
        <v>20257</v>
      </c>
      <c r="F679" s="53">
        <v>44263</v>
      </c>
      <c r="G679" s="1">
        <v>2021</v>
      </c>
      <c r="H679" s="1" t="s">
        <v>17017</v>
      </c>
      <c r="I679" s="1" t="s">
        <v>17018</v>
      </c>
      <c r="J679" s="1" t="s">
        <v>3</v>
      </c>
      <c r="K679" s="36">
        <v>19591</v>
      </c>
      <c r="L679" s="1">
        <v>1</v>
      </c>
      <c r="M679" s="37">
        <v>19591</v>
      </c>
      <c r="N679" s="1" t="s">
        <v>20155</v>
      </c>
      <c r="O679" s="1" t="s">
        <v>20308</v>
      </c>
      <c r="P679" s="876">
        <v>44267</v>
      </c>
      <c r="Q679" s="466">
        <v>7200</v>
      </c>
      <c r="R679" s="466">
        <v>2276</v>
      </c>
      <c r="S679" s="466">
        <v>0</v>
      </c>
      <c r="T679" s="466">
        <v>560</v>
      </c>
      <c r="U679" s="466">
        <v>10036</v>
      </c>
      <c r="V679" s="11" t="s">
        <v>20155</v>
      </c>
      <c r="W679" s="39">
        <v>12888</v>
      </c>
      <c r="X679" s="39">
        <v>4015</v>
      </c>
      <c r="Y679" s="39">
        <v>0</v>
      </c>
      <c r="Z679" s="39">
        <v>2688</v>
      </c>
      <c r="AA679" s="56">
        <v>1.79</v>
      </c>
      <c r="AB679" s="56">
        <v>1.7640597539543057</v>
      </c>
      <c r="AC679" s="56">
        <v>0</v>
      </c>
      <c r="AD679" s="56">
        <v>4.8</v>
      </c>
      <c r="AE679" s="41">
        <v>0</v>
      </c>
      <c r="AF679" s="42">
        <v>0</v>
      </c>
      <c r="AG679" s="42">
        <v>0</v>
      </c>
      <c r="AH679" s="467">
        <v>1.79</v>
      </c>
      <c r="AI679" s="467">
        <v>1.7640597539543057</v>
      </c>
      <c r="AJ679" s="467">
        <v>0</v>
      </c>
      <c r="AK679" s="467">
        <v>4.8</v>
      </c>
      <c r="AL679" s="44">
        <v>1</v>
      </c>
      <c r="AM679" s="44">
        <v>1</v>
      </c>
      <c r="AN679" s="468">
        <v>0</v>
      </c>
      <c r="AO679" s="468">
        <v>1</v>
      </c>
    </row>
    <row r="680" spans="1:41" hidden="1">
      <c r="A680" s="50">
        <v>75</v>
      </c>
      <c r="B680" s="1" t="s">
        <v>20259</v>
      </c>
      <c r="C680" s="50">
        <v>0</v>
      </c>
      <c r="D680" s="464" t="s">
        <v>18414</v>
      </c>
      <c r="E680" s="1" t="s">
        <v>20259</v>
      </c>
      <c r="F680" s="53">
        <v>44263</v>
      </c>
      <c r="G680" s="1">
        <v>2021</v>
      </c>
      <c r="H680" s="1" t="s">
        <v>17284</v>
      </c>
      <c r="I680" s="1" t="s">
        <v>17285</v>
      </c>
      <c r="J680" s="1" t="s">
        <v>3</v>
      </c>
      <c r="K680" s="36">
        <v>42312</v>
      </c>
      <c r="L680" s="1">
        <v>1</v>
      </c>
      <c r="M680" s="37">
        <v>42312</v>
      </c>
      <c r="N680" s="1" t="s">
        <v>20155</v>
      </c>
      <c r="O680" s="1" t="s">
        <v>16394</v>
      </c>
      <c r="P680" s="876">
        <v>44274</v>
      </c>
      <c r="Q680" s="466">
        <v>0</v>
      </c>
      <c r="R680" s="466">
        <v>0</v>
      </c>
      <c r="S680" s="466">
        <v>0</v>
      </c>
      <c r="T680" s="466">
        <v>10760</v>
      </c>
      <c r="U680" s="466">
        <v>10760</v>
      </c>
      <c r="V680" s="11" t="s">
        <v>20155</v>
      </c>
      <c r="W680" s="39">
        <v>0</v>
      </c>
      <c r="X680" s="39">
        <v>4680</v>
      </c>
      <c r="Y680" s="39">
        <v>0</v>
      </c>
      <c r="Z680" s="39">
        <v>37632</v>
      </c>
      <c r="AA680" s="56">
        <v>0</v>
      </c>
      <c r="AB680" s="56">
        <v>0</v>
      </c>
      <c r="AC680" s="56">
        <v>0</v>
      </c>
      <c r="AD680" s="56">
        <v>3.4973977695167284</v>
      </c>
      <c r="AE680" s="41">
        <v>0</v>
      </c>
      <c r="AF680" s="42">
        <v>0</v>
      </c>
      <c r="AG680" s="42">
        <v>0</v>
      </c>
      <c r="AH680" s="467">
        <v>0</v>
      </c>
      <c r="AI680" s="467">
        <v>0</v>
      </c>
      <c r="AJ680" s="467">
        <v>0</v>
      </c>
      <c r="AK680" s="467">
        <v>3.4973977695167284</v>
      </c>
      <c r="AL680" s="44">
        <v>0</v>
      </c>
      <c r="AM680" s="44">
        <v>0</v>
      </c>
      <c r="AN680" s="468">
        <v>0</v>
      </c>
      <c r="AO680" s="468">
        <v>1</v>
      </c>
    </row>
    <row r="681" spans="1:41" hidden="1">
      <c r="A681" s="50">
        <v>76</v>
      </c>
      <c r="B681" s="1" t="s">
        <v>20260</v>
      </c>
      <c r="C681" s="50">
        <v>0</v>
      </c>
      <c r="D681" s="464" t="s">
        <v>18415</v>
      </c>
      <c r="E681" s="1" t="s">
        <v>20260</v>
      </c>
      <c r="F681" s="53">
        <v>44263</v>
      </c>
      <c r="G681" s="1">
        <v>2021</v>
      </c>
      <c r="H681" s="1" t="s">
        <v>17289</v>
      </c>
      <c r="I681" s="1" t="s">
        <v>17290</v>
      </c>
      <c r="J681" s="1" t="s">
        <v>3</v>
      </c>
      <c r="K681" s="36">
        <v>25574.400000000001</v>
      </c>
      <c r="L681" s="1">
        <v>1</v>
      </c>
      <c r="M681" s="37">
        <v>25574.400000000001</v>
      </c>
      <c r="N681" s="1" t="s">
        <v>20155</v>
      </c>
      <c r="O681" s="1" t="s">
        <v>20309</v>
      </c>
      <c r="P681" s="876">
        <v>44270</v>
      </c>
      <c r="Q681" s="466">
        <v>0</v>
      </c>
      <c r="R681" s="466">
        <v>2496</v>
      </c>
      <c r="S681" s="466">
        <v>6000</v>
      </c>
      <c r="T681" s="466">
        <v>2580</v>
      </c>
      <c r="U681" s="466">
        <v>11076</v>
      </c>
      <c r="V681" s="11" t="s">
        <v>20155</v>
      </c>
      <c r="W681" s="39">
        <v>0</v>
      </c>
      <c r="X681" s="39">
        <v>7082.4</v>
      </c>
      <c r="Y681" s="39">
        <v>11100</v>
      </c>
      <c r="Z681" s="39">
        <v>7392</v>
      </c>
      <c r="AA681" s="56">
        <v>0</v>
      </c>
      <c r="AB681" s="56">
        <v>2.8374999999999999</v>
      </c>
      <c r="AC681" s="56">
        <v>1.85</v>
      </c>
      <c r="AD681" s="56">
        <v>2.8651162790697673</v>
      </c>
      <c r="AE681" s="41">
        <v>0</v>
      </c>
      <c r="AF681" s="42">
        <v>0</v>
      </c>
      <c r="AG681" s="42">
        <v>0</v>
      </c>
      <c r="AH681" s="467">
        <v>0</v>
      </c>
      <c r="AI681" s="467">
        <v>2.8374999999999999</v>
      </c>
      <c r="AJ681" s="467">
        <v>1.85</v>
      </c>
      <c r="AK681" s="467">
        <v>2.8651162790697673</v>
      </c>
      <c r="AL681" s="44">
        <v>0</v>
      </c>
      <c r="AM681" s="44">
        <v>1</v>
      </c>
      <c r="AN681" s="468">
        <v>1</v>
      </c>
      <c r="AO681" s="468">
        <v>1</v>
      </c>
    </row>
    <row r="682" spans="1:41" hidden="1">
      <c r="A682" s="50">
        <v>77</v>
      </c>
      <c r="B682" s="1" t="s">
        <v>20261</v>
      </c>
      <c r="C682" s="50">
        <v>0</v>
      </c>
      <c r="D682" s="464" t="s">
        <v>18416</v>
      </c>
      <c r="E682" s="1" t="s">
        <v>20261</v>
      </c>
      <c r="F682" s="53">
        <v>44263</v>
      </c>
      <c r="G682" s="1">
        <v>2021</v>
      </c>
      <c r="H682" s="1" t="s">
        <v>17017</v>
      </c>
      <c r="I682" s="1" t="s">
        <v>17018</v>
      </c>
      <c r="J682" s="1" t="s">
        <v>3</v>
      </c>
      <c r="K682" s="36">
        <v>14117.4</v>
      </c>
      <c r="L682" s="1">
        <v>1</v>
      </c>
      <c r="M682" s="37">
        <v>14117.4</v>
      </c>
      <c r="N682" s="1" t="s">
        <v>20155</v>
      </c>
      <c r="O682" s="1" t="s">
        <v>17238</v>
      </c>
      <c r="P682" s="876">
        <v>44273</v>
      </c>
      <c r="Q682" s="466">
        <v>3060</v>
      </c>
      <c r="R682" s="466">
        <v>0</v>
      </c>
      <c r="S682" s="466">
        <v>0</v>
      </c>
      <c r="T682" s="466">
        <v>2400</v>
      </c>
      <c r="U682" s="466">
        <v>5460</v>
      </c>
      <c r="V682" s="11" t="s">
        <v>20155</v>
      </c>
      <c r="W682" s="39">
        <v>5477.4</v>
      </c>
      <c r="X682" s="39">
        <v>2880</v>
      </c>
      <c r="Y682" s="39">
        <v>0</v>
      </c>
      <c r="Z682" s="39">
        <v>5760</v>
      </c>
      <c r="AA682" s="56">
        <v>1.7899999999999998</v>
      </c>
      <c r="AB682" s="56">
        <v>0</v>
      </c>
      <c r="AC682" s="56">
        <v>0</v>
      </c>
      <c r="AD682" s="56">
        <v>2.4</v>
      </c>
      <c r="AE682" s="41">
        <v>0</v>
      </c>
      <c r="AF682" s="42">
        <v>0</v>
      </c>
      <c r="AG682" s="42">
        <v>0</v>
      </c>
      <c r="AH682" s="467">
        <v>1.7899999999999998</v>
      </c>
      <c r="AI682" s="467">
        <v>0</v>
      </c>
      <c r="AJ682" s="467">
        <v>0</v>
      </c>
      <c r="AK682" s="467">
        <v>2.4</v>
      </c>
      <c r="AL682" s="44">
        <v>1</v>
      </c>
      <c r="AM682" s="44">
        <v>0</v>
      </c>
      <c r="AN682" s="468">
        <v>0</v>
      </c>
      <c r="AO682" s="468">
        <v>1</v>
      </c>
    </row>
    <row r="683" spans="1:41" hidden="1">
      <c r="A683" s="50">
        <v>78</v>
      </c>
      <c r="B683" s="1" t="s">
        <v>20262</v>
      </c>
      <c r="C683" s="50">
        <v>0</v>
      </c>
      <c r="D683" s="464" t="s">
        <v>18417</v>
      </c>
      <c r="E683" s="1" t="s">
        <v>20262</v>
      </c>
      <c r="F683" s="53">
        <v>44267</v>
      </c>
      <c r="G683" s="1">
        <v>2021</v>
      </c>
      <c r="H683" s="1" t="s">
        <v>16444</v>
      </c>
      <c r="I683" s="1" t="s">
        <v>16445</v>
      </c>
      <c r="J683" s="1" t="s">
        <v>3</v>
      </c>
      <c r="K683" s="36">
        <v>33822.5</v>
      </c>
      <c r="L683" s="1">
        <v>1</v>
      </c>
      <c r="M683" s="37">
        <v>33822.5</v>
      </c>
      <c r="N683" s="1" t="s">
        <v>20155</v>
      </c>
      <c r="O683" s="1" t="s">
        <v>17693</v>
      </c>
      <c r="P683" s="876">
        <v>44272</v>
      </c>
      <c r="Q683" s="466">
        <v>20750</v>
      </c>
      <c r="R683" s="466">
        <v>0</v>
      </c>
      <c r="S683" s="466">
        <v>0</v>
      </c>
      <c r="T683" s="466">
        <v>0</v>
      </c>
      <c r="U683" s="466">
        <v>20750</v>
      </c>
      <c r="V683" s="11" t="s">
        <v>20155</v>
      </c>
      <c r="W683" s="39">
        <v>33822.5</v>
      </c>
      <c r="X683" s="39">
        <v>0</v>
      </c>
      <c r="Y683" s="39">
        <v>0</v>
      </c>
      <c r="Z683" s="39">
        <v>0</v>
      </c>
      <c r="AA683" s="56">
        <v>1.63</v>
      </c>
      <c r="AB683" s="56">
        <v>0</v>
      </c>
      <c r="AC683" s="56">
        <v>0</v>
      </c>
      <c r="AD683" s="56">
        <v>0</v>
      </c>
      <c r="AE683" s="41">
        <v>0</v>
      </c>
      <c r="AF683" s="42">
        <v>0</v>
      </c>
      <c r="AG683" s="42">
        <v>0</v>
      </c>
      <c r="AH683" s="467">
        <v>1.63</v>
      </c>
      <c r="AI683" s="467">
        <v>0</v>
      </c>
      <c r="AJ683" s="467">
        <v>0</v>
      </c>
      <c r="AK683" s="467">
        <v>0</v>
      </c>
      <c r="AL683" s="44">
        <v>1</v>
      </c>
      <c r="AM683" s="44">
        <v>0</v>
      </c>
      <c r="AN683" s="468">
        <v>0</v>
      </c>
      <c r="AO683" s="468">
        <v>0</v>
      </c>
    </row>
    <row r="684" spans="1:41" hidden="1">
      <c r="A684" s="50">
        <v>79</v>
      </c>
      <c r="B684" s="1" t="s">
        <v>20263</v>
      </c>
      <c r="C684" s="50">
        <v>0</v>
      </c>
      <c r="D684" s="464" t="s">
        <v>18418</v>
      </c>
      <c r="E684" s="1" t="s">
        <v>20263</v>
      </c>
      <c r="F684" s="53">
        <v>44267</v>
      </c>
      <c r="G684" s="1">
        <v>2021</v>
      </c>
      <c r="H684" s="1" t="s">
        <v>17209</v>
      </c>
      <c r="I684" s="1" t="s">
        <v>17210</v>
      </c>
      <c r="J684" s="1" t="s">
        <v>16401</v>
      </c>
      <c r="K684" s="36">
        <v>46962.026749999997</v>
      </c>
      <c r="L684" s="1">
        <v>2.7519499999999999</v>
      </c>
      <c r="M684" s="37">
        <v>17065</v>
      </c>
      <c r="N684" s="1" t="s">
        <v>20155</v>
      </c>
      <c r="O684" s="1" t="s">
        <v>20168</v>
      </c>
      <c r="P684" s="876">
        <v>44274</v>
      </c>
      <c r="Q684" s="466">
        <v>0</v>
      </c>
      <c r="R684" s="466">
        <v>17760</v>
      </c>
      <c r="S684" s="466">
        <v>4800</v>
      </c>
      <c r="T684" s="466">
        <v>900</v>
      </c>
      <c r="U684" s="466">
        <v>23460</v>
      </c>
      <c r="V684" s="11" t="s">
        <v>20231</v>
      </c>
      <c r="W684" s="39">
        <v>0</v>
      </c>
      <c r="X684" s="39">
        <v>35101.819035294116</v>
      </c>
      <c r="Y684" s="39">
        <v>9486.9781176470588</v>
      </c>
      <c r="Z684" s="39">
        <v>2373.2295970588239</v>
      </c>
      <c r="AA684" s="56">
        <v>0</v>
      </c>
      <c r="AB684" s="56">
        <v>1.9764537745098039</v>
      </c>
      <c r="AC684" s="56">
        <v>1.9764537745098039</v>
      </c>
      <c r="AD684" s="56">
        <v>2.6369217745098044</v>
      </c>
      <c r="AE684" s="41">
        <v>0</v>
      </c>
      <c r="AF684" s="42">
        <v>0</v>
      </c>
      <c r="AG684" s="42">
        <v>0</v>
      </c>
      <c r="AH684" s="467">
        <v>0</v>
      </c>
      <c r="AI684" s="467">
        <v>1.9764537745098039</v>
      </c>
      <c r="AJ684" s="467">
        <v>1.9764537745098039</v>
      </c>
      <c r="AK684" s="467">
        <v>2.6369217745098044</v>
      </c>
      <c r="AL684" s="44">
        <v>0</v>
      </c>
      <c r="AM684" s="44">
        <v>1</v>
      </c>
      <c r="AN684" s="468">
        <v>1</v>
      </c>
      <c r="AO684" s="468">
        <v>1</v>
      </c>
    </row>
    <row r="685" spans="1:41" hidden="1">
      <c r="A685" s="50">
        <v>80</v>
      </c>
      <c r="B685" s="1" t="s">
        <v>20264</v>
      </c>
      <c r="C685" s="50">
        <v>0</v>
      </c>
      <c r="D685" s="464" t="s">
        <v>18419</v>
      </c>
      <c r="E685" s="1" t="s">
        <v>20264</v>
      </c>
      <c r="F685" s="53">
        <v>44267</v>
      </c>
      <c r="G685" s="1">
        <v>2021</v>
      </c>
      <c r="H685" s="1" t="s">
        <v>17230</v>
      </c>
      <c r="I685" s="1" t="s">
        <v>17231</v>
      </c>
      <c r="J685" s="1" t="s">
        <v>16482</v>
      </c>
      <c r="K685" s="36">
        <v>56090.810534000004</v>
      </c>
      <c r="L685" s="1">
        <v>3.2888500000000001</v>
      </c>
      <c r="M685" s="37">
        <v>17054.84</v>
      </c>
      <c r="N685" s="1" t="s">
        <v>20155</v>
      </c>
      <c r="O685" s="1" t="s">
        <v>16394</v>
      </c>
      <c r="P685" s="876">
        <v>44298</v>
      </c>
      <c r="Q685" s="466">
        <v>960</v>
      </c>
      <c r="R685" s="466">
        <v>11272</v>
      </c>
      <c r="S685" s="466">
        <v>6000</v>
      </c>
      <c r="T685" s="466">
        <v>5420</v>
      </c>
      <c r="U685" s="466">
        <v>23652</v>
      </c>
      <c r="V685" s="11" t="s">
        <v>20231</v>
      </c>
      <c r="W685" s="39">
        <v>1878.59112</v>
      </c>
      <c r="X685" s="39">
        <v>23484.164978999997</v>
      </c>
      <c r="Y685" s="39">
        <v>11247.867</v>
      </c>
      <c r="Z685" s="39">
        <v>19480.187435</v>
      </c>
      <c r="AA685" s="56">
        <v>1.95686575</v>
      </c>
      <c r="AB685" s="56">
        <v>2.0834071131121359</v>
      </c>
      <c r="AC685" s="56">
        <v>1.8746445</v>
      </c>
      <c r="AD685" s="56">
        <v>3.5941305230627307</v>
      </c>
      <c r="AE685" s="41">
        <v>0</v>
      </c>
      <c r="AF685" s="42">
        <v>0</v>
      </c>
      <c r="AG685" s="42">
        <v>0</v>
      </c>
      <c r="AH685" s="467">
        <v>1.95686575</v>
      </c>
      <c r="AI685" s="467">
        <v>2.0834071131121359</v>
      </c>
      <c r="AJ685" s="467">
        <v>1.8746445</v>
      </c>
      <c r="AK685" s="467">
        <v>3.5941305230627307</v>
      </c>
      <c r="AL685" s="44">
        <v>1</v>
      </c>
      <c r="AM685" s="44">
        <v>1</v>
      </c>
      <c r="AN685" s="468">
        <v>1</v>
      </c>
      <c r="AO685" s="468">
        <v>1</v>
      </c>
    </row>
    <row r="686" spans="1:41" hidden="1">
      <c r="A686" s="50">
        <v>81</v>
      </c>
      <c r="B686" s="1" t="s">
        <v>20265</v>
      </c>
      <c r="C686" s="50">
        <v>0</v>
      </c>
      <c r="D686" s="464" t="s">
        <v>18420</v>
      </c>
      <c r="E686" s="1" t="s">
        <v>20265</v>
      </c>
      <c r="F686" s="53">
        <v>44267</v>
      </c>
      <c r="G686" s="1">
        <v>2021</v>
      </c>
      <c r="H686" s="1" t="s">
        <v>16838</v>
      </c>
      <c r="I686" s="1" t="s">
        <v>16839</v>
      </c>
      <c r="J686" s="1" t="s">
        <v>3</v>
      </c>
      <c r="K686" s="36">
        <v>149654.39999999999</v>
      </c>
      <c r="L686" s="1">
        <v>1</v>
      </c>
      <c r="M686" s="37">
        <v>149654.39999999999</v>
      </c>
      <c r="N686" s="1" t="s">
        <v>20155</v>
      </c>
      <c r="O686" s="1" t="s">
        <v>17949</v>
      </c>
      <c r="P686" s="876">
        <v>44274</v>
      </c>
      <c r="Q686" s="466">
        <v>88032</v>
      </c>
      <c r="R686" s="466">
        <v>0</v>
      </c>
      <c r="S686" s="466">
        <v>0</v>
      </c>
      <c r="T686" s="466">
        <v>0</v>
      </c>
      <c r="U686" s="466">
        <v>88032</v>
      </c>
      <c r="V686" s="11" t="s">
        <v>20155</v>
      </c>
      <c r="W686" s="39">
        <v>149654.39999999999</v>
      </c>
      <c r="X686" s="39">
        <v>0</v>
      </c>
      <c r="Y686" s="39">
        <v>0</v>
      </c>
      <c r="Z686" s="39">
        <v>0</v>
      </c>
      <c r="AA686" s="56">
        <v>1.7</v>
      </c>
      <c r="AB686" s="56">
        <v>0</v>
      </c>
      <c r="AC686" s="56">
        <v>0</v>
      </c>
      <c r="AD686" s="56">
        <v>0</v>
      </c>
      <c r="AE686" s="41">
        <v>0</v>
      </c>
      <c r="AF686" s="42">
        <v>0</v>
      </c>
      <c r="AG686" s="42">
        <v>0</v>
      </c>
      <c r="AH686" s="467">
        <v>1.7</v>
      </c>
      <c r="AI686" s="467">
        <v>0</v>
      </c>
      <c r="AJ686" s="467">
        <v>0</v>
      </c>
      <c r="AK686" s="467">
        <v>0</v>
      </c>
      <c r="AL686" s="44">
        <v>1</v>
      </c>
      <c r="AM686" s="44">
        <v>0</v>
      </c>
      <c r="AN686" s="468">
        <v>0</v>
      </c>
      <c r="AO686" s="468">
        <v>0</v>
      </c>
    </row>
    <row r="687" spans="1:41" hidden="1">
      <c r="A687" s="50">
        <v>82</v>
      </c>
      <c r="B687" s="1" t="s">
        <v>20267</v>
      </c>
      <c r="C687" s="50">
        <v>0</v>
      </c>
      <c r="D687" s="464" t="s">
        <v>18421</v>
      </c>
      <c r="E687" s="1" t="s">
        <v>20267</v>
      </c>
      <c r="F687" s="53">
        <v>44267</v>
      </c>
      <c r="G687" s="1">
        <v>2021</v>
      </c>
      <c r="H687" s="1" t="s">
        <v>16904</v>
      </c>
      <c r="I687" s="1" t="s">
        <v>16905</v>
      </c>
      <c r="J687" s="1" t="s">
        <v>16482</v>
      </c>
      <c r="K687" s="36">
        <v>58782.618527999999</v>
      </c>
      <c r="L687" s="1">
        <v>3.2808000000000002</v>
      </c>
      <c r="M687" s="37">
        <v>17917.16</v>
      </c>
      <c r="N687" s="1" t="s">
        <v>20155</v>
      </c>
      <c r="O687" s="1" t="s">
        <v>20160</v>
      </c>
      <c r="P687" s="876">
        <v>44271</v>
      </c>
      <c r="Q687" s="466">
        <v>0</v>
      </c>
      <c r="R687" s="466">
        <v>16776</v>
      </c>
      <c r="S687" s="466">
        <v>10560</v>
      </c>
      <c r="T687" s="466">
        <v>0</v>
      </c>
      <c r="U687" s="466">
        <v>27336</v>
      </c>
      <c r="V687" s="11" t="s">
        <v>20155</v>
      </c>
      <c r="W687" s="39">
        <v>0</v>
      </c>
      <c r="X687" s="39">
        <v>36190.643751529416</v>
      </c>
      <c r="Y687" s="39">
        <v>22591.97477647059</v>
      </c>
      <c r="Z687" s="39">
        <v>0</v>
      </c>
      <c r="AA687" s="56">
        <v>0</v>
      </c>
      <c r="AB687" s="56">
        <v>2.1572868235294123</v>
      </c>
      <c r="AC687" s="56">
        <v>2.1393915508021393</v>
      </c>
      <c r="AD687" s="56">
        <v>0</v>
      </c>
      <c r="AE687" s="41">
        <v>4024.4220000000005</v>
      </c>
      <c r="AF687" s="42">
        <v>11208.834999999999</v>
      </c>
      <c r="AG687" s="42">
        <v>0.41003932543166516</v>
      </c>
      <c r="AH687" s="467">
        <v>0</v>
      </c>
      <c r="AI687" s="467">
        <v>1.747247498097747</v>
      </c>
      <c r="AJ687" s="467">
        <v>1.7293522253704741</v>
      </c>
      <c r="AK687" s="467">
        <v>0</v>
      </c>
      <c r="AL687" s="44">
        <v>0</v>
      </c>
      <c r="AM687" s="44">
        <v>1</v>
      </c>
      <c r="AN687" s="468">
        <v>1</v>
      </c>
      <c r="AO687" s="468">
        <v>0</v>
      </c>
    </row>
    <row r="688" spans="1:41" hidden="1">
      <c r="A688" s="50">
        <v>83</v>
      </c>
      <c r="B688" s="1" t="s">
        <v>20268</v>
      </c>
      <c r="C688" s="50">
        <v>0</v>
      </c>
      <c r="D688" s="464" t="s">
        <v>18422</v>
      </c>
      <c r="E688" s="1" t="s">
        <v>20268</v>
      </c>
      <c r="F688" s="53">
        <v>44267</v>
      </c>
      <c r="G688" s="1">
        <v>2021</v>
      </c>
      <c r="H688" s="1" t="s">
        <v>16384</v>
      </c>
      <c r="I688" s="1" t="s">
        <v>16385</v>
      </c>
      <c r="J688" s="1" t="s">
        <v>3</v>
      </c>
      <c r="K688" s="36">
        <v>164640</v>
      </c>
      <c r="L688" s="1">
        <v>1</v>
      </c>
      <c r="M688" s="37">
        <v>164640</v>
      </c>
      <c r="N688" s="1" t="s">
        <v>20155</v>
      </c>
      <c r="O688" s="1" t="s">
        <v>17965</v>
      </c>
      <c r="P688" s="876">
        <v>44280</v>
      </c>
      <c r="Q688" s="466">
        <v>96000</v>
      </c>
      <c r="R688" s="466">
        <v>0</v>
      </c>
      <c r="S688" s="466">
        <v>0</v>
      </c>
      <c r="T688" s="466">
        <v>0</v>
      </c>
      <c r="U688" s="466">
        <v>96000</v>
      </c>
      <c r="V688" s="11" t="s">
        <v>20155</v>
      </c>
      <c r="W688" s="39">
        <v>164640</v>
      </c>
      <c r="X688" s="39">
        <v>0</v>
      </c>
      <c r="Y688" s="39">
        <v>0</v>
      </c>
      <c r="Z688" s="39">
        <v>0</v>
      </c>
      <c r="AA688" s="56">
        <v>1.7150000000000001</v>
      </c>
      <c r="AB688" s="56">
        <v>0</v>
      </c>
      <c r="AC688" s="56">
        <v>0</v>
      </c>
      <c r="AD688" s="56">
        <v>0</v>
      </c>
      <c r="AE688" s="41">
        <v>0</v>
      </c>
      <c r="AF688" s="42">
        <v>0</v>
      </c>
      <c r="AG688" s="42">
        <v>0</v>
      </c>
      <c r="AH688" s="467">
        <v>1.7150000000000001</v>
      </c>
      <c r="AI688" s="467">
        <v>0</v>
      </c>
      <c r="AJ688" s="467">
        <v>0</v>
      </c>
      <c r="AK688" s="467">
        <v>0</v>
      </c>
      <c r="AL688" s="44">
        <v>1</v>
      </c>
      <c r="AM688" s="44">
        <v>0</v>
      </c>
      <c r="AN688" s="468">
        <v>0</v>
      </c>
      <c r="AO688" s="468">
        <v>0</v>
      </c>
    </row>
    <row r="689" spans="1:41" hidden="1">
      <c r="A689" s="50">
        <v>84</v>
      </c>
      <c r="B689" s="1" t="s">
        <v>20269</v>
      </c>
      <c r="C689" s="50">
        <v>0</v>
      </c>
      <c r="D689" s="464" t="s">
        <v>18423</v>
      </c>
      <c r="E689" s="1" t="s">
        <v>20269</v>
      </c>
      <c r="F689" s="53">
        <v>44267</v>
      </c>
      <c r="G689" s="1">
        <v>2021</v>
      </c>
      <c r="H689" s="1" t="s">
        <v>16838</v>
      </c>
      <c r="I689" s="1" t="s">
        <v>16839</v>
      </c>
      <c r="J689" s="1" t="s">
        <v>3</v>
      </c>
      <c r="K689" s="36">
        <v>221520</v>
      </c>
      <c r="L689" s="1">
        <v>1</v>
      </c>
      <c r="M689" s="37">
        <v>221520</v>
      </c>
      <c r="N689" s="1" t="s">
        <v>20155</v>
      </c>
      <c r="O689" s="1" t="s">
        <v>17798</v>
      </c>
      <c r="P689" s="876">
        <v>44273</v>
      </c>
      <c r="Q689" s="466">
        <v>0</v>
      </c>
      <c r="R689" s="466">
        <v>0</v>
      </c>
      <c r="S689" s="466">
        <v>156000</v>
      </c>
      <c r="T689" s="466">
        <v>0</v>
      </c>
      <c r="U689" s="466">
        <v>156000</v>
      </c>
      <c r="V689" s="11" t="s">
        <v>20155</v>
      </c>
      <c r="W689" s="39">
        <v>0</v>
      </c>
      <c r="X689" s="39">
        <v>0</v>
      </c>
      <c r="Y689" s="39">
        <v>221520</v>
      </c>
      <c r="Z689" s="39">
        <v>0</v>
      </c>
      <c r="AA689" s="56">
        <v>0</v>
      </c>
      <c r="AB689" s="56">
        <v>0</v>
      </c>
      <c r="AC689" s="56">
        <v>1.42</v>
      </c>
      <c r="AD689" s="56">
        <v>0</v>
      </c>
      <c r="AE689" s="41">
        <v>0</v>
      </c>
      <c r="AF689" s="42">
        <v>0</v>
      </c>
      <c r="AG689" s="42">
        <v>0</v>
      </c>
      <c r="AH689" s="467">
        <v>0</v>
      </c>
      <c r="AI689" s="467">
        <v>0</v>
      </c>
      <c r="AJ689" s="467">
        <v>1.42</v>
      </c>
      <c r="AK689" s="467">
        <v>0</v>
      </c>
      <c r="AL689" s="44">
        <v>0</v>
      </c>
      <c r="AM689" s="44">
        <v>0</v>
      </c>
      <c r="AN689" s="468" t="s">
        <v>20296</v>
      </c>
      <c r="AO689" s="468">
        <v>0</v>
      </c>
    </row>
    <row r="690" spans="1:41" hidden="1">
      <c r="A690" s="50">
        <v>85</v>
      </c>
      <c r="B690" s="1" t="s">
        <v>20270</v>
      </c>
      <c r="C690" s="50">
        <v>0</v>
      </c>
      <c r="D690" s="464" t="s">
        <v>18424</v>
      </c>
      <c r="E690" s="1" t="s">
        <v>20270</v>
      </c>
      <c r="F690" s="53">
        <v>44267</v>
      </c>
      <c r="G690" s="1">
        <v>2021</v>
      </c>
      <c r="H690" s="1" t="s">
        <v>16838</v>
      </c>
      <c r="I690" s="1" t="s">
        <v>16839</v>
      </c>
      <c r="J690" s="1" t="s">
        <v>3</v>
      </c>
      <c r="K690" s="36">
        <v>385620</v>
      </c>
      <c r="L690" s="1">
        <v>1</v>
      </c>
      <c r="M690" s="37">
        <v>385620</v>
      </c>
      <c r="N690" s="1" t="s">
        <v>20155</v>
      </c>
      <c r="O690" s="1" t="s">
        <v>17949</v>
      </c>
      <c r="P690" s="876">
        <v>44338</v>
      </c>
      <c r="Q690" s="466">
        <v>174840</v>
      </c>
      <c r="R690" s="466">
        <v>51600</v>
      </c>
      <c r="S690" s="466">
        <v>4800</v>
      </c>
      <c r="T690" s="466">
        <v>0</v>
      </c>
      <c r="U690" s="466">
        <v>231240</v>
      </c>
      <c r="V690" s="11" t="s">
        <v>20155</v>
      </c>
      <c r="W690" s="39">
        <v>298524</v>
      </c>
      <c r="X690" s="39">
        <v>80064</v>
      </c>
      <c r="Y690" s="39">
        <v>7032</v>
      </c>
      <c r="Z690" s="39">
        <v>0</v>
      </c>
      <c r="AA690" s="56">
        <v>1.7074124914207276</v>
      </c>
      <c r="AB690" s="56">
        <v>1.5516279069767442</v>
      </c>
      <c r="AC690" s="56">
        <v>1.4650000000000001</v>
      </c>
      <c r="AD690" s="56">
        <v>0</v>
      </c>
      <c r="AE690" s="41">
        <v>0</v>
      </c>
      <c r="AF690" s="42">
        <v>0</v>
      </c>
      <c r="AG690" s="42">
        <v>0</v>
      </c>
      <c r="AH690" s="467">
        <v>1.7074124914207276</v>
      </c>
      <c r="AI690" s="467">
        <v>1.5516279069767442</v>
      </c>
      <c r="AJ690" s="467">
        <v>1.4650000000000001</v>
      </c>
      <c r="AK690" s="467">
        <v>0</v>
      </c>
      <c r="AL690" s="44">
        <v>1</v>
      </c>
      <c r="AM690" s="44" t="s">
        <v>20310</v>
      </c>
      <c r="AN690" s="468" t="s">
        <v>20296</v>
      </c>
      <c r="AO690" s="468">
        <v>0</v>
      </c>
    </row>
    <row r="691" spans="1:41" hidden="1">
      <c r="A691" s="50">
        <v>86</v>
      </c>
      <c r="B691" s="1" t="s">
        <v>20271</v>
      </c>
      <c r="C691" s="50">
        <v>0</v>
      </c>
      <c r="D691" s="464" t="s">
        <v>18425</v>
      </c>
      <c r="E691" s="1" t="s">
        <v>20271</v>
      </c>
      <c r="F691" s="53">
        <v>44267</v>
      </c>
      <c r="G691" s="1">
        <v>2021</v>
      </c>
      <c r="H691" s="1" t="s">
        <v>16957</v>
      </c>
      <c r="I691" s="1" t="s">
        <v>16958</v>
      </c>
      <c r="J691" s="1" t="s">
        <v>16401</v>
      </c>
      <c r="K691" s="36">
        <v>41934.519999999997</v>
      </c>
      <c r="L691" s="1">
        <v>2.7588499999999998</v>
      </c>
      <c r="M691" s="37">
        <v>15200</v>
      </c>
      <c r="N691" s="1" t="s">
        <v>20155</v>
      </c>
      <c r="O691" s="1" t="s">
        <v>20161</v>
      </c>
      <c r="P691" s="876">
        <v>44280</v>
      </c>
      <c r="Q691" s="466">
        <v>20000</v>
      </c>
      <c r="R691" s="466">
        <v>0</v>
      </c>
      <c r="S691" s="466">
        <v>0</v>
      </c>
      <c r="T691" s="466">
        <v>0</v>
      </c>
      <c r="U691" s="466">
        <v>20000</v>
      </c>
      <c r="V691" s="11" t="s">
        <v>20155</v>
      </c>
      <c r="W691" s="39">
        <v>41934.519999999997</v>
      </c>
      <c r="X691" s="39">
        <v>0</v>
      </c>
      <c r="Y691" s="39">
        <v>0</v>
      </c>
      <c r="Z691" s="39">
        <v>0</v>
      </c>
      <c r="AA691" s="56">
        <v>2.0967259999999999</v>
      </c>
      <c r="AB691" s="56">
        <v>0</v>
      </c>
      <c r="AC691" s="56">
        <v>0</v>
      </c>
      <c r="AD691" s="56">
        <v>0</v>
      </c>
      <c r="AE691" s="41">
        <v>1053.42875</v>
      </c>
      <c r="AF691" s="42">
        <v>5328.6949999999997</v>
      </c>
      <c r="AG691" s="42">
        <v>0.26643475</v>
      </c>
      <c r="AH691" s="467">
        <v>1.8302912499999999</v>
      </c>
      <c r="AI691" s="467">
        <v>0</v>
      </c>
      <c r="AJ691" s="467">
        <v>0</v>
      </c>
      <c r="AK691" s="467">
        <v>0</v>
      </c>
      <c r="AL691" s="44">
        <v>1</v>
      </c>
      <c r="AM691" s="44">
        <v>0</v>
      </c>
      <c r="AN691" s="468">
        <v>0</v>
      </c>
      <c r="AO691" s="468">
        <v>0</v>
      </c>
    </row>
    <row r="692" spans="1:41" hidden="1">
      <c r="A692" s="50">
        <v>87</v>
      </c>
      <c r="B692" s="1" t="s">
        <v>20272</v>
      </c>
      <c r="C692" s="50">
        <v>0</v>
      </c>
      <c r="D692" s="464" t="s">
        <v>18426</v>
      </c>
      <c r="E692" s="1" t="s">
        <v>20272</v>
      </c>
      <c r="F692" s="53">
        <v>44267</v>
      </c>
      <c r="G692" s="1">
        <v>2021</v>
      </c>
      <c r="H692" s="1" t="s">
        <v>17017</v>
      </c>
      <c r="I692" s="1" t="s">
        <v>17018</v>
      </c>
      <c r="J692" s="1" t="s">
        <v>3</v>
      </c>
      <c r="K692" s="36">
        <v>1226.7080000000001</v>
      </c>
      <c r="L692" s="1">
        <v>1</v>
      </c>
      <c r="M692" s="37">
        <v>1226.7080000000001</v>
      </c>
      <c r="N692" s="1" t="s">
        <v>20155</v>
      </c>
      <c r="O692" s="1" t="s">
        <v>17238</v>
      </c>
      <c r="P692" s="876">
        <v>44280</v>
      </c>
      <c r="Q692" s="466">
        <v>0</v>
      </c>
      <c r="R692" s="466">
        <v>635.6</v>
      </c>
      <c r="S692" s="466">
        <v>0</v>
      </c>
      <c r="T692" s="466">
        <v>0</v>
      </c>
      <c r="U692" s="466">
        <v>635.6</v>
      </c>
      <c r="V692" s="11" t="s">
        <v>20155</v>
      </c>
      <c r="W692" s="39">
        <v>0</v>
      </c>
      <c r="X692" s="39">
        <v>1226.7080000000001</v>
      </c>
      <c r="Y692" s="39">
        <v>0</v>
      </c>
      <c r="Z692" s="39">
        <v>0</v>
      </c>
      <c r="AA692" s="56">
        <v>0</v>
      </c>
      <c r="AB692" s="56">
        <v>1.9300000000000002</v>
      </c>
      <c r="AC692" s="56">
        <v>0</v>
      </c>
      <c r="AD692" s="56">
        <v>0</v>
      </c>
      <c r="AE692" s="41">
        <v>0</v>
      </c>
      <c r="AF692" s="42">
        <v>0</v>
      </c>
      <c r="AG692" s="42">
        <v>0</v>
      </c>
      <c r="AH692" s="467">
        <v>0</v>
      </c>
      <c r="AI692" s="467">
        <v>1.9300000000000002</v>
      </c>
      <c r="AJ692" s="467">
        <v>0</v>
      </c>
      <c r="AK692" s="467">
        <v>0</v>
      </c>
      <c r="AL692" s="44">
        <v>0</v>
      </c>
      <c r="AM692" s="44">
        <v>1</v>
      </c>
      <c r="AN692" s="468">
        <v>0</v>
      </c>
      <c r="AO692" s="468">
        <v>0</v>
      </c>
    </row>
    <row r="693" spans="1:41" hidden="1">
      <c r="A693" s="50">
        <v>88</v>
      </c>
      <c r="B693" s="1" t="s">
        <v>20273</v>
      </c>
      <c r="C693" s="50">
        <v>0</v>
      </c>
      <c r="D693" s="464" t="s">
        <v>18427</v>
      </c>
      <c r="E693" s="1" t="s">
        <v>20273</v>
      </c>
      <c r="F693" s="53">
        <v>44267</v>
      </c>
      <c r="G693" s="1">
        <v>2021</v>
      </c>
      <c r="H693" s="1" t="s">
        <v>16444</v>
      </c>
      <c r="I693" s="1" t="s">
        <v>16445</v>
      </c>
      <c r="J693" s="1" t="s">
        <v>3</v>
      </c>
      <c r="K693" s="36">
        <v>202176</v>
      </c>
      <c r="L693" s="1">
        <v>1</v>
      </c>
      <c r="M693" s="37">
        <v>202176</v>
      </c>
      <c r="N693" s="1" t="s">
        <v>20155</v>
      </c>
      <c r="O693" s="1" t="s">
        <v>17798</v>
      </c>
      <c r="P693" s="876">
        <v>44278</v>
      </c>
      <c r="Q693" s="466">
        <v>115200</v>
      </c>
      <c r="R693" s="466">
        <v>0</v>
      </c>
      <c r="S693" s="466">
        <v>0</v>
      </c>
      <c r="T693" s="466">
        <v>0</v>
      </c>
      <c r="U693" s="466">
        <v>115200</v>
      </c>
      <c r="V693" s="11" t="s">
        <v>20155</v>
      </c>
      <c r="W693" s="39">
        <v>202176</v>
      </c>
      <c r="X693" s="39">
        <v>0</v>
      </c>
      <c r="Y693" s="39">
        <v>0</v>
      </c>
      <c r="Z693" s="39">
        <v>0</v>
      </c>
      <c r="AA693" s="56">
        <v>1.7549999999999999</v>
      </c>
      <c r="AB693" s="56">
        <v>0</v>
      </c>
      <c r="AC693" s="56">
        <v>0</v>
      </c>
      <c r="AD693" s="56">
        <v>0</v>
      </c>
      <c r="AE693" s="41">
        <v>0</v>
      </c>
      <c r="AF693" s="42">
        <v>0</v>
      </c>
      <c r="AG693" s="42">
        <v>0</v>
      </c>
      <c r="AH693" s="467">
        <v>1.7549999999999999</v>
      </c>
      <c r="AI693" s="467">
        <v>0</v>
      </c>
      <c r="AJ693" s="467">
        <v>0</v>
      </c>
      <c r="AK693" s="467">
        <v>0</v>
      </c>
      <c r="AL693" s="44">
        <v>1</v>
      </c>
      <c r="AM693" s="44">
        <v>0</v>
      </c>
      <c r="AN693" s="468">
        <v>0</v>
      </c>
      <c r="AO693" s="468">
        <v>0</v>
      </c>
    </row>
    <row r="694" spans="1:41" hidden="1">
      <c r="A694" s="50">
        <v>89</v>
      </c>
      <c r="B694" s="1" t="s">
        <v>20274</v>
      </c>
      <c r="C694" s="50">
        <v>0</v>
      </c>
      <c r="D694" s="464" t="s">
        <v>18428</v>
      </c>
      <c r="E694" s="1" t="s">
        <v>20274</v>
      </c>
      <c r="F694" s="53">
        <v>44267</v>
      </c>
      <c r="G694" s="1">
        <v>2021</v>
      </c>
      <c r="H694" s="1" t="s">
        <v>16783</v>
      </c>
      <c r="I694" s="1" t="s">
        <v>16784</v>
      </c>
      <c r="J694" s="1" t="s">
        <v>16401</v>
      </c>
      <c r="K694" s="36">
        <v>214288.9265</v>
      </c>
      <c r="L694" s="1">
        <v>2.75075</v>
      </c>
      <c r="M694" s="37">
        <v>77902</v>
      </c>
      <c r="N694" s="1" t="s">
        <v>20155</v>
      </c>
      <c r="O694" s="1" t="s">
        <v>17939</v>
      </c>
      <c r="P694" s="876">
        <v>44277</v>
      </c>
      <c r="Q694" s="466">
        <v>0</v>
      </c>
      <c r="R694" s="466">
        <v>0</v>
      </c>
      <c r="S694" s="466">
        <v>0</v>
      </c>
      <c r="T694" s="466">
        <v>65100</v>
      </c>
      <c r="U694" s="466">
        <v>65100</v>
      </c>
      <c r="V694" s="11" t="s">
        <v>20155</v>
      </c>
      <c r="W694" s="39">
        <v>0</v>
      </c>
      <c r="X694" s="39">
        <v>0</v>
      </c>
      <c r="Y694" s="39">
        <v>0</v>
      </c>
      <c r="Z694" s="39">
        <v>214288.92649999997</v>
      </c>
      <c r="AA694" s="56">
        <v>0</v>
      </c>
      <c r="AB694" s="56">
        <v>0</v>
      </c>
      <c r="AC694" s="56">
        <v>0</v>
      </c>
      <c r="AD694" s="56">
        <v>3.2916885791090627</v>
      </c>
      <c r="AE694" s="41">
        <v>0</v>
      </c>
      <c r="AF694" s="42">
        <v>0</v>
      </c>
      <c r="AG694" s="42">
        <v>0</v>
      </c>
      <c r="AH694" s="467">
        <v>0</v>
      </c>
      <c r="AI694" s="467">
        <v>0</v>
      </c>
      <c r="AJ694" s="467">
        <v>0</v>
      </c>
      <c r="AK694" s="467">
        <v>3.2916885791090627</v>
      </c>
      <c r="AL694" s="44">
        <v>0</v>
      </c>
      <c r="AM694" s="44">
        <v>0</v>
      </c>
      <c r="AN694" s="468">
        <v>0</v>
      </c>
      <c r="AO694" s="468">
        <v>1</v>
      </c>
    </row>
    <row r="695" spans="1:41" hidden="1">
      <c r="A695" s="50">
        <v>90</v>
      </c>
      <c r="B695" s="1" t="s">
        <v>20275</v>
      </c>
      <c r="C695" s="50">
        <v>0</v>
      </c>
      <c r="D695" s="464" t="s">
        <v>18429</v>
      </c>
      <c r="E695" s="1" t="s">
        <v>20275</v>
      </c>
      <c r="F695" s="53">
        <v>44267</v>
      </c>
      <c r="G695" s="1">
        <v>2021</v>
      </c>
      <c r="H695" s="1" t="s">
        <v>16872</v>
      </c>
      <c r="I695" s="1" t="s">
        <v>16873</v>
      </c>
      <c r="J695" s="1" t="s">
        <v>16401</v>
      </c>
      <c r="K695" s="36">
        <v>39781.839599999999</v>
      </c>
      <c r="L695" s="1">
        <v>2.7875999999999999</v>
      </c>
      <c r="M695" s="37">
        <v>14271</v>
      </c>
      <c r="N695" s="1" t="s">
        <v>20155</v>
      </c>
      <c r="O695" s="1" t="s">
        <v>20169</v>
      </c>
      <c r="P695" s="876">
        <v>44287</v>
      </c>
      <c r="Q695" s="466">
        <v>12000</v>
      </c>
      <c r="R695" s="466">
        <v>3150</v>
      </c>
      <c r="S695" s="466">
        <v>0</v>
      </c>
      <c r="T695" s="466">
        <v>0</v>
      </c>
      <c r="U695" s="466">
        <v>15150</v>
      </c>
      <c r="V695" s="11" t="s">
        <v>20155</v>
      </c>
      <c r="W695" s="39">
        <v>29771.567999999999</v>
      </c>
      <c r="X695" s="39">
        <v>10010.2716</v>
      </c>
      <c r="Y695" s="39">
        <v>0</v>
      </c>
      <c r="Z695" s="39">
        <v>0</v>
      </c>
      <c r="AA695" s="56">
        <v>2.4809639999999997</v>
      </c>
      <c r="AB695" s="56">
        <v>3.177864</v>
      </c>
      <c r="AC695" s="56">
        <v>0</v>
      </c>
      <c r="AD695" s="56">
        <v>0</v>
      </c>
      <c r="AE695" s="41">
        <v>0</v>
      </c>
      <c r="AF695" s="42">
        <v>1388.68</v>
      </c>
      <c r="AG695" s="42">
        <v>9.166204620462047E-2</v>
      </c>
      <c r="AH695" s="467">
        <v>2.3893019537953792</v>
      </c>
      <c r="AI695" s="467">
        <v>3.0862019537953795</v>
      </c>
      <c r="AJ695" s="467">
        <v>0</v>
      </c>
      <c r="AK695" s="467">
        <v>0</v>
      </c>
      <c r="AL695" s="44">
        <v>1</v>
      </c>
      <c r="AM695" s="44">
        <v>1</v>
      </c>
      <c r="AN695" s="468">
        <v>0</v>
      </c>
      <c r="AO695" s="468">
        <v>0</v>
      </c>
    </row>
    <row r="696" spans="1:41" hidden="1">
      <c r="A696" s="50">
        <v>91</v>
      </c>
      <c r="B696" s="1" t="s">
        <v>20276</v>
      </c>
      <c r="C696" s="50">
        <v>0</v>
      </c>
      <c r="D696" s="464" t="s">
        <v>18430</v>
      </c>
      <c r="E696" s="1" t="s">
        <v>20276</v>
      </c>
      <c r="F696" s="53">
        <v>44267</v>
      </c>
      <c r="G696" s="1">
        <v>2021</v>
      </c>
      <c r="H696" s="1" t="s">
        <v>16972</v>
      </c>
      <c r="I696" s="1" t="s">
        <v>16973</v>
      </c>
      <c r="J696" s="1" t="s">
        <v>3</v>
      </c>
      <c r="K696" s="36">
        <v>140000</v>
      </c>
      <c r="L696" s="1">
        <v>1</v>
      </c>
      <c r="M696" s="37">
        <v>140000</v>
      </c>
      <c r="N696" s="1" t="s">
        <v>20155</v>
      </c>
      <c r="O696" s="1" t="s">
        <v>17801</v>
      </c>
      <c r="P696" s="876">
        <v>44274</v>
      </c>
      <c r="Q696" s="466">
        <v>0</v>
      </c>
      <c r="R696" s="466">
        <v>100000</v>
      </c>
      <c r="S696" s="466">
        <v>0</v>
      </c>
      <c r="T696" s="466">
        <v>0</v>
      </c>
      <c r="U696" s="466">
        <v>100000</v>
      </c>
      <c r="V696" s="11" t="s">
        <v>20155</v>
      </c>
      <c r="W696" s="39">
        <v>0</v>
      </c>
      <c r="X696" s="39">
        <v>140000</v>
      </c>
      <c r="Y696" s="39">
        <v>0</v>
      </c>
      <c r="Z696" s="39">
        <v>0</v>
      </c>
      <c r="AA696" s="56">
        <v>0</v>
      </c>
      <c r="AB696" s="56">
        <v>1.4</v>
      </c>
      <c r="AC696" s="56">
        <v>0</v>
      </c>
      <c r="AD696" s="56">
        <v>0</v>
      </c>
      <c r="AE696" s="41">
        <v>0</v>
      </c>
      <c r="AF696" s="42">
        <v>0</v>
      </c>
      <c r="AG696" s="42">
        <v>0</v>
      </c>
      <c r="AH696" s="467">
        <v>0</v>
      </c>
      <c r="AI696" s="467">
        <v>1.4</v>
      </c>
      <c r="AJ696" s="467">
        <v>0</v>
      </c>
      <c r="AK696" s="467">
        <v>0</v>
      </c>
      <c r="AL696" s="44">
        <v>0</v>
      </c>
      <c r="AM696" s="44" t="s">
        <v>20300</v>
      </c>
      <c r="AN696" s="468">
        <v>0</v>
      </c>
      <c r="AO696" s="468">
        <v>0</v>
      </c>
    </row>
    <row r="697" spans="1:41" hidden="1">
      <c r="A697" s="50">
        <v>92</v>
      </c>
      <c r="B697" s="1" t="s">
        <v>20277</v>
      </c>
      <c r="C697" s="50">
        <v>0</v>
      </c>
      <c r="D697" s="464" t="s">
        <v>18431</v>
      </c>
      <c r="E697" s="1" t="s">
        <v>20277</v>
      </c>
      <c r="F697" s="53">
        <v>44272</v>
      </c>
      <c r="G697" s="1">
        <v>2021</v>
      </c>
      <c r="H697" s="1" t="s">
        <v>17233</v>
      </c>
      <c r="I697" s="1" t="s">
        <v>17234</v>
      </c>
      <c r="J697" s="1" t="s">
        <v>16401</v>
      </c>
      <c r="K697" s="36">
        <v>1734259.851</v>
      </c>
      <c r="L697" s="1">
        <v>2.75075</v>
      </c>
      <c r="M697" s="37">
        <v>630468</v>
      </c>
      <c r="N697" s="1" t="s">
        <v>20155</v>
      </c>
      <c r="O697" s="1" t="s">
        <v>17939</v>
      </c>
      <c r="P697" s="876">
        <v>44281</v>
      </c>
      <c r="Q697" s="466">
        <v>0</v>
      </c>
      <c r="R697" s="466">
        <v>550444.80000000005</v>
      </c>
      <c r="S697" s="466">
        <v>450355.20000000001</v>
      </c>
      <c r="T697" s="466">
        <v>0</v>
      </c>
      <c r="U697" s="466">
        <v>1000800</v>
      </c>
      <c r="V697" s="11" t="s">
        <v>20155</v>
      </c>
      <c r="W697" s="39">
        <v>0</v>
      </c>
      <c r="X697" s="39">
        <v>953851.23584305064</v>
      </c>
      <c r="Y697" s="39">
        <v>780408.61515694926</v>
      </c>
      <c r="Z697" s="39">
        <v>0</v>
      </c>
      <c r="AA697" s="56">
        <v>0</v>
      </c>
      <c r="AB697" s="56">
        <v>1.7328735521582737</v>
      </c>
      <c r="AC697" s="56">
        <v>1.7328735521582725</v>
      </c>
      <c r="AD697" s="56">
        <v>0</v>
      </c>
      <c r="AE697" s="41">
        <v>49356.72</v>
      </c>
      <c r="AF697" s="42">
        <v>139365.04</v>
      </c>
      <c r="AG697" s="42">
        <v>0.13925363709032776</v>
      </c>
      <c r="AH697" s="467">
        <v>0</v>
      </c>
      <c r="AI697" s="467">
        <v>1.593619915067946</v>
      </c>
      <c r="AJ697" s="467">
        <v>1.5936199150679449</v>
      </c>
      <c r="AK697" s="467">
        <v>0</v>
      </c>
      <c r="AL697" s="44">
        <v>0</v>
      </c>
      <c r="AM697" s="44" t="s">
        <v>20311</v>
      </c>
      <c r="AN697" s="468" t="s">
        <v>20311</v>
      </c>
      <c r="AO697" s="468">
        <v>0</v>
      </c>
    </row>
    <row r="698" spans="1:41" hidden="1">
      <c r="A698" s="50">
        <v>93</v>
      </c>
      <c r="B698" s="1" t="s">
        <v>20278</v>
      </c>
      <c r="C698" s="50">
        <v>0</v>
      </c>
      <c r="D698" s="464" t="s">
        <v>18432</v>
      </c>
      <c r="E698" s="1" t="s">
        <v>20278</v>
      </c>
      <c r="F698" s="53">
        <v>44272</v>
      </c>
      <c r="G698" s="1">
        <v>2021</v>
      </c>
      <c r="H698" s="1" t="s">
        <v>17287</v>
      </c>
      <c r="I698" s="1" t="s">
        <v>17288</v>
      </c>
      <c r="J698" s="1" t="s">
        <v>3</v>
      </c>
      <c r="K698" s="36">
        <v>99072</v>
      </c>
      <c r="L698" s="1">
        <v>1</v>
      </c>
      <c r="M698" s="37">
        <v>99072</v>
      </c>
      <c r="N698" s="1" t="s">
        <v>20155</v>
      </c>
      <c r="O698" s="1" t="s">
        <v>17798</v>
      </c>
      <c r="P698" s="876">
        <v>44301</v>
      </c>
      <c r="Q698" s="466">
        <v>57600</v>
      </c>
      <c r="R698" s="466">
        <v>0</v>
      </c>
      <c r="S698" s="466">
        <v>0</v>
      </c>
      <c r="T698" s="466">
        <v>0</v>
      </c>
      <c r="U698" s="466">
        <v>57600</v>
      </c>
      <c r="V698" s="11" t="s">
        <v>20155</v>
      </c>
      <c r="W698" s="39">
        <v>99072</v>
      </c>
      <c r="X698" s="39">
        <v>0</v>
      </c>
      <c r="Y698" s="39">
        <v>0</v>
      </c>
      <c r="Z698" s="39">
        <v>0</v>
      </c>
      <c r="AA698" s="56">
        <v>1.72</v>
      </c>
      <c r="AB698" s="56">
        <v>0</v>
      </c>
      <c r="AC698" s="56">
        <v>0</v>
      </c>
      <c r="AD698" s="56">
        <v>0</v>
      </c>
      <c r="AE698" s="41">
        <v>0</v>
      </c>
      <c r="AF698" s="42">
        <v>0</v>
      </c>
      <c r="AG698" s="42">
        <v>0</v>
      </c>
      <c r="AH698" s="467">
        <v>1.72</v>
      </c>
      <c r="AI698" s="467">
        <v>0</v>
      </c>
      <c r="AJ698" s="467">
        <v>0</v>
      </c>
      <c r="AK698" s="467">
        <v>0</v>
      </c>
      <c r="AL698" s="44">
        <v>1</v>
      </c>
      <c r="AM698" s="44">
        <v>0</v>
      </c>
      <c r="AN698" s="468">
        <v>0</v>
      </c>
      <c r="AO698" s="468">
        <v>0</v>
      </c>
    </row>
    <row r="699" spans="1:41" hidden="1">
      <c r="A699" s="50">
        <v>94</v>
      </c>
      <c r="B699" s="1" t="s">
        <v>20279</v>
      </c>
      <c r="C699" s="50">
        <v>0</v>
      </c>
      <c r="D699" s="464" t="s">
        <v>18433</v>
      </c>
      <c r="E699" s="1" t="s">
        <v>20279</v>
      </c>
      <c r="F699" s="53">
        <v>44280</v>
      </c>
      <c r="G699" s="1">
        <v>2021</v>
      </c>
      <c r="H699" s="1" t="s">
        <v>16470</v>
      </c>
      <c r="I699" s="1" t="s">
        <v>16471</v>
      </c>
      <c r="J699" s="1" t="s">
        <v>16401</v>
      </c>
      <c r="K699" s="36">
        <v>571207.63473000005</v>
      </c>
      <c r="L699" s="1">
        <v>2.7827500000000001</v>
      </c>
      <c r="M699" s="37">
        <v>205267.32</v>
      </c>
      <c r="N699" s="1" t="s">
        <v>20155</v>
      </c>
      <c r="O699" s="1" t="s">
        <v>20159</v>
      </c>
      <c r="P699" s="876">
        <v>44286</v>
      </c>
      <c r="Q699" s="466">
        <v>26496</v>
      </c>
      <c r="R699" s="466">
        <v>309408</v>
      </c>
      <c r="S699" s="466">
        <v>0</v>
      </c>
      <c r="T699" s="466">
        <v>0</v>
      </c>
      <c r="U699" s="466">
        <v>335904</v>
      </c>
      <c r="V699" s="11" t="s">
        <v>20231</v>
      </c>
      <c r="W699" s="39">
        <v>51971.271421491838</v>
      </c>
      <c r="X699" s="39">
        <v>519236.36330850801</v>
      </c>
      <c r="Y699" s="39">
        <v>0</v>
      </c>
      <c r="Z699" s="39">
        <v>0</v>
      </c>
      <c r="AA699" s="56">
        <v>1.9614761255092028</v>
      </c>
      <c r="AB699" s="56">
        <v>1.6781607563751035</v>
      </c>
      <c r="AC699" s="56">
        <v>0</v>
      </c>
      <c r="AD699" s="56">
        <v>0</v>
      </c>
      <c r="AE699" s="41">
        <v>48087.72</v>
      </c>
      <c r="AF699" s="42">
        <v>134894.06</v>
      </c>
      <c r="AG699" s="42">
        <v>0.40158515528246164</v>
      </c>
      <c r="AH699" s="467">
        <v>1.5598909702267412</v>
      </c>
      <c r="AI699" s="467">
        <v>1.2765756010926419</v>
      </c>
      <c r="AJ699" s="467">
        <v>0</v>
      </c>
      <c r="AK699" s="467">
        <v>0</v>
      </c>
      <c r="AL699" s="44">
        <v>1</v>
      </c>
      <c r="AM699" s="44" t="s">
        <v>20296</v>
      </c>
      <c r="AN699" s="468">
        <v>0</v>
      </c>
      <c r="AO699" s="468">
        <v>0</v>
      </c>
    </row>
    <row r="700" spans="1:41" hidden="1">
      <c r="A700" s="50">
        <v>95</v>
      </c>
      <c r="B700" s="1" t="s">
        <v>20280</v>
      </c>
      <c r="C700" s="50">
        <v>0</v>
      </c>
      <c r="D700" s="464" t="s">
        <v>18434</v>
      </c>
      <c r="E700" s="1" t="s">
        <v>20280</v>
      </c>
      <c r="F700" s="53">
        <v>44282</v>
      </c>
      <c r="G700" s="1">
        <v>2021</v>
      </c>
      <c r="H700" s="1" t="s">
        <v>16838</v>
      </c>
      <c r="I700" s="1" t="s">
        <v>16839</v>
      </c>
      <c r="J700" s="1" t="s">
        <v>3</v>
      </c>
      <c r="K700" s="36">
        <v>124125.12</v>
      </c>
      <c r="L700" s="1">
        <v>1</v>
      </c>
      <c r="M700" s="37">
        <v>124125.12</v>
      </c>
      <c r="N700" s="1" t="s">
        <v>20155</v>
      </c>
      <c r="O700" s="1" t="s">
        <v>17798</v>
      </c>
      <c r="P700" s="876">
        <v>44292</v>
      </c>
      <c r="Q700" s="466">
        <v>0</v>
      </c>
      <c r="R700" s="466">
        <v>88032</v>
      </c>
      <c r="S700" s="466">
        <v>0</v>
      </c>
      <c r="T700" s="466">
        <v>0</v>
      </c>
      <c r="U700" s="466">
        <v>88032</v>
      </c>
      <c r="V700" s="11" t="s">
        <v>20155</v>
      </c>
      <c r="W700" s="39">
        <v>0</v>
      </c>
      <c r="X700" s="39">
        <v>124125.12</v>
      </c>
      <c r="Y700" s="39">
        <v>0</v>
      </c>
      <c r="Z700" s="39">
        <v>0</v>
      </c>
      <c r="AA700" s="56">
        <v>0</v>
      </c>
      <c r="AB700" s="56">
        <v>1.41</v>
      </c>
      <c r="AC700" s="56">
        <v>0</v>
      </c>
      <c r="AD700" s="56">
        <v>0</v>
      </c>
      <c r="AE700" s="41">
        <v>0</v>
      </c>
      <c r="AF700" s="42">
        <v>0</v>
      </c>
      <c r="AG700" s="42">
        <v>0</v>
      </c>
      <c r="AH700" s="467">
        <v>0</v>
      </c>
      <c r="AI700" s="467">
        <v>1.41</v>
      </c>
      <c r="AJ700" s="467">
        <v>0</v>
      </c>
      <c r="AK700" s="467">
        <v>0</v>
      </c>
      <c r="AL700" s="44">
        <v>0</v>
      </c>
      <c r="AM700" s="44" t="s">
        <v>20296</v>
      </c>
      <c r="AN700" s="468">
        <v>0</v>
      </c>
      <c r="AO700" s="468">
        <v>0</v>
      </c>
    </row>
    <row r="701" spans="1:41" hidden="1">
      <c r="A701" s="50">
        <v>96</v>
      </c>
      <c r="B701" s="1" t="s">
        <v>20281</v>
      </c>
      <c r="C701" s="50">
        <v>0</v>
      </c>
      <c r="D701" s="464" t="s">
        <v>18435</v>
      </c>
      <c r="E701" s="1" t="s">
        <v>20281</v>
      </c>
      <c r="F701" s="53">
        <v>44282</v>
      </c>
      <c r="G701" s="1">
        <v>2021</v>
      </c>
      <c r="H701" s="1" t="s">
        <v>16560</v>
      </c>
      <c r="I701" s="1" t="s">
        <v>16561</v>
      </c>
      <c r="J701" s="1" t="s">
        <v>16482</v>
      </c>
      <c r="K701" s="36">
        <v>163799.92799999999</v>
      </c>
      <c r="L701" s="1">
        <v>3.2970999999999999</v>
      </c>
      <c r="M701" s="37">
        <v>49680</v>
      </c>
      <c r="N701" s="1" t="s">
        <v>20155</v>
      </c>
      <c r="O701" s="1" t="s">
        <v>17801</v>
      </c>
      <c r="P701" s="876">
        <v>44302</v>
      </c>
      <c r="Q701" s="466">
        <v>0</v>
      </c>
      <c r="R701" s="466">
        <v>0</v>
      </c>
      <c r="S701" s="466">
        <v>108000</v>
      </c>
      <c r="T701" s="466">
        <v>0</v>
      </c>
      <c r="U701" s="466">
        <v>108000</v>
      </c>
      <c r="V701" s="11" t="s">
        <v>20155</v>
      </c>
      <c r="W701" s="39">
        <v>0</v>
      </c>
      <c r="X701" s="39">
        <v>0</v>
      </c>
      <c r="Y701" s="39">
        <v>163799.92800000001</v>
      </c>
      <c r="Z701" s="39">
        <v>0</v>
      </c>
      <c r="AA701" s="56">
        <v>0</v>
      </c>
      <c r="AB701" s="56">
        <v>0</v>
      </c>
      <c r="AC701" s="56">
        <v>1.5166660000000001</v>
      </c>
      <c r="AD701" s="56">
        <v>0</v>
      </c>
      <c r="AE701" s="41">
        <v>8354.3040000000001</v>
      </c>
      <c r="AF701" s="42">
        <v>25422.6</v>
      </c>
      <c r="AG701" s="42">
        <v>0.23539444444444443</v>
      </c>
      <c r="AH701" s="467">
        <v>0</v>
      </c>
      <c r="AI701" s="467">
        <v>0</v>
      </c>
      <c r="AJ701" s="467">
        <v>1.2812715555555556</v>
      </c>
      <c r="AK701" s="467">
        <v>0</v>
      </c>
      <c r="AL701" s="44">
        <v>0</v>
      </c>
      <c r="AM701" s="44">
        <v>0</v>
      </c>
      <c r="AN701" s="468" t="s">
        <v>20300</v>
      </c>
      <c r="AO701" s="468">
        <v>0</v>
      </c>
    </row>
    <row r="702" spans="1:41" hidden="1">
      <c r="A702" s="50">
        <v>97</v>
      </c>
      <c r="B702" s="1" t="s">
        <v>20282</v>
      </c>
      <c r="C702" s="50">
        <v>0</v>
      </c>
      <c r="D702" s="464" t="s">
        <v>18436</v>
      </c>
      <c r="E702" s="1" t="s">
        <v>20282</v>
      </c>
      <c r="F702" s="53">
        <v>44282</v>
      </c>
      <c r="G702" s="1">
        <v>2021</v>
      </c>
      <c r="H702" s="1" t="s">
        <v>16560</v>
      </c>
      <c r="I702" s="1" t="s">
        <v>16561</v>
      </c>
      <c r="J702" s="1" t="s">
        <v>16482</v>
      </c>
      <c r="K702" s="36">
        <v>163901.772</v>
      </c>
      <c r="L702" s="1">
        <v>3.29915</v>
      </c>
      <c r="M702" s="37">
        <v>49680</v>
      </c>
      <c r="N702" s="1" t="s">
        <v>20155</v>
      </c>
      <c r="O702" s="1" t="s">
        <v>17801</v>
      </c>
      <c r="P702" s="876">
        <v>44303</v>
      </c>
      <c r="Q702" s="466">
        <v>0</v>
      </c>
      <c r="R702" s="466">
        <v>0</v>
      </c>
      <c r="S702" s="466">
        <v>108000</v>
      </c>
      <c r="T702" s="466">
        <v>0</v>
      </c>
      <c r="U702" s="466">
        <v>108000</v>
      </c>
      <c r="V702" s="11" t="s">
        <v>20155</v>
      </c>
      <c r="W702" s="39">
        <v>0</v>
      </c>
      <c r="X702" s="39">
        <v>0</v>
      </c>
      <c r="Y702" s="39">
        <v>163901.772</v>
      </c>
      <c r="Z702" s="39">
        <v>0</v>
      </c>
      <c r="AA702" s="56">
        <v>0</v>
      </c>
      <c r="AB702" s="56">
        <v>0</v>
      </c>
      <c r="AC702" s="56">
        <v>1.517609</v>
      </c>
      <c r="AD702" s="56">
        <v>0</v>
      </c>
      <c r="AE702" s="41">
        <v>8354.3040000000001</v>
      </c>
      <c r="AF702" s="42">
        <v>25422.6</v>
      </c>
      <c r="AG702" s="42">
        <v>0.23539444444444443</v>
      </c>
      <c r="AH702" s="467">
        <v>0</v>
      </c>
      <c r="AI702" s="467">
        <v>0</v>
      </c>
      <c r="AJ702" s="467">
        <v>1.2822145555555555</v>
      </c>
      <c r="AK702" s="467">
        <v>0</v>
      </c>
      <c r="AL702" s="44">
        <v>0</v>
      </c>
      <c r="AM702" s="44">
        <v>0</v>
      </c>
      <c r="AN702" s="468" t="s">
        <v>20300</v>
      </c>
      <c r="AO702" s="468">
        <v>0</v>
      </c>
    </row>
    <row r="703" spans="1:41" hidden="1">
      <c r="A703" s="50">
        <v>98</v>
      </c>
      <c r="B703" s="1" t="s">
        <v>20283</v>
      </c>
      <c r="C703" s="50">
        <v>0</v>
      </c>
      <c r="D703" s="464" t="s">
        <v>18437</v>
      </c>
      <c r="E703" s="1" t="s">
        <v>20283</v>
      </c>
      <c r="F703" s="53">
        <v>44282</v>
      </c>
      <c r="G703" s="1">
        <v>2021</v>
      </c>
      <c r="H703" s="1" t="s">
        <v>16560</v>
      </c>
      <c r="I703" s="1" t="s">
        <v>16561</v>
      </c>
      <c r="J703" s="1" t="s">
        <v>16482</v>
      </c>
      <c r="K703" s="36">
        <v>163971.32399999999</v>
      </c>
      <c r="L703" s="1">
        <v>3.3005499999999999</v>
      </c>
      <c r="M703" s="37">
        <v>49680</v>
      </c>
      <c r="N703" s="1" t="s">
        <v>20155</v>
      </c>
      <c r="O703" s="1" t="s">
        <v>17801</v>
      </c>
      <c r="P703" s="876">
        <v>44305</v>
      </c>
      <c r="Q703" s="466">
        <v>0</v>
      </c>
      <c r="R703" s="466">
        <v>0</v>
      </c>
      <c r="S703" s="466">
        <v>108000</v>
      </c>
      <c r="T703" s="466">
        <v>0</v>
      </c>
      <c r="U703" s="466">
        <v>108000</v>
      </c>
      <c r="V703" s="11" t="s">
        <v>20155</v>
      </c>
      <c r="W703" s="39">
        <v>0</v>
      </c>
      <c r="X703" s="39">
        <v>0</v>
      </c>
      <c r="Y703" s="39">
        <v>163971.32399999999</v>
      </c>
      <c r="Z703" s="39">
        <v>0</v>
      </c>
      <c r="AA703" s="56">
        <v>0</v>
      </c>
      <c r="AB703" s="56">
        <v>0</v>
      </c>
      <c r="AC703" s="56">
        <v>1.5182529999999999</v>
      </c>
      <c r="AD703" s="56">
        <v>0</v>
      </c>
      <c r="AE703" s="41">
        <v>8354.3040000000001</v>
      </c>
      <c r="AF703" s="42">
        <v>25422.6</v>
      </c>
      <c r="AG703" s="42">
        <v>0.23539444444444443</v>
      </c>
      <c r="AH703" s="467">
        <v>0</v>
      </c>
      <c r="AI703" s="467">
        <v>0</v>
      </c>
      <c r="AJ703" s="467">
        <v>1.2828585555555554</v>
      </c>
      <c r="AK703" s="467">
        <v>0</v>
      </c>
      <c r="AL703" s="44">
        <v>0</v>
      </c>
      <c r="AM703" s="44">
        <v>0</v>
      </c>
      <c r="AN703" s="468" t="s">
        <v>20300</v>
      </c>
      <c r="AO703" s="468">
        <v>0</v>
      </c>
    </row>
    <row r="704" spans="1:41" hidden="1">
      <c r="A704" s="50">
        <v>99</v>
      </c>
      <c r="B704" s="1" t="s">
        <v>20284</v>
      </c>
      <c r="C704" s="50">
        <v>0</v>
      </c>
      <c r="D704" s="464" t="s">
        <v>18438</v>
      </c>
      <c r="E704" s="1" t="s">
        <v>20284</v>
      </c>
      <c r="F704" s="53">
        <v>44282</v>
      </c>
      <c r="G704" s="1">
        <v>2021</v>
      </c>
      <c r="H704" s="1" t="s">
        <v>16384</v>
      </c>
      <c r="I704" s="1" t="s">
        <v>16385</v>
      </c>
      <c r="J704" s="1" t="s">
        <v>3</v>
      </c>
      <c r="K704" s="36">
        <v>383600</v>
      </c>
      <c r="L704" s="1">
        <v>1</v>
      </c>
      <c r="M704" s="37">
        <v>383600</v>
      </c>
      <c r="N704" s="1" t="s">
        <v>20155</v>
      </c>
      <c r="O704" s="1" t="s">
        <v>17261</v>
      </c>
      <c r="P704" s="876">
        <v>44296</v>
      </c>
      <c r="Q704" s="466">
        <v>0</v>
      </c>
      <c r="R704" s="466">
        <v>0</v>
      </c>
      <c r="S704" s="466">
        <v>280000</v>
      </c>
      <c r="T704" s="466">
        <v>0</v>
      </c>
      <c r="U704" s="466">
        <v>280000</v>
      </c>
      <c r="V704" s="11" t="s">
        <v>20155</v>
      </c>
      <c r="W704" s="39">
        <v>0</v>
      </c>
      <c r="X704" s="39">
        <v>0</v>
      </c>
      <c r="Y704" s="39">
        <v>383600</v>
      </c>
      <c r="Z704" s="39">
        <v>0</v>
      </c>
      <c r="AA704" s="56">
        <v>0</v>
      </c>
      <c r="AB704" s="56">
        <v>0</v>
      </c>
      <c r="AC704" s="56">
        <v>1.37</v>
      </c>
      <c r="AD704" s="56">
        <v>0</v>
      </c>
      <c r="AE704" s="41">
        <v>0</v>
      </c>
      <c r="AF704" s="42">
        <v>0</v>
      </c>
      <c r="AG704" s="42">
        <v>0</v>
      </c>
      <c r="AH704" s="467">
        <v>0</v>
      </c>
      <c r="AI704" s="467">
        <v>0</v>
      </c>
      <c r="AJ704" s="467">
        <v>1.37</v>
      </c>
      <c r="AK704" s="467">
        <v>0</v>
      </c>
      <c r="AL704" s="44">
        <v>0</v>
      </c>
      <c r="AM704" s="44">
        <v>0</v>
      </c>
      <c r="AN704" s="468" t="s">
        <v>20300</v>
      </c>
      <c r="AO704" s="468">
        <v>0</v>
      </c>
    </row>
    <row r="705" spans="1:41" hidden="1">
      <c r="A705" s="50">
        <v>100</v>
      </c>
      <c r="B705" s="1" t="s">
        <v>112</v>
      </c>
      <c r="C705" s="50">
        <v>0</v>
      </c>
      <c r="D705" s="464" t="s">
        <v>18439</v>
      </c>
      <c r="E705" s="1" t="s">
        <v>112</v>
      </c>
      <c r="F705" s="53">
        <v>44289</v>
      </c>
      <c r="G705" s="1">
        <v>2021</v>
      </c>
      <c r="H705" s="1" t="s">
        <v>17291</v>
      </c>
      <c r="I705" s="1" t="s">
        <v>17292</v>
      </c>
      <c r="J705" s="1" t="s">
        <v>16482</v>
      </c>
      <c r="K705" s="36">
        <v>46513.119640000004</v>
      </c>
      <c r="L705" s="1">
        <v>3.2804000000000002</v>
      </c>
      <c r="M705" s="37">
        <v>14179.1</v>
      </c>
      <c r="N705" s="1" t="s">
        <v>20155</v>
      </c>
      <c r="O705" s="1" t="s">
        <v>16394</v>
      </c>
      <c r="P705" s="876">
        <v>44293</v>
      </c>
      <c r="Q705" s="466">
        <v>7500</v>
      </c>
      <c r="R705" s="466">
        <v>15720</v>
      </c>
      <c r="S705" s="466">
        <v>0</v>
      </c>
      <c r="T705" s="466">
        <v>780</v>
      </c>
      <c r="U705" s="466">
        <v>24000</v>
      </c>
      <c r="V705" s="11" t="s">
        <v>20155</v>
      </c>
      <c r="W705" s="39">
        <v>0</v>
      </c>
      <c r="X705" s="39">
        <v>29393.696160000003</v>
      </c>
      <c r="Y705" s="39">
        <v>14023.71</v>
      </c>
      <c r="Z705" s="39">
        <v>3095.7134799999999</v>
      </c>
      <c r="AA705" s="56">
        <v>0</v>
      </c>
      <c r="AB705" s="56">
        <v>1.8698280000000003</v>
      </c>
      <c r="AC705" s="56">
        <v>0</v>
      </c>
      <c r="AD705" s="56">
        <v>3.9688634358974357</v>
      </c>
      <c r="AE705" s="41">
        <v>0</v>
      </c>
      <c r="AF705" s="42">
        <v>0</v>
      </c>
      <c r="AG705" s="42">
        <v>0</v>
      </c>
      <c r="AH705" s="467">
        <v>0</v>
      </c>
      <c r="AI705" s="467">
        <v>1.8698280000000003</v>
      </c>
      <c r="AJ705" s="467">
        <v>0</v>
      </c>
      <c r="AK705" s="467">
        <v>3.9688634358974357</v>
      </c>
      <c r="AL705" s="44">
        <v>1</v>
      </c>
      <c r="AM705" s="44">
        <v>1</v>
      </c>
      <c r="AN705" s="468">
        <v>0</v>
      </c>
      <c r="AO705" s="468">
        <v>1</v>
      </c>
    </row>
    <row r="706" spans="1:41" hidden="1">
      <c r="A706" s="50">
        <v>101</v>
      </c>
      <c r="B706" s="1" t="s">
        <v>113</v>
      </c>
      <c r="C706" s="50">
        <v>0</v>
      </c>
      <c r="D706" s="464" t="s">
        <v>18441</v>
      </c>
      <c r="E706" s="1" t="s">
        <v>113</v>
      </c>
      <c r="F706" s="53">
        <v>44284</v>
      </c>
      <c r="G706" s="1">
        <v>2021</v>
      </c>
      <c r="H706" s="1" t="s">
        <v>16957</v>
      </c>
      <c r="I706" s="1" t="s">
        <v>16958</v>
      </c>
      <c r="J706" s="1" t="s">
        <v>16401</v>
      </c>
      <c r="K706" s="36">
        <v>83629.5</v>
      </c>
      <c r="L706" s="1">
        <v>2.7876500000000002</v>
      </c>
      <c r="M706" s="37">
        <v>30000</v>
      </c>
      <c r="N706" s="1" t="s">
        <v>20155</v>
      </c>
      <c r="O706" s="1" t="s">
        <v>20161</v>
      </c>
      <c r="P706" s="876">
        <v>44289</v>
      </c>
      <c r="Q706" s="466">
        <v>40000</v>
      </c>
      <c r="R706" s="466">
        <v>0</v>
      </c>
      <c r="S706" s="466">
        <v>0</v>
      </c>
      <c r="T706" s="466">
        <v>0</v>
      </c>
      <c r="U706" s="466">
        <v>40000</v>
      </c>
      <c r="V706" s="11" t="s">
        <v>20155</v>
      </c>
      <c r="W706" s="39">
        <v>83629.5</v>
      </c>
      <c r="X706" s="39">
        <v>0</v>
      </c>
      <c r="Y706" s="39">
        <v>0</v>
      </c>
      <c r="Z706" s="39">
        <v>0</v>
      </c>
      <c r="AA706" s="56">
        <v>2.0907374999999999</v>
      </c>
      <c r="AB706" s="56">
        <v>0</v>
      </c>
      <c r="AC706" s="56">
        <v>0</v>
      </c>
      <c r="AD706" s="56">
        <v>0</v>
      </c>
      <c r="AE706" s="41">
        <v>1809.28</v>
      </c>
      <c r="AF706" s="42">
        <v>9457.14</v>
      </c>
      <c r="AG706" s="42">
        <v>0.23642849999999999</v>
      </c>
      <c r="AH706" s="467">
        <v>1.854309</v>
      </c>
      <c r="AI706" s="467">
        <v>0</v>
      </c>
      <c r="AJ706" s="467">
        <v>0</v>
      </c>
      <c r="AK706" s="467">
        <v>0</v>
      </c>
      <c r="AL706" s="44">
        <v>1</v>
      </c>
      <c r="AM706" s="44">
        <v>0</v>
      </c>
      <c r="AN706" s="468">
        <v>0</v>
      </c>
      <c r="AO706" s="468">
        <v>0</v>
      </c>
    </row>
    <row r="707" spans="1:41" hidden="1">
      <c r="A707" s="50">
        <v>102</v>
      </c>
      <c r="B707" s="1" t="s">
        <v>114</v>
      </c>
      <c r="C707" s="50">
        <v>0</v>
      </c>
      <c r="D707" s="464" t="s">
        <v>18442</v>
      </c>
      <c r="E707" s="1" t="s">
        <v>114</v>
      </c>
      <c r="F707" s="53">
        <v>44284</v>
      </c>
      <c r="G707" s="1">
        <v>2021</v>
      </c>
      <c r="H707" s="1" t="s">
        <v>17017</v>
      </c>
      <c r="I707" s="1" t="s">
        <v>17018</v>
      </c>
      <c r="J707" s="1" t="s">
        <v>3</v>
      </c>
      <c r="K707" s="36">
        <v>35880.527999999998</v>
      </c>
      <c r="L707" s="1">
        <v>1</v>
      </c>
      <c r="M707" s="37">
        <v>35880.527999999998</v>
      </c>
      <c r="N707" s="1" t="s">
        <v>20155</v>
      </c>
      <c r="O707" s="1" t="s">
        <v>17238</v>
      </c>
      <c r="P707" s="876">
        <v>44291</v>
      </c>
      <c r="Q707" s="466">
        <v>0</v>
      </c>
      <c r="R707" s="466">
        <v>0</v>
      </c>
      <c r="S707" s="466">
        <v>20157.599999999999</v>
      </c>
      <c r="T707" s="466">
        <v>0</v>
      </c>
      <c r="U707" s="466">
        <v>20157.599999999999</v>
      </c>
      <c r="V707" s="11" t="s">
        <v>20155</v>
      </c>
      <c r="W707" s="39">
        <v>0</v>
      </c>
      <c r="X707" s="39">
        <v>0</v>
      </c>
      <c r="Y707" s="39">
        <v>35880.527999999998</v>
      </c>
      <c r="Z707" s="39">
        <v>0</v>
      </c>
      <c r="AA707" s="56">
        <v>0</v>
      </c>
      <c r="AB707" s="56">
        <v>0</v>
      </c>
      <c r="AC707" s="56">
        <v>1.78</v>
      </c>
      <c r="AD707" s="56">
        <v>0</v>
      </c>
      <c r="AE707" s="41">
        <v>0</v>
      </c>
      <c r="AF707" s="42">
        <v>0</v>
      </c>
      <c r="AG707" s="42">
        <v>0</v>
      </c>
      <c r="AH707" s="467">
        <v>0</v>
      </c>
      <c r="AI707" s="467">
        <v>0</v>
      </c>
      <c r="AJ707" s="467">
        <v>1.78</v>
      </c>
      <c r="AK707" s="467">
        <v>0</v>
      </c>
      <c r="AL707" s="44">
        <v>0</v>
      </c>
      <c r="AM707" s="44">
        <v>0</v>
      </c>
      <c r="AN707" s="468">
        <v>1</v>
      </c>
      <c r="AO707" s="468">
        <v>0</v>
      </c>
    </row>
    <row r="708" spans="1:41" hidden="1">
      <c r="A708" s="50">
        <v>103</v>
      </c>
      <c r="B708" s="1" t="s">
        <v>115</v>
      </c>
      <c r="C708" s="50">
        <v>0</v>
      </c>
      <c r="D708" s="464" t="s">
        <v>18443</v>
      </c>
      <c r="E708" s="1" t="s">
        <v>115</v>
      </c>
      <c r="F708" s="53">
        <v>44285</v>
      </c>
      <c r="G708" s="1">
        <v>2021</v>
      </c>
      <c r="H708" s="1" t="s">
        <v>17017</v>
      </c>
      <c r="I708" s="1" t="s">
        <v>17018</v>
      </c>
      <c r="J708" s="1" t="s">
        <v>3</v>
      </c>
      <c r="K708" s="36">
        <v>68450.5</v>
      </c>
      <c r="L708" s="1">
        <v>1</v>
      </c>
      <c r="M708" s="37">
        <v>68450.5</v>
      </c>
      <c r="N708" s="1" t="s">
        <v>20155</v>
      </c>
      <c r="O708" s="1" t="s">
        <v>17889</v>
      </c>
      <c r="P708" s="876">
        <v>44293</v>
      </c>
      <c r="Q708" s="466">
        <v>12000</v>
      </c>
      <c r="R708" s="466">
        <v>7200</v>
      </c>
      <c r="S708" s="466">
        <v>14400</v>
      </c>
      <c r="T708" s="466">
        <v>4550</v>
      </c>
      <c r="U708" s="466">
        <v>38150</v>
      </c>
      <c r="V708" s="11" t="s">
        <v>20155</v>
      </c>
      <c r="W708" s="39">
        <v>20844</v>
      </c>
      <c r="X708" s="39">
        <v>16416</v>
      </c>
      <c r="Y708" s="39">
        <v>23976</v>
      </c>
      <c r="Z708" s="39">
        <v>7214.5</v>
      </c>
      <c r="AA708" s="56">
        <v>1.7370000000000001</v>
      </c>
      <c r="AB708" s="56">
        <v>2.2799999999999998</v>
      </c>
      <c r="AC708" s="56">
        <v>1.665</v>
      </c>
      <c r="AD708" s="56">
        <v>1.5856043956043957</v>
      </c>
      <c r="AE708" s="41">
        <v>0</v>
      </c>
      <c r="AF708" s="42">
        <v>0</v>
      </c>
      <c r="AG708" s="42">
        <v>0</v>
      </c>
      <c r="AH708" s="467">
        <v>1.7370000000000001</v>
      </c>
      <c r="AI708" s="467">
        <v>2.2799999999999998</v>
      </c>
      <c r="AJ708" s="467">
        <v>1.665</v>
      </c>
      <c r="AK708" s="467">
        <v>1.5856043956043957</v>
      </c>
      <c r="AL708" s="44">
        <v>1</v>
      </c>
      <c r="AM708" s="44">
        <v>1</v>
      </c>
      <c r="AN708" s="468">
        <v>1</v>
      </c>
      <c r="AO708" s="468">
        <v>1</v>
      </c>
    </row>
    <row r="709" spans="1:41" hidden="1">
      <c r="A709" s="50">
        <v>104</v>
      </c>
      <c r="B709" s="1" t="s">
        <v>116</v>
      </c>
      <c r="C709" s="50">
        <v>0</v>
      </c>
      <c r="D709" s="464" t="s">
        <v>18444</v>
      </c>
      <c r="E709" s="1" t="s">
        <v>116</v>
      </c>
      <c r="F709" s="53">
        <v>44288</v>
      </c>
      <c r="G709" s="1">
        <v>2021</v>
      </c>
      <c r="H709" s="1" t="s">
        <v>16444</v>
      </c>
      <c r="I709" s="1" t="s">
        <v>16445</v>
      </c>
      <c r="J709" s="1" t="s">
        <v>3</v>
      </c>
      <c r="K709" s="36">
        <v>77669.759999999995</v>
      </c>
      <c r="L709" s="1">
        <v>1</v>
      </c>
      <c r="M709" s="37">
        <v>77669.759999999995</v>
      </c>
      <c r="N709" s="1" t="s">
        <v>20155</v>
      </c>
      <c r="O709" s="1" t="s">
        <v>18248</v>
      </c>
      <c r="P709" s="876">
        <v>44293</v>
      </c>
      <c r="Q709" s="466">
        <v>22008</v>
      </c>
      <c r="R709" s="466">
        <v>25200</v>
      </c>
      <c r="S709" s="466">
        <v>0</v>
      </c>
      <c r="T709" s="466">
        <v>0</v>
      </c>
      <c r="U709" s="466">
        <v>47208</v>
      </c>
      <c r="V709" s="11" t="s">
        <v>20155</v>
      </c>
      <c r="W709" s="39">
        <v>37853.760000000002</v>
      </c>
      <c r="X709" s="39">
        <v>39816</v>
      </c>
      <c r="Y709" s="39">
        <v>0</v>
      </c>
      <c r="Z709" s="39">
        <v>0</v>
      </c>
      <c r="AA709" s="56">
        <v>1.7200000000000002</v>
      </c>
      <c r="AB709" s="56">
        <v>1.58</v>
      </c>
      <c r="AC709" s="56">
        <v>0</v>
      </c>
      <c r="AD709" s="56">
        <v>0</v>
      </c>
      <c r="AE709" s="41">
        <v>0</v>
      </c>
      <c r="AF709" s="42">
        <v>0</v>
      </c>
      <c r="AG709" s="42">
        <v>0</v>
      </c>
      <c r="AH709" s="467">
        <v>1.7200000000000002</v>
      </c>
      <c r="AI709" s="467">
        <v>1.58</v>
      </c>
      <c r="AJ709" s="467">
        <v>0</v>
      </c>
      <c r="AK709" s="467">
        <v>0</v>
      </c>
      <c r="AL709" s="44">
        <v>1</v>
      </c>
      <c r="AM709" s="44" t="s">
        <v>20296</v>
      </c>
      <c r="AN709" s="468">
        <v>0</v>
      </c>
      <c r="AO709" s="468">
        <v>0</v>
      </c>
    </row>
    <row r="710" spans="1:41" hidden="1">
      <c r="A710" s="50">
        <v>105</v>
      </c>
      <c r="B710" s="1" t="s">
        <v>117</v>
      </c>
      <c r="C710" s="50">
        <v>0</v>
      </c>
      <c r="D710" s="464" t="s">
        <v>18445</v>
      </c>
      <c r="E710" s="1" t="s">
        <v>117</v>
      </c>
      <c r="F710" s="53">
        <v>44291</v>
      </c>
      <c r="G710" s="1">
        <v>2021</v>
      </c>
      <c r="H710" s="1" t="s">
        <v>16444</v>
      </c>
      <c r="I710" s="1" t="s">
        <v>16445</v>
      </c>
      <c r="J710" s="1" t="s">
        <v>3</v>
      </c>
      <c r="K710" s="36">
        <v>75657.84</v>
      </c>
      <c r="L710" s="1">
        <v>1</v>
      </c>
      <c r="M710" s="37">
        <v>75657.84</v>
      </c>
      <c r="N710" s="1" t="s">
        <v>20155</v>
      </c>
      <c r="O710" s="1" t="s">
        <v>17949</v>
      </c>
      <c r="P710" s="876">
        <v>44308</v>
      </c>
      <c r="Q710" s="466">
        <v>43608</v>
      </c>
      <c r="R710" s="466">
        <v>0</v>
      </c>
      <c r="S710" s="466">
        <v>0</v>
      </c>
      <c r="T710" s="466">
        <v>0</v>
      </c>
      <c r="U710" s="466">
        <v>43608</v>
      </c>
      <c r="V710" s="11" t="s">
        <v>20155</v>
      </c>
      <c r="W710" s="39">
        <v>75657.84</v>
      </c>
      <c r="X710" s="39">
        <v>0</v>
      </c>
      <c r="Y710" s="39">
        <v>0</v>
      </c>
      <c r="Z710" s="39">
        <v>0</v>
      </c>
      <c r="AA710" s="56">
        <v>1.7349532195927353</v>
      </c>
      <c r="AB710" s="56">
        <v>0</v>
      </c>
      <c r="AC710" s="56">
        <v>0</v>
      </c>
      <c r="AD710" s="56">
        <v>0</v>
      </c>
      <c r="AE710" s="41">
        <v>0</v>
      </c>
      <c r="AF710" s="42">
        <v>0</v>
      </c>
      <c r="AG710" s="42">
        <v>0</v>
      </c>
      <c r="AH710" s="467">
        <v>1.7349532195927353</v>
      </c>
      <c r="AI710" s="467">
        <v>0</v>
      </c>
      <c r="AJ710" s="467">
        <v>0</v>
      </c>
      <c r="AK710" s="467">
        <v>0</v>
      </c>
      <c r="AL710" s="44">
        <v>1</v>
      </c>
      <c r="AM710" s="44">
        <v>0</v>
      </c>
      <c r="AN710" s="468">
        <v>0</v>
      </c>
      <c r="AO710" s="468">
        <v>0</v>
      </c>
    </row>
    <row r="711" spans="1:41" hidden="1">
      <c r="A711" s="50">
        <v>106</v>
      </c>
      <c r="B711" s="1" t="s">
        <v>118</v>
      </c>
      <c r="C711" s="50">
        <v>0</v>
      </c>
      <c r="D711" s="464" t="s">
        <v>18446</v>
      </c>
      <c r="E711" s="1" t="s">
        <v>118</v>
      </c>
      <c r="F711" s="53">
        <v>44291</v>
      </c>
      <c r="G711" s="1">
        <v>2021</v>
      </c>
      <c r="H711" s="1" t="s">
        <v>17200</v>
      </c>
      <c r="I711" s="1" t="s">
        <v>17201</v>
      </c>
      <c r="J711" s="1" t="s">
        <v>16482</v>
      </c>
      <c r="K711" s="36">
        <v>43412.82</v>
      </c>
      <c r="L711" s="1">
        <v>3.2888500000000001</v>
      </c>
      <c r="M711" s="37">
        <v>13200</v>
      </c>
      <c r="N711" s="1" t="s">
        <v>20155</v>
      </c>
      <c r="O711" s="1" t="s">
        <v>17771</v>
      </c>
      <c r="P711" s="876">
        <v>44298</v>
      </c>
      <c r="Q711" s="466">
        <v>20000</v>
      </c>
      <c r="R711" s="466">
        <v>0</v>
      </c>
      <c r="S711" s="466">
        <v>0</v>
      </c>
      <c r="T711" s="466">
        <v>0</v>
      </c>
      <c r="U711" s="466">
        <v>20000</v>
      </c>
      <c r="V711" s="11" t="s">
        <v>20155</v>
      </c>
      <c r="W711" s="39">
        <v>43412.82</v>
      </c>
      <c r="X711" s="39">
        <v>0</v>
      </c>
      <c r="Y711" s="39">
        <v>0</v>
      </c>
      <c r="Z711" s="39">
        <v>0</v>
      </c>
      <c r="AA711" s="56">
        <v>2.1706409999999998</v>
      </c>
      <c r="AB711" s="56">
        <v>0</v>
      </c>
      <c r="AC711" s="56">
        <v>0</v>
      </c>
      <c r="AD711" s="56">
        <v>0</v>
      </c>
      <c r="AE711" s="41">
        <v>2493.4392000000003</v>
      </c>
      <c r="AF711" s="42">
        <v>7327.6779999999999</v>
      </c>
      <c r="AG711" s="42">
        <v>0.36638389999999998</v>
      </c>
      <c r="AH711" s="467">
        <v>1.8042570999999998</v>
      </c>
      <c r="AI711" s="467">
        <v>0</v>
      </c>
      <c r="AJ711" s="467">
        <v>0</v>
      </c>
      <c r="AK711" s="467">
        <v>0</v>
      </c>
      <c r="AL711" s="44">
        <v>1</v>
      </c>
      <c r="AM711" s="44">
        <v>0</v>
      </c>
      <c r="AN711" s="468">
        <v>0</v>
      </c>
      <c r="AO711" s="468">
        <v>0</v>
      </c>
    </row>
    <row r="712" spans="1:41" hidden="1">
      <c r="A712" s="50">
        <v>107</v>
      </c>
      <c r="B712" s="1" t="s">
        <v>119</v>
      </c>
      <c r="C712" s="50">
        <v>0</v>
      </c>
      <c r="D712" s="464" t="s">
        <v>18447</v>
      </c>
      <c r="E712" s="1" t="s">
        <v>119</v>
      </c>
      <c r="F712" s="53">
        <v>44294</v>
      </c>
      <c r="G712" s="1">
        <v>2021</v>
      </c>
      <c r="H712" s="1" t="s">
        <v>16444</v>
      </c>
      <c r="I712" s="1" t="s">
        <v>16445</v>
      </c>
      <c r="J712" s="1" t="s">
        <v>3</v>
      </c>
      <c r="K712" s="36">
        <v>33822.5</v>
      </c>
      <c r="L712" s="1">
        <v>1</v>
      </c>
      <c r="M712" s="37">
        <v>33822.5</v>
      </c>
      <c r="N712" s="1" t="s">
        <v>20155</v>
      </c>
      <c r="O712" s="1" t="s">
        <v>17693</v>
      </c>
      <c r="P712" s="876">
        <v>44300</v>
      </c>
      <c r="Q712" s="466">
        <v>20750</v>
      </c>
      <c r="R712" s="466">
        <v>0</v>
      </c>
      <c r="S712" s="466">
        <v>0</v>
      </c>
      <c r="T712" s="466">
        <v>0</v>
      </c>
      <c r="U712" s="466">
        <v>20750</v>
      </c>
      <c r="V712" s="11" t="s">
        <v>20155</v>
      </c>
      <c r="W712" s="39">
        <v>33822.5</v>
      </c>
      <c r="X712" s="39">
        <v>0</v>
      </c>
      <c r="Y712" s="39">
        <v>0</v>
      </c>
      <c r="Z712" s="39">
        <v>0</v>
      </c>
      <c r="AA712" s="56">
        <v>1.63</v>
      </c>
      <c r="AB712" s="56">
        <v>0</v>
      </c>
      <c r="AC712" s="56">
        <v>0</v>
      </c>
      <c r="AD712" s="56">
        <v>0</v>
      </c>
      <c r="AE712" s="41">
        <v>0</v>
      </c>
      <c r="AF712" s="42">
        <v>0</v>
      </c>
      <c r="AG712" s="42">
        <v>0</v>
      </c>
      <c r="AH712" s="467">
        <v>1.63</v>
      </c>
      <c r="AI712" s="467">
        <v>0</v>
      </c>
      <c r="AJ712" s="467">
        <v>0</v>
      </c>
      <c r="AK712" s="467">
        <v>0</v>
      </c>
      <c r="AL712" s="44">
        <v>1</v>
      </c>
      <c r="AM712" s="44">
        <v>0</v>
      </c>
      <c r="AN712" s="468">
        <v>0</v>
      </c>
      <c r="AO712" s="468">
        <v>0</v>
      </c>
    </row>
    <row r="713" spans="1:41" hidden="1">
      <c r="A713" s="50">
        <v>108</v>
      </c>
      <c r="B713" s="1" t="s">
        <v>120</v>
      </c>
      <c r="C713" s="50">
        <v>0</v>
      </c>
      <c r="D713" s="464" t="s">
        <v>18448</v>
      </c>
      <c r="E713" s="1" t="s">
        <v>120</v>
      </c>
      <c r="F713" s="53">
        <v>44294</v>
      </c>
      <c r="G713" s="1">
        <v>2021</v>
      </c>
      <c r="H713" s="1" t="s">
        <v>16444</v>
      </c>
      <c r="I713" s="57" t="s">
        <v>16445</v>
      </c>
      <c r="J713" s="57" t="s">
        <v>3</v>
      </c>
      <c r="K713" s="499">
        <v>190520</v>
      </c>
      <c r="L713" s="57">
        <v>1</v>
      </c>
      <c r="M713" s="500">
        <v>190520</v>
      </c>
      <c r="N713" s="57" t="s">
        <v>20302</v>
      </c>
      <c r="O713" s="57" t="s">
        <v>17801</v>
      </c>
      <c r="P713" s="881">
        <v>44300</v>
      </c>
      <c r="Q713" s="466">
        <v>0</v>
      </c>
      <c r="R713" s="466">
        <v>146800</v>
      </c>
      <c r="S713" s="466">
        <v>3000</v>
      </c>
      <c r="T713" s="466">
        <v>0</v>
      </c>
      <c r="U713" s="466">
        <v>149800</v>
      </c>
      <c r="V713" s="11" t="s">
        <v>20155</v>
      </c>
      <c r="W713" s="39">
        <v>0</v>
      </c>
      <c r="X713" s="39">
        <v>186800</v>
      </c>
      <c r="Y713" s="39">
        <v>3720</v>
      </c>
      <c r="Z713" s="39">
        <v>0</v>
      </c>
      <c r="AA713" s="56">
        <v>0</v>
      </c>
      <c r="AB713" s="56">
        <v>1.2724795640326976</v>
      </c>
      <c r="AC713" s="56">
        <v>1.24</v>
      </c>
      <c r="AD713" s="56">
        <v>0</v>
      </c>
      <c r="AE713" s="41">
        <v>0</v>
      </c>
      <c r="AF713" s="42">
        <v>0</v>
      </c>
      <c r="AG713" s="42">
        <v>0</v>
      </c>
      <c r="AH713" s="467">
        <v>0</v>
      </c>
      <c r="AI713" s="467">
        <v>1.2724795640326976</v>
      </c>
      <c r="AJ713" s="467">
        <v>1.24</v>
      </c>
      <c r="AK713" s="467">
        <v>0</v>
      </c>
      <c r="AL713" s="44">
        <v>0</v>
      </c>
      <c r="AM713" s="44" t="s">
        <v>20300</v>
      </c>
      <c r="AN713" s="468" t="s">
        <v>20300</v>
      </c>
      <c r="AO713" s="468">
        <v>0</v>
      </c>
    </row>
    <row r="714" spans="1:41" hidden="1">
      <c r="A714" s="50">
        <v>109</v>
      </c>
      <c r="B714" s="1" t="s">
        <v>121</v>
      </c>
      <c r="C714" s="50">
        <v>0</v>
      </c>
      <c r="D714" s="464" t="s">
        <v>18449</v>
      </c>
      <c r="E714" s="1" t="s">
        <v>121</v>
      </c>
      <c r="F714" s="53">
        <v>44294</v>
      </c>
      <c r="G714" s="1">
        <v>2021</v>
      </c>
      <c r="H714" s="1" t="s">
        <v>16444</v>
      </c>
      <c r="I714" s="57" t="s">
        <v>16445</v>
      </c>
      <c r="J714" s="57" t="s">
        <v>3</v>
      </c>
      <c r="K714" s="499">
        <v>24000</v>
      </c>
      <c r="L714" s="57">
        <v>1</v>
      </c>
      <c r="M714" s="500">
        <v>24000</v>
      </c>
      <c r="N714" s="57" t="s">
        <v>20302</v>
      </c>
      <c r="O714" s="57" t="s">
        <v>17801</v>
      </c>
      <c r="P714" s="881">
        <v>44300</v>
      </c>
      <c r="Q714" s="466">
        <v>0</v>
      </c>
      <c r="R714" s="466">
        <v>19200</v>
      </c>
      <c r="S714" s="466">
        <v>0</v>
      </c>
      <c r="T714" s="466">
        <v>0</v>
      </c>
      <c r="U714" s="466">
        <v>19200</v>
      </c>
      <c r="V714" s="11" t="s">
        <v>20155</v>
      </c>
      <c r="W714" s="39">
        <v>0</v>
      </c>
      <c r="X714" s="39">
        <v>24000</v>
      </c>
      <c r="Y714" s="39">
        <v>0</v>
      </c>
      <c r="Z714" s="39">
        <v>0</v>
      </c>
      <c r="AA714" s="56">
        <v>0</v>
      </c>
      <c r="AB714" s="56">
        <v>1.25</v>
      </c>
      <c r="AC714" s="56">
        <v>0</v>
      </c>
      <c r="AD714" s="56">
        <v>0</v>
      </c>
      <c r="AE714" s="41">
        <v>0</v>
      </c>
      <c r="AF714" s="42">
        <v>0</v>
      </c>
      <c r="AG714" s="42">
        <v>0</v>
      </c>
      <c r="AH714" s="467">
        <v>0</v>
      </c>
      <c r="AI714" s="467">
        <v>1.25</v>
      </c>
      <c r="AJ714" s="467">
        <v>0</v>
      </c>
      <c r="AK714" s="467">
        <v>0</v>
      </c>
      <c r="AL714" s="44">
        <v>0</v>
      </c>
      <c r="AM714" s="44" t="s">
        <v>20300</v>
      </c>
      <c r="AN714" s="468">
        <v>0</v>
      </c>
      <c r="AO714" s="468">
        <v>0</v>
      </c>
    </row>
    <row r="715" spans="1:41" hidden="1">
      <c r="A715" s="50">
        <v>110</v>
      </c>
      <c r="B715" s="1" t="s">
        <v>122</v>
      </c>
      <c r="C715" s="50">
        <v>0</v>
      </c>
      <c r="D715" s="464" t="s">
        <v>18450</v>
      </c>
      <c r="E715" s="1" t="s">
        <v>122</v>
      </c>
      <c r="F715" s="53">
        <v>44299</v>
      </c>
      <c r="G715" s="1">
        <v>2021</v>
      </c>
      <c r="H715" s="1" t="s">
        <v>17017</v>
      </c>
      <c r="I715" s="1" t="s">
        <v>17018</v>
      </c>
      <c r="J715" s="1" t="s">
        <v>3</v>
      </c>
      <c r="K715" s="36">
        <v>13194.32</v>
      </c>
      <c r="L715" s="1">
        <v>1</v>
      </c>
      <c r="M715" s="37">
        <v>13194.32</v>
      </c>
      <c r="N715" s="1" t="s">
        <v>20155</v>
      </c>
      <c r="O715" s="1" t="s">
        <v>20308</v>
      </c>
      <c r="P715" s="876">
        <v>44301</v>
      </c>
      <c r="Q715" s="466">
        <v>0</v>
      </c>
      <c r="R715" s="466">
        <v>1848</v>
      </c>
      <c r="S715" s="466">
        <v>0</v>
      </c>
      <c r="T715" s="466">
        <v>2960</v>
      </c>
      <c r="U715" s="466">
        <v>4808</v>
      </c>
      <c r="V715" s="11" t="s">
        <v>20155</v>
      </c>
      <c r="W715" s="39">
        <v>0</v>
      </c>
      <c r="X715" s="39">
        <v>5650.32</v>
      </c>
      <c r="Y715" s="39">
        <v>0</v>
      </c>
      <c r="Z715" s="39">
        <v>7544</v>
      </c>
      <c r="AA715" s="56">
        <v>0</v>
      </c>
      <c r="AB715" s="56">
        <v>3.0575324675324675</v>
      </c>
      <c r="AC715" s="56">
        <v>0</v>
      </c>
      <c r="AD715" s="56">
        <v>2.5486486486486486</v>
      </c>
      <c r="AE715" s="41">
        <v>0</v>
      </c>
      <c r="AF715" s="42">
        <v>0</v>
      </c>
      <c r="AG715" s="42">
        <v>0</v>
      </c>
      <c r="AH715" s="467">
        <v>0</v>
      </c>
      <c r="AI715" s="467">
        <v>3.0575324675324675</v>
      </c>
      <c r="AJ715" s="467">
        <v>0</v>
      </c>
      <c r="AK715" s="467">
        <v>2.5486486486486486</v>
      </c>
      <c r="AL715" s="44">
        <v>0</v>
      </c>
      <c r="AM715" s="44">
        <v>1</v>
      </c>
      <c r="AN715" s="468">
        <v>0</v>
      </c>
      <c r="AO715" s="468">
        <v>1</v>
      </c>
    </row>
    <row r="716" spans="1:41" hidden="1">
      <c r="A716" s="50">
        <v>111</v>
      </c>
      <c r="B716" s="1" t="s">
        <v>123</v>
      </c>
      <c r="C716" s="50">
        <v>0</v>
      </c>
      <c r="D716" s="464" t="s">
        <v>18451</v>
      </c>
      <c r="E716" s="1" t="s">
        <v>123</v>
      </c>
      <c r="F716" s="53">
        <v>44301</v>
      </c>
      <c r="G716" s="1">
        <v>2021</v>
      </c>
      <c r="H716" s="1" t="s">
        <v>16838</v>
      </c>
      <c r="I716" s="1" t="s">
        <v>16839</v>
      </c>
      <c r="J716" s="1" t="s">
        <v>3</v>
      </c>
      <c r="K716" s="36">
        <v>120232.8</v>
      </c>
      <c r="L716" s="1">
        <v>1</v>
      </c>
      <c r="M716" s="37">
        <v>120232.8</v>
      </c>
      <c r="N716" s="1" t="s">
        <v>20155</v>
      </c>
      <c r="O716" s="1" t="s">
        <v>17771</v>
      </c>
      <c r="P716" s="876">
        <v>44314</v>
      </c>
      <c r="Q716" s="466">
        <v>0</v>
      </c>
      <c r="R716" s="466">
        <v>18240</v>
      </c>
      <c r="S716" s="466">
        <v>56000</v>
      </c>
      <c r="T716" s="466">
        <v>1000</v>
      </c>
      <c r="U716" s="466">
        <v>75240</v>
      </c>
      <c r="V716" s="11" t="s">
        <v>20155</v>
      </c>
      <c r="W716" s="39">
        <v>0</v>
      </c>
      <c r="X716" s="39">
        <v>31372.799999999999</v>
      </c>
      <c r="Y716" s="39">
        <v>84560</v>
      </c>
      <c r="Z716" s="39">
        <v>4300</v>
      </c>
      <c r="AA716" s="56">
        <v>0</v>
      </c>
      <c r="AB716" s="56">
        <v>1.72</v>
      </c>
      <c r="AC716" s="56">
        <v>1.51</v>
      </c>
      <c r="AD716" s="56">
        <v>4.3</v>
      </c>
      <c r="AE716" s="41">
        <v>0</v>
      </c>
      <c r="AF716" s="42">
        <v>0</v>
      </c>
      <c r="AG716" s="42">
        <v>0</v>
      </c>
      <c r="AH716" s="467">
        <v>0</v>
      </c>
      <c r="AI716" s="467">
        <v>1.72</v>
      </c>
      <c r="AJ716" s="467">
        <v>1.51</v>
      </c>
      <c r="AK716" s="467">
        <v>4.3</v>
      </c>
      <c r="AL716" s="44">
        <v>0</v>
      </c>
      <c r="AM716" s="44">
        <v>1</v>
      </c>
      <c r="AN716" s="468" t="s">
        <v>20296</v>
      </c>
      <c r="AO716" s="468">
        <v>1</v>
      </c>
    </row>
    <row r="717" spans="1:41" hidden="1">
      <c r="A717" s="50">
        <v>112</v>
      </c>
      <c r="B717" s="1" t="s">
        <v>124</v>
      </c>
      <c r="C717" s="50">
        <v>0</v>
      </c>
      <c r="D717" s="464" t="s">
        <v>18452</v>
      </c>
      <c r="E717" s="1" t="s">
        <v>124</v>
      </c>
      <c r="F717" s="53">
        <v>44303</v>
      </c>
      <c r="G717" s="1">
        <v>2021</v>
      </c>
      <c r="H717" s="1" t="s">
        <v>17209</v>
      </c>
      <c r="I717" s="473" t="s">
        <v>17210</v>
      </c>
      <c r="J717" s="473" t="s">
        <v>16401</v>
      </c>
      <c r="K717" s="474">
        <v>49411.03125</v>
      </c>
      <c r="L717" s="473">
        <v>2.74125</v>
      </c>
      <c r="M717" s="475">
        <v>18025</v>
      </c>
      <c r="N717" s="473" t="s">
        <v>20155</v>
      </c>
      <c r="O717" s="473" t="s">
        <v>20168</v>
      </c>
      <c r="P717" s="877">
        <v>44312</v>
      </c>
      <c r="Q717" s="466">
        <v>0</v>
      </c>
      <c r="R717" s="466">
        <v>17760</v>
      </c>
      <c r="S717" s="466">
        <v>5760</v>
      </c>
      <c r="T717" s="466">
        <v>600</v>
      </c>
      <c r="U717" s="466">
        <v>24120</v>
      </c>
      <c r="V717" s="11" t="s">
        <v>20231</v>
      </c>
      <c r="W717" s="39">
        <v>0</v>
      </c>
      <c r="X717" s="39">
        <v>36091.597537313435</v>
      </c>
      <c r="Y717" s="39">
        <v>11705.382985074626</v>
      </c>
      <c r="Z717" s="39">
        <v>1614.0507276119401</v>
      </c>
      <c r="AA717" s="56">
        <v>0</v>
      </c>
      <c r="AB717" s="56">
        <v>2.0321845460199008</v>
      </c>
      <c r="AC717" s="56">
        <v>2.0321845460199004</v>
      </c>
      <c r="AD717" s="56">
        <v>2.6900845460199001</v>
      </c>
      <c r="AE717" s="41">
        <v>1153.7625</v>
      </c>
      <c r="AF717" s="42">
        <v>5727.33</v>
      </c>
      <c r="AG717" s="42">
        <v>0.23745149253731343</v>
      </c>
      <c r="AH717" s="43">
        <v>0</v>
      </c>
      <c r="AI717" s="43">
        <v>1.7947330534825874</v>
      </c>
      <c r="AJ717" s="43">
        <v>1.7947330534825869</v>
      </c>
      <c r="AK717" s="43">
        <v>2.4526330534825869</v>
      </c>
      <c r="AL717" s="44">
        <v>0</v>
      </c>
      <c r="AM717" s="44">
        <v>1</v>
      </c>
      <c r="AN717" s="468">
        <v>1</v>
      </c>
      <c r="AO717" s="468">
        <v>1</v>
      </c>
    </row>
    <row r="718" spans="1:41" hidden="1">
      <c r="A718" s="50">
        <v>113</v>
      </c>
      <c r="B718" s="1" t="s">
        <v>125</v>
      </c>
      <c r="C718" s="50">
        <v>0</v>
      </c>
      <c r="D718" s="464" t="s">
        <v>18453</v>
      </c>
      <c r="E718" s="1" t="s">
        <v>125</v>
      </c>
      <c r="F718" s="53">
        <v>44303</v>
      </c>
      <c r="G718" s="1">
        <v>2021</v>
      </c>
      <c r="H718" s="1" t="s">
        <v>16470</v>
      </c>
      <c r="I718" s="3" t="s">
        <v>16471</v>
      </c>
      <c r="J718" s="3" t="s">
        <v>16401</v>
      </c>
      <c r="K718" s="54">
        <v>208458.35625000001</v>
      </c>
      <c r="L718" s="3">
        <v>2.74125</v>
      </c>
      <c r="M718" s="465">
        <v>76045</v>
      </c>
      <c r="N718" s="3" t="s">
        <v>20155</v>
      </c>
      <c r="O718" s="3" t="s">
        <v>20159</v>
      </c>
      <c r="P718" s="875">
        <v>44313</v>
      </c>
      <c r="Q718" s="466">
        <v>0</v>
      </c>
      <c r="R718" s="466">
        <v>0</v>
      </c>
      <c r="S718" s="466">
        <v>104000</v>
      </c>
      <c r="T718" s="466">
        <v>0</v>
      </c>
      <c r="U718" s="466">
        <v>104000</v>
      </c>
      <c r="V718" s="11" t="s">
        <v>20231</v>
      </c>
      <c r="W718" s="39">
        <v>0</v>
      </c>
      <c r="X718" s="39">
        <v>0</v>
      </c>
      <c r="Y718" s="39">
        <v>208458.35625000001</v>
      </c>
      <c r="Z718" s="39">
        <v>0</v>
      </c>
      <c r="AA718" s="56">
        <v>0</v>
      </c>
      <c r="AB718" s="56">
        <v>0</v>
      </c>
      <c r="AC718" s="56">
        <v>2.0044072716346153</v>
      </c>
      <c r="AD718" s="56">
        <v>0</v>
      </c>
      <c r="AE718" s="41">
        <v>11936.328000000001</v>
      </c>
      <c r="AF718" s="42">
        <v>34254.86</v>
      </c>
      <c r="AG718" s="42">
        <v>0.32937365384615386</v>
      </c>
      <c r="AH718" s="467">
        <v>0</v>
      </c>
      <c r="AI718" s="467">
        <v>0</v>
      </c>
      <c r="AJ718" s="467">
        <v>1.6750336177884615</v>
      </c>
      <c r="AK718" s="467">
        <v>0</v>
      </c>
      <c r="AL718" s="44">
        <v>0</v>
      </c>
      <c r="AM718" s="44">
        <v>0</v>
      </c>
      <c r="AN718" s="468" t="s">
        <v>20296</v>
      </c>
      <c r="AO718" s="468">
        <v>0</v>
      </c>
    </row>
    <row r="719" spans="1:41" hidden="1">
      <c r="A719" s="50">
        <v>114</v>
      </c>
      <c r="B719" s="1" t="s">
        <v>126</v>
      </c>
      <c r="C719" s="50">
        <v>0</v>
      </c>
      <c r="D719" s="464" t="s">
        <v>18454</v>
      </c>
      <c r="E719" s="1" t="s">
        <v>126</v>
      </c>
      <c r="F719" s="53">
        <v>44303</v>
      </c>
      <c r="G719" s="1">
        <v>2021</v>
      </c>
      <c r="H719" s="1" t="s">
        <v>16470</v>
      </c>
      <c r="I719" s="3" t="s">
        <v>16471</v>
      </c>
      <c r="J719" s="3" t="s">
        <v>16401</v>
      </c>
      <c r="K719" s="54">
        <v>381171.68969999999</v>
      </c>
      <c r="L719" s="3">
        <v>2.74125</v>
      </c>
      <c r="M719" s="465">
        <v>139050.32</v>
      </c>
      <c r="N719" s="3" t="s">
        <v>20155</v>
      </c>
      <c r="O719" s="3" t="s">
        <v>20159</v>
      </c>
      <c r="P719" s="875">
        <v>44314</v>
      </c>
      <c r="Q719" s="466">
        <v>37248</v>
      </c>
      <c r="R719" s="466">
        <v>186688</v>
      </c>
      <c r="S719" s="466">
        <v>0</v>
      </c>
      <c r="T719" s="466">
        <v>0</v>
      </c>
      <c r="U719" s="466">
        <v>223936</v>
      </c>
      <c r="V719" s="11" t="s">
        <v>20231</v>
      </c>
      <c r="W719" s="39">
        <v>71943.578056016006</v>
      </c>
      <c r="X719" s="39">
        <v>309228.11164398404</v>
      </c>
      <c r="Y719" s="39">
        <v>0</v>
      </c>
      <c r="Z719" s="39">
        <v>0</v>
      </c>
      <c r="AA719" s="56">
        <v>1.9314749263320448</v>
      </c>
      <c r="AB719" s="56">
        <v>1.6563898678221634</v>
      </c>
      <c r="AC719" s="56">
        <v>0</v>
      </c>
      <c r="AD719" s="56">
        <v>0</v>
      </c>
      <c r="AE719" s="41">
        <v>32250.16</v>
      </c>
      <c r="AF719" s="42">
        <v>89563.24</v>
      </c>
      <c r="AG719" s="42">
        <v>0.3999501643326665</v>
      </c>
      <c r="AH719" s="467">
        <v>1.5315247619993784</v>
      </c>
      <c r="AI719" s="467">
        <v>1.2564397034894967</v>
      </c>
      <c r="AJ719" s="467">
        <v>0</v>
      </c>
      <c r="AK719" s="467">
        <v>0</v>
      </c>
      <c r="AL719" s="44">
        <v>1</v>
      </c>
      <c r="AM719" s="44" t="s">
        <v>20296</v>
      </c>
      <c r="AN719" s="468">
        <v>0</v>
      </c>
      <c r="AO719" s="468">
        <v>0</v>
      </c>
    </row>
    <row r="720" spans="1:41" hidden="1">
      <c r="A720" s="50">
        <v>115</v>
      </c>
      <c r="B720" s="1" t="s">
        <v>127</v>
      </c>
      <c r="C720" s="50">
        <v>0</v>
      </c>
      <c r="D720" s="464" t="s">
        <v>18455</v>
      </c>
      <c r="E720" s="1" t="s">
        <v>127</v>
      </c>
      <c r="F720" s="53">
        <v>44303</v>
      </c>
      <c r="G720" s="1">
        <v>2021</v>
      </c>
      <c r="H720" s="1" t="s">
        <v>16904</v>
      </c>
      <c r="I720" s="3" t="s">
        <v>16905</v>
      </c>
      <c r="J720" s="3" t="s">
        <v>16482</v>
      </c>
      <c r="K720" s="54">
        <v>63759.89806</v>
      </c>
      <c r="L720" s="3">
        <v>3.3052999999999999</v>
      </c>
      <c r="M720" s="465">
        <v>19290.2</v>
      </c>
      <c r="N720" s="3" t="s">
        <v>20155</v>
      </c>
      <c r="O720" s="3" t="s">
        <v>20160</v>
      </c>
      <c r="P720" s="875">
        <v>44312</v>
      </c>
      <c r="Q720" s="466">
        <v>0</v>
      </c>
      <c r="R720" s="466">
        <v>16764</v>
      </c>
      <c r="S720" s="466">
        <v>10572</v>
      </c>
      <c r="T720" s="466">
        <v>0</v>
      </c>
      <c r="U720" s="466">
        <v>27336</v>
      </c>
      <c r="V720" s="11" t="s">
        <v>20231</v>
      </c>
      <c r="W720" s="39">
        <v>0</v>
      </c>
      <c r="X720" s="39">
        <v>39205.325987882345</v>
      </c>
      <c r="Y720" s="39">
        <v>24554.572072117648</v>
      </c>
      <c r="Z720" s="39">
        <v>0</v>
      </c>
      <c r="AA720" s="56">
        <v>0</v>
      </c>
      <c r="AB720" s="56">
        <v>2.3386617745098035</v>
      </c>
      <c r="AC720" s="56">
        <v>2.322604244430349</v>
      </c>
      <c r="AD720" s="56">
        <v>0</v>
      </c>
      <c r="AE720" s="41">
        <v>2788.7437500000001</v>
      </c>
      <c r="AF720" s="42">
        <v>12329.254999999999</v>
      </c>
      <c r="AG720" s="42">
        <v>0.45102630231196955</v>
      </c>
      <c r="AH720" s="467">
        <v>0</v>
      </c>
      <c r="AI720" s="467">
        <v>1.8876354721978339</v>
      </c>
      <c r="AJ720" s="467">
        <v>1.8715779421183794</v>
      </c>
      <c r="AK720" s="467">
        <v>0</v>
      </c>
      <c r="AL720" s="44">
        <v>0</v>
      </c>
      <c r="AM720" s="44">
        <v>1</v>
      </c>
      <c r="AN720" s="468">
        <v>1</v>
      </c>
      <c r="AO720" s="468">
        <v>0</v>
      </c>
    </row>
    <row r="721" spans="1:41" hidden="1">
      <c r="A721" s="50">
        <v>116</v>
      </c>
      <c r="B721" s="1" t="s">
        <v>128</v>
      </c>
      <c r="C721" s="50">
        <v>0</v>
      </c>
      <c r="D721" s="464" t="s">
        <v>18456</v>
      </c>
      <c r="E721" s="1" t="s">
        <v>128</v>
      </c>
      <c r="F721" s="53">
        <v>44303</v>
      </c>
      <c r="G721" s="1">
        <v>2021</v>
      </c>
      <c r="H721" s="1" t="s">
        <v>16957</v>
      </c>
      <c r="I721" s="1" t="s">
        <v>16958</v>
      </c>
      <c r="J721" s="1" t="s">
        <v>16401</v>
      </c>
      <c r="K721" s="36">
        <v>82395</v>
      </c>
      <c r="L721" s="1">
        <v>2.7465000000000002</v>
      </c>
      <c r="M721" s="37">
        <v>30000</v>
      </c>
      <c r="N721" s="1" t="s">
        <v>20155</v>
      </c>
      <c r="O721" s="1" t="s">
        <v>20161</v>
      </c>
      <c r="P721" s="876">
        <v>44303</v>
      </c>
      <c r="Q721" s="466">
        <v>40000</v>
      </c>
      <c r="R721" s="466">
        <v>0</v>
      </c>
      <c r="S721" s="466">
        <v>0</v>
      </c>
      <c r="T721" s="466">
        <v>0</v>
      </c>
      <c r="U721" s="466">
        <v>40000</v>
      </c>
      <c r="V721" s="11" t="s">
        <v>20155</v>
      </c>
      <c r="W721" s="39">
        <v>82394.999999999985</v>
      </c>
      <c r="X721" s="39">
        <v>0</v>
      </c>
      <c r="Y721" s="39">
        <v>0</v>
      </c>
      <c r="Z721" s="39">
        <v>0</v>
      </c>
      <c r="AA721" s="56">
        <v>2.0598749999999995</v>
      </c>
      <c r="AB721" s="56">
        <v>0</v>
      </c>
      <c r="AC721" s="56">
        <v>0</v>
      </c>
      <c r="AD721" s="56">
        <v>0</v>
      </c>
      <c r="AE721" s="41">
        <v>1720.155</v>
      </c>
      <c r="AF721" s="42">
        <v>9070.08</v>
      </c>
      <c r="AG721" s="42">
        <v>0.22675200000000001</v>
      </c>
      <c r="AH721" s="467">
        <v>1.8331229999999994</v>
      </c>
      <c r="AI721" s="467">
        <v>0</v>
      </c>
      <c r="AJ721" s="467">
        <v>0</v>
      </c>
      <c r="AK721" s="467">
        <v>0</v>
      </c>
      <c r="AL721" s="44">
        <v>0</v>
      </c>
      <c r="AM721" s="44">
        <v>0</v>
      </c>
      <c r="AN721" s="468">
        <v>0</v>
      </c>
      <c r="AO721" s="468">
        <v>1</v>
      </c>
    </row>
    <row r="722" spans="1:41" hidden="1">
      <c r="A722" s="50">
        <v>117</v>
      </c>
      <c r="B722" s="1" t="s">
        <v>129</v>
      </c>
      <c r="C722" s="50">
        <v>0</v>
      </c>
      <c r="D722" s="464" t="s">
        <v>18457</v>
      </c>
      <c r="E722" s="1" t="s">
        <v>129</v>
      </c>
      <c r="F722" s="53">
        <v>44303</v>
      </c>
      <c r="G722" s="1">
        <v>2021</v>
      </c>
      <c r="H722" s="1" t="s">
        <v>16779</v>
      </c>
      <c r="I722" s="1" t="s">
        <v>16780</v>
      </c>
      <c r="J722" s="1" t="s">
        <v>16482</v>
      </c>
      <c r="K722" s="36">
        <v>56644.540480000003</v>
      </c>
      <c r="L722" s="1">
        <v>3.3027500000000001</v>
      </c>
      <c r="M722" s="37">
        <v>17150.72</v>
      </c>
      <c r="N722" s="1" t="s">
        <v>20155</v>
      </c>
      <c r="O722" s="1" t="s">
        <v>16394</v>
      </c>
      <c r="P722" s="876">
        <v>44323</v>
      </c>
      <c r="Q722" s="466">
        <v>0</v>
      </c>
      <c r="R722" s="466">
        <v>18256</v>
      </c>
      <c r="S722" s="466">
        <v>3000</v>
      </c>
      <c r="T722" s="466">
        <v>3600</v>
      </c>
      <c r="U722" s="466">
        <v>24856</v>
      </c>
      <c r="V722" s="11" t="s">
        <v>20231</v>
      </c>
      <c r="W722" s="39">
        <v>0</v>
      </c>
      <c r="X722" s="39">
        <v>34368.152279999995</v>
      </c>
      <c r="Y722" s="39">
        <v>5647.7024999999985</v>
      </c>
      <c r="Z722" s="39">
        <v>16628.685699999998</v>
      </c>
      <c r="AA722" s="56">
        <v>0</v>
      </c>
      <c r="AB722" s="56">
        <v>1.8825674999999997</v>
      </c>
      <c r="AC722" s="56">
        <v>1.8825674999999995</v>
      </c>
      <c r="AD722" s="56">
        <v>4.6190793611111109</v>
      </c>
      <c r="AE722" s="41">
        <v>0</v>
      </c>
      <c r="AF722" s="42">
        <v>0</v>
      </c>
      <c r="AG722" s="42">
        <v>0</v>
      </c>
      <c r="AH722" s="467">
        <v>0</v>
      </c>
      <c r="AI722" s="467">
        <v>1.8825674999999997</v>
      </c>
      <c r="AJ722" s="467">
        <v>1.8825674999999995</v>
      </c>
      <c r="AK722" s="467">
        <v>4.6190793611111109</v>
      </c>
      <c r="AL722" s="44">
        <v>0</v>
      </c>
      <c r="AM722" s="44">
        <v>1</v>
      </c>
      <c r="AN722" s="468">
        <v>1</v>
      </c>
      <c r="AO722" s="468">
        <v>1</v>
      </c>
    </row>
    <row r="723" spans="1:41" hidden="1">
      <c r="A723" s="50">
        <v>118</v>
      </c>
      <c r="B723" s="1" t="s">
        <v>130</v>
      </c>
      <c r="C723" s="50">
        <v>0</v>
      </c>
      <c r="D723" s="464" t="s">
        <v>18458</v>
      </c>
      <c r="E723" s="1" t="s">
        <v>130</v>
      </c>
      <c r="F723" s="53">
        <v>44303</v>
      </c>
      <c r="G723" s="1">
        <v>2021</v>
      </c>
      <c r="H723" s="1" t="s">
        <v>16838</v>
      </c>
      <c r="I723" s="1" t="s">
        <v>16839</v>
      </c>
      <c r="J723" s="1" t="s">
        <v>3</v>
      </c>
      <c r="K723" s="36">
        <v>185778.88</v>
      </c>
      <c r="L723" s="1">
        <v>1</v>
      </c>
      <c r="M723" s="37">
        <v>185778.88</v>
      </c>
      <c r="N723" s="1" t="s">
        <v>20155</v>
      </c>
      <c r="O723" s="1" t="s">
        <v>17949</v>
      </c>
      <c r="P723" s="876">
        <v>44309</v>
      </c>
      <c r="Q723" s="466">
        <v>85208</v>
      </c>
      <c r="R723" s="466">
        <v>19080</v>
      </c>
      <c r="S723" s="466">
        <v>7920</v>
      </c>
      <c r="T723" s="466">
        <v>0</v>
      </c>
      <c r="U723" s="466">
        <v>112208</v>
      </c>
      <c r="V723" s="11" t="s">
        <v>20155</v>
      </c>
      <c r="W723" s="39">
        <v>145937.68</v>
      </c>
      <c r="X723" s="39">
        <v>28238.400000000001</v>
      </c>
      <c r="Y723" s="39">
        <v>11602.8</v>
      </c>
      <c r="Z723" s="39">
        <v>0</v>
      </c>
      <c r="AA723" s="56">
        <v>1.7127227490376489</v>
      </c>
      <c r="AB723" s="56">
        <v>1.48</v>
      </c>
      <c r="AC723" s="56">
        <v>1.4650000000000001</v>
      </c>
      <c r="AD723" s="56">
        <v>0</v>
      </c>
      <c r="AE723" s="41">
        <v>0</v>
      </c>
      <c r="AF723" s="42">
        <v>0</v>
      </c>
      <c r="AG723" s="42">
        <v>0</v>
      </c>
      <c r="AH723" s="467">
        <v>1.7127227490376489</v>
      </c>
      <c r="AI723" s="467">
        <v>1.48</v>
      </c>
      <c r="AJ723" s="467">
        <v>1.4650000000000001</v>
      </c>
      <c r="AK723" s="467">
        <v>0</v>
      </c>
      <c r="AL723" s="44">
        <v>1</v>
      </c>
      <c r="AM723" s="44" t="s">
        <v>20296</v>
      </c>
      <c r="AN723" s="468" t="s">
        <v>20296</v>
      </c>
      <c r="AO723" s="468">
        <v>0</v>
      </c>
    </row>
    <row r="724" spans="1:41" hidden="1">
      <c r="A724" s="50">
        <v>119</v>
      </c>
      <c r="B724" s="1" t="s">
        <v>131</v>
      </c>
      <c r="C724" s="50">
        <v>0</v>
      </c>
      <c r="D724" s="464" t="s">
        <v>18459</v>
      </c>
      <c r="E724" s="1" t="s">
        <v>131</v>
      </c>
      <c r="F724" s="53">
        <v>44303</v>
      </c>
      <c r="G724" s="1">
        <v>2021</v>
      </c>
      <c r="H724" s="1" t="s">
        <v>16384</v>
      </c>
      <c r="I724" s="1" t="s">
        <v>16385</v>
      </c>
      <c r="J724" s="1" t="s">
        <v>3</v>
      </c>
      <c r="K724" s="36">
        <v>77028</v>
      </c>
      <c r="L724" s="1">
        <v>1</v>
      </c>
      <c r="M724" s="37">
        <v>77028</v>
      </c>
      <c r="N724" s="1" t="s">
        <v>20155</v>
      </c>
      <c r="O724" s="1" t="s">
        <v>18094</v>
      </c>
      <c r="P724" s="876">
        <v>44310</v>
      </c>
      <c r="Q724" s="466">
        <v>16800</v>
      </c>
      <c r="R724" s="466">
        <v>31800</v>
      </c>
      <c r="S724" s="466">
        <v>0</v>
      </c>
      <c r="T724" s="466">
        <v>0</v>
      </c>
      <c r="U724" s="466">
        <v>48600</v>
      </c>
      <c r="V724" s="11" t="s">
        <v>20155</v>
      </c>
      <c r="W724" s="39">
        <v>28728</v>
      </c>
      <c r="X724" s="39">
        <v>48300</v>
      </c>
      <c r="Y724" s="39">
        <v>0</v>
      </c>
      <c r="Z724" s="39">
        <v>0</v>
      </c>
      <c r="AA724" s="56">
        <v>1.71</v>
      </c>
      <c r="AB724" s="56">
        <v>1.5188679245283019</v>
      </c>
      <c r="AC724" s="56">
        <v>0</v>
      </c>
      <c r="AD724" s="56">
        <v>0</v>
      </c>
      <c r="AE724" s="41">
        <v>0</v>
      </c>
      <c r="AF724" s="42">
        <v>0</v>
      </c>
      <c r="AG724" s="42">
        <v>0</v>
      </c>
      <c r="AH724" s="467">
        <v>1.71</v>
      </c>
      <c r="AI724" s="467">
        <v>1.5188679245283019</v>
      </c>
      <c r="AJ724" s="467">
        <v>0</v>
      </c>
      <c r="AK724" s="467">
        <v>0</v>
      </c>
      <c r="AL724" s="44">
        <v>1</v>
      </c>
      <c r="AM724" s="44" t="s">
        <v>20305</v>
      </c>
      <c r="AN724" s="468">
        <v>0</v>
      </c>
      <c r="AO724" s="468">
        <v>0</v>
      </c>
    </row>
    <row r="725" spans="1:41" hidden="1">
      <c r="A725" s="50">
        <v>120</v>
      </c>
      <c r="B725" s="1" t="s">
        <v>132</v>
      </c>
      <c r="C725" s="50">
        <v>0</v>
      </c>
      <c r="D725" s="464" t="s">
        <v>18460</v>
      </c>
      <c r="E725" s="1" t="s">
        <v>132</v>
      </c>
      <c r="F725" s="53">
        <v>44303</v>
      </c>
      <c r="G725" s="1">
        <v>2021</v>
      </c>
      <c r="H725" s="1" t="s">
        <v>16444</v>
      </c>
      <c r="I725" s="1" t="s">
        <v>16445</v>
      </c>
      <c r="J725" s="1" t="s">
        <v>3</v>
      </c>
      <c r="K725" s="36">
        <v>135072</v>
      </c>
      <c r="L725" s="1">
        <v>1</v>
      </c>
      <c r="M725" s="37">
        <v>135072</v>
      </c>
      <c r="N725" s="1" t="s">
        <v>20155</v>
      </c>
      <c r="O725" s="1" t="s">
        <v>18248</v>
      </c>
      <c r="P725" s="876">
        <v>44308</v>
      </c>
      <c r="Q725" s="466">
        <v>28800</v>
      </c>
      <c r="R725" s="466">
        <v>50400</v>
      </c>
      <c r="S725" s="466">
        <v>3600</v>
      </c>
      <c r="T725" s="466">
        <v>0</v>
      </c>
      <c r="U725" s="466">
        <v>82800</v>
      </c>
      <c r="V725" s="11" t="s">
        <v>20155</v>
      </c>
      <c r="W725" s="39">
        <v>49752</v>
      </c>
      <c r="X725" s="39">
        <v>79632</v>
      </c>
      <c r="Y725" s="39">
        <v>5688</v>
      </c>
      <c r="Z725" s="39">
        <v>0</v>
      </c>
      <c r="AA725" s="56">
        <v>1.7275</v>
      </c>
      <c r="AB725" s="56">
        <v>1.58</v>
      </c>
      <c r="AC725" s="56">
        <v>1.58</v>
      </c>
      <c r="AD725" s="56">
        <v>0</v>
      </c>
      <c r="AE725" s="41">
        <v>0</v>
      </c>
      <c r="AF725" s="42">
        <v>0</v>
      </c>
      <c r="AG725" s="42">
        <v>0</v>
      </c>
      <c r="AH725" s="467">
        <v>1.7275</v>
      </c>
      <c r="AI725" s="467">
        <v>1.58</v>
      </c>
      <c r="AJ725" s="467">
        <v>1.58</v>
      </c>
      <c r="AK725" s="467">
        <v>0</v>
      </c>
      <c r="AL725" s="44">
        <v>1</v>
      </c>
      <c r="AM725" s="44" t="s">
        <v>20296</v>
      </c>
      <c r="AN725" s="468" t="s">
        <v>20296</v>
      </c>
      <c r="AO725" s="468">
        <v>0</v>
      </c>
    </row>
    <row r="726" spans="1:41" hidden="1">
      <c r="A726" s="50">
        <v>121</v>
      </c>
      <c r="B726" s="1" t="s">
        <v>133</v>
      </c>
      <c r="C726" s="50">
        <v>0</v>
      </c>
      <c r="D726" s="464" t="s">
        <v>18461</v>
      </c>
      <c r="E726" s="1" t="s">
        <v>133</v>
      </c>
      <c r="F726" s="53">
        <v>44303</v>
      </c>
      <c r="G726" s="1">
        <v>2021</v>
      </c>
      <c r="H726" s="1" t="s">
        <v>16972</v>
      </c>
      <c r="I726" s="1" t="s">
        <v>16973</v>
      </c>
      <c r="J726" s="1" t="s">
        <v>3</v>
      </c>
      <c r="K726" s="36">
        <v>378000</v>
      </c>
      <c r="L726" s="1">
        <v>1</v>
      </c>
      <c r="M726" s="37">
        <v>378000</v>
      </c>
      <c r="N726" s="1" t="s">
        <v>20155</v>
      </c>
      <c r="O726" s="1" t="s">
        <v>17801</v>
      </c>
      <c r="P726" s="876">
        <v>44327</v>
      </c>
      <c r="Q726" s="466">
        <v>0</v>
      </c>
      <c r="R726" s="466">
        <v>0</v>
      </c>
      <c r="S726" s="466">
        <v>280000</v>
      </c>
      <c r="T726" s="466">
        <v>0</v>
      </c>
      <c r="U726" s="466">
        <v>280000</v>
      </c>
      <c r="V726" s="11" t="s">
        <v>20155</v>
      </c>
      <c r="W726" s="39">
        <v>0</v>
      </c>
      <c r="X726" s="39">
        <v>0</v>
      </c>
      <c r="Y726" s="39">
        <v>378000</v>
      </c>
      <c r="Z726" s="39">
        <v>0</v>
      </c>
      <c r="AA726" s="56">
        <v>0</v>
      </c>
      <c r="AB726" s="56">
        <v>0</v>
      </c>
      <c r="AC726" s="56">
        <v>1.35</v>
      </c>
      <c r="AD726" s="56">
        <v>0</v>
      </c>
      <c r="AE726" s="41">
        <v>0</v>
      </c>
      <c r="AF726" s="42">
        <v>0</v>
      </c>
      <c r="AG726" s="42">
        <v>0</v>
      </c>
      <c r="AH726" s="467">
        <v>0</v>
      </c>
      <c r="AI726" s="467">
        <v>0</v>
      </c>
      <c r="AJ726" s="467">
        <v>1.35</v>
      </c>
      <c r="AK726" s="467">
        <v>0</v>
      </c>
      <c r="AL726" s="44">
        <v>0</v>
      </c>
      <c r="AM726" s="44">
        <v>0</v>
      </c>
      <c r="AN726" s="468" t="s">
        <v>20300</v>
      </c>
      <c r="AO726" s="468">
        <v>0</v>
      </c>
    </row>
    <row r="727" spans="1:41" hidden="1">
      <c r="A727" s="50">
        <v>122</v>
      </c>
      <c r="B727" s="1" t="s">
        <v>134</v>
      </c>
      <c r="C727" s="50">
        <v>0</v>
      </c>
      <c r="D727" s="464" t="s">
        <v>18462</v>
      </c>
      <c r="E727" s="1" t="s">
        <v>134</v>
      </c>
      <c r="F727" s="53">
        <v>44303</v>
      </c>
      <c r="G727" s="1">
        <v>2021</v>
      </c>
      <c r="H727" s="1" t="s">
        <v>17293</v>
      </c>
      <c r="I727" s="1" t="s">
        <v>17294</v>
      </c>
      <c r="J727" s="1" t="s">
        <v>3</v>
      </c>
      <c r="K727" s="36">
        <v>23536.2</v>
      </c>
      <c r="L727" s="1">
        <v>1</v>
      </c>
      <c r="M727" s="37">
        <v>23536.2</v>
      </c>
      <c r="N727" s="1" t="s">
        <v>20155</v>
      </c>
      <c r="O727" s="1" t="s">
        <v>16394</v>
      </c>
      <c r="P727" s="876">
        <v>44312</v>
      </c>
      <c r="Q727" s="466">
        <v>450</v>
      </c>
      <c r="R727" s="466">
        <v>8448</v>
      </c>
      <c r="S727" s="466">
        <v>360</v>
      </c>
      <c r="T727" s="466">
        <v>1500</v>
      </c>
      <c r="U727" s="466">
        <v>10758</v>
      </c>
      <c r="V727" s="11" t="s">
        <v>20155</v>
      </c>
      <c r="W727" s="39">
        <v>1305</v>
      </c>
      <c r="X727" s="39">
        <v>16861.2</v>
      </c>
      <c r="Y727" s="39">
        <v>666</v>
      </c>
      <c r="Z727" s="39">
        <v>4704</v>
      </c>
      <c r="AA727" s="56">
        <v>2.9</v>
      </c>
      <c r="AB727" s="56">
        <v>1.995880681818182</v>
      </c>
      <c r="AC727" s="56">
        <v>1.85</v>
      </c>
      <c r="AD727" s="56">
        <v>3.1360000000000001</v>
      </c>
      <c r="AE727" s="41">
        <v>0</v>
      </c>
      <c r="AF727" s="42">
        <v>0</v>
      </c>
      <c r="AG727" s="42">
        <v>0</v>
      </c>
      <c r="AH727" s="467">
        <v>2.9</v>
      </c>
      <c r="AI727" s="467">
        <v>1.995880681818182</v>
      </c>
      <c r="AJ727" s="467">
        <v>1.85</v>
      </c>
      <c r="AK727" s="467">
        <v>3.1360000000000001</v>
      </c>
      <c r="AL727" s="44">
        <v>1</v>
      </c>
      <c r="AM727" s="44">
        <v>1</v>
      </c>
      <c r="AN727" s="468">
        <v>1</v>
      </c>
      <c r="AO727" s="468">
        <v>1</v>
      </c>
    </row>
    <row r="728" spans="1:41" hidden="1">
      <c r="A728" s="50">
        <v>123</v>
      </c>
      <c r="B728" s="1" t="s">
        <v>135</v>
      </c>
      <c r="C728" s="50">
        <v>0</v>
      </c>
      <c r="D728" s="464" t="s">
        <v>18463</v>
      </c>
      <c r="E728" s="1" t="s">
        <v>135</v>
      </c>
      <c r="F728" s="53">
        <v>44303</v>
      </c>
      <c r="G728" s="1">
        <v>2021</v>
      </c>
      <c r="H728" s="1" t="s">
        <v>17017</v>
      </c>
      <c r="I728" s="1" t="s">
        <v>17018</v>
      </c>
      <c r="J728" s="1" t="s">
        <v>3</v>
      </c>
      <c r="K728" s="36">
        <v>15125.6</v>
      </c>
      <c r="L728" s="1">
        <v>1</v>
      </c>
      <c r="M728" s="37">
        <v>15125.6</v>
      </c>
      <c r="N728" s="1" t="s">
        <v>20155</v>
      </c>
      <c r="O728" s="1" t="s">
        <v>20304</v>
      </c>
      <c r="P728" s="876">
        <v>44309</v>
      </c>
      <c r="Q728" s="466">
        <v>0</v>
      </c>
      <c r="R728" s="466">
        <v>4240</v>
      </c>
      <c r="S728" s="466">
        <v>0</v>
      </c>
      <c r="T728" s="466">
        <v>1720</v>
      </c>
      <c r="U728" s="466">
        <v>5960</v>
      </c>
      <c r="V728" s="11" t="s">
        <v>20155</v>
      </c>
      <c r="W728" s="39">
        <v>0</v>
      </c>
      <c r="X728" s="39">
        <v>9301.6</v>
      </c>
      <c r="Y728" s="39">
        <v>0</v>
      </c>
      <c r="Z728" s="39">
        <v>5824</v>
      </c>
      <c r="AA728" s="56">
        <v>0</v>
      </c>
      <c r="AB728" s="56">
        <v>2.1937735849056605</v>
      </c>
      <c r="AC728" s="56">
        <v>0</v>
      </c>
      <c r="AD728" s="56">
        <v>3.386046511627907</v>
      </c>
      <c r="AE728" s="41">
        <v>0</v>
      </c>
      <c r="AF728" s="42">
        <v>0</v>
      </c>
      <c r="AG728" s="42">
        <v>0</v>
      </c>
      <c r="AH728" s="467">
        <v>0</v>
      </c>
      <c r="AI728" s="467">
        <v>2.1937735849056605</v>
      </c>
      <c r="AJ728" s="467">
        <v>0</v>
      </c>
      <c r="AK728" s="467">
        <v>3.386046511627907</v>
      </c>
      <c r="AL728" s="44">
        <v>0</v>
      </c>
      <c r="AM728" s="44">
        <v>1</v>
      </c>
      <c r="AN728" s="468">
        <v>0</v>
      </c>
      <c r="AO728" s="468">
        <v>1</v>
      </c>
    </row>
    <row r="729" spans="1:41" hidden="1">
      <c r="A729" s="50">
        <v>124</v>
      </c>
      <c r="B729" s="1" t="s">
        <v>136</v>
      </c>
      <c r="C729" s="50">
        <v>0</v>
      </c>
      <c r="D729" s="464" t="s">
        <v>18464</v>
      </c>
      <c r="E729" s="1" t="s">
        <v>136</v>
      </c>
      <c r="F729" s="53">
        <v>44306</v>
      </c>
      <c r="G729" s="1">
        <v>2021</v>
      </c>
      <c r="H729" s="1" t="s">
        <v>16444</v>
      </c>
      <c r="I729" s="1" t="s">
        <v>16445</v>
      </c>
      <c r="J729" s="1" t="s">
        <v>3</v>
      </c>
      <c r="K729" s="36">
        <v>78354.899999999994</v>
      </c>
      <c r="L729" s="1">
        <v>1</v>
      </c>
      <c r="M729" s="37">
        <v>78354.899999999994</v>
      </c>
      <c r="N729" s="1" t="s">
        <v>20155</v>
      </c>
      <c r="O729" s="1" t="s">
        <v>17693</v>
      </c>
      <c r="P729" s="876">
        <v>44319</v>
      </c>
      <c r="Q729" s="466">
        <v>44010</v>
      </c>
      <c r="R729" s="466">
        <v>0</v>
      </c>
      <c r="S729" s="466">
        <v>0</v>
      </c>
      <c r="T729" s="466">
        <v>0</v>
      </c>
      <c r="U729" s="466">
        <v>44010</v>
      </c>
      <c r="V729" s="11" t="s">
        <v>20155</v>
      </c>
      <c r="W729" s="39">
        <v>78354.899999999994</v>
      </c>
      <c r="X729" s="39">
        <v>0</v>
      </c>
      <c r="Y729" s="39">
        <v>0</v>
      </c>
      <c r="Z729" s="39">
        <v>0</v>
      </c>
      <c r="AA729" s="56">
        <v>1.7803885480572597</v>
      </c>
      <c r="AB729" s="56">
        <v>0</v>
      </c>
      <c r="AC729" s="56">
        <v>0</v>
      </c>
      <c r="AD729" s="56">
        <v>0</v>
      </c>
      <c r="AE729" s="41">
        <v>0</v>
      </c>
      <c r="AF729" s="42">
        <v>0</v>
      </c>
      <c r="AG729" s="42">
        <v>0</v>
      </c>
      <c r="AH729" s="467">
        <v>1.7803885480572597</v>
      </c>
      <c r="AI729" s="467">
        <v>0</v>
      </c>
      <c r="AJ729" s="467">
        <v>0</v>
      </c>
      <c r="AK729" s="467">
        <v>0</v>
      </c>
      <c r="AL729" s="44">
        <v>1</v>
      </c>
      <c r="AM729" s="44">
        <v>0</v>
      </c>
      <c r="AN729" s="468">
        <v>0</v>
      </c>
      <c r="AO729" s="468">
        <v>0</v>
      </c>
    </row>
    <row r="730" spans="1:41" hidden="1">
      <c r="A730" s="50">
        <v>125</v>
      </c>
      <c r="B730" s="1" t="s">
        <v>137</v>
      </c>
      <c r="C730" s="50">
        <v>0</v>
      </c>
      <c r="D730" s="464" t="s">
        <v>18465</v>
      </c>
      <c r="E730" s="1" t="s">
        <v>137</v>
      </c>
      <c r="F730" s="53">
        <v>44306</v>
      </c>
      <c r="G730" s="1">
        <v>2021</v>
      </c>
      <c r="H730" s="1" t="s">
        <v>17017</v>
      </c>
      <c r="I730" s="1" t="s">
        <v>17018</v>
      </c>
      <c r="J730" s="1" t="s">
        <v>3</v>
      </c>
      <c r="K730" s="36">
        <v>58060.800000000003</v>
      </c>
      <c r="L730" s="1">
        <v>1</v>
      </c>
      <c r="M730" s="37">
        <v>58060.800000000003</v>
      </c>
      <c r="N730" s="1" t="s">
        <v>20155</v>
      </c>
      <c r="O730" s="1" t="s">
        <v>20158</v>
      </c>
      <c r="P730" s="876">
        <v>44315</v>
      </c>
      <c r="Q730" s="466">
        <v>0</v>
      </c>
      <c r="R730" s="466">
        <v>0</v>
      </c>
      <c r="S730" s="466">
        <v>33600</v>
      </c>
      <c r="T730" s="466">
        <v>0</v>
      </c>
      <c r="U730" s="466">
        <v>33600</v>
      </c>
      <c r="V730" s="11" t="s">
        <v>20155</v>
      </c>
      <c r="W730" s="39">
        <v>0</v>
      </c>
      <c r="X730" s="39">
        <v>0</v>
      </c>
      <c r="Y730" s="39">
        <v>58060.800000000003</v>
      </c>
      <c r="Z730" s="39">
        <v>0</v>
      </c>
      <c r="AA730" s="56">
        <v>0</v>
      </c>
      <c r="AB730" s="56">
        <v>0</v>
      </c>
      <c r="AC730" s="56">
        <v>1.728</v>
      </c>
      <c r="AD730" s="56">
        <v>0</v>
      </c>
      <c r="AE730" s="41">
        <v>0</v>
      </c>
      <c r="AF730" s="42">
        <v>0</v>
      </c>
      <c r="AG730" s="42">
        <v>0</v>
      </c>
      <c r="AH730" s="467">
        <v>0</v>
      </c>
      <c r="AI730" s="467">
        <v>0</v>
      </c>
      <c r="AJ730" s="467">
        <v>1.728</v>
      </c>
      <c r="AK730" s="467">
        <v>0</v>
      </c>
      <c r="AL730" s="44">
        <v>0</v>
      </c>
      <c r="AM730" s="44">
        <v>0</v>
      </c>
      <c r="AN730" s="468">
        <v>1</v>
      </c>
      <c r="AO730" s="468">
        <v>0</v>
      </c>
    </row>
    <row r="731" spans="1:41" hidden="1">
      <c r="A731" s="50">
        <v>126</v>
      </c>
      <c r="B731" s="1" t="s">
        <v>138</v>
      </c>
      <c r="C731" s="50">
        <v>0</v>
      </c>
      <c r="D731" s="464" t="s">
        <v>18466</v>
      </c>
      <c r="E731" s="1" t="s">
        <v>138</v>
      </c>
      <c r="F731" s="53">
        <v>44313</v>
      </c>
      <c r="G731" s="1">
        <v>2021</v>
      </c>
      <c r="H731" s="1" t="s">
        <v>16444</v>
      </c>
      <c r="I731" s="1" t="s">
        <v>16445</v>
      </c>
      <c r="J731" s="1" t="s">
        <v>3</v>
      </c>
      <c r="K731" s="36">
        <v>131328</v>
      </c>
      <c r="L731" s="1">
        <v>1</v>
      </c>
      <c r="M731" s="37">
        <v>131328</v>
      </c>
      <c r="N731" s="1" t="s">
        <v>20155</v>
      </c>
      <c r="O731" s="1" t="s">
        <v>17798</v>
      </c>
      <c r="P731" s="876">
        <v>44335</v>
      </c>
      <c r="Q731" s="466">
        <v>76800</v>
      </c>
      <c r="R731" s="466">
        <v>0</v>
      </c>
      <c r="S731" s="466">
        <v>0</v>
      </c>
      <c r="T731" s="466">
        <v>0</v>
      </c>
      <c r="U731" s="466">
        <v>76800</v>
      </c>
      <c r="V731" s="11" t="s">
        <v>20155</v>
      </c>
      <c r="W731" s="39">
        <v>131328</v>
      </c>
      <c r="X731" s="39">
        <v>0</v>
      </c>
      <c r="Y731" s="39">
        <v>0</v>
      </c>
      <c r="Z731" s="39">
        <v>0</v>
      </c>
      <c r="AA731" s="56">
        <v>1.71</v>
      </c>
      <c r="AB731" s="56">
        <v>0</v>
      </c>
      <c r="AC731" s="56">
        <v>0</v>
      </c>
      <c r="AD731" s="56">
        <v>0</v>
      </c>
      <c r="AE731" s="41">
        <v>0</v>
      </c>
      <c r="AF731" s="42">
        <v>0</v>
      </c>
      <c r="AG731" s="42">
        <v>0</v>
      </c>
      <c r="AH731" s="467">
        <v>1.71</v>
      </c>
      <c r="AI731" s="467">
        <v>0</v>
      </c>
      <c r="AJ731" s="467">
        <v>0</v>
      </c>
      <c r="AK731" s="467">
        <v>0</v>
      </c>
      <c r="AL731" s="44">
        <v>1</v>
      </c>
      <c r="AM731" s="44">
        <v>0</v>
      </c>
      <c r="AN731" s="468">
        <v>0</v>
      </c>
      <c r="AO731" s="468">
        <v>0</v>
      </c>
    </row>
    <row r="732" spans="1:41" hidden="1">
      <c r="A732" s="50">
        <v>127</v>
      </c>
      <c r="B732" s="1" t="s">
        <v>139</v>
      </c>
      <c r="C732" s="50">
        <v>0</v>
      </c>
      <c r="D732" s="464" t="s">
        <v>18467</v>
      </c>
      <c r="E732" s="1" t="s">
        <v>139</v>
      </c>
      <c r="F732" s="53">
        <v>44316</v>
      </c>
      <c r="G732" s="1">
        <v>2021</v>
      </c>
      <c r="H732" s="1" t="s">
        <v>17274</v>
      </c>
      <c r="I732" s="1" t="s">
        <v>17275</v>
      </c>
      <c r="J732" s="1" t="s">
        <v>16482</v>
      </c>
      <c r="K732" s="36">
        <v>49107.130072</v>
      </c>
      <c r="L732" s="1">
        <v>3.3058000000000001</v>
      </c>
      <c r="M732" s="37">
        <v>14854.84</v>
      </c>
      <c r="N732" s="1" t="s">
        <v>20155</v>
      </c>
      <c r="O732" s="1" t="s">
        <v>16394</v>
      </c>
      <c r="P732" s="876">
        <v>44322</v>
      </c>
      <c r="Q732" s="466">
        <v>0</v>
      </c>
      <c r="R732" s="466">
        <v>14928</v>
      </c>
      <c r="S732" s="466">
        <v>10500</v>
      </c>
      <c r="T732" s="466">
        <v>304</v>
      </c>
      <c r="U732" s="466">
        <v>25732</v>
      </c>
      <c r="V732" s="11" t="s">
        <v>20155</v>
      </c>
      <c r="W732" s="39">
        <v>0</v>
      </c>
      <c r="X732" s="39">
        <v>28128.919968000009</v>
      </c>
      <c r="Y732" s="39">
        <v>19785.213</v>
      </c>
      <c r="Z732" s="39">
        <v>1192.997104</v>
      </c>
      <c r="AA732" s="56">
        <v>0</v>
      </c>
      <c r="AB732" s="56">
        <v>1.8843060000000007</v>
      </c>
      <c r="AC732" s="56">
        <v>1.884306</v>
      </c>
      <c r="AD732" s="56">
        <v>3.9243325789473684</v>
      </c>
      <c r="AE732" s="41">
        <v>0</v>
      </c>
      <c r="AF732" s="42">
        <v>0</v>
      </c>
      <c r="AG732" s="42">
        <v>0</v>
      </c>
      <c r="AH732" s="467">
        <v>0</v>
      </c>
      <c r="AI732" s="467">
        <v>1.8843060000000007</v>
      </c>
      <c r="AJ732" s="467">
        <v>1.884306</v>
      </c>
      <c r="AK732" s="467">
        <v>3.9243325789473684</v>
      </c>
      <c r="AL732" s="44">
        <v>0</v>
      </c>
      <c r="AM732" s="44">
        <v>1</v>
      </c>
      <c r="AN732" s="468">
        <v>1</v>
      </c>
      <c r="AO732" s="468">
        <v>1</v>
      </c>
    </row>
    <row r="733" spans="1:41" hidden="1">
      <c r="A733" s="50">
        <v>128</v>
      </c>
      <c r="B733" s="1" t="s">
        <v>140</v>
      </c>
      <c r="C733" s="50">
        <v>0</v>
      </c>
      <c r="D733" s="464" t="s">
        <v>18468</v>
      </c>
      <c r="E733" s="1" t="s">
        <v>140</v>
      </c>
      <c r="F733" s="53">
        <v>44320</v>
      </c>
      <c r="G733" s="1">
        <v>2021</v>
      </c>
      <c r="H733" s="1" t="s">
        <v>17226</v>
      </c>
      <c r="I733" s="1" t="s">
        <v>17227</v>
      </c>
      <c r="J733" s="1" t="s">
        <v>3</v>
      </c>
      <c r="K733" s="36">
        <v>38274.400000000001</v>
      </c>
      <c r="L733" s="1">
        <v>1</v>
      </c>
      <c r="M733" s="37">
        <v>38274.400000000001</v>
      </c>
      <c r="N733" s="1" t="s">
        <v>20155</v>
      </c>
      <c r="O733" s="1" t="s">
        <v>17689</v>
      </c>
      <c r="P733" s="876">
        <v>44337</v>
      </c>
      <c r="Q733" s="466">
        <v>11040</v>
      </c>
      <c r="R733" s="466">
        <v>8200</v>
      </c>
      <c r="S733" s="466">
        <v>0</v>
      </c>
      <c r="T733" s="466">
        <v>1100</v>
      </c>
      <c r="U733" s="466">
        <v>20340</v>
      </c>
      <c r="V733" s="11" t="s">
        <v>20155</v>
      </c>
      <c r="W733" s="39">
        <v>20006.400000000001</v>
      </c>
      <c r="X733" s="39">
        <v>16118</v>
      </c>
      <c r="Y733" s="39">
        <v>0</v>
      </c>
      <c r="Z733" s="39">
        <v>2150</v>
      </c>
      <c r="AA733" s="56">
        <v>1.8121739130434784</v>
      </c>
      <c r="AB733" s="56">
        <v>1.9656097560975609</v>
      </c>
      <c r="AC733" s="56">
        <v>0</v>
      </c>
      <c r="AD733" s="56">
        <v>1.9545454545454546</v>
      </c>
      <c r="AE733" s="41">
        <v>0</v>
      </c>
      <c r="AF733" s="42">
        <v>0</v>
      </c>
      <c r="AG733" s="42">
        <v>0</v>
      </c>
      <c r="AH733" s="467">
        <v>1.8121739130434784</v>
      </c>
      <c r="AI733" s="467">
        <v>1.9656097560975609</v>
      </c>
      <c r="AJ733" s="467">
        <v>0</v>
      </c>
      <c r="AK733" s="467">
        <v>1.9545454545454546</v>
      </c>
      <c r="AL733" s="44">
        <v>1</v>
      </c>
      <c r="AM733" s="44">
        <v>1</v>
      </c>
      <c r="AN733" s="468">
        <v>0</v>
      </c>
      <c r="AO733" s="468">
        <v>1</v>
      </c>
    </row>
    <row r="734" spans="1:41" hidden="1">
      <c r="A734" s="50">
        <v>129</v>
      </c>
      <c r="B734" s="1" t="s">
        <v>141</v>
      </c>
      <c r="C734" s="50">
        <v>0</v>
      </c>
      <c r="D734" s="464" t="s">
        <v>18469</v>
      </c>
      <c r="E734" s="1" t="s">
        <v>141</v>
      </c>
      <c r="F734" s="53">
        <v>44320</v>
      </c>
      <c r="G734" s="1">
        <v>2021</v>
      </c>
      <c r="H734" s="1" t="s">
        <v>16444</v>
      </c>
      <c r="I734" s="1" t="s">
        <v>16445</v>
      </c>
      <c r="J734" s="1" t="s">
        <v>3</v>
      </c>
      <c r="K734" s="36">
        <v>259220</v>
      </c>
      <c r="L734" s="1">
        <v>1</v>
      </c>
      <c r="M734" s="37">
        <v>259220</v>
      </c>
      <c r="N734" s="1" t="s">
        <v>20155</v>
      </c>
      <c r="O734" s="1" t="s">
        <v>17801</v>
      </c>
      <c r="P734" s="876">
        <v>44326</v>
      </c>
      <c r="Q734" s="466">
        <v>0</v>
      </c>
      <c r="R734" s="466">
        <v>199400</v>
      </c>
      <c r="S734" s="466">
        <v>0</v>
      </c>
      <c r="T734" s="466">
        <v>0</v>
      </c>
      <c r="U734" s="466">
        <v>199400</v>
      </c>
      <c r="V734" s="11" t="s">
        <v>20155</v>
      </c>
      <c r="W734" s="39">
        <v>0</v>
      </c>
      <c r="X734" s="39">
        <v>259220</v>
      </c>
      <c r="Y734" s="39">
        <v>0</v>
      </c>
      <c r="Z734" s="39">
        <v>0</v>
      </c>
      <c r="AA734" s="56">
        <v>0</v>
      </c>
      <c r="AB734" s="56">
        <v>1.3</v>
      </c>
      <c r="AC734" s="56">
        <v>0</v>
      </c>
      <c r="AD734" s="56">
        <v>0</v>
      </c>
      <c r="AE734" s="41">
        <v>0</v>
      </c>
      <c r="AF734" s="42">
        <v>0</v>
      </c>
      <c r="AG734" s="42">
        <v>0</v>
      </c>
      <c r="AH734" s="467">
        <v>0</v>
      </c>
      <c r="AI734" s="467">
        <v>1.3</v>
      </c>
      <c r="AJ734" s="467">
        <v>0</v>
      </c>
      <c r="AK734" s="467">
        <v>0</v>
      </c>
      <c r="AL734" s="44">
        <v>0</v>
      </c>
      <c r="AM734" s="44" t="s">
        <v>20300</v>
      </c>
      <c r="AN734" s="468">
        <v>0</v>
      </c>
      <c r="AO734" s="468">
        <v>0</v>
      </c>
    </row>
    <row r="735" spans="1:41" hidden="1">
      <c r="A735" s="50">
        <v>130</v>
      </c>
      <c r="B735" s="1" t="s">
        <v>142</v>
      </c>
      <c r="C735" s="50">
        <v>0</v>
      </c>
      <c r="D735" s="464" t="s">
        <v>18470</v>
      </c>
      <c r="E735" s="1" t="s">
        <v>142</v>
      </c>
      <c r="F735" s="53">
        <v>44321</v>
      </c>
      <c r="G735" s="1">
        <v>2021</v>
      </c>
      <c r="H735" s="1" t="s">
        <v>17291</v>
      </c>
      <c r="I735" s="1" t="s">
        <v>17292</v>
      </c>
      <c r="J735" s="1" t="s">
        <v>16482</v>
      </c>
      <c r="K735" s="36">
        <v>52430.644597999992</v>
      </c>
      <c r="L735" s="1">
        <v>3.3220999999999998</v>
      </c>
      <c r="M735" s="37">
        <v>15782.38</v>
      </c>
      <c r="N735" s="1" t="s">
        <v>20155</v>
      </c>
      <c r="O735" s="1" t="s">
        <v>16394</v>
      </c>
      <c r="P735" s="876">
        <v>44342</v>
      </c>
      <c r="Q735" s="466">
        <v>0</v>
      </c>
      <c r="R735" s="466">
        <v>10384</v>
      </c>
      <c r="S735" s="466">
        <v>10500</v>
      </c>
      <c r="T735" s="466">
        <v>4300</v>
      </c>
      <c r="U735" s="466">
        <v>25184</v>
      </c>
      <c r="V735" s="11" t="s">
        <v>20231</v>
      </c>
      <c r="W735" s="39">
        <v>0</v>
      </c>
      <c r="X735" s="39">
        <v>26793.998898000002</v>
      </c>
      <c r="Y735" s="39">
        <v>19882.768499999998</v>
      </c>
      <c r="Z735" s="39">
        <v>5753.8771999999999</v>
      </c>
      <c r="AA735" s="56">
        <v>0</v>
      </c>
      <c r="AB735" s="56">
        <v>2.5803157644453005</v>
      </c>
      <c r="AC735" s="56">
        <v>1.8935969999999998</v>
      </c>
      <c r="AD735" s="56">
        <v>1.3381109767441861</v>
      </c>
      <c r="AE735" s="41">
        <v>0</v>
      </c>
      <c r="AF735" s="42">
        <v>0</v>
      </c>
      <c r="AG735" s="42">
        <v>0</v>
      </c>
      <c r="AH735" s="467">
        <v>0</v>
      </c>
      <c r="AI735" s="467">
        <v>2.5803157644453005</v>
      </c>
      <c r="AJ735" s="467">
        <v>1.8935969999999998</v>
      </c>
      <c r="AK735" s="467">
        <v>1.3381109767441861</v>
      </c>
      <c r="AL735" s="44">
        <v>0</v>
      </c>
      <c r="AM735" s="44">
        <v>1</v>
      </c>
      <c r="AN735" s="468">
        <v>1</v>
      </c>
      <c r="AO735" s="468">
        <v>1</v>
      </c>
    </row>
    <row r="736" spans="1:41" hidden="1">
      <c r="A736" s="50">
        <v>131</v>
      </c>
      <c r="B736" s="1" t="s">
        <v>143</v>
      </c>
      <c r="C736" s="50">
        <v>0</v>
      </c>
      <c r="D736" s="464" t="s">
        <v>18471</v>
      </c>
      <c r="E736" s="1" t="s">
        <v>143</v>
      </c>
      <c r="F736" s="53">
        <v>44321</v>
      </c>
      <c r="G736" s="1">
        <v>2021</v>
      </c>
      <c r="H736" s="1" t="s">
        <v>16754</v>
      </c>
      <c r="I736" s="1" t="s">
        <v>16755</v>
      </c>
      <c r="J736" s="1" t="s">
        <v>16401</v>
      </c>
      <c r="K736" s="36">
        <v>248210.196</v>
      </c>
      <c r="L736" s="1">
        <v>2.7353999999999998</v>
      </c>
      <c r="M736" s="37">
        <v>90740</v>
      </c>
      <c r="N736" s="1" t="s">
        <v>20155</v>
      </c>
      <c r="O736" s="1" t="s">
        <v>20312</v>
      </c>
      <c r="P736" s="876">
        <v>44363</v>
      </c>
      <c r="Q736" s="466">
        <v>0</v>
      </c>
      <c r="R736" s="466">
        <v>0</v>
      </c>
      <c r="S736" s="466">
        <v>130000</v>
      </c>
      <c r="T736" s="466">
        <v>0</v>
      </c>
      <c r="U736" s="466">
        <v>130000</v>
      </c>
      <c r="V736" s="11" t="s">
        <v>20231</v>
      </c>
      <c r="W736" s="39">
        <v>0</v>
      </c>
      <c r="X736" s="39">
        <v>0</v>
      </c>
      <c r="Y736" s="39">
        <v>248210.19600000005</v>
      </c>
      <c r="Z736" s="39">
        <v>0</v>
      </c>
      <c r="AA736" s="56">
        <v>0</v>
      </c>
      <c r="AB736" s="56">
        <v>0</v>
      </c>
      <c r="AC736" s="56">
        <v>1.9093092000000005</v>
      </c>
      <c r="AD736" s="56">
        <v>0</v>
      </c>
      <c r="AE736" s="41">
        <v>14065.444000000001</v>
      </c>
      <c r="AF736" s="42">
        <v>40964.71</v>
      </c>
      <c r="AG736" s="42">
        <v>0.31511315384615385</v>
      </c>
      <c r="AH736" s="467">
        <v>0</v>
      </c>
      <c r="AI736" s="467">
        <v>0</v>
      </c>
      <c r="AJ736" s="467">
        <v>1.5941960461538467</v>
      </c>
      <c r="AK736" s="467">
        <v>0</v>
      </c>
      <c r="AL736" s="44">
        <v>0</v>
      </c>
      <c r="AM736" s="44">
        <v>0</v>
      </c>
      <c r="AN736" s="468" t="s">
        <v>20296</v>
      </c>
      <c r="AO736" s="468">
        <v>0</v>
      </c>
    </row>
    <row r="737" spans="1:41" hidden="1">
      <c r="A737" s="50">
        <v>132</v>
      </c>
      <c r="B737" s="1" t="s">
        <v>144</v>
      </c>
      <c r="C737" s="50">
        <v>0</v>
      </c>
      <c r="D737" s="464" t="s">
        <v>18472</v>
      </c>
      <c r="E737" s="1" t="s">
        <v>144</v>
      </c>
      <c r="F737" s="53">
        <v>44321</v>
      </c>
      <c r="G737" s="1">
        <v>2021</v>
      </c>
      <c r="H737" s="1" t="s">
        <v>17017</v>
      </c>
      <c r="I737" s="1" t="s">
        <v>17018</v>
      </c>
      <c r="J737" s="1" t="s">
        <v>3</v>
      </c>
      <c r="K737" s="36">
        <v>35200</v>
      </c>
      <c r="L737" s="1">
        <v>1</v>
      </c>
      <c r="M737" s="37">
        <v>35200</v>
      </c>
      <c r="N737" s="1" t="s">
        <v>20155</v>
      </c>
      <c r="O737" s="1" t="s">
        <v>18064</v>
      </c>
      <c r="P737" s="876">
        <v>44334</v>
      </c>
      <c r="Q737" s="466">
        <v>0</v>
      </c>
      <c r="R737" s="466">
        <v>20000</v>
      </c>
      <c r="S737" s="466">
        <v>0</v>
      </c>
      <c r="T737" s="466">
        <v>0</v>
      </c>
      <c r="U737" s="466">
        <v>20000</v>
      </c>
      <c r="V737" s="11" t="s">
        <v>20155</v>
      </c>
      <c r="W737" s="39">
        <v>0</v>
      </c>
      <c r="X737" s="39">
        <v>35200</v>
      </c>
      <c r="Y737" s="39">
        <v>0</v>
      </c>
      <c r="Z737" s="39">
        <v>0</v>
      </c>
      <c r="AA737" s="56">
        <v>0</v>
      </c>
      <c r="AB737" s="56">
        <v>1.76</v>
      </c>
      <c r="AC737" s="56">
        <v>0</v>
      </c>
      <c r="AD737" s="56">
        <v>0</v>
      </c>
      <c r="AE737" s="41">
        <v>0</v>
      </c>
      <c r="AF737" s="42">
        <v>0</v>
      </c>
      <c r="AG737" s="42">
        <v>0</v>
      </c>
      <c r="AH737" s="467">
        <v>0</v>
      </c>
      <c r="AI737" s="467">
        <v>1.76</v>
      </c>
      <c r="AJ737" s="467">
        <v>0</v>
      </c>
      <c r="AK737" s="467">
        <v>0</v>
      </c>
      <c r="AL737" s="44">
        <v>0</v>
      </c>
      <c r="AM737" s="44">
        <v>1</v>
      </c>
      <c r="AN737" s="468">
        <v>0</v>
      </c>
      <c r="AO737" s="468">
        <v>0</v>
      </c>
    </row>
    <row r="738" spans="1:41" hidden="1">
      <c r="A738" s="50">
        <v>133</v>
      </c>
      <c r="B738" s="1" t="s">
        <v>145</v>
      </c>
      <c r="C738" s="50">
        <v>0</v>
      </c>
      <c r="D738" s="464" t="s">
        <v>18473</v>
      </c>
      <c r="E738" s="1" t="s">
        <v>145</v>
      </c>
      <c r="F738" s="53">
        <v>44321</v>
      </c>
      <c r="G738" s="1">
        <v>2021</v>
      </c>
      <c r="H738" s="1" t="s">
        <v>16823</v>
      </c>
      <c r="I738" s="1" t="s">
        <v>16824</v>
      </c>
      <c r="J738" s="1" t="s">
        <v>16401</v>
      </c>
      <c r="K738" s="36">
        <v>137359.01963699999</v>
      </c>
      <c r="L738" s="1">
        <v>2.7197</v>
      </c>
      <c r="M738" s="37">
        <v>50505.21</v>
      </c>
      <c r="N738" s="1" t="s">
        <v>20155</v>
      </c>
      <c r="O738" s="1" t="s">
        <v>17965</v>
      </c>
      <c r="P738" s="876">
        <v>44343</v>
      </c>
      <c r="Q738" s="466">
        <v>31608</v>
      </c>
      <c r="R738" s="466">
        <v>34378</v>
      </c>
      <c r="S738" s="466">
        <v>0</v>
      </c>
      <c r="T738" s="466">
        <v>0</v>
      </c>
      <c r="U738" s="466">
        <v>65986</v>
      </c>
      <c r="V738" s="11" t="s">
        <v>20231</v>
      </c>
      <c r="W738" s="39">
        <v>67979.197413383823</v>
      </c>
      <c r="X738" s="39">
        <v>69379.822223616196</v>
      </c>
      <c r="Y738" s="39">
        <v>0</v>
      </c>
      <c r="Z738" s="39">
        <v>0</v>
      </c>
      <c r="AA738" s="56">
        <v>2.1506959444882252</v>
      </c>
      <c r="AB738" s="56">
        <v>2.0181459719476464</v>
      </c>
      <c r="AC738" s="56">
        <v>0</v>
      </c>
      <c r="AD738" s="56">
        <v>0</v>
      </c>
      <c r="AE738" s="41">
        <v>9674.0267999999996</v>
      </c>
      <c r="AF738" s="42">
        <v>27633.706999999999</v>
      </c>
      <c r="AG738" s="42">
        <v>0.4187813627133028</v>
      </c>
      <c r="AH738" s="467">
        <v>1.7319145817749224</v>
      </c>
      <c r="AI738" s="467">
        <v>1.5993646092343436</v>
      </c>
      <c r="AJ738" s="467">
        <v>0</v>
      </c>
      <c r="AK738" s="467">
        <v>0</v>
      </c>
      <c r="AL738" s="44">
        <v>1</v>
      </c>
      <c r="AM738" s="44" t="s">
        <v>20296</v>
      </c>
      <c r="AN738" s="468">
        <v>0</v>
      </c>
      <c r="AO738" s="468">
        <v>0</v>
      </c>
    </row>
    <row r="739" spans="1:41" hidden="1">
      <c r="A739" s="50">
        <v>134</v>
      </c>
      <c r="B739" s="1" t="s">
        <v>146</v>
      </c>
      <c r="C739" s="50">
        <v>0</v>
      </c>
      <c r="D739" s="464" t="s">
        <v>18474</v>
      </c>
      <c r="E739" s="1" t="s">
        <v>146</v>
      </c>
      <c r="F739" s="53">
        <v>44321</v>
      </c>
      <c r="G739" s="1">
        <v>2021</v>
      </c>
      <c r="H739" s="1" t="s">
        <v>16904</v>
      </c>
      <c r="I739" s="1" t="s">
        <v>16905</v>
      </c>
      <c r="J739" s="1" t="s">
        <v>16482</v>
      </c>
      <c r="K739" s="36">
        <v>64038.253632000007</v>
      </c>
      <c r="L739" s="1">
        <v>3.3168000000000002</v>
      </c>
      <c r="M739" s="37">
        <v>19307.240000000002</v>
      </c>
      <c r="N739" s="1" t="s">
        <v>20155</v>
      </c>
      <c r="O739" s="1" t="s">
        <v>20160</v>
      </c>
      <c r="P739" s="876">
        <v>44336</v>
      </c>
      <c r="Q739" s="466">
        <v>0</v>
      </c>
      <c r="R739" s="466">
        <v>18120</v>
      </c>
      <c r="S739" s="466">
        <v>9216</v>
      </c>
      <c r="T739" s="466">
        <v>0</v>
      </c>
      <c r="U739" s="466">
        <v>27336</v>
      </c>
      <c r="V739" s="11" t="s">
        <v>20231</v>
      </c>
      <c r="W739" s="39">
        <v>0</v>
      </c>
      <c r="X739" s="39">
        <v>42523.990418823523</v>
      </c>
      <c r="Y739" s="39">
        <v>21514.263213176469</v>
      </c>
      <c r="Z739" s="39">
        <v>0</v>
      </c>
      <c r="AA739" s="56">
        <v>0</v>
      </c>
      <c r="AB739" s="56">
        <v>2.346798588235294</v>
      </c>
      <c r="AC739" s="56">
        <v>2.334446963235294</v>
      </c>
      <c r="AD739" s="56">
        <v>0</v>
      </c>
      <c r="AE739" s="41">
        <v>4530.54</v>
      </c>
      <c r="AF739" s="42">
        <v>12500.71</v>
      </c>
      <c r="AG739" s="42">
        <v>0.45729843429909273</v>
      </c>
      <c r="AH739" s="467">
        <v>0</v>
      </c>
      <c r="AI739" s="467">
        <v>1.8895001539362013</v>
      </c>
      <c r="AJ739" s="467">
        <v>1.8771485289362013</v>
      </c>
      <c r="AK739" s="467">
        <v>0</v>
      </c>
      <c r="AL739" s="44">
        <v>0</v>
      </c>
      <c r="AM739" s="44">
        <v>1</v>
      </c>
      <c r="AN739" s="468">
        <v>1</v>
      </c>
      <c r="AO739" s="468">
        <v>0</v>
      </c>
    </row>
    <row r="740" spans="1:41" hidden="1">
      <c r="A740" s="50">
        <v>135</v>
      </c>
      <c r="B740" s="1" t="s">
        <v>147</v>
      </c>
      <c r="C740" s="50">
        <v>0</v>
      </c>
      <c r="D740" s="464" t="s">
        <v>18475</v>
      </c>
      <c r="E740" s="1" t="s">
        <v>147</v>
      </c>
      <c r="F740" s="53">
        <v>44321</v>
      </c>
      <c r="G740" s="1">
        <v>2021</v>
      </c>
      <c r="H740" s="1" t="s">
        <v>16643</v>
      </c>
      <c r="I740" s="473" t="s">
        <v>16644</v>
      </c>
      <c r="J740" s="473" t="s">
        <v>16482</v>
      </c>
      <c r="K740" s="474">
        <v>43933.669200000004</v>
      </c>
      <c r="L740" s="473">
        <v>3.3273000000000001</v>
      </c>
      <c r="M740" s="475">
        <v>13204</v>
      </c>
      <c r="N740" s="473" t="s">
        <v>20155</v>
      </c>
      <c r="O740" s="473" t="s">
        <v>20159</v>
      </c>
      <c r="P740" s="877">
        <v>44343</v>
      </c>
      <c r="Q740" s="466">
        <v>0</v>
      </c>
      <c r="R740" s="466">
        <v>22008</v>
      </c>
      <c r="S740" s="466">
        <v>0</v>
      </c>
      <c r="T740" s="466">
        <v>0</v>
      </c>
      <c r="U740" s="466">
        <v>22008</v>
      </c>
      <c r="V740" s="11" t="s">
        <v>20231</v>
      </c>
      <c r="W740" s="39">
        <v>0</v>
      </c>
      <c r="X740" s="39">
        <v>43933.669200000004</v>
      </c>
      <c r="Y740" s="39">
        <v>0</v>
      </c>
      <c r="Z740" s="39">
        <v>0</v>
      </c>
      <c r="AA740" s="56">
        <v>0</v>
      </c>
      <c r="AB740" s="56">
        <v>1.9962590512540896</v>
      </c>
      <c r="AC740" s="56">
        <v>0</v>
      </c>
      <c r="AD740" s="56">
        <v>0</v>
      </c>
      <c r="AE740" s="41">
        <v>2323.7759999999998</v>
      </c>
      <c r="AF740" s="42">
        <v>7526.6490000000003</v>
      </c>
      <c r="AG740" s="42">
        <v>0.34199604689203927</v>
      </c>
      <c r="AH740" s="43">
        <v>0</v>
      </c>
      <c r="AI740" s="43">
        <v>1.6542630043620503</v>
      </c>
      <c r="AJ740" s="43">
        <v>0</v>
      </c>
      <c r="AK740" s="43">
        <v>0</v>
      </c>
      <c r="AL740" s="44">
        <v>0</v>
      </c>
      <c r="AM740" s="44" t="s">
        <v>20296</v>
      </c>
      <c r="AN740" s="468">
        <v>0</v>
      </c>
      <c r="AO740" s="468">
        <v>0</v>
      </c>
    </row>
    <row r="741" spans="1:41" hidden="1">
      <c r="A741" s="50">
        <v>136</v>
      </c>
      <c r="B741" s="1" t="s">
        <v>148</v>
      </c>
      <c r="C741" s="50">
        <v>0</v>
      </c>
      <c r="D741" s="464" t="s">
        <v>18476</v>
      </c>
      <c r="E741" s="1" t="s">
        <v>148</v>
      </c>
      <c r="F741" s="53">
        <v>44321</v>
      </c>
      <c r="G741" s="1">
        <v>2021</v>
      </c>
      <c r="H741" s="1" t="s">
        <v>16838</v>
      </c>
      <c r="I741" s="1" t="s">
        <v>16839</v>
      </c>
      <c r="J741" s="1" t="s">
        <v>3</v>
      </c>
      <c r="K741" s="36">
        <v>44240</v>
      </c>
      <c r="L741" s="1">
        <v>1</v>
      </c>
      <c r="M741" s="37">
        <v>44240</v>
      </c>
      <c r="N741" s="1" t="s">
        <v>20155</v>
      </c>
      <c r="O741" s="1" t="s">
        <v>17771</v>
      </c>
      <c r="P741" s="876">
        <v>44343</v>
      </c>
      <c r="Q741" s="466">
        <v>0</v>
      </c>
      <c r="R741" s="466">
        <v>0</v>
      </c>
      <c r="S741" s="466">
        <v>28000</v>
      </c>
      <c r="T741" s="466">
        <v>0</v>
      </c>
      <c r="U741" s="466">
        <v>28000</v>
      </c>
      <c r="V741" s="11" t="s">
        <v>20155</v>
      </c>
      <c r="W741" s="39">
        <v>0</v>
      </c>
      <c r="X741" s="39">
        <v>0</v>
      </c>
      <c r="Y741" s="39">
        <v>44240</v>
      </c>
      <c r="Z741" s="39">
        <v>0</v>
      </c>
      <c r="AA741" s="56">
        <v>0</v>
      </c>
      <c r="AB741" s="56">
        <v>0</v>
      </c>
      <c r="AC741" s="56">
        <v>1.58</v>
      </c>
      <c r="AD741" s="56">
        <v>0</v>
      </c>
      <c r="AE741" s="41">
        <v>0</v>
      </c>
      <c r="AF741" s="42">
        <v>0</v>
      </c>
      <c r="AG741" s="42">
        <v>0</v>
      </c>
      <c r="AH741" s="467">
        <v>0</v>
      </c>
      <c r="AI741" s="467">
        <v>0</v>
      </c>
      <c r="AJ741" s="467">
        <v>1.58</v>
      </c>
      <c r="AK741" s="467">
        <v>0</v>
      </c>
      <c r="AL741" s="44">
        <v>0</v>
      </c>
      <c r="AM741" s="44">
        <v>0</v>
      </c>
      <c r="AN741" s="468" t="s">
        <v>20296</v>
      </c>
      <c r="AO741" s="468">
        <v>0</v>
      </c>
    </row>
    <row r="742" spans="1:41" hidden="1">
      <c r="A742" s="50">
        <v>137</v>
      </c>
      <c r="B742" s="1" t="s">
        <v>149</v>
      </c>
      <c r="C742" s="50">
        <v>0</v>
      </c>
      <c r="D742" s="464" t="s">
        <v>18477</v>
      </c>
      <c r="E742" s="1" t="s">
        <v>149</v>
      </c>
      <c r="F742" s="53">
        <v>44321</v>
      </c>
      <c r="G742" s="1">
        <v>2021</v>
      </c>
      <c r="H742" s="1" t="s">
        <v>16838</v>
      </c>
      <c r="I742" s="1" t="s">
        <v>16839</v>
      </c>
      <c r="J742" s="1" t="s">
        <v>3</v>
      </c>
      <c r="K742" s="36">
        <v>155156.4</v>
      </c>
      <c r="L742" s="1">
        <v>1</v>
      </c>
      <c r="M742" s="37">
        <v>155156.4</v>
      </c>
      <c r="N742" s="1" t="s">
        <v>20155</v>
      </c>
      <c r="O742" s="1" t="s">
        <v>17798</v>
      </c>
      <c r="P742" s="876">
        <v>44334</v>
      </c>
      <c r="Q742" s="466">
        <v>0</v>
      </c>
      <c r="R742" s="466">
        <v>110040</v>
      </c>
      <c r="S742" s="466">
        <v>0</v>
      </c>
      <c r="T742" s="466">
        <v>0</v>
      </c>
      <c r="U742" s="466">
        <v>110040</v>
      </c>
      <c r="V742" s="11" t="s">
        <v>20155</v>
      </c>
      <c r="W742" s="39">
        <v>0</v>
      </c>
      <c r="X742" s="39">
        <v>155156.4</v>
      </c>
      <c r="Y742" s="39">
        <v>0</v>
      </c>
      <c r="Z742" s="39">
        <v>0</v>
      </c>
      <c r="AA742" s="56">
        <v>0</v>
      </c>
      <c r="AB742" s="56">
        <v>1.41</v>
      </c>
      <c r="AC742" s="56">
        <v>0</v>
      </c>
      <c r="AD742" s="56">
        <v>0</v>
      </c>
      <c r="AE742" s="41">
        <v>0</v>
      </c>
      <c r="AF742" s="42">
        <v>0</v>
      </c>
      <c r="AG742" s="42">
        <v>0</v>
      </c>
      <c r="AH742" s="467">
        <v>0</v>
      </c>
      <c r="AI742" s="467">
        <v>1.41</v>
      </c>
      <c r="AJ742" s="467">
        <v>0</v>
      </c>
      <c r="AK742" s="467">
        <v>0</v>
      </c>
      <c r="AL742" s="44">
        <v>0</v>
      </c>
      <c r="AM742" s="44" t="s">
        <v>20300</v>
      </c>
      <c r="AN742" s="468">
        <v>0</v>
      </c>
      <c r="AO742" s="468">
        <v>0</v>
      </c>
    </row>
    <row r="743" spans="1:41" hidden="1">
      <c r="A743" s="50">
        <v>138</v>
      </c>
      <c r="B743" s="1" t="s">
        <v>150</v>
      </c>
      <c r="C743" s="50">
        <v>0</v>
      </c>
      <c r="D743" s="464" t="s">
        <v>18478</v>
      </c>
      <c r="E743" s="1" t="s">
        <v>150</v>
      </c>
      <c r="F743" s="53">
        <v>44333</v>
      </c>
      <c r="G743" s="1">
        <v>2021</v>
      </c>
      <c r="H743" s="1" t="s">
        <v>16880</v>
      </c>
      <c r="I743" s="1" t="s">
        <v>16881</v>
      </c>
      <c r="J743" s="1" t="s">
        <v>16401</v>
      </c>
      <c r="K743" s="36">
        <v>69433.941000000006</v>
      </c>
      <c r="L743" s="1">
        <v>2.7197</v>
      </c>
      <c r="M743" s="37">
        <v>25530</v>
      </c>
      <c r="N743" s="1" t="s">
        <v>20155</v>
      </c>
      <c r="O743" s="1" t="s">
        <v>20156</v>
      </c>
      <c r="P743" s="876">
        <v>44341</v>
      </c>
      <c r="Q743" s="466">
        <v>0</v>
      </c>
      <c r="R743" s="466">
        <v>21000</v>
      </c>
      <c r="S743" s="466">
        <v>0</v>
      </c>
      <c r="T743" s="466">
        <v>0</v>
      </c>
      <c r="U743" s="466">
        <v>21000</v>
      </c>
      <c r="V743" s="11" t="s">
        <v>20231</v>
      </c>
      <c r="W743" s="39">
        <v>0</v>
      </c>
      <c r="X743" s="39">
        <v>69433.941000000021</v>
      </c>
      <c r="Y743" s="39">
        <v>0</v>
      </c>
      <c r="Z743" s="39">
        <v>0</v>
      </c>
      <c r="AA743" s="56">
        <v>0</v>
      </c>
      <c r="AB743" s="56">
        <v>3.3063781428571439</v>
      </c>
      <c r="AC743" s="56">
        <v>0</v>
      </c>
      <c r="AD743" s="56">
        <v>0</v>
      </c>
      <c r="AE743" s="41">
        <v>0</v>
      </c>
      <c r="AF743" s="42">
        <v>1515.77</v>
      </c>
      <c r="AG743" s="42">
        <v>7.2179523809523805E-2</v>
      </c>
      <c r="AH743" s="467">
        <v>0</v>
      </c>
      <c r="AI743" s="467">
        <v>3.23419861904762</v>
      </c>
      <c r="AJ743" s="467">
        <v>0</v>
      </c>
      <c r="AK743" s="467">
        <v>0</v>
      </c>
      <c r="AL743" s="44">
        <v>0</v>
      </c>
      <c r="AM743" s="44">
        <v>1</v>
      </c>
      <c r="AN743" s="468">
        <v>0</v>
      </c>
      <c r="AO743" s="468">
        <v>0</v>
      </c>
    </row>
    <row r="744" spans="1:41" hidden="1">
      <c r="A744" s="50">
        <v>139</v>
      </c>
      <c r="B744" s="1" t="s">
        <v>151</v>
      </c>
      <c r="C744" s="50">
        <v>0</v>
      </c>
      <c r="D744" s="464" t="s">
        <v>18479</v>
      </c>
      <c r="E744" s="1" t="s">
        <v>151</v>
      </c>
      <c r="F744" s="53">
        <v>44333</v>
      </c>
      <c r="G744" s="1">
        <v>2021</v>
      </c>
      <c r="H744" s="1" t="s">
        <v>16957</v>
      </c>
      <c r="I744" s="1" t="s">
        <v>16958</v>
      </c>
      <c r="J744" s="1" t="s">
        <v>16401</v>
      </c>
      <c r="K744" s="36">
        <v>82788.320000000007</v>
      </c>
      <c r="L744" s="1">
        <v>2.7233000000000001</v>
      </c>
      <c r="M744" s="37">
        <v>30400</v>
      </c>
      <c r="N744" s="1" t="s">
        <v>20155</v>
      </c>
      <c r="O744" s="1" t="s">
        <v>20161</v>
      </c>
      <c r="P744" s="876">
        <v>44343</v>
      </c>
      <c r="Q744" s="466">
        <v>40000</v>
      </c>
      <c r="R744" s="466">
        <v>0</v>
      </c>
      <c r="S744" s="466">
        <v>0</v>
      </c>
      <c r="T744" s="466">
        <v>0</v>
      </c>
      <c r="U744" s="466">
        <v>40000</v>
      </c>
      <c r="V744" s="11" t="s">
        <v>20155</v>
      </c>
      <c r="W744" s="39">
        <v>82788.320000000007</v>
      </c>
      <c r="X744" s="39">
        <v>0</v>
      </c>
      <c r="Y744" s="39">
        <v>0</v>
      </c>
      <c r="Z744" s="39">
        <v>0</v>
      </c>
      <c r="AA744" s="56">
        <v>2.0697080000000003</v>
      </c>
      <c r="AB744" s="56">
        <v>0</v>
      </c>
      <c r="AC744" s="56">
        <v>0</v>
      </c>
      <c r="AD744" s="56">
        <v>0</v>
      </c>
      <c r="AE744" s="41">
        <v>1716.8724999999999</v>
      </c>
      <c r="AF744" s="42">
        <v>9464.35</v>
      </c>
      <c r="AG744" s="42">
        <v>0.23660875000000001</v>
      </c>
      <c r="AH744" s="467">
        <v>1.8330992500000003</v>
      </c>
      <c r="AI744" s="467">
        <v>0</v>
      </c>
      <c r="AJ744" s="467">
        <v>0</v>
      </c>
      <c r="AK744" s="467">
        <v>0</v>
      </c>
      <c r="AL744" s="44">
        <v>1</v>
      </c>
      <c r="AM744" s="44">
        <v>0</v>
      </c>
      <c r="AN744" s="468">
        <v>0</v>
      </c>
      <c r="AO744" s="468">
        <v>0</v>
      </c>
    </row>
    <row r="745" spans="1:41" hidden="1">
      <c r="A745" s="50">
        <v>140</v>
      </c>
      <c r="B745" s="1" t="s">
        <v>152</v>
      </c>
      <c r="C745" s="50">
        <v>0</v>
      </c>
      <c r="D745" s="464" t="s">
        <v>18480</v>
      </c>
      <c r="E745" s="1" t="s">
        <v>152</v>
      </c>
      <c r="F745" s="53">
        <v>44333</v>
      </c>
      <c r="G745" s="1">
        <v>2021</v>
      </c>
      <c r="H745" s="1" t="s">
        <v>16384</v>
      </c>
      <c r="I745" s="1" t="s">
        <v>16385</v>
      </c>
      <c r="J745" s="1" t="s">
        <v>3</v>
      </c>
      <c r="K745" s="36">
        <v>211144.32000000001</v>
      </c>
      <c r="L745" s="1">
        <v>1</v>
      </c>
      <c r="M745" s="37">
        <v>211144.32000000001</v>
      </c>
      <c r="N745" s="1" t="s">
        <v>20155</v>
      </c>
      <c r="O745" s="1" t="s">
        <v>17693</v>
      </c>
      <c r="P745" s="876">
        <v>44343</v>
      </c>
      <c r="Q745" s="466">
        <v>123624</v>
      </c>
      <c r="R745" s="466">
        <v>0</v>
      </c>
      <c r="S745" s="466">
        <v>0</v>
      </c>
      <c r="T745" s="466">
        <v>0</v>
      </c>
      <c r="U745" s="466">
        <v>123624</v>
      </c>
      <c r="V745" s="11" t="s">
        <v>20155</v>
      </c>
      <c r="W745" s="39">
        <v>211144.32000000001</v>
      </c>
      <c r="X745" s="39">
        <v>0</v>
      </c>
      <c r="Y745" s="39">
        <v>0</v>
      </c>
      <c r="Z745" s="39">
        <v>0</v>
      </c>
      <c r="AA745" s="56">
        <v>1.7079557367501457</v>
      </c>
      <c r="AB745" s="56">
        <v>0</v>
      </c>
      <c r="AC745" s="56">
        <v>0</v>
      </c>
      <c r="AD745" s="56">
        <v>0</v>
      </c>
      <c r="AE745" s="41">
        <v>0</v>
      </c>
      <c r="AF745" s="42">
        <v>0</v>
      </c>
      <c r="AG745" s="42">
        <v>0</v>
      </c>
      <c r="AH745" s="467">
        <v>1.7079557367501457</v>
      </c>
      <c r="AI745" s="467">
        <v>0</v>
      </c>
      <c r="AJ745" s="467">
        <v>0</v>
      </c>
      <c r="AK745" s="467">
        <v>0</v>
      </c>
      <c r="AL745" s="44">
        <v>1</v>
      </c>
      <c r="AM745" s="44">
        <v>0</v>
      </c>
      <c r="AN745" s="468">
        <v>0</v>
      </c>
      <c r="AO745" s="468">
        <v>0</v>
      </c>
    </row>
    <row r="746" spans="1:41" hidden="1">
      <c r="A746" s="50">
        <v>141</v>
      </c>
      <c r="B746" s="1" t="s">
        <v>153</v>
      </c>
      <c r="C746" s="50">
        <v>0</v>
      </c>
      <c r="D746" s="464" t="s">
        <v>18481</v>
      </c>
      <c r="E746" s="1" t="s">
        <v>153</v>
      </c>
      <c r="F746" s="53">
        <v>44333</v>
      </c>
      <c r="G746" s="1">
        <v>2021</v>
      </c>
      <c r="H746" s="1" t="s">
        <v>17017</v>
      </c>
      <c r="I746" s="1" t="s">
        <v>17018</v>
      </c>
      <c r="J746" s="1" t="s">
        <v>3</v>
      </c>
      <c r="K746" s="36">
        <v>73390</v>
      </c>
      <c r="L746" s="1">
        <v>1</v>
      </c>
      <c r="M746" s="37">
        <v>73390</v>
      </c>
      <c r="N746" s="1" t="s">
        <v>20155</v>
      </c>
      <c r="O746" s="1" t="s">
        <v>18283</v>
      </c>
      <c r="P746" s="876">
        <v>44342</v>
      </c>
      <c r="Q746" s="466">
        <v>0</v>
      </c>
      <c r="R746" s="466">
        <v>41000</v>
      </c>
      <c r="S746" s="466">
        <v>0</v>
      </c>
      <c r="T746" s="466">
        <v>0</v>
      </c>
      <c r="U746" s="466">
        <v>41000</v>
      </c>
      <c r="V746" s="11" t="s">
        <v>20155</v>
      </c>
      <c r="W746" s="39">
        <v>0</v>
      </c>
      <c r="X746" s="39">
        <v>73390</v>
      </c>
      <c r="Y746" s="39">
        <v>0</v>
      </c>
      <c r="Z746" s="39">
        <v>0</v>
      </c>
      <c r="AA746" s="56">
        <v>0</v>
      </c>
      <c r="AB746" s="56">
        <v>1.79</v>
      </c>
      <c r="AC746" s="56">
        <v>0</v>
      </c>
      <c r="AD746" s="56">
        <v>0</v>
      </c>
      <c r="AE746" s="41">
        <v>0</v>
      </c>
      <c r="AF746" s="42">
        <v>0</v>
      </c>
      <c r="AG746" s="42">
        <v>0</v>
      </c>
      <c r="AH746" s="467">
        <v>0</v>
      </c>
      <c r="AI746" s="467">
        <v>1.79</v>
      </c>
      <c r="AJ746" s="467">
        <v>0</v>
      </c>
      <c r="AK746" s="467">
        <v>0</v>
      </c>
      <c r="AL746" s="44">
        <v>0</v>
      </c>
      <c r="AM746" s="44">
        <v>1</v>
      </c>
      <c r="AN746" s="468">
        <v>0</v>
      </c>
      <c r="AO746" s="468">
        <v>0</v>
      </c>
    </row>
    <row r="747" spans="1:41" hidden="1">
      <c r="A747" s="50">
        <v>142</v>
      </c>
      <c r="B747" s="1" t="s">
        <v>154</v>
      </c>
      <c r="C747" s="50">
        <v>0</v>
      </c>
      <c r="D747" s="464" t="s">
        <v>18482</v>
      </c>
      <c r="E747" s="1" t="s">
        <v>154</v>
      </c>
      <c r="F747" s="53">
        <v>44334</v>
      </c>
      <c r="G747" s="1">
        <v>2021</v>
      </c>
      <c r="H747" s="1" t="s">
        <v>16972</v>
      </c>
      <c r="I747" s="1" t="s">
        <v>16973</v>
      </c>
      <c r="J747" s="1" t="s">
        <v>3</v>
      </c>
      <c r="K747" s="36">
        <v>378000</v>
      </c>
      <c r="L747" s="1">
        <v>1</v>
      </c>
      <c r="M747" s="37">
        <v>378000</v>
      </c>
      <c r="N747" s="1" t="s">
        <v>20155</v>
      </c>
      <c r="O747" s="1" t="s">
        <v>17801</v>
      </c>
      <c r="P747" s="876">
        <v>44347</v>
      </c>
      <c r="Q747" s="466">
        <v>0</v>
      </c>
      <c r="R747" s="466">
        <v>0</v>
      </c>
      <c r="S747" s="466">
        <v>280000</v>
      </c>
      <c r="T747" s="466">
        <v>0</v>
      </c>
      <c r="U747" s="466">
        <v>280000</v>
      </c>
      <c r="V747" s="11" t="s">
        <v>20155</v>
      </c>
      <c r="W747" s="39">
        <v>0</v>
      </c>
      <c r="X747" s="39">
        <v>0</v>
      </c>
      <c r="Y747" s="39">
        <v>378000</v>
      </c>
      <c r="Z747" s="39">
        <v>0</v>
      </c>
      <c r="AA747" s="56">
        <v>0</v>
      </c>
      <c r="AB747" s="56">
        <v>0</v>
      </c>
      <c r="AC747" s="56">
        <v>1.35</v>
      </c>
      <c r="AD747" s="56">
        <v>0</v>
      </c>
      <c r="AE747" s="41">
        <v>0</v>
      </c>
      <c r="AF747" s="42">
        <v>0</v>
      </c>
      <c r="AG747" s="42">
        <v>0</v>
      </c>
      <c r="AH747" s="467">
        <v>0</v>
      </c>
      <c r="AI747" s="467">
        <v>0</v>
      </c>
      <c r="AJ747" s="467">
        <v>1.35</v>
      </c>
      <c r="AK747" s="467">
        <v>0</v>
      </c>
      <c r="AL747" s="44">
        <v>0</v>
      </c>
      <c r="AM747" s="44">
        <v>0</v>
      </c>
      <c r="AN747" s="468" t="s">
        <v>20300</v>
      </c>
      <c r="AO747" s="468">
        <v>0</v>
      </c>
    </row>
    <row r="748" spans="1:41" hidden="1">
      <c r="A748" s="50">
        <v>143</v>
      </c>
      <c r="B748" s="1" t="s">
        <v>155</v>
      </c>
      <c r="C748" s="50">
        <v>0</v>
      </c>
      <c r="D748" s="464" t="s">
        <v>18483</v>
      </c>
      <c r="E748" s="1" t="s">
        <v>155</v>
      </c>
      <c r="F748" s="53">
        <v>44334</v>
      </c>
      <c r="G748" s="1">
        <v>2021</v>
      </c>
      <c r="H748" s="1" t="s">
        <v>16444</v>
      </c>
      <c r="I748" s="1" t="s">
        <v>16445</v>
      </c>
      <c r="J748" s="1" t="s">
        <v>3</v>
      </c>
      <c r="K748" s="36">
        <v>73008</v>
      </c>
      <c r="L748" s="1">
        <v>1</v>
      </c>
      <c r="M748" s="37">
        <v>73008</v>
      </c>
      <c r="N748" s="1" t="s">
        <v>20155</v>
      </c>
      <c r="O748" s="1" t="s">
        <v>17693</v>
      </c>
      <c r="P748" s="876">
        <v>44343</v>
      </c>
      <c r="Q748" s="466">
        <v>43200</v>
      </c>
      <c r="R748" s="466">
        <v>0</v>
      </c>
      <c r="S748" s="466">
        <v>0</v>
      </c>
      <c r="T748" s="466">
        <v>0</v>
      </c>
      <c r="U748" s="466">
        <v>43200</v>
      </c>
      <c r="V748" s="11" t="s">
        <v>20155</v>
      </c>
      <c r="W748" s="39">
        <v>73008</v>
      </c>
      <c r="X748" s="39">
        <v>0</v>
      </c>
      <c r="Y748" s="39">
        <v>0</v>
      </c>
      <c r="Z748" s="39">
        <v>0</v>
      </c>
      <c r="AA748" s="56">
        <v>1.69</v>
      </c>
      <c r="AB748" s="56">
        <v>0</v>
      </c>
      <c r="AC748" s="56">
        <v>0</v>
      </c>
      <c r="AD748" s="56">
        <v>0</v>
      </c>
      <c r="AE748" s="41">
        <v>0</v>
      </c>
      <c r="AF748" s="42">
        <v>0</v>
      </c>
      <c r="AG748" s="42">
        <v>0</v>
      </c>
      <c r="AH748" s="467">
        <v>1.69</v>
      </c>
      <c r="AI748" s="467">
        <v>0</v>
      </c>
      <c r="AJ748" s="467">
        <v>0</v>
      </c>
      <c r="AK748" s="467">
        <v>0</v>
      </c>
      <c r="AL748" s="44">
        <v>1</v>
      </c>
      <c r="AM748" s="44">
        <v>0</v>
      </c>
      <c r="AN748" s="468">
        <v>0</v>
      </c>
      <c r="AO748" s="468">
        <v>0</v>
      </c>
    </row>
    <row r="749" spans="1:41" hidden="1">
      <c r="A749" s="50">
        <v>144</v>
      </c>
      <c r="B749" s="1" t="s">
        <v>156</v>
      </c>
      <c r="C749" s="50">
        <v>0</v>
      </c>
      <c r="D749" s="464" t="s">
        <v>18484</v>
      </c>
      <c r="E749" s="1" t="s">
        <v>156</v>
      </c>
      <c r="F749" s="53">
        <v>44334</v>
      </c>
      <c r="G749" s="1">
        <v>2021</v>
      </c>
      <c r="H749" s="1" t="s">
        <v>17017</v>
      </c>
      <c r="I749" s="1" t="s">
        <v>17018</v>
      </c>
      <c r="J749" s="1" t="s">
        <v>3</v>
      </c>
      <c r="K749" s="36">
        <v>35200</v>
      </c>
      <c r="L749" s="1">
        <v>1</v>
      </c>
      <c r="M749" s="37">
        <v>35200</v>
      </c>
      <c r="N749" s="1" t="s">
        <v>20155</v>
      </c>
      <c r="O749" s="1" t="s">
        <v>18064</v>
      </c>
      <c r="P749" s="876">
        <v>44342</v>
      </c>
      <c r="Q749" s="466">
        <v>0</v>
      </c>
      <c r="R749" s="466">
        <v>20000</v>
      </c>
      <c r="S749" s="466">
        <v>0</v>
      </c>
      <c r="T749" s="466">
        <v>0</v>
      </c>
      <c r="U749" s="466">
        <v>20000</v>
      </c>
      <c r="V749" s="11" t="s">
        <v>20155</v>
      </c>
      <c r="W749" s="39">
        <v>0</v>
      </c>
      <c r="X749" s="39">
        <v>35200</v>
      </c>
      <c r="Y749" s="39">
        <v>0</v>
      </c>
      <c r="Z749" s="39">
        <v>0</v>
      </c>
      <c r="AA749" s="56">
        <v>0</v>
      </c>
      <c r="AB749" s="56">
        <v>1.76</v>
      </c>
      <c r="AC749" s="56">
        <v>0</v>
      </c>
      <c r="AD749" s="56">
        <v>0</v>
      </c>
      <c r="AE749" s="41">
        <v>0</v>
      </c>
      <c r="AF749" s="42">
        <v>0</v>
      </c>
      <c r="AG749" s="42">
        <v>0</v>
      </c>
      <c r="AH749" s="467">
        <v>0</v>
      </c>
      <c r="AI749" s="467">
        <v>1.76</v>
      </c>
      <c r="AJ749" s="467">
        <v>0</v>
      </c>
      <c r="AK749" s="467">
        <v>0</v>
      </c>
      <c r="AL749" s="44">
        <v>0</v>
      </c>
      <c r="AM749" s="44">
        <v>1</v>
      </c>
      <c r="AN749" s="468">
        <v>0</v>
      </c>
      <c r="AO749" s="468">
        <v>0</v>
      </c>
    </row>
    <row r="750" spans="1:41" hidden="1">
      <c r="A750" s="50">
        <v>145</v>
      </c>
      <c r="B750" s="1" t="s">
        <v>157</v>
      </c>
      <c r="C750" s="50">
        <v>0</v>
      </c>
      <c r="D750" s="464" t="s">
        <v>18485</v>
      </c>
      <c r="E750" s="1" t="s">
        <v>157</v>
      </c>
      <c r="F750" s="53">
        <v>44335</v>
      </c>
      <c r="G750" s="1">
        <v>2021</v>
      </c>
      <c r="H750" s="1" t="s">
        <v>16838</v>
      </c>
      <c r="I750" s="1" t="s">
        <v>16839</v>
      </c>
      <c r="J750" s="1" t="s">
        <v>3</v>
      </c>
      <c r="K750" s="36">
        <v>186187.68</v>
      </c>
      <c r="L750" s="1">
        <v>1</v>
      </c>
      <c r="M750" s="37">
        <v>186187.68</v>
      </c>
      <c r="N750" s="1" t="s">
        <v>20155</v>
      </c>
      <c r="O750" s="1" t="s">
        <v>17798</v>
      </c>
      <c r="P750" s="876" t="s">
        <v>20313</v>
      </c>
      <c r="Q750" s="466">
        <v>0</v>
      </c>
      <c r="R750" s="466">
        <v>132049</v>
      </c>
      <c r="S750" s="466">
        <v>0</v>
      </c>
      <c r="T750" s="466">
        <v>0</v>
      </c>
      <c r="U750" s="466">
        <v>132049</v>
      </c>
      <c r="V750" s="11" t="s">
        <v>20155</v>
      </c>
      <c r="W750" s="39">
        <v>0</v>
      </c>
      <c r="X750" s="39">
        <v>186187.68</v>
      </c>
      <c r="Y750" s="39">
        <v>0</v>
      </c>
      <c r="Z750" s="39">
        <v>0</v>
      </c>
      <c r="AA750" s="56">
        <v>0</v>
      </c>
      <c r="AB750" s="56">
        <v>1.409989322145567</v>
      </c>
      <c r="AC750" s="56">
        <v>0</v>
      </c>
      <c r="AD750" s="56">
        <v>0</v>
      </c>
      <c r="AE750" s="41">
        <v>0</v>
      </c>
      <c r="AF750" s="42">
        <v>0</v>
      </c>
      <c r="AG750" s="42">
        <v>0</v>
      </c>
      <c r="AH750" s="467">
        <v>0</v>
      </c>
      <c r="AI750" s="467">
        <v>1.409989322145567</v>
      </c>
      <c r="AJ750" s="467">
        <v>0</v>
      </c>
      <c r="AK750" s="467">
        <v>0</v>
      </c>
      <c r="AL750" s="44">
        <v>0</v>
      </c>
      <c r="AM750" s="44" t="s">
        <v>20296</v>
      </c>
      <c r="AN750" s="468">
        <v>0</v>
      </c>
      <c r="AO750" s="468">
        <v>0</v>
      </c>
    </row>
    <row r="751" spans="1:41" hidden="1">
      <c r="A751" s="50">
        <v>146</v>
      </c>
      <c r="B751" s="1" t="s">
        <v>158</v>
      </c>
      <c r="C751" s="50">
        <v>0</v>
      </c>
      <c r="D751" s="464" t="s">
        <v>18486</v>
      </c>
      <c r="E751" s="1" t="s">
        <v>158</v>
      </c>
      <c r="F751" s="53">
        <v>44334</v>
      </c>
      <c r="G751" s="1">
        <v>2021</v>
      </c>
      <c r="H751" s="1" t="s">
        <v>16838</v>
      </c>
      <c r="I751" s="57" t="s">
        <v>16839</v>
      </c>
      <c r="J751" s="57" t="s">
        <v>3</v>
      </c>
      <c r="K751" s="499">
        <v>184600</v>
      </c>
      <c r="L751" s="57">
        <v>1</v>
      </c>
      <c r="M751" s="500">
        <v>184600</v>
      </c>
      <c r="N751" s="57" t="s">
        <v>20155</v>
      </c>
      <c r="O751" s="57" t="s">
        <v>17798</v>
      </c>
      <c r="P751" s="881">
        <v>44340</v>
      </c>
      <c r="Q751" s="466">
        <v>0</v>
      </c>
      <c r="R751" s="466">
        <v>0</v>
      </c>
      <c r="S751" s="466">
        <v>130000</v>
      </c>
      <c r="T751" s="466">
        <v>0</v>
      </c>
      <c r="U751" s="466">
        <v>130000</v>
      </c>
      <c r="V751" s="11" t="s">
        <v>20155</v>
      </c>
      <c r="W751" s="39">
        <v>0</v>
      </c>
      <c r="X751" s="39">
        <v>0</v>
      </c>
      <c r="Y751" s="39">
        <v>184600</v>
      </c>
      <c r="Z751" s="39">
        <v>0</v>
      </c>
      <c r="AA751" s="56">
        <v>0</v>
      </c>
      <c r="AB751" s="56">
        <v>0</v>
      </c>
      <c r="AC751" s="56">
        <v>1.42</v>
      </c>
      <c r="AD751" s="56">
        <v>0</v>
      </c>
      <c r="AE751" s="41">
        <v>0</v>
      </c>
      <c r="AF751" s="42">
        <v>0</v>
      </c>
      <c r="AG751" s="42">
        <v>0</v>
      </c>
      <c r="AH751" s="467">
        <v>0</v>
      </c>
      <c r="AI751" s="467">
        <v>0</v>
      </c>
      <c r="AJ751" s="467">
        <v>1.42</v>
      </c>
      <c r="AK751" s="467">
        <v>0</v>
      </c>
      <c r="AL751" s="44">
        <v>0</v>
      </c>
      <c r="AM751" s="44">
        <v>0</v>
      </c>
      <c r="AN751" s="468" t="s">
        <v>20296</v>
      </c>
      <c r="AO751" s="468">
        <v>0</v>
      </c>
    </row>
    <row r="752" spans="1:41" hidden="1">
      <c r="A752" s="50">
        <v>147</v>
      </c>
      <c r="B752" s="1" t="s">
        <v>159</v>
      </c>
      <c r="C752" s="50">
        <v>0</v>
      </c>
      <c r="D752" s="464" t="s">
        <v>18487</v>
      </c>
      <c r="E752" s="1" t="s">
        <v>159</v>
      </c>
      <c r="F752" s="53">
        <v>44334</v>
      </c>
      <c r="G752" s="1">
        <v>2021</v>
      </c>
      <c r="H752" s="1" t="s">
        <v>16444</v>
      </c>
      <c r="I752" s="1" t="s">
        <v>16445</v>
      </c>
      <c r="J752" s="1" t="s">
        <v>3</v>
      </c>
      <c r="K752" s="36">
        <v>397280</v>
      </c>
      <c r="L752" s="1">
        <v>1</v>
      </c>
      <c r="M752" s="37">
        <v>397280</v>
      </c>
      <c r="N752" s="1" t="s">
        <v>20155</v>
      </c>
      <c r="O752" s="1" t="s">
        <v>17801</v>
      </c>
      <c r="P752" s="876">
        <v>44343</v>
      </c>
      <c r="Q752" s="466">
        <v>0</v>
      </c>
      <c r="R752" s="466">
        <v>305600</v>
      </c>
      <c r="S752" s="466">
        <v>0</v>
      </c>
      <c r="T752" s="466">
        <v>0</v>
      </c>
      <c r="U752" s="466">
        <v>305600</v>
      </c>
      <c r="V752" s="11" t="s">
        <v>20155</v>
      </c>
      <c r="W752" s="39">
        <v>0</v>
      </c>
      <c r="X752" s="39">
        <v>397280</v>
      </c>
      <c r="Y752" s="39">
        <v>0</v>
      </c>
      <c r="Z752" s="39">
        <v>0</v>
      </c>
      <c r="AA752" s="56">
        <v>0</v>
      </c>
      <c r="AB752" s="56">
        <v>1.3</v>
      </c>
      <c r="AC752" s="56">
        <v>0</v>
      </c>
      <c r="AD752" s="56">
        <v>0</v>
      </c>
      <c r="AE752" s="41">
        <v>0</v>
      </c>
      <c r="AF752" s="42">
        <v>0</v>
      </c>
      <c r="AG752" s="42">
        <v>0</v>
      </c>
      <c r="AH752" s="467">
        <v>0</v>
      </c>
      <c r="AI752" s="467">
        <v>1.3</v>
      </c>
      <c r="AJ752" s="467">
        <v>0</v>
      </c>
      <c r="AK752" s="467">
        <v>0</v>
      </c>
      <c r="AL752" s="44">
        <v>0</v>
      </c>
      <c r="AM752" s="44" t="s">
        <v>20300</v>
      </c>
      <c r="AN752" s="468">
        <v>0</v>
      </c>
      <c r="AO752" s="468">
        <v>0</v>
      </c>
    </row>
    <row r="753" spans="1:41" hidden="1">
      <c r="A753" s="50">
        <v>148</v>
      </c>
      <c r="B753" s="1" t="s">
        <v>160</v>
      </c>
      <c r="C753" s="50">
        <v>0</v>
      </c>
      <c r="D753" s="464" t="s">
        <v>18488</v>
      </c>
      <c r="E753" s="1" t="s">
        <v>160</v>
      </c>
      <c r="F753" s="53">
        <v>44334</v>
      </c>
      <c r="G753" s="1">
        <v>2021</v>
      </c>
      <c r="H753" s="1" t="s">
        <v>17017</v>
      </c>
      <c r="I753" s="1" t="s">
        <v>17018</v>
      </c>
      <c r="J753" s="1" t="s">
        <v>3</v>
      </c>
      <c r="K753" s="36">
        <v>38249.046000000002</v>
      </c>
      <c r="L753" s="1">
        <v>1</v>
      </c>
      <c r="M753" s="37">
        <v>38249.046000000002</v>
      </c>
      <c r="N753" s="1" t="s">
        <v>20155</v>
      </c>
      <c r="O753" s="1" t="s">
        <v>17238</v>
      </c>
      <c r="P753" s="876">
        <v>44363</v>
      </c>
      <c r="Q753" s="466">
        <v>0</v>
      </c>
      <c r="R753" s="466">
        <v>10078.799999999999</v>
      </c>
      <c r="S753" s="466">
        <v>0</v>
      </c>
      <c r="T753" s="466">
        <v>10078.799999999999</v>
      </c>
      <c r="U753" s="466">
        <v>20157.599999999999</v>
      </c>
      <c r="V753" s="11" t="s">
        <v>20155</v>
      </c>
      <c r="W753" s="39">
        <v>0</v>
      </c>
      <c r="X753" s="39">
        <v>0</v>
      </c>
      <c r="Y753" s="39">
        <v>18444.203999999998</v>
      </c>
      <c r="Z753" s="39">
        <v>19804.842000000001</v>
      </c>
      <c r="AA753" s="56">
        <v>0</v>
      </c>
      <c r="AB753" s="56">
        <v>0</v>
      </c>
      <c r="AC753" s="56">
        <v>0</v>
      </c>
      <c r="AD753" s="56">
        <v>1.9650000000000003</v>
      </c>
      <c r="AE753" s="41">
        <v>0</v>
      </c>
      <c r="AF753" s="42">
        <v>0</v>
      </c>
      <c r="AG753" s="42">
        <v>0</v>
      </c>
      <c r="AH753" s="467">
        <v>0</v>
      </c>
      <c r="AI753" s="467">
        <v>0</v>
      </c>
      <c r="AJ753" s="467">
        <v>0</v>
      </c>
      <c r="AK753" s="467">
        <v>1.9650000000000003</v>
      </c>
      <c r="AL753" s="44">
        <v>0</v>
      </c>
      <c r="AM753" s="44">
        <v>1</v>
      </c>
      <c r="AN753" s="468">
        <v>0</v>
      </c>
      <c r="AO753" s="468">
        <v>1</v>
      </c>
    </row>
    <row r="754" spans="1:41" hidden="1">
      <c r="A754" s="50">
        <v>149</v>
      </c>
      <c r="B754" s="1" t="s">
        <v>161</v>
      </c>
      <c r="C754" s="50">
        <v>0</v>
      </c>
      <c r="D754" s="464" t="s">
        <v>18489</v>
      </c>
      <c r="E754" s="1" t="s">
        <v>161</v>
      </c>
      <c r="F754" s="53">
        <v>44338</v>
      </c>
      <c r="G754" s="1">
        <v>2021</v>
      </c>
      <c r="H754" s="1" t="s">
        <v>17251</v>
      </c>
      <c r="I754" s="1" t="s">
        <v>17252</v>
      </c>
      <c r="J754" s="1" t="s">
        <v>16401</v>
      </c>
      <c r="K754" s="36">
        <v>582473.42617600004</v>
      </c>
      <c r="L754" s="1">
        <v>2.7176</v>
      </c>
      <c r="M754" s="37">
        <v>214333.76</v>
      </c>
      <c r="N754" s="1" t="s">
        <v>20155</v>
      </c>
      <c r="O754" s="1" t="s">
        <v>17939</v>
      </c>
      <c r="P754" s="876">
        <v>44345</v>
      </c>
      <c r="Q754" s="466">
        <v>0</v>
      </c>
      <c r="R754" s="466">
        <v>259200</v>
      </c>
      <c r="S754" s="466">
        <v>48000</v>
      </c>
      <c r="T754" s="466">
        <v>0</v>
      </c>
      <c r="U754" s="466">
        <v>307200</v>
      </c>
      <c r="V754" s="11" t="s">
        <v>20231</v>
      </c>
      <c r="W754" s="39">
        <v>0</v>
      </c>
      <c r="X754" s="39">
        <v>491461.95333599992</v>
      </c>
      <c r="Y754" s="39">
        <v>91011.472840000002</v>
      </c>
      <c r="Z754" s="39">
        <v>0</v>
      </c>
      <c r="AA754" s="56">
        <v>0</v>
      </c>
      <c r="AB754" s="56">
        <v>1.896072350833333</v>
      </c>
      <c r="AC754" s="56">
        <v>1.8960723508333335</v>
      </c>
      <c r="AD754" s="56">
        <v>0</v>
      </c>
      <c r="AE754" s="41">
        <v>14951.86</v>
      </c>
      <c r="AF754" s="42">
        <v>42260.601999999999</v>
      </c>
      <c r="AG754" s="42">
        <v>0.13756706380208333</v>
      </c>
      <c r="AH754" s="467">
        <v>0</v>
      </c>
      <c r="AI754" s="467">
        <v>1.7585052870312496</v>
      </c>
      <c r="AJ754" s="467">
        <v>1.7585052870312501</v>
      </c>
      <c r="AK754" s="467">
        <v>0</v>
      </c>
      <c r="AL754" s="44">
        <v>0</v>
      </c>
      <c r="AM754" s="44" t="s">
        <v>20311</v>
      </c>
      <c r="AN754" s="468" t="s">
        <v>20311</v>
      </c>
      <c r="AO754" s="468">
        <v>0</v>
      </c>
    </row>
    <row r="755" spans="1:41" hidden="1">
      <c r="A755" s="501">
        <v>150</v>
      </c>
      <c r="B755" s="35" t="s">
        <v>162</v>
      </c>
      <c r="C755" s="501">
        <v>0</v>
      </c>
      <c r="D755" s="502" t="s">
        <v>18490</v>
      </c>
      <c r="E755" s="35" t="s">
        <v>162</v>
      </c>
      <c r="F755" s="503">
        <v>44341</v>
      </c>
      <c r="G755" s="35">
        <v>2021</v>
      </c>
      <c r="H755" s="35" t="s">
        <v>16904</v>
      </c>
      <c r="I755" s="35" t="s">
        <v>16905</v>
      </c>
      <c r="J755" s="35" t="s">
        <v>16482</v>
      </c>
      <c r="K755" s="58">
        <v>63739.599532</v>
      </c>
      <c r="L755" s="35">
        <v>3.3047</v>
      </c>
      <c r="M755" s="504">
        <v>19287.560000000001</v>
      </c>
      <c r="N755" s="35" t="s">
        <v>20302</v>
      </c>
      <c r="O755" s="35" t="s">
        <v>20160</v>
      </c>
      <c r="P755" s="882">
        <v>44376</v>
      </c>
      <c r="Q755" s="501">
        <v>0</v>
      </c>
      <c r="R755" s="501">
        <v>18792</v>
      </c>
      <c r="S755" s="501">
        <v>8544</v>
      </c>
      <c r="T755" s="501">
        <v>0</v>
      </c>
      <c r="U755" s="501">
        <v>27336</v>
      </c>
      <c r="V755" s="505" t="s">
        <v>20231</v>
      </c>
      <c r="W755" s="506">
        <v>0</v>
      </c>
      <c r="X755" s="506">
        <v>43940.15430988236</v>
      </c>
      <c r="Y755" s="506">
        <v>19799.445222117647</v>
      </c>
      <c r="Z755" s="506">
        <v>0</v>
      </c>
      <c r="AA755" s="507"/>
      <c r="AB755" s="507">
        <v>2.3382372450980395</v>
      </c>
      <c r="AC755" s="507">
        <v>2.3173507984688255</v>
      </c>
      <c r="AD755" s="507"/>
      <c r="AE755" s="506">
        <v>4128.88</v>
      </c>
      <c r="AF755" s="506">
        <v>11882.88</v>
      </c>
      <c r="AG755" s="506">
        <v>0.43469710272168566</v>
      </c>
      <c r="AH755" s="508"/>
      <c r="AI755" s="508">
        <v>1.9035401423763538</v>
      </c>
      <c r="AJ755" s="508">
        <v>1.8826536957471398</v>
      </c>
      <c r="AK755" s="508"/>
      <c r="AL755" s="509">
        <v>0</v>
      </c>
      <c r="AM755" s="509">
        <v>1</v>
      </c>
      <c r="AN755" s="510">
        <v>1</v>
      </c>
      <c r="AO755" s="510">
        <v>0</v>
      </c>
    </row>
    <row r="756" spans="1:41" hidden="1">
      <c r="A756" s="50">
        <v>151</v>
      </c>
      <c r="B756" s="1" t="s">
        <v>163</v>
      </c>
      <c r="C756" s="50">
        <v>0</v>
      </c>
      <c r="D756" s="464" t="s">
        <v>18491</v>
      </c>
      <c r="E756" s="1" t="s">
        <v>163</v>
      </c>
      <c r="F756" s="53">
        <v>44350</v>
      </c>
      <c r="G756" s="1">
        <v>2021</v>
      </c>
      <c r="H756" s="1" t="s">
        <v>16444</v>
      </c>
      <c r="I756" s="1" t="s">
        <v>16445</v>
      </c>
      <c r="J756" s="1" t="s">
        <v>3</v>
      </c>
      <c r="K756" s="36">
        <v>67200</v>
      </c>
      <c r="L756" s="1">
        <v>1</v>
      </c>
      <c r="M756" s="37">
        <v>67200</v>
      </c>
      <c r="N756" s="1" t="s">
        <v>20155</v>
      </c>
      <c r="O756" s="1" t="s">
        <v>17798</v>
      </c>
      <c r="P756" s="876">
        <v>44355</v>
      </c>
      <c r="Q756" s="466">
        <v>38400</v>
      </c>
      <c r="R756" s="466">
        <v>0</v>
      </c>
      <c r="S756" s="466">
        <v>0</v>
      </c>
      <c r="T756" s="466">
        <v>0</v>
      </c>
      <c r="U756" s="466">
        <v>38400</v>
      </c>
      <c r="V756" s="11" t="s">
        <v>20155</v>
      </c>
      <c r="W756" s="39">
        <v>67200</v>
      </c>
      <c r="X756" s="39">
        <v>0</v>
      </c>
      <c r="Y756" s="39">
        <v>0</v>
      </c>
      <c r="Z756" s="39">
        <v>0</v>
      </c>
      <c r="AA756" s="56">
        <v>1.75</v>
      </c>
      <c r="AB756" s="56">
        <v>0</v>
      </c>
      <c r="AC756" s="56">
        <v>0</v>
      </c>
      <c r="AD756" s="56">
        <v>0</v>
      </c>
      <c r="AE756" s="41">
        <v>0</v>
      </c>
      <c r="AF756" s="42">
        <v>0</v>
      </c>
      <c r="AG756" s="42">
        <v>0</v>
      </c>
      <c r="AH756" s="467">
        <v>1.75</v>
      </c>
      <c r="AI756" s="467">
        <v>0</v>
      </c>
      <c r="AJ756" s="467">
        <v>0</v>
      </c>
      <c r="AK756" s="467">
        <v>0</v>
      </c>
      <c r="AL756" s="44">
        <v>1</v>
      </c>
      <c r="AM756" s="44">
        <v>0</v>
      </c>
      <c r="AN756" s="468">
        <v>0</v>
      </c>
      <c r="AO756" s="468">
        <v>0</v>
      </c>
    </row>
    <row r="757" spans="1:41" hidden="1">
      <c r="A757" s="50">
        <v>152</v>
      </c>
      <c r="B757" s="1" t="s">
        <v>164</v>
      </c>
      <c r="C757" s="50">
        <v>0</v>
      </c>
      <c r="D757" s="464" t="s">
        <v>18492</v>
      </c>
      <c r="E757" s="1" t="s">
        <v>164</v>
      </c>
      <c r="F757" s="53">
        <v>44350</v>
      </c>
      <c r="G757" s="1">
        <v>2021</v>
      </c>
      <c r="H757" s="1" t="s">
        <v>16444</v>
      </c>
      <c r="I757" s="1" t="s">
        <v>16445</v>
      </c>
      <c r="J757" s="1" t="s">
        <v>3</v>
      </c>
      <c r="K757" s="36">
        <v>36312.5</v>
      </c>
      <c r="L757" s="1">
        <v>1</v>
      </c>
      <c r="M757" s="37">
        <v>36312.5</v>
      </c>
      <c r="N757" s="1" t="s">
        <v>20155</v>
      </c>
      <c r="O757" s="1" t="s">
        <v>20314</v>
      </c>
      <c r="P757" s="876">
        <v>44355</v>
      </c>
      <c r="Q757" s="466">
        <v>20750</v>
      </c>
      <c r="R757" s="466">
        <v>0</v>
      </c>
      <c r="S757" s="466">
        <v>0</v>
      </c>
      <c r="T757" s="466">
        <v>0</v>
      </c>
      <c r="U757" s="466">
        <v>20750</v>
      </c>
      <c r="V757" s="11" t="s">
        <v>20155</v>
      </c>
      <c r="W757" s="39">
        <v>36312.5</v>
      </c>
      <c r="X757" s="39">
        <v>0</v>
      </c>
      <c r="Y757" s="39">
        <v>0</v>
      </c>
      <c r="Z757" s="39">
        <v>0</v>
      </c>
      <c r="AA757" s="56">
        <v>1.75</v>
      </c>
      <c r="AB757" s="56">
        <v>0</v>
      </c>
      <c r="AC757" s="56">
        <v>0</v>
      </c>
      <c r="AD757" s="56">
        <v>0</v>
      </c>
      <c r="AE757" s="41">
        <v>0</v>
      </c>
      <c r="AF757" s="42">
        <v>0</v>
      </c>
      <c r="AG757" s="42">
        <v>0</v>
      </c>
      <c r="AH757" s="467">
        <v>1.75</v>
      </c>
      <c r="AI757" s="467">
        <v>0</v>
      </c>
      <c r="AJ757" s="467">
        <v>0</v>
      </c>
      <c r="AK757" s="467">
        <v>0</v>
      </c>
      <c r="AL757" s="44">
        <v>1</v>
      </c>
      <c r="AM757" s="44">
        <v>0</v>
      </c>
      <c r="AN757" s="468">
        <v>0</v>
      </c>
      <c r="AO757" s="468">
        <v>0</v>
      </c>
    </row>
    <row r="758" spans="1:41" hidden="1">
      <c r="A758" s="50">
        <v>153</v>
      </c>
      <c r="B758" s="1" t="s">
        <v>165</v>
      </c>
      <c r="C758" s="50">
        <v>0</v>
      </c>
      <c r="D758" s="464" t="s">
        <v>18493</v>
      </c>
      <c r="E758" s="1" t="s">
        <v>165</v>
      </c>
      <c r="F758" s="53">
        <v>44352</v>
      </c>
      <c r="G758" s="1">
        <v>2021</v>
      </c>
      <c r="H758" s="1" t="s">
        <v>16444</v>
      </c>
      <c r="I758" s="1" t="s">
        <v>16445</v>
      </c>
      <c r="J758" s="1" t="s">
        <v>3</v>
      </c>
      <c r="K758" s="36">
        <v>36504</v>
      </c>
      <c r="L758" s="1">
        <v>1</v>
      </c>
      <c r="M758" s="37">
        <v>36504</v>
      </c>
      <c r="N758" s="1" t="s">
        <v>20155</v>
      </c>
      <c r="O758" s="1" t="s">
        <v>17693</v>
      </c>
      <c r="P758" s="876">
        <v>44361</v>
      </c>
      <c r="Q758" s="466">
        <v>21600</v>
      </c>
      <c r="R758" s="466">
        <v>0</v>
      </c>
      <c r="S758" s="466">
        <v>0</v>
      </c>
      <c r="T758" s="466">
        <v>0</v>
      </c>
      <c r="U758" s="466">
        <v>21600</v>
      </c>
      <c r="V758" s="11" t="s">
        <v>20155</v>
      </c>
      <c r="W758" s="39">
        <v>36504</v>
      </c>
      <c r="X758" s="39">
        <v>0</v>
      </c>
      <c r="Y758" s="39">
        <v>0</v>
      </c>
      <c r="Z758" s="39">
        <v>0</v>
      </c>
      <c r="AA758" s="56">
        <v>1.69</v>
      </c>
      <c r="AB758" s="56">
        <v>0</v>
      </c>
      <c r="AC758" s="56">
        <v>0</v>
      </c>
      <c r="AD758" s="56">
        <v>0</v>
      </c>
      <c r="AE758" s="41">
        <v>0</v>
      </c>
      <c r="AF758" s="42">
        <v>0</v>
      </c>
      <c r="AG758" s="42">
        <v>0</v>
      </c>
      <c r="AH758" s="467">
        <v>1.69</v>
      </c>
      <c r="AI758" s="467">
        <v>0</v>
      </c>
      <c r="AJ758" s="467">
        <v>0</v>
      </c>
      <c r="AK758" s="467">
        <v>0</v>
      </c>
      <c r="AL758" s="44">
        <v>1</v>
      </c>
      <c r="AM758" s="44">
        <v>0</v>
      </c>
      <c r="AN758" s="468">
        <v>0</v>
      </c>
      <c r="AO758" s="468">
        <v>0</v>
      </c>
    </row>
    <row r="759" spans="1:41" hidden="1">
      <c r="A759" s="50">
        <v>154</v>
      </c>
      <c r="B759" s="1" t="s">
        <v>166</v>
      </c>
      <c r="C759" s="50">
        <v>0</v>
      </c>
      <c r="D759" s="464" t="s">
        <v>18494</v>
      </c>
      <c r="E759" s="1" t="s">
        <v>166</v>
      </c>
      <c r="F759" s="53">
        <v>44351</v>
      </c>
      <c r="G759" s="1">
        <v>2021</v>
      </c>
      <c r="H759" s="1" t="s">
        <v>16444</v>
      </c>
      <c r="I759" s="1" t="s">
        <v>16445</v>
      </c>
      <c r="J759" s="1" t="s">
        <v>3</v>
      </c>
      <c r="K759" s="36">
        <v>33984</v>
      </c>
      <c r="L759" s="1">
        <v>1</v>
      </c>
      <c r="M759" s="37">
        <v>33984</v>
      </c>
      <c r="N759" s="1" t="s">
        <v>20155</v>
      </c>
      <c r="O759" s="1" t="s">
        <v>18248</v>
      </c>
      <c r="P759" s="876">
        <v>44371</v>
      </c>
      <c r="Q759" s="466">
        <v>19200</v>
      </c>
      <c r="R759" s="466">
        <v>0</v>
      </c>
      <c r="S759" s="466">
        <v>0</v>
      </c>
      <c r="T759" s="466">
        <v>0</v>
      </c>
      <c r="U759" s="466">
        <v>19200</v>
      </c>
      <c r="V759" s="11" t="s">
        <v>20155</v>
      </c>
      <c r="W759" s="39">
        <v>33984</v>
      </c>
      <c r="X759" s="39">
        <v>0</v>
      </c>
      <c r="Y759" s="39">
        <v>0</v>
      </c>
      <c r="Z759" s="39">
        <v>0</v>
      </c>
      <c r="AA759" s="56">
        <v>1.77</v>
      </c>
      <c r="AB759" s="56">
        <v>0</v>
      </c>
      <c r="AC759" s="56">
        <v>0</v>
      </c>
      <c r="AD759" s="56">
        <v>0</v>
      </c>
      <c r="AE759" s="41">
        <v>0</v>
      </c>
      <c r="AF759" s="42">
        <v>0</v>
      </c>
      <c r="AG759" s="42">
        <v>0</v>
      </c>
      <c r="AH759" s="467">
        <v>1.77</v>
      </c>
      <c r="AI759" s="467">
        <v>0</v>
      </c>
      <c r="AJ759" s="467">
        <v>0</v>
      </c>
      <c r="AK759" s="467">
        <v>0</v>
      </c>
      <c r="AL759" s="44">
        <v>1</v>
      </c>
      <c r="AM759" s="44">
        <v>0</v>
      </c>
      <c r="AN759" s="468">
        <v>0</v>
      </c>
      <c r="AO759" s="468">
        <v>0</v>
      </c>
    </row>
    <row r="760" spans="1:41" hidden="1">
      <c r="A760" s="50">
        <v>155</v>
      </c>
      <c r="B760" s="1" t="s">
        <v>167</v>
      </c>
      <c r="C760" s="50">
        <v>0</v>
      </c>
      <c r="D760" s="464" t="s">
        <v>18495</v>
      </c>
      <c r="E760" s="1" t="s">
        <v>167</v>
      </c>
      <c r="F760" s="53">
        <v>44351</v>
      </c>
      <c r="G760" s="1">
        <v>2021</v>
      </c>
      <c r="H760" s="1" t="s">
        <v>17017</v>
      </c>
      <c r="I760" s="1" t="s">
        <v>17018</v>
      </c>
      <c r="J760" s="1" t="s">
        <v>3</v>
      </c>
      <c r="K760" s="36">
        <v>35800</v>
      </c>
      <c r="L760" s="1">
        <v>1</v>
      </c>
      <c r="M760" s="37">
        <v>35800</v>
      </c>
      <c r="N760" s="1" t="s">
        <v>20155</v>
      </c>
      <c r="O760" s="1" t="s">
        <v>18064</v>
      </c>
      <c r="P760" s="876">
        <v>44361</v>
      </c>
      <c r="Q760" s="466">
        <v>0</v>
      </c>
      <c r="R760" s="466">
        <v>20000</v>
      </c>
      <c r="S760" s="466">
        <v>0</v>
      </c>
      <c r="T760" s="466">
        <v>0</v>
      </c>
      <c r="U760" s="466">
        <v>20000</v>
      </c>
      <c r="V760" s="11" t="s">
        <v>20155</v>
      </c>
      <c r="W760" s="39">
        <v>0</v>
      </c>
      <c r="X760" s="39">
        <v>35800</v>
      </c>
      <c r="Y760" s="39">
        <v>0</v>
      </c>
      <c r="Z760" s="39">
        <v>0</v>
      </c>
      <c r="AA760" s="56">
        <v>0</v>
      </c>
      <c r="AB760" s="56">
        <v>1.79</v>
      </c>
      <c r="AC760" s="56">
        <v>0</v>
      </c>
      <c r="AD760" s="56">
        <v>0</v>
      </c>
      <c r="AE760" s="41">
        <v>0</v>
      </c>
      <c r="AF760" s="42">
        <v>0</v>
      </c>
      <c r="AG760" s="42">
        <v>0</v>
      </c>
      <c r="AH760" s="467">
        <v>0</v>
      </c>
      <c r="AI760" s="467">
        <v>1.79</v>
      </c>
      <c r="AJ760" s="467">
        <v>0</v>
      </c>
      <c r="AK760" s="467">
        <v>0</v>
      </c>
      <c r="AL760" s="44">
        <v>0</v>
      </c>
      <c r="AM760" s="44">
        <v>1</v>
      </c>
      <c r="AN760" s="468">
        <v>0</v>
      </c>
      <c r="AO760" s="468">
        <v>0</v>
      </c>
    </row>
    <row r="761" spans="1:41" hidden="1">
      <c r="A761" s="50">
        <v>156</v>
      </c>
      <c r="B761" s="1" t="s">
        <v>168</v>
      </c>
      <c r="C761" s="50">
        <v>0</v>
      </c>
      <c r="D761" s="464" t="s">
        <v>18496</v>
      </c>
      <c r="E761" s="1" t="s">
        <v>168</v>
      </c>
      <c r="F761" s="53">
        <v>44351</v>
      </c>
      <c r="G761" s="1">
        <v>2021</v>
      </c>
      <c r="H761" s="1" t="s">
        <v>16384</v>
      </c>
      <c r="I761" s="1" t="s">
        <v>16385</v>
      </c>
      <c r="J761" s="1" t="s">
        <v>3</v>
      </c>
      <c r="K761" s="36">
        <v>170880</v>
      </c>
      <c r="L761" s="1">
        <v>1</v>
      </c>
      <c r="M761" s="37">
        <v>170880</v>
      </c>
      <c r="N761" s="1" t="s">
        <v>20155</v>
      </c>
      <c r="O761" s="1" t="s">
        <v>17965</v>
      </c>
      <c r="P761" s="876">
        <v>44371</v>
      </c>
      <c r="Q761" s="466">
        <v>96000</v>
      </c>
      <c r="R761" s="466">
        <v>0</v>
      </c>
      <c r="S761" s="466">
        <v>0</v>
      </c>
      <c r="T761" s="466">
        <v>0</v>
      </c>
      <c r="U761" s="466">
        <v>96000</v>
      </c>
      <c r="V761" s="11" t="s">
        <v>20155</v>
      </c>
      <c r="W761" s="39">
        <v>170880</v>
      </c>
      <c r="X761" s="39">
        <v>0</v>
      </c>
      <c r="Y761" s="39">
        <v>0</v>
      </c>
      <c r="Z761" s="39">
        <v>0</v>
      </c>
      <c r="AA761" s="56">
        <v>1.78</v>
      </c>
      <c r="AB761" s="56">
        <v>0</v>
      </c>
      <c r="AC761" s="56">
        <v>0</v>
      </c>
      <c r="AD761" s="56">
        <v>0</v>
      </c>
      <c r="AE761" s="41">
        <v>0</v>
      </c>
      <c r="AF761" s="42">
        <v>0</v>
      </c>
      <c r="AG761" s="42">
        <v>0</v>
      </c>
      <c r="AH761" s="467">
        <v>1.78</v>
      </c>
      <c r="AI761" s="467">
        <v>0</v>
      </c>
      <c r="AJ761" s="467">
        <v>0</v>
      </c>
      <c r="AK761" s="467">
        <v>0</v>
      </c>
      <c r="AL761" s="44">
        <v>1</v>
      </c>
      <c r="AM761" s="44">
        <v>0</v>
      </c>
      <c r="AN761" s="468">
        <v>0</v>
      </c>
      <c r="AO761" s="468">
        <v>0</v>
      </c>
    </row>
    <row r="762" spans="1:41" hidden="1">
      <c r="A762" s="50">
        <v>157</v>
      </c>
      <c r="B762" s="1" t="s">
        <v>169</v>
      </c>
      <c r="C762" s="50">
        <v>0</v>
      </c>
      <c r="D762" s="464" t="s">
        <v>18497</v>
      </c>
      <c r="E762" s="1" t="s">
        <v>169</v>
      </c>
      <c r="F762" s="53">
        <v>44351</v>
      </c>
      <c r="G762" s="1">
        <v>2021</v>
      </c>
      <c r="H762" s="1" t="s">
        <v>16384</v>
      </c>
      <c r="I762" s="1" t="s">
        <v>16385</v>
      </c>
      <c r="J762" s="1" t="s">
        <v>3</v>
      </c>
      <c r="K762" s="36">
        <v>168000</v>
      </c>
      <c r="L762" s="1">
        <v>1</v>
      </c>
      <c r="M762" s="37">
        <v>168000</v>
      </c>
      <c r="N762" s="1" t="s">
        <v>20155</v>
      </c>
      <c r="O762" s="1" t="s">
        <v>17801</v>
      </c>
      <c r="P762" s="876">
        <v>44359</v>
      </c>
      <c r="Q762" s="466">
        <v>0</v>
      </c>
      <c r="R762" s="466">
        <v>56000</v>
      </c>
      <c r="S762" s="466">
        <v>56000</v>
      </c>
      <c r="T762" s="466">
        <v>0</v>
      </c>
      <c r="U762" s="466">
        <v>112000</v>
      </c>
      <c r="V762" s="11" t="s">
        <v>20155</v>
      </c>
      <c r="W762" s="39">
        <v>0</v>
      </c>
      <c r="X762" s="39">
        <v>85120</v>
      </c>
      <c r="Y762" s="39">
        <v>82880</v>
      </c>
      <c r="Z762" s="39">
        <v>0</v>
      </c>
      <c r="AA762" s="56">
        <v>0</v>
      </c>
      <c r="AB762" s="56">
        <v>1.52</v>
      </c>
      <c r="AC762" s="56">
        <v>1.48</v>
      </c>
      <c r="AD762" s="56">
        <v>0</v>
      </c>
      <c r="AE762" s="41">
        <v>0</v>
      </c>
      <c r="AF762" s="42">
        <v>0</v>
      </c>
      <c r="AG762" s="42">
        <v>0</v>
      </c>
      <c r="AH762" s="467">
        <v>0</v>
      </c>
      <c r="AI762" s="467">
        <v>1.52</v>
      </c>
      <c r="AJ762" s="467">
        <v>1.48</v>
      </c>
      <c r="AK762" s="467">
        <v>0</v>
      </c>
      <c r="AL762" s="44">
        <v>0</v>
      </c>
      <c r="AM762" s="44" t="s">
        <v>20300</v>
      </c>
      <c r="AN762" s="468" t="s">
        <v>20300</v>
      </c>
      <c r="AO762" s="468">
        <v>0</v>
      </c>
    </row>
    <row r="763" spans="1:41" hidden="1">
      <c r="A763" s="50">
        <v>158</v>
      </c>
      <c r="B763" s="1" t="s">
        <v>170</v>
      </c>
      <c r="C763" s="50">
        <v>0</v>
      </c>
      <c r="D763" s="464" t="s">
        <v>18498</v>
      </c>
      <c r="E763" s="1" t="s">
        <v>170</v>
      </c>
      <c r="F763" s="53">
        <v>44351</v>
      </c>
      <c r="G763" s="1">
        <v>2021</v>
      </c>
      <c r="H763" s="1" t="s">
        <v>16384</v>
      </c>
      <c r="I763" s="1" t="s">
        <v>16385</v>
      </c>
      <c r="J763" s="1" t="s">
        <v>3</v>
      </c>
      <c r="K763" s="36">
        <v>448740.88</v>
      </c>
      <c r="L763" s="1">
        <v>1</v>
      </c>
      <c r="M763" s="37">
        <v>448740.88</v>
      </c>
      <c r="N763" s="1" t="s">
        <v>20155</v>
      </c>
      <c r="O763" s="1" t="s">
        <v>17949</v>
      </c>
      <c r="P763" s="876">
        <v>44369</v>
      </c>
      <c r="Q763" s="466">
        <v>238856</v>
      </c>
      <c r="R763" s="466">
        <v>2400</v>
      </c>
      <c r="S763" s="466">
        <v>19200</v>
      </c>
      <c r="T763" s="466">
        <v>0</v>
      </c>
      <c r="U763" s="466">
        <v>260456</v>
      </c>
      <c r="V763" s="11" t="s">
        <v>20155</v>
      </c>
      <c r="W763" s="39">
        <v>414516.88</v>
      </c>
      <c r="X763" s="39">
        <v>4272</v>
      </c>
      <c r="Y763" s="39">
        <v>29952</v>
      </c>
      <c r="Z763" s="39">
        <v>0</v>
      </c>
      <c r="AA763" s="56">
        <v>1.7354258632816426</v>
      </c>
      <c r="AB763" s="56">
        <v>1.78</v>
      </c>
      <c r="AC763" s="56">
        <v>1.56</v>
      </c>
      <c r="AD763" s="56">
        <v>0</v>
      </c>
      <c r="AE763" s="41">
        <v>0</v>
      </c>
      <c r="AF763" s="42">
        <v>0</v>
      </c>
      <c r="AG763" s="42">
        <v>0</v>
      </c>
      <c r="AH763" s="467">
        <v>1.7354258632816426</v>
      </c>
      <c r="AI763" s="467">
        <v>1.78</v>
      </c>
      <c r="AJ763" s="467">
        <v>1.56</v>
      </c>
      <c r="AK763" s="467">
        <v>0</v>
      </c>
      <c r="AL763" s="44">
        <v>1</v>
      </c>
      <c r="AM763" s="44">
        <v>1</v>
      </c>
      <c r="AN763" s="468" t="s">
        <v>20296</v>
      </c>
      <c r="AO763" s="468">
        <v>0</v>
      </c>
    </row>
    <row r="764" spans="1:41" hidden="1">
      <c r="A764" s="50">
        <v>159</v>
      </c>
      <c r="B764" s="1" t="s">
        <v>171</v>
      </c>
      <c r="C764" s="50">
        <v>0</v>
      </c>
      <c r="D764" s="464" t="s">
        <v>18499</v>
      </c>
      <c r="E764" s="1" t="s">
        <v>171</v>
      </c>
      <c r="F764" s="53">
        <v>44351</v>
      </c>
      <c r="G764" s="1">
        <v>2021</v>
      </c>
      <c r="H764" s="1" t="s">
        <v>16444</v>
      </c>
      <c r="I764" s="1" t="s">
        <v>16445</v>
      </c>
      <c r="J764" s="1" t="s">
        <v>3</v>
      </c>
      <c r="K764" s="36">
        <v>423816</v>
      </c>
      <c r="L764" s="1">
        <v>1</v>
      </c>
      <c r="M764" s="37">
        <v>423816</v>
      </c>
      <c r="N764" s="1" t="s">
        <v>20155</v>
      </c>
      <c r="O764" s="1" t="s">
        <v>17801</v>
      </c>
      <c r="P764" s="876">
        <v>44361</v>
      </c>
      <c r="Q764" s="466">
        <v>0</v>
      </c>
      <c r="R764" s="466">
        <v>114000</v>
      </c>
      <c r="S764" s="466">
        <v>166200</v>
      </c>
      <c r="T764" s="466">
        <v>0</v>
      </c>
      <c r="U764" s="466">
        <v>280200</v>
      </c>
      <c r="V764" s="11" t="s">
        <v>20155</v>
      </c>
      <c r="W764" s="39">
        <v>0</v>
      </c>
      <c r="X764" s="39">
        <v>177840</v>
      </c>
      <c r="Y764" s="39">
        <v>245976</v>
      </c>
      <c r="Z764" s="39">
        <v>0</v>
      </c>
      <c r="AA764" s="56">
        <v>0</v>
      </c>
      <c r="AB764" s="56">
        <v>1.56</v>
      </c>
      <c r="AC764" s="56">
        <v>1.48</v>
      </c>
      <c r="AD764" s="56">
        <v>0</v>
      </c>
      <c r="AE764" s="41">
        <v>0</v>
      </c>
      <c r="AF764" s="42">
        <v>0</v>
      </c>
      <c r="AG764" s="42">
        <v>0</v>
      </c>
      <c r="AH764" s="467">
        <v>0</v>
      </c>
      <c r="AI764" s="467">
        <v>1.56</v>
      </c>
      <c r="AJ764" s="467">
        <v>1.48</v>
      </c>
      <c r="AK764" s="467">
        <v>0</v>
      </c>
      <c r="AL764" s="44">
        <v>0</v>
      </c>
      <c r="AM764" s="44" t="s">
        <v>20300</v>
      </c>
      <c r="AN764" s="468" t="s">
        <v>20300</v>
      </c>
      <c r="AO764" s="468">
        <v>0</v>
      </c>
    </row>
    <row r="765" spans="1:41" hidden="1">
      <c r="A765" s="50">
        <v>160</v>
      </c>
      <c r="B765" s="1" t="s">
        <v>172</v>
      </c>
      <c r="C765" s="50">
        <v>0</v>
      </c>
      <c r="D765" s="464" t="s">
        <v>18500</v>
      </c>
      <c r="E765" s="1" t="s">
        <v>172</v>
      </c>
      <c r="F765" s="53">
        <v>44355</v>
      </c>
      <c r="G765" s="1">
        <v>2021</v>
      </c>
      <c r="H765" s="1" t="s">
        <v>16444</v>
      </c>
      <c r="I765" s="1" t="s">
        <v>16445</v>
      </c>
      <c r="J765" s="1" t="s">
        <v>3</v>
      </c>
      <c r="K765" s="36">
        <v>134400</v>
      </c>
      <c r="L765" s="1">
        <v>1</v>
      </c>
      <c r="M765" s="37">
        <v>134400</v>
      </c>
      <c r="N765" s="1" t="s">
        <v>20155</v>
      </c>
      <c r="O765" s="1" t="s">
        <v>17798</v>
      </c>
      <c r="P765" s="876">
        <v>44375</v>
      </c>
      <c r="Q765" s="466">
        <v>76800</v>
      </c>
      <c r="R765" s="466">
        <v>0</v>
      </c>
      <c r="S765" s="466">
        <v>0</v>
      </c>
      <c r="T765" s="466">
        <v>0</v>
      </c>
      <c r="U765" s="466">
        <v>76800</v>
      </c>
      <c r="V765" s="11" t="s">
        <v>20155</v>
      </c>
      <c r="W765" s="39">
        <v>134400</v>
      </c>
      <c r="X765" s="39">
        <v>0</v>
      </c>
      <c r="Y765" s="39">
        <v>0</v>
      </c>
      <c r="Z765" s="39">
        <v>0</v>
      </c>
      <c r="AA765" s="56">
        <v>1.75</v>
      </c>
      <c r="AB765" s="56">
        <v>0</v>
      </c>
      <c r="AC765" s="56">
        <v>0</v>
      </c>
      <c r="AD765" s="56">
        <v>0</v>
      </c>
      <c r="AE765" s="41">
        <v>0</v>
      </c>
      <c r="AF765" s="42">
        <v>0</v>
      </c>
      <c r="AG765" s="42">
        <v>0</v>
      </c>
      <c r="AH765" s="467">
        <v>1.75</v>
      </c>
      <c r="AI765" s="467">
        <v>0</v>
      </c>
      <c r="AJ765" s="467">
        <v>0</v>
      </c>
      <c r="AK765" s="467">
        <v>0</v>
      </c>
      <c r="AL765" s="44">
        <v>1</v>
      </c>
      <c r="AM765" s="44">
        <v>0</v>
      </c>
      <c r="AN765" s="468">
        <v>0</v>
      </c>
      <c r="AO765" s="468">
        <v>0</v>
      </c>
    </row>
    <row r="766" spans="1:41" hidden="1">
      <c r="A766" s="50">
        <v>161</v>
      </c>
      <c r="B766" s="1" t="s">
        <v>173</v>
      </c>
      <c r="C766" s="50">
        <v>0</v>
      </c>
      <c r="D766" s="464" t="s">
        <v>18501</v>
      </c>
      <c r="E766" s="1" t="s">
        <v>173</v>
      </c>
      <c r="F766" s="53">
        <v>44355</v>
      </c>
      <c r="G766" s="1">
        <v>2021</v>
      </c>
      <c r="H766" s="1" t="s">
        <v>16957</v>
      </c>
      <c r="I766" s="1" t="s">
        <v>16958</v>
      </c>
      <c r="J766" s="1" t="s">
        <v>16401</v>
      </c>
      <c r="K766" s="36">
        <v>40976.76</v>
      </c>
      <c r="L766" s="1">
        <v>2.7686999999999999</v>
      </c>
      <c r="M766" s="37">
        <v>14800</v>
      </c>
      <c r="N766" s="1" t="s">
        <v>20155</v>
      </c>
      <c r="O766" s="1" t="s">
        <v>20161</v>
      </c>
      <c r="P766" s="876">
        <v>44370</v>
      </c>
      <c r="Q766" s="466">
        <v>20000</v>
      </c>
      <c r="R766" s="466">
        <v>0</v>
      </c>
      <c r="S766" s="466">
        <v>0</v>
      </c>
      <c r="T766" s="466">
        <v>0</v>
      </c>
      <c r="U766" s="466">
        <v>20000</v>
      </c>
      <c r="V766" s="11" t="s">
        <v>20155</v>
      </c>
      <c r="W766" s="39">
        <v>40976.76</v>
      </c>
      <c r="X766" s="39">
        <v>0</v>
      </c>
      <c r="Y766" s="39">
        <v>0</v>
      </c>
      <c r="Z766" s="39">
        <v>0</v>
      </c>
      <c r="AA766" s="56">
        <v>2.0488379999999999</v>
      </c>
      <c r="AB766" s="56">
        <v>0</v>
      </c>
      <c r="AC766" s="56">
        <v>0</v>
      </c>
      <c r="AD766" s="56">
        <v>0</v>
      </c>
      <c r="AE766" s="41">
        <v>869.61</v>
      </c>
      <c r="AF766" s="42">
        <v>4633.93</v>
      </c>
      <c r="AG766" s="42">
        <v>0.23169650000000003</v>
      </c>
      <c r="AH766" s="467">
        <v>1.8171415</v>
      </c>
      <c r="AI766" s="467">
        <v>0</v>
      </c>
      <c r="AJ766" s="467">
        <v>0</v>
      </c>
      <c r="AK766" s="467">
        <v>0</v>
      </c>
      <c r="AL766" s="44">
        <v>1</v>
      </c>
      <c r="AM766" s="44">
        <v>0</v>
      </c>
      <c r="AN766" s="468">
        <v>0</v>
      </c>
      <c r="AO766" s="468">
        <v>0</v>
      </c>
    </row>
    <row r="767" spans="1:41" hidden="1">
      <c r="A767" s="50">
        <v>162</v>
      </c>
      <c r="B767" s="1" t="s">
        <v>174</v>
      </c>
      <c r="C767" s="50">
        <v>0</v>
      </c>
      <c r="D767" s="464" t="s">
        <v>18502</v>
      </c>
      <c r="E767" s="1" t="s">
        <v>174</v>
      </c>
      <c r="F767" s="53">
        <v>44355</v>
      </c>
      <c r="G767" s="1">
        <v>2021</v>
      </c>
      <c r="H767" s="1" t="s">
        <v>16972</v>
      </c>
      <c r="I767" s="1" t="s">
        <v>16973</v>
      </c>
      <c r="J767" s="1" t="s">
        <v>3</v>
      </c>
      <c r="K767" s="36">
        <v>69368.100000000006</v>
      </c>
      <c r="L767" s="1">
        <v>1</v>
      </c>
      <c r="M767" s="37">
        <v>69368.100000000006</v>
      </c>
      <c r="N767" s="1" t="s">
        <v>20155</v>
      </c>
      <c r="O767" s="1" t="s">
        <v>17693</v>
      </c>
      <c r="P767" s="876">
        <v>44368</v>
      </c>
      <c r="Q767" s="466">
        <v>38070</v>
      </c>
      <c r="R767" s="466">
        <v>0</v>
      </c>
      <c r="S767" s="466">
        <v>0</v>
      </c>
      <c r="T767" s="466">
        <v>0</v>
      </c>
      <c r="U767" s="466">
        <v>38070</v>
      </c>
      <c r="V767" s="11" t="s">
        <v>20155</v>
      </c>
      <c r="W767" s="39">
        <v>69368.100000000006</v>
      </c>
      <c r="X767" s="39">
        <v>0</v>
      </c>
      <c r="Y767" s="39">
        <v>0</v>
      </c>
      <c r="Z767" s="39">
        <v>0</v>
      </c>
      <c r="AA767" s="56">
        <v>1.822119779353822</v>
      </c>
      <c r="AB767" s="56">
        <v>0</v>
      </c>
      <c r="AC767" s="56">
        <v>0</v>
      </c>
      <c r="AD767" s="56">
        <v>0</v>
      </c>
      <c r="AE767" s="41">
        <v>0</v>
      </c>
      <c r="AF767" s="42">
        <v>0</v>
      </c>
      <c r="AG767" s="42">
        <v>0</v>
      </c>
      <c r="AH767" s="467">
        <v>1.822119779353822</v>
      </c>
      <c r="AI767" s="467">
        <v>0</v>
      </c>
      <c r="AJ767" s="467">
        <v>0</v>
      </c>
      <c r="AK767" s="467">
        <v>0</v>
      </c>
      <c r="AL767" s="44">
        <v>1</v>
      </c>
      <c r="AM767" s="44">
        <v>0</v>
      </c>
      <c r="AN767" s="468">
        <v>0</v>
      </c>
      <c r="AO767" s="468">
        <v>0</v>
      </c>
    </row>
    <row r="768" spans="1:41" hidden="1">
      <c r="A768" s="50">
        <v>163</v>
      </c>
      <c r="B768" s="1" t="s">
        <v>175</v>
      </c>
      <c r="C768" s="50">
        <v>0</v>
      </c>
      <c r="D768" s="464" t="s">
        <v>18503</v>
      </c>
      <c r="E768" s="1" t="s">
        <v>175</v>
      </c>
      <c r="F768" s="53">
        <v>44355</v>
      </c>
      <c r="G768" s="1">
        <v>2021</v>
      </c>
      <c r="H768" s="1" t="s">
        <v>17209</v>
      </c>
      <c r="I768" s="1" t="s">
        <v>17210</v>
      </c>
      <c r="J768" s="1" t="s">
        <v>16401</v>
      </c>
      <c r="K768" s="36">
        <v>69604.502562499998</v>
      </c>
      <c r="L768" s="1">
        <v>2.7278500000000001</v>
      </c>
      <c r="M768" s="37">
        <v>25516.25</v>
      </c>
      <c r="N768" s="1" t="s">
        <v>20155</v>
      </c>
      <c r="O768" s="1" t="s">
        <v>20168</v>
      </c>
      <c r="P768" s="876">
        <v>44362</v>
      </c>
      <c r="Q768" s="466">
        <v>10044</v>
      </c>
      <c r="R768" s="466">
        <v>0</v>
      </c>
      <c r="S768" s="466">
        <v>0</v>
      </c>
      <c r="T768" s="466">
        <v>13000</v>
      </c>
      <c r="U768" s="466">
        <v>23044</v>
      </c>
      <c r="V768" s="11" t="s">
        <v>20231</v>
      </c>
      <c r="W768" s="39">
        <v>18468.33863059348</v>
      </c>
      <c r="X768" s="39">
        <v>0</v>
      </c>
      <c r="Y768" s="39">
        <v>0</v>
      </c>
      <c r="Z768" s="39">
        <v>51135.45469090651</v>
      </c>
      <c r="AA768" s="56">
        <v>1.8387433921339587</v>
      </c>
      <c r="AB768" s="56">
        <v>0</v>
      </c>
      <c r="AC768" s="56">
        <v>0</v>
      </c>
      <c r="AD768" s="56">
        <v>3.9334965146851162</v>
      </c>
      <c r="AE768" s="41">
        <v>1217.5625</v>
      </c>
      <c r="AF768" s="42">
        <v>5944.33</v>
      </c>
      <c r="AG768" s="42">
        <v>0.25795565006075333</v>
      </c>
      <c r="AH768" s="467">
        <v>1.5807877420732053</v>
      </c>
      <c r="AI768" s="467">
        <v>0</v>
      </c>
      <c r="AJ768" s="467">
        <v>0</v>
      </c>
      <c r="AK768" s="467">
        <v>3.675540864624363</v>
      </c>
      <c r="AL768" s="44">
        <v>1</v>
      </c>
      <c r="AM768" s="44">
        <v>0</v>
      </c>
      <c r="AN768" s="468">
        <v>0</v>
      </c>
      <c r="AO768" s="468">
        <v>1</v>
      </c>
    </row>
    <row r="769" spans="1:41" hidden="1">
      <c r="A769" s="50">
        <v>164</v>
      </c>
      <c r="B769" s="1" t="s">
        <v>176</v>
      </c>
      <c r="C769" s="50">
        <v>0</v>
      </c>
      <c r="D769" s="464" t="s">
        <v>18504</v>
      </c>
      <c r="E769" s="1" t="s">
        <v>176</v>
      </c>
      <c r="F769" s="53">
        <v>44355</v>
      </c>
      <c r="G769" s="1">
        <v>2021</v>
      </c>
      <c r="H769" s="1" t="s">
        <v>17017</v>
      </c>
      <c r="I769" s="1" t="s">
        <v>17018</v>
      </c>
      <c r="J769" s="1" t="s">
        <v>3</v>
      </c>
      <c r="K769" s="36">
        <v>72400</v>
      </c>
      <c r="L769" s="1">
        <v>1</v>
      </c>
      <c r="M769" s="37">
        <v>72400</v>
      </c>
      <c r="N769" s="1" t="s">
        <v>20155</v>
      </c>
      <c r="O769" s="1" t="s">
        <v>20307</v>
      </c>
      <c r="P769" s="876">
        <v>44372</v>
      </c>
      <c r="Q769" s="466">
        <v>40000</v>
      </c>
      <c r="R769" s="466">
        <v>0</v>
      </c>
      <c r="S769" s="466">
        <v>0</v>
      </c>
      <c r="T769" s="466">
        <v>0</v>
      </c>
      <c r="U769" s="466">
        <v>40000</v>
      </c>
      <c r="V769" s="11" t="s">
        <v>20155</v>
      </c>
      <c r="W769" s="39">
        <v>72400</v>
      </c>
      <c r="X769" s="39">
        <v>0</v>
      </c>
      <c r="Y769" s="39">
        <v>0</v>
      </c>
      <c r="Z769" s="39">
        <v>0</v>
      </c>
      <c r="AA769" s="56">
        <v>1.81</v>
      </c>
      <c r="AB769" s="56">
        <v>0</v>
      </c>
      <c r="AC769" s="56">
        <v>0</v>
      </c>
      <c r="AD769" s="56">
        <v>0</v>
      </c>
      <c r="AE769" s="41">
        <v>0</v>
      </c>
      <c r="AF769" s="42">
        <v>0</v>
      </c>
      <c r="AG769" s="42">
        <v>0</v>
      </c>
      <c r="AH769" s="467">
        <v>1.81</v>
      </c>
      <c r="AI769" s="467">
        <v>0</v>
      </c>
      <c r="AJ769" s="467">
        <v>0</v>
      </c>
      <c r="AK769" s="467">
        <v>0</v>
      </c>
      <c r="AL769" s="44">
        <v>1</v>
      </c>
      <c r="AM769" s="44">
        <v>0</v>
      </c>
      <c r="AN769" s="468">
        <v>0</v>
      </c>
      <c r="AO769" s="468">
        <v>0</v>
      </c>
    </row>
    <row r="770" spans="1:41" hidden="1">
      <c r="A770" s="50">
        <v>165</v>
      </c>
      <c r="B770" s="1" t="s">
        <v>177</v>
      </c>
      <c r="C770" s="50">
        <v>0</v>
      </c>
      <c r="D770" s="464" t="s">
        <v>18505</v>
      </c>
      <c r="E770" s="1" t="s">
        <v>177</v>
      </c>
      <c r="F770" s="53">
        <v>44355</v>
      </c>
      <c r="G770" s="1">
        <v>2021</v>
      </c>
      <c r="H770" s="1" t="s">
        <v>16823</v>
      </c>
      <c r="I770" s="1" t="s">
        <v>16824</v>
      </c>
      <c r="J770" s="1" t="s">
        <v>16401</v>
      </c>
      <c r="K770" s="36">
        <v>273473.91258</v>
      </c>
      <c r="L770" s="1">
        <v>2.7686999999999999</v>
      </c>
      <c r="M770" s="37">
        <v>98773.4</v>
      </c>
      <c r="N770" s="1" t="s">
        <v>20155</v>
      </c>
      <c r="O770" s="1" t="s">
        <v>17965</v>
      </c>
      <c r="P770" s="876">
        <v>44370</v>
      </c>
      <c r="Q770" s="466">
        <v>66024</v>
      </c>
      <c r="R770" s="466">
        <v>65016</v>
      </c>
      <c r="S770" s="466">
        <v>0</v>
      </c>
      <c r="T770" s="466">
        <v>0</v>
      </c>
      <c r="U770" s="466">
        <v>131040</v>
      </c>
      <c r="V770" s="11" t="s">
        <v>20231</v>
      </c>
      <c r="W770" s="39">
        <v>142270.91032338463</v>
      </c>
      <c r="X770" s="39">
        <v>131203.00225661538</v>
      </c>
      <c r="Y770" s="39">
        <v>0</v>
      </c>
      <c r="Z770" s="39">
        <v>0</v>
      </c>
      <c r="AA770" s="56">
        <v>2.1548362765567766</v>
      </c>
      <c r="AB770" s="56">
        <v>2.0180109858591022</v>
      </c>
      <c r="AC770" s="56">
        <v>0</v>
      </c>
      <c r="AD770" s="56">
        <v>0</v>
      </c>
      <c r="AE770" s="41">
        <v>18046.944</v>
      </c>
      <c r="AF770" s="42">
        <v>52044.84</v>
      </c>
      <c r="AG770" s="42">
        <v>0.39716758241758238</v>
      </c>
      <c r="AH770" s="467">
        <v>1.7576686941391941</v>
      </c>
      <c r="AI770" s="467">
        <v>1.6208434034415198</v>
      </c>
      <c r="AJ770" s="467">
        <v>0</v>
      </c>
      <c r="AK770" s="467">
        <v>0</v>
      </c>
      <c r="AL770" s="44">
        <v>1</v>
      </c>
      <c r="AM770" s="44" t="s">
        <v>20296</v>
      </c>
      <c r="AN770" s="468">
        <v>0</v>
      </c>
      <c r="AO770" s="468">
        <v>0</v>
      </c>
    </row>
    <row r="771" spans="1:41" hidden="1">
      <c r="A771" s="50">
        <v>166</v>
      </c>
      <c r="B771" s="1" t="s">
        <v>178</v>
      </c>
      <c r="C771" s="50">
        <v>0</v>
      </c>
      <c r="D771" s="464" t="s">
        <v>18506</v>
      </c>
      <c r="E771" s="1" t="s">
        <v>178</v>
      </c>
      <c r="F771" s="53">
        <v>44355</v>
      </c>
      <c r="G771" s="1">
        <v>2021</v>
      </c>
      <c r="H771" s="1" t="s">
        <v>16560</v>
      </c>
      <c r="I771" s="1" t="s">
        <v>16561</v>
      </c>
      <c r="J771" s="1" t="s">
        <v>16482</v>
      </c>
      <c r="K771" s="36">
        <v>173959.21799999999</v>
      </c>
      <c r="L771" s="1">
        <v>3.3210999999999999</v>
      </c>
      <c r="M771" s="37">
        <v>52380</v>
      </c>
      <c r="N771" s="1" t="s">
        <v>20155</v>
      </c>
      <c r="O771" s="1" t="s">
        <v>17801</v>
      </c>
      <c r="P771" s="876">
        <v>44364</v>
      </c>
      <c r="Q771" s="466">
        <v>0</v>
      </c>
      <c r="R771" s="466">
        <v>0</v>
      </c>
      <c r="S771" s="466">
        <v>108000</v>
      </c>
      <c r="T771" s="466">
        <v>0</v>
      </c>
      <c r="U771" s="466">
        <v>108000</v>
      </c>
      <c r="V771" s="11" t="s">
        <v>20231</v>
      </c>
      <c r="W771" s="39">
        <v>0</v>
      </c>
      <c r="X771" s="39">
        <v>0</v>
      </c>
      <c r="Y771" s="39">
        <v>173959.21799999999</v>
      </c>
      <c r="Z771" s="39">
        <v>0</v>
      </c>
      <c r="AA771" s="56">
        <v>0</v>
      </c>
      <c r="AB771" s="56">
        <v>0</v>
      </c>
      <c r="AC771" s="56">
        <v>1.6107335</v>
      </c>
      <c r="AD771" s="56">
        <v>0</v>
      </c>
      <c r="AE771" s="41">
        <v>8203.2479999999996</v>
      </c>
      <c r="AF771" s="42">
        <v>25396.34</v>
      </c>
      <c r="AG771" s="42">
        <v>0.2351512962962963</v>
      </c>
      <c r="AH771" s="467">
        <v>0</v>
      </c>
      <c r="AI771" s="467">
        <v>0</v>
      </c>
      <c r="AJ771" s="467">
        <v>1.3755822037037038</v>
      </c>
      <c r="AK771" s="467">
        <v>0</v>
      </c>
      <c r="AL771" s="44">
        <v>0</v>
      </c>
      <c r="AM771" s="44">
        <v>0</v>
      </c>
      <c r="AN771" s="468" t="s">
        <v>20300</v>
      </c>
      <c r="AO771" s="468">
        <v>0</v>
      </c>
    </row>
    <row r="772" spans="1:41" hidden="1">
      <c r="A772" s="50">
        <v>167</v>
      </c>
      <c r="B772" s="1" t="s">
        <v>179</v>
      </c>
      <c r="C772" s="50">
        <v>0</v>
      </c>
      <c r="D772" s="464" t="s">
        <v>18507</v>
      </c>
      <c r="E772" s="1" t="s">
        <v>179</v>
      </c>
      <c r="F772" s="53">
        <v>44355</v>
      </c>
      <c r="G772" s="1">
        <v>2021</v>
      </c>
      <c r="H772" s="1" t="s">
        <v>16560</v>
      </c>
      <c r="I772" s="1" t="s">
        <v>16561</v>
      </c>
      <c r="J772" s="1" t="s">
        <v>16482</v>
      </c>
      <c r="K772" s="36">
        <v>173862.315</v>
      </c>
      <c r="L772" s="1">
        <v>3.3192499999999998</v>
      </c>
      <c r="M772" s="37">
        <v>52380</v>
      </c>
      <c r="N772" s="1" t="s">
        <v>20155</v>
      </c>
      <c r="O772" s="1" t="s">
        <v>17801</v>
      </c>
      <c r="P772" s="876">
        <v>44365</v>
      </c>
      <c r="Q772" s="466">
        <v>0</v>
      </c>
      <c r="R772" s="466">
        <v>0</v>
      </c>
      <c r="S772" s="466">
        <v>108000</v>
      </c>
      <c r="T772" s="466">
        <v>0</v>
      </c>
      <c r="U772" s="466">
        <v>108000</v>
      </c>
      <c r="V772" s="11" t="s">
        <v>20231</v>
      </c>
      <c r="W772" s="39">
        <v>0</v>
      </c>
      <c r="X772" s="39">
        <v>0</v>
      </c>
      <c r="Y772" s="39">
        <v>173862.315</v>
      </c>
      <c r="Z772" s="39">
        <v>0</v>
      </c>
      <c r="AA772" s="56">
        <v>0</v>
      </c>
      <c r="AB772" s="56">
        <v>0</v>
      </c>
      <c r="AC772" s="56">
        <v>1.6098362500000001</v>
      </c>
      <c r="AD772" s="56">
        <v>0</v>
      </c>
      <c r="AE772" s="41">
        <v>8203.2479999999996</v>
      </c>
      <c r="AF772" s="42">
        <v>25396.34</v>
      </c>
      <c r="AG772" s="42">
        <v>0.2351512962962963</v>
      </c>
      <c r="AH772" s="467">
        <v>0</v>
      </c>
      <c r="AI772" s="467">
        <v>0</v>
      </c>
      <c r="AJ772" s="467">
        <v>1.3746849537037038</v>
      </c>
      <c r="AK772" s="467">
        <v>0</v>
      </c>
      <c r="AL772" s="44">
        <v>0</v>
      </c>
      <c r="AM772" s="44">
        <v>0</v>
      </c>
      <c r="AN772" s="468" t="s">
        <v>20300</v>
      </c>
      <c r="AO772" s="468">
        <v>0</v>
      </c>
    </row>
    <row r="773" spans="1:41" hidden="1">
      <c r="A773" s="50">
        <v>168</v>
      </c>
      <c r="B773" s="1" t="s">
        <v>180</v>
      </c>
      <c r="C773" s="50">
        <v>0</v>
      </c>
      <c r="D773" s="464" t="s">
        <v>18508</v>
      </c>
      <c r="E773" s="1" t="s">
        <v>180</v>
      </c>
      <c r="F773" s="53">
        <v>44355</v>
      </c>
      <c r="G773" s="1">
        <v>2021</v>
      </c>
      <c r="H773" s="1" t="s">
        <v>16560</v>
      </c>
      <c r="I773" s="1" t="s">
        <v>16561</v>
      </c>
      <c r="J773" s="1" t="s">
        <v>16482</v>
      </c>
      <c r="K773" s="36">
        <v>173029.473</v>
      </c>
      <c r="L773" s="1">
        <v>3.30335</v>
      </c>
      <c r="M773" s="37">
        <v>52380</v>
      </c>
      <c r="N773" s="1" t="s">
        <v>20155</v>
      </c>
      <c r="O773" s="1" t="s">
        <v>17801</v>
      </c>
      <c r="P773" s="876">
        <v>44366</v>
      </c>
      <c r="Q773" s="466">
        <v>0</v>
      </c>
      <c r="R773" s="466">
        <v>0</v>
      </c>
      <c r="S773" s="466">
        <v>108000</v>
      </c>
      <c r="T773" s="466">
        <v>0</v>
      </c>
      <c r="U773" s="466">
        <v>108000</v>
      </c>
      <c r="V773" s="11" t="s">
        <v>20231</v>
      </c>
      <c r="W773" s="39">
        <v>0</v>
      </c>
      <c r="X773" s="39">
        <v>0</v>
      </c>
      <c r="Y773" s="39">
        <v>173029.473</v>
      </c>
      <c r="Z773" s="39">
        <v>0</v>
      </c>
      <c r="AA773" s="56">
        <v>0</v>
      </c>
      <c r="AB773" s="56">
        <v>0</v>
      </c>
      <c r="AC773" s="56">
        <v>1.60212475</v>
      </c>
      <c r="AD773" s="56">
        <v>0</v>
      </c>
      <c r="AE773" s="41">
        <v>8203.2479999999996</v>
      </c>
      <c r="AF773" s="42">
        <v>25198.84</v>
      </c>
      <c r="AG773" s="42">
        <v>0.23332259259259258</v>
      </c>
      <c r="AH773" s="467">
        <v>0</v>
      </c>
      <c r="AI773" s="467">
        <v>0</v>
      </c>
      <c r="AJ773" s="467">
        <v>1.3688021574074074</v>
      </c>
      <c r="AK773" s="467">
        <v>0</v>
      </c>
      <c r="AL773" s="44">
        <v>0</v>
      </c>
      <c r="AM773" s="44">
        <v>0</v>
      </c>
      <c r="AN773" s="468" t="s">
        <v>20300</v>
      </c>
      <c r="AO773" s="468">
        <v>0</v>
      </c>
    </row>
    <row r="774" spans="1:41" hidden="1">
      <c r="A774" s="50">
        <v>169</v>
      </c>
      <c r="B774" s="1" t="s">
        <v>181</v>
      </c>
      <c r="C774" s="50">
        <v>0</v>
      </c>
      <c r="D774" s="464" t="s">
        <v>18509</v>
      </c>
      <c r="E774" s="1" t="s">
        <v>181</v>
      </c>
      <c r="F774" s="53">
        <v>44355</v>
      </c>
      <c r="G774" s="1">
        <v>2021</v>
      </c>
      <c r="H774" s="1" t="s">
        <v>16560</v>
      </c>
      <c r="I774" s="1" t="s">
        <v>16561</v>
      </c>
      <c r="J774" s="1" t="s">
        <v>16482</v>
      </c>
      <c r="K774" s="36">
        <v>173029.473</v>
      </c>
      <c r="L774" s="1">
        <v>3.30335</v>
      </c>
      <c r="M774" s="37">
        <v>52380</v>
      </c>
      <c r="N774" s="1" t="s">
        <v>20155</v>
      </c>
      <c r="O774" s="1" t="s">
        <v>17801</v>
      </c>
      <c r="P774" s="876">
        <v>44368</v>
      </c>
      <c r="Q774" s="466">
        <v>0</v>
      </c>
      <c r="R774" s="466">
        <v>0</v>
      </c>
      <c r="S774" s="466">
        <v>108000</v>
      </c>
      <c r="T774" s="466">
        <v>0</v>
      </c>
      <c r="U774" s="466">
        <v>108000</v>
      </c>
      <c r="V774" s="11" t="s">
        <v>20231</v>
      </c>
      <c r="W774" s="39">
        <v>0</v>
      </c>
      <c r="X774" s="39">
        <v>0</v>
      </c>
      <c r="Y774" s="39">
        <v>173029.473</v>
      </c>
      <c r="Z774" s="39">
        <v>0</v>
      </c>
      <c r="AA774" s="56">
        <v>0</v>
      </c>
      <c r="AB774" s="56">
        <v>0</v>
      </c>
      <c r="AC774" s="56">
        <v>1.60212475</v>
      </c>
      <c r="AD774" s="56">
        <v>0</v>
      </c>
      <c r="AE774" s="41">
        <v>8203.2479999999996</v>
      </c>
      <c r="AF774" s="42">
        <v>25396.34</v>
      </c>
      <c r="AG774" s="42">
        <v>0.2351512962962963</v>
      </c>
      <c r="AH774" s="467">
        <v>0</v>
      </c>
      <c r="AI774" s="467">
        <v>0</v>
      </c>
      <c r="AJ774" s="467">
        <v>1.3669734537037037</v>
      </c>
      <c r="AK774" s="467">
        <v>0</v>
      </c>
      <c r="AL774" s="44">
        <v>0</v>
      </c>
      <c r="AM774" s="44">
        <v>0</v>
      </c>
      <c r="AN774" s="468" t="s">
        <v>20300</v>
      </c>
      <c r="AO774" s="468">
        <v>0</v>
      </c>
    </row>
    <row r="775" spans="1:41" hidden="1">
      <c r="A775" s="50">
        <v>170</v>
      </c>
      <c r="B775" s="1" t="s">
        <v>182</v>
      </c>
      <c r="C775" s="50">
        <v>0</v>
      </c>
      <c r="D775" s="464" t="s">
        <v>18510</v>
      </c>
      <c r="E775" s="1" t="s">
        <v>182</v>
      </c>
      <c r="F775" s="53">
        <v>44355</v>
      </c>
      <c r="G775" s="1">
        <v>2021</v>
      </c>
      <c r="H775" s="1" t="s">
        <v>16783</v>
      </c>
      <c r="I775" s="1" t="s">
        <v>16784</v>
      </c>
      <c r="J775" s="1" t="s">
        <v>16401</v>
      </c>
      <c r="K775" s="36">
        <v>170967.22500000001</v>
      </c>
      <c r="L775" s="1">
        <v>2.7686999999999999</v>
      </c>
      <c r="M775" s="37">
        <v>61750</v>
      </c>
      <c r="N775" s="1" t="s">
        <v>20155</v>
      </c>
      <c r="O775" s="1" t="s">
        <v>17939</v>
      </c>
      <c r="P775" s="876">
        <v>44368</v>
      </c>
      <c r="Q775" s="466">
        <v>0</v>
      </c>
      <c r="R775" s="466">
        <v>0</v>
      </c>
      <c r="S775" s="466">
        <v>0</v>
      </c>
      <c r="T775" s="466">
        <v>52500</v>
      </c>
      <c r="U775" s="466">
        <v>52500</v>
      </c>
      <c r="V775" s="11" t="s">
        <v>20231</v>
      </c>
      <c r="W775" s="39">
        <v>0</v>
      </c>
      <c r="X775" s="39">
        <v>0</v>
      </c>
      <c r="Y775" s="39">
        <v>0</v>
      </c>
      <c r="Z775" s="39">
        <v>170967.22500000001</v>
      </c>
      <c r="AA775" s="56">
        <v>0</v>
      </c>
      <c r="AB775" s="56">
        <v>0</v>
      </c>
      <c r="AC775" s="56">
        <v>0</v>
      </c>
      <c r="AD775" s="56">
        <v>3.2565185714285714</v>
      </c>
      <c r="AE775" s="41">
        <v>0</v>
      </c>
      <c r="AF775" s="42">
        <v>0</v>
      </c>
      <c r="AG775" s="42">
        <v>0</v>
      </c>
      <c r="AH775" s="467">
        <v>0</v>
      </c>
      <c r="AI775" s="467">
        <v>0</v>
      </c>
      <c r="AJ775" s="467">
        <v>0</v>
      </c>
      <c r="AK775" s="467">
        <v>3.2565185714285714</v>
      </c>
      <c r="AL775" s="44">
        <v>0</v>
      </c>
      <c r="AM775" s="44">
        <v>0</v>
      </c>
      <c r="AN775" s="468">
        <v>0</v>
      </c>
      <c r="AO775" s="468">
        <v>1</v>
      </c>
    </row>
    <row r="776" spans="1:41" hidden="1">
      <c r="A776" s="50">
        <v>171</v>
      </c>
      <c r="B776" s="1" t="s">
        <v>183</v>
      </c>
      <c r="C776" s="50">
        <v>0</v>
      </c>
      <c r="D776" s="464" t="s">
        <v>18511</v>
      </c>
      <c r="E776" s="1" t="s">
        <v>183</v>
      </c>
      <c r="F776" s="53">
        <v>44357</v>
      </c>
      <c r="G776" s="1">
        <v>2021</v>
      </c>
      <c r="H776" s="1" t="s">
        <v>16957</v>
      </c>
      <c r="I776" s="1" t="s">
        <v>16958</v>
      </c>
      <c r="J776" s="1" t="s">
        <v>16401</v>
      </c>
      <c r="K776" s="36">
        <v>41050.019999999997</v>
      </c>
      <c r="L776" s="1">
        <v>2.7736499999999999</v>
      </c>
      <c r="M776" s="37">
        <v>14800</v>
      </c>
      <c r="N776" s="1" t="s">
        <v>20155</v>
      </c>
      <c r="O776" s="1" t="s">
        <v>20161</v>
      </c>
      <c r="P776" s="876">
        <v>44372</v>
      </c>
      <c r="Q776" s="466">
        <v>20000</v>
      </c>
      <c r="R776" s="466">
        <v>0</v>
      </c>
      <c r="S776" s="466">
        <v>0</v>
      </c>
      <c r="T776" s="466">
        <v>0</v>
      </c>
      <c r="U776" s="466">
        <v>20000</v>
      </c>
      <c r="V776" s="11" t="s">
        <v>20231</v>
      </c>
      <c r="W776" s="39">
        <v>41050.019999999997</v>
      </c>
      <c r="X776" s="39">
        <v>0</v>
      </c>
      <c r="Y776" s="39">
        <v>0</v>
      </c>
      <c r="Z776" s="39">
        <v>0</v>
      </c>
      <c r="AA776" s="56">
        <v>2.0525009999999999</v>
      </c>
      <c r="AB776" s="56">
        <v>0</v>
      </c>
      <c r="AC776" s="56">
        <v>0</v>
      </c>
      <c r="AD776" s="56">
        <v>0</v>
      </c>
      <c r="AE776" s="41">
        <v>869.61</v>
      </c>
      <c r="AF776" s="42">
        <v>4612.93</v>
      </c>
      <c r="AG776" s="42">
        <v>0.2306465</v>
      </c>
      <c r="AH776" s="467">
        <v>1.8218544999999999</v>
      </c>
      <c r="AI776" s="467">
        <v>0</v>
      </c>
      <c r="AJ776" s="467">
        <v>0</v>
      </c>
      <c r="AK776" s="467">
        <v>0</v>
      </c>
      <c r="AL776" s="44">
        <v>1</v>
      </c>
      <c r="AM776" s="44">
        <v>0</v>
      </c>
      <c r="AN776" s="468">
        <v>0</v>
      </c>
      <c r="AO776" s="468">
        <v>0</v>
      </c>
    </row>
    <row r="777" spans="1:41" hidden="1">
      <c r="A777" s="50">
        <v>172</v>
      </c>
      <c r="B777" s="1" t="s">
        <v>184</v>
      </c>
      <c r="C777" s="50">
        <v>0</v>
      </c>
      <c r="D777" s="464" t="s">
        <v>18512</v>
      </c>
      <c r="E777" s="1" t="s">
        <v>184</v>
      </c>
      <c r="F777" s="53">
        <v>44362</v>
      </c>
      <c r="G777" s="1">
        <v>2021</v>
      </c>
      <c r="H777" s="1" t="s">
        <v>16838</v>
      </c>
      <c r="I777" s="1" t="s">
        <v>16839</v>
      </c>
      <c r="J777" s="1" t="s">
        <v>3</v>
      </c>
      <c r="K777" s="36">
        <v>201500</v>
      </c>
      <c r="L777" s="1">
        <v>1</v>
      </c>
      <c r="M777" s="37">
        <v>201500</v>
      </c>
      <c r="N777" s="1" t="s">
        <v>20155</v>
      </c>
      <c r="O777" s="1" t="s">
        <v>17798</v>
      </c>
      <c r="P777" s="876">
        <v>44375</v>
      </c>
      <c r="Q777" s="466">
        <v>0</v>
      </c>
      <c r="R777" s="466">
        <v>0</v>
      </c>
      <c r="S777" s="466">
        <v>130000</v>
      </c>
      <c r="T777" s="466">
        <v>0</v>
      </c>
      <c r="U777" s="466">
        <v>130000</v>
      </c>
      <c r="V777" s="11" t="s">
        <v>20155</v>
      </c>
      <c r="W777" s="39">
        <v>0</v>
      </c>
      <c r="X777" s="39">
        <v>0</v>
      </c>
      <c r="Y777" s="39">
        <v>201500</v>
      </c>
      <c r="Z777" s="39">
        <v>0</v>
      </c>
      <c r="AA777" s="56">
        <v>0</v>
      </c>
      <c r="AB777" s="56">
        <v>0</v>
      </c>
      <c r="AC777" s="56">
        <v>1.55</v>
      </c>
      <c r="AD777" s="56">
        <v>0</v>
      </c>
      <c r="AE777" s="41">
        <v>0</v>
      </c>
      <c r="AF777" s="42">
        <v>0</v>
      </c>
      <c r="AG777" s="42">
        <v>0</v>
      </c>
      <c r="AH777" s="467">
        <v>0</v>
      </c>
      <c r="AI777" s="467">
        <v>0</v>
      </c>
      <c r="AJ777" s="467">
        <v>1.55</v>
      </c>
      <c r="AK777" s="467">
        <v>0</v>
      </c>
      <c r="AL777" s="44">
        <v>0</v>
      </c>
      <c r="AM777" s="44">
        <v>0</v>
      </c>
      <c r="AN777" s="468" t="s">
        <v>20300</v>
      </c>
      <c r="AO777" s="468">
        <v>0</v>
      </c>
    </row>
    <row r="778" spans="1:41" hidden="1">
      <c r="A778" s="50">
        <v>173</v>
      </c>
      <c r="B778" s="1" t="s">
        <v>185</v>
      </c>
      <c r="C778" s="50">
        <v>0</v>
      </c>
      <c r="D778" s="464" t="s">
        <v>18513</v>
      </c>
      <c r="E778" s="1" t="s">
        <v>185</v>
      </c>
      <c r="F778" s="53">
        <v>44359</v>
      </c>
      <c r="G778" s="1">
        <v>2021</v>
      </c>
      <c r="H778" s="1" t="s">
        <v>17293</v>
      </c>
      <c r="I778" s="1" t="s">
        <v>17294</v>
      </c>
      <c r="J778" s="1" t="s">
        <v>3</v>
      </c>
      <c r="K778" s="36">
        <v>17989.2</v>
      </c>
      <c r="L778" s="1">
        <v>1</v>
      </c>
      <c r="M778" s="37">
        <v>17989.2</v>
      </c>
      <c r="N778" s="1" t="s">
        <v>20155</v>
      </c>
      <c r="O778" s="1" t="s">
        <v>16394</v>
      </c>
      <c r="P778" s="876">
        <v>44371</v>
      </c>
      <c r="Q778" s="466">
        <v>0</v>
      </c>
      <c r="R778" s="466">
        <v>7968</v>
      </c>
      <c r="S778" s="466">
        <v>1500</v>
      </c>
      <c r="T778" s="466">
        <v>0</v>
      </c>
      <c r="U778" s="466">
        <v>9468</v>
      </c>
      <c r="V778" s="11" t="s">
        <v>20231</v>
      </c>
      <c r="W778" s="39">
        <v>0</v>
      </c>
      <c r="X778" s="39">
        <v>15139.2</v>
      </c>
      <c r="Y778" s="39">
        <v>2850</v>
      </c>
      <c r="Z778" s="39">
        <v>0</v>
      </c>
      <c r="AA778" s="56">
        <v>0</v>
      </c>
      <c r="AB778" s="56">
        <v>1.9</v>
      </c>
      <c r="AC778" s="56">
        <v>1.9</v>
      </c>
      <c r="AD778" s="56">
        <v>0</v>
      </c>
      <c r="AE778" s="41">
        <v>0</v>
      </c>
      <c r="AF778" s="42">
        <v>0</v>
      </c>
      <c r="AG778" s="42">
        <v>0</v>
      </c>
      <c r="AH778" s="467">
        <v>0</v>
      </c>
      <c r="AI778" s="467">
        <v>1.9</v>
      </c>
      <c r="AJ778" s="467">
        <v>1.9</v>
      </c>
      <c r="AK778" s="467">
        <v>0</v>
      </c>
      <c r="AL778" s="44">
        <v>0</v>
      </c>
      <c r="AM778" s="44">
        <v>1</v>
      </c>
      <c r="AN778" s="468">
        <v>1</v>
      </c>
      <c r="AO778" s="468">
        <v>0</v>
      </c>
    </row>
    <row r="779" spans="1:41" hidden="1">
      <c r="A779" s="50">
        <v>174</v>
      </c>
      <c r="B779" s="1" t="s">
        <v>186</v>
      </c>
      <c r="C779" s="50">
        <v>0</v>
      </c>
      <c r="D779" s="464" t="s">
        <v>18514</v>
      </c>
      <c r="E779" s="1" t="s">
        <v>186</v>
      </c>
      <c r="F779" s="53">
        <v>44365</v>
      </c>
      <c r="G779" s="1">
        <v>2021</v>
      </c>
      <c r="H779" s="1" t="s">
        <v>17119</v>
      </c>
      <c r="I779" s="1" t="s">
        <v>17120</v>
      </c>
      <c r="J779" s="1" t="s">
        <v>16401</v>
      </c>
      <c r="K779" s="36">
        <v>219693.28935000001</v>
      </c>
      <c r="L779" s="1">
        <v>2.7676500000000002</v>
      </c>
      <c r="M779" s="37">
        <v>79379</v>
      </c>
      <c r="N779" s="1" t="s">
        <v>20155</v>
      </c>
      <c r="O779" s="1" t="s">
        <v>17965</v>
      </c>
      <c r="P779" s="876">
        <v>44373</v>
      </c>
      <c r="Q779" s="466">
        <v>38400</v>
      </c>
      <c r="R779" s="466">
        <v>64200</v>
      </c>
      <c r="S779" s="466">
        <v>0</v>
      </c>
      <c r="T779" s="466">
        <v>0</v>
      </c>
      <c r="U779" s="466">
        <v>102600</v>
      </c>
      <c r="V779" s="11" t="s">
        <v>20231</v>
      </c>
      <c r="W779" s="39">
        <v>86486.893698245607</v>
      </c>
      <c r="X779" s="39">
        <v>133206.3956517544</v>
      </c>
      <c r="Y779" s="39">
        <v>0</v>
      </c>
      <c r="Z779" s="39">
        <v>0</v>
      </c>
      <c r="AA779" s="56">
        <v>2.2522628567251459</v>
      </c>
      <c r="AB779" s="56">
        <v>2.0748659758840251</v>
      </c>
      <c r="AC779" s="56">
        <v>0</v>
      </c>
      <c r="AD779" s="56">
        <v>0</v>
      </c>
      <c r="AE779" s="41">
        <v>14374.161600000001</v>
      </c>
      <c r="AF779" s="42">
        <v>41528.504000000001</v>
      </c>
      <c r="AG779" s="42">
        <v>0.40476124756335286</v>
      </c>
      <c r="AH779" s="467">
        <v>1.8475016091617931</v>
      </c>
      <c r="AI779" s="467">
        <v>1.6701047283206722</v>
      </c>
      <c r="AJ779" s="467">
        <v>0</v>
      </c>
      <c r="AK779" s="467"/>
      <c r="AL779" s="44">
        <v>1</v>
      </c>
      <c r="AM779" s="44" t="s">
        <v>20296</v>
      </c>
      <c r="AN779" s="468">
        <v>0</v>
      </c>
      <c r="AO779" s="468">
        <v>0</v>
      </c>
    </row>
    <row r="780" spans="1:41" hidden="1">
      <c r="A780" s="501">
        <v>175</v>
      </c>
      <c r="B780" s="35" t="s">
        <v>187</v>
      </c>
      <c r="C780" s="501">
        <v>0</v>
      </c>
      <c r="D780" s="502" t="s">
        <v>18515</v>
      </c>
      <c r="E780" s="35" t="s">
        <v>187</v>
      </c>
      <c r="F780" s="503">
        <v>44365</v>
      </c>
      <c r="G780" s="35">
        <v>2021</v>
      </c>
      <c r="H780" s="35" t="s">
        <v>16470</v>
      </c>
      <c r="I780" s="35" t="s">
        <v>16471</v>
      </c>
      <c r="J780" s="35" t="s">
        <v>16401</v>
      </c>
      <c r="K780" s="58">
        <v>519741.26084999996</v>
      </c>
      <c r="L780" s="35">
        <v>2.7664499999999999</v>
      </c>
      <c r="M780" s="504">
        <v>187873</v>
      </c>
      <c r="N780" s="35" t="s">
        <v>20302</v>
      </c>
      <c r="O780" s="35" t="s">
        <v>20159</v>
      </c>
      <c r="P780" s="882">
        <v>44377</v>
      </c>
      <c r="Q780" s="501">
        <v>33600</v>
      </c>
      <c r="R780" s="501">
        <v>240600</v>
      </c>
      <c r="S780" s="501">
        <v>0</v>
      </c>
      <c r="T780" s="501">
        <v>0</v>
      </c>
      <c r="U780" s="501">
        <v>274200</v>
      </c>
      <c r="V780" s="505" t="s">
        <v>20231</v>
      </c>
      <c r="W780" s="506">
        <v>69822.498138512034</v>
      </c>
      <c r="X780" s="506">
        <v>449918.76271148783</v>
      </c>
      <c r="Y780" s="506">
        <v>0</v>
      </c>
      <c r="Z780" s="506">
        <v>0</v>
      </c>
      <c r="AA780" s="507">
        <v>2.0780505398366675</v>
      </c>
      <c r="AB780" s="507">
        <v>1.8699865449355271</v>
      </c>
      <c r="AC780" s="507"/>
      <c r="AD780" s="507"/>
      <c r="AE780" s="506">
        <v>40396.559999999998</v>
      </c>
      <c r="AF780" s="506">
        <v>112566.7</v>
      </c>
      <c r="AG780" s="506">
        <v>0.41052771699489421</v>
      </c>
      <c r="AH780" s="508">
        <v>1.6675228228417733</v>
      </c>
      <c r="AI780" s="508">
        <v>1.4594588279406329</v>
      </c>
      <c r="AJ780" s="467">
        <v>0</v>
      </c>
      <c r="AK780" s="467"/>
      <c r="AL780" s="509">
        <v>1</v>
      </c>
      <c r="AM780" s="509" t="s">
        <v>20296</v>
      </c>
      <c r="AN780" s="510">
        <v>0</v>
      </c>
      <c r="AO780" s="510">
        <v>0</v>
      </c>
    </row>
    <row r="781" spans="1:41" hidden="1">
      <c r="A781" s="50">
        <v>176</v>
      </c>
      <c r="B781" s="1" t="s">
        <v>188</v>
      </c>
      <c r="C781" s="50">
        <v>0</v>
      </c>
      <c r="D781" s="464" t="s">
        <v>18516</v>
      </c>
      <c r="E781" s="1" t="s">
        <v>188</v>
      </c>
      <c r="F781" s="53">
        <v>44365</v>
      </c>
      <c r="G781" s="1">
        <v>2021</v>
      </c>
      <c r="H781" s="1" t="s">
        <v>16444</v>
      </c>
      <c r="I781" s="1" t="s">
        <v>16445</v>
      </c>
      <c r="J781" s="1" t="s">
        <v>3</v>
      </c>
      <c r="K781" s="36">
        <v>370504</v>
      </c>
      <c r="L781" s="1">
        <v>1</v>
      </c>
      <c r="M781" s="37">
        <v>370504</v>
      </c>
      <c r="N781" s="1" t="s">
        <v>20155</v>
      </c>
      <c r="O781" s="1" t="s">
        <v>17801</v>
      </c>
      <c r="P781" s="876">
        <v>44377</v>
      </c>
      <c r="Q781" s="466">
        <v>0</v>
      </c>
      <c r="R781" s="466">
        <v>148000</v>
      </c>
      <c r="S781" s="466">
        <v>113800</v>
      </c>
      <c r="T781" s="466">
        <v>0</v>
      </c>
      <c r="U781" s="466">
        <v>261800</v>
      </c>
      <c r="V781" s="11" t="s">
        <v>20155</v>
      </c>
      <c r="W781" s="39">
        <v>0</v>
      </c>
      <c r="X781" s="39">
        <v>202080</v>
      </c>
      <c r="Y781" s="39">
        <v>168424</v>
      </c>
      <c r="Z781" s="39">
        <v>0</v>
      </c>
      <c r="AA781" s="56">
        <v>0</v>
      </c>
      <c r="AB781" s="56">
        <v>1.3654054054054054</v>
      </c>
      <c r="AC781" s="56">
        <v>1.48</v>
      </c>
      <c r="AD781" s="56">
        <v>0</v>
      </c>
      <c r="AE781" s="41">
        <v>0</v>
      </c>
      <c r="AF781" s="42">
        <v>0</v>
      </c>
      <c r="AG781" s="42">
        <v>0</v>
      </c>
      <c r="AH781" s="467">
        <v>0</v>
      </c>
      <c r="AI781" s="467">
        <v>1.3654054054054054</v>
      </c>
      <c r="AJ781" s="467">
        <v>1.48</v>
      </c>
      <c r="AK781" s="467">
        <v>0</v>
      </c>
      <c r="AL781" s="44">
        <v>0</v>
      </c>
      <c r="AM781" s="44" t="s">
        <v>20300</v>
      </c>
      <c r="AN781" s="468" t="s">
        <v>20300</v>
      </c>
      <c r="AO781" s="468">
        <v>0</v>
      </c>
    </row>
    <row r="782" spans="1:41" hidden="1">
      <c r="A782" s="50">
        <v>177</v>
      </c>
      <c r="B782" s="1" t="s">
        <v>189</v>
      </c>
      <c r="C782" s="50">
        <v>0</v>
      </c>
      <c r="D782" s="464" t="s">
        <v>18517</v>
      </c>
      <c r="E782" s="1" t="s">
        <v>189</v>
      </c>
      <c r="F782" s="53">
        <v>44370</v>
      </c>
      <c r="G782" s="1">
        <v>2021</v>
      </c>
      <c r="H782" s="1" t="s">
        <v>17272</v>
      </c>
      <c r="I782" s="1" t="s">
        <v>17273</v>
      </c>
      <c r="J782" s="1" t="s">
        <v>3</v>
      </c>
      <c r="K782" s="36">
        <v>16296.4</v>
      </c>
      <c r="L782" s="1">
        <v>1</v>
      </c>
      <c r="M782" s="37">
        <v>16296.4</v>
      </c>
      <c r="N782" s="1" t="s">
        <v>20155</v>
      </c>
      <c r="O782" s="1" t="s">
        <v>16394</v>
      </c>
      <c r="P782" s="876">
        <v>44383</v>
      </c>
      <c r="Q782" s="466">
        <v>0</v>
      </c>
      <c r="R782" s="466">
        <v>4716</v>
      </c>
      <c r="S782" s="466">
        <v>1500</v>
      </c>
      <c r="T782" s="466">
        <v>1220</v>
      </c>
      <c r="U782" s="466">
        <v>7436</v>
      </c>
      <c r="V782" s="11" t="s">
        <v>20231</v>
      </c>
      <c r="W782" s="39">
        <v>0</v>
      </c>
      <c r="X782" s="39">
        <v>8960.4</v>
      </c>
      <c r="Y782" s="39">
        <v>2850</v>
      </c>
      <c r="Z782" s="39">
        <v>4486</v>
      </c>
      <c r="AA782" s="56"/>
      <c r="AB782" s="56">
        <v>1.9</v>
      </c>
      <c r="AC782" s="56">
        <v>1.9</v>
      </c>
      <c r="AD782" s="56">
        <v>3.6770491803278689</v>
      </c>
      <c r="AE782" s="41">
        <v>0</v>
      </c>
      <c r="AF782" s="42">
        <v>0</v>
      </c>
      <c r="AG782" s="42">
        <v>0</v>
      </c>
      <c r="AH782" s="467">
        <v>0</v>
      </c>
      <c r="AI782" s="467">
        <v>1.9</v>
      </c>
      <c r="AJ782" s="467">
        <v>1.9</v>
      </c>
      <c r="AK782" s="467">
        <v>3.6770491803278689</v>
      </c>
      <c r="AL782" s="44">
        <v>0</v>
      </c>
      <c r="AM782" s="44">
        <v>1</v>
      </c>
      <c r="AN782" s="468">
        <v>1</v>
      </c>
      <c r="AO782" s="468">
        <v>1</v>
      </c>
    </row>
    <row r="783" spans="1:41" hidden="1">
      <c r="A783" s="50">
        <v>178</v>
      </c>
      <c r="B783" s="1" t="s">
        <v>190</v>
      </c>
      <c r="C783" s="50">
        <v>0</v>
      </c>
      <c r="D783" s="464" t="s">
        <v>18518</v>
      </c>
      <c r="E783" s="1" t="s">
        <v>190</v>
      </c>
      <c r="F783" s="53">
        <v>44378</v>
      </c>
      <c r="G783" s="1">
        <v>2021</v>
      </c>
      <c r="H783" s="1" t="s">
        <v>16972</v>
      </c>
      <c r="I783" s="1" t="s">
        <v>16973</v>
      </c>
      <c r="J783" s="1" t="s">
        <v>3</v>
      </c>
      <c r="K783" s="36">
        <v>378000</v>
      </c>
      <c r="L783" s="1">
        <v>1</v>
      </c>
      <c r="M783" s="37">
        <v>378000</v>
      </c>
      <c r="N783" s="1" t="s">
        <v>20155</v>
      </c>
      <c r="O783" s="1" t="s">
        <v>17801</v>
      </c>
      <c r="P783" s="876">
        <v>44382</v>
      </c>
      <c r="Q783" s="466">
        <v>0</v>
      </c>
      <c r="R783" s="466">
        <v>0</v>
      </c>
      <c r="S783" s="466">
        <v>280000</v>
      </c>
      <c r="T783" s="466">
        <v>0</v>
      </c>
      <c r="U783" s="466">
        <v>280000</v>
      </c>
      <c r="V783" s="11" t="s">
        <v>20155</v>
      </c>
      <c r="W783" s="39">
        <v>0</v>
      </c>
      <c r="X783" s="39">
        <v>0</v>
      </c>
      <c r="Y783" s="39">
        <v>378000</v>
      </c>
      <c r="Z783" s="39">
        <v>0</v>
      </c>
      <c r="AA783" s="56"/>
      <c r="AB783" s="56"/>
      <c r="AC783" s="56">
        <v>1.35</v>
      </c>
      <c r="AD783" s="56"/>
      <c r="AE783" s="41">
        <v>0</v>
      </c>
      <c r="AF783" s="42">
        <v>0</v>
      </c>
      <c r="AG783" s="42">
        <v>0</v>
      </c>
      <c r="AH783" s="467">
        <v>0</v>
      </c>
      <c r="AI783" s="467">
        <v>0</v>
      </c>
      <c r="AJ783" s="467">
        <v>1.35</v>
      </c>
      <c r="AK783" s="467">
        <v>0</v>
      </c>
      <c r="AL783" s="44">
        <v>0</v>
      </c>
      <c r="AM783" s="44">
        <v>0</v>
      </c>
      <c r="AN783" s="468" t="s">
        <v>20300</v>
      </c>
      <c r="AO783" s="468">
        <v>0</v>
      </c>
    </row>
    <row r="784" spans="1:41" hidden="1">
      <c r="A784" s="50">
        <v>179</v>
      </c>
      <c r="B784" s="1" t="s">
        <v>191</v>
      </c>
      <c r="C784" s="50">
        <v>0</v>
      </c>
      <c r="D784" s="464" t="s">
        <v>18519</v>
      </c>
      <c r="E784" s="1" t="s">
        <v>191</v>
      </c>
      <c r="F784" s="53">
        <v>44378</v>
      </c>
      <c r="G784" s="1">
        <v>2021</v>
      </c>
      <c r="H784" s="1" t="s">
        <v>16384</v>
      </c>
      <c r="I784" s="1" t="s">
        <v>16385</v>
      </c>
      <c r="J784" s="1" t="s">
        <v>3</v>
      </c>
      <c r="K784" s="36">
        <v>170880</v>
      </c>
      <c r="L784" s="1">
        <v>1</v>
      </c>
      <c r="M784" s="37">
        <v>170880</v>
      </c>
      <c r="N784" s="1" t="s">
        <v>20155</v>
      </c>
      <c r="O784" s="1" t="s">
        <v>17965</v>
      </c>
      <c r="P784" s="876">
        <v>44399</v>
      </c>
      <c r="Q784" s="466">
        <v>96000</v>
      </c>
      <c r="R784" s="466">
        <v>0</v>
      </c>
      <c r="S784" s="466">
        <v>0</v>
      </c>
      <c r="T784" s="466">
        <v>0</v>
      </c>
      <c r="U784" s="466">
        <v>96000</v>
      </c>
      <c r="V784" s="11" t="s">
        <v>20155</v>
      </c>
      <c r="W784" s="39">
        <v>170880</v>
      </c>
      <c r="X784" s="39">
        <v>0</v>
      </c>
      <c r="Y784" s="39">
        <v>0</v>
      </c>
      <c r="Z784" s="39">
        <v>0</v>
      </c>
      <c r="AA784" s="56">
        <v>1.78</v>
      </c>
      <c r="AB784" s="56"/>
      <c r="AC784" s="56"/>
      <c r="AD784" s="56"/>
      <c r="AE784" s="41">
        <v>0</v>
      </c>
      <c r="AF784" s="42">
        <v>0</v>
      </c>
      <c r="AG784" s="42">
        <v>0</v>
      </c>
      <c r="AH784" s="467">
        <v>1.78</v>
      </c>
      <c r="AI784" s="467">
        <v>0</v>
      </c>
      <c r="AJ784" s="467">
        <v>0</v>
      </c>
      <c r="AK784" s="467">
        <v>0</v>
      </c>
      <c r="AL784" s="44">
        <v>1</v>
      </c>
      <c r="AM784" s="44">
        <v>0</v>
      </c>
      <c r="AN784" s="468">
        <v>0</v>
      </c>
      <c r="AO784" s="468">
        <v>0</v>
      </c>
    </row>
    <row r="785" spans="1:41" hidden="1">
      <c r="A785" s="50">
        <v>180</v>
      </c>
      <c r="B785" s="1" t="s">
        <v>192</v>
      </c>
      <c r="C785" s="50">
        <v>0</v>
      </c>
      <c r="D785" s="464" t="s">
        <v>18520</v>
      </c>
      <c r="E785" s="1" t="s">
        <v>192</v>
      </c>
      <c r="F785" s="53">
        <v>44378</v>
      </c>
      <c r="G785" s="1">
        <v>2021</v>
      </c>
      <c r="H785" s="1" t="s">
        <v>16444</v>
      </c>
      <c r="I785" s="1" t="s">
        <v>16445</v>
      </c>
      <c r="J785" s="1" t="s">
        <v>3</v>
      </c>
      <c r="K785" s="36">
        <v>100240</v>
      </c>
      <c r="L785" s="1">
        <v>1</v>
      </c>
      <c r="M785" s="37">
        <v>100240</v>
      </c>
      <c r="N785" s="1" t="s">
        <v>20155</v>
      </c>
      <c r="O785" s="1" t="s">
        <v>17798</v>
      </c>
      <c r="P785" s="876">
        <v>44389</v>
      </c>
      <c r="Q785" s="466">
        <v>56000</v>
      </c>
      <c r="R785" s="466">
        <v>0</v>
      </c>
      <c r="S785" s="466">
        <v>0</v>
      </c>
      <c r="T785" s="466">
        <v>0</v>
      </c>
      <c r="U785" s="466">
        <v>56000</v>
      </c>
      <c r="V785" s="11" t="s">
        <v>20155</v>
      </c>
      <c r="W785" s="39">
        <v>100240</v>
      </c>
      <c r="X785" s="39">
        <v>0</v>
      </c>
      <c r="Y785" s="39">
        <v>0</v>
      </c>
      <c r="Z785" s="39">
        <v>0</v>
      </c>
      <c r="AA785" s="56">
        <v>1.79</v>
      </c>
      <c r="AB785" s="56"/>
      <c r="AC785" s="56"/>
      <c r="AD785" s="56"/>
      <c r="AE785" s="41">
        <v>0</v>
      </c>
      <c r="AF785" s="42">
        <v>0</v>
      </c>
      <c r="AG785" s="42">
        <v>0</v>
      </c>
      <c r="AH785" s="467">
        <v>1.79</v>
      </c>
      <c r="AI785" s="467">
        <v>0</v>
      </c>
      <c r="AJ785" s="467">
        <v>0</v>
      </c>
      <c r="AK785" s="467">
        <v>0</v>
      </c>
      <c r="AL785" s="44">
        <v>1</v>
      </c>
      <c r="AM785" s="44">
        <v>0</v>
      </c>
      <c r="AN785" s="468">
        <v>0</v>
      </c>
      <c r="AO785" s="468">
        <v>0</v>
      </c>
    </row>
    <row r="786" spans="1:41" hidden="1">
      <c r="A786" s="50">
        <v>181</v>
      </c>
      <c r="B786" s="1" t="s">
        <v>193</v>
      </c>
      <c r="C786" s="50">
        <v>0</v>
      </c>
      <c r="D786" s="464" t="s">
        <v>18521</v>
      </c>
      <c r="E786" s="1" t="s">
        <v>193</v>
      </c>
      <c r="F786" s="53">
        <v>44379</v>
      </c>
      <c r="G786" s="1">
        <v>2021</v>
      </c>
      <c r="H786" s="1" t="s">
        <v>17017</v>
      </c>
      <c r="I786" s="1" t="s">
        <v>17018</v>
      </c>
      <c r="J786" s="1" t="s">
        <v>3</v>
      </c>
      <c r="K786" s="36">
        <v>5700</v>
      </c>
      <c r="L786" s="1">
        <v>1</v>
      </c>
      <c r="M786" s="37">
        <v>5700</v>
      </c>
      <c r="N786" s="1" t="s">
        <v>20155</v>
      </c>
      <c r="O786" s="1" t="s">
        <v>20158</v>
      </c>
      <c r="P786" s="876">
        <v>44390</v>
      </c>
      <c r="Q786" s="466">
        <v>3000</v>
      </c>
      <c r="R786" s="466">
        <v>0</v>
      </c>
      <c r="S786" s="466">
        <v>0</v>
      </c>
      <c r="T786" s="466">
        <v>0</v>
      </c>
      <c r="U786" s="466">
        <v>3000</v>
      </c>
      <c r="V786" s="11" t="s">
        <v>20155</v>
      </c>
      <c r="W786" s="39">
        <v>5700</v>
      </c>
      <c r="X786" s="39">
        <v>0</v>
      </c>
      <c r="Y786" s="39">
        <v>0</v>
      </c>
      <c r="Z786" s="39">
        <v>0</v>
      </c>
      <c r="AA786" s="56">
        <v>1.9</v>
      </c>
      <c r="AB786" s="56"/>
      <c r="AC786" s="56"/>
      <c r="AD786" s="56"/>
      <c r="AE786" s="41">
        <v>0</v>
      </c>
      <c r="AF786" s="42">
        <v>0</v>
      </c>
      <c r="AG786" s="42">
        <v>0</v>
      </c>
      <c r="AH786" s="467">
        <v>1.9</v>
      </c>
      <c r="AI786" s="467">
        <v>0</v>
      </c>
      <c r="AJ786" s="467">
        <v>0</v>
      </c>
      <c r="AK786" s="467">
        <v>0</v>
      </c>
      <c r="AL786" s="44">
        <v>1</v>
      </c>
      <c r="AM786" s="44">
        <v>0</v>
      </c>
      <c r="AN786" s="468">
        <v>0</v>
      </c>
      <c r="AO786" s="468">
        <v>0</v>
      </c>
    </row>
    <row r="787" spans="1:41" hidden="1">
      <c r="A787" s="50">
        <v>182</v>
      </c>
      <c r="B787" s="1" t="s">
        <v>194</v>
      </c>
      <c r="C787" s="50">
        <v>0</v>
      </c>
      <c r="D787" s="464" t="s">
        <v>18522</v>
      </c>
      <c r="E787" s="1" t="s">
        <v>194</v>
      </c>
      <c r="F787" s="53">
        <v>44382</v>
      </c>
      <c r="G787" s="1">
        <v>2021</v>
      </c>
      <c r="H787" s="1" t="s">
        <v>16384</v>
      </c>
      <c r="I787" s="1" t="s">
        <v>16385</v>
      </c>
      <c r="J787" s="1" t="s">
        <v>3</v>
      </c>
      <c r="K787" s="36">
        <v>103800</v>
      </c>
      <c r="L787" s="1">
        <v>1</v>
      </c>
      <c r="M787" s="37">
        <v>103800</v>
      </c>
      <c r="N787" s="1" t="s">
        <v>20155</v>
      </c>
      <c r="O787" s="1" t="s">
        <v>17771</v>
      </c>
      <c r="P787" s="876">
        <v>44389</v>
      </c>
      <c r="Q787" s="466">
        <v>60000</v>
      </c>
      <c r="R787" s="466">
        <v>0</v>
      </c>
      <c r="S787" s="466">
        <v>0</v>
      </c>
      <c r="T787" s="466">
        <v>0</v>
      </c>
      <c r="U787" s="466">
        <v>60000</v>
      </c>
      <c r="V787" s="11" t="s">
        <v>20155</v>
      </c>
      <c r="W787" s="39">
        <v>103800</v>
      </c>
      <c r="X787" s="39">
        <v>0</v>
      </c>
      <c r="Y787" s="39">
        <v>0</v>
      </c>
      <c r="Z787" s="39">
        <v>0</v>
      </c>
      <c r="AA787" s="56">
        <v>1.73</v>
      </c>
      <c r="AB787" s="56"/>
      <c r="AC787" s="56"/>
      <c r="AD787" s="56"/>
      <c r="AE787" s="41">
        <v>0</v>
      </c>
      <c r="AF787" s="42">
        <v>0</v>
      </c>
      <c r="AG787" s="42">
        <v>0</v>
      </c>
      <c r="AH787" s="467">
        <v>1.73</v>
      </c>
      <c r="AI787" s="467">
        <v>0</v>
      </c>
      <c r="AJ787" s="467">
        <v>0</v>
      </c>
      <c r="AK787" s="467">
        <v>0</v>
      </c>
      <c r="AL787" s="44">
        <v>1</v>
      </c>
      <c r="AM787" s="44">
        <v>0</v>
      </c>
      <c r="AN787" s="468">
        <v>0</v>
      </c>
      <c r="AO787" s="468">
        <v>0</v>
      </c>
    </row>
    <row r="788" spans="1:41" hidden="1">
      <c r="A788" s="50">
        <v>183</v>
      </c>
      <c r="B788" s="1" t="s">
        <v>195</v>
      </c>
      <c r="C788" s="50">
        <v>0</v>
      </c>
      <c r="D788" s="464" t="s">
        <v>18523</v>
      </c>
      <c r="E788" s="1" t="s">
        <v>195</v>
      </c>
      <c r="F788" s="53">
        <v>44383</v>
      </c>
      <c r="G788" s="1">
        <v>2021</v>
      </c>
      <c r="H788" s="1" t="s">
        <v>16444</v>
      </c>
      <c r="I788" s="1" t="s">
        <v>16445</v>
      </c>
      <c r="J788" s="1" t="s">
        <v>3</v>
      </c>
      <c r="K788" s="36">
        <v>38954.160000000003</v>
      </c>
      <c r="L788" s="1">
        <v>1</v>
      </c>
      <c r="M788" s="37">
        <v>38954.160000000003</v>
      </c>
      <c r="N788" s="1" t="s">
        <v>20155</v>
      </c>
      <c r="O788" s="1" t="s">
        <v>17693</v>
      </c>
      <c r="P788" s="876">
        <v>44389</v>
      </c>
      <c r="Q788" s="466">
        <v>22008</v>
      </c>
      <c r="R788" s="466">
        <v>0</v>
      </c>
      <c r="S788" s="466">
        <v>0</v>
      </c>
      <c r="T788" s="466">
        <v>0</v>
      </c>
      <c r="U788" s="466">
        <v>22008</v>
      </c>
      <c r="V788" s="11" t="s">
        <v>20155</v>
      </c>
      <c r="W788" s="39">
        <v>38954.160000000003</v>
      </c>
      <c r="X788" s="39">
        <v>0</v>
      </c>
      <c r="Y788" s="39">
        <v>0</v>
      </c>
      <c r="Z788" s="39">
        <v>0</v>
      </c>
      <c r="AA788" s="56">
        <v>1.7700000000000002</v>
      </c>
      <c r="AB788" s="56"/>
      <c r="AC788" s="56"/>
      <c r="AD788" s="56"/>
      <c r="AE788" s="41">
        <v>0</v>
      </c>
      <c r="AF788" s="42">
        <v>0</v>
      </c>
      <c r="AG788" s="42">
        <v>0</v>
      </c>
      <c r="AH788" s="467">
        <v>1.7700000000000002</v>
      </c>
      <c r="AI788" s="467">
        <v>0</v>
      </c>
      <c r="AJ788" s="467">
        <v>0</v>
      </c>
      <c r="AK788" s="467">
        <v>0</v>
      </c>
      <c r="AL788" s="44">
        <v>1</v>
      </c>
      <c r="AM788" s="44">
        <v>0</v>
      </c>
      <c r="AN788" s="468">
        <v>0</v>
      </c>
      <c r="AO788" s="468">
        <v>0</v>
      </c>
    </row>
    <row r="789" spans="1:41" hidden="1">
      <c r="A789" s="50">
        <v>184</v>
      </c>
      <c r="B789" s="1" t="s">
        <v>196</v>
      </c>
      <c r="C789" s="50">
        <v>0</v>
      </c>
      <c r="D789" s="464" t="s">
        <v>18524</v>
      </c>
      <c r="E789" s="1" t="s">
        <v>196</v>
      </c>
      <c r="F789" s="53">
        <v>44384</v>
      </c>
      <c r="G789" s="1">
        <v>2021</v>
      </c>
      <c r="H789" s="1" t="s">
        <v>16384</v>
      </c>
      <c r="I789" s="1" t="s">
        <v>16385</v>
      </c>
      <c r="J789" s="1" t="s">
        <v>3</v>
      </c>
      <c r="K789" s="36">
        <v>170880</v>
      </c>
      <c r="L789" s="1">
        <v>1</v>
      </c>
      <c r="M789" s="37">
        <v>170880</v>
      </c>
      <c r="N789" s="1" t="s">
        <v>20155</v>
      </c>
      <c r="O789" s="1" t="s">
        <v>17965</v>
      </c>
      <c r="P789" s="876">
        <v>44387</v>
      </c>
      <c r="Q789" s="466">
        <v>96000</v>
      </c>
      <c r="R789" s="466">
        <v>0</v>
      </c>
      <c r="S789" s="466">
        <v>0</v>
      </c>
      <c r="T789" s="466">
        <v>0</v>
      </c>
      <c r="U789" s="466">
        <v>96000</v>
      </c>
      <c r="V789" s="11" t="s">
        <v>20155</v>
      </c>
      <c r="W789" s="39">
        <v>170880</v>
      </c>
      <c r="X789" s="39">
        <v>0</v>
      </c>
      <c r="Y789" s="39">
        <v>0</v>
      </c>
      <c r="Z789" s="39">
        <v>0</v>
      </c>
      <c r="AA789" s="56">
        <v>1.78</v>
      </c>
      <c r="AB789" s="56"/>
      <c r="AC789" s="56"/>
      <c r="AD789" s="56"/>
      <c r="AE789" s="41">
        <v>0</v>
      </c>
      <c r="AF789" s="42">
        <v>0</v>
      </c>
      <c r="AG789" s="42">
        <v>0</v>
      </c>
      <c r="AH789" s="467">
        <v>1.78</v>
      </c>
      <c r="AI789" s="467">
        <v>0</v>
      </c>
      <c r="AJ789" s="467">
        <v>0</v>
      </c>
      <c r="AK789" s="467">
        <v>0</v>
      </c>
      <c r="AL789" s="44">
        <v>1</v>
      </c>
      <c r="AM789" s="44">
        <v>0</v>
      </c>
      <c r="AN789" s="468">
        <v>0</v>
      </c>
      <c r="AO789" s="468">
        <v>0</v>
      </c>
    </row>
    <row r="790" spans="1:41" hidden="1">
      <c r="A790" s="50">
        <v>185</v>
      </c>
      <c r="B790" s="1" t="s">
        <v>197</v>
      </c>
      <c r="C790" s="50">
        <v>0</v>
      </c>
      <c r="D790" s="464" t="s">
        <v>18525</v>
      </c>
      <c r="E790" s="1" t="s">
        <v>197</v>
      </c>
      <c r="F790" s="53">
        <v>44386</v>
      </c>
      <c r="G790" s="1">
        <v>2021</v>
      </c>
      <c r="H790" s="1" t="s">
        <v>16957</v>
      </c>
      <c r="I790" s="1" t="s">
        <v>16958</v>
      </c>
      <c r="J790" s="1" t="s">
        <v>16401</v>
      </c>
      <c r="K790" s="36">
        <v>82585.48</v>
      </c>
      <c r="L790" s="1">
        <v>2.7900499999999999</v>
      </c>
      <c r="M790" s="37">
        <v>29600</v>
      </c>
      <c r="N790" s="1" t="s">
        <v>20155</v>
      </c>
      <c r="O790" s="1" t="s">
        <v>20161</v>
      </c>
      <c r="P790" s="876">
        <v>44400</v>
      </c>
      <c r="Q790" s="466">
        <v>40000</v>
      </c>
      <c r="R790" s="466">
        <v>0</v>
      </c>
      <c r="S790" s="466">
        <v>0</v>
      </c>
      <c r="T790" s="466">
        <v>0</v>
      </c>
      <c r="U790" s="466">
        <v>40000</v>
      </c>
      <c r="V790" s="11" t="e">
        <v>#N/A</v>
      </c>
      <c r="W790" s="39">
        <v>82585.48</v>
      </c>
      <c r="X790" s="39">
        <v>0</v>
      </c>
      <c r="Y790" s="39">
        <v>0</v>
      </c>
      <c r="Z790" s="39">
        <v>0</v>
      </c>
      <c r="AA790" s="56">
        <v>2.0646369999999998</v>
      </c>
      <c r="AB790" s="56"/>
      <c r="AC790" s="56"/>
      <c r="AD790" s="56"/>
      <c r="AE790" s="41">
        <v>1847.95</v>
      </c>
      <c r="AF790" s="42">
        <v>9700.36</v>
      </c>
      <c r="AG790" s="42">
        <v>0.242509</v>
      </c>
      <c r="AH790" s="467">
        <v>1.8221279999999997</v>
      </c>
      <c r="AI790" s="467">
        <v>0</v>
      </c>
      <c r="AJ790" s="467">
        <v>0</v>
      </c>
      <c r="AK790" s="467">
        <v>0</v>
      </c>
      <c r="AL790" s="44">
        <v>1</v>
      </c>
      <c r="AM790" s="44">
        <v>0</v>
      </c>
      <c r="AN790" s="468">
        <v>0</v>
      </c>
      <c r="AO790" s="468">
        <v>0</v>
      </c>
    </row>
    <row r="791" spans="1:41" hidden="1">
      <c r="A791" s="50">
        <v>186</v>
      </c>
      <c r="B791" s="1" t="s">
        <v>198</v>
      </c>
      <c r="C791" s="50">
        <v>0</v>
      </c>
      <c r="D791" s="464" t="s">
        <v>18526</v>
      </c>
      <c r="E791" s="1" t="s">
        <v>198</v>
      </c>
      <c r="F791" s="53">
        <v>44386</v>
      </c>
      <c r="G791" s="1">
        <v>2021</v>
      </c>
      <c r="H791" s="1" t="s">
        <v>16384</v>
      </c>
      <c r="I791" s="1" t="s">
        <v>16385</v>
      </c>
      <c r="J791" s="1" t="s">
        <v>3</v>
      </c>
      <c r="K791" s="36">
        <v>127400</v>
      </c>
      <c r="L791" s="1">
        <v>1</v>
      </c>
      <c r="M791" s="37">
        <v>127400</v>
      </c>
      <c r="N791" s="1" t="s">
        <v>20155</v>
      </c>
      <c r="O791" s="1" t="s">
        <v>17801</v>
      </c>
      <c r="P791" s="876">
        <v>44406</v>
      </c>
      <c r="Q791" s="466">
        <v>12000</v>
      </c>
      <c r="R791" s="466">
        <v>52000</v>
      </c>
      <c r="S791" s="466">
        <v>18000</v>
      </c>
      <c r="T791" s="466">
        <v>0</v>
      </c>
      <c r="U791" s="466">
        <v>82000</v>
      </c>
      <c r="V791" s="11" t="s">
        <v>20155</v>
      </c>
      <c r="W791" s="39">
        <v>21000</v>
      </c>
      <c r="X791" s="39">
        <v>79760</v>
      </c>
      <c r="Y791" s="39">
        <v>26640</v>
      </c>
      <c r="Z791" s="39">
        <v>0</v>
      </c>
      <c r="AA791" s="56">
        <v>1.75</v>
      </c>
      <c r="AB791" s="56">
        <v>1.5338461538461539</v>
      </c>
      <c r="AC791" s="56">
        <v>1.48</v>
      </c>
      <c r="AD791" s="56"/>
      <c r="AE791" s="41">
        <v>0</v>
      </c>
      <c r="AF791" s="42">
        <v>0</v>
      </c>
      <c r="AG791" s="42">
        <v>0</v>
      </c>
      <c r="AH791" s="467">
        <v>1.75</v>
      </c>
      <c r="AI791" s="467">
        <v>1.5338461538461539</v>
      </c>
      <c r="AJ791" s="467">
        <v>1.48</v>
      </c>
      <c r="AK791" s="467">
        <v>0</v>
      </c>
      <c r="AL791" s="44">
        <v>1</v>
      </c>
      <c r="AM791" s="44" t="s">
        <v>20300</v>
      </c>
      <c r="AN791" s="468" t="s">
        <v>20300</v>
      </c>
      <c r="AO791" s="468">
        <v>0</v>
      </c>
    </row>
    <row r="792" spans="1:41" hidden="1">
      <c r="A792" s="50">
        <v>187</v>
      </c>
      <c r="B792" s="1" t="s">
        <v>199</v>
      </c>
      <c r="C792" s="50">
        <v>0</v>
      </c>
      <c r="D792" s="464" t="s">
        <v>18527</v>
      </c>
      <c r="E792" s="1" t="s">
        <v>199</v>
      </c>
      <c r="F792" s="53">
        <v>44386</v>
      </c>
      <c r="G792" s="1">
        <v>2021</v>
      </c>
      <c r="H792" s="1" t="s">
        <v>17264</v>
      </c>
      <c r="I792" s="1" t="s">
        <v>17265</v>
      </c>
      <c r="J792" s="1" t="s">
        <v>16401</v>
      </c>
      <c r="K792" s="36">
        <v>112547.33125</v>
      </c>
      <c r="L792" s="1">
        <v>2.78755</v>
      </c>
      <c r="M792" s="37">
        <v>40375</v>
      </c>
      <c r="N792" s="1" t="s">
        <v>20155</v>
      </c>
      <c r="O792" s="1" t="s">
        <v>20157</v>
      </c>
      <c r="P792" s="876">
        <v>44393</v>
      </c>
      <c r="Q792" s="466">
        <v>0</v>
      </c>
      <c r="R792" s="466">
        <v>0</v>
      </c>
      <c r="S792" s="466">
        <v>0</v>
      </c>
      <c r="T792" s="466">
        <v>27500</v>
      </c>
      <c r="U792" s="466">
        <v>27500</v>
      </c>
      <c r="V792" s="11" t="e">
        <v>#N/A</v>
      </c>
      <c r="W792" s="39">
        <v>0</v>
      </c>
      <c r="X792" s="39">
        <v>0</v>
      </c>
      <c r="Y792" s="39">
        <v>0</v>
      </c>
      <c r="Z792" s="39">
        <v>112547.33125</v>
      </c>
      <c r="AA792" s="56"/>
      <c r="AB792" s="56"/>
      <c r="AC792" s="56"/>
      <c r="AD792" s="56">
        <v>4.0926302272727275</v>
      </c>
      <c r="AE792" s="41">
        <v>0</v>
      </c>
      <c r="AF792" s="42">
        <v>2879.37</v>
      </c>
      <c r="AG792" s="42">
        <v>0.10470436363636364</v>
      </c>
      <c r="AH792" s="467"/>
      <c r="AI792" s="467"/>
      <c r="AJ792" s="467"/>
      <c r="AK792" s="467">
        <v>3.9879258636363639</v>
      </c>
      <c r="AL792" s="44">
        <v>0</v>
      </c>
      <c r="AM792" s="44">
        <v>0</v>
      </c>
      <c r="AN792" s="468">
        <v>0</v>
      </c>
      <c r="AO792" s="468">
        <v>1</v>
      </c>
    </row>
    <row r="793" spans="1:41" hidden="1">
      <c r="A793" s="50">
        <v>188</v>
      </c>
      <c r="B793" s="1" t="s">
        <v>200</v>
      </c>
      <c r="C793" s="50">
        <v>0</v>
      </c>
      <c r="D793" s="464" t="s">
        <v>18528</v>
      </c>
      <c r="E793" s="1" t="s">
        <v>200</v>
      </c>
      <c r="F793" s="53">
        <v>44386</v>
      </c>
      <c r="G793" s="1">
        <v>2021</v>
      </c>
      <c r="H793" s="1" t="s">
        <v>17017</v>
      </c>
      <c r="I793" s="1" t="s">
        <v>17018</v>
      </c>
      <c r="J793" s="1" t="s">
        <v>3</v>
      </c>
      <c r="K793" s="36">
        <v>14651.92</v>
      </c>
      <c r="L793" s="1">
        <v>1</v>
      </c>
      <c r="M793" s="37">
        <v>14651.92</v>
      </c>
      <c r="N793" s="1" t="s">
        <v>20155</v>
      </c>
      <c r="O793" s="1" t="s">
        <v>17954</v>
      </c>
      <c r="P793" s="876">
        <v>44412</v>
      </c>
      <c r="Q793" s="466">
        <v>0</v>
      </c>
      <c r="R793" s="466">
        <v>5448</v>
      </c>
      <c r="S793" s="466">
        <v>0</v>
      </c>
      <c r="T793" s="466">
        <v>1400</v>
      </c>
      <c r="U793" s="466">
        <v>6848</v>
      </c>
      <c r="V793" s="11" t="e">
        <v>#N/A</v>
      </c>
      <c r="W793" s="39">
        <v>0</v>
      </c>
      <c r="X793" s="39">
        <v>9751.92</v>
      </c>
      <c r="Y793" s="39">
        <v>0</v>
      </c>
      <c r="Z793" s="39">
        <v>4900</v>
      </c>
      <c r="AA793" s="56"/>
      <c r="AB793" s="56">
        <v>1.79</v>
      </c>
      <c r="AC793" s="56"/>
      <c r="AD793" s="56">
        <v>3.5</v>
      </c>
      <c r="AE793" s="41">
        <v>0</v>
      </c>
      <c r="AF793" s="42">
        <v>0</v>
      </c>
      <c r="AG793" s="42">
        <v>0</v>
      </c>
      <c r="AH793" s="467">
        <v>0</v>
      </c>
      <c r="AI793" s="467">
        <v>1.79</v>
      </c>
      <c r="AJ793" s="467">
        <v>0</v>
      </c>
      <c r="AK793" s="467">
        <v>3.5</v>
      </c>
      <c r="AL793" s="44">
        <v>0</v>
      </c>
      <c r="AM793" s="44" t="s">
        <v>20296</v>
      </c>
      <c r="AN793" s="468">
        <v>0</v>
      </c>
      <c r="AO793" s="468">
        <v>1</v>
      </c>
    </row>
    <row r="794" spans="1:41" hidden="1">
      <c r="A794" s="50">
        <v>189</v>
      </c>
      <c r="B794" s="1" t="s">
        <v>201</v>
      </c>
      <c r="C794" s="50">
        <v>0</v>
      </c>
      <c r="D794" s="464" t="s">
        <v>18529</v>
      </c>
      <c r="E794" s="1" t="s">
        <v>201</v>
      </c>
      <c r="F794" s="53">
        <v>44386</v>
      </c>
      <c r="G794" s="1">
        <v>2021</v>
      </c>
      <c r="H794" s="1" t="s">
        <v>17017</v>
      </c>
      <c r="I794" s="1" t="s">
        <v>17018</v>
      </c>
      <c r="J794" s="1" t="s">
        <v>3</v>
      </c>
      <c r="K794" s="36">
        <v>35800</v>
      </c>
      <c r="L794" s="1">
        <v>1</v>
      </c>
      <c r="M794" s="37">
        <v>35800</v>
      </c>
      <c r="N794" s="1" t="s">
        <v>20155</v>
      </c>
      <c r="O794" s="1" t="s">
        <v>18064</v>
      </c>
      <c r="P794" s="876">
        <v>44405</v>
      </c>
      <c r="Q794" s="466">
        <v>0</v>
      </c>
      <c r="R794" s="466">
        <v>20000</v>
      </c>
      <c r="S794" s="466">
        <v>0</v>
      </c>
      <c r="T794" s="466">
        <v>0</v>
      </c>
      <c r="U794" s="466">
        <v>20000</v>
      </c>
      <c r="V794" s="11" t="e">
        <v>#N/A</v>
      </c>
      <c r="W794" s="39">
        <v>0</v>
      </c>
      <c r="X794" s="39">
        <v>35800</v>
      </c>
      <c r="Y794" s="39">
        <v>0</v>
      </c>
      <c r="Z794" s="39">
        <v>0</v>
      </c>
      <c r="AA794" s="56"/>
      <c r="AB794" s="56">
        <v>1.79</v>
      </c>
      <c r="AC794" s="56"/>
      <c r="AD794" s="56"/>
      <c r="AE794" s="41">
        <v>0</v>
      </c>
      <c r="AF794" s="42">
        <v>0</v>
      </c>
      <c r="AG794" s="42">
        <v>0</v>
      </c>
      <c r="AH794" s="467">
        <v>0</v>
      </c>
      <c r="AI794" s="467">
        <v>1.79</v>
      </c>
      <c r="AJ794" s="467">
        <v>0</v>
      </c>
      <c r="AK794" s="467">
        <v>0</v>
      </c>
      <c r="AL794" s="44">
        <v>0</v>
      </c>
      <c r="AM794" s="44">
        <v>1</v>
      </c>
      <c r="AN794" s="468">
        <v>0</v>
      </c>
      <c r="AO794" s="468">
        <v>0</v>
      </c>
    </row>
    <row r="795" spans="1:41" hidden="1">
      <c r="A795" s="50">
        <v>190</v>
      </c>
      <c r="B795" s="1" t="s">
        <v>202</v>
      </c>
      <c r="C795" s="50">
        <v>0</v>
      </c>
      <c r="D795" s="464" t="s">
        <v>18530</v>
      </c>
      <c r="E795" s="1" t="s">
        <v>202</v>
      </c>
      <c r="F795" s="53">
        <v>44386</v>
      </c>
      <c r="G795" s="1">
        <v>2021</v>
      </c>
      <c r="H795" s="1" t="s">
        <v>16880</v>
      </c>
      <c r="I795" s="1" t="s">
        <v>16881</v>
      </c>
      <c r="J795" s="1" t="s">
        <v>16401</v>
      </c>
      <c r="K795" s="36">
        <v>62301.371750000006</v>
      </c>
      <c r="L795" s="1">
        <v>2.7794500000000002</v>
      </c>
      <c r="M795" s="37">
        <v>22415</v>
      </c>
      <c r="N795" s="1" t="s">
        <v>20155</v>
      </c>
      <c r="O795" s="1" t="s">
        <v>20156</v>
      </c>
      <c r="P795" s="876">
        <v>44392</v>
      </c>
      <c r="Q795" s="466">
        <v>0</v>
      </c>
      <c r="R795" s="466">
        <v>18500</v>
      </c>
      <c r="S795" s="466">
        <v>0</v>
      </c>
      <c r="T795" s="466">
        <v>0</v>
      </c>
      <c r="U795" s="466">
        <v>18500</v>
      </c>
      <c r="V795" s="11" t="e">
        <v>#N/A</v>
      </c>
      <c r="W795" s="39">
        <v>0</v>
      </c>
      <c r="X795" s="39">
        <v>62301.371750000006</v>
      </c>
      <c r="Y795" s="39">
        <v>0</v>
      </c>
      <c r="Z795" s="39">
        <v>0</v>
      </c>
      <c r="AA795" s="56"/>
      <c r="AB795" s="56">
        <v>3.3676417162162164</v>
      </c>
      <c r="AC795" s="56"/>
      <c r="AD795" s="56"/>
      <c r="AE795" s="41">
        <v>0</v>
      </c>
      <c r="AF795" s="42">
        <v>1681.72</v>
      </c>
      <c r="AG795" s="42">
        <v>9.090378378378379E-2</v>
      </c>
      <c r="AH795" s="467"/>
      <c r="AI795" s="467">
        <v>3.2767379324324328</v>
      </c>
      <c r="AJ795" s="467"/>
      <c r="AK795" s="467"/>
      <c r="AL795" s="44">
        <v>0</v>
      </c>
      <c r="AM795" s="44">
        <v>1</v>
      </c>
      <c r="AN795" s="468">
        <v>0</v>
      </c>
      <c r="AO795" s="468">
        <v>0</v>
      </c>
    </row>
    <row r="796" spans="1:41" hidden="1">
      <c r="A796" s="50">
        <v>191</v>
      </c>
      <c r="B796" s="1" t="s">
        <v>203</v>
      </c>
      <c r="C796" s="50">
        <v>0</v>
      </c>
      <c r="D796" s="464" t="s">
        <v>18531</v>
      </c>
      <c r="E796" s="1" t="s">
        <v>203</v>
      </c>
      <c r="F796" s="53">
        <v>44386</v>
      </c>
      <c r="G796" s="1">
        <v>2021</v>
      </c>
      <c r="H796" s="1" t="s">
        <v>16838</v>
      </c>
      <c r="I796" s="1" t="s">
        <v>16839</v>
      </c>
      <c r="J796" s="1" t="s">
        <v>3</v>
      </c>
      <c r="K796" s="36">
        <v>202800</v>
      </c>
      <c r="L796" s="1">
        <v>1</v>
      </c>
      <c r="M796" s="37">
        <v>202800</v>
      </c>
      <c r="N796" s="1" t="s">
        <v>20155</v>
      </c>
      <c r="O796" s="1" t="s">
        <v>17798</v>
      </c>
      <c r="P796" s="876">
        <v>44392</v>
      </c>
      <c r="Q796" s="466">
        <v>0</v>
      </c>
      <c r="R796" s="466">
        <v>0</v>
      </c>
      <c r="S796" s="466">
        <v>130000</v>
      </c>
      <c r="T796" s="466">
        <v>0</v>
      </c>
      <c r="U796" s="466">
        <v>130000</v>
      </c>
      <c r="V796" s="11" t="s">
        <v>20155</v>
      </c>
      <c r="W796" s="39">
        <v>0</v>
      </c>
      <c r="X796" s="39">
        <v>0</v>
      </c>
      <c r="Y796" s="39">
        <v>202800</v>
      </c>
      <c r="Z796" s="39">
        <v>0</v>
      </c>
      <c r="AA796" s="56"/>
      <c r="AB796" s="56"/>
      <c r="AC796" s="56">
        <v>1.56</v>
      </c>
      <c r="AD796" s="56"/>
      <c r="AE796" s="41">
        <v>0</v>
      </c>
      <c r="AF796" s="42">
        <v>0</v>
      </c>
      <c r="AG796" s="42">
        <v>0</v>
      </c>
      <c r="AH796" s="467">
        <v>0</v>
      </c>
      <c r="AI796" s="467">
        <v>0</v>
      </c>
      <c r="AJ796" s="467">
        <v>1.56</v>
      </c>
      <c r="AK796" s="467">
        <v>0</v>
      </c>
      <c r="AL796" s="44">
        <v>0</v>
      </c>
      <c r="AM796" s="44">
        <v>0</v>
      </c>
      <c r="AN796" s="468" t="s">
        <v>20300</v>
      </c>
      <c r="AO796" s="468">
        <v>0</v>
      </c>
    </row>
    <row r="797" spans="1:41" hidden="1">
      <c r="A797" s="50">
        <v>192</v>
      </c>
      <c r="B797" s="1" t="s">
        <v>204</v>
      </c>
      <c r="C797" s="50">
        <v>0</v>
      </c>
      <c r="D797" s="464" t="s">
        <v>18532</v>
      </c>
      <c r="E797" s="1" t="s">
        <v>204</v>
      </c>
      <c r="F797" s="53">
        <v>44390</v>
      </c>
      <c r="G797" s="1">
        <v>2021</v>
      </c>
      <c r="H797" s="1" t="s">
        <v>16838</v>
      </c>
      <c r="I797" s="1" t="s">
        <v>16839</v>
      </c>
      <c r="J797" s="1" t="s">
        <v>3</v>
      </c>
      <c r="K797" s="36">
        <v>269598</v>
      </c>
      <c r="L797" s="1">
        <v>1</v>
      </c>
      <c r="M797" s="37">
        <v>269598</v>
      </c>
      <c r="N797" s="1" t="s">
        <v>20155</v>
      </c>
      <c r="O797" s="1" t="s">
        <v>17798</v>
      </c>
      <c r="P797" s="876">
        <v>44394</v>
      </c>
      <c r="Q797" s="466">
        <v>0</v>
      </c>
      <c r="R797" s="466">
        <v>176064</v>
      </c>
      <c r="S797" s="466">
        <v>0</v>
      </c>
      <c r="T797" s="466">
        <v>0</v>
      </c>
      <c r="U797" s="466">
        <v>176064</v>
      </c>
      <c r="V797" s="11" t="s">
        <v>20155</v>
      </c>
      <c r="W797" s="39">
        <v>0</v>
      </c>
      <c r="X797" s="39">
        <v>269598</v>
      </c>
      <c r="Y797" s="39">
        <v>0</v>
      </c>
      <c r="Z797" s="39">
        <v>0</v>
      </c>
      <c r="AA797" s="56"/>
      <c r="AB797" s="56">
        <v>1.53125</v>
      </c>
      <c r="AC797" s="56"/>
      <c r="AD797" s="56"/>
      <c r="AE797" s="41">
        <v>0</v>
      </c>
      <c r="AF797" s="42">
        <v>0</v>
      </c>
      <c r="AG797" s="42">
        <v>0</v>
      </c>
      <c r="AH797" s="467">
        <v>0</v>
      </c>
      <c r="AI797" s="467">
        <v>1.53125</v>
      </c>
      <c r="AJ797" s="467">
        <v>0</v>
      </c>
      <c r="AK797" s="467">
        <v>0</v>
      </c>
      <c r="AL797" s="44">
        <v>0</v>
      </c>
      <c r="AM797" s="44" t="s">
        <v>20300</v>
      </c>
      <c r="AN797" s="468">
        <v>0</v>
      </c>
      <c r="AO797" s="468">
        <v>0</v>
      </c>
    </row>
    <row r="798" spans="1:41" hidden="1">
      <c r="A798" s="50">
        <v>193</v>
      </c>
      <c r="B798" s="1" t="s">
        <v>205</v>
      </c>
      <c r="C798" s="50">
        <v>0</v>
      </c>
      <c r="D798" s="464" t="s">
        <v>18533</v>
      </c>
      <c r="E798" s="1" t="s">
        <v>205</v>
      </c>
      <c r="F798" s="53">
        <v>44394</v>
      </c>
      <c r="G798" s="1">
        <v>2021</v>
      </c>
      <c r="H798" s="1" t="s">
        <v>17209</v>
      </c>
      <c r="I798" s="1" t="s">
        <v>17210</v>
      </c>
      <c r="J798" s="1" t="s">
        <v>16401</v>
      </c>
      <c r="K798" s="36">
        <v>26841.775824999997</v>
      </c>
      <c r="L798" s="1">
        <v>2.7710499999999998</v>
      </c>
      <c r="M798" s="37">
        <v>9686.5</v>
      </c>
      <c r="N798" s="1" t="s">
        <v>20155</v>
      </c>
      <c r="O798" s="1" t="s">
        <v>20168</v>
      </c>
      <c r="P798" s="876">
        <v>44411</v>
      </c>
      <c r="Q798" s="466">
        <v>0</v>
      </c>
      <c r="R798" s="466">
        <v>4800</v>
      </c>
      <c r="S798" s="466">
        <v>4800</v>
      </c>
      <c r="T798" s="466">
        <v>2350</v>
      </c>
      <c r="U798" s="466">
        <v>11950</v>
      </c>
      <c r="V798" s="11" t="e">
        <v>#N/A</v>
      </c>
      <c r="W798" s="39">
        <v>0</v>
      </c>
      <c r="X798" s="39">
        <v>9673.8630878661079</v>
      </c>
      <c r="Y798" s="39">
        <v>9673.8630878661079</v>
      </c>
      <c r="Z798" s="39">
        <v>7494.049649267783</v>
      </c>
      <c r="AA798" s="56"/>
      <c r="AB798" s="56">
        <v>2.0153881433054393</v>
      </c>
      <c r="AC798" s="56">
        <v>2.0153881433054393</v>
      </c>
      <c r="AD798" s="56">
        <v>3.1889572975607585</v>
      </c>
      <c r="AE798" s="41">
        <v>543.72375</v>
      </c>
      <c r="AF798" s="42">
        <v>2616.9949999999999</v>
      </c>
      <c r="AG798" s="42">
        <v>0.21899539748953975</v>
      </c>
      <c r="AH798" s="467"/>
      <c r="AI798" s="467">
        <v>1.7963927458158995</v>
      </c>
      <c r="AJ798" s="467">
        <v>1.7963927458158995</v>
      </c>
      <c r="AK798" s="467">
        <v>2.969961900071219</v>
      </c>
      <c r="AL798" s="44">
        <v>0</v>
      </c>
      <c r="AM798" s="44">
        <v>1</v>
      </c>
      <c r="AN798" s="468">
        <v>1</v>
      </c>
      <c r="AO798" s="468">
        <v>1</v>
      </c>
    </row>
    <row r="799" spans="1:41" hidden="1">
      <c r="A799" s="50">
        <v>194</v>
      </c>
      <c r="B799" s="1" t="s">
        <v>206</v>
      </c>
      <c r="C799" s="50">
        <v>0</v>
      </c>
      <c r="D799" s="464" t="s">
        <v>18534</v>
      </c>
      <c r="E799" s="1" t="s">
        <v>206</v>
      </c>
      <c r="F799" s="53">
        <v>44394</v>
      </c>
      <c r="G799" s="1">
        <v>2021</v>
      </c>
      <c r="H799" s="1" t="s">
        <v>16560</v>
      </c>
      <c r="I799" s="1" t="s">
        <v>16561</v>
      </c>
      <c r="J799" s="1" t="s">
        <v>16482</v>
      </c>
      <c r="K799" s="36">
        <v>172084.014</v>
      </c>
      <c r="L799" s="1">
        <v>3.2852999999999999</v>
      </c>
      <c r="M799" s="37">
        <v>52380</v>
      </c>
      <c r="N799" s="1" t="s">
        <v>20155</v>
      </c>
      <c r="O799" s="1" t="s">
        <v>17801</v>
      </c>
      <c r="P799" s="876">
        <v>44407</v>
      </c>
      <c r="Q799" s="466">
        <v>0</v>
      </c>
      <c r="R799" s="466">
        <v>0</v>
      </c>
      <c r="S799" s="466">
        <v>108000</v>
      </c>
      <c r="T799" s="466">
        <v>0</v>
      </c>
      <c r="U799" s="466">
        <v>108000</v>
      </c>
      <c r="V799" s="11" t="e">
        <v>#N/A</v>
      </c>
      <c r="W799" s="39">
        <v>0</v>
      </c>
      <c r="X799" s="39">
        <v>0</v>
      </c>
      <c r="Y799" s="39">
        <v>172084.014</v>
      </c>
      <c r="Z799" s="39">
        <v>0</v>
      </c>
      <c r="AA799" s="56"/>
      <c r="AB799" s="56"/>
      <c r="AC799" s="56">
        <v>1.5933705</v>
      </c>
      <c r="AD799" s="56"/>
      <c r="AE799" s="41">
        <v>8203.2479999999996</v>
      </c>
      <c r="AF799" s="42">
        <v>25396.34</v>
      </c>
      <c r="AG799" s="42">
        <v>0.2351512962962963</v>
      </c>
      <c r="AH799" s="467"/>
      <c r="AI799" s="467"/>
      <c r="AJ799" s="467">
        <v>1.3582192037037037</v>
      </c>
      <c r="AK799" s="467"/>
      <c r="AL799" s="44">
        <v>0</v>
      </c>
      <c r="AM799" s="44">
        <v>0</v>
      </c>
      <c r="AN799" s="468" t="s">
        <v>20300</v>
      </c>
      <c r="AO799" s="468">
        <v>0</v>
      </c>
    </row>
    <row r="800" spans="1:41" hidden="1">
      <c r="A800" s="50">
        <v>195</v>
      </c>
      <c r="B800" s="1" t="s">
        <v>207</v>
      </c>
      <c r="C800" s="50">
        <v>0</v>
      </c>
      <c r="D800" s="464" t="s">
        <v>18535</v>
      </c>
      <c r="E800" s="1" t="s">
        <v>207</v>
      </c>
      <c r="F800" s="53">
        <v>44394</v>
      </c>
      <c r="G800" s="1">
        <v>2021</v>
      </c>
      <c r="H800" s="1" t="s">
        <v>16560</v>
      </c>
      <c r="I800" s="1" t="s">
        <v>16561</v>
      </c>
      <c r="J800" s="1" t="s">
        <v>16482</v>
      </c>
      <c r="K800" s="36">
        <v>172675.908</v>
      </c>
      <c r="L800" s="1">
        <v>3.2966000000000002</v>
      </c>
      <c r="M800" s="37">
        <v>52380</v>
      </c>
      <c r="N800" s="1" t="s">
        <v>20155</v>
      </c>
      <c r="O800" s="1" t="s">
        <v>17801</v>
      </c>
      <c r="P800" s="876">
        <v>44408</v>
      </c>
      <c r="Q800" s="466">
        <v>0</v>
      </c>
      <c r="R800" s="466">
        <v>0</v>
      </c>
      <c r="S800" s="466">
        <v>108000</v>
      </c>
      <c r="T800" s="466">
        <v>0</v>
      </c>
      <c r="U800" s="466">
        <v>108000</v>
      </c>
      <c r="V800" s="11" t="e">
        <v>#N/A</v>
      </c>
      <c r="W800" s="39">
        <v>0</v>
      </c>
      <c r="X800" s="39">
        <v>0</v>
      </c>
      <c r="Y800" s="39">
        <v>172675.908</v>
      </c>
      <c r="Z800" s="39">
        <v>0</v>
      </c>
      <c r="AA800" s="56"/>
      <c r="AB800" s="56"/>
      <c r="AC800" s="56">
        <v>1.598851</v>
      </c>
      <c r="AD800" s="56"/>
      <c r="AE800" s="41">
        <v>8203.2479999999996</v>
      </c>
      <c r="AF800" s="42">
        <v>25396.34</v>
      </c>
      <c r="AG800" s="42">
        <v>0.2351512962962963</v>
      </c>
      <c r="AH800" s="467"/>
      <c r="AI800" s="467"/>
      <c r="AJ800" s="467">
        <v>1.3636997037037037</v>
      </c>
      <c r="AK800" s="467"/>
      <c r="AL800" s="44">
        <v>0</v>
      </c>
      <c r="AM800" s="44">
        <v>0</v>
      </c>
      <c r="AN800" s="468" t="s">
        <v>20300</v>
      </c>
      <c r="AO800" s="468">
        <v>0</v>
      </c>
    </row>
    <row r="801" spans="1:41" hidden="1">
      <c r="A801" s="50">
        <v>196</v>
      </c>
      <c r="B801" s="1" t="s">
        <v>208</v>
      </c>
      <c r="C801" s="50">
        <v>0</v>
      </c>
      <c r="D801" s="464" t="s">
        <v>18536</v>
      </c>
      <c r="E801" s="1" t="s">
        <v>208</v>
      </c>
      <c r="F801" s="53">
        <v>44394</v>
      </c>
      <c r="G801" s="1">
        <v>2021</v>
      </c>
      <c r="H801" s="1" t="s">
        <v>16560</v>
      </c>
      <c r="I801" s="1" t="s">
        <v>16561</v>
      </c>
      <c r="J801" s="1" t="s">
        <v>16482</v>
      </c>
      <c r="K801" s="36">
        <v>172675.908</v>
      </c>
      <c r="L801" s="1">
        <v>3.2966000000000002</v>
      </c>
      <c r="M801" s="37">
        <v>52380</v>
      </c>
      <c r="N801" s="1" t="s">
        <v>20155</v>
      </c>
      <c r="O801" s="1" t="s">
        <v>17801</v>
      </c>
      <c r="P801" s="876">
        <v>44410</v>
      </c>
      <c r="Q801" s="466">
        <v>0</v>
      </c>
      <c r="R801" s="466">
        <v>0</v>
      </c>
      <c r="S801" s="466">
        <v>108000</v>
      </c>
      <c r="T801" s="466">
        <v>0</v>
      </c>
      <c r="U801" s="466">
        <v>108000</v>
      </c>
      <c r="V801" s="11" t="e">
        <v>#N/A</v>
      </c>
      <c r="W801" s="39">
        <v>0</v>
      </c>
      <c r="X801" s="39">
        <v>0</v>
      </c>
      <c r="Y801" s="39">
        <v>172675.908</v>
      </c>
      <c r="Z801" s="39">
        <v>0</v>
      </c>
      <c r="AA801" s="56"/>
      <c r="AB801" s="56"/>
      <c r="AC801" s="56">
        <v>1.598851</v>
      </c>
      <c r="AD801" s="56"/>
      <c r="AE801" s="41">
        <v>10212.175999999999</v>
      </c>
      <c r="AF801" s="42">
        <v>32505.1</v>
      </c>
      <c r="AG801" s="42">
        <v>0.30097314814814813</v>
      </c>
      <c r="AH801" s="467"/>
      <c r="AI801" s="467"/>
      <c r="AJ801" s="467">
        <v>1.2978778518518519</v>
      </c>
      <c r="AK801" s="467"/>
      <c r="AL801" s="44">
        <v>0</v>
      </c>
      <c r="AM801" s="44">
        <v>0</v>
      </c>
      <c r="AN801" s="468" t="s">
        <v>20300</v>
      </c>
      <c r="AO801" s="468">
        <v>0</v>
      </c>
    </row>
    <row r="802" spans="1:41" hidden="1">
      <c r="A802" s="50">
        <v>197</v>
      </c>
      <c r="B802" s="1" t="s">
        <v>209</v>
      </c>
      <c r="C802" s="50">
        <v>0</v>
      </c>
      <c r="D802" s="464" t="s">
        <v>18537</v>
      </c>
      <c r="E802" s="1" t="s">
        <v>209</v>
      </c>
      <c r="F802" s="53">
        <v>44394</v>
      </c>
      <c r="G802" s="1">
        <v>2021</v>
      </c>
      <c r="H802" s="1" t="s">
        <v>16560</v>
      </c>
      <c r="I802" s="1" t="s">
        <v>16561</v>
      </c>
      <c r="J802" s="1" t="s">
        <v>16482</v>
      </c>
      <c r="K802" s="36">
        <v>172675.908</v>
      </c>
      <c r="L802" s="1">
        <v>3.2966000000000002</v>
      </c>
      <c r="M802" s="37">
        <v>52380</v>
      </c>
      <c r="N802" s="1" t="s">
        <v>20155</v>
      </c>
      <c r="O802" s="1" t="s">
        <v>17801</v>
      </c>
      <c r="P802" s="876">
        <v>44411</v>
      </c>
      <c r="Q802" s="466">
        <v>0</v>
      </c>
      <c r="R802" s="466">
        <v>0</v>
      </c>
      <c r="S802" s="466">
        <v>108000</v>
      </c>
      <c r="T802" s="466">
        <v>0</v>
      </c>
      <c r="U802" s="466">
        <v>108000</v>
      </c>
      <c r="V802" s="11" t="e">
        <v>#N/A</v>
      </c>
      <c r="W802" s="39">
        <v>0</v>
      </c>
      <c r="X802" s="39">
        <v>0</v>
      </c>
      <c r="Y802" s="39">
        <v>172675.908</v>
      </c>
      <c r="Z802" s="39">
        <v>0</v>
      </c>
      <c r="AA802" s="56"/>
      <c r="AB802" s="56"/>
      <c r="AC802" s="56">
        <v>1.598851</v>
      </c>
      <c r="AD802" s="56"/>
      <c r="AE802" s="41">
        <v>10212.175999999999</v>
      </c>
      <c r="AF802" s="42">
        <v>31791.1</v>
      </c>
      <c r="AG802" s="42">
        <v>0.29436203703703701</v>
      </c>
      <c r="AH802" s="467"/>
      <c r="AI802" s="467"/>
      <c r="AJ802" s="467">
        <v>1.304488962962963</v>
      </c>
      <c r="AK802" s="467"/>
      <c r="AL802" s="44">
        <v>0</v>
      </c>
      <c r="AM802" s="44">
        <v>0</v>
      </c>
      <c r="AN802" s="468" t="s">
        <v>20300</v>
      </c>
      <c r="AO802" s="468">
        <v>0</v>
      </c>
    </row>
    <row r="803" spans="1:41" hidden="1">
      <c r="A803" s="50">
        <v>198</v>
      </c>
      <c r="B803" s="1" t="s">
        <v>210</v>
      </c>
      <c r="C803" s="50">
        <v>0</v>
      </c>
      <c r="D803" s="464" t="s">
        <v>18538</v>
      </c>
      <c r="E803" s="1" t="s">
        <v>210</v>
      </c>
      <c r="F803" s="53">
        <v>44396</v>
      </c>
      <c r="G803" s="1">
        <v>2021</v>
      </c>
      <c r="H803" s="1" t="s">
        <v>16470</v>
      </c>
      <c r="I803" s="1" t="s">
        <v>16471</v>
      </c>
      <c r="J803" s="1" t="s">
        <v>16401</v>
      </c>
      <c r="K803" s="36">
        <v>303110.52678499999</v>
      </c>
      <c r="L803" s="1">
        <v>2.77475</v>
      </c>
      <c r="M803" s="37">
        <v>109238.86</v>
      </c>
      <c r="N803" s="1" t="s">
        <v>20155</v>
      </c>
      <c r="O803" s="1" t="s">
        <v>20159</v>
      </c>
      <c r="P803" s="876">
        <v>44408</v>
      </c>
      <c r="Q803" s="466">
        <v>14400</v>
      </c>
      <c r="R803" s="466">
        <v>144396</v>
      </c>
      <c r="S803" s="466">
        <v>0</v>
      </c>
      <c r="T803" s="466">
        <v>0</v>
      </c>
      <c r="U803" s="466">
        <v>158796</v>
      </c>
      <c r="V803" s="11" t="e">
        <v>#N/A</v>
      </c>
      <c r="W803" s="39">
        <v>30233.51622069826</v>
      </c>
      <c r="X803" s="39">
        <v>272877.01056430175</v>
      </c>
      <c r="Y803" s="39">
        <v>0</v>
      </c>
      <c r="Z803" s="39">
        <v>0</v>
      </c>
      <c r="AA803" s="56">
        <v>2.0995497375484904</v>
      </c>
      <c r="AB803" s="56">
        <v>1.8897823385987267</v>
      </c>
      <c r="AC803" s="56"/>
      <c r="AD803" s="56"/>
      <c r="AE803" s="41">
        <v>24226.128000000001</v>
      </c>
      <c r="AF803" s="42">
        <v>67497.5</v>
      </c>
      <c r="AG803" s="42">
        <v>0.42505793596816038</v>
      </c>
      <c r="AH803" s="467">
        <v>1.6744918015803301</v>
      </c>
      <c r="AI803" s="467">
        <v>1.4647244026305664</v>
      </c>
      <c r="AJ803" s="467"/>
      <c r="AK803" s="467"/>
      <c r="AL803" s="44">
        <v>1</v>
      </c>
      <c r="AM803" s="44">
        <v>1</v>
      </c>
      <c r="AN803" s="468">
        <v>0</v>
      </c>
      <c r="AO803" s="468">
        <v>0</v>
      </c>
    </row>
    <row r="804" spans="1:41" hidden="1">
      <c r="A804" s="50">
        <v>199</v>
      </c>
      <c r="B804" s="1" t="s">
        <v>211</v>
      </c>
      <c r="C804" s="50">
        <v>0</v>
      </c>
      <c r="D804" s="464" t="s">
        <v>18539</v>
      </c>
      <c r="E804" s="1" t="s">
        <v>211</v>
      </c>
      <c r="F804" s="53">
        <v>44397</v>
      </c>
      <c r="G804" s="1">
        <v>2021</v>
      </c>
      <c r="H804" s="1" t="s">
        <v>16904</v>
      </c>
      <c r="I804" s="1" t="s">
        <v>16905</v>
      </c>
      <c r="J804" s="1" t="s">
        <v>16482</v>
      </c>
      <c r="K804" s="36">
        <v>63265.587999999996</v>
      </c>
      <c r="L804" s="1">
        <v>3.2854999999999999</v>
      </c>
      <c r="M804" s="37">
        <v>19256</v>
      </c>
      <c r="N804" s="1" t="s">
        <v>20155</v>
      </c>
      <c r="O804" s="1" t="s">
        <v>20160</v>
      </c>
      <c r="P804" s="876">
        <v>44405</v>
      </c>
      <c r="Q804" s="466">
        <v>0</v>
      </c>
      <c r="R804" s="466">
        <v>16764</v>
      </c>
      <c r="S804" s="466">
        <v>10572</v>
      </c>
      <c r="T804" s="466">
        <v>0</v>
      </c>
      <c r="U804" s="466">
        <v>27336</v>
      </c>
      <c r="V804" s="11" t="e">
        <v>#N/A</v>
      </c>
      <c r="W804" s="39">
        <v>0</v>
      </c>
      <c r="X804" s="39">
        <v>38970.471222941182</v>
      </c>
      <c r="Y804" s="39">
        <v>24295.116777058825</v>
      </c>
      <c r="Z804" s="39">
        <v>0</v>
      </c>
      <c r="AA804" s="56"/>
      <c r="AB804" s="56">
        <v>2.3246523039215687</v>
      </c>
      <c r="AC804" s="56">
        <v>2.2980625025594801</v>
      </c>
      <c r="AD804" s="56"/>
      <c r="AE804" s="41">
        <v>4137.6400000000003</v>
      </c>
      <c r="AF804" s="42">
        <v>12098.19</v>
      </c>
      <c r="AG804" s="42">
        <v>0.4425735294117647</v>
      </c>
      <c r="AH804" s="467"/>
      <c r="AI804" s="467">
        <v>1.882078774509804</v>
      </c>
      <c r="AJ804" s="467">
        <v>1.8554889731477153</v>
      </c>
      <c r="AK804" s="467"/>
      <c r="AL804" s="44">
        <v>0</v>
      </c>
      <c r="AM804" s="44">
        <v>1</v>
      </c>
      <c r="AN804" s="468">
        <v>1</v>
      </c>
      <c r="AO804" s="468">
        <v>0</v>
      </c>
    </row>
    <row r="805" spans="1:41" hidden="1">
      <c r="A805" s="50">
        <v>200</v>
      </c>
      <c r="B805" s="1" t="s">
        <v>212</v>
      </c>
      <c r="C805" s="50">
        <v>0</v>
      </c>
      <c r="D805" s="464" t="s">
        <v>18540</v>
      </c>
      <c r="E805" s="1" t="s">
        <v>212</v>
      </c>
      <c r="F805" s="53">
        <v>44398</v>
      </c>
      <c r="G805" s="1">
        <v>2021</v>
      </c>
      <c r="H805" s="1" t="s">
        <v>16838</v>
      </c>
      <c r="I805" s="1" t="s">
        <v>16839</v>
      </c>
      <c r="J805" s="1" t="s">
        <v>3</v>
      </c>
      <c r="K805" s="36">
        <v>224368.56</v>
      </c>
      <c r="L805" s="1">
        <v>1</v>
      </c>
      <c r="M805" s="37">
        <v>224368.56</v>
      </c>
      <c r="N805" s="1" t="s">
        <v>20155</v>
      </c>
      <c r="O805" s="1" t="s">
        <v>17949</v>
      </c>
      <c r="P805" s="876">
        <v>44439</v>
      </c>
      <c r="Q805" s="466">
        <v>98472</v>
      </c>
      <c r="R805" s="466">
        <v>30000</v>
      </c>
      <c r="S805" s="466">
        <v>3000</v>
      </c>
      <c r="T805" s="466">
        <v>0</v>
      </c>
      <c r="U805" s="466">
        <v>131472</v>
      </c>
      <c r="V805" s="11" t="s">
        <v>20155</v>
      </c>
      <c r="W805" s="39">
        <v>170788.56</v>
      </c>
      <c r="X805" s="39">
        <v>48900</v>
      </c>
      <c r="Y805" s="39">
        <v>4680</v>
      </c>
      <c r="Z805" s="39">
        <v>0</v>
      </c>
      <c r="AA805" s="56">
        <v>1.7343870338776506</v>
      </c>
      <c r="AB805" s="56">
        <v>1.63</v>
      </c>
      <c r="AC805" s="56">
        <v>1.56</v>
      </c>
      <c r="AD805" s="56"/>
      <c r="AE805" s="41">
        <v>0</v>
      </c>
      <c r="AF805" s="42">
        <v>0</v>
      </c>
      <c r="AG805" s="42">
        <v>0</v>
      </c>
      <c r="AH805" s="467">
        <v>1.7343870338776506</v>
      </c>
      <c r="AI805" s="467">
        <v>1.63</v>
      </c>
      <c r="AJ805" s="467">
        <v>1.56</v>
      </c>
      <c r="AK805" s="467">
        <v>0</v>
      </c>
      <c r="AL805" s="44">
        <v>1</v>
      </c>
      <c r="AM805" s="490" t="s">
        <v>20315</v>
      </c>
      <c r="AN805" s="468">
        <v>0</v>
      </c>
      <c r="AO805" s="468">
        <v>0</v>
      </c>
    </row>
    <row r="806" spans="1:41" hidden="1">
      <c r="A806" s="50">
        <v>201</v>
      </c>
      <c r="B806" s="1" t="s">
        <v>213</v>
      </c>
      <c r="C806" s="50">
        <v>0</v>
      </c>
      <c r="D806" s="464" t="s">
        <v>18541</v>
      </c>
      <c r="E806" s="1" t="s">
        <v>213</v>
      </c>
      <c r="F806" s="53">
        <v>44399</v>
      </c>
      <c r="G806" s="1">
        <v>2021</v>
      </c>
      <c r="H806" s="1" t="s">
        <v>16838</v>
      </c>
      <c r="I806" s="1" t="s">
        <v>16839</v>
      </c>
      <c r="J806" s="1" t="s">
        <v>3</v>
      </c>
      <c r="K806" s="36">
        <v>236145.84</v>
      </c>
      <c r="L806" s="1">
        <v>1</v>
      </c>
      <c r="M806" s="37">
        <v>236145.84</v>
      </c>
      <c r="N806" s="1" t="s">
        <v>20155</v>
      </c>
      <c r="O806" s="1" t="s">
        <v>17798</v>
      </c>
      <c r="P806" s="876">
        <v>44415</v>
      </c>
      <c r="Q806" s="466">
        <v>0</v>
      </c>
      <c r="R806" s="466">
        <v>154056</v>
      </c>
      <c r="S806" s="466">
        <v>0</v>
      </c>
      <c r="T806" s="466">
        <v>0</v>
      </c>
      <c r="U806" s="466">
        <v>154056</v>
      </c>
      <c r="V806" s="11" t="s">
        <v>20155</v>
      </c>
      <c r="W806" s="39">
        <v>0</v>
      </c>
      <c r="X806" s="39">
        <v>236145.84</v>
      </c>
      <c r="Y806" s="39">
        <v>0</v>
      </c>
      <c r="Z806" s="39">
        <v>0</v>
      </c>
      <c r="AA806" s="56"/>
      <c r="AB806" s="56">
        <v>1.5328571428571429</v>
      </c>
      <c r="AC806" s="56"/>
      <c r="AD806" s="56"/>
      <c r="AE806" s="41">
        <v>0</v>
      </c>
      <c r="AF806" s="42">
        <v>0</v>
      </c>
      <c r="AG806" s="42">
        <v>0</v>
      </c>
      <c r="AH806" s="467">
        <v>0</v>
      </c>
      <c r="AI806" s="467">
        <v>1.5328571428571429</v>
      </c>
      <c r="AJ806" s="467">
        <v>0</v>
      </c>
      <c r="AK806" s="467">
        <v>0</v>
      </c>
      <c r="AL806" s="44">
        <v>0</v>
      </c>
      <c r="AM806" s="490" t="s">
        <v>20300</v>
      </c>
      <c r="AN806" s="468">
        <v>0</v>
      </c>
      <c r="AO806" s="468">
        <v>0</v>
      </c>
    </row>
    <row r="807" spans="1:41" hidden="1">
      <c r="A807" s="50">
        <v>202</v>
      </c>
      <c r="B807" s="1" t="s">
        <v>214</v>
      </c>
      <c r="C807" s="50">
        <v>0</v>
      </c>
      <c r="D807" s="464" t="s">
        <v>18542</v>
      </c>
      <c r="E807" s="1" t="s">
        <v>214</v>
      </c>
      <c r="F807" s="53">
        <v>44399</v>
      </c>
      <c r="G807" s="1">
        <v>2021</v>
      </c>
      <c r="H807" s="1" t="s">
        <v>16444</v>
      </c>
      <c r="I807" s="1" t="s">
        <v>16445</v>
      </c>
      <c r="J807" s="1" t="s">
        <v>3</v>
      </c>
      <c r="K807" s="36">
        <v>70080</v>
      </c>
      <c r="L807" s="1">
        <v>1</v>
      </c>
      <c r="M807" s="37">
        <v>70080</v>
      </c>
      <c r="N807" s="1" t="s">
        <v>20155</v>
      </c>
      <c r="O807" s="1" t="s">
        <v>17798</v>
      </c>
      <c r="P807" s="876">
        <v>44406</v>
      </c>
      <c r="Q807" s="466">
        <v>38400</v>
      </c>
      <c r="R807" s="466">
        <v>0</v>
      </c>
      <c r="S807" s="466">
        <v>0</v>
      </c>
      <c r="T807" s="466">
        <v>0</v>
      </c>
      <c r="U807" s="466">
        <v>38400</v>
      </c>
      <c r="V807" s="11" t="s">
        <v>20155</v>
      </c>
      <c r="W807" s="39">
        <v>70080</v>
      </c>
      <c r="X807" s="39">
        <v>0</v>
      </c>
      <c r="Y807" s="39">
        <v>0</v>
      </c>
      <c r="Z807" s="39">
        <v>0</v>
      </c>
      <c r="AA807" s="56">
        <v>1.825</v>
      </c>
      <c r="AB807" s="56"/>
      <c r="AC807" s="56"/>
      <c r="AD807" s="56"/>
      <c r="AE807" s="41">
        <v>0</v>
      </c>
      <c r="AF807" s="42">
        <v>0</v>
      </c>
      <c r="AG807" s="42">
        <v>0</v>
      </c>
      <c r="AH807" s="467">
        <v>1.825</v>
      </c>
      <c r="AI807" s="467">
        <v>0</v>
      </c>
      <c r="AJ807" s="467">
        <v>0</v>
      </c>
      <c r="AK807" s="467">
        <v>0</v>
      </c>
      <c r="AL807" s="44">
        <v>1</v>
      </c>
      <c r="AM807" s="44">
        <v>0</v>
      </c>
      <c r="AN807" s="468">
        <v>0</v>
      </c>
      <c r="AO807" s="468">
        <v>0</v>
      </c>
    </row>
    <row r="808" spans="1:41" hidden="1">
      <c r="A808" s="50">
        <v>203</v>
      </c>
      <c r="B808" s="1" t="s">
        <v>215</v>
      </c>
      <c r="C808" s="50">
        <v>0</v>
      </c>
      <c r="D808" s="464" t="s">
        <v>18543</v>
      </c>
      <c r="E808" s="1" t="s">
        <v>215</v>
      </c>
      <c r="F808" s="53">
        <v>44401</v>
      </c>
      <c r="G808" s="1">
        <v>2021</v>
      </c>
      <c r="H808" s="1" t="s">
        <v>16444</v>
      </c>
      <c r="I808" s="1" t="s">
        <v>16445</v>
      </c>
      <c r="J808" s="1" t="s">
        <v>3</v>
      </c>
      <c r="K808" s="36">
        <v>72625</v>
      </c>
      <c r="L808" s="1">
        <v>1</v>
      </c>
      <c r="M808" s="37">
        <v>72625</v>
      </c>
      <c r="N808" s="1" t="s">
        <v>20155</v>
      </c>
      <c r="O808" s="1" t="s">
        <v>17693</v>
      </c>
      <c r="P808" s="876">
        <v>44406</v>
      </c>
      <c r="Q808" s="466">
        <v>41500</v>
      </c>
      <c r="R808" s="466">
        <v>0</v>
      </c>
      <c r="S808" s="466">
        <v>0</v>
      </c>
      <c r="T808" s="466">
        <v>0</v>
      </c>
      <c r="U808" s="466">
        <v>41500</v>
      </c>
      <c r="V808" s="11" t="s">
        <v>20155</v>
      </c>
      <c r="W808" s="39">
        <v>72625</v>
      </c>
      <c r="X808" s="39">
        <v>0</v>
      </c>
      <c r="Y808" s="39">
        <v>0</v>
      </c>
      <c r="Z808" s="39">
        <v>0</v>
      </c>
      <c r="AA808" s="56">
        <v>1.75</v>
      </c>
      <c r="AB808" s="56"/>
      <c r="AC808" s="56"/>
      <c r="AD808" s="56"/>
      <c r="AE808" s="41">
        <v>0</v>
      </c>
      <c r="AF808" s="42">
        <v>0</v>
      </c>
      <c r="AG808" s="42">
        <v>0</v>
      </c>
      <c r="AH808" s="467">
        <v>1.75</v>
      </c>
      <c r="AI808" s="467">
        <v>0</v>
      </c>
      <c r="AJ808" s="467">
        <v>0</v>
      </c>
      <c r="AK808" s="467">
        <v>0</v>
      </c>
      <c r="AL808" s="44">
        <v>1</v>
      </c>
      <c r="AM808" s="44">
        <v>0</v>
      </c>
      <c r="AN808" s="468">
        <v>0</v>
      </c>
      <c r="AO808" s="468">
        <v>0</v>
      </c>
    </row>
    <row r="809" spans="1:41" hidden="1">
      <c r="A809" s="50">
        <v>204</v>
      </c>
      <c r="B809" s="1" t="s">
        <v>216</v>
      </c>
      <c r="C809" s="50">
        <v>0</v>
      </c>
      <c r="D809" s="464" t="s">
        <v>18544</v>
      </c>
      <c r="E809" s="1" t="s">
        <v>216</v>
      </c>
      <c r="F809" s="53">
        <v>44402</v>
      </c>
      <c r="G809" s="1">
        <v>2021</v>
      </c>
      <c r="H809" s="1" t="s">
        <v>16444</v>
      </c>
      <c r="I809" s="1" t="s">
        <v>16445</v>
      </c>
      <c r="J809" s="1" t="s">
        <v>3</v>
      </c>
      <c r="K809" s="36">
        <v>86448.960000000006</v>
      </c>
      <c r="L809" s="1">
        <v>1</v>
      </c>
      <c r="M809" s="37">
        <v>86448.960000000006</v>
      </c>
      <c r="N809" s="1" t="s">
        <v>20155</v>
      </c>
      <c r="O809" s="1" t="s">
        <v>17693</v>
      </c>
      <c r="P809" s="876">
        <v>44414</v>
      </c>
      <c r="Q809" s="466">
        <v>0</v>
      </c>
      <c r="R809" s="466">
        <v>0</v>
      </c>
      <c r="S809" s="466">
        <v>55416</v>
      </c>
      <c r="T809" s="466">
        <v>0</v>
      </c>
      <c r="U809" s="466">
        <v>55416</v>
      </c>
      <c r="V809" s="11" t="s">
        <v>20155</v>
      </c>
      <c r="W809" s="39">
        <v>0</v>
      </c>
      <c r="X809" s="39">
        <v>0</v>
      </c>
      <c r="Y809" s="39">
        <v>86448.960000000006</v>
      </c>
      <c r="Z809" s="39">
        <v>0</v>
      </c>
      <c r="AA809" s="56"/>
      <c r="AB809" s="56"/>
      <c r="AC809" s="56">
        <v>1.56</v>
      </c>
      <c r="AD809" s="56"/>
      <c r="AE809" s="41">
        <v>0</v>
      </c>
      <c r="AF809" s="42">
        <v>0</v>
      </c>
      <c r="AG809" s="42">
        <v>0</v>
      </c>
      <c r="AH809" s="467">
        <v>0</v>
      </c>
      <c r="AI809" s="467">
        <v>0</v>
      </c>
      <c r="AJ809" s="467">
        <v>1.56</v>
      </c>
      <c r="AK809" s="467">
        <v>0</v>
      </c>
      <c r="AL809" s="44">
        <v>0</v>
      </c>
      <c r="AM809" s="44">
        <v>0</v>
      </c>
      <c r="AN809" s="468" t="s">
        <v>20316</v>
      </c>
      <c r="AO809" s="468">
        <v>0</v>
      </c>
    </row>
    <row r="810" spans="1:41" hidden="1">
      <c r="A810" s="50">
        <v>205</v>
      </c>
      <c r="B810" s="1" t="s">
        <v>217</v>
      </c>
      <c r="C810" s="50">
        <v>0</v>
      </c>
      <c r="D810" s="464" t="s">
        <v>18545</v>
      </c>
      <c r="E810" s="1" t="s">
        <v>217</v>
      </c>
      <c r="F810" s="53">
        <v>44403</v>
      </c>
      <c r="G810" s="1">
        <v>2021</v>
      </c>
      <c r="H810" s="1" t="s">
        <v>16444</v>
      </c>
      <c r="I810" s="1" t="s">
        <v>16445</v>
      </c>
      <c r="J810" s="1" t="s">
        <v>3</v>
      </c>
      <c r="K810" s="36">
        <v>74973</v>
      </c>
      <c r="L810" s="1">
        <v>1</v>
      </c>
      <c r="M810" s="37">
        <v>74973</v>
      </c>
      <c r="N810" s="1" t="s">
        <v>20155</v>
      </c>
      <c r="O810" s="1" t="s">
        <v>17693</v>
      </c>
      <c r="P810" s="876">
        <v>44414</v>
      </c>
      <c r="Q810" s="466">
        <v>42100</v>
      </c>
      <c r="R810" s="466">
        <v>0</v>
      </c>
      <c r="S810" s="466">
        <v>0</v>
      </c>
      <c r="T810" s="466">
        <v>0</v>
      </c>
      <c r="U810" s="466">
        <v>42100</v>
      </c>
      <c r="V810" s="11" t="s">
        <v>20155</v>
      </c>
      <c r="W810" s="39">
        <v>74973</v>
      </c>
      <c r="X810" s="39">
        <v>0</v>
      </c>
      <c r="Y810" s="39">
        <v>0</v>
      </c>
      <c r="Z810" s="39">
        <v>0</v>
      </c>
      <c r="AA810" s="56">
        <v>1.78083135391924</v>
      </c>
      <c r="AB810" s="56"/>
      <c r="AC810" s="56"/>
      <c r="AD810" s="56"/>
      <c r="AE810" s="41">
        <v>0</v>
      </c>
      <c r="AF810" s="42">
        <v>0</v>
      </c>
      <c r="AG810" s="42">
        <v>0</v>
      </c>
      <c r="AH810" s="467">
        <v>1.78083135391924</v>
      </c>
      <c r="AI810" s="467">
        <v>0</v>
      </c>
      <c r="AJ810" s="467">
        <v>0</v>
      </c>
      <c r="AK810" s="467">
        <v>0</v>
      </c>
      <c r="AL810" s="44">
        <v>1</v>
      </c>
      <c r="AM810" s="44">
        <v>0</v>
      </c>
      <c r="AN810" s="468">
        <v>0</v>
      </c>
      <c r="AO810" s="468">
        <v>0</v>
      </c>
    </row>
    <row r="811" spans="1:41" hidden="1">
      <c r="A811" s="50">
        <v>206</v>
      </c>
      <c r="B811" s="1" t="s">
        <v>218</v>
      </c>
      <c r="C811" s="50">
        <v>0</v>
      </c>
      <c r="D811" s="464" t="s">
        <v>18546</v>
      </c>
      <c r="E811" s="1" t="s">
        <v>218</v>
      </c>
      <c r="F811" s="53">
        <v>44417</v>
      </c>
      <c r="G811" s="1">
        <v>2021</v>
      </c>
      <c r="H811" s="1" t="s">
        <v>17017</v>
      </c>
      <c r="I811" s="1" t="s">
        <v>17018</v>
      </c>
      <c r="J811" s="1" t="s">
        <v>3</v>
      </c>
      <c r="K811" s="36">
        <v>35600</v>
      </c>
      <c r="L811" s="1">
        <v>1</v>
      </c>
      <c r="M811" s="37">
        <v>35600</v>
      </c>
      <c r="N811" s="1" t="s">
        <v>20155</v>
      </c>
      <c r="O811" s="1" t="s">
        <v>17238</v>
      </c>
      <c r="P811" s="876">
        <v>44424</v>
      </c>
      <c r="Q811" s="466">
        <v>20000</v>
      </c>
      <c r="R811" s="466">
        <v>0</v>
      </c>
      <c r="S811" s="466">
        <v>0</v>
      </c>
      <c r="T811" s="466">
        <v>0</v>
      </c>
      <c r="U811" s="466">
        <v>20000</v>
      </c>
      <c r="V811" s="11" t="e">
        <v>#N/A</v>
      </c>
      <c r="W811" s="39">
        <v>35600</v>
      </c>
      <c r="X811" s="39">
        <v>0</v>
      </c>
      <c r="Y811" s="39">
        <v>0</v>
      </c>
      <c r="Z811" s="39">
        <v>0</v>
      </c>
      <c r="AA811" s="56">
        <v>1.78</v>
      </c>
      <c r="AB811" s="56"/>
      <c r="AC811" s="56"/>
      <c r="AD811" s="56"/>
      <c r="AE811" s="41">
        <v>0</v>
      </c>
      <c r="AF811" s="42">
        <v>0</v>
      </c>
      <c r="AG811" s="42">
        <v>0</v>
      </c>
      <c r="AH811" s="467">
        <v>1.78</v>
      </c>
      <c r="AI811" s="467">
        <v>0</v>
      </c>
      <c r="AJ811" s="467">
        <v>0</v>
      </c>
      <c r="AK811" s="467">
        <v>0</v>
      </c>
      <c r="AL811" s="44">
        <v>1</v>
      </c>
      <c r="AM811" s="44">
        <v>0</v>
      </c>
      <c r="AN811" s="468">
        <v>0</v>
      </c>
      <c r="AO811" s="468">
        <v>0</v>
      </c>
    </row>
    <row r="812" spans="1:41" hidden="1">
      <c r="A812" s="50">
        <v>207</v>
      </c>
      <c r="B812" s="1" t="s">
        <v>219</v>
      </c>
      <c r="C812" s="50">
        <v>0</v>
      </c>
      <c r="D812" s="464" t="s">
        <v>18547</v>
      </c>
      <c r="E812" s="1" t="s">
        <v>219</v>
      </c>
      <c r="F812" s="53">
        <v>44417</v>
      </c>
      <c r="G812" s="1">
        <v>2021</v>
      </c>
      <c r="H812" s="1" t="s">
        <v>17259</v>
      </c>
      <c r="I812" s="1" t="s">
        <v>17260</v>
      </c>
      <c r="J812" s="1" t="s">
        <v>16401</v>
      </c>
      <c r="K812" s="36">
        <v>50812.289399999994</v>
      </c>
      <c r="L812" s="1">
        <v>2.7986499999999999</v>
      </c>
      <c r="M812" s="37">
        <v>18156</v>
      </c>
      <c r="N812" s="1" t="s">
        <v>20155</v>
      </c>
      <c r="O812" s="1" t="s">
        <v>17261</v>
      </c>
      <c r="P812" s="876">
        <v>44425</v>
      </c>
      <c r="Q812" s="466">
        <v>2400</v>
      </c>
      <c r="R812" s="466">
        <v>14000</v>
      </c>
      <c r="S812" s="466">
        <v>0</v>
      </c>
      <c r="T812" s="466">
        <v>3200</v>
      </c>
      <c r="U812" s="466">
        <v>19600</v>
      </c>
      <c r="V812" s="11" t="e">
        <v>#N/A</v>
      </c>
      <c r="W812" s="39">
        <v>5766.1328448979593</v>
      </c>
      <c r="X812" s="39">
        <v>33132.017928571433</v>
      </c>
      <c r="Y812" s="39">
        <v>0</v>
      </c>
      <c r="Z812" s="39">
        <v>11914.138626530614</v>
      </c>
      <c r="AA812" s="56">
        <v>2.4025553520408165</v>
      </c>
      <c r="AB812" s="56">
        <v>2.3665727091836737</v>
      </c>
      <c r="AC812" s="56"/>
      <c r="AD812" s="56">
        <v>3.7231683207908168</v>
      </c>
      <c r="AE812" s="41">
        <v>3895.0400000000004</v>
      </c>
      <c r="AF812" s="42">
        <v>11195.18</v>
      </c>
      <c r="AG812" s="42">
        <v>0.57118265306122451</v>
      </c>
      <c r="AH812" s="467">
        <v>1.831372698979592</v>
      </c>
      <c r="AI812" s="467">
        <v>1.7953900561224492</v>
      </c>
      <c r="AJ812" s="467"/>
      <c r="AK812" s="467">
        <v>3.1519856677295923</v>
      </c>
      <c r="AL812" s="44">
        <v>1</v>
      </c>
      <c r="AM812" s="44">
        <v>1</v>
      </c>
      <c r="AN812" s="468">
        <v>0</v>
      </c>
      <c r="AO812" s="468">
        <v>1</v>
      </c>
    </row>
    <row r="813" spans="1:41" hidden="1">
      <c r="A813" s="50">
        <v>208</v>
      </c>
      <c r="B813" s="1" t="s">
        <v>220</v>
      </c>
      <c r="C813" s="50">
        <v>0</v>
      </c>
      <c r="D813" s="464" t="s">
        <v>18548</v>
      </c>
      <c r="E813" s="1" t="s">
        <v>220</v>
      </c>
      <c r="F813" s="53">
        <v>44417</v>
      </c>
      <c r="G813" s="1">
        <v>2021</v>
      </c>
      <c r="H813" s="1" t="s">
        <v>16444</v>
      </c>
      <c r="I813" s="1" t="s">
        <v>16445</v>
      </c>
      <c r="J813" s="1" t="s">
        <v>3</v>
      </c>
      <c r="K813" s="36">
        <v>33984</v>
      </c>
      <c r="L813" s="1">
        <v>1</v>
      </c>
      <c r="M813" s="37">
        <v>33984</v>
      </c>
      <c r="N813" s="1" t="s">
        <v>20155</v>
      </c>
      <c r="O813" s="1" t="s">
        <v>18248</v>
      </c>
      <c r="P813" s="876">
        <v>44438</v>
      </c>
      <c r="Q813" s="466">
        <v>19200</v>
      </c>
      <c r="R813" s="466">
        <v>0</v>
      </c>
      <c r="S813" s="466">
        <v>0</v>
      </c>
      <c r="T813" s="466">
        <v>0</v>
      </c>
      <c r="U813" s="466">
        <v>19200</v>
      </c>
      <c r="V813" s="11" t="s">
        <v>20155</v>
      </c>
      <c r="W813" s="39">
        <v>33984</v>
      </c>
      <c r="X813" s="39">
        <v>0</v>
      </c>
      <c r="Y813" s="39">
        <v>0</v>
      </c>
      <c r="Z813" s="39">
        <v>0</v>
      </c>
      <c r="AA813" s="56">
        <v>1.77</v>
      </c>
      <c r="AB813" s="56"/>
      <c r="AC813" s="56"/>
      <c r="AD813" s="56"/>
      <c r="AE813" s="41">
        <v>0</v>
      </c>
      <c r="AF813" s="42">
        <v>0</v>
      </c>
      <c r="AG813" s="42">
        <v>0</v>
      </c>
      <c r="AH813" s="467">
        <v>1.77</v>
      </c>
      <c r="AI813" s="467">
        <v>0</v>
      </c>
      <c r="AJ813" s="467">
        <v>0</v>
      </c>
      <c r="AK813" s="467">
        <v>0</v>
      </c>
      <c r="AL813" s="44">
        <v>1</v>
      </c>
      <c r="AM813" s="44">
        <v>0</v>
      </c>
      <c r="AN813" s="468">
        <v>0</v>
      </c>
      <c r="AO813" s="468">
        <v>0</v>
      </c>
    </row>
    <row r="814" spans="1:41" hidden="1">
      <c r="A814" s="50">
        <v>209</v>
      </c>
      <c r="B814" s="1" t="s">
        <v>221</v>
      </c>
      <c r="C814" s="50">
        <v>0</v>
      </c>
      <c r="D814" s="464" t="s">
        <v>18549</v>
      </c>
      <c r="E814" s="1" t="s">
        <v>221</v>
      </c>
      <c r="F814" s="53">
        <v>44417</v>
      </c>
      <c r="G814" s="1">
        <v>2021</v>
      </c>
      <c r="H814" s="1" t="s">
        <v>16972</v>
      </c>
      <c r="I814" s="1" t="s">
        <v>16973</v>
      </c>
      <c r="J814" s="1" t="s">
        <v>3</v>
      </c>
      <c r="K814" s="36">
        <v>378000</v>
      </c>
      <c r="L814" s="1">
        <v>1</v>
      </c>
      <c r="M814" s="37">
        <v>378000</v>
      </c>
      <c r="N814" s="1" t="s">
        <v>20155</v>
      </c>
      <c r="O814" s="1" t="s">
        <v>17801</v>
      </c>
      <c r="P814" s="876">
        <v>44425</v>
      </c>
      <c r="Q814" s="466">
        <v>0</v>
      </c>
      <c r="R814" s="466">
        <v>0</v>
      </c>
      <c r="S814" s="466">
        <v>280000</v>
      </c>
      <c r="T814" s="466">
        <v>0</v>
      </c>
      <c r="U814" s="466">
        <v>280000</v>
      </c>
      <c r="V814" s="11" t="s">
        <v>20155</v>
      </c>
      <c r="W814" s="39">
        <v>0</v>
      </c>
      <c r="X814" s="39">
        <v>0</v>
      </c>
      <c r="Y814" s="39">
        <v>378000</v>
      </c>
      <c r="Z814" s="39">
        <v>0</v>
      </c>
      <c r="AA814" s="56"/>
      <c r="AB814" s="56"/>
      <c r="AC814" s="56">
        <v>1.35</v>
      </c>
      <c r="AD814" s="56"/>
      <c r="AE814" s="41">
        <v>0</v>
      </c>
      <c r="AF814" s="42">
        <v>0</v>
      </c>
      <c r="AG814" s="42">
        <v>0</v>
      </c>
      <c r="AH814" s="467">
        <v>0</v>
      </c>
      <c r="AI814" s="467">
        <v>0</v>
      </c>
      <c r="AJ814" s="467">
        <v>1.35</v>
      </c>
      <c r="AK814" s="467">
        <v>0</v>
      </c>
      <c r="AL814" s="44">
        <v>0</v>
      </c>
      <c r="AM814" s="44">
        <v>0</v>
      </c>
      <c r="AN814" s="468" t="s">
        <v>20300</v>
      </c>
      <c r="AO814" s="468">
        <v>0</v>
      </c>
    </row>
    <row r="815" spans="1:41" hidden="1">
      <c r="A815" s="50">
        <v>210</v>
      </c>
      <c r="B815" s="1" t="s">
        <v>222</v>
      </c>
      <c r="C815" s="50">
        <v>0</v>
      </c>
      <c r="D815" s="464" t="s">
        <v>18550</v>
      </c>
      <c r="E815" s="1" t="s">
        <v>222</v>
      </c>
      <c r="F815" s="53">
        <v>44420</v>
      </c>
      <c r="G815" s="1">
        <v>2021</v>
      </c>
      <c r="H815" s="1" t="s">
        <v>16838</v>
      </c>
      <c r="I815" s="1" t="s">
        <v>16839</v>
      </c>
      <c r="J815" s="1" t="s">
        <v>3</v>
      </c>
      <c r="K815" s="36">
        <v>40759.199999999997</v>
      </c>
      <c r="L815" s="1">
        <v>1</v>
      </c>
      <c r="M815" s="37">
        <v>40759.199999999997</v>
      </c>
      <c r="N815" s="1" t="s">
        <v>20155</v>
      </c>
      <c r="O815" s="1" t="s">
        <v>17771</v>
      </c>
      <c r="P815" s="876">
        <v>44425</v>
      </c>
      <c r="Q815" s="466">
        <v>3360</v>
      </c>
      <c r="R815" s="466">
        <v>20280</v>
      </c>
      <c r="S815" s="466">
        <v>0</v>
      </c>
      <c r="T815" s="466">
        <v>0</v>
      </c>
      <c r="U815" s="466">
        <v>23640</v>
      </c>
      <c r="V815" s="11" t="s">
        <v>20155</v>
      </c>
      <c r="W815" s="39">
        <v>5812.8</v>
      </c>
      <c r="X815" s="39">
        <v>34946.400000000001</v>
      </c>
      <c r="Y815" s="39">
        <v>0</v>
      </c>
      <c r="Z815" s="39">
        <v>0</v>
      </c>
      <c r="AA815" s="56">
        <v>1.73</v>
      </c>
      <c r="AB815" s="56">
        <v>1.7231952662721894</v>
      </c>
      <c r="AC815" s="56"/>
      <c r="AD815" s="56"/>
      <c r="AE815" s="41">
        <v>0</v>
      </c>
      <c r="AF815" s="42">
        <v>0</v>
      </c>
      <c r="AG815" s="42">
        <v>0</v>
      </c>
      <c r="AH815" s="467">
        <v>1.73</v>
      </c>
      <c r="AI815" s="467">
        <v>1.7231952662721894</v>
      </c>
      <c r="AJ815" s="467">
        <v>0</v>
      </c>
      <c r="AK815" s="467">
        <v>0</v>
      </c>
      <c r="AL815" s="44">
        <v>1</v>
      </c>
      <c r="AM815" s="44" t="s">
        <v>20315</v>
      </c>
      <c r="AN815" s="468">
        <v>0</v>
      </c>
      <c r="AO815" s="468">
        <v>0</v>
      </c>
    </row>
    <row r="816" spans="1:41" hidden="1">
      <c r="A816" s="50">
        <v>211</v>
      </c>
      <c r="B816" s="1" t="s">
        <v>223</v>
      </c>
      <c r="C816" s="50">
        <v>0</v>
      </c>
      <c r="D816" s="464" t="s">
        <v>18551</v>
      </c>
      <c r="E816" s="1" t="s">
        <v>223</v>
      </c>
      <c r="F816" s="53">
        <v>44426</v>
      </c>
      <c r="G816" s="1">
        <v>2021</v>
      </c>
      <c r="H816" s="1" t="s">
        <v>16904</v>
      </c>
      <c r="I816" s="1" t="s">
        <v>16905</v>
      </c>
      <c r="J816" s="1" t="s">
        <v>16482</v>
      </c>
      <c r="K816" s="36">
        <v>63245.444956000007</v>
      </c>
      <c r="L816" s="1">
        <v>3.2801</v>
      </c>
      <c r="M816" s="37">
        <v>19281.560000000001</v>
      </c>
      <c r="N816" s="1" t="s">
        <v>20155</v>
      </c>
      <c r="O816" s="1" t="s">
        <v>20160</v>
      </c>
      <c r="P816" s="876">
        <v>44433</v>
      </c>
      <c r="Q816" s="466">
        <v>0</v>
      </c>
      <c r="R816" s="466">
        <v>17688</v>
      </c>
      <c r="S816" s="466">
        <v>9648</v>
      </c>
      <c r="T816" s="466">
        <v>0</v>
      </c>
      <c r="U816" s="466">
        <v>27336</v>
      </c>
      <c r="V816" s="11" t="e">
        <v>#N/A</v>
      </c>
      <c r="W816" s="39">
        <v>0</v>
      </c>
      <c r="X816" s="39">
        <v>41050.868265647063</v>
      </c>
      <c r="Y816" s="39">
        <v>22194.576690352944</v>
      </c>
      <c r="Z816" s="39">
        <v>0</v>
      </c>
      <c r="AA816" s="56"/>
      <c r="AB816" s="56">
        <v>2.3208315392156864</v>
      </c>
      <c r="AC816" s="56">
        <v>2.3004329073748906</v>
      </c>
      <c r="AD816" s="56"/>
      <c r="AE816" s="41">
        <v>4181.4400000000005</v>
      </c>
      <c r="AF816" s="42">
        <v>12010.24</v>
      </c>
      <c r="AG816" s="42">
        <v>0.43935616037459757</v>
      </c>
      <c r="AH816" s="467"/>
      <c r="AI816" s="467">
        <v>1.8814753788410887</v>
      </c>
      <c r="AJ816" s="467">
        <v>1.8610767470002929</v>
      </c>
      <c r="AK816" s="467"/>
      <c r="AL816" s="44">
        <v>0</v>
      </c>
      <c r="AM816" s="44">
        <v>1</v>
      </c>
      <c r="AN816" s="468">
        <v>1</v>
      </c>
      <c r="AO816" s="468">
        <v>0</v>
      </c>
    </row>
    <row r="817" spans="1:41" hidden="1">
      <c r="A817" s="50">
        <v>212</v>
      </c>
      <c r="B817" s="1" t="s">
        <v>224</v>
      </c>
      <c r="C817" s="50">
        <v>0</v>
      </c>
      <c r="D817" s="464" t="s">
        <v>18552</v>
      </c>
      <c r="E817" s="1" t="s">
        <v>224</v>
      </c>
      <c r="F817" s="53">
        <v>44426</v>
      </c>
      <c r="G817" s="1">
        <v>2021</v>
      </c>
      <c r="H817" s="1" t="s">
        <v>16444</v>
      </c>
      <c r="I817" s="1" t="s">
        <v>16445</v>
      </c>
      <c r="J817" s="1" t="s">
        <v>3</v>
      </c>
      <c r="K817" s="36">
        <v>84708</v>
      </c>
      <c r="L817" s="1">
        <v>1</v>
      </c>
      <c r="M817" s="37">
        <v>84708</v>
      </c>
      <c r="N817" s="1" t="s">
        <v>20155</v>
      </c>
      <c r="O817" s="1" t="s">
        <v>18248</v>
      </c>
      <c r="P817" s="876">
        <v>44434</v>
      </c>
      <c r="Q817" s="466">
        <v>12000</v>
      </c>
      <c r="R817" s="466">
        <v>38700</v>
      </c>
      <c r="S817" s="466">
        <v>0</v>
      </c>
      <c r="T817" s="466">
        <v>0</v>
      </c>
      <c r="U817" s="466">
        <v>50700</v>
      </c>
      <c r="V817" s="11" t="s">
        <v>20155</v>
      </c>
      <c r="W817" s="39">
        <v>21240</v>
      </c>
      <c r="X817" s="39">
        <v>63468</v>
      </c>
      <c r="Y817" s="39">
        <v>0</v>
      </c>
      <c r="Z817" s="39">
        <v>0</v>
      </c>
      <c r="AA817" s="56">
        <v>1.77</v>
      </c>
      <c r="AB817" s="56">
        <v>1.64</v>
      </c>
      <c r="AC817" s="56"/>
      <c r="AD817" s="56"/>
      <c r="AE817" s="41">
        <v>0</v>
      </c>
      <c r="AF817" s="42">
        <v>0</v>
      </c>
      <c r="AG817" s="42">
        <v>0</v>
      </c>
      <c r="AH817" s="467">
        <v>1.77</v>
      </c>
      <c r="AI817" s="467">
        <v>1.64</v>
      </c>
      <c r="AJ817" s="467">
        <v>0</v>
      </c>
      <c r="AK817" s="467">
        <v>0</v>
      </c>
      <c r="AL817" s="44">
        <v>1</v>
      </c>
      <c r="AM817" s="44" t="s">
        <v>20315</v>
      </c>
      <c r="AN817" s="468">
        <v>0</v>
      </c>
      <c r="AO817" s="468">
        <v>0</v>
      </c>
    </row>
    <row r="818" spans="1:41" hidden="1">
      <c r="A818" s="50">
        <v>213</v>
      </c>
      <c r="B818" s="1" t="s">
        <v>225</v>
      </c>
      <c r="C818" s="50">
        <v>0</v>
      </c>
      <c r="D818" s="464" t="s">
        <v>18553</v>
      </c>
      <c r="E818" s="1" t="s">
        <v>225</v>
      </c>
      <c r="F818" s="53">
        <v>44427</v>
      </c>
      <c r="G818" s="1">
        <v>2021</v>
      </c>
      <c r="H818" s="1" t="s">
        <v>16783</v>
      </c>
      <c r="I818" s="1" t="s">
        <v>16784</v>
      </c>
      <c r="J818" s="1" t="s">
        <v>16401</v>
      </c>
      <c r="K818" s="36">
        <v>175099.99937500001</v>
      </c>
      <c r="L818" s="1">
        <v>2.7954500000000002</v>
      </c>
      <c r="M818" s="37">
        <v>62637.5</v>
      </c>
      <c r="N818" s="1" t="s">
        <v>20155</v>
      </c>
      <c r="O818" s="1" t="s">
        <v>17939</v>
      </c>
      <c r="P818" s="876">
        <v>44460</v>
      </c>
      <c r="Q818" s="466">
        <v>0</v>
      </c>
      <c r="R818" s="466">
        <v>0</v>
      </c>
      <c r="S818" s="466">
        <v>0</v>
      </c>
      <c r="T818" s="466">
        <v>60000</v>
      </c>
      <c r="U818" s="466">
        <v>60000</v>
      </c>
      <c r="V818" s="11" t="e">
        <v>#N/A</v>
      </c>
      <c r="W818" s="39">
        <v>0</v>
      </c>
      <c r="X818" s="39">
        <v>0</v>
      </c>
      <c r="Y818" s="39">
        <v>0</v>
      </c>
      <c r="Z818" s="39">
        <v>175099.99937499996</v>
      </c>
      <c r="AA818" s="56"/>
      <c r="AB818" s="56"/>
      <c r="AC818" s="56"/>
      <c r="AD818" s="56">
        <v>2.9183333229166659</v>
      </c>
      <c r="AE818" s="41">
        <v>0</v>
      </c>
      <c r="AF818" s="42">
        <v>0</v>
      </c>
      <c r="AG818" s="42">
        <v>0</v>
      </c>
      <c r="AH818" s="467">
        <v>0</v>
      </c>
      <c r="AI818" s="467">
        <v>0</v>
      </c>
      <c r="AJ818" s="467">
        <v>0</v>
      </c>
      <c r="AK818" s="467">
        <v>2.9183333229166659</v>
      </c>
      <c r="AL818" s="44">
        <v>0</v>
      </c>
      <c r="AM818" s="44">
        <v>0</v>
      </c>
      <c r="AN818" s="468">
        <v>0</v>
      </c>
      <c r="AO818" s="468">
        <v>1</v>
      </c>
    </row>
    <row r="819" spans="1:41" hidden="1">
      <c r="A819" s="50">
        <v>214</v>
      </c>
      <c r="B819" s="1" t="s">
        <v>226</v>
      </c>
      <c r="C819" s="50">
        <v>0</v>
      </c>
      <c r="D819" s="464" t="s">
        <v>18554</v>
      </c>
      <c r="E819" s="1" t="s">
        <v>226</v>
      </c>
      <c r="F819" s="53">
        <v>44428</v>
      </c>
      <c r="G819" s="1">
        <v>2021</v>
      </c>
      <c r="H819" s="1" t="s">
        <v>16838</v>
      </c>
      <c r="I819" s="1" t="s">
        <v>16839</v>
      </c>
      <c r="J819" s="1" t="s">
        <v>3</v>
      </c>
      <c r="K819" s="36">
        <v>136449.60000000001</v>
      </c>
      <c r="L819" s="1">
        <v>1</v>
      </c>
      <c r="M819" s="37">
        <v>136449.60000000001</v>
      </c>
      <c r="N819" s="1" t="s">
        <v>20155</v>
      </c>
      <c r="O819" s="1" t="s">
        <v>17798</v>
      </c>
      <c r="P819" s="876">
        <v>44436</v>
      </c>
      <c r="Q819" s="466">
        <v>0</v>
      </c>
      <c r="R819" s="466">
        <v>88032</v>
      </c>
      <c r="S819" s="466">
        <v>0</v>
      </c>
      <c r="T819" s="466">
        <v>0</v>
      </c>
      <c r="U819" s="466">
        <v>88032</v>
      </c>
      <c r="V819" s="11" t="s">
        <v>20155</v>
      </c>
      <c r="W819" s="39">
        <v>0</v>
      </c>
      <c r="X819" s="39">
        <v>136449.60000000001</v>
      </c>
      <c r="Y819" s="39">
        <v>0</v>
      </c>
      <c r="Z819" s="39">
        <v>0</v>
      </c>
      <c r="AA819" s="56"/>
      <c r="AB819" s="56">
        <v>1.55</v>
      </c>
      <c r="AC819" s="56"/>
      <c r="AD819" s="56"/>
      <c r="AE819" s="41">
        <v>0</v>
      </c>
      <c r="AF819" s="42">
        <v>0</v>
      </c>
      <c r="AG819" s="42">
        <v>0</v>
      </c>
      <c r="AH819" s="467">
        <v>0</v>
      </c>
      <c r="AI819" s="467">
        <v>1.55</v>
      </c>
      <c r="AJ819" s="467">
        <v>0</v>
      </c>
      <c r="AK819" s="467">
        <v>0</v>
      </c>
      <c r="AL819" s="44">
        <v>0</v>
      </c>
      <c r="AM819" s="44" t="s">
        <v>20300</v>
      </c>
      <c r="AN819" s="468">
        <v>0</v>
      </c>
      <c r="AO819" s="468">
        <v>0</v>
      </c>
    </row>
    <row r="820" spans="1:41" hidden="1">
      <c r="A820" s="50">
        <v>215</v>
      </c>
      <c r="B820" s="1" t="s">
        <v>227</v>
      </c>
      <c r="C820" s="50">
        <v>0</v>
      </c>
      <c r="D820" s="464" t="s">
        <v>18555</v>
      </c>
      <c r="E820" s="1" t="s">
        <v>227</v>
      </c>
      <c r="F820" s="53">
        <v>44428</v>
      </c>
      <c r="G820" s="1">
        <v>2021</v>
      </c>
      <c r="H820" s="1" t="s">
        <v>16384</v>
      </c>
      <c r="I820" s="1" t="s">
        <v>16385</v>
      </c>
      <c r="J820" s="1" t="s">
        <v>3</v>
      </c>
      <c r="K820" s="36">
        <v>102528</v>
      </c>
      <c r="L820" s="1">
        <v>1</v>
      </c>
      <c r="M820" s="37">
        <v>102528</v>
      </c>
      <c r="N820" s="1" t="s">
        <v>20155</v>
      </c>
      <c r="O820" s="1" t="s">
        <v>18248</v>
      </c>
      <c r="P820" s="876">
        <v>44435</v>
      </c>
      <c r="Q820" s="466">
        <v>57600</v>
      </c>
      <c r="R820" s="466">
        <v>0</v>
      </c>
      <c r="S820" s="466">
        <v>0</v>
      </c>
      <c r="T820" s="466">
        <v>0</v>
      </c>
      <c r="U820" s="466">
        <v>57600</v>
      </c>
      <c r="V820" s="11" t="s">
        <v>20155</v>
      </c>
      <c r="W820" s="39">
        <v>102528</v>
      </c>
      <c r="X820" s="39">
        <v>0</v>
      </c>
      <c r="Y820" s="39">
        <v>0</v>
      </c>
      <c r="Z820" s="39">
        <v>0</v>
      </c>
      <c r="AA820" s="56">
        <v>1.78</v>
      </c>
      <c r="AB820" s="56"/>
      <c r="AC820" s="56"/>
      <c r="AD820" s="56"/>
      <c r="AE820" s="41">
        <v>0</v>
      </c>
      <c r="AF820" s="42">
        <v>0</v>
      </c>
      <c r="AG820" s="42">
        <v>0</v>
      </c>
      <c r="AH820" s="467">
        <v>1.78</v>
      </c>
      <c r="AI820" s="467">
        <v>0</v>
      </c>
      <c r="AJ820" s="467">
        <v>0</v>
      </c>
      <c r="AK820" s="467">
        <v>0</v>
      </c>
      <c r="AL820" s="44">
        <v>1</v>
      </c>
      <c r="AM820" s="44">
        <v>0</v>
      </c>
      <c r="AN820" s="468">
        <v>0</v>
      </c>
      <c r="AO820" s="468">
        <v>0</v>
      </c>
    </row>
    <row r="821" spans="1:41" hidden="1">
      <c r="A821" s="50">
        <v>216</v>
      </c>
      <c r="B821" s="1" t="s">
        <v>228</v>
      </c>
      <c r="C821" s="50">
        <v>0</v>
      </c>
      <c r="D821" s="464" t="s">
        <v>18556</v>
      </c>
      <c r="E821" s="1" t="s">
        <v>228</v>
      </c>
      <c r="F821" s="53">
        <v>44428</v>
      </c>
      <c r="G821" s="1">
        <v>2021</v>
      </c>
      <c r="H821" s="1" t="s">
        <v>16838</v>
      </c>
      <c r="I821" s="1" t="s">
        <v>16839</v>
      </c>
      <c r="J821" s="1" t="s">
        <v>3</v>
      </c>
      <c r="K821" s="36">
        <v>43120</v>
      </c>
      <c r="L821" s="1">
        <v>1</v>
      </c>
      <c r="M821" s="37">
        <v>43120</v>
      </c>
      <c r="N821" s="1" t="s">
        <v>20155</v>
      </c>
      <c r="O821" s="1" t="s">
        <v>17771</v>
      </c>
      <c r="P821" s="876">
        <v>44440</v>
      </c>
      <c r="Q821" s="466">
        <v>0</v>
      </c>
      <c r="R821" s="466">
        <v>0</v>
      </c>
      <c r="S821" s="466">
        <v>28000</v>
      </c>
      <c r="T821" s="466">
        <v>0</v>
      </c>
      <c r="U821" s="466">
        <v>28000</v>
      </c>
      <c r="V821" s="11" t="s">
        <v>20155</v>
      </c>
      <c r="W821" s="39">
        <v>0</v>
      </c>
      <c r="X821" s="39">
        <v>0</v>
      </c>
      <c r="Y821" s="39">
        <v>43120</v>
      </c>
      <c r="Z821" s="39">
        <v>0</v>
      </c>
      <c r="AA821" s="56"/>
      <c r="AB821" s="56"/>
      <c r="AC821" s="56">
        <v>1.54</v>
      </c>
      <c r="AD821" s="56"/>
      <c r="AE821" s="41">
        <v>0</v>
      </c>
      <c r="AF821" s="42">
        <v>0</v>
      </c>
      <c r="AG821" s="42">
        <v>0</v>
      </c>
      <c r="AH821" s="467">
        <v>0</v>
      </c>
      <c r="AI821" s="467">
        <v>0</v>
      </c>
      <c r="AJ821" s="467">
        <v>1.54</v>
      </c>
      <c r="AK821" s="467">
        <v>0</v>
      </c>
      <c r="AL821" s="44">
        <v>0</v>
      </c>
      <c r="AM821" s="44">
        <v>0</v>
      </c>
      <c r="AN821" s="468" t="s">
        <v>20300</v>
      </c>
      <c r="AO821" s="468">
        <v>0</v>
      </c>
    </row>
    <row r="822" spans="1:41" hidden="1">
      <c r="A822" s="50">
        <v>217</v>
      </c>
      <c r="B822" s="1" t="s">
        <v>229</v>
      </c>
      <c r="C822" s="50">
        <v>0</v>
      </c>
      <c r="D822" s="464" t="s">
        <v>18557</v>
      </c>
      <c r="E822" s="1" t="s">
        <v>229</v>
      </c>
      <c r="F822" s="53">
        <v>44428</v>
      </c>
      <c r="G822" s="1">
        <v>2021</v>
      </c>
      <c r="H822" s="1" t="s">
        <v>16470</v>
      </c>
      <c r="I822" s="1" t="s">
        <v>16471</v>
      </c>
      <c r="J822" s="1" t="s">
        <v>16401</v>
      </c>
      <c r="K822" s="36">
        <v>305688.56388100004</v>
      </c>
      <c r="L822" s="1">
        <v>2.7983500000000001</v>
      </c>
      <c r="M822" s="37">
        <v>109238.86</v>
      </c>
      <c r="N822" s="1" t="s">
        <v>20155</v>
      </c>
      <c r="O822" s="1" t="s">
        <v>20159</v>
      </c>
      <c r="P822" s="876">
        <v>44439</v>
      </c>
      <c r="Q822" s="466">
        <v>14400</v>
      </c>
      <c r="R822" s="466">
        <v>145320</v>
      </c>
      <c r="S822" s="466">
        <v>0</v>
      </c>
      <c r="T822" s="466">
        <v>0</v>
      </c>
      <c r="U822" s="466">
        <v>159720</v>
      </c>
      <c r="V822" s="11" t="e">
        <v>#N/A</v>
      </c>
      <c r="W822" s="39">
        <v>30461.06868500376</v>
      </c>
      <c r="X822" s="39">
        <v>275227.49519599625</v>
      </c>
      <c r="Y822" s="39">
        <v>0</v>
      </c>
      <c r="Z822" s="39">
        <v>0</v>
      </c>
      <c r="AA822" s="56">
        <v>2.1153519920141499</v>
      </c>
      <c r="AB822" s="56">
        <v>1.89394092482794</v>
      </c>
      <c r="AC822" s="56"/>
      <c r="AD822" s="56"/>
      <c r="AE822" s="41">
        <v>24370.848000000002</v>
      </c>
      <c r="AF822" s="42">
        <v>67904</v>
      </c>
      <c r="AG822" s="42">
        <v>0.42514400200350616</v>
      </c>
      <c r="AH822" s="467">
        <v>1.6902079900106437</v>
      </c>
      <c r="AI822" s="467">
        <v>1.4687969228244337</v>
      </c>
      <c r="AJ822" s="467"/>
      <c r="AK822" s="467"/>
      <c r="AL822" s="44">
        <v>1</v>
      </c>
      <c r="AM822" s="44" t="s">
        <v>20296</v>
      </c>
      <c r="AN822" s="468">
        <v>0</v>
      </c>
      <c r="AO822" s="468">
        <v>0</v>
      </c>
    </row>
    <row r="823" spans="1:41" hidden="1">
      <c r="A823" s="50">
        <v>218</v>
      </c>
      <c r="B823" s="1" t="s">
        <v>230</v>
      </c>
      <c r="C823" s="50">
        <v>0</v>
      </c>
      <c r="D823" s="464" t="s">
        <v>18558</v>
      </c>
      <c r="E823" s="1" t="s">
        <v>230</v>
      </c>
      <c r="F823" s="53">
        <v>44433</v>
      </c>
      <c r="G823" s="1">
        <v>2021</v>
      </c>
      <c r="H823" s="1" t="s">
        <v>16880</v>
      </c>
      <c r="I823" s="1" t="s">
        <v>16881</v>
      </c>
      <c r="J823" s="1" t="s">
        <v>16401</v>
      </c>
      <c r="K823" s="36">
        <v>62679.403749999998</v>
      </c>
      <c r="L823" s="1">
        <v>2.7888500000000001</v>
      </c>
      <c r="M823" s="37">
        <v>22475</v>
      </c>
      <c r="N823" s="1" t="s">
        <v>20155</v>
      </c>
      <c r="O823" s="1" t="s">
        <v>20156</v>
      </c>
      <c r="P823" s="876">
        <v>44441</v>
      </c>
      <c r="Q823" s="466">
        <v>0</v>
      </c>
      <c r="R823" s="466">
        <v>18500</v>
      </c>
      <c r="S823" s="466">
        <v>0</v>
      </c>
      <c r="T823" s="466">
        <v>0</v>
      </c>
      <c r="U823" s="466">
        <v>18500</v>
      </c>
      <c r="V823" s="11" t="e">
        <v>#N/A</v>
      </c>
      <c r="W823" s="39">
        <v>0</v>
      </c>
      <c r="X823" s="39">
        <v>62679.403749999998</v>
      </c>
      <c r="Y823" s="39">
        <v>0</v>
      </c>
      <c r="Z823" s="39">
        <v>0</v>
      </c>
      <c r="AA823" s="56"/>
      <c r="AB823" s="56">
        <v>3.3880758783783782</v>
      </c>
      <c r="AC823" s="56"/>
      <c r="AD823" s="56"/>
      <c r="AE823" s="41">
        <v>0</v>
      </c>
      <c r="AF823" s="42">
        <v>1696.62</v>
      </c>
      <c r="AG823" s="42">
        <v>9.1709189189189189E-2</v>
      </c>
      <c r="AH823" s="467"/>
      <c r="AI823" s="467">
        <v>3.2963666891891892</v>
      </c>
      <c r="AJ823" s="467"/>
      <c r="AK823" s="467"/>
      <c r="AL823" s="44">
        <v>0</v>
      </c>
      <c r="AM823" s="44">
        <v>1</v>
      </c>
      <c r="AN823" s="468">
        <v>0</v>
      </c>
      <c r="AO823" s="468">
        <v>0</v>
      </c>
    </row>
    <row r="824" spans="1:41" hidden="1">
      <c r="A824" s="50">
        <v>219</v>
      </c>
      <c r="B824" s="1" t="s">
        <v>231</v>
      </c>
      <c r="C824" s="50">
        <v>0</v>
      </c>
      <c r="D824" s="464" t="s">
        <v>18559</v>
      </c>
      <c r="E824" s="1" t="s">
        <v>231</v>
      </c>
      <c r="F824" s="53">
        <v>44433</v>
      </c>
      <c r="G824" s="1">
        <v>2021</v>
      </c>
      <c r="H824" s="1" t="s">
        <v>17248</v>
      </c>
      <c r="I824" s="1" t="s">
        <v>17249</v>
      </c>
      <c r="J824" s="1" t="s">
        <v>16401</v>
      </c>
      <c r="K824" s="36">
        <v>62540.394444500002</v>
      </c>
      <c r="L824" s="1">
        <v>2.7954500000000002</v>
      </c>
      <c r="M824" s="37">
        <v>22372.21</v>
      </c>
      <c r="N824" s="1" t="s">
        <v>20155</v>
      </c>
      <c r="O824" s="1" t="s">
        <v>17954</v>
      </c>
      <c r="P824" s="876">
        <v>44462</v>
      </c>
      <c r="Q824" s="466">
        <v>0</v>
      </c>
      <c r="R824" s="466">
        <v>23426.400000000001</v>
      </c>
      <c r="S824" s="466">
        <v>0</v>
      </c>
      <c r="T824" s="466">
        <v>0</v>
      </c>
      <c r="U824" s="466">
        <v>23426.400000000001</v>
      </c>
      <c r="V824" s="11" t="e">
        <v>#N/A</v>
      </c>
      <c r="W824" s="39">
        <v>0</v>
      </c>
      <c r="X824" s="39">
        <v>62539.919218000017</v>
      </c>
      <c r="Y824" s="39">
        <v>0</v>
      </c>
      <c r="Z824" s="39">
        <v>0</v>
      </c>
      <c r="AA824" s="56"/>
      <c r="AB824" s="56">
        <v>2.6696342254038186</v>
      </c>
      <c r="AC824" s="56"/>
      <c r="AD824" s="56"/>
      <c r="AE824" s="41">
        <v>4055.52</v>
      </c>
      <c r="AF824" s="42">
        <v>17646.66</v>
      </c>
      <c r="AG824" s="42">
        <v>0.75328091384079499</v>
      </c>
      <c r="AH824" s="467"/>
      <c r="AI824" s="467">
        <v>1.9163533115630236</v>
      </c>
      <c r="AJ824" s="467"/>
      <c r="AK824" s="467"/>
      <c r="AL824" s="44">
        <v>0</v>
      </c>
      <c r="AM824" s="44" t="s">
        <v>20317</v>
      </c>
      <c r="AN824" s="468">
        <v>0</v>
      </c>
      <c r="AO824" s="468">
        <v>0</v>
      </c>
    </row>
    <row r="825" spans="1:41" hidden="1">
      <c r="A825" s="50">
        <v>220</v>
      </c>
      <c r="B825" s="1" t="s">
        <v>232</v>
      </c>
      <c r="C825" s="50">
        <v>0</v>
      </c>
      <c r="D825" s="464" t="s">
        <v>18560</v>
      </c>
      <c r="E825" s="1" t="s">
        <v>232</v>
      </c>
      <c r="F825" s="53">
        <v>44433</v>
      </c>
      <c r="G825" s="1">
        <v>2021</v>
      </c>
      <c r="H825" s="1" t="s">
        <v>16952</v>
      </c>
      <c r="I825" s="1" t="s">
        <v>16953</v>
      </c>
      <c r="J825" s="1" t="s">
        <v>3</v>
      </c>
      <c r="K825" s="36">
        <v>77908.320000000007</v>
      </c>
      <c r="L825" s="1">
        <v>1</v>
      </c>
      <c r="M825" s="37">
        <v>77908.320000000007</v>
      </c>
      <c r="N825" s="1" t="s">
        <v>20155</v>
      </c>
      <c r="O825" s="1" t="s">
        <v>20318</v>
      </c>
      <c r="P825" s="876">
        <v>44456</v>
      </c>
      <c r="Q825" s="466">
        <v>44016</v>
      </c>
      <c r="R825" s="466">
        <v>0</v>
      </c>
      <c r="S825" s="466">
        <v>0</v>
      </c>
      <c r="T825" s="466">
        <v>0</v>
      </c>
      <c r="U825" s="466">
        <v>44016</v>
      </c>
      <c r="V825" s="11" t="e">
        <v>#N/A</v>
      </c>
      <c r="W825" s="39">
        <v>77908.320000000007</v>
      </c>
      <c r="X825" s="39">
        <v>0</v>
      </c>
      <c r="Y825" s="39">
        <v>0</v>
      </c>
      <c r="Z825" s="39">
        <v>0</v>
      </c>
      <c r="AA825" s="56">
        <v>1.7700000000000002</v>
      </c>
      <c r="AB825" s="56"/>
      <c r="AC825" s="56"/>
      <c r="AD825" s="56"/>
      <c r="AE825" s="41">
        <v>0</v>
      </c>
      <c r="AF825" s="42">
        <v>0</v>
      </c>
      <c r="AG825" s="42">
        <v>0</v>
      </c>
      <c r="AH825" s="467">
        <v>1.7700000000000002</v>
      </c>
      <c r="AI825" s="467">
        <v>0</v>
      </c>
      <c r="AJ825" s="467">
        <v>0</v>
      </c>
      <c r="AK825" s="467">
        <v>0</v>
      </c>
      <c r="AL825" s="44">
        <v>1</v>
      </c>
      <c r="AM825" s="44">
        <v>0</v>
      </c>
      <c r="AN825" s="468">
        <v>0</v>
      </c>
      <c r="AO825" s="468">
        <v>0</v>
      </c>
    </row>
    <row r="826" spans="1:41" hidden="1">
      <c r="A826" s="50">
        <v>221</v>
      </c>
      <c r="B826" s="1" t="s">
        <v>233</v>
      </c>
      <c r="C826" s="50">
        <v>0</v>
      </c>
      <c r="D826" s="464" t="s">
        <v>18561</v>
      </c>
      <c r="E826" s="1" t="s">
        <v>233</v>
      </c>
      <c r="F826" s="53">
        <v>44434</v>
      </c>
      <c r="G826" s="1">
        <v>2021</v>
      </c>
      <c r="H826" s="1" t="s">
        <v>17276</v>
      </c>
      <c r="I826" s="1" t="s">
        <v>17277</v>
      </c>
      <c r="J826" s="1" t="s">
        <v>16482</v>
      </c>
      <c r="K826" s="36">
        <v>174139.62159999998</v>
      </c>
      <c r="L826" s="1">
        <v>2.7828499999999998</v>
      </c>
      <c r="M826" s="37">
        <v>62576</v>
      </c>
      <c r="N826" s="1" t="s">
        <v>20155</v>
      </c>
      <c r="O826" s="1" t="s">
        <v>20297</v>
      </c>
      <c r="P826" s="876">
        <v>44448</v>
      </c>
      <c r="Q826" s="466">
        <v>76800</v>
      </c>
      <c r="R826" s="466">
        <v>0</v>
      </c>
      <c r="S826" s="466">
        <v>0</v>
      </c>
      <c r="T826" s="466">
        <v>0</v>
      </c>
      <c r="U826" s="466">
        <v>76800</v>
      </c>
      <c r="V826" s="11" t="e">
        <v>#N/A</v>
      </c>
      <c r="W826" s="39">
        <v>174139.62160000001</v>
      </c>
      <c r="X826" s="39">
        <v>0</v>
      </c>
      <c r="Y826" s="39">
        <v>0</v>
      </c>
      <c r="Z826" s="39">
        <v>0</v>
      </c>
      <c r="AA826" s="56">
        <v>2.2674429895833335</v>
      </c>
      <c r="AB826" s="56"/>
      <c r="AC826" s="56"/>
      <c r="AD826" s="56"/>
      <c r="AE826" s="41">
        <v>10476.960000000001</v>
      </c>
      <c r="AF826" s="42">
        <v>30791.72</v>
      </c>
      <c r="AG826" s="42">
        <v>0.40093385416666666</v>
      </c>
      <c r="AH826" s="467">
        <v>1.8665091354166667</v>
      </c>
      <c r="AI826" s="467"/>
      <c r="AJ826" s="467"/>
      <c r="AK826" s="467"/>
      <c r="AL826" s="44">
        <v>1</v>
      </c>
      <c r="AM826" s="44">
        <v>0</v>
      </c>
      <c r="AN826" s="468">
        <v>0</v>
      </c>
      <c r="AO826" s="468">
        <v>0</v>
      </c>
    </row>
    <row r="827" spans="1:41" hidden="1">
      <c r="A827" s="50">
        <v>222</v>
      </c>
      <c r="B827" s="1" t="s">
        <v>234</v>
      </c>
      <c r="C827" s="50">
        <v>0</v>
      </c>
      <c r="D827" s="464" t="s">
        <v>18562</v>
      </c>
      <c r="E827" s="1" t="s">
        <v>234</v>
      </c>
      <c r="F827" s="53">
        <v>44435</v>
      </c>
      <c r="G827" s="1">
        <v>2021</v>
      </c>
      <c r="H827" s="1" t="s">
        <v>17017</v>
      </c>
      <c r="I827" s="1" t="s">
        <v>17018</v>
      </c>
      <c r="J827" s="1" t="s">
        <v>3</v>
      </c>
      <c r="K827" s="36">
        <v>35800</v>
      </c>
      <c r="L827" s="1">
        <v>1</v>
      </c>
      <c r="M827" s="37">
        <v>35800</v>
      </c>
      <c r="N827" s="1" t="s">
        <v>20155</v>
      </c>
      <c r="O827" s="1" t="s">
        <v>18064</v>
      </c>
      <c r="P827" s="876">
        <v>44447</v>
      </c>
      <c r="Q827" s="466">
        <v>0</v>
      </c>
      <c r="R827" s="466">
        <v>20000</v>
      </c>
      <c r="S827" s="466">
        <v>0</v>
      </c>
      <c r="T827" s="466">
        <v>0</v>
      </c>
      <c r="U827" s="466">
        <v>20000</v>
      </c>
      <c r="V827" s="11" t="e">
        <v>#N/A</v>
      </c>
      <c r="W827" s="39">
        <v>0</v>
      </c>
      <c r="X827" s="39">
        <v>35800</v>
      </c>
      <c r="Y827" s="39">
        <v>0</v>
      </c>
      <c r="Z827" s="39">
        <v>0</v>
      </c>
      <c r="AA827" s="56"/>
      <c r="AB827" s="56">
        <v>1.79</v>
      </c>
      <c r="AC827" s="56"/>
      <c r="AD827" s="56"/>
      <c r="AE827" s="41">
        <v>0</v>
      </c>
      <c r="AF827" s="42">
        <v>0</v>
      </c>
      <c r="AG827" s="42">
        <v>0</v>
      </c>
      <c r="AH827" s="467">
        <v>0</v>
      </c>
      <c r="AI827" s="467">
        <v>1.79</v>
      </c>
      <c r="AJ827" s="467">
        <v>0</v>
      </c>
      <c r="AK827" s="467">
        <v>0</v>
      </c>
      <c r="AL827" s="44">
        <v>0</v>
      </c>
      <c r="AM827" s="44">
        <v>1</v>
      </c>
      <c r="AN827" s="468">
        <v>0</v>
      </c>
      <c r="AO827" s="468">
        <v>0</v>
      </c>
    </row>
    <row r="828" spans="1:41" hidden="1">
      <c r="A828" s="50">
        <v>223</v>
      </c>
      <c r="B828" s="1" t="s">
        <v>235</v>
      </c>
      <c r="C828" s="50">
        <v>0</v>
      </c>
      <c r="D828" s="464" t="s">
        <v>18563</v>
      </c>
      <c r="E828" s="1" t="s">
        <v>235</v>
      </c>
      <c r="F828" s="53">
        <v>44446</v>
      </c>
      <c r="G828" s="1">
        <v>2021</v>
      </c>
      <c r="H828" s="1" t="s">
        <v>16904</v>
      </c>
      <c r="I828" s="1" t="s">
        <v>16905</v>
      </c>
      <c r="J828" s="1" t="s">
        <v>16482</v>
      </c>
      <c r="K828" s="36">
        <v>63405.457190000001</v>
      </c>
      <c r="L828" s="1">
        <v>3.2897500000000002</v>
      </c>
      <c r="M828" s="37">
        <v>19273.64</v>
      </c>
      <c r="N828" s="1" t="s">
        <v>20155</v>
      </c>
      <c r="O828" s="1" t="s">
        <v>20160</v>
      </c>
      <c r="P828" s="876">
        <v>44467</v>
      </c>
      <c r="Q828" s="466">
        <v>0</v>
      </c>
      <c r="R828" s="466">
        <v>16944</v>
      </c>
      <c r="S828" s="466">
        <v>10392</v>
      </c>
      <c r="T828" s="466">
        <v>0</v>
      </c>
      <c r="U828" s="466">
        <v>27336</v>
      </c>
      <c r="V828" s="11" t="e">
        <v>#N/A</v>
      </c>
      <c r="W828" s="39">
        <v>0</v>
      </c>
      <c r="X828" s="39">
        <v>39439.860657647063</v>
      </c>
      <c r="Y828" s="39">
        <v>23965.596532352942</v>
      </c>
      <c r="Z828" s="39">
        <v>0</v>
      </c>
      <c r="AA828" s="56"/>
      <c r="AB828" s="56">
        <v>2.3276593872549021</v>
      </c>
      <c r="AC828" s="56">
        <v>2.306158249841507</v>
      </c>
      <c r="AD828" s="56"/>
      <c r="AE828" s="41">
        <v>4203.34</v>
      </c>
      <c r="AF828" s="42">
        <v>12123.165000000001</v>
      </c>
      <c r="AG828" s="42">
        <v>0.44348715978928888</v>
      </c>
      <c r="AH828" s="467"/>
      <c r="AI828" s="467">
        <v>1.8841722274656132</v>
      </c>
      <c r="AJ828" s="467">
        <v>1.8626710900522181</v>
      </c>
      <c r="AK828" s="467"/>
      <c r="AL828" s="44">
        <v>0</v>
      </c>
      <c r="AM828" s="44">
        <v>1</v>
      </c>
      <c r="AN828" s="468">
        <v>1</v>
      </c>
      <c r="AO828" s="468">
        <v>0</v>
      </c>
    </row>
    <row r="829" spans="1:41" hidden="1">
      <c r="A829" s="50">
        <v>224</v>
      </c>
      <c r="B829" s="1" t="s">
        <v>236</v>
      </c>
      <c r="C829" s="50">
        <v>0</v>
      </c>
      <c r="D829" s="464" t="s">
        <v>18564</v>
      </c>
      <c r="E829" s="1" t="s">
        <v>236</v>
      </c>
      <c r="F829" s="53">
        <v>44446</v>
      </c>
      <c r="G829" s="1">
        <v>2021</v>
      </c>
      <c r="H829" s="1" t="s">
        <v>16880</v>
      </c>
      <c r="I829" s="1" t="s">
        <v>16881</v>
      </c>
      <c r="J829" s="1" t="s">
        <v>16401</v>
      </c>
      <c r="K829" s="36">
        <v>67623.27</v>
      </c>
      <c r="L829" s="1">
        <v>2.7943500000000001</v>
      </c>
      <c r="M829" s="37">
        <v>24200</v>
      </c>
      <c r="N829" s="1" t="s">
        <v>20155</v>
      </c>
      <c r="O829" s="1" t="s">
        <v>20156</v>
      </c>
      <c r="P829" s="876">
        <v>44455</v>
      </c>
      <c r="Q829" s="466">
        <v>0</v>
      </c>
      <c r="R829" s="466">
        <v>20000</v>
      </c>
      <c r="S829" s="466">
        <v>0</v>
      </c>
      <c r="T829" s="466">
        <v>0</v>
      </c>
      <c r="U829" s="466">
        <v>20000</v>
      </c>
      <c r="V829" s="11" t="e">
        <v>#N/A</v>
      </c>
      <c r="W829" s="39">
        <v>0</v>
      </c>
      <c r="X829" s="39">
        <v>67623.27</v>
      </c>
      <c r="Y829" s="39">
        <v>0</v>
      </c>
      <c r="Z829" s="39">
        <v>0</v>
      </c>
      <c r="AA829" s="56"/>
      <c r="AB829" s="56">
        <v>3.3811635</v>
      </c>
      <c r="AC829" s="56"/>
      <c r="AD829" s="56"/>
      <c r="AE829" s="41">
        <v>0</v>
      </c>
      <c r="AF829" s="42">
        <v>1761.12</v>
      </c>
      <c r="AG829" s="42">
        <v>8.8055999999999995E-2</v>
      </c>
      <c r="AH829" s="467"/>
      <c r="AI829" s="467">
        <v>3.2931075000000001</v>
      </c>
      <c r="AJ829" s="467"/>
      <c r="AK829" s="467"/>
      <c r="AL829" s="44">
        <v>0</v>
      </c>
      <c r="AM829" s="44">
        <v>1</v>
      </c>
      <c r="AN829" s="468">
        <v>0</v>
      </c>
      <c r="AO829" s="468">
        <v>0</v>
      </c>
    </row>
    <row r="830" spans="1:41" hidden="1">
      <c r="A830" s="50">
        <v>225</v>
      </c>
      <c r="B830" s="1" t="s">
        <v>237</v>
      </c>
      <c r="C830" s="50">
        <v>0</v>
      </c>
      <c r="D830" s="464" t="s">
        <v>18565</v>
      </c>
      <c r="E830" s="1" t="s">
        <v>237</v>
      </c>
      <c r="F830" s="53">
        <v>44446</v>
      </c>
      <c r="G830" s="1">
        <v>2021</v>
      </c>
      <c r="H830" s="1" t="s">
        <v>17295</v>
      </c>
      <c r="I830" s="1" t="s">
        <v>17296</v>
      </c>
      <c r="J830" s="1" t="s">
        <v>3</v>
      </c>
      <c r="K830" s="36">
        <v>49333.599999999999</v>
      </c>
      <c r="L830" s="1">
        <v>1</v>
      </c>
      <c r="M830" s="37">
        <v>49333.599999999999</v>
      </c>
      <c r="N830" s="1" t="s">
        <v>20155</v>
      </c>
      <c r="O830" s="1" t="s">
        <v>16394</v>
      </c>
      <c r="P830" s="876">
        <v>44467</v>
      </c>
      <c r="Q830" s="466">
        <v>3840</v>
      </c>
      <c r="R830" s="466">
        <v>4536</v>
      </c>
      <c r="S830" s="466">
        <v>0</v>
      </c>
      <c r="T830" s="466">
        <v>6720</v>
      </c>
      <c r="U830" s="466">
        <v>15096</v>
      </c>
      <c r="V830" s="11" t="s">
        <v>20155</v>
      </c>
      <c r="W830" s="39">
        <v>8448</v>
      </c>
      <c r="X830" s="39">
        <v>9525.6</v>
      </c>
      <c r="Y830" s="39">
        <v>0</v>
      </c>
      <c r="Z830" s="39">
        <v>31360</v>
      </c>
      <c r="AA830" s="56">
        <v>2.2000000000000002</v>
      </c>
      <c r="AB830" s="56">
        <v>2.1</v>
      </c>
      <c r="AC830" s="56"/>
      <c r="AD830" s="56">
        <v>4.666666666666667</v>
      </c>
      <c r="AE830" s="41">
        <v>0</v>
      </c>
      <c r="AF830" s="42">
        <v>0</v>
      </c>
      <c r="AG830" s="42">
        <v>0</v>
      </c>
      <c r="AH830" s="467">
        <v>2.2000000000000002</v>
      </c>
      <c r="AI830" s="467">
        <v>2.1</v>
      </c>
      <c r="AJ830" s="467">
        <v>0</v>
      </c>
      <c r="AK830" s="467">
        <v>4.666666666666667</v>
      </c>
      <c r="AL830" s="44">
        <v>1</v>
      </c>
      <c r="AM830" s="44">
        <v>1</v>
      </c>
      <c r="AN830" s="468">
        <v>0</v>
      </c>
      <c r="AO830" s="468">
        <v>1</v>
      </c>
    </row>
    <row r="831" spans="1:41" hidden="1">
      <c r="A831" s="50">
        <v>226</v>
      </c>
      <c r="B831" s="1" t="s">
        <v>238</v>
      </c>
      <c r="C831" s="50">
        <v>0</v>
      </c>
      <c r="D831" s="464" t="s">
        <v>18567</v>
      </c>
      <c r="E831" s="1" t="s">
        <v>238</v>
      </c>
      <c r="F831" s="53">
        <v>44446</v>
      </c>
      <c r="G831" s="1">
        <v>2021</v>
      </c>
      <c r="H831" s="1" t="s">
        <v>17297</v>
      </c>
      <c r="I831" s="1" t="s">
        <v>17298</v>
      </c>
      <c r="J831" s="1" t="s">
        <v>3</v>
      </c>
      <c r="K831" s="36">
        <v>41256</v>
      </c>
      <c r="L831" s="1">
        <v>1</v>
      </c>
      <c r="M831" s="37">
        <v>41256</v>
      </c>
      <c r="N831" s="1" t="s">
        <v>20155</v>
      </c>
      <c r="O831" s="1" t="s">
        <v>20319</v>
      </c>
      <c r="P831" s="876">
        <v>44468</v>
      </c>
      <c r="Q831" s="466">
        <v>21600</v>
      </c>
      <c r="R831" s="466">
        <v>0</v>
      </c>
      <c r="S831" s="466">
        <v>0</v>
      </c>
      <c r="T831" s="466">
        <v>0</v>
      </c>
      <c r="U831" s="466">
        <v>21600</v>
      </c>
      <c r="V831" s="11" t="s">
        <v>20155</v>
      </c>
      <c r="W831" s="39">
        <v>41256</v>
      </c>
      <c r="X831" s="39">
        <v>0</v>
      </c>
      <c r="Y831" s="39">
        <v>0</v>
      </c>
      <c r="Z831" s="39">
        <v>0</v>
      </c>
      <c r="AA831" s="56">
        <v>1.91</v>
      </c>
      <c r="AB831" s="56"/>
      <c r="AC831" s="56"/>
      <c r="AD831" s="56"/>
      <c r="AE831" s="41">
        <v>0</v>
      </c>
      <c r="AF831" s="42">
        <v>0</v>
      </c>
      <c r="AG831" s="42">
        <v>0</v>
      </c>
      <c r="AH831" s="467">
        <v>1.91</v>
      </c>
      <c r="AI831" s="467"/>
      <c r="AJ831" s="467"/>
      <c r="AK831" s="467"/>
      <c r="AL831" s="44">
        <v>1</v>
      </c>
      <c r="AM831" s="44">
        <v>0</v>
      </c>
      <c r="AN831" s="468">
        <v>0</v>
      </c>
      <c r="AO831" s="468">
        <v>0</v>
      </c>
    </row>
    <row r="832" spans="1:41" hidden="1">
      <c r="A832" s="50">
        <v>227</v>
      </c>
      <c r="B832" s="1" t="s">
        <v>239</v>
      </c>
      <c r="C832" s="50">
        <v>0</v>
      </c>
      <c r="D832" s="464" t="s">
        <v>18569</v>
      </c>
      <c r="E832" s="1" t="s">
        <v>239</v>
      </c>
      <c r="F832" s="53">
        <v>44447</v>
      </c>
      <c r="G832" s="1">
        <v>2021</v>
      </c>
      <c r="H832" s="1" t="s">
        <v>16444</v>
      </c>
      <c r="I832" s="1" t="s">
        <v>16445</v>
      </c>
      <c r="J832" s="1" t="s">
        <v>3</v>
      </c>
      <c r="K832" s="36">
        <v>84708</v>
      </c>
      <c r="L832" s="1">
        <v>1</v>
      </c>
      <c r="M832" s="37">
        <v>84708</v>
      </c>
      <c r="N832" s="1" t="s">
        <v>20155</v>
      </c>
      <c r="O832" s="1" t="s">
        <v>18248</v>
      </c>
      <c r="P832" s="876">
        <v>44452</v>
      </c>
      <c r="Q832" s="466">
        <v>12000</v>
      </c>
      <c r="R832" s="466">
        <v>38700</v>
      </c>
      <c r="S832" s="466">
        <v>0</v>
      </c>
      <c r="T832" s="466">
        <v>0</v>
      </c>
      <c r="U832" s="466">
        <v>50700</v>
      </c>
      <c r="V832" s="11" t="s">
        <v>20155</v>
      </c>
      <c r="W832" s="39">
        <v>21240</v>
      </c>
      <c r="X832" s="39">
        <v>63468</v>
      </c>
      <c r="Y832" s="39">
        <v>0</v>
      </c>
      <c r="Z832" s="39">
        <v>0</v>
      </c>
      <c r="AA832" s="56">
        <v>1.77</v>
      </c>
      <c r="AB832" s="56">
        <v>1.64</v>
      </c>
      <c r="AC832" s="56"/>
      <c r="AD832" s="56"/>
      <c r="AE832" s="41">
        <v>0</v>
      </c>
      <c r="AF832" s="42">
        <v>0</v>
      </c>
      <c r="AG832" s="42">
        <v>0</v>
      </c>
      <c r="AH832" s="467">
        <v>1.77</v>
      </c>
      <c r="AI832" s="467">
        <v>1.64</v>
      </c>
      <c r="AJ832" s="467">
        <v>0</v>
      </c>
      <c r="AK832" s="467">
        <v>0</v>
      </c>
      <c r="AL832" s="44">
        <v>1</v>
      </c>
      <c r="AM832" s="44" t="s">
        <v>20296</v>
      </c>
      <c r="AN832" s="468">
        <v>0</v>
      </c>
      <c r="AO832" s="468">
        <v>0</v>
      </c>
    </row>
    <row r="833" spans="1:41" hidden="1">
      <c r="A833" s="50">
        <v>228</v>
      </c>
      <c r="B833" s="1" t="s">
        <v>240</v>
      </c>
      <c r="C833" s="50">
        <v>0</v>
      </c>
      <c r="D833" s="464" t="s">
        <v>18570</v>
      </c>
      <c r="E833" s="1" t="s">
        <v>240</v>
      </c>
      <c r="F833" s="53">
        <v>44448</v>
      </c>
      <c r="G833" s="1">
        <v>2021</v>
      </c>
      <c r="H833" s="1" t="s">
        <v>16444</v>
      </c>
      <c r="I833" s="1" t="s">
        <v>16445</v>
      </c>
      <c r="J833" s="1" t="s">
        <v>3</v>
      </c>
      <c r="K833" s="36">
        <v>36312.5</v>
      </c>
      <c r="L833" s="1">
        <v>1</v>
      </c>
      <c r="M833" s="37">
        <v>36312.5</v>
      </c>
      <c r="N833" s="1" t="s">
        <v>20155</v>
      </c>
      <c r="O833" s="1" t="s">
        <v>17693</v>
      </c>
      <c r="P833" s="876">
        <v>44453</v>
      </c>
      <c r="Q833" s="466">
        <v>20750</v>
      </c>
      <c r="R833" s="466">
        <v>0</v>
      </c>
      <c r="S833" s="466">
        <v>0</v>
      </c>
      <c r="T833" s="466">
        <v>0</v>
      </c>
      <c r="U833" s="466">
        <v>20750</v>
      </c>
      <c r="V833" s="11" t="s">
        <v>20155</v>
      </c>
      <c r="W833" s="39">
        <v>36312.5</v>
      </c>
      <c r="X833" s="39">
        <v>0</v>
      </c>
      <c r="Y833" s="39">
        <v>0</v>
      </c>
      <c r="Z833" s="39">
        <v>0</v>
      </c>
      <c r="AA833" s="56">
        <v>1.75</v>
      </c>
      <c r="AB833" s="56"/>
      <c r="AC833" s="56"/>
      <c r="AD833" s="56"/>
      <c r="AE833" s="41">
        <v>0</v>
      </c>
      <c r="AF833" s="42">
        <v>0</v>
      </c>
      <c r="AG833" s="42">
        <v>0</v>
      </c>
      <c r="AH833" s="467">
        <v>1.75</v>
      </c>
      <c r="AI833" s="467">
        <v>0</v>
      </c>
      <c r="AJ833" s="467">
        <v>0</v>
      </c>
      <c r="AK833" s="467">
        <v>0</v>
      </c>
      <c r="AL833" s="44">
        <v>1</v>
      </c>
      <c r="AM833" s="44">
        <v>0</v>
      </c>
      <c r="AN833" s="468">
        <v>0</v>
      </c>
      <c r="AO833" s="468">
        <v>0</v>
      </c>
    </row>
    <row r="834" spans="1:41" hidden="1">
      <c r="A834" s="50">
        <v>229</v>
      </c>
      <c r="B834" s="1" t="s">
        <v>241</v>
      </c>
      <c r="C834" s="50">
        <v>0</v>
      </c>
      <c r="D834" s="464" t="s">
        <v>18571</v>
      </c>
      <c r="E834" s="1" t="s">
        <v>241</v>
      </c>
      <c r="F834" s="53">
        <v>44452</v>
      </c>
      <c r="G834" s="1">
        <v>2021</v>
      </c>
      <c r="H834" s="1" t="s">
        <v>16972</v>
      </c>
      <c r="I834" s="1" t="s">
        <v>16973</v>
      </c>
      <c r="J834" s="1" t="s">
        <v>3</v>
      </c>
      <c r="K834" s="36">
        <v>428400</v>
      </c>
      <c r="L834" s="1">
        <v>1</v>
      </c>
      <c r="M834" s="37">
        <v>428400</v>
      </c>
      <c r="N834" s="1" t="s">
        <v>20155</v>
      </c>
      <c r="O834" s="1" t="s">
        <v>17801</v>
      </c>
      <c r="P834" s="876">
        <v>44456</v>
      </c>
      <c r="Q834" s="466">
        <v>0</v>
      </c>
      <c r="R834" s="466">
        <v>0</v>
      </c>
      <c r="S834" s="466">
        <v>280000</v>
      </c>
      <c r="T834" s="466">
        <v>0</v>
      </c>
      <c r="U834" s="466">
        <v>280000</v>
      </c>
      <c r="V834" s="11" t="s">
        <v>20155</v>
      </c>
      <c r="W834" s="39">
        <v>0</v>
      </c>
      <c r="X834" s="39">
        <v>0</v>
      </c>
      <c r="Y834" s="39">
        <v>428400</v>
      </c>
      <c r="Z834" s="39">
        <v>0</v>
      </c>
      <c r="AA834" s="56"/>
      <c r="AB834" s="56"/>
      <c r="AC834" s="56">
        <v>1.53</v>
      </c>
      <c r="AD834" s="56"/>
      <c r="AE834" s="41">
        <v>0</v>
      </c>
      <c r="AF834" s="42">
        <v>0</v>
      </c>
      <c r="AG834" s="42">
        <v>0</v>
      </c>
      <c r="AH834" s="467">
        <v>0</v>
      </c>
      <c r="AI834" s="467">
        <v>0</v>
      </c>
      <c r="AJ834" s="467">
        <v>1.53</v>
      </c>
      <c r="AK834" s="467">
        <v>0</v>
      </c>
      <c r="AL834" s="44">
        <v>0</v>
      </c>
      <c r="AM834" s="44">
        <v>0</v>
      </c>
      <c r="AN834" s="468" t="s">
        <v>20300</v>
      </c>
      <c r="AO834" s="468">
        <v>0</v>
      </c>
    </row>
    <row r="835" spans="1:41" hidden="1">
      <c r="A835" s="50">
        <v>230</v>
      </c>
      <c r="B835" s="1" t="s">
        <v>242</v>
      </c>
      <c r="C835" s="50">
        <v>0</v>
      </c>
      <c r="D835" s="464" t="s">
        <v>18572</v>
      </c>
      <c r="E835" s="1" t="s">
        <v>242</v>
      </c>
      <c r="F835" s="53">
        <v>44457</v>
      </c>
      <c r="G835" s="1">
        <v>2021</v>
      </c>
      <c r="H835" s="1" t="s">
        <v>16972</v>
      </c>
      <c r="I835" s="1" t="s">
        <v>16973</v>
      </c>
      <c r="J835" s="1" t="s">
        <v>3</v>
      </c>
      <c r="K835" s="36">
        <v>428400</v>
      </c>
      <c r="L835" s="1">
        <v>1</v>
      </c>
      <c r="M835" s="37">
        <v>428400</v>
      </c>
      <c r="N835" s="1" t="s">
        <v>20155</v>
      </c>
      <c r="O835" s="1" t="s">
        <v>17801</v>
      </c>
      <c r="P835" s="876">
        <v>44464</v>
      </c>
      <c r="Q835" s="466">
        <v>0</v>
      </c>
      <c r="R835" s="466">
        <v>0</v>
      </c>
      <c r="S835" s="466">
        <v>280000</v>
      </c>
      <c r="T835" s="466">
        <v>0</v>
      </c>
      <c r="U835" s="466">
        <v>280000</v>
      </c>
      <c r="V835" s="11" t="s">
        <v>20155</v>
      </c>
      <c r="W835" s="39">
        <v>0</v>
      </c>
      <c r="X835" s="39">
        <v>0</v>
      </c>
      <c r="Y835" s="39">
        <v>428400</v>
      </c>
      <c r="Z835" s="39">
        <v>0</v>
      </c>
      <c r="AA835" s="56"/>
      <c r="AB835" s="56"/>
      <c r="AC835" s="56">
        <v>1.53</v>
      </c>
      <c r="AD835" s="56"/>
      <c r="AE835" s="41">
        <v>0</v>
      </c>
      <c r="AF835" s="42">
        <v>0</v>
      </c>
      <c r="AG835" s="42">
        <v>0</v>
      </c>
      <c r="AH835" s="467">
        <v>0</v>
      </c>
      <c r="AI835" s="467">
        <v>0</v>
      </c>
      <c r="AJ835" s="467">
        <v>1.53</v>
      </c>
      <c r="AK835" s="467">
        <v>0</v>
      </c>
      <c r="AL835" s="44">
        <v>0</v>
      </c>
      <c r="AM835" s="44">
        <v>0</v>
      </c>
      <c r="AN835" s="468" t="s">
        <v>20300</v>
      </c>
      <c r="AO835" s="468">
        <v>0</v>
      </c>
    </row>
    <row r="836" spans="1:41" hidden="1">
      <c r="A836" s="50">
        <v>231</v>
      </c>
      <c r="B836" s="1" t="s">
        <v>243</v>
      </c>
      <c r="C836" s="50">
        <v>0</v>
      </c>
      <c r="D836" s="464" t="s">
        <v>18573</v>
      </c>
      <c r="E836" s="1" t="s">
        <v>243</v>
      </c>
      <c r="F836" s="53">
        <v>44459</v>
      </c>
      <c r="G836" s="1">
        <v>2021</v>
      </c>
      <c r="H836" s="1" t="s">
        <v>16838</v>
      </c>
      <c r="I836" s="1" t="s">
        <v>16839</v>
      </c>
      <c r="J836" s="1" t="s">
        <v>3</v>
      </c>
      <c r="K836" s="36">
        <v>43120</v>
      </c>
      <c r="L836" s="1">
        <v>1</v>
      </c>
      <c r="M836" s="37">
        <v>43120</v>
      </c>
      <c r="N836" s="1" t="s">
        <v>20155</v>
      </c>
      <c r="O836" s="1" t="s">
        <v>17771</v>
      </c>
      <c r="P836" s="876">
        <v>44462</v>
      </c>
      <c r="Q836" s="466">
        <v>0</v>
      </c>
      <c r="R836" s="466">
        <v>0</v>
      </c>
      <c r="S836" s="466">
        <v>28000</v>
      </c>
      <c r="T836" s="466">
        <v>0</v>
      </c>
      <c r="U836" s="466">
        <v>28000</v>
      </c>
      <c r="V836" s="11" t="s">
        <v>20155</v>
      </c>
      <c r="W836" s="39">
        <v>0</v>
      </c>
      <c r="X836" s="39">
        <v>0</v>
      </c>
      <c r="Y836" s="39">
        <v>43120</v>
      </c>
      <c r="Z836" s="39">
        <v>0</v>
      </c>
      <c r="AA836" s="56"/>
      <c r="AB836" s="56"/>
      <c r="AC836" s="56">
        <v>1.54</v>
      </c>
      <c r="AD836" s="56"/>
      <c r="AE836" s="41">
        <v>0</v>
      </c>
      <c r="AF836" s="42">
        <v>0</v>
      </c>
      <c r="AG836" s="42">
        <v>0</v>
      </c>
      <c r="AH836" s="467">
        <v>0</v>
      </c>
      <c r="AI836" s="467">
        <v>0</v>
      </c>
      <c r="AJ836" s="467">
        <v>1.54</v>
      </c>
      <c r="AK836" s="467">
        <v>0</v>
      </c>
      <c r="AL836" s="44">
        <v>0</v>
      </c>
      <c r="AM836" s="44">
        <v>0</v>
      </c>
      <c r="AN836" s="468" t="s">
        <v>20300</v>
      </c>
      <c r="AO836" s="468">
        <v>0</v>
      </c>
    </row>
    <row r="837" spans="1:41" hidden="1">
      <c r="A837" s="50">
        <v>232</v>
      </c>
      <c r="B837" s="1" t="s">
        <v>244</v>
      </c>
      <c r="C837" s="50">
        <v>0</v>
      </c>
      <c r="D837" s="464" t="s">
        <v>18574</v>
      </c>
      <c r="E837" s="1" t="s">
        <v>244</v>
      </c>
      <c r="F837" s="53">
        <v>44459</v>
      </c>
      <c r="G837" s="1">
        <v>2021</v>
      </c>
      <c r="H837" s="1" t="s">
        <v>16838</v>
      </c>
      <c r="I837" s="1" t="s">
        <v>16839</v>
      </c>
      <c r="J837" s="1" t="s">
        <v>3</v>
      </c>
      <c r="K837" s="36">
        <v>43120</v>
      </c>
      <c r="L837" s="1">
        <v>1</v>
      </c>
      <c r="M837" s="37">
        <v>43120</v>
      </c>
      <c r="N837" s="1" t="s">
        <v>20155</v>
      </c>
      <c r="O837" s="1" t="s">
        <v>17771</v>
      </c>
      <c r="P837" s="876">
        <v>44462</v>
      </c>
      <c r="Q837" s="466">
        <v>0</v>
      </c>
      <c r="R837" s="466">
        <v>0</v>
      </c>
      <c r="S837" s="466">
        <v>28000</v>
      </c>
      <c r="T837" s="466">
        <v>0</v>
      </c>
      <c r="U837" s="466">
        <v>28000</v>
      </c>
      <c r="V837" s="11" t="s">
        <v>20155</v>
      </c>
      <c r="W837" s="39">
        <v>0</v>
      </c>
      <c r="X837" s="39">
        <v>0</v>
      </c>
      <c r="Y837" s="39">
        <v>43120</v>
      </c>
      <c r="Z837" s="39">
        <v>0</v>
      </c>
      <c r="AA837" s="56"/>
      <c r="AB837" s="56"/>
      <c r="AC837" s="56">
        <v>1.54</v>
      </c>
      <c r="AD837" s="56"/>
      <c r="AE837" s="41">
        <v>0</v>
      </c>
      <c r="AF837" s="42">
        <v>0</v>
      </c>
      <c r="AG837" s="42">
        <v>0</v>
      </c>
      <c r="AH837" s="467">
        <v>0</v>
      </c>
      <c r="AI837" s="467">
        <v>0</v>
      </c>
      <c r="AJ837" s="467">
        <v>1.54</v>
      </c>
      <c r="AK837" s="467">
        <v>0</v>
      </c>
      <c r="AL837" s="44">
        <v>0</v>
      </c>
      <c r="AM837" s="44">
        <v>0</v>
      </c>
      <c r="AN837" s="468" t="s">
        <v>20300</v>
      </c>
      <c r="AO837" s="468">
        <v>0</v>
      </c>
    </row>
    <row r="838" spans="1:41" hidden="1">
      <c r="A838" s="50">
        <v>233</v>
      </c>
      <c r="B838" s="1" t="s">
        <v>245</v>
      </c>
      <c r="C838" s="50">
        <v>0</v>
      </c>
      <c r="D838" s="464" t="s">
        <v>18575</v>
      </c>
      <c r="E838" s="1" t="s">
        <v>245</v>
      </c>
      <c r="F838" s="53">
        <v>44460</v>
      </c>
      <c r="G838" s="1">
        <v>2021</v>
      </c>
      <c r="H838" s="1" t="s">
        <v>16838</v>
      </c>
      <c r="I838" s="1" t="s">
        <v>16839</v>
      </c>
      <c r="J838" s="1" t="s">
        <v>3</v>
      </c>
      <c r="K838" s="36">
        <v>68224.800000000003</v>
      </c>
      <c r="L838" s="1">
        <v>1</v>
      </c>
      <c r="M838" s="37">
        <v>68224.800000000003</v>
      </c>
      <c r="N838" s="1" t="s">
        <v>20155</v>
      </c>
      <c r="O838" s="1" t="s">
        <v>17798</v>
      </c>
      <c r="P838" s="876">
        <v>44468</v>
      </c>
      <c r="Q838" s="466">
        <v>0</v>
      </c>
      <c r="R838" s="466">
        <v>44016</v>
      </c>
      <c r="S838" s="466">
        <v>0</v>
      </c>
      <c r="T838" s="466">
        <v>0</v>
      </c>
      <c r="U838" s="466">
        <v>44016</v>
      </c>
      <c r="V838" s="11" t="s">
        <v>20155</v>
      </c>
      <c r="W838" s="39">
        <v>0</v>
      </c>
      <c r="X838" s="39">
        <v>68224.800000000003</v>
      </c>
      <c r="Y838" s="39">
        <v>0</v>
      </c>
      <c r="Z838" s="39">
        <v>0</v>
      </c>
      <c r="AA838" s="56"/>
      <c r="AB838" s="56">
        <v>1.55</v>
      </c>
      <c r="AC838" s="56"/>
      <c r="AD838" s="56"/>
      <c r="AE838" s="41">
        <v>0</v>
      </c>
      <c r="AF838" s="42">
        <v>0</v>
      </c>
      <c r="AG838" s="42">
        <v>0</v>
      </c>
      <c r="AH838" s="467">
        <v>0</v>
      </c>
      <c r="AI838" s="467">
        <v>1.55</v>
      </c>
      <c r="AJ838" s="467">
        <v>0</v>
      </c>
      <c r="AK838" s="467">
        <v>0</v>
      </c>
      <c r="AL838" s="44">
        <v>0</v>
      </c>
      <c r="AM838" s="44" t="s">
        <v>20300</v>
      </c>
      <c r="AN838" s="468">
        <v>0</v>
      </c>
      <c r="AO838" s="468">
        <v>0</v>
      </c>
    </row>
    <row r="839" spans="1:41" hidden="1">
      <c r="A839" s="50">
        <v>234</v>
      </c>
      <c r="B839" s="1" t="s">
        <v>246</v>
      </c>
      <c r="C839" s="50">
        <v>0</v>
      </c>
      <c r="D839" s="464" t="s">
        <v>18576</v>
      </c>
      <c r="E839" s="1" t="s">
        <v>246</v>
      </c>
      <c r="F839" s="53">
        <v>44463</v>
      </c>
      <c r="G839" s="1">
        <v>2021</v>
      </c>
      <c r="H839" s="1" t="s">
        <v>17226</v>
      </c>
      <c r="I839" s="1" t="s">
        <v>17227</v>
      </c>
      <c r="J839" s="1" t="s">
        <v>3</v>
      </c>
      <c r="K839" s="36">
        <v>167732</v>
      </c>
      <c r="L839" s="1">
        <v>1</v>
      </c>
      <c r="M839" s="37">
        <v>167732</v>
      </c>
      <c r="N839" s="1" t="s">
        <v>20155</v>
      </c>
      <c r="O839" s="1" t="s">
        <v>17689</v>
      </c>
      <c r="P839" s="876">
        <v>44473</v>
      </c>
      <c r="Q839" s="466">
        <v>0</v>
      </c>
      <c r="R839" s="466">
        <v>50800</v>
      </c>
      <c r="S839" s="466">
        <v>12000</v>
      </c>
      <c r="T839" s="466">
        <v>14400</v>
      </c>
      <c r="U839" s="466">
        <v>77200</v>
      </c>
      <c r="V839" s="11" t="e">
        <v>#N/A</v>
      </c>
      <c r="W839" s="39">
        <v>0</v>
      </c>
      <c r="X839" s="39">
        <v>102732</v>
      </c>
      <c r="Y839" s="39">
        <v>22200</v>
      </c>
      <c r="Z839" s="39">
        <v>42800</v>
      </c>
      <c r="AA839" s="56"/>
      <c r="AB839" s="56">
        <v>2.0222834645669292</v>
      </c>
      <c r="AC839" s="56">
        <v>1.85</v>
      </c>
      <c r="AD839" s="56">
        <v>2.9722222222222223</v>
      </c>
      <c r="AE839" s="41">
        <v>0</v>
      </c>
      <c r="AF839" s="42">
        <v>0</v>
      </c>
      <c r="AG839" s="42">
        <v>0</v>
      </c>
      <c r="AH839" s="467">
        <v>0</v>
      </c>
      <c r="AI839" s="467">
        <v>2.0222834645669292</v>
      </c>
      <c r="AJ839" s="467">
        <v>1.85</v>
      </c>
      <c r="AK839" s="467">
        <v>2.9722222222222223</v>
      </c>
      <c r="AL839" s="44">
        <v>0</v>
      </c>
      <c r="AM839" s="44">
        <v>1</v>
      </c>
      <c r="AN839" s="468">
        <v>1</v>
      </c>
      <c r="AO839" s="468">
        <v>1</v>
      </c>
    </row>
    <row r="840" spans="1:41" hidden="1">
      <c r="A840" s="50">
        <v>235</v>
      </c>
      <c r="B840" s="1" t="s">
        <v>247</v>
      </c>
      <c r="C840" s="50">
        <v>0</v>
      </c>
      <c r="D840" s="464" t="s">
        <v>18577</v>
      </c>
      <c r="E840" s="1" t="s">
        <v>247</v>
      </c>
      <c r="F840" s="53">
        <v>44467</v>
      </c>
      <c r="G840" s="1">
        <v>2021</v>
      </c>
      <c r="H840" s="1" t="s">
        <v>16444</v>
      </c>
      <c r="I840" s="1" t="s">
        <v>16445</v>
      </c>
      <c r="J840" s="1" t="s">
        <v>3</v>
      </c>
      <c r="K840" s="36">
        <v>116862.48</v>
      </c>
      <c r="L840" s="1">
        <v>1</v>
      </c>
      <c r="M840" s="37">
        <v>116862.48</v>
      </c>
      <c r="N840" s="1" t="s">
        <v>20155</v>
      </c>
      <c r="O840" s="1" t="s">
        <v>17801</v>
      </c>
      <c r="P840" s="876">
        <v>44482</v>
      </c>
      <c r="Q840" s="466">
        <v>66024</v>
      </c>
      <c r="R840" s="466">
        <v>0</v>
      </c>
      <c r="S840" s="466">
        <v>0</v>
      </c>
      <c r="T840" s="466">
        <v>0</v>
      </c>
      <c r="U840" s="466">
        <v>66024</v>
      </c>
      <c r="V840" s="11" t="s">
        <v>20155</v>
      </c>
      <c r="W840" s="39">
        <v>116862.48</v>
      </c>
      <c r="X840" s="39">
        <v>0</v>
      </c>
      <c r="Y840" s="39">
        <v>0</v>
      </c>
      <c r="Z840" s="39">
        <v>0</v>
      </c>
      <c r="AA840" s="56">
        <v>1.77</v>
      </c>
      <c r="AB840" s="56"/>
      <c r="AC840" s="56"/>
      <c r="AD840" s="56"/>
      <c r="AE840" s="41">
        <v>0</v>
      </c>
      <c r="AF840" s="42">
        <v>0</v>
      </c>
      <c r="AG840" s="42">
        <v>0</v>
      </c>
      <c r="AH840" s="467">
        <v>1.77</v>
      </c>
      <c r="AI840" s="467">
        <v>0</v>
      </c>
      <c r="AJ840" s="467">
        <v>0</v>
      </c>
      <c r="AK840" s="467">
        <v>0</v>
      </c>
      <c r="AL840" s="44">
        <v>1</v>
      </c>
      <c r="AM840" s="44">
        <v>0</v>
      </c>
      <c r="AN840" s="468">
        <v>0</v>
      </c>
      <c r="AO840" s="468">
        <v>0</v>
      </c>
    </row>
    <row r="841" spans="1:41" hidden="1">
      <c r="A841" s="50">
        <v>236</v>
      </c>
      <c r="B841" s="1" t="s">
        <v>248</v>
      </c>
      <c r="C841" s="50">
        <v>0</v>
      </c>
      <c r="D841" s="464" t="s">
        <v>18578</v>
      </c>
      <c r="E841" s="1" t="s">
        <v>248</v>
      </c>
      <c r="F841" s="53">
        <v>44467</v>
      </c>
      <c r="G841" s="1">
        <v>2021</v>
      </c>
      <c r="H841" s="1" t="s">
        <v>16444</v>
      </c>
      <c r="I841" s="1" t="s">
        <v>16445</v>
      </c>
      <c r="J841" s="1" t="s">
        <v>3</v>
      </c>
      <c r="K841" s="36">
        <v>108000</v>
      </c>
      <c r="L841" s="1">
        <v>1</v>
      </c>
      <c r="M841" s="37">
        <v>108000</v>
      </c>
      <c r="N841" s="1" t="s">
        <v>20155</v>
      </c>
      <c r="O841" s="1" t="s">
        <v>17854</v>
      </c>
      <c r="P841" s="876">
        <v>44492</v>
      </c>
      <c r="Q841" s="466">
        <v>54000</v>
      </c>
      <c r="R841" s="466">
        <v>0</v>
      </c>
      <c r="S841" s="466">
        <v>0</v>
      </c>
      <c r="T841" s="466">
        <v>0</v>
      </c>
      <c r="U841" s="466">
        <v>54000</v>
      </c>
      <c r="V841" s="11" t="s">
        <v>20155</v>
      </c>
      <c r="W841" s="39">
        <v>108000</v>
      </c>
      <c r="X841" s="39">
        <v>0</v>
      </c>
      <c r="Y841" s="39">
        <v>0</v>
      </c>
      <c r="Z841" s="39">
        <v>0</v>
      </c>
      <c r="AA841" s="56">
        <v>2</v>
      </c>
      <c r="AB841" s="56"/>
      <c r="AC841" s="56"/>
      <c r="AD841" s="56"/>
      <c r="AE841" s="41">
        <v>0</v>
      </c>
      <c r="AF841" s="42">
        <v>0</v>
      </c>
      <c r="AG841" s="42">
        <v>0</v>
      </c>
      <c r="AH841" s="467">
        <v>2</v>
      </c>
      <c r="AI841" s="467">
        <v>0</v>
      </c>
      <c r="AJ841" s="467">
        <v>0</v>
      </c>
      <c r="AK841" s="467">
        <v>0</v>
      </c>
      <c r="AL841" s="44">
        <v>1</v>
      </c>
      <c r="AM841" s="44">
        <v>0</v>
      </c>
      <c r="AN841" s="468">
        <v>0</v>
      </c>
      <c r="AO841" s="468">
        <v>0</v>
      </c>
    </row>
    <row r="842" spans="1:41" hidden="1">
      <c r="A842" s="50">
        <v>237</v>
      </c>
      <c r="B842" s="1" t="s">
        <v>249</v>
      </c>
      <c r="C842" s="50">
        <v>0</v>
      </c>
      <c r="D842" s="464" t="s">
        <v>18579</v>
      </c>
      <c r="E842" s="1" t="s">
        <v>249</v>
      </c>
      <c r="F842" s="53">
        <v>44474</v>
      </c>
      <c r="G842" s="1">
        <v>2021</v>
      </c>
      <c r="H842" s="1" t="s">
        <v>17017</v>
      </c>
      <c r="I842" s="1" t="s">
        <v>17018</v>
      </c>
      <c r="J842" s="1" t="s">
        <v>3</v>
      </c>
      <c r="K842" s="36">
        <v>76260</v>
      </c>
      <c r="L842" s="1">
        <v>1</v>
      </c>
      <c r="M842" s="37">
        <v>76260</v>
      </c>
      <c r="N842" s="1" t="s">
        <v>20155</v>
      </c>
      <c r="O842" s="1" t="s">
        <v>18283</v>
      </c>
      <c r="P842" s="876">
        <v>44480</v>
      </c>
      <c r="Q842" s="466">
        <v>0</v>
      </c>
      <c r="R842" s="466">
        <v>41000</v>
      </c>
      <c r="S842" s="466">
        <v>0</v>
      </c>
      <c r="T842" s="466">
        <v>0</v>
      </c>
      <c r="U842" s="466">
        <v>41000</v>
      </c>
      <c r="V842" s="11" t="e">
        <v>#N/A</v>
      </c>
      <c r="W842" s="39">
        <v>0</v>
      </c>
      <c r="X842" s="39">
        <v>76260</v>
      </c>
      <c r="Y842" s="39">
        <v>0</v>
      </c>
      <c r="Z842" s="39">
        <v>0</v>
      </c>
      <c r="AA842" s="56"/>
      <c r="AB842" s="56">
        <v>1.86</v>
      </c>
      <c r="AC842" s="56"/>
      <c r="AD842" s="56"/>
      <c r="AE842" s="41">
        <v>0</v>
      </c>
      <c r="AF842" s="42">
        <v>0</v>
      </c>
      <c r="AG842" s="42">
        <v>0</v>
      </c>
      <c r="AH842" s="467">
        <v>0</v>
      </c>
      <c r="AI842" s="467">
        <v>1.86</v>
      </c>
      <c r="AJ842" s="467">
        <v>0</v>
      </c>
      <c r="AK842" s="467">
        <v>0</v>
      </c>
      <c r="AL842" s="44">
        <v>0</v>
      </c>
      <c r="AM842" s="44">
        <v>1</v>
      </c>
      <c r="AN842" s="468">
        <v>0</v>
      </c>
      <c r="AO842" s="468">
        <v>0</v>
      </c>
    </row>
    <row r="843" spans="1:41" hidden="1">
      <c r="A843" s="50">
        <v>238</v>
      </c>
      <c r="B843" s="1" t="s">
        <v>250</v>
      </c>
      <c r="C843" s="50">
        <v>0</v>
      </c>
      <c r="D843" s="464" t="s">
        <v>18580</v>
      </c>
      <c r="E843" s="1" t="s">
        <v>250</v>
      </c>
      <c r="F843" s="53">
        <v>44474</v>
      </c>
      <c r="G843" s="1">
        <v>2021</v>
      </c>
      <c r="H843" s="1" t="s">
        <v>16972</v>
      </c>
      <c r="I843" s="1" t="s">
        <v>16973</v>
      </c>
      <c r="J843" s="1" t="s">
        <v>3</v>
      </c>
      <c r="K843" s="36">
        <v>856800</v>
      </c>
      <c r="L843" s="1">
        <v>1</v>
      </c>
      <c r="M843" s="37">
        <v>856800</v>
      </c>
      <c r="N843" s="1" t="s">
        <v>20155</v>
      </c>
      <c r="O843" s="1" t="s">
        <v>17801</v>
      </c>
      <c r="P843" s="876">
        <v>44483</v>
      </c>
      <c r="Q843" s="466">
        <v>0</v>
      </c>
      <c r="R843" s="466">
        <v>0</v>
      </c>
      <c r="S843" s="466">
        <v>560000</v>
      </c>
      <c r="T843" s="466">
        <v>0</v>
      </c>
      <c r="U843" s="466">
        <v>560000</v>
      </c>
      <c r="V843" s="11" t="s">
        <v>20155</v>
      </c>
      <c r="W843" s="39">
        <v>0</v>
      </c>
      <c r="X843" s="39">
        <v>0</v>
      </c>
      <c r="Y843" s="39">
        <v>856800</v>
      </c>
      <c r="Z843" s="39">
        <v>0</v>
      </c>
      <c r="AA843" s="56"/>
      <c r="AB843" s="56"/>
      <c r="AC843" s="56">
        <v>1.53</v>
      </c>
      <c r="AD843" s="56"/>
      <c r="AE843" s="41">
        <v>0</v>
      </c>
      <c r="AF843" s="42">
        <v>0</v>
      </c>
      <c r="AG843" s="42">
        <v>0</v>
      </c>
      <c r="AH843" s="467">
        <v>0</v>
      </c>
      <c r="AI843" s="467">
        <v>0</v>
      </c>
      <c r="AJ843" s="467">
        <v>1.53</v>
      </c>
      <c r="AK843" s="467">
        <v>0</v>
      </c>
      <c r="AL843" s="44">
        <v>0</v>
      </c>
      <c r="AM843" s="44">
        <v>0</v>
      </c>
      <c r="AN843" s="468" t="s">
        <v>20300</v>
      </c>
      <c r="AO843" s="468">
        <v>0</v>
      </c>
    </row>
    <row r="844" spans="1:41" hidden="1">
      <c r="A844" s="50">
        <v>239</v>
      </c>
      <c r="B844" s="1" t="s">
        <v>251</v>
      </c>
      <c r="C844" s="50">
        <v>0</v>
      </c>
      <c r="D844" s="464" t="s">
        <v>18581</v>
      </c>
      <c r="E844" s="1" t="s">
        <v>251</v>
      </c>
      <c r="F844" s="53">
        <v>44474</v>
      </c>
      <c r="G844" s="1">
        <v>2021</v>
      </c>
      <c r="H844" s="1" t="s">
        <v>16444</v>
      </c>
      <c r="I844" s="1" t="s">
        <v>16445</v>
      </c>
      <c r="J844" s="1" t="s">
        <v>3</v>
      </c>
      <c r="K844" s="36">
        <v>38664</v>
      </c>
      <c r="L844" s="1">
        <v>1</v>
      </c>
      <c r="M844" s="37">
        <v>38664</v>
      </c>
      <c r="N844" s="1" t="s">
        <v>20155</v>
      </c>
      <c r="O844" s="1" t="s">
        <v>17693</v>
      </c>
      <c r="P844" s="876">
        <v>44480</v>
      </c>
      <c r="Q844" s="466">
        <v>21600</v>
      </c>
      <c r="R844" s="466">
        <v>0</v>
      </c>
      <c r="S844" s="466">
        <v>0</v>
      </c>
      <c r="T844" s="466">
        <v>0</v>
      </c>
      <c r="U844" s="466">
        <v>21600</v>
      </c>
      <c r="V844" s="11" t="s">
        <v>20155</v>
      </c>
      <c r="W844" s="39">
        <v>38664</v>
      </c>
      <c r="X844" s="39">
        <v>0</v>
      </c>
      <c r="Y844" s="39">
        <v>0</v>
      </c>
      <c r="Z844" s="39">
        <v>0</v>
      </c>
      <c r="AA844" s="56">
        <v>1.79</v>
      </c>
      <c r="AB844" s="56"/>
      <c r="AC844" s="56"/>
      <c r="AD844" s="56"/>
      <c r="AE844" s="41">
        <v>0</v>
      </c>
      <c r="AF844" s="42">
        <v>0</v>
      </c>
      <c r="AG844" s="42">
        <v>0</v>
      </c>
      <c r="AH844" s="467">
        <v>1.79</v>
      </c>
      <c r="AI844" s="467">
        <v>0</v>
      </c>
      <c r="AJ844" s="467">
        <v>0</v>
      </c>
      <c r="AK844" s="467">
        <v>0</v>
      </c>
      <c r="AL844" s="44">
        <v>1</v>
      </c>
      <c r="AM844" s="44">
        <v>0</v>
      </c>
      <c r="AN844" s="468">
        <v>0</v>
      </c>
      <c r="AO844" s="468">
        <v>0</v>
      </c>
    </row>
    <row r="845" spans="1:41" hidden="1">
      <c r="A845" s="50">
        <v>240</v>
      </c>
      <c r="B845" s="1" t="s">
        <v>252</v>
      </c>
      <c r="C845" s="50">
        <v>0</v>
      </c>
      <c r="D845" s="464" t="s">
        <v>18582</v>
      </c>
      <c r="E845" s="1" t="s">
        <v>252</v>
      </c>
      <c r="F845" s="53">
        <v>44475</v>
      </c>
      <c r="G845" s="1">
        <v>2021</v>
      </c>
      <c r="H845" s="1" t="s">
        <v>16957</v>
      </c>
      <c r="I845" s="1" t="s">
        <v>16958</v>
      </c>
      <c r="J845" s="1" t="s">
        <v>16401</v>
      </c>
      <c r="K845" s="36">
        <v>110975.2</v>
      </c>
      <c r="L845" s="1">
        <v>2.831</v>
      </c>
      <c r="M845" s="37">
        <v>39200</v>
      </c>
      <c r="N845" s="1" t="s">
        <v>20155</v>
      </c>
      <c r="O845" s="1" t="s">
        <v>20161</v>
      </c>
      <c r="P845" s="876">
        <v>44489</v>
      </c>
      <c r="Q845" s="466">
        <v>40000</v>
      </c>
      <c r="R845" s="466">
        <v>0</v>
      </c>
      <c r="S845" s="466">
        <v>0</v>
      </c>
      <c r="T845" s="466">
        <v>0</v>
      </c>
      <c r="U845" s="466">
        <v>40000</v>
      </c>
      <c r="V845" s="11" t="e">
        <v>#N/A</v>
      </c>
      <c r="W845" s="39">
        <v>110975.2</v>
      </c>
      <c r="X845" s="39">
        <v>0</v>
      </c>
      <c r="Y845" s="39">
        <v>0</v>
      </c>
      <c r="Z845" s="39">
        <v>0</v>
      </c>
      <c r="AA845" s="56">
        <v>2.7743799999999998</v>
      </c>
      <c r="AB845" s="56"/>
      <c r="AC845" s="56"/>
      <c r="AD845" s="56"/>
      <c r="AE845" s="41">
        <v>2094.5250000000001</v>
      </c>
      <c r="AF845" s="42">
        <v>10715.82</v>
      </c>
      <c r="AG845" s="42">
        <v>0.26789550000000001</v>
      </c>
      <c r="AH845" s="467">
        <v>2.5064845</v>
      </c>
      <c r="AI845" s="467">
        <v>0</v>
      </c>
      <c r="AJ845" s="467">
        <v>0</v>
      </c>
      <c r="AK845" s="467">
        <v>0</v>
      </c>
      <c r="AL845" s="44">
        <v>1</v>
      </c>
      <c r="AM845" s="44">
        <v>0</v>
      </c>
      <c r="AN845" s="468">
        <v>0</v>
      </c>
      <c r="AO845" s="468">
        <v>0</v>
      </c>
    </row>
    <row r="846" spans="1:41" hidden="1">
      <c r="A846" s="50">
        <v>241</v>
      </c>
      <c r="B846" s="1" t="s">
        <v>253</v>
      </c>
      <c r="C846" s="50">
        <v>0</v>
      </c>
      <c r="D846" s="464" t="s">
        <v>18583</v>
      </c>
      <c r="E846" s="1" t="s">
        <v>253</v>
      </c>
      <c r="F846" s="53">
        <v>44476</v>
      </c>
      <c r="G846" s="1">
        <v>2021</v>
      </c>
      <c r="H846" s="1" t="s">
        <v>16444</v>
      </c>
      <c r="I846" s="1" t="s">
        <v>16445</v>
      </c>
      <c r="J846" s="1" t="s">
        <v>3</v>
      </c>
      <c r="K846" s="36">
        <v>34944</v>
      </c>
      <c r="L846" s="1">
        <v>1</v>
      </c>
      <c r="M846" s="37">
        <v>34944</v>
      </c>
      <c r="N846" s="1" t="s">
        <v>20155</v>
      </c>
      <c r="O846" s="1" t="s">
        <v>18248</v>
      </c>
      <c r="P846" s="876">
        <v>44482</v>
      </c>
      <c r="Q846" s="466">
        <v>19200</v>
      </c>
      <c r="R846" s="466">
        <v>0</v>
      </c>
      <c r="S846" s="466">
        <v>0</v>
      </c>
      <c r="T846" s="466">
        <v>0</v>
      </c>
      <c r="U846" s="466">
        <v>19200</v>
      </c>
      <c r="V846" s="11" t="e">
        <v>#N/A</v>
      </c>
      <c r="W846" s="39">
        <v>34944</v>
      </c>
      <c r="X846" s="39">
        <v>0</v>
      </c>
      <c r="Y846" s="39">
        <v>0</v>
      </c>
      <c r="Z846" s="39">
        <v>0</v>
      </c>
      <c r="AA846" s="56">
        <v>1.82</v>
      </c>
      <c r="AB846" s="56"/>
      <c r="AC846" s="56"/>
      <c r="AD846" s="56"/>
      <c r="AE846" s="41">
        <v>0</v>
      </c>
      <c r="AF846" s="42">
        <v>0</v>
      </c>
      <c r="AG846" s="42">
        <v>0</v>
      </c>
      <c r="AH846" s="467">
        <v>1.82</v>
      </c>
      <c r="AI846" s="467">
        <v>0</v>
      </c>
      <c r="AJ846" s="467">
        <v>0</v>
      </c>
      <c r="AK846" s="467">
        <v>0</v>
      </c>
      <c r="AL846" s="44">
        <v>1</v>
      </c>
      <c r="AM846" s="44">
        <v>0</v>
      </c>
      <c r="AN846" s="468">
        <v>0</v>
      </c>
      <c r="AO846" s="468">
        <v>0</v>
      </c>
    </row>
    <row r="847" spans="1:41" hidden="1">
      <c r="A847" s="50">
        <v>242</v>
      </c>
      <c r="B847" s="1" t="s">
        <v>254</v>
      </c>
      <c r="C847" s="50">
        <v>0</v>
      </c>
      <c r="D847" s="464" t="s">
        <v>18584</v>
      </c>
      <c r="E847" s="1" t="s">
        <v>254</v>
      </c>
      <c r="F847" s="53">
        <v>44481</v>
      </c>
      <c r="G847" s="1">
        <v>2021</v>
      </c>
      <c r="H847" s="1" t="s">
        <v>16904</v>
      </c>
      <c r="I847" s="1" t="s">
        <v>16905</v>
      </c>
      <c r="J847" s="1" t="s">
        <v>16482</v>
      </c>
      <c r="K847" s="36">
        <v>95178.487347999995</v>
      </c>
      <c r="L847" s="1">
        <v>3.2806999999999999</v>
      </c>
      <c r="M847" s="37">
        <v>29011.64</v>
      </c>
      <c r="N847" s="1" t="s">
        <v>20155</v>
      </c>
      <c r="O847" s="1" t="s">
        <v>20160</v>
      </c>
      <c r="P847" s="876">
        <v>44490</v>
      </c>
      <c r="Q847" s="466">
        <v>0</v>
      </c>
      <c r="R847" s="466">
        <v>21756</v>
      </c>
      <c r="S847" s="466">
        <v>5580</v>
      </c>
      <c r="T847" s="466">
        <v>0</v>
      </c>
      <c r="U847" s="466">
        <v>27336</v>
      </c>
      <c r="V847" s="11" t="e">
        <v>#N/A</v>
      </c>
      <c r="W847" s="39">
        <v>0</v>
      </c>
      <c r="X847" s="39">
        <v>75839.339795058826</v>
      </c>
      <c r="Y847" s="39">
        <v>19339.147552941176</v>
      </c>
      <c r="Z847" s="39">
        <v>0</v>
      </c>
      <c r="AA847" s="56"/>
      <c r="AB847" s="56">
        <v>3.485904568627451</v>
      </c>
      <c r="AC847" s="56">
        <v>3.4657970524984187</v>
      </c>
      <c r="AD847" s="56"/>
      <c r="AE847" s="41">
        <v>4252.6080000000002</v>
      </c>
      <c r="AF847" s="42">
        <v>12224.985000000001</v>
      </c>
      <c r="AG847" s="42">
        <v>0.44721191834942936</v>
      </c>
      <c r="AH847" s="467">
        <v>0</v>
      </c>
      <c r="AI847" s="467">
        <v>3.0386926502780218</v>
      </c>
      <c r="AJ847" s="467">
        <v>3.0185851341489895</v>
      </c>
      <c r="AK847" s="467">
        <v>0</v>
      </c>
      <c r="AL847" s="44">
        <v>0</v>
      </c>
      <c r="AM847" s="44">
        <v>1</v>
      </c>
      <c r="AN847" s="468">
        <v>1</v>
      </c>
      <c r="AO847" s="468">
        <v>0</v>
      </c>
    </row>
    <row r="848" spans="1:41" hidden="1">
      <c r="A848" s="50">
        <v>243</v>
      </c>
      <c r="B848" s="1" t="s">
        <v>255</v>
      </c>
      <c r="C848" s="50">
        <v>0</v>
      </c>
      <c r="D848" s="464" t="s">
        <v>18585</v>
      </c>
      <c r="E848" s="1" t="s">
        <v>255</v>
      </c>
      <c r="F848" s="53">
        <v>44481</v>
      </c>
      <c r="G848" s="1">
        <v>2021</v>
      </c>
      <c r="H848" s="1" t="s">
        <v>17278</v>
      </c>
      <c r="I848" s="1" t="s">
        <v>17279</v>
      </c>
      <c r="J848" s="1" t="s">
        <v>16482</v>
      </c>
      <c r="K848" s="36">
        <v>223321.18583999999</v>
      </c>
      <c r="L848" s="1">
        <v>3.2806999999999999</v>
      </c>
      <c r="M848" s="37">
        <v>68071.199999999997</v>
      </c>
      <c r="N848" s="1" t="s">
        <v>20155</v>
      </c>
      <c r="O848" s="1" t="s">
        <v>20173</v>
      </c>
      <c r="P848" s="876">
        <v>44491</v>
      </c>
      <c r="Q848" s="466">
        <v>0</v>
      </c>
      <c r="R848" s="466">
        <v>120480</v>
      </c>
      <c r="S848" s="466">
        <v>0</v>
      </c>
      <c r="T848" s="466">
        <v>0</v>
      </c>
      <c r="U848" s="466">
        <v>120480</v>
      </c>
      <c r="V848" s="11" t="e">
        <v>#N/A</v>
      </c>
      <c r="W848" s="39">
        <v>0</v>
      </c>
      <c r="X848" s="39">
        <v>223321.18583999999</v>
      </c>
      <c r="Y848" s="39">
        <v>0</v>
      </c>
      <c r="Z848" s="39">
        <v>0</v>
      </c>
      <c r="AA848" s="56"/>
      <c r="AB848" s="56">
        <v>1.8535955</v>
      </c>
      <c r="AC848" s="56"/>
      <c r="AD848" s="56"/>
      <c r="AE848" s="41">
        <v>19843.25</v>
      </c>
      <c r="AF848" s="42">
        <v>55822.525000000001</v>
      </c>
      <c r="AG848" s="42">
        <v>0.46333437084993362</v>
      </c>
      <c r="AH848" s="467">
        <v>0</v>
      </c>
      <c r="AI848" s="467">
        <v>1.3902611291500664</v>
      </c>
      <c r="AJ848" s="467">
        <v>0</v>
      </c>
      <c r="AK848" s="467">
        <v>0</v>
      </c>
      <c r="AL848" s="44">
        <v>0</v>
      </c>
      <c r="AM848" s="44" t="s">
        <v>20320</v>
      </c>
      <c r="AN848" s="468">
        <v>0</v>
      </c>
      <c r="AO848" s="468">
        <v>0</v>
      </c>
    </row>
    <row r="849" spans="1:41" hidden="1">
      <c r="A849" s="50">
        <v>244</v>
      </c>
      <c r="B849" s="1" t="s">
        <v>256</v>
      </c>
      <c r="C849" s="50">
        <v>0</v>
      </c>
      <c r="D849" s="464" t="s">
        <v>18586</v>
      </c>
      <c r="E849" s="1" t="s">
        <v>256</v>
      </c>
      <c r="F849" s="53">
        <v>44482</v>
      </c>
      <c r="G849" s="1">
        <v>2021</v>
      </c>
      <c r="H849" s="1" t="s">
        <v>16560</v>
      </c>
      <c r="I849" s="1" t="s">
        <v>16561</v>
      </c>
      <c r="J849" s="1" t="s">
        <v>16482</v>
      </c>
      <c r="K849" s="36">
        <v>175415.73624</v>
      </c>
      <c r="L849" s="1">
        <v>3.2854999999999999</v>
      </c>
      <c r="M849" s="37">
        <v>53390.879999999997</v>
      </c>
      <c r="N849" s="1" t="s">
        <v>20155</v>
      </c>
      <c r="O849" s="1" t="s">
        <v>17801</v>
      </c>
      <c r="P849" s="876">
        <v>44496</v>
      </c>
      <c r="Q849" s="466">
        <v>0</v>
      </c>
      <c r="R849" s="466">
        <v>0</v>
      </c>
      <c r="S849" s="466">
        <v>108000</v>
      </c>
      <c r="T849" s="466">
        <v>0</v>
      </c>
      <c r="U849" s="466">
        <v>108000</v>
      </c>
      <c r="V849" s="11" t="e">
        <v>#N/A</v>
      </c>
      <c r="W849" s="39">
        <v>0</v>
      </c>
      <c r="X849" s="39">
        <v>0</v>
      </c>
      <c r="Y849" s="39">
        <v>175410.41373</v>
      </c>
      <c r="Z849" s="39">
        <v>0</v>
      </c>
      <c r="AA849" s="56"/>
      <c r="AB849" s="56"/>
      <c r="AC849" s="56">
        <v>1.6241704975</v>
      </c>
      <c r="AD849" s="56"/>
      <c r="AE849" s="41">
        <v>12623.424000000001</v>
      </c>
      <c r="AF849" s="42">
        <v>36801.96</v>
      </c>
      <c r="AG849" s="42">
        <v>0.34075888888888889</v>
      </c>
      <c r="AH849" s="467">
        <v>0</v>
      </c>
      <c r="AI849" s="467">
        <v>0</v>
      </c>
      <c r="AJ849" s="467">
        <v>1.2834116086111111</v>
      </c>
      <c r="AK849" s="467"/>
      <c r="AL849" s="44">
        <v>0</v>
      </c>
      <c r="AM849" s="44">
        <v>0</v>
      </c>
      <c r="AN849" s="468" t="s">
        <v>20300</v>
      </c>
      <c r="AO849" s="468">
        <v>0</v>
      </c>
    </row>
    <row r="850" spans="1:41" hidden="1">
      <c r="A850" s="50">
        <v>245</v>
      </c>
      <c r="B850" s="1" t="s">
        <v>257</v>
      </c>
      <c r="C850" s="50">
        <v>0</v>
      </c>
      <c r="D850" s="464" t="s">
        <v>18587</v>
      </c>
      <c r="E850" s="1" t="s">
        <v>257</v>
      </c>
      <c r="F850" s="53">
        <v>44482</v>
      </c>
      <c r="G850" s="1">
        <v>2021</v>
      </c>
      <c r="H850" s="1" t="s">
        <v>16560</v>
      </c>
      <c r="I850" s="1" t="s">
        <v>16561</v>
      </c>
      <c r="J850" s="1" t="s">
        <v>16482</v>
      </c>
      <c r="K850" s="36">
        <v>175415.73624</v>
      </c>
      <c r="L850" s="1">
        <v>3.2854999999999999</v>
      </c>
      <c r="M850" s="37">
        <v>53390.879999999997</v>
      </c>
      <c r="N850" s="1" t="s">
        <v>20155</v>
      </c>
      <c r="O850" s="1" t="s">
        <v>17801</v>
      </c>
      <c r="P850" s="876">
        <v>44497</v>
      </c>
      <c r="Q850" s="466">
        <v>0</v>
      </c>
      <c r="R850" s="466">
        <v>0</v>
      </c>
      <c r="S850" s="466">
        <v>108000</v>
      </c>
      <c r="T850" s="466">
        <v>0</v>
      </c>
      <c r="U850" s="466">
        <v>108000</v>
      </c>
      <c r="V850" s="11" t="e">
        <v>#N/A</v>
      </c>
      <c r="W850" s="39">
        <v>0</v>
      </c>
      <c r="X850" s="39">
        <v>0</v>
      </c>
      <c r="Y850" s="39">
        <v>175410.41373</v>
      </c>
      <c r="Z850" s="39">
        <v>0</v>
      </c>
      <c r="AA850" s="56"/>
      <c r="AB850" s="56"/>
      <c r="AC850" s="56">
        <v>1.6241704975</v>
      </c>
      <c r="AD850" s="56"/>
      <c r="AE850" s="41">
        <v>12623.424000000001</v>
      </c>
      <c r="AF850" s="42">
        <v>36801.96</v>
      </c>
      <c r="AG850" s="42">
        <v>0.34075888888888889</v>
      </c>
      <c r="AH850" s="467">
        <v>0</v>
      </c>
      <c r="AI850" s="467">
        <v>0</v>
      </c>
      <c r="AJ850" s="467">
        <v>1.2834116086111111</v>
      </c>
      <c r="AK850" s="467"/>
      <c r="AL850" s="44">
        <v>0</v>
      </c>
      <c r="AM850" s="44">
        <v>0</v>
      </c>
      <c r="AN850" s="468" t="s">
        <v>20300</v>
      </c>
      <c r="AO850" s="468">
        <v>0</v>
      </c>
    </row>
    <row r="851" spans="1:41" hidden="1">
      <c r="A851" s="50">
        <v>246</v>
      </c>
      <c r="B851" s="1" t="s">
        <v>258</v>
      </c>
      <c r="C851" s="50">
        <v>0</v>
      </c>
      <c r="D851" s="464" t="s">
        <v>18588</v>
      </c>
      <c r="E851" s="1" t="s">
        <v>258</v>
      </c>
      <c r="F851" s="53">
        <v>44482</v>
      </c>
      <c r="G851" s="1">
        <v>2021</v>
      </c>
      <c r="H851" s="1" t="s">
        <v>16560</v>
      </c>
      <c r="I851" s="1" t="s">
        <v>16561</v>
      </c>
      <c r="J851" s="1" t="s">
        <v>16482</v>
      </c>
      <c r="K851" s="36">
        <v>175415.73624</v>
      </c>
      <c r="L851" s="1">
        <v>3.2854999999999999</v>
      </c>
      <c r="M851" s="37">
        <v>53390.879999999997</v>
      </c>
      <c r="N851" s="1" t="s">
        <v>20155</v>
      </c>
      <c r="O851" s="1" t="s">
        <v>17801</v>
      </c>
      <c r="P851" s="876">
        <v>44498</v>
      </c>
      <c r="Q851" s="466">
        <v>0</v>
      </c>
      <c r="R851" s="466">
        <v>0</v>
      </c>
      <c r="S851" s="466">
        <v>108000</v>
      </c>
      <c r="T851" s="466">
        <v>0</v>
      </c>
      <c r="U851" s="466">
        <v>108000</v>
      </c>
      <c r="V851" s="11" t="e">
        <v>#N/A</v>
      </c>
      <c r="W851" s="39">
        <v>0</v>
      </c>
      <c r="X851" s="39">
        <v>0</v>
      </c>
      <c r="Y851" s="39">
        <v>175410.41373</v>
      </c>
      <c r="Z851" s="39">
        <v>0</v>
      </c>
      <c r="AA851" s="56"/>
      <c r="AB851" s="56"/>
      <c r="AC851" s="56">
        <v>1.6241704975</v>
      </c>
      <c r="AD851" s="56"/>
      <c r="AE851" s="41">
        <v>12623.424000000001</v>
      </c>
      <c r="AF851" s="42">
        <v>36801.96</v>
      </c>
      <c r="AG851" s="42">
        <v>0.34075888888888889</v>
      </c>
      <c r="AH851" s="467">
        <v>0</v>
      </c>
      <c r="AI851" s="467">
        <v>0</v>
      </c>
      <c r="AJ851" s="467">
        <v>1.2834116086111111</v>
      </c>
      <c r="AK851" s="467"/>
      <c r="AL851" s="44">
        <v>0</v>
      </c>
      <c r="AM851" s="44">
        <v>0</v>
      </c>
      <c r="AN851" s="468" t="s">
        <v>20300</v>
      </c>
      <c r="AO851" s="468">
        <v>0</v>
      </c>
    </row>
    <row r="852" spans="1:41" hidden="1">
      <c r="A852" s="50">
        <v>247</v>
      </c>
      <c r="B852" s="1" t="s">
        <v>259</v>
      </c>
      <c r="C852" s="50">
        <v>0</v>
      </c>
      <c r="D852" s="464" t="s">
        <v>18589</v>
      </c>
      <c r="E852" s="1" t="s">
        <v>259</v>
      </c>
      <c r="F852" s="53">
        <v>44482</v>
      </c>
      <c r="G852" s="1">
        <v>2021</v>
      </c>
      <c r="H852" s="1" t="s">
        <v>16560</v>
      </c>
      <c r="I852" s="1" t="s">
        <v>16561</v>
      </c>
      <c r="J852" s="1" t="s">
        <v>16482</v>
      </c>
      <c r="K852" s="36">
        <v>175415.73624</v>
      </c>
      <c r="L852" s="1">
        <v>3.2854999999999999</v>
      </c>
      <c r="M852" s="37">
        <v>53390.879999999997</v>
      </c>
      <c r="N852" s="1" t="s">
        <v>20155</v>
      </c>
      <c r="O852" s="1" t="s">
        <v>17801</v>
      </c>
      <c r="P852" s="876">
        <v>44499</v>
      </c>
      <c r="Q852" s="466">
        <v>0</v>
      </c>
      <c r="R852" s="466">
        <v>0</v>
      </c>
      <c r="S852" s="466">
        <v>108000</v>
      </c>
      <c r="T852" s="466">
        <v>0</v>
      </c>
      <c r="U852" s="466">
        <v>108000</v>
      </c>
      <c r="V852" s="11" t="e">
        <v>#N/A</v>
      </c>
      <c r="W852" s="39">
        <v>0</v>
      </c>
      <c r="X852" s="39">
        <v>0</v>
      </c>
      <c r="Y852" s="39">
        <v>175410.41373000003</v>
      </c>
      <c r="Z852" s="39">
        <v>0</v>
      </c>
      <c r="AA852" s="56"/>
      <c r="AB852" s="56"/>
      <c r="AC852" s="56">
        <v>1.6241704975000002</v>
      </c>
      <c r="AD852" s="56"/>
      <c r="AE852" s="41">
        <v>12623.424000000001</v>
      </c>
      <c r="AF852" s="42">
        <v>36801.96</v>
      </c>
      <c r="AG852" s="42">
        <v>0.34075888888888889</v>
      </c>
      <c r="AH852" s="467">
        <v>0</v>
      </c>
      <c r="AI852" s="467">
        <v>0</v>
      </c>
      <c r="AJ852" s="467">
        <v>1.2834116086111114</v>
      </c>
      <c r="AK852" s="467"/>
      <c r="AL852" s="44">
        <v>0</v>
      </c>
      <c r="AM852" s="44">
        <v>0</v>
      </c>
      <c r="AN852" s="468" t="s">
        <v>20300</v>
      </c>
      <c r="AO852" s="468">
        <v>0</v>
      </c>
    </row>
    <row r="853" spans="1:41" hidden="1">
      <c r="A853" s="50">
        <v>248</v>
      </c>
      <c r="B853" s="1" t="s">
        <v>260</v>
      </c>
      <c r="C853" s="50">
        <v>0</v>
      </c>
      <c r="D853" s="464" t="s">
        <v>18590</v>
      </c>
      <c r="E853" s="1" t="s">
        <v>260</v>
      </c>
      <c r="F853" s="53">
        <v>44488</v>
      </c>
      <c r="G853" s="1">
        <v>2021</v>
      </c>
      <c r="H853" s="1" t="s">
        <v>16779</v>
      </c>
      <c r="I853" s="1" t="s">
        <v>16780</v>
      </c>
      <c r="J853" s="1" t="s">
        <v>16482</v>
      </c>
      <c r="K853" s="36">
        <v>48570.614827999998</v>
      </c>
      <c r="L853" s="1">
        <v>3.2803</v>
      </c>
      <c r="M853" s="37">
        <v>14806.76</v>
      </c>
      <c r="N853" s="1" t="s">
        <v>20155</v>
      </c>
      <c r="O853" s="1" t="s">
        <v>16394</v>
      </c>
      <c r="P853" s="876">
        <v>44501</v>
      </c>
      <c r="Q853" s="466">
        <v>300</v>
      </c>
      <c r="R853" s="466">
        <v>16896</v>
      </c>
      <c r="S853" s="466">
        <v>6360</v>
      </c>
      <c r="T853" s="466">
        <v>1160</v>
      </c>
      <c r="U853" s="466">
        <v>24716</v>
      </c>
      <c r="V853" s="11" t="e">
        <v>#N/A</v>
      </c>
      <c r="W853" s="39">
        <v>602.26307999999995</v>
      </c>
      <c r="X853" s="39">
        <v>34200.276587999993</v>
      </c>
      <c r="Y853" s="39">
        <v>12204.684179999998</v>
      </c>
      <c r="Z853" s="39">
        <v>1563.3909799999999</v>
      </c>
      <c r="AA853" s="56">
        <v>2.0075436</v>
      </c>
      <c r="AB853" s="56">
        <v>2.0241640973011359</v>
      </c>
      <c r="AC853" s="56">
        <v>1.9189754999999997</v>
      </c>
      <c r="AD853" s="56">
        <v>1.3477508448275861</v>
      </c>
      <c r="AE853" s="41">
        <v>0</v>
      </c>
      <c r="AF853" s="42">
        <v>0</v>
      </c>
      <c r="AG853" s="42">
        <v>0</v>
      </c>
      <c r="AH853" s="467">
        <v>2.0075436</v>
      </c>
      <c r="AI853" s="467">
        <v>2.0241640973011359</v>
      </c>
      <c r="AJ853" s="467">
        <v>1.9189754999999997</v>
      </c>
      <c r="AK853" s="467">
        <v>1.3477508448275861</v>
      </c>
      <c r="AL853" s="44">
        <v>1</v>
      </c>
      <c r="AM853" s="44">
        <v>0</v>
      </c>
      <c r="AN853" s="468">
        <v>1</v>
      </c>
      <c r="AO853" s="468">
        <v>1</v>
      </c>
    </row>
    <row r="854" spans="1:41" hidden="1">
      <c r="A854" s="50">
        <v>249</v>
      </c>
      <c r="B854" s="1" t="s">
        <v>261</v>
      </c>
      <c r="C854" s="50">
        <v>0</v>
      </c>
      <c r="D854" s="464" t="s">
        <v>18591</v>
      </c>
      <c r="E854" s="1" t="s">
        <v>261</v>
      </c>
      <c r="F854" s="53">
        <v>44488</v>
      </c>
      <c r="G854" s="1">
        <v>2021</v>
      </c>
      <c r="H854" s="1" t="s">
        <v>16957</v>
      </c>
      <c r="I854" s="1" t="s">
        <v>16958</v>
      </c>
      <c r="J854" s="1" t="s">
        <v>16401</v>
      </c>
      <c r="K854" s="36">
        <v>165695.46000000002</v>
      </c>
      <c r="L854" s="1">
        <v>2.8179500000000002</v>
      </c>
      <c r="M854" s="37">
        <v>58800</v>
      </c>
      <c r="N854" s="1" t="s">
        <v>20155</v>
      </c>
      <c r="O854" s="1" t="s">
        <v>20161</v>
      </c>
      <c r="P854" s="876">
        <v>44498</v>
      </c>
      <c r="Q854" s="466">
        <v>60000</v>
      </c>
      <c r="R854" s="466">
        <v>0</v>
      </c>
      <c r="S854" s="466">
        <v>0</v>
      </c>
      <c r="T854" s="466">
        <v>0</v>
      </c>
      <c r="U854" s="466">
        <v>60000</v>
      </c>
      <c r="V854" s="11" t="e">
        <v>#N/A</v>
      </c>
      <c r="W854" s="39">
        <v>165695.46</v>
      </c>
      <c r="X854" s="39">
        <v>0</v>
      </c>
      <c r="Y854" s="39">
        <v>0</v>
      </c>
      <c r="Z854" s="39">
        <v>0</v>
      </c>
      <c r="AA854" s="56">
        <v>2.7615909999999997</v>
      </c>
      <c r="AB854" s="56"/>
      <c r="AC854" s="56"/>
      <c r="AD854" s="56"/>
      <c r="AE854" s="41">
        <v>3132</v>
      </c>
      <c r="AF854" s="42">
        <v>16032.17</v>
      </c>
      <c r="AG854" s="42">
        <v>0.26720283333333333</v>
      </c>
      <c r="AH854" s="467">
        <v>2.4943881666666665</v>
      </c>
      <c r="AI854" s="467">
        <v>0</v>
      </c>
      <c r="AJ854" s="467">
        <v>0</v>
      </c>
      <c r="AK854" s="467">
        <v>0</v>
      </c>
      <c r="AL854" s="44">
        <v>1</v>
      </c>
      <c r="AM854" s="44">
        <v>0</v>
      </c>
      <c r="AN854" s="468">
        <v>0</v>
      </c>
      <c r="AO854" s="468">
        <v>0</v>
      </c>
    </row>
    <row r="855" spans="1:41" hidden="1">
      <c r="A855" s="50">
        <v>250</v>
      </c>
      <c r="B855" s="1" t="s">
        <v>262</v>
      </c>
      <c r="C855" s="50">
        <v>0</v>
      </c>
      <c r="D855" s="464" t="s">
        <v>18592</v>
      </c>
      <c r="E855" s="1" t="s">
        <v>262</v>
      </c>
      <c r="F855" s="53">
        <v>44488</v>
      </c>
      <c r="G855" s="1">
        <v>2021</v>
      </c>
      <c r="H855" s="1" t="s">
        <v>16470</v>
      </c>
      <c r="I855" s="1" t="s">
        <v>16471</v>
      </c>
      <c r="J855" s="1" t="s">
        <v>16401</v>
      </c>
      <c r="K855" s="36">
        <v>311998.23125800001</v>
      </c>
      <c r="L855" s="1">
        <v>2.8553000000000002</v>
      </c>
      <c r="M855" s="37">
        <v>109269.86</v>
      </c>
      <c r="N855" s="1" t="s">
        <v>20155</v>
      </c>
      <c r="O855" s="1" t="s">
        <v>20159</v>
      </c>
      <c r="P855" s="876">
        <v>44517</v>
      </c>
      <c r="Q855" s="466">
        <v>14400</v>
      </c>
      <c r="R855" s="466">
        <v>144396</v>
      </c>
      <c r="S855" s="466">
        <v>0</v>
      </c>
      <c r="T855" s="466">
        <v>0</v>
      </c>
      <c r="U855" s="466">
        <v>158796</v>
      </c>
      <c r="V855" s="11" t="e">
        <v>#N/A</v>
      </c>
      <c r="W855" s="39">
        <v>31119.211070188165</v>
      </c>
      <c r="X855" s="39">
        <v>280879.02018781181</v>
      </c>
      <c r="Y855" s="39">
        <v>0</v>
      </c>
      <c r="Z855" s="39">
        <v>0</v>
      </c>
      <c r="AA855" s="56">
        <v>2.1610563243186225</v>
      </c>
      <c r="AB855" s="56">
        <v>1.945199452809024</v>
      </c>
      <c r="AC855" s="56"/>
      <c r="AD855" s="56"/>
      <c r="AE855" s="41">
        <v>24370.848000000002</v>
      </c>
      <c r="AF855" s="42">
        <v>67904</v>
      </c>
      <c r="AG855" s="42">
        <v>0.4276178241265523</v>
      </c>
      <c r="AH855" s="467">
        <v>1.7334385001920702</v>
      </c>
      <c r="AI855" s="467">
        <v>1.5175816286824717</v>
      </c>
      <c r="AJ855" s="467"/>
      <c r="AK855" s="467"/>
      <c r="AL855" s="44">
        <v>1</v>
      </c>
      <c r="AM855" s="44" t="s">
        <v>20320</v>
      </c>
      <c r="AN855" s="468">
        <v>0</v>
      </c>
      <c r="AO855" s="468">
        <v>0</v>
      </c>
    </row>
    <row r="856" spans="1:41" hidden="1">
      <c r="A856" s="50">
        <v>251</v>
      </c>
      <c r="B856" s="1" t="s">
        <v>263</v>
      </c>
      <c r="C856" s="50">
        <v>0</v>
      </c>
      <c r="D856" s="464" t="s">
        <v>18593</v>
      </c>
      <c r="E856" s="1" t="s">
        <v>263</v>
      </c>
      <c r="F856" s="53">
        <v>44488</v>
      </c>
      <c r="G856" s="1">
        <v>2021</v>
      </c>
      <c r="H856" s="1" t="s">
        <v>16838</v>
      </c>
      <c r="I856" s="1" t="s">
        <v>16839</v>
      </c>
      <c r="J856" s="1" t="s">
        <v>3</v>
      </c>
      <c r="K856" s="36">
        <v>102337.2</v>
      </c>
      <c r="L856" s="1">
        <v>1</v>
      </c>
      <c r="M856" s="37">
        <v>102337.2</v>
      </c>
      <c r="N856" s="1" t="s">
        <v>20155</v>
      </c>
      <c r="O856" s="1" t="s">
        <v>20321</v>
      </c>
      <c r="P856" s="876">
        <v>44497</v>
      </c>
      <c r="Q856" s="466">
        <v>0</v>
      </c>
      <c r="R856" s="466">
        <v>66024</v>
      </c>
      <c r="S856" s="466">
        <v>0</v>
      </c>
      <c r="T856" s="466">
        <v>0</v>
      </c>
      <c r="U856" s="466">
        <v>66024</v>
      </c>
      <c r="V856" s="11" t="s">
        <v>20155</v>
      </c>
      <c r="W856" s="39">
        <v>0</v>
      </c>
      <c r="X856" s="39">
        <v>102337.2</v>
      </c>
      <c r="Y856" s="39">
        <v>0</v>
      </c>
      <c r="Z856" s="39">
        <v>0</v>
      </c>
      <c r="AA856" s="56"/>
      <c r="AB856" s="56">
        <v>1.55</v>
      </c>
      <c r="AC856" s="56"/>
      <c r="AD856" s="56"/>
      <c r="AE856" s="41">
        <v>0</v>
      </c>
      <c r="AF856" s="42">
        <v>0</v>
      </c>
      <c r="AG856" s="42">
        <v>0</v>
      </c>
      <c r="AH856" s="467">
        <v>0</v>
      </c>
      <c r="AI856" s="467">
        <v>1.55</v>
      </c>
      <c r="AJ856" s="467">
        <v>0</v>
      </c>
      <c r="AK856" s="467">
        <v>0</v>
      </c>
      <c r="AL856" s="44">
        <v>0</v>
      </c>
      <c r="AM856" s="44" t="s">
        <v>20320</v>
      </c>
      <c r="AN856" s="468">
        <v>0</v>
      </c>
      <c r="AO856" s="468">
        <v>0</v>
      </c>
    </row>
    <row r="857" spans="1:41" hidden="1">
      <c r="A857" s="50">
        <v>252</v>
      </c>
      <c r="B857" s="1" t="s">
        <v>264</v>
      </c>
      <c r="C857" s="50">
        <v>0</v>
      </c>
      <c r="D857" s="464" t="s">
        <v>18594</v>
      </c>
      <c r="E857" s="1" t="s">
        <v>264</v>
      </c>
      <c r="F857" s="53">
        <v>44488</v>
      </c>
      <c r="G857" s="1">
        <v>2021</v>
      </c>
      <c r="H857" s="1" t="s">
        <v>17278</v>
      </c>
      <c r="I857" s="1" t="s">
        <v>17279</v>
      </c>
      <c r="J857" s="1" t="s">
        <v>16482</v>
      </c>
      <c r="K857" s="36">
        <v>255283.34999999998</v>
      </c>
      <c r="L857" s="1">
        <v>3.2854999999999999</v>
      </c>
      <c r="M857" s="37">
        <v>77700</v>
      </c>
      <c r="N857" s="1" t="s">
        <v>20155</v>
      </c>
      <c r="O857" s="1" t="s">
        <v>20173</v>
      </c>
      <c r="P857" s="876">
        <v>44497</v>
      </c>
      <c r="Q857" s="466">
        <v>0</v>
      </c>
      <c r="R857" s="466">
        <v>0</v>
      </c>
      <c r="S857" s="466">
        <v>140000</v>
      </c>
      <c r="T857" s="466">
        <v>0</v>
      </c>
      <c r="U857" s="466">
        <v>140000</v>
      </c>
      <c r="V857" s="11" t="e">
        <v>#N/A</v>
      </c>
      <c r="W857" s="39">
        <v>0</v>
      </c>
      <c r="X857" s="39">
        <v>0</v>
      </c>
      <c r="Y857" s="39">
        <v>255283.35</v>
      </c>
      <c r="Z857" s="39">
        <v>0</v>
      </c>
      <c r="AA857" s="56"/>
      <c r="AB857" s="56"/>
      <c r="AC857" s="56">
        <v>1.8234525000000001</v>
      </c>
      <c r="AD857" s="56"/>
      <c r="AE857" s="41">
        <v>14204.688000000002</v>
      </c>
      <c r="AF857" s="42">
        <v>41313.97</v>
      </c>
      <c r="AG857" s="42">
        <v>0.29509978571428575</v>
      </c>
      <c r="AH857" s="467">
        <v>0</v>
      </c>
      <c r="AI857" s="467">
        <v>0</v>
      </c>
      <c r="AJ857" s="467">
        <v>1.5283527142857145</v>
      </c>
      <c r="AK857" s="467">
        <v>0</v>
      </c>
      <c r="AL857" s="44">
        <v>0</v>
      </c>
      <c r="AM857" s="44">
        <v>0</v>
      </c>
      <c r="AN857" s="468" t="s">
        <v>20320</v>
      </c>
      <c r="AO857" s="468">
        <v>0</v>
      </c>
    </row>
    <row r="858" spans="1:41" hidden="1">
      <c r="A858" s="50">
        <v>253</v>
      </c>
      <c r="B858" s="1" t="s">
        <v>265</v>
      </c>
      <c r="C858" s="50">
        <v>0</v>
      </c>
      <c r="D858" s="464" t="s">
        <v>18595</v>
      </c>
      <c r="E858" s="1" t="s">
        <v>265</v>
      </c>
      <c r="F858" s="53">
        <v>44489</v>
      </c>
      <c r="G858" s="1">
        <v>2021</v>
      </c>
      <c r="H858" s="1" t="s">
        <v>17017</v>
      </c>
      <c r="I858" s="1" t="s">
        <v>17018</v>
      </c>
      <c r="J858" s="1" t="s">
        <v>3</v>
      </c>
      <c r="K858" s="36">
        <v>52044.491999999998</v>
      </c>
      <c r="L858" s="1">
        <v>1</v>
      </c>
      <c r="M858" s="37">
        <v>52044.491999999998</v>
      </c>
      <c r="N858" s="1" t="s">
        <v>20155</v>
      </c>
      <c r="O858" s="1" t="s">
        <v>17954</v>
      </c>
      <c r="P858" s="876">
        <v>44495</v>
      </c>
      <c r="Q858" s="466">
        <v>0</v>
      </c>
      <c r="R858" s="466">
        <v>17500.64</v>
      </c>
      <c r="S858" s="466">
        <v>6356</v>
      </c>
      <c r="T858" s="466">
        <v>2000</v>
      </c>
      <c r="U858" s="466">
        <v>25856.639999999999</v>
      </c>
      <c r="V858" s="11" t="e">
        <v>#N/A</v>
      </c>
      <c r="W858" s="39">
        <v>0</v>
      </c>
      <c r="X858" s="39">
        <v>32106.152000000002</v>
      </c>
      <c r="Y858" s="39">
        <v>11218.34</v>
      </c>
      <c r="Z858" s="39">
        <v>8720</v>
      </c>
      <c r="AA858" s="56"/>
      <c r="AB858" s="56">
        <v>1.8345701642911347</v>
      </c>
      <c r="AC858" s="56">
        <v>1.7649999999999999</v>
      </c>
      <c r="AD858" s="56">
        <v>4.3600000000000003</v>
      </c>
      <c r="AE858" s="41">
        <v>0</v>
      </c>
      <c r="AF858" s="42">
        <v>0</v>
      </c>
      <c r="AG858" s="42">
        <v>0</v>
      </c>
      <c r="AH858" s="467">
        <v>0</v>
      </c>
      <c r="AI858" s="467">
        <v>1.8345701642911347</v>
      </c>
      <c r="AJ858" s="467">
        <v>1.7649999999999999</v>
      </c>
      <c r="AK858" s="467">
        <v>4.3600000000000003</v>
      </c>
      <c r="AL858" s="44">
        <v>0</v>
      </c>
      <c r="AM858" s="44">
        <v>1</v>
      </c>
      <c r="AN858" s="468">
        <v>0</v>
      </c>
      <c r="AO858" s="468">
        <v>0</v>
      </c>
    </row>
    <row r="859" spans="1:41" hidden="1">
      <c r="A859" s="50">
        <v>254</v>
      </c>
      <c r="B859" s="1" t="s">
        <v>266</v>
      </c>
      <c r="C859" s="50">
        <v>0</v>
      </c>
      <c r="D859" s="464" t="s">
        <v>18596</v>
      </c>
      <c r="E859" s="1" t="s">
        <v>266</v>
      </c>
      <c r="F859" s="53">
        <v>44490</v>
      </c>
      <c r="G859" s="1">
        <v>2021</v>
      </c>
      <c r="H859" s="1" t="s">
        <v>16444</v>
      </c>
      <c r="I859" s="1" t="s">
        <v>16445</v>
      </c>
      <c r="J859" s="1" t="s">
        <v>3</v>
      </c>
      <c r="K859" s="36">
        <v>68475</v>
      </c>
      <c r="L859" s="1">
        <v>1</v>
      </c>
      <c r="M859" s="37">
        <v>68475</v>
      </c>
      <c r="N859" s="1" t="s">
        <v>20155</v>
      </c>
      <c r="O859" s="1" t="s">
        <v>17693</v>
      </c>
      <c r="P859" s="876">
        <v>44557</v>
      </c>
      <c r="Q859" s="466">
        <v>41500</v>
      </c>
      <c r="R859" s="466">
        <v>0</v>
      </c>
      <c r="S859" s="466">
        <v>0</v>
      </c>
      <c r="T859" s="466">
        <v>0</v>
      </c>
      <c r="U859" s="466">
        <v>41500</v>
      </c>
      <c r="V859" s="11" t="e">
        <v>#N/A</v>
      </c>
      <c r="W859" s="39">
        <v>68475</v>
      </c>
      <c r="X859" s="39">
        <v>0</v>
      </c>
      <c r="Y859" s="39">
        <v>0</v>
      </c>
      <c r="Z859" s="39">
        <v>0</v>
      </c>
      <c r="AA859" s="56">
        <v>1.65</v>
      </c>
      <c r="AB859" s="56"/>
      <c r="AC859" s="56"/>
      <c r="AD859" s="56"/>
      <c r="AE859" s="41">
        <v>0</v>
      </c>
      <c r="AF859" s="42">
        <v>0</v>
      </c>
      <c r="AG859" s="42">
        <v>0</v>
      </c>
      <c r="AH859" s="467">
        <v>1.65</v>
      </c>
      <c r="AI859" s="467"/>
      <c r="AJ859" s="467"/>
      <c r="AK859" s="467"/>
      <c r="AL859" s="44">
        <v>1</v>
      </c>
      <c r="AM859" s="44">
        <v>0</v>
      </c>
      <c r="AN859" s="468">
        <v>0</v>
      </c>
      <c r="AO859" s="468">
        <v>0</v>
      </c>
    </row>
    <row r="860" spans="1:41" hidden="1">
      <c r="A860" s="511">
        <v>255</v>
      </c>
      <c r="B860" s="512" t="s">
        <v>267</v>
      </c>
      <c r="C860" s="511">
        <v>0</v>
      </c>
      <c r="D860" s="513" t="s">
        <v>20322</v>
      </c>
      <c r="E860" s="512" t="s">
        <v>267</v>
      </c>
      <c r="F860" s="514">
        <v>44490</v>
      </c>
      <c r="G860" s="512">
        <v>2021</v>
      </c>
      <c r="H860" s="512" t="s">
        <v>16444</v>
      </c>
      <c r="I860" s="512" t="s">
        <v>16445</v>
      </c>
      <c r="J860" s="512" t="s">
        <v>3</v>
      </c>
      <c r="K860" s="515"/>
      <c r="L860" s="512">
        <v>1</v>
      </c>
      <c r="M860" s="516"/>
      <c r="N860" s="512" t="s">
        <v>20164</v>
      </c>
      <c r="O860" s="414" t="s">
        <v>20164</v>
      </c>
      <c r="P860" s="873" t="s">
        <v>20164</v>
      </c>
      <c r="Q860" s="511"/>
      <c r="R860" s="511"/>
      <c r="S860" s="511"/>
      <c r="T860" s="511"/>
      <c r="U860" s="511"/>
      <c r="V860" s="418" t="s">
        <v>20164</v>
      </c>
      <c r="W860" s="517"/>
      <c r="X860" s="517"/>
      <c r="Y860" s="517"/>
      <c r="Z860" s="517"/>
      <c r="AA860" s="517"/>
      <c r="AB860" s="517"/>
      <c r="AC860" s="517"/>
      <c r="AD860" s="517"/>
      <c r="AE860" s="517"/>
      <c r="AF860" s="517">
        <v>0</v>
      </c>
      <c r="AG860" s="517"/>
      <c r="AH860" s="420">
        <v>0</v>
      </c>
      <c r="AI860" s="420">
        <v>0</v>
      </c>
      <c r="AJ860" s="420">
        <v>0</v>
      </c>
      <c r="AK860" s="420">
        <v>0</v>
      </c>
      <c r="AL860" s="518">
        <v>0</v>
      </c>
      <c r="AM860" s="518">
        <v>0</v>
      </c>
      <c r="AN860" s="519">
        <v>0</v>
      </c>
      <c r="AO860" s="519">
        <v>0</v>
      </c>
    </row>
    <row r="861" spans="1:41" hidden="1">
      <c r="A861" s="50">
        <v>256</v>
      </c>
      <c r="B861" s="1" t="s">
        <v>268</v>
      </c>
      <c r="C861" s="50">
        <v>0</v>
      </c>
      <c r="D861" s="464" t="s">
        <v>18597</v>
      </c>
      <c r="E861" s="1" t="s">
        <v>268</v>
      </c>
      <c r="F861" s="53">
        <v>44492</v>
      </c>
      <c r="G861" s="1">
        <v>2021</v>
      </c>
      <c r="H861" s="1" t="s">
        <v>16444</v>
      </c>
      <c r="I861" s="1" t="s">
        <v>16445</v>
      </c>
      <c r="J861" s="1" t="s">
        <v>3</v>
      </c>
      <c r="K861" s="36">
        <v>108000</v>
      </c>
      <c r="L861" s="1">
        <v>1</v>
      </c>
      <c r="M861" s="37">
        <v>108000</v>
      </c>
      <c r="N861" s="1" t="s">
        <v>20155</v>
      </c>
      <c r="O861" s="1" t="s">
        <v>17854</v>
      </c>
      <c r="P861" s="876">
        <v>44506</v>
      </c>
      <c r="Q861" s="466">
        <v>54000</v>
      </c>
      <c r="R861" s="466">
        <v>0</v>
      </c>
      <c r="S861" s="466">
        <v>0</v>
      </c>
      <c r="T861" s="466">
        <v>0</v>
      </c>
      <c r="U861" s="466">
        <v>54000</v>
      </c>
      <c r="V861" s="11" t="s">
        <v>20155</v>
      </c>
      <c r="W861" s="39">
        <v>108000</v>
      </c>
      <c r="X861" s="39">
        <v>0</v>
      </c>
      <c r="Y861" s="39">
        <v>0</v>
      </c>
      <c r="Z861" s="39">
        <v>0</v>
      </c>
      <c r="AA861" s="56">
        <v>2</v>
      </c>
      <c r="AB861" s="56"/>
      <c r="AC861" s="56"/>
      <c r="AD861" s="56"/>
      <c r="AE861" s="41">
        <v>0</v>
      </c>
      <c r="AF861" s="42">
        <v>0</v>
      </c>
      <c r="AG861" s="42">
        <v>0</v>
      </c>
      <c r="AH861" s="467">
        <v>2</v>
      </c>
      <c r="AI861" s="467">
        <v>0</v>
      </c>
      <c r="AJ861" s="467">
        <v>0</v>
      </c>
      <c r="AK861" s="467">
        <v>0</v>
      </c>
      <c r="AL861" s="44">
        <v>1</v>
      </c>
      <c r="AM861" s="44">
        <v>0</v>
      </c>
      <c r="AN861" s="468">
        <v>0</v>
      </c>
      <c r="AO861" s="468">
        <v>0</v>
      </c>
    </row>
    <row r="862" spans="1:41" hidden="1">
      <c r="A862" s="50">
        <v>257</v>
      </c>
      <c r="B862" s="1" t="s">
        <v>269</v>
      </c>
      <c r="C862" s="50">
        <v>0</v>
      </c>
      <c r="D862" s="464" t="s">
        <v>18598</v>
      </c>
      <c r="E862" s="1" t="s">
        <v>269</v>
      </c>
      <c r="F862" s="53">
        <v>44498</v>
      </c>
      <c r="G862" s="1">
        <v>2021</v>
      </c>
      <c r="H862" s="1" t="s">
        <v>16880</v>
      </c>
      <c r="I862" s="1" t="s">
        <v>16881</v>
      </c>
      <c r="J862" s="1" t="s">
        <v>16401</v>
      </c>
      <c r="K862" s="36">
        <v>69490.785920000009</v>
      </c>
      <c r="L862" s="1">
        <v>2.8346</v>
      </c>
      <c r="M862" s="37">
        <v>24515.200000000001</v>
      </c>
      <c r="N862" s="1" t="s">
        <v>20155</v>
      </c>
      <c r="O862" s="1" t="s">
        <v>20156</v>
      </c>
      <c r="P862" s="876">
        <v>44511</v>
      </c>
      <c r="Q862" s="466">
        <v>0</v>
      </c>
      <c r="R862" s="466">
        <v>20160</v>
      </c>
      <c r="S862" s="466">
        <v>0</v>
      </c>
      <c r="T862" s="466">
        <v>0</v>
      </c>
      <c r="U862" s="466">
        <v>20160</v>
      </c>
      <c r="V862" s="11" t="e">
        <v>#N/A</v>
      </c>
      <c r="W862" s="39">
        <v>0</v>
      </c>
      <c r="X862" s="39">
        <v>69490.785919999995</v>
      </c>
      <c r="Y862" s="39">
        <v>0</v>
      </c>
      <c r="Z862" s="39">
        <v>0</v>
      </c>
      <c r="AA862" s="56"/>
      <c r="AB862" s="56">
        <v>3.4469635873015871</v>
      </c>
      <c r="AC862" s="56"/>
      <c r="AD862" s="56"/>
      <c r="AE862" s="41">
        <v>0</v>
      </c>
      <c r="AF862" s="42">
        <v>1659.414</v>
      </c>
      <c r="AG862" s="42">
        <v>8.2312202380952382E-2</v>
      </c>
      <c r="AH862" s="467">
        <v>0</v>
      </c>
      <c r="AI862" s="467">
        <v>3.3646513849206348</v>
      </c>
      <c r="AJ862" s="467"/>
      <c r="AK862" s="467"/>
      <c r="AL862" s="44">
        <v>0</v>
      </c>
      <c r="AM862" s="44">
        <v>1</v>
      </c>
      <c r="AN862" s="468">
        <v>0</v>
      </c>
      <c r="AO862" s="468">
        <v>0</v>
      </c>
    </row>
    <row r="863" spans="1:41" hidden="1">
      <c r="A863" s="50">
        <v>258</v>
      </c>
      <c r="B863" s="1" t="s">
        <v>270</v>
      </c>
      <c r="C863" s="50">
        <v>0</v>
      </c>
      <c r="D863" s="464" t="s">
        <v>18599</v>
      </c>
      <c r="E863" s="1" t="s">
        <v>270</v>
      </c>
      <c r="F863" s="53">
        <v>44498</v>
      </c>
      <c r="G863" s="1">
        <v>2021</v>
      </c>
      <c r="H863" s="1" t="s">
        <v>16904</v>
      </c>
      <c r="I863" s="1" t="s">
        <v>16905</v>
      </c>
      <c r="J863" s="1" t="s">
        <v>16482</v>
      </c>
      <c r="K863" s="36">
        <v>63311.817139999999</v>
      </c>
      <c r="L863" s="1">
        <v>3.2814999999999999</v>
      </c>
      <c r="M863" s="37">
        <v>19293.560000000001</v>
      </c>
      <c r="N863" s="1" t="s">
        <v>20302</v>
      </c>
      <c r="O863" s="1" t="s">
        <v>20160</v>
      </c>
      <c r="P863" s="876">
        <v>44504</v>
      </c>
      <c r="Q863" s="466">
        <v>0</v>
      </c>
      <c r="R863" s="466">
        <v>18936</v>
      </c>
      <c r="S863" s="466">
        <v>8400</v>
      </c>
      <c r="T863" s="466">
        <v>0</v>
      </c>
      <c r="U863" s="466">
        <v>27336</v>
      </c>
      <c r="V863" s="11" t="e">
        <v>#N/A</v>
      </c>
      <c r="W863" s="39">
        <v>0</v>
      </c>
      <c r="X863" s="39">
        <v>43966.02343411764</v>
      </c>
      <c r="Y863" s="39">
        <v>19345.793705882352</v>
      </c>
      <c r="Z863" s="39">
        <v>0</v>
      </c>
      <c r="AA863" s="56"/>
      <c r="AB863" s="56">
        <v>2.3218221078431367</v>
      </c>
      <c r="AC863" s="56">
        <v>2.3030706792717086</v>
      </c>
      <c r="AD863" s="56"/>
      <c r="AE863" s="41">
        <v>4286.4639999999999</v>
      </c>
      <c r="AF863" s="42">
        <v>12601.28</v>
      </c>
      <c r="AG863" s="42">
        <v>0.46097746561311093</v>
      </c>
      <c r="AH863" s="467"/>
      <c r="AI863" s="467">
        <v>1.8608446422300258</v>
      </c>
      <c r="AJ863" s="467">
        <v>1.8420932136585977</v>
      </c>
      <c r="AK863" s="467"/>
      <c r="AL863" s="44">
        <v>0</v>
      </c>
      <c r="AM863" s="44">
        <v>1</v>
      </c>
      <c r="AN863" s="468">
        <v>1</v>
      </c>
      <c r="AO863" s="468">
        <v>0</v>
      </c>
    </row>
    <row r="864" spans="1:41" hidden="1">
      <c r="A864" s="50">
        <v>259</v>
      </c>
      <c r="B864" s="1" t="s">
        <v>271</v>
      </c>
      <c r="C864" s="50">
        <v>0</v>
      </c>
      <c r="D864" s="464" t="s">
        <v>18600</v>
      </c>
      <c r="E864" s="1" t="s">
        <v>271</v>
      </c>
      <c r="F864" s="53">
        <v>44502</v>
      </c>
      <c r="G864" s="1">
        <v>2021</v>
      </c>
      <c r="H864" s="1" t="s">
        <v>17281</v>
      </c>
      <c r="I864" s="1" t="s">
        <v>17282</v>
      </c>
      <c r="J864" s="1" t="s">
        <v>3</v>
      </c>
      <c r="K864" s="36">
        <v>61040</v>
      </c>
      <c r="L864" s="1">
        <v>1</v>
      </c>
      <c r="M864" s="37">
        <v>61040</v>
      </c>
      <c r="N864" s="1" t="s">
        <v>20155</v>
      </c>
      <c r="O864" s="1" t="s">
        <v>16394</v>
      </c>
      <c r="P864" s="876">
        <v>44508</v>
      </c>
      <c r="Q864" s="466">
        <v>0</v>
      </c>
      <c r="R864" s="466">
        <v>0</v>
      </c>
      <c r="S864" s="466">
        <v>0</v>
      </c>
      <c r="T864" s="466">
        <v>11200</v>
      </c>
      <c r="U864" s="466">
        <v>11200</v>
      </c>
      <c r="V864" s="11" t="e">
        <v>#N/A</v>
      </c>
      <c r="W864" s="39">
        <v>0</v>
      </c>
      <c r="X864" s="39">
        <v>0</v>
      </c>
      <c r="Y864" s="39">
        <v>0</v>
      </c>
      <c r="Z864" s="39">
        <v>61040</v>
      </c>
      <c r="AA864" s="56"/>
      <c r="AB864" s="56"/>
      <c r="AC864" s="56"/>
      <c r="AD864" s="56">
        <v>5.45</v>
      </c>
      <c r="AE864" s="41">
        <v>0</v>
      </c>
      <c r="AF864" s="42">
        <v>0</v>
      </c>
      <c r="AG864" s="42">
        <v>0</v>
      </c>
      <c r="AH864" s="467">
        <v>0</v>
      </c>
      <c r="AI864" s="467">
        <v>0</v>
      </c>
      <c r="AJ864" s="467">
        <v>0</v>
      </c>
      <c r="AK864" s="467">
        <v>5.45</v>
      </c>
      <c r="AL864" s="44">
        <v>0</v>
      </c>
      <c r="AM864" s="44">
        <v>0</v>
      </c>
      <c r="AN864" s="468">
        <v>0</v>
      </c>
      <c r="AO864" s="468">
        <v>1</v>
      </c>
    </row>
    <row r="865" spans="1:41" hidden="1">
      <c r="A865" s="50">
        <v>260</v>
      </c>
      <c r="B865" s="1" t="s">
        <v>272</v>
      </c>
      <c r="C865" s="50">
        <v>0</v>
      </c>
      <c r="D865" s="464" t="s">
        <v>18601</v>
      </c>
      <c r="E865" s="1" t="s">
        <v>272</v>
      </c>
      <c r="F865" s="53">
        <v>44502</v>
      </c>
      <c r="G865" s="1">
        <v>2021</v>
      </c>
      <c r="H865" s="1" t="s">
        <v>17284</v>
      </c>
      <c r="I865" s="1" t="s">
        <v>17285</v>
      </c>
      <c r="J865" s="1" t="s">
        <v>3</v>
      </c>
      <c r="K865" s="36">
        <v>43431.6</v>
      </c>
      <c r="L865" s="1">
        <v>1</v>
      </c>
      <c r="M865" s="37">
        <v>43431.6</v>
      </c>
      <c r="N865" s="1" t="s">
        <v>20155</v>
      </c>
      <c r="O865" s="1" t="s">
        <v>20306</v>
      </c>
      <c r="P865" s="876">
        <v>44557</v>
      </c>
      <c r="Q865" s="466">
        <v>1920</v>
      </c>
      <c r="R865" s="466">
        <v>6840</v>
      </c>
      <c r="S865" s="466">
        <v>0</v>
      </c>
      <c r="T865" s="466">
        <v>2240</v>
      </c>
      <c r="U865" s="466">
        <v>11000</v>
      </c>
      <c r="V865" s="11" t="e">
        <v>#N/A</v>
      </c>
      <c r="W865" s="39">
        <v>6969.6</v>
      </c>
      <c r="X865" s="39">
        <v>23190</v>
      </c>
      <c r="Y865" s="39">
        <v>0</v>
      </c>
      <c r="Z865" s="39">
        <v>13272</v>
      </c>
      <c r="AA865" s="56">
        <v>3.6300000000000003</v>
      </c>
      <c r="AB865" s="56">
        <v>3.3903508771929824</v>
      </c>
      <c r="AC865" s="56"/>
      <c r="AD865" s="56">
        <v>5.9249999999999998</v>
      </c>
      <c r="AE865" s="41">
        <v>0</v>
      </c>
      <c r="AF865" s="42">
        <v>0</v>
      </c>
      <c r="AG865" s="42">
        <v>0</v>
      </c>
      <c r="AH865" s="467">
        <v>3.6300000000000003</v>
      </c>
      <c r="AI865" s="467">
        <v>3.3903508771929824</v>
      </c>
      <c r="AJ865" s="467"/>
      <c r="AK865" s="467">
        <v>5.9249999999999998</v>
      </c>
      <c r="AL865" s="44">
        <v>1</v>
      </c>
      <c r="AM865" s="44">
        <v>1</v>
      </c>
      <c r="AN865" s="468">
        <v>0</v>
      </c>
      <c r="AO865" s="468">
        <v>1</v>
      </c>
    </row>
    <row r="866" spans="1:41" hidden="1">
      <c r="A866" s="50">
        <v>261</v>
      </c>
      <c r="B866" s="1" t="s">
        <v>273</v>
      </c>
      <c r="C866" s="50">
        <v>0</v>
      </c>
      <c r="D866" s="464" t="s">
        <v>18602</v>
      </c>
      <c r="E866" s="1" t="s">
        <v>273</v>
      </c>
      <c r="F866" s="53">
        <v>44509</v>
      </c>
      <c r="G866" s="1">
        <v>2021</v>
      </c>
      <c r="H866" s="1" t="s">
        <v>16384</v>
      </c>
      <c r="I866" s="1" t="s">
        <v>16385</v>
      </c>
      <c r="J866" s="1" t="s">
        <v>3</v>
      </c>
      <c r="K866" s="36">
        <v>501200</v>
      </c>
      <c r="L866" s="1">
        <v>1</v>
      </c>
      <c r="M866" s="37">
        <v>501200</v>
      </c>
      <c r="N866" s="1" t="s">
        <v>20155</v>
      </c>
      <c r="O866" s="1" t="s">
        <v>17261</v>
      </c>
      <c r="P866" s="876">
        <v>44515</v>
      </c>
      <c r="Q866" s="466">
        <v>0</v>
      </c>
      <c r="R866" s="466">
        <v>0</v>
      </c>
      <c r="S866" s="466">
        <v>280000</v>
      </c>
      <c r="T866" s="466">
        <v>0</v>
      </c>
      <c r="U866" s="466">
        <v>280000</v>
      </c>
      <c r="V866" s="11" t="s">
        <v>20155</v>
      </c>
      <c r="W866" s="39">
        <v>0</v>
      </c>
      <c r="X866" s="39">
        <v>0</v>
      </c>
      <c r="Y866" s="39">
        <v>501200</v>
      </c>
      <c r="Z866" s="39">
        <v>0</v>
      </c>
      <c r="AA866" s="56"/>
      <c r="AB866" s="56"/>
      <c r="AC866" s="56">
        <v>1.79</v>
      </c>
      <c r="AD866" s="56"/>
      <c r="AE866" s="41">
        <v>0</v>
      </c>
      <c r="AF866" s="42">
        <v>0</v>
      </c>
      <c r="AG866" s="42">
        <v>0</v>
      </c>
      <c r="AH866" s="467">
        <v>0</v>
      </c>
      <c r="AI866" s="467">
        <v>0</v>
      </c>
      <c r="AJ866" s="467">
        <v>1.79</v>
      </c>
      <c r="AK866" s="467">
        <v>0</v>
      </c>
      <c r="AL866" s="44">
        <v>0</v>
      </c>
      <c r="AM866" s="44">
        <v>0</v>
      </c>
      <c r="AN866" s="468" t="s">
        <v>20300</v>
      </c>
      <c r="AO866" s="468">
        <v>0</v>
      </c>
    </row>
    <row r="867" spans="1:41" hidden="1">
      <c r="A867" s="50">
        <v>262</v>
      </c>
      <c r="B867" s="1" t="s">
        <v>274</v>
      </c>
      <c r="C867" s="50">
        <v>0</v>
      </c>
      <c r="D867" s="464" t="s">
        <v>18603</v>
      </c>
      <c r="E867" s="1" t="s">
        <v>274</v>
      </c>
      <c r="F867" s="53">
        <v>44509</v>
      </c>
      <c r="G867" s="1">
        <v>2021</v>
      </c>
      <c r="H867" s="1" t="s">
        <v>16838</v>
      </c>
      <c r="I867" s="1" t="s">
        <v>16839</v>
      </c>
      <c r="J867" s="1" t="s">
        <v>3</v>
      </c>
      <c r="K867" s="36">
        <v>390707.6</v>
      </c>
      <c r="L867" s="1">
        <v>1</v>
      </c>
      <c r="M867" s="37">
        <v>390707.6</v>
      </c>
      <c r="N867" s="1" t="s">
        <v>20155</v>
      </c>
      <c r="O867" s="1" t="s">
        <v>17949</v>
      </c>
      <c r="P867" s="876">
        <v>44518</v>
      </c>
      <c r="Q867" s="466">
        <v>129224</v>
      </c>
      <c r="R867" s="466">
        <v>10200</v>
      </c>
      <c r="S867" s="466">
        <v>28000</v>
      </c>
      <c r="T867" s="466">
        <v>0</v>
      </c>
      <c r="U867" s="466">
        <v>167424</v>
      </c>
      <c r="V867" s="11" t="s">
        <v>20155</v>
      </c>
      <c r="W867" s="39">
        <v>311001.59999999998</v>
      </c>
      <c r="X867" s="39">
        <v>22950</v>
      </c>
      <c r="Y867" s="39">
        <v>56756</v>
      </c>
      <c r="Z867" s="39">
        <v>0</v>
      </c>
      <c r="AA867" s="56">
        <v>2.4066860645081407</v>
      </c>
      <c r="AB867" s="56">
        <v>2.25</v>
      </c>
      <c r="AC867" s="56">
        <v>2.0270000000000001</v>
      </c>
      <c r="AD867" s="56"/>
      <c r="AE867" s="41">
        <v>0</v>
      </c>
      <c r="AF867" s="42">
        <v>0</v>
      </c>
      <c r="AG867" s="42">
        <v>0</v>
      </c>
      <c r="AH867" s="467">
        <v>2.4066860645081407</v>
      </c>
      <c r="AI867" s="467">
        <v>2.25</v>
      </c>
      <c r="AJ867" s="467">
        <v>2.0270000000000001</v>
      </c>
      <c r="AK867" s="467">
        <v>0</v>
      </c>
      <c r="AL867" s="44">
        <v>1</v>
      </c>
      <c r="AM867" s="44" t="s">
        <v>20320</v>
      </c>
      <c r="AN867" s="468" t="s">
        <v>20320</v>
      </c>
      <c r="AO867" s="468">
        <v>0</v>
      </c>
    </row>
    <row r="868" spans="1:41" hidden="1">
      <c r="A868" s="50">
        <v>263</v>
      </c>
      <c r="B868" s="1" t="s">
        <v>275</v>
      </c>
      <c r="C868" s="50">
        <v>0</v>
      </c>
      <c r="D868" s="464" t="s">
        <v>18604</v>
      </c>
      <c r="E868" s="1" t="s">
        <v>275</v>
      </c>
      <c r="F868" s="53">
        <v>44509</v>
      </c>
      <c r="G868" s="1">
        <v>2021</v>
      </c>
      <c r="H868" s="1" t="s">
        <v>16643</v>
      </c>
      <c r="I868" s="1" t="s">
        <v>16644</v>
      </c>
      <c r="J868" s="1" t="s">
        <v>16482</v>
      </c>
      <c r="K868" s="36">
        <v>67134.990000000005</v>
      </c>
      <c r="L868" s="1">
        <v>3.2685</v>
      </c>
      <c r="M868" s="37">
        <v>20540</v>
      </c>
      <c r="N868" s="1" t="s">
        <v>20155</v>
      </c>
      <c r="O868" s="1" t="s">
        <v>20159</v>
      </c>
      <c r="P868" s="876">
        <v>44516</v>
      </c>
      <c r="Q868" s="466">
        <v>0</v>
      </c>
      <c r="R868" s="466">
        <v>25200</v>
      </c>
      <c r="S868" s="466">
        <v>0</v>
      </c>
      <c r="T868" s="466">
        <v>0</v>
      </c>
      <c r="U868" s="466">
        <v>25200</v>
      </c>
      <c r="V868" s="11" t="e">
        <v>#N/A</v>
      </c>
      <c r="W868" s="39">
        <v>0</v>
      </c>
      <c r="X868" s="39">
        <v>67134.989999999991</v>
      </c>
      <c r="Y868" s="39">
        <v>0</v>
      </c>
      <c r="Z868" s="39">
        <v>0</v>
      </c>
      <c r="AA868" s="56"/>
      <c r="AB868" s="56">
        <v>2.6640869047619042</v>
      </c>
      <c r="AC868" s="56"/>
      <c r="AD868" s="56"/>
      <c r="AE868" s="41">
        <v>3425.4800000000005</v>
      </c>
      <c r="AF868" s="42">
        <v>10108.355</v>
      </c>
      <c r="AG868" s="42">
        <v>0.40112519841269839</v>
      </c>
      <c r="AH868" s="467">
        <v>0</v>
      </c>
      <c r="AI868" s="467">
        <v>2.262961706349206</v>
      </c>
      <c r="AJ868" s="467"/>
      <c r="AK868" s="467"/>
      <c r="AL868" s="44">
        <v>0</v>
      </c>
      <c r="AM868" s="44" t="s">
        <v>20320</v>
      </c>
      <c r="AN868" s="468">
        <v>0</v>
      </c>
      <c r="AO868" s="468">
        <v>0</v>
      </c>
    </row>
    <row r="869" spans="1:41" hidden="1">
      <c r="A869" s="50">
        <v>264</v>
      </c>
      <c r="B869" s="1" t="s">
        <v>276</v>
      </c>
      <c r="C869" s="50">
        <v>0</v>
      </c>
      <c r="D869" s="464" t="s">
        <v>18605</v>
      </c>
      <c r="E869" s="1" t="s">
        <v>276</v>
      </c>
      <c r="F869" s="53">
        <v>44509</v>
      </c>
      <c r="G869" s="1">
        <v>2021</v>
      </c>
      <c r="H869" s="1" t="s">
        <v>17017</v>
      </c>
      <c r="I869" s="1" t="s">
        <v>17018</v>
      </c>
      <c r="J869" s="1" t="s">
        <v>3</v>
      </c>
      <c r="K869" s="36">
        <v>62000</v>
      </c>
      <c r="L869" s="1">
        <v>1</v>
      </c>
      <c r="M869" s="37">
        <v>62000</v>
      </c>
      <c r="N869" s="1" t="s">
        <v>20155</v>
      </c>
      <c r="O869" s="1" t="s">
        <v>18064</v>
      </c>
      <c r="P869" s="876">
        <v>44517</v>
      </c>
      <c r="Q869" s="466">
        <v>0</v>
      </c>
      <c r="R869" s="466">
        <v>20000</v>
      </c>
      <c r="S869" s="466">
        <v>0</v>
      </c>
      <c r="T869" s="466">
        <v>0</v>
      </c>
      <c r="U869" s="466">
        <v>20000</v>
      </c>
      <c r="V869" s="11" t="e">
        <v>#N/A</v>
      </c>
      <c r="W869" s="39">
        <v>0</v>
      </c>
      <c r="X869" s="39">
        <v>62000</v>
      </c>
      <c r="Y869" s="39">
        <v>0</v>
      </c>
      <c r="Z869" s="39">
        <v>0</v>
      </c>
      <c r="AA869" s="56"/>
      <c r="AB869" s="56">
        <v>3.1</v>
      </c>
      <c r="AC869" s="56"/>
      <c r="AD869" s="56"/>
      <c r="AE869" s="41">
        <v>0</v>
      </c>
      <c r="AF869" s="42">
        <v>0</v>
      </c>
      <c r="AG869" s="42">
        <v>0</v>
      </c>
      <c r="AH869" s="467">
        <v>0</v>
      </c>
      <c r="AI869" s="467">
        <v>3.1</v>
      </c>
      <c r="AJ869" s="467">
        <v>0</v>
      </c>
      <c r="AK869" s="467">
        <v>0</v>
      </c>
      <c r="AL869" s="44">
        <v>0</v>
      </c>
      <c r="AM869" s="44">
        <v>1</v>
      </c>
      <c r="AN869" s="468">
        <v>0</v>
      </c>
      <c r="AO869" s="468">
        <v>0</v>
      </c>
    </row>
    <row r="870" spans="1:41" hidden="1">
      <c r="A870" s="50">
        <v>265</v>
      </c>
      <c r="B870" s="1" t="s">
        <v>277</v>
      </c>
      <c r="C870" s="50">
        <v>0</v>
      </c>
      <c r="D870" s="464" t="s">
        <v>18606</v>
      </c>
      <c r="E870" s="1" t="s">
        <v>277</v>
      </c>
      <c r="F870" s="53">
        <v>44512</v>
      </c>
      <c r="G870" s="1">
        <v>2021</v>
      </c>
      <c r="H870" s="1" t="s">
        <v>17278</v>
      </c>
      <c r="I870" s="1" t="s">
        <v>17279</v>
      </c>
      <c r="J870" s="1" t="s">
        <v>16482</v>
      </c>
      <c r="K870" s="36">
        <v>244047.94560000001</v>
      </c>
      <c r="L870" s="1">
        <v>3.2467000000000001</v>
      </c>
      <c r="M870" s="37">
        <v>75168</v>
      </c>
      <c r="N870" s="1" t="s">
        <v>20155</v>
      </c>
      <c r="O870" s="1" t="s">
        <v>20173</v>
      </c>
      <c r="P870" s="876">
        <v>44530</v>
      </c>
      <c r="Q870" s="466">
        <v>0</v>
      </c>
      <c r="R870" s="466">
        <v>0</v>
      </c>
      <c r="S870" s="466">
        <v>139200</v>
      </c>
      <c r="T870" s="466">
        <v>0</v>
      </c>
      <c r="U870" s="466">
        <v>139200</v>
      </c>
      <c r="V870" s="11" t="e">
        <v>#N/A</v>
      </c>
      <c r="W870" s="39">
        <v>0</v>
      </c>
      <c r="X870" s="39">
        <v>0</v>
      </c>
      <c r="Y870" s="39">
        <v>244047.94560000004</v>
      </c>
      <c r="Z870" s="39">
        <v>0</v>
      </c>
      <c r="AA870" s="56"/>
      <c r="AB870" s="56"/>
      <c r="AC870" s="56">
        <v>1.7532180000000002</v>
      </c>
      <c r="AD870" s="56"/>
      <c r="AE870" s="41">
        <v>14204.688000000002</v>
      </c>
      <c r="AF870" s="42">
        <v>41313.97</v>
      </c>
      <c r="AG870" s="42">
        <v>0.29679576149425291</v>
      </c>
      <c r="AH870" s="467">
        <v>0</v>
      </c>
      <c r="AI870" s="467">
        <v>0</v>
      </c>
      <c r="AJ870" s="467">
        <v>1.4564222385057473</v>
      </c>
      <c r="AK870" s="467"/>
      <c r="AL870" s="44">
        <v>0</v>
      </c>
      <c r="AM870" s="44">
        <v>0</v>
      </c>
      <c r="AN870" s="468" t="s">
        <v>20316</v>
      </c>
      <c r="AO870" s="468">
        <v>0</v>
      </c>
    </row>
    <row r="871" spans="1:41" hidden="1">
      <c r="A871" s="50">
        <v>266</v>
      </c>
      <c r="B871" s="1" t="s">
        <v>278</v>
      </c>
      <c r="C871" s="50">
        <v>0</v>
      </c>
      <c r="D871" s="464" t="s">
        <v>18607</v>
      </c>
      <c r="E871" s="1" t="s">
        <v>278</v>
      </c>
      <c r="F871" s="53">
        <v>44515</v>
      </c>
      <c r="G871" s="1">
        <v>2021</v>
      </c>
      <c r="H871" s="1" t="s">
        <v>16444</v>
      </c>
      <c r="I871" s="1" t="s">
        <v>16445</v>
      </c>
      <c r="J871" s="1" t="s">
        <v>3</v>
      </c>
      <c r="K871" s="36">
        <v>68736</v>
      </c>
      <c r="L871" s="1">
        <v>1</v>
      </c>
      <c r="M871" s="37">
        <v>68736</v>
      </c>
      <c r="N871" s="1" t="s">
        <v>20155</v>
      </c>
      <c r="O871" s="1" t="s">
        <v>17965</v>
      </c>
      <c r="P871" s="876">
        <v>44522</v>
      </c>
      <c r="Q871" s="466">
        <v>38400</v>
      </c>
      <c r="R871" s="466">
        <v>0</v>
      </c>
      <c r="S871" s="466">
        <v>0</v>
      </c>
      <c r="T871" s="466">
        <v>0</v>
      </c>
      <c r="U871" s="466">
        <v>38400</v>
      </c>
      <c r="V871" s="11" t="s">
        <v>20155</v>
      </c>
      <c r="W871" s="39">
        <v>68736</v>
      </c>
      <c r="X871" s="39">
        <v>0</v>
      </c>
      <c r="Y871" s="39">
        <v>0</v>
      </c>
      <c r="Z871" s="39">
        <v>0</v>
      </c>
      <c r="AA871" s="56">
        <v>1.79</v>
      </c>
      <c r="AB871" s="56"/>
      <c r="AC871" s="56"/>
      <c r="AD871" s="56"/>
      <c r="AE871" s="41">
        <v>0</v>
      </c>
      <c r="AF871" s="42">
        <v>0</v>
      </c>
      <c r="AG871" s="42">
        <v>0</v>
      </c>
      <c r="AH871" s="467">
        <v>1.79</v>
      </c>
      <c r="AI871" s="467">
        <v>0</v>
      </c>
      <c r="AJ871" s="467">
        <v>0</v>
      </c>
      <c r="AK871" s="467">
        <v>0</v>
      </c>
      <c r="AL871" s="44">
        <v>1</v>
      </c>
      <c r="AM871" s="44">
        <v>0</v>
      </c>
      <c r="AN871" s="468">
        <v>0</v>
      </c>
      <c r="AO871" s="468">
        <v>0</v>
      </c>
    </row>
    <row r="872" spans="1:41" hidden="1">
      <c r="A872" s="50">
        <v>267</v>
      </c>
      <c r="B872" s="1" t="s">
        <v>279</v>
      </c>
      <c r="C872" s="50">
        <v>0</v>
      </c>
      <c r="D872" s="464" t="s">
        <v>18608</v>
      </c>
      <c r="E872" s="1" t="s">
        <v>279</v>
      </c>
      <c r="F872" s="53">
        <v>44515</v>
      </c>
      <c r="G872" s="1">
        <v>2021</v>
      </c>
      <c r="H872" s="1" t="s">
        <v>17017</v>
      </c>
      <c r="I872" s="1" t="s">
        <v>17018</v>
      </c>
      <c r="J872" s="1" t="s">
        <v>3</v>
      </c>
      <c r="K872" s="36">
        <v>186000</v>
      </c>
      <c r="L872" s="1">
        <v>1</v>
      </c>
      <c r="M872" s="37">
        <v>186000</v>
      </c>
      <c r="N872" s="1" t="s">
        <v>20155</v>
      </c>
      <c r="O872" s="1" t="s">
        <v>20307</v>
      </c>
      <c r="P872" s="876">
        <v>44527</v>
      </c>
      <c r="Q872" s="466">
        <v>60000</v>
      </c>
      <c r="R872" s="466">
        <v>0</v>
      </c>
      <c r="S872" s="466">
        <v>0</v>
      </c>
      <c r="T872" s="466">
        <v>0</v>
      </c>
      <c r="U872" s="466">
        <v>60000</v>
      </c>
      <c r="V872" s="11" t="e">
        <v>#N/A</v>
      </c>
      <c r="W872" s="39">
        <v>186000</v>
      </c>
      <c r="X872" s="39">
        <v>0</v>
      </c>
      <c r="Y872" s="39">
        <v>0</v>
      </c>
      <c r="Z872" s="39">
        <v>0</v>
      </c>
      <c r="AA872" s="56">
        <v>3.1</v>
      </c>
      <c r="AB872" s="56"/>
      <c r="AC872" s="56"/>
      <c r="AD872" s="56"/>
      <c r="AE872" s="41">
        <v>0</v>
      </c>
      <c r="AF872" s="42">
        <v>0</v>
      </c>
      <c r="AG872" s="42">
        <v>0</v>
      </c>
      <c r="AH872" s="467">
        <v>3.1</v>
      </c>
      <c r="AI872" s="467">
        <v>0</v>
      </c>
      <c r="AJ872" s="467">
        <v>0</v>
      </c>
      <c r="AK872" s="467">
        <v>0</v>
      </c>
      <c r="AL872" s="44">
        <v>1</v>
      </c>
      <c r="AM872" s="44">
        <v>0</v>
      </c>
      <c r="AN872" s="468">
        <v>0</v>
      </c>
      <c r="AO872" s="468">
        <v>0</v>
      </c>
    </row>
    <row r="873" spans="1:41" hidden="1">
      <c r="A873" s="50">
        <v>268</v>
      </c>
      <c r="B873" s="1" t="s">
        <v>280</v>
      </c>
      <c r="C873" s="50">
        <v>0</v>
      </c>
      <c r="D873" s="464" t="s">
        <v>18609</v>
      </c>
      <c r="E873" s="1" t="s">
        <v>280</v>
      </c>
      <c r="F873" s="53">
        <v>44515</v>
      </c>
      <c r="G873" s="1">
        <v>2021</v>
      </c>
      <c r="H873" s="1" t="s">
        <v>17284</v>
      </c>
      <c r="I873" s="1" t="s">
        <v>17285</v>
      </c>
      <c r="J873" s="1" t="s">
        <v>3</v>
      </c>
      <c r="K873" s="36">
        <v>30576</v>
      </c>
      <c r="L873" s="1">
        <v>1</v>
      </c>
      <c r="M873" s="37">
        <v>30576</v>
      </c>
      <c r="N873" s="1" t="s">
        <v>20155</v>
      </c>
      <c r="O873" s="1" t="s">
        <v>16394</v>
      </c>
      <c r="P873" s="876">
        <v>44537</v>
      </c>
      <c r="Q873" s="466">
        <v>0</v>
      </c>
      <c r="R873" s="466">
        <v>0</v>
      </c>
      <c r="S873" s="466">
        <v>0</v>
      </c>
      <c r="T873" s="466">
        <v>5600</v>
      </c>
      <c r="U873" s="466">
        <v>5600</v>
      </c>
      <c r="V873" s="11" t="e">
        <v>#N/A</v>
      </c>
      <c r="W873" s="39">
        <v>0</v>
      </c>
      <c r="X873" s="39">
        <v>0</v>
      </c>
      <c r="Y873" s="39">
        <v>0</v>
      </c>
      <c r="Z873" s="39">
        <v>30576</v>
      </c>
      <c r="AA873" s="56"/>
      <c r="AB873" s="56"/>
      <c r="AC873" s="56"/>
      <c r="AD873" s="56">
        <v>5.46</v>
      </c>
      <c r="AE873" s="41">
        <v>0</v>
      </c>
      <c r="AF873" s="42">
        <v>0</v>
      </c>
      <c r="AG873" s="42">
        <v>0</v>
      </c>
      <c r="AH873" s="467"/>
      <c r="AI873" s="467"/>
      <c r="AJ873" s="467"/>
      <c r="AK873" s="467">
        <v>5.46</v>
      </c>
      <c r="AL873" s="44">
        <v>0</v>
      </c>
      <c r="AM873" s="44">
        <v>0</v>
      </c>
      <c r="AN873" s="468">
        <v>0</v>
      </c>
      <c r="AO873" s="468">
        <v>1</v>
      </c>
    </row>
    <row r="874" spans="1:41" hidden="1">
      <c r="A874" s="50">
        <v>269</v>
      </c>
      <c r="B874" s="1" t="s">
        <v>281</v>
      </c>
      <c r="C874" s="50">
        <v>0</v>
      </c>
      <c r="D874" s="464" t="s">
        <v>18610</v>
      </c>
      <c r="E874" s="1" t="s">
        <v>281</v>
      </c>
      <c r="F874" s="53">
        <v>44519</v>
      </c>
      <c r="G874" s="1">
        <v>2021</v>
      </c>
      <c r="H874" s="1" t="s">
        <v>17017</v>
      </c>
      <c r="I874" s="1" t="s">
        <v>17018</v>
      </c>
      <c r="J874" s="1" t="s">
        <v>3</v>
      </c>
      <c r="K874" s="36">
        <v>28448</v>
      </c>
      <c r="L874" s="1">
        <v>1</v>
      </c>
      <c r="M874" s="37">
        <v>28448</v>
      </c>
      <c r="N874" s="1" t="s">
        <v>20155</v>
      </c>
      <c r="O874" s="1" t="s">
        <v>17238</v>
      </c>
      <c r="P874" s="876">
        <v>44550</v>
      </c>
      <c r="Q874" s="466">
        <v>0</v>
      </c>
      <c r="R874" s="466">
        <v>0</v>
      </c>
      <c r="S874" s="466">
        <v>0</v>
      </c>
      <c r="T874" s="466">
        <v>5600</v>
      </c>
      <c r="U874" s="466">
        <v>5600</v>
      </c>
      <c r="V874" s="11" t="e">
        <v>#N/A</v>
      </c>
      <c r="W874" s="39">
        <v>0</v>
      </c>
      <c r="X874" s="39">
        <v>0</v>
      </c>
      <c r="Y874" s="39">
        <v>0</v>
      </c>
      <c r="Z874" s="39">
        <v>28448</v>
      </c>
      <c r="AA874" s="56"/>
      <c r="AB874" s="56"/>
      <c r="AC874" s="56"/>
      <c r="AD874" s="56">
        <v>5.08</v>
      </c>
      <c r="AE874" s="41">
        <v>0</v>
      </c>
      <c r="AF874" s="42">
        <v>0</v>
      </c>
      <c r="AG874" s="42">
        <v>0</v>
      </c>
      <c r="AH874" s="467"/>
      <c r="AI874" s="467"/>
      <c r="AJ874" s="467"/>
      <c r="AK874" s="467">
        <v>5.08</v>
      </c>
      <c r="AL874" s="44">
        <v>0</v>
      </c>
      <c r="AM874" s="44">
        <v>0</v>
      </c>
      <c r="AN874" s="468">
        <v>0</v>
      </c>
      <c r="AO874" s="468">
        <v>1</v>
      </c>
    </row>
    <row r="875" spans="1:41" hidden="1">
      <c r="A875" s="50">
        <v>270</v>
      </c>
      <c r="B875" s="1" t="s">
        <v>282</v>
      </c>
      <c r="C875" s="50">
        <v>0</v>
      </c>
      <c r="D875" s="464" t="s">
        <v>18611</v>
      </c>
      <c r="E875" s="1" t="s">
        <v>282</v>
      </c>
      <c r="F875" s="53">
        <v>44523</v>
      </c>
      <c r="G875" s="1">
        <v>2021</v>
      </c>
      <c r="H875" s="1" t="s">
        <v>16904</v>
      </c>
      <c r="I875" s="1" t="s">
        <v>16905</v>
      </c>
      <c r="J875" s="1" t="s">
        <v>16482</v>
      </c>
      <c r="K875" s="36">
        <v>76797.441800000001</v>
      </c>
      <c r="L875" s="1">
        <v>3.2467000000000001</v>
      </c>
      <c r="M875" s="37">
        <v>23654</v>
      </c>
      <c r="N875" s="1" t="s">
        <v>20155</v>
      </c>
      <c r="O875" s="1" t="s">
        <v>20160</v>
      </c>
      <c r="P875" s="876">
        <v>44530</v>
      </c>
      <c r="Q875" s="466">
        <v>0</v>
      </c>
      <c r="R875" s="466">
        <v>21600</v>
      </c>
      <c r="S875" s="466">
        <v>0</v>
      </c>
      <c r="T875" s="466">
        <v>0</v>
      </c>
      <c r="U875" s="466">
        <v>21600</v>
      </c>
      <c r="V875" s="11" t="e">
        <v>#N/A</v>
      </c>
      <c r="W875" s="39">
        <v>0</v>
      </c>
      <c r="X875" s="39">
        <v>76797.441800000001</v>
      </c>
      <c r="Y875" s="39">
        <v>0</v>
      </c>
      <c r="Z875" s="39">
        <v>0</v>
      </c>
      <c r="AA875" s="56"/>
      <c r="AB875" s="56">
        <v>3.5554371203703705</v>
      </c>
      <c r="AC875" s="56"/>
      <c r="AD875" s="56"/>
      <c r="AE875" s="41">
        <v>4346.8160000000007</v>
      </c>
      <c r="AF875" s="42">
        <v>12532.495000000001</v>
      </c>
      <c r="AG875" s="42">
        <v>0.5802081018518519</v>
      </c>
      <c r="AH875" s="467">
        <v>0</v>
      </c>
      <c r="AI875" s="467">
        <v>2.9752290185185188</v>
      </c>
      <c r="AJ875" s="467"/>
      <c r="AK875" s="467"/>
      <c r="AL875" s="44">
        <v>0</v>
      </c>
      <c r="AM875" s="44">
        <v>1</v>
      </c>
      <c r="AN875" s="468">
        <v>0</v>
      </c>
      <c r="AO875" s="468">
        <v>0</v>
      </c>
    </row>
    <row r="876" spans="1:41" hidden="1">
      <c r="A876" s="50">
        <v>271</v>
      </c>
      <c r="B876" s="1" t="s">
        <v>283</v>
      </c>
      <c r="C876" s="50">
        <v>0</v>
      </c>
      <c r="D876" s="464" t="s">
        <v>18612</v>
      </c>
      <c r="E876" s="1" t="s">
        <v>283</v>
      </c>
      <c r="F876" s="53">
        <v>44524</v>
      </c>
      <c r="G876" s="1">
        <v>2021</v>
      </c>
      <c r="H876" s="1" t="s">
        <v>16904</v>
      </c>
      <c r="I876" s="1" t="s">
        <v>16905</v>
      </c>
      <c r="J876" s="1" t="s">
        <v>16482</v>
      </c>
      <c r="K876" s="36">
        <v>76797.441800000001</v>
      </c>
      <c r="L876" s="1">
        <v>3.2467000000000001</v>
      </c>
      <c r="M876" s="37">
        <v>23654</v>
      </c>
      <c r="N876" s="1" t="s">
        <v>20155</v>
      </c>
      <c r="O876" s="1" t="s">
        <v>20160</v>
      </c>
      <c r="P876" s="876">
        <v>44530</v>
      </c>
      <c r="Q876" s="466">
        <v>0</v>
      </c>
      <c r="R876" s="466">
        <v>21600</v>
      </c>
      <c r="S876" s="466">
        <v>0</v>
      </c>
      <c r="T876" s="466">
        <v>0</v>
      </c>
      <c r="U876" s="466">
        <v>21600</v>
      </c>
      <c r="V876" s="11" t="e">
        <v>#N/A</v>
      </c>
      <c r="W876" s="39">
        <v>0</v>
      </c>
      <c r="X876" s="39">
        <v>76797.441800000001</v>
      </c>
      <c r="Y876" s="39">
        <v>0</v>
      </c>
      <c r="Z876" s="39">
        <v>0</v>
      </c>
      <c r="AA876" s="56"/>
      <c r="AB876" s="56">
        <v>3.5554371203703705</v>
      </c>
      <c r="AC876" s="56"/>
      <c r="AD876" s="56"/>
      <c r="AE876" s="41">
        <v>4346.8160000000007</v>
      </c>
      <c r="AF876" s="42">
        <v>12532.495000000001</v>
      </c>
      <c r="AG876" s="42">
        <v>0.5802081018518519</v>
      </c>
      <c r="AH876" s="467">
        <v>0</v>
      </c>
      <c r="AI876" s="467">
        <v>2.9752290185185188</v>
      </c>
      <c r="AJ876" s="467"/>
      <c r="AK876" s="467"/>
      <c r="AL876" s="44">
        <v>0</v>
      </c>
      <c r="AM876" s="44">
        <v>1</v>
      </c>
      <c r="AN876" s="468">
        <v>0</v>
      </c>
      <c r="AO876" s="468">
        <v>0</v>
      </c>
    </row>
    <row r="877" spans="1:41" hidden="1">
      <c r="A877" s="50">
        <v>272</v>
      </c>
      <c r="B877" s="1" t="s">
        <v>284</v>
      </c>
      <c r="C877" s="50">
        <v>0</v>
      </c>
      <c r="D877" s="464" t="s">
        <v>18613</v>
      </c>
      <c r="E877" s="1" t="s">
        <v>284</v>
      </c>
      <c r="F877" s="53">
        <v>44525</v>
      </c>
      <c r="G877" s="1">
        <v>2021</v>
      </c>
      <c r="H877" s="1" t="s">
        <v>16904</v>
      </c>
      <c r="I877" s="1" t="s">
        <v>16905</v>
      </c>
      <c r="J877" s="1" t="s">
        <v>16482</v>
      </c>
      <c r="K877" s="36">
        <v>40525.309399999998</v>
      </c>
      <c r="L877" s="1">
        <v>3.2467000000000001</v>
      </c>
      <c r="M877" s="37">
        <v>12482</v>
      </c>
      <c r="N877" s="1" t="s">
        <v>20155</v>
      </c>
      <c r="O877" s="1" t="s">
        <v>20160</v>
      </c>
      <c r="P877" s="876">
        <v>44530</v>
      </c>
      <c r="Q877" s="466">
        <v>0</v>
      </c>
      <c r="R877" s="466">
        <v>10800</v>
      </c>
      <c r="S877" s="466">
        <v>0</v>
      </c>
      <c r="T877" s="466">
        <v>0</v>
      </c>
      <c r="U877" s="466">
        <v>10800</v>
      </c>
      <c r="V877" s="11" t="e">
        <v>#N/A</v>
      </c>
      <c r="W877" s="39">
        <v>0</v>
      </c>
      <c r="X877" s="39">
        <v>40525.309399999998</v>
      </c>
      <c r="Y877" s="39">
        <v>0</v>
      </c>
      <c r="Z877" s="39">
        <v>0</v>
      </c>
      <c r="AA877" s="56"/>
      <c r="AB877" s="56">
        <v>3.7523434629629628</v>
      </c>
      <c r="AC877" s="56"/>
      <c r="AD877" s="56"/>
      <c r="AE877" s="41">
        <v>3248.3</v>
      </c>
      <c r="AF877" s="42">
        <v>9675.2049999999999</v>
      </c>
      <c r="AG877" s="42">
        <v>0.89585231481481475</v>
      </c>
      <c r="AH877" s="467">
        <v>0</v>
      </c>
      <c r="AI877" s="467">
        <v>2.8564911481481481</v>
      </c>
      <c r="AJ877" s="467"/>
      <c r="AK877" s="467"/>
      <c r="AL877" s="44">
        <v>0</v>
      </c>
      <c r="AM877" s="44">
        <v>1</v>
      </c>
      <c r="AN877" s="468">
        <v>0</v>
      </c>
      <c r="AO877" s="468">
        <v>0</v>
      </c>
    </row>
    <row r="878" spans="1:41" hidden="1">
      <c r="A878" s="50">
        <v>273</v>
      </c>
      <c r="B878" s="1" t="s">
        <v>285</v>
      </c>
      <c r="C878" s="50">
        <v>0</v>
      </c>
      <c r="D878" s="464" t="s">
        <v>18614</v>
      </c>
      <c r="E878" s="1" t="s">
        <v>285</v>
      </c>
      <c r="F878" s="53">
        <v>44524</v>
      </c>
      <c r="G878" s="1">
        <v>2021</v>
      </c>
      <c r="H878" s="520" t="s">
        <v>16838</v>
      </c>
      <c r="I878" s="1" t="s">
        <v>16839</v>
      </c>
      <c r="J878" s="1" t="s">
        <v>3</v>
      </c>
      <c r="K878" s="36">
        <v>170562</v>
      </c>
      <c r="L878" s="1">
        <v>1</v>
      </c>
      <c r="M878" s="37">
        <v>170562</v>
      </c>
      <c r="N878" s="1" t="s">
        <v>20155</v>
      </c>
      <c r="O878" s="1" t="s">
        <v>20321</v>
      </c>
      <c r="P878" s="876">
        <v>44529</v>
      </c>
      <c r="Q878" s="466">
        <v>0</v>
      </c>
      <c r="R878" s="466">
        <v>110040</v>
      </c>
      <c r="S878" s="466">
        <v>0</v>
      </c>
      <c r="T878" s="466">
        <v>0</v>
      </c>
      <c r="U878" s="466">
        <v>110040</v>
      </c>
      <c r="V878" s="11" t="s">
        <v>20155</v>
      </c>
      <c r="W878" s="39">
        <v>0</v>
      </c>
      <c r="X878" s="39">
        <v>170562</v>
      </c>
      <c r="Y878" s="39">
        <v>0</v>
      </c>
      <c r="Z878" s="39">
        <v>0</v>
      </c>
      <c r="AA878" s="56"/>
      <c r="AB878" s="56">
        <v>1.55</v>
      </c>
      <c r="AC878" s="56"/>
      <c r="AD878" s="56"/>
      <c r="AE878" s="41">
        <v>0</v>
      </c>
      <c r="AF878" s="42">
        <v>0</v>
      </c>
      <c r="AG878" s="42">
        <v>0</v>
      </c>
      <c r="AH878" s="467">
        <v>0</v>
      </c>
      <c r="AI878" s="467">
        <v>1.55</v>
      </c>
      <c r="AJ878" s="467">
        <v>0</v>
      </c>
      <c r="AK878" s="467">
        <v>0</v>
      </c>
      <c r="AL878" s="44">
        <v>0</v>
      </c>
      <c r="AM878" s="44" t="s">
        <v>20300</v>
      </c>
      <c r="AN878" s="468">
        <v>0</v>
      </c>
      <c r="AO878" s="468">
        <v>0</v>
      </c>
    </row>
    <row r="879" spans="1:41" hidden="1">
      <c r="A879" s="50">
        <v>274</v>
      </c>
      <c r="B879" s="1" t="s">
        <v>286</v>
      </c>
      <c r="C879" s="50">
        <v>0</v>
      </c>
      <c r="D879" s="464" t="s">
        <v>18615</v>
      </c>
      <c r="E879" s="1" t="s">
        <v>286</v>
      </c>
      <c r="F879" s="53">
        <v>44525</v>
      </c>
      <c r="G879" s="1">
        <v>2021</v>
      </c>
      <c r="H879" s="1" t="s">
        <v>16880</v>
      </c>
      <c r="I879" s="1" t="s">
        <v>16881</v>
      </c>
      <c r="J879" s="1" t="s">
        <v>16401</v>
      </c>
      <c r="K879" s="36">
        <v>80509.252500000002</v>
      </c>
      <c r="L879" s="1">
        <v>2.8778999999999999</v>
      </c>
      <c r="M879" s="37">
        <v>27975</v>
      </c>
      <c r="N879" s="1" t="s">
        <v>20155</v>
      </c>
      <c r="O879" s="1" t="s">
        <v>20156</v>
      </c>
      <c r="P879" s="876">
        <v>44537</v>
      </c>
      <c r="Q879" s="466">
        <v>0</v>
      </c>
      <c r="R879" s="466">
        <v>19500</v>
      </c>
      <c r="S879" s="466">
        <v>0</v>
      </c>
      <c r="T879" s="466">
        <v>0</v>
      </c>
      <c r="U879" s="466">
        <v>19500</v>
      </c>
      <c r="V879" s="11" t="e">
        <v>#N/A</v>
      </c>
      <c r="W879" s="39">
        <v>0</v>
      </c>
      <c r="X879" s="39">
        <v>80373.573749999996</v>
      </c>
      <c r="Y879" s="39">
        <v>0</v>
      </c>
      <c r="Z879" s="39">
        <v>0</v>
      </c>
      <c r="AA879" s="56"/>
      <c r="AB879" s="56">
        <v>4.1217217307692309</v>
      </c>
      <c r="AC879" s="56"/>
      <c r="AD879" s="56"/>
      <c r="AE879" s="41">
        <v>0</v>
      </c>
      <c r="AF879" s="42">
        <v>1558.32</v>
      </c>
      <c r="AG879" s="42">
        <v>7.9913846153846155E-2</v>
      </c>
      <c r="AH879" s="467"/>
      <c r="AI879" s="467">
        <v>4.0418078846153849</v>
      </c>
      <c r="AJ879" s="467"/>
      <c r="AK879" s="467"/>
      <c r="AL879" s="44">
        <v>0</v>
      </c>
      <c r="AM879" s="44">
        <v>1</v>
      </c>
      <c r="AN879" s="468">
        <v>0</v>
      </c>
      <c r="AO879" s="468">
        <v>0</v>
      </c>
    </row>
    <row r="880" spans="1:41" hidden="1">
      <c r="A880" s="50">
        <v>275</v>
      </c>
      <c r="B880" s="1" t="s">
        <v>287</v>
      </c>
      <c r="C880" s="50">
        <v>0</v>
      </c>
      <c r="D880" s="464" t="s">
        <v>18616</v>
      </c>
      <c r="E880" s="1" t="s">
        <v>287</v>
      </c>
      <c r="F880" s="53">
        <v>44525</v>
      </c>
      <c r="G880" s="1">
        <v>2021</v>
      </c>
      <c r="H880" s="1" t="s">
        <v>17017</v>
      </c>
      <c r="I880" s="1" t="s">
        <v>17018</v>
      </c>
      <c r="J880" s="1" t="s">
        <v>3</v>
      </c>
      <c r="K880" s="36">
        <v>34363.523000000001</v>
      </c>
      <c r="L880" s="1">
        <v>1</v>
      </c>
      <c r="M880" s="37">
        <v>34363.523000000001</v>
      </c>
      <c r="N880" s="1" t="s">
        <v>20155</v>
      </c>
      <c r="O880" s="1" t="s">
        <v>17954</v>
      </c>
      <c r="P880" s="876">
        <v>44539</v>
      </c>
      <c r="Q880" s="466">
        <v>0</v>
      </c>
      <c r="R880" s="466">
        <v>12367.88</v>
      </c>
      <c r="S880" s="466">
        <v>1800</v>
      </c>
      <c r="T880" s="466">
        <v>9227.9599999999991</v>
      </c>
      <c r="U880" s="466">
        <v>23395.84</v>
      </c>
      <c r="V880" s="11" t="e">
        <v>#N/A</v>
      </c>
      <c r="W880" s="39">
        <v>0</v>
      </c>
      <c r="X880" s="39">
        <v>26278.685600000001</v>
      </c>
      <c r="Y880" s="39">
        <v>2642.4</v>
      </c>
      <c r="Z880" s="39">
        <v>5442.9759999999997</v>
      </c>
      <c r="AA880" s="56"/>
      <c r="AB880" s="56">
        <v>2.1247526334343476</v>
      </c>
      <c r="AC880" s="56">
        <v>1.468</v>
      </c>
      <c r="AD880" s="56">
        <v>0.5898352398579968</v>
      </c>
      <c r="AE880" s="41">
        <v>0</v>
      </c>
      <c r="AF880" s="42">
        <v>0</v>
      </c>
      <c r="AG880" s="42">
        <v>0</v>
      </c>
      <c r="AH880" s="467"/>
      <c r="AI880" s="467">
        <v>2.1247526334343476</v>
      </c>
      <c r="AJ880" s="467">
        <v>1.468</v>
      </c>
      <c r="AK880" s="467">
        <v>0.5898352398579968</v>
      </c>
      <c r="AL880" s="44">
        <v>0</v>
      </c>
      <c r="AM880" s="44">
        <v>1</v>
      </c>
      <c r="AN880" s="468">
        <v>1</v>
      </c>
      <c r="AO880" s="468">
        <v>1</v>
      </c>
    </row>
    <row r="881" spans="1:41" hidden="1">
      <c r="A881" s="50">
        <v>276</v>
      </c>
      <c r="B881" s="1" t="s">
        <v>288</v>
      </c>
      <c r="C881" s="50">
        <v>0</v>
      </c>
      <c r="D881" s="464" t="s">
        <v>18617</v>
      </c>
      <c r="E881" s="1" t="s">
        <v>288</v>
      </c>
      <c r="F881" s="53">
        <v>44525</v>
      </c>
      <c r="G881" s="1">
        <v>2021</v>
      </c>
      <c r="H881" s="1" t="s">
        <v>16470</v>
      </c>
      <c r="I881" s="1" t="s">
        <v>16471</v>
      </c>
      <c r="J881" s="1" t="s">
        <v>16401</v>
      </c>
      <c r="K881" s="36">
        <v>314511.43803799996</v>
      </c>
      <c r="L881" s="1">
        <v>2.8782999999999999</v>
      </c>
      <c r="M881" s="37">
        <v>109269.86</v>
      </c>
      <c r="N881" s="1" t="s">
        <v>20155</v>
      </c>
      <c r="O881" s="1" t="s">
        <v>18227</v>
      </c>
      <c r="P881" s="876">
        <v>44539</v>
      </c>
      <c r="Q881" s="466">
        <v>14400</v>
      </c>
      <c r="R881" s="466">
        <v>144396</v>
      </c>
      <c r="S881" s="466">
        <v>0</v>
      </c>
      <c r="T881" s="466">
        <v>0</v>
      </c>
      <c r="U881" s="466">
        <v>158796</v>
      </c>
      <c r="V881" s="11" t="e">
        <v>#N/A</v>
      </c>
      <c r="W881" s="39">
        <v>31369.8824023124</v>
      </c>
      <c r="X881" s="39">
        <v>283141.5556356876</v>
      </c>
      <c r="Y881" s="39">
        <v>0</v>
      </c>
      <c r="Z881" s="39">
        <v>0</v>
      </c>
      <c r="AA881" s="56">
        <v>2.1784640557161388</v>
      </c>
      <c r="AB881" s="56">
        <v>1.9608684148846756</v>
      </c>
      <c r="AC881" s="56"/>
      <c r="AD881" s="56"/>
      <c r="AE881" s="41">
        <v>24522.804000000004</v>
      </c>
      <c r="AF881" s="42">
        <v>69410.59</v>
      </c>
      <c r="AG881" s="42">
        <v>0.43710540567772488</v>
      </c>
      <c r="AH881" s="467">
        <v>1.7413586500384139</v>
      </c>
      <c r="AI881" s="467">
        <v>1.5237630092069507</v>
      </c>
      <c r="AJ881" s="467"/>
      <c r="AK881" s="467"/>
      <c r="AL881" s="44">
        <v>1</v>
      </c>
      <c r="AM881" s="44" t="s">
        <v>20320</v>
      </c>
      <c r="AN881" s="468">
        <v>0</v>
      </c>
      <c r="AO881" s="468">
        <v>0</v>
      </c>
    </row>
    <row r="882" spans="1:41" hidden="1">
      <c r="A882" s="50">
        <v>277</v>
      </c>
      <c r="B882" s="1" t="s">
        <v>289</v>
      </c>
      <c r="C882" s="50">
        <v>0</v>
      </c>
      <c r="D882" s="464" t="s">
        <v>18618</v>
      </c>
      <c r="E882" s="1" t="s">
        <v>289</v>
      </c>
      <c r="F882" s="53">
        <v>44531</v>
      </c>
      <c r="G882" s="1">
        <v>2021</v>
      </c>
      <c r="H882" s="1" t="s">
        <v>16838</v>
      </c>
      <c r="I882" s="1" t="s">
        <v>16839</v>
      </c>
      <c r="J882" s="1" t="s">
        <v>3</v>
      </c>
      <c r="K882" s="36">
        <v>103530</v>
      </c>
      <c r="L882" s="1">
        <v>1</v>
      </c>
      <c r="M882" s="37">
        <v>103530</v>
      </c>
      <c r="N882" s="1" t="s">
        <v>20155</v>
      </c>
      <c r="O882" s="1" t="s">
        <v>17771</v>
      </c>
      <c r="P882" s="876">
        <v>44546</v>
      </c>
      <c r="Q882" s="466">
        <v>0</v>
      </c>
      <c r="R882" s="466">
        <v>0</v>
      </c>
      <c r="S882" s="466">
        <v>56000</v>
      </c>
      <c r="T882" s="466">
        <v>0</v>
      </c>
      <c r="U882" s="466">
        <v>56000</v>
      </c>
      <c r="V882" s="11" t="s">
        <v>20155</v>
      </c>
      <c r="W882" s="39">
        <v>0</v>
      </c>
      <c r="X882" s="39">
        <v>0</v>
      </c>
      <c r="Y882" s="39">
        <v>103530</v>
      </c>
      <c r="Z882" s="39">
        <v>0</v>
      </c>
      <c r="AA882" s="56"/>
      <c r="AB882" s="56"/>
      <c r="AC882" s="56">
        <v>1.8487499999999999</v>
      </c>
      <c r="AD882" s="56"/>
      <c r="AE882" s="41">
        <v>0</v>
      </c>
      <c r="AF882" s="42">
        <v>0</v>
      </c>
      <c r="AG882" s="42">
        <v>0</v>
      </c>
      <c r="AH882" s="467"/>
      <c r="AI882" s="467"/>
      <c r="AJ882" s="467">
        <v>1.8487499999999999</v>
      </c>
      <c r="AK882" s="467"/>
      <c r="AL882" s="44">
        <v>0</v>
      </c>
      <c r="AM882" s="44">
        <v>0</v>
      </c>
      <c r="AN882" s="468" t="s">
        <v>20300</v>
      </c>
      <c r="AO882" s="468">
        <v>0</v>
      </c>
    </row>
    <row r="883" spans="1:41" hidden="1">
      <c r="A883" s="50">
        <v>278</v>
      </c>
      <c r="B883" s="1" t="s">
        <v>290</v>
      </c>
      <c r="C883" s="50">
        <v>0</v>
      </c>
      <c r="D883" s="464" t="s">
        <v>18619</v>
      </c>
      <c r="E883" s="1" t="s">
        <v>290</v>
      </c>
      <c r="F883" s="53">
        <v>44531</v>
      </c>
      <c r="G883" s="1">
        <v>2021</v>
      </c>
      <c r="H883" s="1" t="s">
        <v>16838</v>
      </c>
      <c r="I883" s="1" t="s">
        <v>16839</v>
      </c>
      <c r="J883" s="1" t="s">
        <v>3</v>
      </c>
      <c r="K883" s="36">
        <v>231998.4</v>
      </c>
      <c r="L883" s="1">
        <v>1</v>
      </c>
      <c r="M883" s="37">
        <v>231998.4</v>
      </c>
      <c r="N883" s="1" t="s">
        <v>20155</v>
      </c>
      <c r="O883" s="1" t="s">
        <v>17949</v>
      </c>
      <c r="P883" s="876">
        <v>44555</v>
      </c>
      <c r="Q883" s="466">
        <v>44016</v>
      </c>
      <c r="R883" s="466">
        <v>56160</v>
      </c>
      <c r="S883" s="466">
        <v>0</v>
      </c>
      <c r="T883" s="466">
        <v>0</v>
      </c>
      <c r="U883" s="466">
        <v>100176</v>
      </c>
      <c r="V883" s="11" t="s">
        <v>20155</v>
      </c>
      <c r="W883" s="39">
        <v>105638.39999999999</v>
      </c>
      <c r="X883" s="39">
        <v>126360</v>
      </c>
      <c r="Y883" s="39">
        <v>0</v>
      </c>
      <c r="Z883" s="39">
        <v>0</v>
      </c>
      <c r="AA883" s="56">
        <v>2.4</v>
      </c>
      <c r="AB883" s="56">
        <v>2.25</v>
      </c>
      <c r="AC883" s="56"/>
      <c r="AD883" s="56"/>
      <c r="AE883" s="41">
        <v>0</v>
      </c>
      <c r="AF883" s="42">
        <v>0</v>
      </c>
      <c r="AG883" s="42">
        <v>0</v>
      </c>
      <c r="AH883" s="467">
        <v>2.4</v>
      </c>
      <c r="AI883" s="467">
        <v>2.25</v>
      </c>
      <c r="AJ883" s="467"/>
      <c r="AK883" s="467"/>
      <c r="AL883" s="44">
        <v>1</v>
      </c>
      <c r="AM883" s="44" t="s">
        <v>20320</v>
      </c>
      <c r="AN883" s="468">
        <v>0</v>
      </c>
      <c r="AO883" s="468">
        <v>0</v>
      </c>
    </row>
    <row r="884" spans="1:41" hidden="1">
      <c r="A884" s="50">
        <v>279</v>
      </c>
      <c r="B884" s="1" t="s">
        <v>291</v>
      </c>
      <c r="C884" s="50">
        <v>0</v>
      </c>
      <c r="D884" s="464" t="s">
        <v>18620</v>
      </c>
      <c r="E884" s="1" t="s">
        <v>291</v>
      </c>
      <c r="F884" s="53">
        <v>44531</v>
      </c>
      <c r="G884" s="1">
        <v>2021</v>
      </c>
      <c r="H884" s="1" t="s">
        <v>17302</v>
      </c>
      <c r="I884" s="1" t="s">
        <v>17303</v>
      </c>
      <c r="J884" s="1" t="s">
        <v>16482</v>
      </c>
      <c r="K884" s="36">
        <v>168276.46739999999</v>
      </c>
      <c r="L884" s="1">
        <v>3.2527499999999998</v>
      </c>
      <c r="M884" s="37">
        <v>51733.599999999999</v>
      </c>
      <c r="N884" s="1" t="s">
        <v>20155</v>
      </c>
      <c r="O884" s="1" t="s">
        <v>16394</v>
      </c>
      <c r="P884" s="876">
        <v>44543</v>
      </c>
      <c r="Q884" s="466">
        <v>0</v>
      </c>
      <c r="R884" s="466">
        <v>27664</v>
      </c>
      <c r="S884" s="466">
        <v>6000</v>
      </c>
      <c r="T884" s="466">
        <v>6800</v>
      </c>
      <c r="U884" s="466">
        <v>40464</v>
      </c>
      <c r="V884" s="11" t="e">
        <v>#N/A</v>
      </c>
      <c r="W884" s="39">
        <v>0</v>
      </c>
      <c r="X884" s="39">
        <v>108673.07639999999</v>
      </c>
      <c r="Y884" s="39">
        <v>22443.974999999995</v>
      </c>
      <c r="Z884" s="39">
        <v>37159.415999999997</v>
      </c>
      <c r="AA884" s="56"/>
      <c r="AB884" s="56">
        <v>3.9283211538461535</v>
      </c>
      <c r="AC884" s="56">
        <v>3.7406624999999991</v>
      </c>
      <c r="AD884" s="56">
        <v>5.46462</v>
      </c>
      <c r="AE884" s="41">
        <v>4315.5249999999996</v>
      </c>
      <c r="AF884" s="42">
        <v>47617.34</v>
      </c>
      <c r="AG884" s="42">
        <v>1.1767828192961645</v>
      </c>
      <c r="AH884" s="467"/>
      <c r="AI884" s="467">
        <v>2.7515383345499891</v>
      </c>
      <c r="AJ884" s="467">
        <v>2.5638796807038347</v>
      </c>
      <c r="AK884" s="467">
        <v>4.2878371807038356</v>
      </c>
      <c r="AL884" s="44">
        <v>0</v>
      </c>
      <c r="AM884" s="44">
        <v>1</v>
      </c>
      <c r="AN884" s="468">
        <v>1</v>
      </c>
      <c r="AO884" s="468">
        <v>1</v>
      </c>
    </row>
    <row r="885" spans="1:41" hidden="1">
      <c r="A885" s="50">
        <v>280</v>
      </c>
      <c r="B885" s="1" t="s">
        <v>292</v>
      </c>
      <c r="C885" s="50">
        <v>0</v>
      </c>
      <c r="D885" s="464" t="s">
        <v>18622</v>
      </c>
      <c r="E885" s="1" t="s">
        <v>292</v>
      </c>
      <c r="F885" s="53">
        <v>44533</v>
      </c>
      <c r="G885" s="1">
        <v>2021</v>
      </c>
      <c r="H885" s="1" t="s">
        <v>16444</v>
      </c>
      <c r="I885" s="1" t="s">
        <v>16445</v>
      </c>
      <c r="J885" s="1" t="s">
        <v>3</v>
      </c>
      <c r="K885" s="36">
        <v>34944</v>
      </c>
      <c r="L885" s="1">
        <v>1</v>
      </c>
      <c r="M885" s="37">
        <v>34944</v>
      </c>
      <c r="N885" s="1" t="s">
        <v>20155</v>
      </c>
      <c r="O885" s="1" t="s">
        <v>20321</v>
      </c>
      <c r="P885" s="876">
        <v>44545</v>
      </c>
      <c r="Q885" s="466">
        <v>19200</v>
      </c>
      <c r="R885" s="466">
        <v>0</v>
      </c>
      <c r="S885" s="466">
        <v>0</v>
      </c>
      <c r="T885" s="466">
        <v>0</v>
      </c>
      <c r="U885" s="466">
        <v>19200</v>
      </c>
      <c r="V885" s="11" t="e">
        <v>#N/A</v>
      </c>
      <c r="W885" s="39">
        <v>34944</v>
      </c>
      <c r="X885" s="39">
        <v>0</v>
      </c>
      <c r="Y885" s="39">
        <v>0</v>
      </c>
      <c r="Z885" s="39">
        <v>0</v>
      </c>
      <c r="AA885" s="56">
        <v>1.82</v>
      </c>
      <c r="AB885" s="56"/>
      <c r="AC885" s="56"/>
      <c r="AD885" s="56"/>
      <c r="AE885" s="41">
        <v>0</v>
      </c>
      <c r="AF885" s="42">
        <v>0</v>
      </c>
      <c r="AG885" s="42">
        <v>0</v>
      </c>
      <c r="AH885" s="467">
        <v>1.82</v>
      </c>
      <c r="AI885" s="467"/>
      <c r="AJ885" s="467"/>
      <c r="AK885" s="467"/>
      <c r="AL885" s="44">
        <v>1</v>
      </c>
      <c r="AM885" s="44">
        <v>0</v>
      </c>
      <c r="AN885" s="468">
        <v>0</v>
      </c>
      <c r="AO885" s="468">
        <v>0</v>
      </c>
    </row>
    <row r="886" spans="1:41" hidden="1">
      <c r="A886" s="50">
        <v>281</v>
      </c>
      <c r="B886" s="1" t="s">
        <v>293</v>
      </c>
      <c r="C886" s="50">
        <v>0</v>
      </c>
      <c r="D886" s="464" t="s">
        <v>18623</v>
      </c>
      <c r="E886" s="1" t="s">
        <v>293</v>
      </c>
      <c r="F886" s="53">
        <v>44534</v>
      </c>
      <c r="G886" s="1">
        <v>2021</v>
      </c>
      <c r="H886" s="1" t="s">
        <v>16444</v>
      </c>
      <c r="I886" s="1" t="s">
        <v>16445</v>
      </c>
      <c r="J886" s="1" t="s">
        <v>3</v>
      </c>
      <c r="K886" s="36">
        <v>34368</v>
      </c>
      <c r="L886" s="1">
        <v>1</v>
      </c>
      <c r="M886" s="37">
        <v>34368</v>
      </c>
      <c r="N886" s="1" t="s">
        <v>20155</v>
      </c>
      <c r="O886" s="1" t="s">
        <v>20321</v>
      </c>
      <c r="P886" s="876">
        <v>44545</v>
      </c>
      <c r="Q886" s="466">
        <v>19200</v>
      </c>
      <c r="R886" s="466">
        <v>0</v>
      </c>
      <c r="S886" s="466">
        <v>0</v>
      </c>
      <c r="T886" s="466">
        <v>0</v>
      </c>
      <c r="U886" s="466">
        <v>19200</v>
      </c>
      <c r="V886" s="11" t="e">
        <v>#N/A</v>
      </c>
      <c r="W886" s="39">
        <v>34368</v>
      </c>
      <c r="X886" s="39">
        <v>0</v>
      </c>
      <c r="Y886" s="39">
        <v>0</v>
      </c>
      <c r="Z886" s="39">
        <v>0</v>
      </c>
      <c r="AA886" s="56">
        <v>1.79</v>
      </c>
      <c r="AB886" s="56"/>
      <c r="AC886" s="56"/>
      <c r="AD886" s="56"/>
      <c r="AE886" s="41">
        <v>0</v>
      </c>
      <c r="AF886" s="42">
        <v>0</v>
      </c>
      <c r="AG886" s="42">
        <v>0</v>
      </c>
      <c r="AH886" s="467">
        <v>1.79</v>
      </c>
      <c r="AI886" s="467"/>
      <c r="AJ886" s="467"/>
      <c r="AK886" s="467"/>
      <c r="AL886" s="44">
        <v>1</v>
      </c>
      <c r="AM886" s="44">
        <v>0</v>
      </c>
      <c r="AN886" s="468">
        <v>0</v>
      </c>
      <c r="AO886" s="468">
        <v>0</v>
      </c>
    </row>
    <row r="887" spans="1:41" hidden="1">
      <c r="A887" s="50">
        <v>282</v>
      </c>
      <c r="B887" s="1" t="s">
        <v>294</v>
      </c>
      <c r="C887" s="50">
        <v>0</v>
      </c>
      <c r="D887" s="464" t="s">
        <v>18624</v>
      </c>
      <c r="E887" s="1" t="s">
        <v>294</v>
      </c>
      <c r="F887" s="53">
        <v>44537</v>
      </c>
      <c r="G887" s="1">
        <v>2021</v>
      </c>
      <c r="H887" s="1" t="s">
        <v>16904</v>
      </c>
      <c r="I887" s="1" t="s">
        <v>16905</v>
      </c>
      <c r="J887" s="1" t="s">
        <v>16482</v>
      </c>
      <c r="K887" s="36">
        <v>94315.012104000009</v>
      </c>
      <c r="L887" s="1">
        <v>3.2541000000000002</v>
      </c>
      <c r="M887" s="37">
        <v>28983.439999999999</v>
      </c>
      <c r="N887" s="1" t="s">
        <v>20155</v>
      </c>
      <c r="O887" s="1" t="s">
        <v>20160</v>
      </c>
      <c r="P887" s="876">
        <v>44551</v>
      </c>
      <c r="Q887" s="466">
        <v>0</v>
      </c>
      <c r="R887" s="466">
        <v>16236</v>
      </c>
      <c r="S887" s="466">
        <v>11100</v>
      </c>
      <c r="T887" s="466">
        <v>0</v>
      </c>
      <c r="U887" s="466">
        <v>27336</v>
      </c>
      <c r="V887" s="11" t="e">
        <v>#N/A</v>
      </c>
      <c r="W887" s="39">
        <v>0</v>
      </c>
      <c r="X887" s="39">
        <v>56138.255455764709</v>
      </c>
      <c r="Y887" s="39">
        <v>38176.756648235292</v>
      </c>
      <c r="Z887" s="39">
        <v>0</v>
      </c>
      <c r="AA887" s="56"/>
      <c r="AB887" s="56">
        <v>3.4576407647058827</v>
      </c>
      <c r="AC887" s="56">
        <v>3.4393474457869631</v>
      </c>
      <c r="AD887" s="56"/>
      <c r="AE887" s="41">
        <v>4340.9279999999999</v>
      </c>
      <c r="AF887" s="42">
        <v>12435.084999999999</v>
      </c>
      <c r="AG887" s="42">
        <v>0.45489775387767045</v>
      </c>
      <c r="AH887" s="467"/>
      <c r="AI887" s="467">
        <v>3.0027430108282123</v>
      </c>
      <c r="AJ887" s="467">
        <v>2.9844496919092927</v>
      </c>
      <c r="AK887" s="467"/>
      <c r="AL887" s="44">
        <v>0</v>
      </c>
      <c r="AM887" s="44">
        <v>1</v>
      </c>
      <c r="AN887" s="468">
        <v>1</v>
      </c>
      <c r="AO887" s="468">
        <v>0</v>
      </c>
    </row>
    <row r="888" spans="1:41" hidden="1">
      <c r="A888" s="50">
        <v>283</v>
      </c>
      <c r="B888" s="1" t="s">
        <v>295</v>
      </c>
      <c r="C888" s="50">
        <v>0</v>
      </c>
      <c r="D888" s="464" t="s">
        <v>18625</v>
      </c>
      <c r="E888" s="1" t="s">
        <v>295</v>
      </c>
      <c r="F888" s="53">
        <v>44537</v>
      </c>
      <c r="G888" s="1">
        <v>2021</v>
      </c>
      <c r="H888" s="1" t="s">
        <v>16838</v>
      </c>
      <c r="I888" s="1" t="s">
        <v>16839</v>
      </c>
      <c r="J888" s="1" t="s">
        <v>3</v>
      </c>
      <c r="K888" s="36">
        <v>281922.48</v>
      </c>
      <c r="L888" s="1">
        <v>1</v>
      </c>
      <c r="M888" s="37">
        <v>281922.48</v>
      </c>
      <c r="N888" s="1" t="s">
        <v>20155</v>
      </c>
      <c r="O888" s="1" t="s">
        <v>20321</v>
      </c>
      <c r="P888" s="876">
        <v>44559</v>
      </c>
      <c r="Q888" s="466">
        <v>0</v>
      </c>
      <c r="R888" s="466">
        <v>154056</v>
      </c>
      <c r="S888" s="466">
        <v>0</v>
      </c>
      <c r="T888" s="466">
        <v>0</v>
      </c>
      <c r="U888" s="466">
        <v>154056</v>
      </c>
      <c r="V888" s="11" t="s">
        <v>20155</v>
      </c>
      <c r="W888" s="39">
        <v>0</v>
      </c>
      <c r="X888" s="39">
        <v>281922.48</v>
      </c>
      <c r="Y888" s="39">
        <v>0</v>
      </c>
      <c r="Z888" s="39">
        <v>0</v>
      </c>
      <c r="AA888" s="56"/>
      <c r="AB888" s="56">
        <v>1.8299999999999998</v>
      </c>
      <c r="AC888" s="56"/>
      <c r="AD888" s="56"/>
      <c r="AE888" s="41">
        <v>0</v>
      </c>
      <c r="AF888" s="42">
        <v>0</v>
      </c>
      <c r="AG888" s="42">
        <v>0</v>
      </c>
      <c r="AH888" s="467"/>
      <c r="AI888" s="467">
        <v>1.8299999999999998</v>
      </c>
      <c r="AJ888" s="467"/>
      <c r="AK888" s="467"/>
      <c r="AL888" s="44">
        <v>0</v>
      </c>
      <c r="AM888" s="44" t="s">
        <v>20323</v>
      </c>
      <c r="AN888" s="468">
        <v>0</v>
      </c>
      <c r="AO888" s="468">
        <v>0</v>
      </c>
    </row>
    <row r="889" spans="1:41" hidden="1">
      <c r="A889" s="50">
        <v>284</v>
      </c>
      <c r="B889" s="1" t="s">
        <v>296</v>
      </c>
      <c r="C889" s="50">
        <v>0</v>
      </c>
      <c r="D889" s="464" t="s">
        <v>18626</v>
      </c>
      <c r="E889" s="1" t="s">
        <v>296</v>
      </c>
      <c r="F889" s="53">
        <v>44537</v>
      </c>
      <c r="G889" s="1">
        <v>2021</v>
      </c>
      <c r="H889" s="1" t="s">
        <v>16444</v>
      </c>
      <c r="I889" s="1" t="s">
        <v>16445</v>
      </c>
      <c r="J889" s="1" t="s">
        <v>3</v>
      </c>
      <c r="K889" s="36">
        <v>34944</v>
      </c>
      <c r="L889" s="1">
        <v>1</v>
      </c>
      <c r="M889" s="37">
        <v>34944</v>
      </c>
      <c r="N889" s="1" t="s">
        <v>20155</v>
      </c>
      <c r="O889" s="1" t="s">
        <v>18248</v>
      </c>
      <c r="P889" s="876">
        <v>44543</v>
      </c>
      <c r="Q889" s="466">
        <v>19200</v>
      </c>
      <c r="R889" s="466">
        <v>0</v>
      </c>
      <c r="S889" s="466">
        <v>0</v>
      </c>
      <c r="T889" s="466">
        <v>0</v>
      </c>
      <c r="U889" s="466">
        <v>19200</v>
      </c>
      <c r="V889" s="11" t="e">
        <v>#N/A</v>
      </c>
      <c r="W889" s="39">
        <v>34944</v>
      </c>
      <c r="X889" s="39">
        <v>0</v>
      </c>
      <c r="Y889" s="39">
        <v>0</v>
      </c>
      <c r="Z889" s="39">
        <v>0</v>
      </c>
      <c r="AA889" s="56">
        <v>1.82</v>
      </c>
      <c r="AB889" s="56"/>
      <c r="AC889" s="56"/>
      <c r="AD889" s="56"/>
      <c r="AE889" s="41">
        <v>0</v>
      </c>
      <c r="AF889" s="42">
        <v>0</v>
      </c>
      <c r="AG889" s="42">
        <v>0</v>
      </c>
      <c r="AH889" s="467">
        <v>1.82</v>
      </c>
      <c r="AI889" s="467"/>
      <c r="AJ889" s="467"/>
      <c r="AK889" s="467"/>
      <c r="AL889" s="44">
        <v>1</v>
      </c>
      <c r="AM889" s="44">
        <v>0</v>
      </c>
      <c r="AN889" s="468">
        <v>0</v>
      </c>
      <c r="AO889" s="468">
        <v>0</v>
      </c>
    </row>
    <row r="890" spans="1:41" hidden="1">
      <c r="A890" s="50">
        <v>285</v>
      </c>
      <c r="B890" s="1" t="s">
        <v>297</v>
      </c>
      <c r="C890" s="50">
        <v>0</v>
      </c>
      <c r="D890" s="464" t="s">
        <v>18627</v>
      </c>
      <c r="E890" s="1" t="s">
        <v>297</v>
      </c>
      <c r="F890" s="53">
        <v>44543</v>
      </c>
      <c r="G890" s="1">
        <v>2021</v>
      </c>
      <c r="H890" s="1" t="s">
        <v>16783</v>
      </c>
      <c r="I890" s="1" t="s">
        <v>16784</v>
      </c>
      <c r="J890" s="1" t="s">
        <v>16401</v>
      </c>
      <c r="K890" s="36">
        <v>310476.39777000004</v>
      </c>
      <c r="L890" s="1">
        <v>2.8854000000000002</v>
      </c>
      <c r="M890" s="37">
        <v>107602.55</v>
      </c>
      <c r="N890" s="1" t="s">
        <v>20155</v>
      </c>
      <c r="O890" s="1" t="s">
        <v>17939</v>
      </c>
      <c r="P890" s="876">
        <v>44552</v>
      </c>
      <c r="Q890" s="466">
        <v>0</v>
      </c>
      <c r="R890" s="466">
        <v>0</v>
      </c>
      <c r="S890" s="466">
        <v>0</v>
      </c>
      <c r="T890" s="466">
        <v>61000</v>
      </c>
      <c r="U890" s="466">
        <v>61000</v>
      </c>
      <c r="V890" s="11" t="e">
        <v>#N/A</v>
      </c>
      <c r="W890" s="39">
        <v>0</v>
      </c>
      <c r="X890" s="39">
        <v>0</v>
      </c>
      <c r="Y890" s="39">
        <v>0</v>
      </c>
      <c r="Z890" s="39">
        <v>310476.25350000005</v>
      </c>
      <c r="AA890" s="56"/>
      <c r="AB890" s="56"/>
      <c r="AC890" s="56"/>
      <c r="AD890" s="56">
        <v>5.0897746475409846</v>
      </c>
      <c r="AE890" s="41">
        <v>0</v>
      </c>
      <c r="AF890" s="42">
        <v>0</v>
      </c>
      <c r="AG890" s="42">
        <v>0</v>
      </c>
      <c r="AH890" s="467"/>
      <c r="AI890" s="467"/>
      <c r="AJ890" s="467"/>
      <c r="AK890" s="467">
        <v>5.0897746475409846</v>
      </c>
      <c r="AL890" s="44">
        <v>0</v>
      </c>
      <c r="AM890" s="44">
        <v>0</v>
      </c>
      <c r="AN890" s="468">
        <v>0</v>
      </c>
      <c r="AO890" s="468">
        <v>1</v>
      </c>
    </row>
    <row r="891" spans="1:41" hidden="1">
      <c r="A891" s="50">
        <v>286</v>
      </c>
      <c r="B891" s="1" t="s">
        <v>298</v>
      </c>
      <c r="C891" s="50">
        <v>0</v>
      </c>
      <c r="D891" s="464" t="s">
        <v>18628</v>
      </c>
      <c r="E891" s="1" t="s">
        <v>298</v>
      </c>
      <c r="F891" s="53">
        <v>44543</v>
      </c>
      <c r="G891" s="1">
        <v>2021</v>
      </c>
      <c r="H891" s="1" t="s">
        <v>17259</v>
      </c>
      <c r="I891" s="1" t="s">
        <v>17260</v>
      </c>
      <c r="J891" s="1" t="s">
        <v>16401</v>
      </c>
      <c r="K891" s="36">
        <v>126613.8621</v>
      </c>
      <c r="L891" s="1">
        <v>2.8786999999999998</v>
      </c>
      <c r="M891" s="37">
        <v>43983</v>
      </c>
      <c r="N891" s="1" t="s">
        <v>20155</v>
      </c>
      <c r="O891" s="1" t="s">
        <v>17261</v>
      </c>
      <c r="P891" s="876">
        <v>44551</v>
      </c>
      <c r="Q891" s="466">
        <v>0</v>
      </c>
      <c r="R891" s="466">
        <v>47600</v>
      </c>
      <c r="S891" s="466">
        <v>0</v>
      </c>
      <c r="T891" s="466">
        <v>1000</v>
      </c>
      <c r="U891" s="466">
        <v>48600</v>
      </c>
      <c r="V891" s="11" t="e">
        <v>#N/A</v>
      </c>
      <c r="W891" s="39">
        <v>0</v>
      </c>
      <c r="X891" s="39">
        <v>120582.98559999999</v>
      </c>
      <c r="Y891" s="39">
        <v>0</v>
      </c>
      <c r="Z891" s="39">
        <v>6030.8765000000003</v>
      </c>
      <c r="AA891" s="56"/>
      <c r="AB891" s="56">
        <v>2.5332559999999997</v>
      </c>
      <c r="AC891" s="56"/>
      <c r="AD891" s="56">
        <v>6.0308765000000006</v>
      </c>
      <c r="AE891" s="41">
        <v>8099.3487999999998</v>
      </c>
      <c r="AF891" s="42">
        <v>22383.272000000001</v>
      </c>
      <c r="AG891" s="42">
        <v>0.46056115226337452</v>
      </c>
      <c r="AH891" s="467"/>
      <c r="AI891" s="467">
        <v>2.0726948477366252</v>
      </c>
      <c r="AJ891" s="467"/>
      <c r="AK891" s="467">
        <v>5.5703153477366261</v>
      </c>
      <c r="AL891" s="44">
        <v>0</v>
      </c>
      <c r="AM891" s="44" t="s">
        <v>20300</v>
      </c>
      <c r="AN891" s="468">
        <v>0</v>
      </c>
      <c r="AO891" s="468">
        <v>1</v>
      </c>
    </row>
    <row r="892" spans="1:41" hidden="1">
      <c r="A892" s="50">
        <v>287</v>
      </c>
      <c r="B892" s="1" t="s">
        <v>299</v>
      </c>
      <c r="C892" s="50">
        <v>0</v>
      </c>
      <c r="D892" s="464" t="s">
        <v>18629</v>
      </c>
      <c r="E892" s="1" t="s">
        <v>299</v>
      </c>
      <c r="F892" s="53">
        <v>44543</v>
      </c>
      <c r="G892" s="1">
        <v>2021</v>
      </c>
      <c r="H892" s="1" t="s">
        <v>16972</v>
      </c>
      <c r="I892" s="1" t="s">
        <v>16973</v>
      </c>
      <c r="J892" s="1" t="s">
        <v>3</v>
      </c>
      <c r="K892" s="36">
        <v>501200</v>
      </c>
      <c r="L892" s="1">
        <v>1</v>
      </c>
      <c r="M892" s="37">
        <v>501200</v>
      </c>
      <c r="N892" s="1" t="s">
        <v>20155</v>
      </c>
      <c r="O892" s="1" t="s">
        <v>17801</v>
      </c>
      <c r="P892" s="876">
        <v>44553</v>
      </c>
      <c r="Q892" s="466">
        <v>0</v>
      </c>
      <c r="R892" s="466">
        <v>0</v>
      </c>
      <c r="S892" s="466">
        <v>280000</v>
      </c>
      <c r="T892" s="466">
        <v>0</v>
      </c>
      <c r="U892" s="466">
        <v>280000</v>
      </c>
      <c r="V892" s="11" t="e">
        <v>#N/A</v>
      </c>
      <c r="W892" s="39">
        <v>0</v>
      </c>
      <c r="X892" s="39">
        <v>0</v>
      </c>
      <c r="Y892" s="39">
        <v>501200</v>
      </c>
      <c r="Z892" s="39">
        <v>0</v>
      </c>
      <c r="AA892" s="56"/>
      <c r="AB892" s="56"/>
      <c r="AC892" s="56">
        <v>1.79</v>
      </c>
      <c r="AD892" s="56"/>
      <c r="AE892" s="41">
        <v>0</v>
      </c>
      <c r="AF892" s="42">
        <v>0</v>
      </c>
      <c r="AG892" s="42">
        <v>0</v>
      </c>
      <c r="AH892" s="467"/>
      <c r="AI892" s="467"/>
      <c r="AJ892" s="467">
        <v>1.79</v>
      </c>
      <c r="AK892" s="467"/>
      <c r="AL892" s="44">
        <v>0</v>
      </c>
      <c r="AM892" s="44">
        <v>0</v>
      </c>
      <c r="AN892" s="468" t="s">
        <v>20300</v>
      </c>
      <c r="AO892" s="468">
        <v>0</v>
      </c>
    </row>
    <row r="893" spans="1:41" hidden="1">
      <c r="A893" s="50">
        <v>288</v>
      </c>
      <c r="B893" s="1" t="s">
        <v>300</v>
      </c>
      <c r="C893" s="50">
        <v>0</v>
      </c>
      <c r="D893" s="464" t="s">
        <v>18630</v>
      </c>
      <c r="E893" s="1" t="s">
        <v>300</v>
      </c>
      <c r="F893" s="53">
        <v>44544</v>
      </c>
      <c r="G893" s="1">
        <v>2021</v>
      </c>
      <c r="H893" s="520" t="s">
        <v>17299</v>
      </c>
      <c r="I893" s="1" t="s">
        <v>17300</v>
      </c>
      <c r="J893" s="1" t="s">
        <v>16482</v>
      </c>
      <c r="K893" s="36">
        <v>272482.56</v>
      </c>
      <c r="L893" s="1">
        <v>3.2549999999999999</v>
      </c>
      <c r="M893" s="37">
        <v>83712</v>
      </c>
      <c r="N893" s="1" t="s">
        <v>20155</v>
      </c>
      <c r="O893" s="1" t="s">
        <v>20321</v>
      </c>
      <c r="P893" s="876">
        <v>44559</v>
      </c>
      <c r="Q893" s="466">
        <v>96000</v>
      </c>
      <c r="R893" s="466">
        <v>0</v>
      </c>
      <c r="S893" s="466">
        <v>0</v>
      </c>
      <c r="T893" s="466">
        <v>0</v>
      </c>
      <c r="U893" s="466">
        <v>96000</v>
      </c>
      <c r="V893" s="11" t="e">
        <v>#N/A</v>
      </c>
      <c r="W893" s="39">
        <v>272482.56</v>
      </c>
      <c r="X893" s="39">
        <v>0</v>
      </c>
      <c r="Y893" s="39">
        <v>0</v>
      </c>
      <c r="Z893" s="39">
        <v>0</v>
      </c>
      <c r="AA893" s="56">
        <v>2.8383599999999998</v>
      </c>
      <c r="AB893" s="56"/>
      <c r="AC893" s="56"/>
      <c r="AD893" s="56"/>
      <c r="AE893" s="41">
        <v>9166.5600000000013</v>
      </c>
      <c r="AF893" s="42">
        <v>30151.53</v>
      </c>
      <c r="AG893" s="42">
        <v>0.31407843749999997</v>
      </c>
      <c r="AH893" s="467">
        <v>2.5242815624999997</v>
      </c>
      <c r="AI893" s="467"/>
      <c r="AJ893" s="467"/>
      <c r="AK893" s="467"/>
      <c r="AL893" s="44" t="s">
        <v>20324</v>
      </c>
      <c r="AM893" s="44">
        <v>0</v>
      </c>
      <c r="AN893" s="468">
        <v>0</v>
      </c>
      <c r="AO893" s="468">
        <v>0</v>
      </c>
    </row>
    <row r="894" spans="1:41" hidden="1">
      <c r="A894" s="50">
        <v>289</v>
      </c>
      <c r="B894" s="1" t="s">
        <v>301</v>
      </c>
      <c r="C894" s="50">
        <v>0</v>
      </c>
      <c r="D894" s="464" t="s">
        <v>18632</v>
      </c>
      <c r="E894" s="1" t="s">
        <v>301</v>
      </c>
      <c r="F894" s="53">
        <v>44545</v>
      </c>
      <c r="G894" s="1">
        <v>2021</v>
      </c>
      <c r="H894" s="1" t="s">
        <v>16972</v>
      </c>
      <c r="I894" s="1" t="s">
        <v>16973</v>
      </c>
      <c r="J894" s="1" t="s">
        <v>3</v>
      </c>
      <c r="K894" s="36">
        <v>501200</v>
      </c>
      <c r="L894" s="1">
        <v>1</v>
      </c>
      <c r="M894" s="37">
        <v>501200</v>
      </c>
      <c r="N894" s="1" t="s">
        <v>20155</v>
      </c>
      <c r="O894" s="1" t="s">
        <v>17801</v>
      </c>
      <c r="P894" s="876">
        <v>44555</v>
      </c>
      <c r="Q894" s="466">
        <v>0</v>
      </c>
      <c r="R894" s="466">
        <v>0</v>
      </c>
      <c r="S894" s="466">
        <v>280000</v>
      </c>
      <c r="T894" s="466">
        <v>0</v>
      </c>
      <c r="U894" s="466">
        <v>280000</v>
      </c>
      <c r="V894" s="11" t="e">
        <v>#N/A</v>
      </c>
      <c r="W894" s="39">
        <v>0</v>
      </c>
      <c r="X894" s="39">
        <v>0</v>
      </c>
      <c r="Y894" s="39">
        <v>501200</v>
      </c>
      <c r="Z894" s="39">
        <v>0</v>
      </c>
      <c r="AA894" s="56"/>
      <c r="AB894" s="56"/>
      <c r="AC894" s="56">
        <v>1.79</v>
      </c>
      <c r="AD894" s="56"/>
      <c r="AE894" s="41">
        <v>0</v>
      </c>
      <c r="AF894" s="42">
        <v>0</v>
      </c>
      <c r="AG894" s="42">
        <v>0</v>
      </c>
      <c r="AH894" s="467"/>
      <c r="AI894" s="467"/>
      <c r="AJ894" s="467">
        <v>1.79</v>
      </c>
      <c r="AK894" s="467"/>
      <c r="AL894" s="44">
        <v>0</v>
      </c>
      <c r="AM894" s="44">
        <v>0</v>
      </c>
      <c r="AN894" s="468" t="s">
        <v>20300</v>
      </c>
      <c r="AO894" s="468">
        <v>0</v>
      </c>
    </row>
    <row r="895" spans="1:41" hidden="1">
      <c r="A895" s="50">
        <v>290</v>
      </c>
      <c r="B895" s="1" t="s">
        <v>302</v>
      </c>
      <c r="C895" s="50">
        <v>0</v>
      </c>
      <c r="D895" s="464" t="s">
        <v>18633</v>
      </c>
      <c r="E895" s="1" t="s">
        <v>302</v>
      </c>
      <c r="F895" s="53">
        <v>44545</v>
      </c>
      <c r="G895" s="1">
        <v>2021</v>
      </c>
      <c r="H895" s="1" t="s">
        <v>16972</v>
      </c>
      <c r="I895" s="1" t="s">
        <v>16973</v>
      </c>
      <c r="J895" s="1" t="s">
        <v>3</v>
      </c>
      <c r="K895" s="36">
        <v>501200</v>
      </c>
      <c r="L895" s="1">
        <v>1</v>
      </c>
      <c r="M895" s="37">
        <v>501200</v>
      </c>
      <c r="N895" s="1" t="s">
        <v>20155</v>
      </c>
      <c r="O895" s="1" t="s">
        <v>17801</v>
      </c>
      <c r="P895" s="876">
        <v>44557</v>
      </c>
      <c r="Q895" s="466">
        <v>0</v>
      </c>
      <c r="R895" s="466">
        <v>0</v>
      </c>
      <c r="S895" s="466">
        <v>280000</v>
      </c>
      <c r="T895" s="466">
        <v>0</v>
      </c>
      <c r="U895" s="466">
        <v>280000</v>
      </c>
      <c r="V895" s="11" t="e">
        <v>#N/A</v>
      </c>
      <c r="W895" s="39">
        <v>0</v>
      </c>
      <c r="X895" s="39">
        <v>0</v>
      </c>
      <c r="Y895" s="39">
        <v>501200</v>
      </c>
      <c r="Z895" s="39">
        <v>0</v>
      </c>
      <c r="AA895" s="56"/>
      <c r="AB895" s="56"/>
      <c r="AC895" s="56">
        <v>1.79</v>
      </c>
      <c r="AD895" s="56"/>
      <c r="AE895" s="41">
        <v>0</v>
      </c>
      <c r="AF895" s="42">
        <v>0</v>
      </c>
      <c r="AG895" s="42">
        <v>0</v>
      </c>
      <c r="AH895" s="467"/>
      <c r="AI895" s="467"/>
      <c r="AJ895" s="467">
        <v>1.79</v>
      </c>
      <c r="AK895" s="467"/>
      <c r="AL895" s="44">
        <v>0</v>
      </c>
      <c r="AM895" s="44">
        <v>0</v>
      </c>
      <c r="AN895" s="468" t="s">
        <v>20300</v>
      </c>
      <c r="AO895" s="468">
        <v>0</v>
      </c>
    </row>
    <row r="896" spans="1:41" hidden="1">
      <c r="A896" s="521">
        <v>291</v>
      </c>
      <c r="B896" s="522" t="s">
        <v>303</v>
      </c>
      <c r="C896" s="521">
        <v>0</v>
      </c>
      <c r="D896" s="523" t="s">
        <v>19828</v>
      </c>
      <c r="E896" s="522" t="s">
        <v>303</v>
      </c>
      <c r="F896" s="524">
        <v>44546</v>
      </c>
      <c r="G896" s="522">
        <v>2021</v>
      </c>
      <c r="H896" s="522" t="s">
        <v>17156</v>
      </c>
      <c r="I896" s="522" t="s">
        <v>17157</v>
      </c>
      <c r="J896" s="522" t="s">
        <v>3</v>
      </c>
      <c r="K896" s="525">
        <v>125460</v>
      </c>
      <c r="L896" s="522">
        <v>1</v>
      </c>
      <c r="M896" s="526">
        <v>125460</v>
      </c>
      <c r="N896" s="522" t="s">
        <v>20231</v>
      </c>
      <c r="O896" s="522" t="s">
        <v>20161</v>
      </c>
      <c r="P896" s="883">
        <v>0</v>
      </c>
      <c r="Q896" s="521">
        <v>0</v>
      </c>
      <c r="R896" s="521">
        <v>41000</v>
      </c>
      <c r="S896" s="521">
        <v>0</v>
      </c>
      <c r="T896" s="521">
        <v>0</v>
      </c>
      <c r="U896" s="521">
        <v>41000</v>
      </c>
      <c r="V896" s="527" t="e">
        <v>#N/A</v>
      </c>
      <c r="W896" s="528" t="e">
        <v>#N/A</v>
      </c>
      <c r="X896" s="528" t="e">
        <v>#N/A</v>
      </c>
      <c r="Y896" s="528" t="e">
        <v>#N/A</v>
      </c>
      <c r="Z896" s="528" t="e">
        <v>#N/A</v>
      </c>
      <c r="AA896" s="529" t="e">
        <v>#N/A</v>
      </c>
      <c r="AB896" s="529" t="e">
        <v>#N/A</v>
      </c>
      <c r="AC896" s="529" t="e">
        <v>#N/A</v>
      </c>
      <c r="AD896" s="529" t="e">
        <v>#N/A</v>
      </c>
      <c r="AE896" s="528" t="e">
        <v>#N/A</v>
      </c>
      <c r="AF896" s="528" t="e">
        <v>#N/A</v>
      </c>
      <c r="AG896" s="528" t="e">
        <v>#N/A</v>
      </c>
      <c r="AH896" s="530" t="e">
        <v>#N/A</v>
      </c>
      <c r="AI896" s="530" t="e">
        <v>#N/A</v>
      </c>
      <c r="AJ896" s="530" t="e">
        <v>#N/A</v>
      </c>
      <c r="AK896" s="530" t="e">
        <v>#N/A</v>
      </c>
      <c r="AL896" s="531">
        <v>0</v>
      </c>
      <c r="AM896" s="531">
        <v>1</v>
      </c>
      <c r="AN896" s="532">
        <v>0</v>
      </c>
      <c r="AO896" s="532">
        <v>0</v>
      </c>
    </row>
    <row r="897" spans="1:41" hidden="1">
      <c r="A897" s="50">
        <v>292</v>
      </c>
      <c r="B897" s="1" t="s">
        <v>304</v>
      </c>
      <c r="C897" s="50">
        <v>0</v>
      </c>
      <c r="D897" s="464" t="s">
        <v>18634</v>
      </c>
      <c r="E897" s="1" t="s">
        <v>304</v>
      </c>
      <c r="F897" s="53">
        <v>44546</v>
      </c>
      <c r="G897" s="1">
        <v>2021</v>
      </c>
      <c r="H897" s="520" t="s">
        <v>17209</v>
      </c>
      <c r="I897" s="1" t="s">
        <v>17210</v>
      </c>
      <c r="J897" s="1" t="s">
        <v>16401</v>
      </c>
      <c r="K897" s="36">
        <v>32359.1198</v>
      </c>
      <c r="L897" s="1">
        <v>2.8837999999999999</v>
      </c>
      <c r="M897" s="37">
        <v>11221</v>
      </c>
      <c r="N897" s="1" t="s">
        <v>20155</v>
      </c>
      <c r="O897" s="1" t="s">
        <v>20168</v>
      </c>
      <c r="P897" s="876">
        <v>44555</v>
      </c>
      <c r="Q897" s="466">
        <v>9732</v>
      </c>
      <c r="R897" s="466">
        <v>0</v>
      </c>
      <c r="S897" s="466">
        <v>0</v>
      </c>
      <c r="T897" s="466">
        <v>0</v>
      </c>
      <c r="U897" s="466">
        <v>9732</v>
      </c>
      <c r="V897" s="11" t="e">
        <v>#N/A</v>
      </c>
      <c r="W897" s="39">
        <v>32359.114032400001</v>
      </c>
      <c r="X897" s="39">
        <v>0</v>
      </c>
      <c r="Y897" s="39">
        <v>0</v>
      </c>
      <c r="Z897" s="39">
        <v>0</v>
      </c>
      <c r="AA897" s="56">
        <v>3.3250219926428279</v>
      </c>
      <c r="AB897" s="56"/>
      <c r="AC897" s="56"/>
      <c r="AD897" s="56"/>
      <c r="AE897" s="41">
        <v>985.83749999999998</v>
      </c>
      <c r="AF897" s="42">
        <v>5236.8500000000004</v>
      </c>
      <c r="AG897" s="42">
        <v>0.53810624743115498</v>
      </c>
      <c r="AH897" s="467">
        <v>2.7869157452116728</v>
      </c>
      <c r="AI897" s="467"/>
      <c r="AJ897" s="467"/>
      <c r="AK897" s="467"/>
      <c r="AL897" s="44">
        <v>1</v>
      </c>
      <c r="AM897" s="44">
        <v>0</v>
      </c>
      <c r="AN897" s="468">
        <v>0</v>
      </c>
      <c r="AO897" s="468">
        <v>0</v>
      </c>
    </row>
    <row r="898" spans="1:41" hidden="1">
      <c r="A898" s="533">
        <v>1</v>
      </c>
      <c r="B898" s="534" t="s">
        <v>20181</v>
      </c>
      <c r="C898" s="535">
        <v>0</v>
      </c>
      <c r="D898" s="536" t="s">
        <v>18635</v>
      </c>
      <c r="E898" s="534" t="s">
        <v>20181</v>
      </c>
      <c r="F898" s="537">
        <v>44565</v>
      </c>
      <c r="G898" s="534">
        <v>2022</v>
      </c>
      <c r="H898" s="538" t="s">
        <v>17017</v>
      </c>
      <c r="I898" s="534" t="s">
        <v>17018</v>
      </c>
      <c r="J898" s="534" t="s">
        <v>3</v>
      </c>
      <c r="K898" s="539">
        <v>8811.6</v>
      </c>
      <c r="L898" s="534">
        <v>1</v>
      </c>
      <c r="M898" s="540">
        <v>8811.6</v>
      </c>
      <c r="N898" s="534" t="s">
        <v>20155</v>
      </c>
      <c r="O898" s="534" t="s">
        <v>20308</v>
      </c>
      <c r="P898" s="884">
        <v>44569</v>
      </c>
      <c r="Q898" s="535">
        <v>0</v>
      </c>
      <c r="R898" s="535">
        <v>1944</v>
      </c>
      <c r="S898" s="535">
        <v>0</v>
      </c>
      <c r="T898" s="535">
        <v>560</v>
      </c>
      <c r="U898" s="535">
        <v>2504</v>
      </c>
      <c r="V898" s="541"/>
      <c r="W898" s="542">
        <v>0</v>
      </c>
      <c r="X898" s="542">
        <v>6123.6</v>
      </c>
      <c r="Y898" s="542">
        <v>0</v>
      </c>
      <c r="Z898" s="542">
        <v>2688</v>
      </c>
      <c r="AA898" s="543"/>
      <c r="AB898" s="543">
        <v>3.1500000000000004</v>
      </c>
      <c r="AC898" s="543"/>
      <c r="AD898" s="543">
        <v>4.8</v>
      </c>
      <c r="AE898" s="542">
        <v>0</v>
      </c>
      <c r="AF898" s="542">
        <v>0</v>
      </c>
      <c r="AG898" s="542">
        <v>0</v>
      </c>
      <c r="AH898" s="544">
        <v>0</v>
      </c>
      <c r="AI898" s="544">
        <v>3.1500000000000004</v>
      </c>
      <c r="AJ898" s="544">
        <v>0</v>
      </c>
      <c r="AK898" s="544">
        <v>4.8</v>
      </c>
      <c r="AL898" s="545">
        <v>0</v>
      </c>
      <c r="AM898" s="545">
        <v>1</v>
      </c>
      <c r="AN898" s="545">
        <v>0</v>
      </c>
      <c r="AO898" s="545">
        <v>0</v>
      </c>
    </row>
    <row r="899" spans="1:41" hidden="1">
      <c r="A899" s="533">
        <v>2</v>
      </c>
      <c r="B899" s="534" t="s">
        <v>20182</v>
      </c>
      <c r="C899" s="535">
        <v>0</v>
      </c>
      <c r="D899" s="536" t="s">
        <v>18636</v>
      </c>
      <c r="E899" s="534" t="s">
        <v>20182</v>
      </c>
      <c r="F899" s="537">
        <v>44565</v>
      </c>
      <c r="G899" s="534">
        <v>2022</v>
      </c>
      <c r="H899" s="538" t="s">
        <v>17281</v>
      </c>
      <c r="I899" s="534" t="s">
        <v>17282</v>
      </c>
      <c r="J899" s="534" t="s">
        <v>3</v>
      </c>
      <c r="K899" s="539">
        <v>73920</v>
      </c>
      <c r="L899" s="534">
        <v>1</v>
      </c>
      <c r="M899" s="540">
        <v>73920</v>
      </c>
      <c r="N899" s="534" t="s">
        <v>20155</v>
      </c>
      <c r="O899" s="534" t="s">
        <v>20306</v>
      </c>
      <c r="P899" s="884">
        <v>44570</v>
      </c>
      <c r="Q899" s="535">
        <v>0</v>
      </c>
      <c r="R899" s="535">
        <v>0</v>
      </c>
      <c r="S899" s="535">
        <v>0</v>
      </c>
      <c r="T899" s="535">
        <v>13440</v>
      </c>
      <c r="U899" s="535">
        <v>13440</v>
      </c>
      <c r="V899" s="541"/>
      <c r="W899" s="542">
        <v>0</v>
      </c>
      <c r="X899" s="542">
        <v>0</v>
      </c>
      <c r="Y899" s="542">
        <v>0</v>
      </c>
      <c r="Z899" s="542">
        <v>73920</v>
      </c>
      <c r="AA899" s="543"/>
      <c r="AB899" s="543"/>
      <c r="AC899" s="543"/>
      <c r="AD899" s="543">
        <v>5.5</v>
      </c>
      <c r="AE899" s="542">
        <v>0</v>
      </c>
      <c r="AF899" s="542">
        <v>0</v>
      </c>
      <c r="AG899" s="542">
        <v>0</v>
      </c>
      <c r="AH899" s="544">
        <v>0</v>
      </c>
      <c r="AI899" s="544">
        <v>0</v>
      </c>
      <c r="AJ899" s="544">
        <v>0</v>
      </c>
      <c r="AK899" s="544">
        <v>5.5</v>
      </c>
      <c r="AL899" s="545">
        <v>0</v>
      </c>
      <c r="AM899" s="545">
        <v>0</v>
      </c>
      <c r="AN899" s="545">
        <v>0</v>
      </c>
      <c r="AO899" s="545">
        <v>1</v>
      </c>
    </row>
    <row r="900" spans="1:41" hidden="1">
      <c r="A900" s="533">
        <v>3</v>
      </c>
      <c r="B900" s="534" t="s">
        <v>20183</v>
      </c>
      <c r="C900" s="535">
        <v>0</v>
      </c>
      <c r="D900" s="536" t="s">
        <v>18637</v>
      </c>
      <c r="E900" s="534" t="s">
        <v>20183</v>
      </c>
      <c r="F900" s="537">
        <v>44566</v>
      </c>
      <c r="G900" s="534">
        <v>2022</v>
      </c>
      <c r="H900" s="538" t="s">
        <v>16444</v>
      </c>
      <c r="I900" s="534" t="s">
        <v>16445</v>
      </c>
      <c r="J900" s="534" t="s">
        <v>3</v>
      </c>
      <c r="K900" s="539">
        <v>36312.5</v>
      </c>
      <c r="L900" s="534">
        <v>1</v>
      </c>
      <c r="M900" s="540">
        <v>36312.5</v>
      </c>
      <c r="N900" s="534" t="s">
        <v>20155</v>
      </c>
      <c r="O900" s="534" t="s">
        <v>17693</v>
      </c>
      <c r="P900" s="884">
        <v>44579</v>
      </c>
      <c r="Q900" s="535">
        <v>20750</v>
      </c>
      <c r="R900" s="535">
        <v>0</v>
      </c>
      <c r="S900" s="535">
        <v>0</v>
      </c>
      <c r="T900" s="535">
        <v>0</v>
      </c>
      <c r="U900" s="535">
        <v>20750</v>
      </c>
      <c r="V900" s="541" t="s">
        <v>20155</v>
      </c>
      <c r="W900" s="542">
        <v>36312.5</v>
      </c>
      <c r="X900" s="542">
        <v>0</v>
      </c>
      <c r="Y900" s="542">
        <v>0</v>
      </c>
      <c r="Z900" s="542">
        <v>0</v>
      </c>
      <c r="AA900" s="543">
        <v>1.75</v>
      </c>
      <c r="AB900" s="543"/>
      <c r="AC900" s="543"/>
      <c r="AD900" s="543"/>
      <c r="AE900" s="542">
        <v>0</v>
      </c>
      <c r="AF900" s="542">
        <v>0</v>
      </c>
      <c r="AG900" s="542">
        <v>0</v>
      </c>
      <c r="AH900" s="544">
        <v>1.75</v>
      </c>
      <c r="AI900" s="544">
        <v>0</v>
      </c>
      <c r="AJ900" s="544">
        <v>0</v>
      </c>
      <c r="AK900" s="544">
        <v>0</v>
      </c>
      <c r="AL900" s="545">
        <v>1</v>
      </c>
      <c r="AM900" s="545">
        <v>0</v>
      </c>
      <c r="AN900" s="545">
        <v>0</v>
      </c>
      <c r="AO900" s="545">
        <v>0</v>
      </c>
    </row>
    <row r="901" spans="1:41" hidden="1">
      <c r="A901" s="533">
        <v>4</v>
      </c>
      <c r="B901" s="534" t="s">
        <v>20184</v>
      </c>
      <c r="C901" s="535">
        <v>0</v>
      </c>
      <c r="D901" s="536" t="s">
        <v>18638</v>
      </c>
      <c r="E901" s="534" t="s">
        <v>20184</v>
      </c>
      <c r="F901" s="537">
        <v>44568</v>
      </c>
      <c r="G901" s="534">
        <v>2022</v>
      </c>
      <c r="H901" s="538" t="s">
        <v>16444</v>
      </c>
      <c r="I901" s="534" t="s">
        <v>16445</v>
      </c>
      <c r="J901" s="534" t="s">
        <v>3</v>
      </c>
      <c r="K901" s="539">
        <v>73257.36</v>
      </c>
      <c r="L901" s="534">
        <v>1</v>
      </c>
      <c r="M901" s="540">
        <v>73257.36</v>
      </c>
      <c r="N901" s="534" t="s">
        <v>20155</v>
      </c>
      <c r="O901" s="534" t="s">
        <v>17693</v>
      </c>
      <c r="P901" s="884">
        <v>44579</v>
      </c>
      <c r="Q901" s="535">
        <v>43608</v>
      </c>
      <c r="R901" s="535">
        <v>0</v>
      </c>
      <c r="S901" s="535">
        <v>0</v>
      </c>
      <c r="T901" s="535">
        <v>0</v>
      </c>
      <c r="U901" s="535">
        <v>43608</v>
      </c>
      <c r="V901" s="541" t="s">
        <v>20155</v>
      </c>
      <c r="W901" s="542">
        <v>73257.36</v>
      </c>
      <c r="X901" s="542">
        <v>0</v>
      </c>
      <c r="Y901" s="542">
        <v>0</v>
      </c>
      <c r="Z901" s="542">
        <v>0</v>
      </c>
      <c r="AA901" s="543">
        <v>1.6799064391854706</v>
      </c>
      <c r="AB901" s="543"/>
      <c r="AC901" s="543"/>
      <c r="AD901" s="543"/>
      <c r="AE901" s="542">
        <v>0</v>
      </c>
      <c r="AF901" s="542">
        <v>0</v>
      </c>
      <c r="AG901" s="542">
        <v>0</v>
      </c>
      <c r="AH901" s="544">
        <v>1.6799064391854706</v>
      </c>
      <c r="AI901" s="544">
        <v>0</v>
      </c>
      <c r="AJ901" s="544">
        <v>0</v>
      </c>
      <c r="AK901" s="544">
        <v>0</v>
      </c>
      <c r="AL901" s="545">
        <v>1</v>
      </c>
      <c r="AM901" s="545">
        <v>0</v>
      </c>
      <c r="AN901" s="545">
        <v>0</v>
      </c>
      <c r="AO901" s="545">
        <v>0</v>
      </c>
    </row>
    <row r="902" spans="1:41" hidden="1">
      <c r="A902" s="533">
        <v>5</v>
      </c>
      <c r="B902" s="534" t="s">
        <v>20185</v>
      </c>
      <c r="C902" s="535">
        <v>0</v>
      </c>
      <c r="D902" s="536" t="s">
        <v>18639</v>
      </c>
      <c r="E902" s="534" t="s">
        <v>20185</v>
      </c>
      <c r="F902" s="537">
        <v>44571</v>
      </c>
      <c r="G902" s="534">
        <v>2022</v>
      </c>
      <c r="H902" s="538" t="s">
        <v>17119</v>
      </c>
      <c r="I902" s="534" t="s">
        <v>17120</v>
      </c>
      <c r="J902" s="534" t="s">
        <v>16401</v>
      </c>
      <c r="K902" s="539">
        <v>320114.68919999996</v>
      </c>
      <c r="L902" s="534">
        <v>2.9159999999999999</v>
      </c>
      <c r="M902" s="540">
        <v>109778.7</v>
      </c>
      <c r="N902" s="534" t="s">
        <v>20155</v>
      </c>
      <c r="O902" s="534" t="s">
        <v>17965</v>
      </c>
      <c r="P902" s="884">
        <v>44592</v>
      </c>
      <c r="Q902" s="535">
        <v>38400</v>
      </c>
      <c r="R902" s="535">
        <v>72140</v>
      </c>
      <c r="S902" s="535">
        <v>0</v>
      </c>
      <c r="T902" s="535">
        <v>0</v>
      </c>
      <c r="U902" s="535">
        <v>110540</v>
      </c>
      <c r="V902" s="541"/>
      <c r="W902" s="542">
        <v>114747.82800000002</v>
      </c>
      <c r="X902" s="542">
        <v>205366.86119999998</v>
      </c>
      <c r="Y902" s="542">
        <v>0</v>
      </c>
      <c r="Z902" s="542">
        <v>0</v>
      </c>
      <c r="AA902" s="543">
        <v>2.9882246875000007</v>
      </c>
      <c r="AB902" s="543">
        <v>2.846782107014139</v>
      </c>
      <c r="AC902" s="543"/>
      <c r="AD902" s="543"/>
      <c r="AE902" s="542">
        <v>15927.449999999999</v>
      </c>
      <c r="AF902" s="542">
        <v>52693.824999999997</v>
      </c>
      <c r="AG902" s="542">
        <v>0.47669463542609009</v>
      </c>
      <c r="AH902" s="544">
        <v>2.5115300520739106</v>
      </c>
      <c r="AI902" s="544">
        <v>2.3700874715880489</v>
      </c>
      <c r="AJ902" s="544"/>
      <c r="AK902" s="544"/>
      <c r="AL902" s="545">
        <v>1</v>
      </c>
      <c r="AM902" s="545" t="s">
        <v>20316</v>
      </c>
      <c r="AN902" s="545">
        <v>0</v>
      </c>
      <c r="AO902" s="545">
        <v>0</v>
      </c>
    </row>
    <row r="903" spans="1:41" hidden="1">
      <c r="A903" s="533">
        <v>6</v>
      </c>
      <c r="B903" s="534" t="s">
        <v>20186</v>
      </c>
      <c r="C903" s="535">
        <v>0</v>
      </c>
      <c r="D903" s="536" t="s">
        <v>18640</v>
      </c>
      <c r="E903" s="534" t="s">
        <v>20186</v>
      </c>
      <c r="F903" s="537">
        <v>44572</v>
      </c>
      <c r="G903" s="534">
        <v>2022</v>
      </c>
      <c r="H903" s="538" t="s">
        <v>16384</v>
      </c>
      <c r="I903" s="534" t="s">
        <v>16385</v>
      </c>
      <c r="J903" s="534" t="s">
        <v>3</v>
      </c>
      <c r="K903" s="539">
        <v>46200</v>
      </c>
      <c r="L903" s="534">
        <v>1</v>
      </c>
      <c r="M903" s="540">
        <v>46200</v>
      </c>
      <c r="N903" s="534" t="s">
        <v>20155</v>
      </c>
      <c r="O903" s="534" t="s">
        <v>18094</v>
      </c>
      <c r="P903" s="884">
        <v>44588</v>
      </c>
      <c r="Q903" s="535">
        <v>0</v>
      </c>
      <c r="R903" s="535">
        <v>20400</v>
      </c>
      <c r="S903" s="535">
        <v>0</v>
      </c>
      <c r="T903" s="535">
        <v>0</v>
      </c>
      <c r="U903" s="535">
        <v>20400</v>
      </c>
      <c r="V903" s="541"/>
      <c r="W903" s="542">
        <v>0</v>
      </c>
      <c r="X903" s="542">
        <v>46200</v>
      </c>
      <c r="Y903" s="542">
        <v>0</v>
      </c>
      <c r="Z903" s="542">
        <v>0</v>
      </c>
      <c r="AA903" s="543"/>
      <c r="AB903" s="543">
        <v>2.2647058823529411</v>
      </c>
      <c r="AC903" s="543"/>
      <c r="AD903" s="543"/>
      <c r="AE903" s="542">
        <v>0</v>
      </c>
      <c r="AF903" s="542">
        <v>0</v>
      </c>
      <c r="AG903" s="542">
        <v>0</v>
      </c>
      <c r="AH903" s="544">
        <v>0</v>
      </c>
      <c r="AI903" s="544">
        <v>2.2647058823529411</v>
      </c>
      <c r="AJ903" s="544">
        <v>0</v>
      </c>
      <c r="AK903" s="544">
        <v>0</v>
      </c>
      <c r="AL903" s="545">
        <v>0</v>
      </c>
      <c r="AM903" s="545">
        <v>1</v>
      </c>
      <c r="AN903" s="545">
        <v>0</v>
      </c>
      <c r="AO903" s="545">
        <v>0</v>
      </c>
    </row>
    <row r="904" spans="1:41" hidden="1">
      <c r="A904" s="533">
        <v>7</v>
      </c>
      <c r="B904" s="534" t="s">
        <v>20187</v>
      </c>
      <c r="C904" s="535">
        <v>0</v>
      </c>
      <c r="D904" s="536" t="s">
        <v>18641</v>
      </c>
      <c r="E904" s="534" t="s">
        <v>20187</v>
      </c>
      <c r="F904" s="537">
        <v>44573</v>
      </c>
      <c r="G904" s="534">
        <v>2022</v>
      </c>
      <c r="H904" s="538" t="s">
        <v>17017</v>
      </c>
      <c r="I904" s="534" t="s">
        <v>17018</v>
      </c>
      <c r="J904" s="534" t="s">
        <v>3</v>
      </c>
      <c r="K904" s="539">
        <v>61000</v>
      </c>
      <c r="L904" s="534">
        <v>1</v>
      </c>
      <c r="M904" s="540">
        <v>61000</v>
      </c>
      <c r="N904" s="534" t="s">
        <v>20155</v>
      </c>
      <c r="O904" s="534" t="s">
        <v>18064</v>
      </c>
      <c r="P904" s="884">
        <v>44585</v>
      </c>
      <c r="Q904" s="535">
        <v>0</v>
      </c>
      <c r="R904" s="535">
        <v>20000</v>
      </c>
      <c r="S904" s="535">
        <v>0</v>
      </c>
      <c r="T904" s="535">
        <v>0</v>
      </c>
      <c r="U904" s="535">
        <v>20000</v>
      </c>
      <c r="V904" s="541"/>
      <c r="W904" s="542">
        <v>0</v>
      </c>
      <c r="X904" s="542">
        <v>61000</v>
      </c>
      <c r="Y904" s="542">
        <v>0</v>
      </c>
      <c r="Z904" s="542">
        <v>0</v>
      </c>
      <c r="AA904" s="543"/>
      <c r="AB904" s="543">
        <v>3.05</v>
      </c>
      <c r="AC904" s="543"/>
      <c r="AD904" s="543"/>
      <c r="AE904" s="542">
        <v>0</v>
      </c>
      <c r="AF904" s="542">
        <v>0</v>
      </c>
      <c r="AG904" s="542">
        <v>0</v>
      </c>
      <c r="AH904" s="544">
        <v>0</v>
      </c>
      <c r="AI904" s="544">
        <v>3.05</v>
      </c>
      <c r="AJ904" s="544">
        <v>0</v>
      </c>
      <c r="AK904" s="544">
        <v>0</v>
      </c>
      <c r="AL904" s="545">
        <v>0</v>
      </c>
      <c r="AM904" s="545">
        <v>1</v>
      </c>
      <c r="AN904" s="545">
        <v>0</v>
      </c>
      <c r="AO904" s="545">
        <v>0</v>
      </c>
    </row>
    <row r="905" spans="1:41" hidden="1">
      <c r="A905" s="533">
        <v>8</v>
      </c>
      <c r="B905" s="534" t="s">
        <v>20188</v>
      </c>
      <c r="C905" s="535">
        <v>0</v>
      </c>
      <c r="D905" s="536" t="s">
        <v>18642</v>
      </c>
      <c r="E905" s="534" t="s">
        <v>20188</v>
      </c>
      <c r="F905" s="537">
        <v>44574</v>
      </c>
      <c r="G905" s="534">
        <v>2022</v>
      </c>
      <c r="H905" s="538" t="s">
        <v>16972</v>
      </c>
      <c r="I905" s="534" t="s">
        <v>16973</v>
      </c>
      <c r="J905" s="534" t="s">
        <v>3</v>
      </c>
      <c r="K905" s="539">
        <v>501200</v>
      </c>
      <c r="L905" s="534">
        <v>1</v>
      </c>
      <c r="M905" s="540">
        <v>501200</v>
      </c>
      <c r="N905" s="534" t="s">
        <v>20155</v>
      </c>
      <c r="O905" s="534" t="s">
        <v>17801</v>
      </c>
      <c r="P905" s="884">
        <v>44590</v>
      </c>
      <c r="Q905" s="535">
        <v>0</v>
      </c>
      <c r="R905" s="535">
        <v>0</v>
      </c>
      <c r="S905" s="535">
        <v>280000</v>
      </c>
      <c r="T905" s="535">
        <v>0</v>
      </c>
      <c r="U905" s="535">
        <v>280000</v>
      </c>
      <c r="V905" s="541" t="s">
        <v>20155</v>
      </c>
      <c r="W905" s="542">
        <v>0</v>
      </c>
      <c r="X905" s="542">
        <v>0</v>
      </c>
      <c r="Y905" s="542">
        <v>501200</v>
      </c>
      <c r="Z905" s="542">
        <v>0</v>
      </c>
      <c r="AA905" s="543"/>
      <c r="AB905" s="543"/>
      <c r="AC905" s="543">
        <v>1.79</v>
      </c>
      <c r="AD905" s="543"/>
      <c r="AE905" s="542">
        <v>0</v>
      </c>
      <c r="AF905" s="542">
        <v>0</v>
      </c>
      <c r="AG905" s="542">
        <v>0</v>
      </c>
      <c r="AH905" s="544">
        <v>0</v>
      </c>
      <c r="AI905" s="544">
        <v>0</v>
      </c>
      <c r="AJ905" s="544">
        <v>1.79</v>
      </c>
      <c r="AK905" s="544">
        <v>0</v>
      </c>
      <c r="AL905" s="545">
        <v>0</v>
      </c>
      <c r="AM905" s="545">
        <v>0</v>
      </c>
      <c r="AN905" s="545" t="s">
        <v>20323</v>
      </c>
      <c r="AO905" s="545">
        <v>0</v>
      </c>
    </row>
    <row r="906" spans="1:41" hidden="1">
      <c r="A906" s="533">
        <v>9</v>
      </c>
      <c r="B906" s="534" t="s">
        <v>20189</v>
      </c>
      <c r="C906" s="535">
        <v>0</v>
      </c>
      <c r="D906" s="536" t="s">
        <v>18643</v>
      </c>
      <c r="E906" s="534" t="s">
        <v>20189</v>
      </c>
      <c r="F906" s="537">
        <v>44574</v>
      </c>
      <c r="G906" s="534">
        <v>2022</v>
      </c>
      <c r="H906" s="538" t="s">
        <v>16972</v>
      </c>
      <c r="I906" s="534" t="s">
        <v>16973</v>
      </c>
      <c r="J906" s="534" t="s">
        <v>3</v>
      </c>
      <c r="K906" s="539">
        <v>501200</v>
      </c>
      <c r="L906" s="534">
        <v>1</v>
      </c>
      <c r="M906" s="540">
        <v>501200</v>
      </c>
      <c r="N906" s="534" t="s">
        <v>20325</v>
      </c>
      <c r="O906" s="534" t="s">
        <v>17801</v>
      </c>
      <c r="P906" s="884" t="s">
        <v>20326</v>
      </c>
      <c r="Q906" s="535">
        <v>0</v>
      </c>
      <c r="R906" s="535">
        <v>0</v>
      </c>
      <c r="S906" s="535">
        <v>280000</v>
      </c>
      <c r="T906" s="535">
        <v>0</v>
      </c>
      <c r="U906" s="535">
        <v>280000</v>
      </c>
      <c r="V906" s="541" t="s">
        <v>20155</v>
      </c>
      <c r="W906" s="542">
        <v>0</v>
      </c>
      <c r="X906" s="542">
        <v>0</v>
      </c>
      <c r="Y906" s="542">
        <v>501200</v>
      </c>
      <c r="Z906" s="542">
        <v>0</v>
      </c>
      <c r="AA906" s="543"/>
      <c r="AB906" s="543"/>
      <c r="AC906" s="543">
        <v>1.79</v>
      </c>
      <c r="AD906" s="543"/>
      <c r="AE906" s="542">
        <v>0</v>
      </c>
      <c r="AF906" s="542">
        <v>0</v>
      </c>
      <c r="AG906" s="542">
        <v>0</v>
      </c>
      <c r="AH906" s="544">
        <v>0</v>
      </c>
      <c r="AI906" s="544">
        <v>0</v>
      </c>
      <c r="AJ906" s="544">
        <v>1.79</v>
      </c>
      <c r="AK906" s="544">
        <v>0</v>
      </c>
      <c r="AL906" s="545">
        <v>0</v>
      </c>
      <c r="AM906" s="545">
        <v>0</v>
      </c>
      <c r="AN906" s="545" t="s">
        <v>20323</v>
      </c>
      <c r="AO906" s="545">
        <v>0</v>
      </c>
    </row>
    <row r="907" spans="1:41" hidden="1">
      <c r="A907" s="533">
        <v>10</v>
      </c>
      <c r="B907" s="534" t="s">
        <v>20190</v>
      </c>
      <c r="C907" s="535">
        <v>0</v>
      </c>
      <c r="D907" s="536" t="s">
        <v>18644</v>
      </c>
      <c r="E907" s="534" t="s">
        <v>20190</v>
      </c>
      <c r="F907" s="537">
        <v>44574</v>
      </c>
      <c r="G907" s="534">
        <v>2022</v>
      </c>
      <c r="H907" s="538" t="s">
        <v>17233</v>
      </c>
      <c r="I907" s="534" t="s">
        <v>17234</v>
      </c>
      <c r="J907" s="534" t="s">
        <v>16401</v>
      </c>
      <c r="K907" s="539">
        <v>494704.77</v>
      </c>
      <c r="L907" s="534">
        <v>2.8728500000000001</v>
      </c>
      <c r="M907" s="540">
        <v>172200</v>
      </c>
      <c r="N907" s="534" t="s">
        <v>20155</v>
      </c>
      <c r="O907" s="534" t="s">
        <v>17939</v>
      </c>
      <c r="P907" s="884">
        <v>44585</v>
      </c>
      <c r="Q907" s="535">
        <v>0</v>
      </c>
      <c r="R907" s="535">
        <v>147014.39999999999</v>
      </c>
      <c r="S907" s="535">
        <v>62985.599999999999</v>
      </c>
      <c r="T907" s="535">
        <v>0</v>
      </c>
      <c r="U907" s="540">
        <v>210000</v>
      </c>
      <c r="V907" s="541"/>
      <c r="W907" s="542">
        <v>0</v>
      </c>
      <c r="X907" s="542">
        <v>346327.26161280001</v>
      </c>
      <c r="Y907" s="542">
        <v>148377.50838719998</v>
      </c>
      <c r="Z907" s="542">
        <v>0</v>
      </c>
      <c r="AA907" s="543"/>
      <c r="AB907" s="543">
        <v>2.355737</v>
      </c>
      <c r="AC907" s="543">
        <v>2.355737</v>
      </c>
      <c r="AD907" s="543"/>
      <c r="AE907" s="542">
        <v>0</v>
      </c>
      <c r="AF907" s="542">
        <v>0</v>
      </c>
      <c r="AG907" s="542">
        <v>0</v>
      </c>
      <c r="AH907" s="544">
        <v>0</v>
      </c>
      <c r="AI907" s="544">
        <v>2.355737</v>
      </c>
      <c r="AJ907" s="544">
        <v>2.355737</v>
      </c>
      <c r="AK907" s="544">
        <v>0</v>
      </c>
      <c r="AL907" s="545">
        <v>0</v>
      </c>
      <c r="AM907" s="545" t="s">
        <v>20324</v>
      </c>
      <c r="AN907" s="545" t="s">
        <v>20324</v>
      </c>
      <c r="AO907" s="545">
        <v>0</v>
      </c>
    </row>
    <row r="908" spans="1:41" hidden="1">
      <c r="A908" s="533">
        <v>11</v>
      </c>
      <c r="B908" s="534" t="s">
        <v>20191</v>
      </c>
      <c r="C908" s="535">
        <v>0</v>
      </c>
      <c r="D908" s="536" t="s">
        <v>18645</v>
      </c>
      <c r="E908" s="534" t="s">
        <v>20191</v>
      </c>
      <c r="F908" s="537">
        <v>44582</v>
      </c>
      <c r="G908" s="534">
        <v>2022</v>
      </c>
      <c r="H908" s="538" t="s">
        <v>16957</v>
      </c>
      <c r="I908" s="534" t="s">
        <v>16958</v>
      </c>
      <c r="J908" s="534" t="s">
        <v>16401</v>
      </c>
      <c r="K908" s="539">
        <v>132568.1</v>
      </c>
      <c r="L908" s="534">
        <v>2.8944999999999999</v>
      </c>
      <c r="M908" s="540">
        <v>45800</v>
      </c>
      <c r="N908" s="534" t="s">
        <v>20155</v>
      </c>
      <c r="O908" s="534" t="s">
        <v>20161</v>
      </c>
      <c r="P908" s="884">
        <v>44594</v>
      </c>
      <c r="Q908" s="535">
        <v>40000</v>
      </c>
      <c r="R908" s="535">
        <v>0</v>
      </c>
      <c r="S908" s="535">
        <v>0</v>
      </c>
      <c r="T908" s="535">
        <v>0</v>
      </c>
      <c r="U908" s="535">
        <v>40000</v>
      </c>
      <c r="V908" s="541"/>
      <c r="W908" s="542">
        <v>132568.1</v>
      </c>
      <c r="X908" s="542">
        <v>0</v>
      </c>
      <c r="Y908" s="542">
        <v>0</v>
      </c>
      <c r="Z908" s="542">
        <v>0</v>
      </c>
      <c r="AA908" s="543">
        <v>3.3142024999999999</v>
      </c>
      <c r="AB908" s="543"/>
      <c r="AC908" s="543"/>
      <c r="AD908" s="543"/>
      <c r="AE908" s="542">
        <v>1234.8000000000002</v>
      </c>
      <c r="AF908" s="542">
        <v>8310.1</v>
      </c>
      <c r="AG908" s="542">
        <v>0.20775250000000001</v>
      </c>
      <c r="AH908" s="544">
        <v>3.1064499999999997</v>
      </c>
      <c r="AI908" s="544"/>
      <c r="AJ908" s="544"/>
      <c r="AK908" s="544"/>
      <c r="AL908" s="545">
        <v>1</v>
      </c>
      <c r="AM908" s="545">
        <v>0</v>
      </c>
      <c r="AN908" s="545">
        <v>0</v>
      </c>
      <c r="AO908" s="545">
        <v>0</v>
      </c>
    </row>
    <row r="909" spans="1:41" hidden="1">
      <c r="A909" s="533">
        <v>12</v>
      </c>
      <c r="B909" s="534" t="s">
        <v>20192</v>
      </c>
      <c r="C909" s="535">
        <v>0</v>
      </c>
      <c r="D909" s="536" t="s">
        <v>18646</v>
      </c>
      <c r="E909" s="534" t="s">
        <v>20192</v>
      </c>
      <c r="F909" s="537">
        <v>44582</v>
      </c>
      <c r="G909" s="534">
        <v>2022</v>
      </c>
      <c r="H909" s="538" t="s">
        <v>16904</v>
      </c>
      <c r="I909" s="534" t="s">
        <v>16905</v>
      </c>
      <c r="J909" s="534" t="s">
        <v>16482</v>
      </c>
      <c r="K909" s="539">
        <v>95348.778967999999</v>
      </c>
      <c r="L909" s="534">
        <v>3.2827000000000002</v>
      </c>
      <c r="M909" s="540">
        <v>29045.84</v>
      </c>
      <c r="N909" s="534" t="s">
        <v>20155</v>
      </c>
      <c r="O909" s="534" t="s">
        <v>20160</v>
      </c>
      <c r="P909" s="884">
        <v>44606</v>
      </c>
      <c r="Q909" s="535">
        <v>0</v>
      </c>
      <c r="R909" s="535">
        <v>25344</v>
      </c>
      <c r="S909" s="535">
        <v>1992</v>
      </c>
      <c r="T909" s="535">
        <v>0</v>
      </c>
      <c r="U909" s="535">
        <v>27336</v>
      </c>
      <c r="V909" s="541"/>
      <c r="W909" s="542">
        <v>0</v>
      </c>
      <c r="X909" s="542">
        <v>88400.623871999996</v>
      </c>
      <c r="Y909" s="542">
        <v>6948.1550959999995</v>
      </c>
      <c r="Z909" s="542">
        <v>0</v>
      </c>
      <c r="AA909" s="543"/>
      <c r="AB909" s="543">
        <v>3.4880296666666664</v>
      </c>
      <c r="AC909" s="543">
        <v>3.4880296666666664</v>
      </c>
      <c r="AD909" s="543"/>
      <c r="AE909" s="542">
        <v>3912.1109999999994</v>
      </c>
      <c r="AF909" s="542">
        <v>13020.504999999999</v>
      </c>
      <c r="AG909" s="542">
        <v>0.47631346941761776</v>
      </c>
      <c r="AH909" s="544"/>
      <c r="AI909" s="544">
        <v>3.0117161972490485</v>
      </c>
      <c r="AJ909" s="544">
        <v>3.0117161972490485</v>
      </c>
      <c r="AK909" s="544"/>
      <c r="AL909" s="545">
        <v>0</v>
      </c>
      <c r="AM909" s="545">
        <v>1</v>
      </c>
      <c r="AN909" s="545">
        <v>1</v>
      </c>
      <c r="AO909" s="545">
        <v>0</v>
      </c>
    </row>
    <row r="910" spans="1:41" hidden="1">
      <c r="A910" s="533">
        <v>13</v>
      </c>
      <c r="B910" s="534" t="s">
        <v>20193</v>
      </c>
      <c r="C910" s="535">
        <v>0</v>
      </c>
      <c r="D910" s="536" t="s">
        <v>18647</v>
      </c>
      <c r="E910" s="534" t="s">
        <v>20193</v>
      </c>
      <c r="F910" s="537">
        <v>44582</v>
      </c>
      <c r="G910" s="534">
        <v>2022</v>
      </c>
      <c r="H910" s="538" t="s">
        <v>16838</v>
      </c>
      <c r="I910" s="534" t="s">
        <v>16839</v>
      </c>
      <c r="J910" s="534" t="s">
        <v>3</v>
      </c>
      <c r="K910" s="539">
        <v>219520</v>
      </c>
      <c r="L910" s="534">
        <v>1</v>
      </c>
      <c r="M910" s="539">
        <v>219520</v>
      </c>
      <c r="N910" s="534" t="s">
        <v>20155</v>
      </c>
      <c r="O910" s="534" t="s">
        <v>17771</v>
      </c>
      <c r="P910" s="884">
        <v>44617</v>
      </c>
      <c r="Q910" s="535">
        <v>0</v>
      </c>
      <c r="R910" s="535">
        <v>0</v>
      </c>
      <c r="S910" s="535">
        <v>112000</v>
      </c>
      <c r="T910" s="535">
        <v>0</v>
      </c>
      <c r="U910" s="535">
        <v>112000</v>
      </c>
      <c r="V910" s="541" t="s">
        <v>20155</v>
      </c>
      <c r="W910" s="542">
        <v>0</v>
      </c>
      <c r="X910" s="542">
        <v>0</v>
      </c>
      <c r="Y910" s="542">
        <v>219519.49</v>
      </c>
      <c r="Z910" s="542">
        <v>0</v>
      </c>
      <c r="AA910" s="543"/>
      <c r="AB910" s="543"/>
      <c r="AC910" s="543">
        <v>1.9599954464285714</v>
      </c>
      <c r="AD910" s="543"/>
      <c r="AE910" s="542">
        <v>0</v>
      </c>
      <c r="AF910" s="542">
        <v>0</v>
      </c>
      <c r="AG910" s="542">
        <v>0</v>
      </c>
      <c r="AH910" s="544">
        <v>0</v>
      </c>
      <c r="AI910" s="544">
        <v>0</v>
      </c>
      <c r="AJ910" s="544">
        <v>1.9599954464285714</v>
      </c>
      <c r="AK910" s="544">
        <v>0</v>
      </c>
      <c r="AL910" s="545">
        <v>0</v>
      </c>
      <c r="AM910" s="545">
        <v>0</v>
      </c>
      <c r="AN910" s="545" t="s">
        <v>20323</v>
      </c>
      <c r="AO910" s="545">
        <v>0</v>
      </c>
    </row>
    <row r="911" spans="1:41" hidden="1">
      <c r="A911" s="533">
        <v>14</v>
      </c>
      <c r="B911" s="534" t="s">
        <v>20194</v>
      </c>
      <c r="C911" s="535">
        <v>0</v>
      </c>
      <c r="D911" s="536" t="s">
        <v>18648</v>
      </c>
      <c r="E911" s="534" t="s">
        <v>20194</v>
      </c>
      <c r="F911" s="537">
        <v>44585</v>
      </c>
      <c r="G911" s="534">
        <v>2022</v>
      </c>
      <c r="H911" s="538" t="s">
        <v>16838</v>
      </c>
      <c r="I911" s="534" t="s">
        <v>16839</v>
      </c>
      <c r="J911" s="534" t="s">
        <v>3</v>
      </c>
      <c r="K911" s="539">
        <v>201373.2</v>
      </c>
      <c r="L911" s="534">
        <v>1</v>
      </c>
      <c r="M911" s="540">
        <v>201373.2</v>
      </c>
      <c r="N911" s="534" t="s">
        <v>20155</v>
      </c>
      <c r="O911" s="534" t="s">
        <v>20321</v>
      </c>
      <c r="P911" s="884">
        <v>44593</v>
      </c>
      <c r="Q911" s="535">
        <v>0</v>
      </c>
      <c r="R911" s="535">
        <v>110040</v>
      </c>
      <c r="S911" s="535">
        <v>0</v>
      </c>
      <c r="T911" s="535">
        <v>0</v>
      </c>
      <c r="U911" s="535">
        <v>110040</v>
      </c>
      <c r="V911" s="541" t="s">
        <v>20155</v>
      </c>
      <c r="W911" s="542">
        <v>0</v>
      </c>
      <c r="X911" s="542">
        <v>201373.2</v>
      </c>
      <c r="Y911" s="542">
        <v>0</v>
      </c>
      <c r="Z911" s="542">
        <v>0</v>
      </c>
      <c r="AA911" s="543"/>
      <c r="AB911" s="543">
        <v>1.83</v>
      </c>
      <c r="AC911" s="543"/>
      <c r="AD911" s="543"/>
      <c r="AE911" s="542">
        <v>0</v>
      </c>
      <c r="AF911" s="542">
        <v>0</v>
      </c>
      <c r="AG911" s="542">
        <v>0</v>
      </c>
      <c r="AH911" s="544">
        <v>0</v>
      </c>
      <c r="AI911" s="544">
        <v>1.83</v>
      </c>
      <c r="AJ911" s="544">
        <v>0</v>
      </c>
      <c r="AK911" s="544">
        <v>0</v>
      </c>
      <c r="AL911" s="545">
        <v>0</v>
      </c>
      <c r="AM911" s="545" t="s">
        <v>20323</v>
      </c>
      <c r="AN911" s="545">
        <v>0</v>
      </c>
      <c r="AO911" s="545">
        <v>0</v>
      </c>
    </row>
    <row r="912" spans="1:41" hidden="1">
      <c r="A912" s="533">
        <v>15</v>
      </c>
      <c r="B912" s="534" t="s">
        <v>20196</v>
      </c>
      <c r="C912" s="535">
        <v>0</v>
      </c>
      <c r="D912" s="536" t="s">
        <v>18649</v>
      </c>
      <c r="E912" s="534" t="s">
        <v>20196</v>
      </c>
      <c r="F912" s="537">
        <v>44585</v>
      </c>
      <c r="G912" s="534">
        <v>2022</v>
      </c>
      <c r="H912" s="538" t="s">
        <v>16838</v>
      </c>
      <c r="I912" s="534" t="s">
        <v>16839</v>
      </c>
      <c r="J912" s="534" t="s">
        <v>3</v>
      </c>
      <c r="K912" s="539">
        <v>102480</v>
      </c>
      <c r="L912" s="534">
        <v>1</v>
      </c>
      <c r="M912" s="540">
        <v>102480</v>
      </c>
      <c r="N912" s="534" t="s">
        <v>20155</v>
      </c>
      <c r="O912" s="534" t="s">
        <v>17771</v>
      </c>
      <c r="P912" s="884">
        <v>44602</v>
      </c>
      <c r="Q912" s="535">
        <v>0</v>
      </c>
      <c r="R912" s="535">
        <v>0</v>
      </c>
      <c r="S912" s="535">
        <v>56000</v>
      </c>
      <c r="T912" s="535">
        <v>0</v>
      </c>
      <c r="U912" s="535">
        <v>56000</v>
      </c>
      <c r="V912" s="541" t="s">
        <v>20155</v>
      </c>
      <c r="W912" s="542">
        <v>0</v>
      </c>
      <c r="X912" s="542">
        <v>0</v>
      </c>
      <c r="Y912" s="542">
        <v>102480</v>
      </c>
      <c r="Z912" s="542">
        <v>0</v>
      </c>
      <c r="AA912" s="543"/>
      <c r="AB912" s="543"/>
      <c r="AC912" s="543">
        <v>1.83</v>
      </c>
      <c r="AD912" s="543"/>
      <c r="AE912" s="542">
        <v>0</v>
      </c>
      <c r="AF912" s="542">
        <v>0</v>
      </c>
      <c r="AG912" s="542">
        <v>0</v>
      </c>
      <c r="AH912" s="544">
        <v>0</v>
      </c>
      <c r="AI912" s="544">
        <v>0</v>
      </c>
      <c r="AJ912" s="544">
        <v>1.83</v>
      </c>
      <c r="AK912" s="544">
        <v>0</v>
      </c>
      <c r="AL912" s="545">
        <v>0</v>
      </c>
      <c r="AM912" s="545">
        <v>0</v>
      </c>
      <c r="AN912" s="545" t="s">
        <v>20323</v>
      </c>
      <c r="AO912" s="545">
        <v>0</v>
      </c>
    </row>
    <row r="913" spans="1:41" hidden="1">
      <c r="A913" s="533">
        <v>16</v>
      </c>
      <c r="B913" s="534" t="s">
        <v>20197</v>
      </c>
      <c r="C913" s="535">
        <v>0</v>
      </c>
      <c r="D913" s="536" t="s">
        <v>18650</v>
      </c>
      <c r="E913" s="534" t="s">
        <v>20197</v>
      </c>
      <c r="F913" s="537">
        <v>44585</v>
      </c>
      <c r="G913" s="534">
        <v>2022</v>
      </c>
      <c r="H913" s="538" t="s">
        <v>16560</v>
      </c>
      <c r="I913" s="534" t="s">
        <v>16561</v>
      </c>
      <c r="J913" s="534" t="s">
        <v>16482</v>
      </c>
      <c r="K913" s="539">
        <v>204165.68400000001</v>
      </c>
      <c r="L913" s="534">
        <v>3.25935</v>
      </c>
      <c r="M913" s="540">
        <v>62640</v>
      </c>
      <c r="N913" s="534" t="s">
        <v>20155</v>
      </c>
      <c r="O913" s="534" t="s">
        <v>17801</v>
      </c>
      <c r="P913" s="884">
        <v>44589</v>
      </c>
      <c r="Q913" s="535">
        <v>0</v>
      </c>
      <c r="R913" s="535">
        <v>0</v>
      </c>
      <c r="S913" s="535">
        <v>108000</v>
      </c>
      <c r="T913" s="535">
        <v>0</v>
      </c>
      <c r="U913" s="535">
        <v>108000</v>
      </c>
      <c r="V913" s="541"/>
      <c r="W913" s="542">
        <v>0</v>
      </c>
      <c r="X913" s="542">
        <v>0</v>
      </c>
      <c r="Y913" s="542">
        <v>204165.68399999998</v>
      </c>
      <c r="Z913" s="542">
        <v>0</v>
      </c>
      <c r="AA913" s="543"/>
      <c r="AB913" s="543"/>
      <c r="AC913" s="543">
        <v>1.8904229999999997</v>
      </c>
      <c r="AD913" s="543"/>
      <c r="AE913" s="542">
        <v>10366.950999999999</v>
      </c>
      <c r="AF913" s="542">
        <v>34260.029000000002</v>
      </c>
      <c r="AG913" s="542">
        <v>0.31722249074074077</v>
      </c>
      <c r="AH913" s="544"/>
      <c r="AI913" s="544"/>
      <c r="AJ913" s="544">
        <v>1.5732005092592589</v>
      </c>
      <c r="AK913" s="544"/>
      <c r="AL913" s="545">
        <v>0</v>
      </c>
      <c r="AM913" s="545">
        <v>0</v>
      </c>
      <c r="AN913" s="545" t="s">
        <v>20323</v>
      </c>
      <c r="AO913" s="545">
        <v>0</v>
      </c>
    </row>
    <row r="914" spans="1:41" hidden="1">
      <c r="A914" s="533">
        <v>17</v>
      </c>
      <c r="B914" s="534" t="s">
        <v>20198</v>
      </c>
      <c r="C914" s="535">
        <v>0</v>
      </c>
      <c r="D914" s="536" t="s">
        <v>18651</v>
      </c>
      <c r="E914" s="534" t="s">
        <v>20198</v>
      </c>
      <c r="F914" s="537">
        <v>44585</v>
      </c>
      <c r="G914" s="534">
        <v>2022</v>
      </c>
      <c r="H914" s="538" t="s">
        <v>16560</v>
      </c>
      <c r="I914" s="534" t="s">
        <v>16561</v>
      </c>
      <c r="J914" s="534" t="s">
        <v>16482</v>
      </c>
      <c r="K914" s="539">
        <v>204165.68400000001</v>
      </c>
      <c r="L914" s="534">
        <v>3.25935</v>
      </c>
      <c r="M914" s="540">
        <v>62640</v>
      </c>
      <c r="N914" s="534" t="s">
        <v>20155</v>
      </c>
      <c r="O914" s="534" t="s">
        <v>17801</v>
      </c>
      <c r="P914" s="884">
        <v>44590</v>
      </c>
      <c r="Q914" s="535">
        <v>0</v>
      </c>
      <c r="R914" s="535">
        <v>0</v>
      </c>
      <c r="S914" s="535">
        <v>108000</v>
      </c>
      <c r="T914" s="535">
        <v>0</v>
      </c>
      <c r="U914" s="535">
        <v>108000</v>
      </c>
      <c r="V914" s="541"/>
      <c r="W914" s="542">
        <v>0</v>
      </c>
      <c r="X914" s="542">
        <v>0</v>
      </c>
      <c r="Y914" s="542">
        <v>204165.68399999998</v>
      </c>
      <c r="Z914" s="542">
        <v>0</v>
      </c>
      <c r="AA914" s="543"/>
      <c r="AB914" s="543"/>
      <c r="AC914" s="543">
        <v>1.8904229999999997</v>
      </c>
      <c r="AD914" s="543"/>
      <c r="AE914" s="542">
        <v>10366.950999999999</v>
      </c>
      <c r="AF914" s="542">
        <v>34260.029000000002</v>
      </c>
      <c r="AG914" s="542">
        <v>0.31722249074074077</v>
      </c>
      <c r="AH914" s="544"/>
      <c r="AI914" s="544"/>
      <c r="AJ914" s="544">
        <v>1.5732005092592589</v>
      </c>
      <c r="AK914" s="544"/>
      <c r="AL914" s="545">
        <v>0</v>
      </c>
      <c r="AM914" s="545">
        <v>0</v>
      </c>
      <c r="AN914" s="545" t="s">
        <v>20323</v>
      </c>
      <c r="AO914" s="545">
        <v>0</v>
      </c>
    </row>
    <row r="915" spans="1:41" hidden="1">
      <c r="A915" s="533">
        <v>18</v>
      </c>
      <c r="B915" s="534" t="s">
        <v>20199</v>
      </c>
      <c r="C915" s="535">
        <v>0</v>
      </c>
      <c r="D915" s="536" t="s">
        <v>18652</v>
      </c>
      <c r="E915" s="534" t="s">
        <v>20199</v>
      </c>
      <c r="F915" s="537">
        <v>44585</v>
      </c>
      <c r="G915" s="534">
        <v>2022</v>
      </c>
      <c r="H915" s="538" t="s">
        <v>16560</v>
      </c>
      <c r="I915" s="534" t="s">
        <v>16561</v>
      </c>
      <c r="J915" s="534" t="s">
        <v>16482</v>
      </c>
      <c r="K915" s="539">
        <v>203335.70400000003</v>
      </c>
      <c r="L915" s="534">
        <v>3.2461000000000002</v>
      </c>
      <c r="M915" s="540">
        <v>62640</v>
      </c>
      <c r="N915" s="534" t="s">
        <v>20155</v>
      </c>
      <c r="O915" s="534" t="s">
        <v>17801</v>
      </c>
      <c r="P915" s="884">
        <v>44590</v>
      </c>
      <c r="Q915" s="535">
        <v>0</v>
      </c>
      <c r="R915" s="535">
        <v>0</v>
      </c>
      <c r="S915" s="535">
        <v>108000</v>
      </c>
      <c r="T915" s="535">
        <v>0</v>
      </c>
      <c r="U915" s="535">
        <v>108000</v>
      </c>
      <c r="V915" s="541"/>
      <c r="W915" s="542">
        <v>0</v>
      </c>
      <c r="X915" s="542">
        <v>0</v>
      </c>
      <c r="Y915" s="542">
        <v>203335.704</v>
      </c>
      <c r="Z915" s="542">
        <v>0</v>
      </c>
      <c r="AA915" s="543"/>
      <c r="AB915" s="543"/>
      <c r="AC915" s="543">
        <v>1.882738</v>
      </c>
      <c r="AD915" s="543"/>
      <c r="AE915" s="542">
        <v>10366.950999999999</v>
      </c>
      <c r="AF915" s="542">
        <v>34260.029000000002</v>
      </c>
      <c r="AG915" s="542">
        <v>0.31722249074074077</v>
      </c>
      <c r="AH915" s="544"/>
      <c r="AI915" s="544"/>
      <c r="AJ915" s="544">
        <v>1.5655155092592592</v>
      </c>
      <c r="AK915" s="544"/>
      <c r="AL915" s="545">
        <v>0</v>
      </c>
      <c r="AM915" s="545">
        <v>0</v>
      </c>
      <c r="AN915" s="545" t="s">
        <v>20323</v>
      </c>
      <c r="AO915" s="545">
        <v>0</v>
      </c>
    </row>
    <row r="916" spans="1:41" hidden="1">
      <c r="A916" s="533">
        <v>19</v>
      </c>
      <c r="B916" s="534" t="s">
        <v>20200</v>
      </c>
      <c r="C916" s="535">
        <v>0</v>
      </c>
      <c r="D916" s="536" t="s">
        <v>18653</v>
      </c>
      <c r="E916" s="534" t="s">
        <v>20200</v>
      </c>
      <c r="F916" s="537">
        <v>44585</v>
      </c>
      <c r="G916" s="534">
        <v>2022</v>
      </c>
      <c r="H916" s="538" t="s">
        <v>16560</v>
      </c>
      <c r="I916" s="534" t="s">
        <v>16561</v>
      </c>
      <c r="J916" s="534" t="s">
        <v>16482</v>
      </c>
      <c r="K916" s="539">
        <v>203335.70400000003</v>
      </c>
      <c r="L916" s="534">
        <v>3.2461000000000002</v>
      </c>
      <c r="M916" s="540">
        <v>62640</v>
      </c>
      <c r="N916" s="534" t="s">
        <v>20155</v>
      </c>
      <c r="O916" s="534" t="s">
        <v>17801</v>
      </c>
      <c r="P916" s="884">
        <v>44592</v>
      </c>
      <c r="Q916" s="535">
        <v>0</v>
      </c>
      <c r="R916" s="535">
        <v>0</v>
      </c>
      <c r="S916" s="535">
        <v>108000</v>
      </c>
      <c r="T916" s="535">
        <v>0</v>
      </c>
      <c r="U916" s="535">
        <v>108000</v>
      </c>
      <c r="V916" s="541"/>
      <c r="W916" s="542">
        <v>0</v>
      </c>
      <c r="X916" s="542">
        <v>0</v>
      </c>
      <c r="Y916" s="542">
        <v>203335.704</v>
      </c>
      <c r="Z916" s="542">
        <v>0</v>
      </c>
      <c r="AA916" s="543"/>
      <c r="AB916" s="543"/>
      <c r="AC916" s="543">
        <v>1.882738</v>
      </c>
      <c r="AD916" s="543"/>
      <c r="AE916" s="542">
        <v>10366.950999999999</v>
      </c>
      <c r="AF916" s="542">
        <v>34260.029000000002</v>
      </c>
      <c r="AG916" s="542">
        <v>0.31722249074074077</v>
      </c>
      <c r="AH916" s="544"/>
      <c r="AI916" s="544"/>
      <c r="AJ916" s="544">
        <v>1.5655155092592592</v>
      </c>
      <c r="AK916" s="544"/>
      <c r="AL916" s="545">
        <v>0</v>
      </c>
      <c r="AM916" s="545">
        <v>0</v>
      </c>
      <c r="AN916" s="545" t="s">
        <v>20323</v>
      </c>
      <c r="AO916" s="545">
        <v>0</v>
      </c>
    </row>
    <row r="917" spans="1:41" hidden="1">
      <c r="A917" s="533">
        <v>20</v>
      </c>
      <c r="B917" s="534" t="s">
        <v>20201</v>
      </c>
      <c r="C917" s="535">
        <v>0</v>
      </c>
      <c r="D917" s="536" t="s">
        <v>18654</v>
      </c>
      <c r="E917" s="534" t="s">
        <v>20201</v>
      </c>
      <c r="F917" s="537">
        <v>44586</v>
      </c>
      <c r="G917" s="534">
        <v>2022</v>
      </c>
      <c r="H917" s="538" t="s">
        <v>17307</v>
      </c>
      <c r="I917" s="534" t="s">
        <v>17308</v>
      </c>
      <c r="J917" s="534" t="s">
        <v>16401</v>
      </c>
      <c r="K917" s="539">
        <v>1081672.7039999999</v>
      </c>
      <c r="L917" s="534">
        <v>2.9159999999999999</v>
      </c>
      <c r="M917" s="540">
        <v>370944</v>
      </c>
      <c r="N917" s="534" t="s">
        <v>20155</v>
      </c>
      <c r="O917" s="534" t="s">
        <v>17939</v>
      </c>
      <c r="P917" s="884">
        <v>44592</v>
      </c>
      <c r="Q917" s="535">
        <v>0</v>
      </c>
      <c r="R917" s="535">
        <v>360192</v>
      </c>
      <c r="S917" s="535">
        <v>100608</v>
      </c>
      <c r="T917" s="535">
        <v>0</v>
      </c>
      <c r="U917" s="535">
        <v>460800</v>
      </c>
      <c r="V917" s="541"/>
      <c r="W917" s="542">
        <v>0</v>
      </c>
      <c r="X917" s="542">
        <v>845507.49696000025</v>
      </c>
      <c r="Y917" s="542">
        <v>236165.20704000004</v>
      </c>
      <c r="Z917" s="542">
        <v>0</v>
      </c>
      <c r="AA917" s="543"/>
      <c r="AB917" s="543">
        <v>2.3473800000000007</v>
      </c>
      <c r="AC917" s="543">
        <v>2.3473800000000002</v>
      </c>
      <c r="AD917" s="543"/>
      <c r="AE917" s="542">
        <v>0</v>
      </c>
      <c r="AF917" s="542">
        <v>0</v>
      </c>
      <c r="AG917" s="542">
        <v>0</v>
      </c>
      <c r="AH917" s="544">
        <v>0</v>
      </c>
      <c r="AI917" s="544">
        <v>2.3473800000000007</v>
      </c>
      <c r="AJ917" s="544">
        <v>2.3473800000000002</v>
      </c>
      <c r="AK917" s="544">
        <v>0</v>
      </c>
      <c r="AL917" s="545">
        <v>0</v>
      </c>
      <c r="AM917" s="545" t="s">
        <v>20324</v>
      </c>
      <c r="AN917" s="545" t="s">
        <v>20324</v>
      </c>
      <c r="AO917" s="545">
        <v>0</v>
      </c>
    </row>
    <row r="918" spans="1:41" hidden="1">
      <c r="A918" s="533">
        <v>21</v>
      </c>
      <c r="B918" s="534" t="s">
        <v>20202</v>
      </c>
      <c r="C918" s="535">
        <v>0</v>
      </c>
      <c r="D918" s="536" t="s">
        <v>18655</v>
      </c>
      <c r="E918" s="534" t="s">
        <v>20202</v>
      </c>
      <c r="F918" s="537">
        <v>44586</v>
      </c>
      <c r="G918" s="534">
        <v>2022</v>
      </c>
      <c r="H918" s="538" t="s">
        <v>17017</v>
      </c>
      <c r="I918" s="534" t="s">
        <v>17018</v>
      </c>
      <c r="J918" s="534" t="s">
        <v>3</v>
      </c>
      <c r="K918" s="539">
        <v>61000</v>
      </c>
      <c r="L918" s="534">
        <v>1</v>
      </c>
      <c r="M918" s="540">
        <v>61000</v>
      </c>
      <c r="N918" s="534" t="s">
        <v>20155</v>
      </c>
      <c r="O918" s="534" t="s">
        <v>18064</v>
      </c>
      <c r="P918" s="884">
        <v>44601</v>
      </c>
      <c r="Q918" s="535">
        <v>0</v>
      </c>
      <c r="R918" s="535">
        <v>20000</v>
      </c>
      <c r="S918" s="535">
        <v>0</v>
      </c>
      <c r="T918" s="535">
        <v>0</v>
      </c>
      <c r="U918" s="535">
        <v>20000</v>
      </c>
      <c r="V918" s="541"/>
      <c r="W918" s="542">
        <v>0</v>
      </c>
      <c r="X918" s="542">
        <v>61000</v>
      </c>
      <c r="Y918" s="542">
        <v>0</v>
      </c>
      <c r="Z918" s="542">
        <v>0</v>
      </c>
      <c r="AA918" s="543"/>
      <c r="AB918" s="543">
        <v>3.05</v>
      </c>
      <c r="AC918" s="543"/>
      <c r="AD918" s="543"/>
      <c r="AE918" s="542">
        <v>0</v>
      </c>
      <c r="AF918" s="542">
        <v>0</v>
      </c>
      <c r="AG918" s="542">
        <v>0</v>
      </c>
      <c r="AH918" s="544">
        <v>0</v>
      </c>
      <c r="AI918" s="544">
        <v>3.05</v>
      </c>
      <c r="AJ918" s="544">
        <v>0</v>
      </c>
      <c r="AK918" s="544">
        <v>0</v>
      </c>
      <c r="AL918" s="545">
        <v>0</v>
      </c>
      <c r="AM918" s="545">
        <v>1</v>
      </c>
      <c r="AN918" s="545">
        <v>0</v>
      </c>
      <c r="AO918" s="545">
        <v>0</v>
      </c>
    </row>
    <row r="919" spans="1:41" hidden="1">
      <c r="A919" s="533">
        <v>22</v>
      </c>
      <c r="B919" s="534" t="s">
        <v>20203</v>
      </c>
      <c r="C919" s="535">
        <v>0</v>
      </c>
      <c r="D919" s="536" t="s">
        <v>18656</v>
      </c>
      <c r="E919" s="534" t="s">
        <v>20203</v>
      </c>
      <c r="F919" s="537">
        <v>44595</v>
      </c>
      <c r="G919" s="534">
        <v>2022</v>
      </c>
      <c r="H919" s="538" t="s">
        <v>16779</v>
      </c>
      <c r="I919" s="534" t="s">
        <v>16780</v>
      </c>
      <c r="J919" s="534" t="s">
        <v>16482</v>
      </c>
      <c r="K919" s="539">
        <v>84142.862895000013</v>
      </c>
      <c r="L919" s="534">
        <v>3.2482500000000001</v>
      </c>
      <c r="M919" s="540">
        <v>25904.06</v>
      </c>
      <c r="N919" s="534" t="s">
        <v>20155</v>
      </c>
      <c r="O919" s="534" t="s">
        <v>16394</v>
      </c>
      <c r="P919" s="884">
        <v>44635</v>
      </c>
      <c r="Q919" s="535">
        <v>0</v>
      </c>
      <c r="R919" s="535">
        <v>18164</v>
      </c>
      <c r="S919" s="535">
        <v>4560</v>
      </c>
      <c r="T919" s="535">
        <v>2950</v>
      </c>
      <c r="U919" s="535">
        <v>25674</v>
      </c>
      <c r="V919" s="541"/>
      <c r="W919" s="542">
        <v>0</v>
      </c>
      <c r="X919" s="542">
        <v>56572.041720000001</v>
      </c>
      <c r="Y919" s="542">
        <v>13923.298799999999</v>
      </c>
      <c r="Z919" s="542">
        <v>13647.522375</v>
      </c>
      <c r="AA919" s="543"/>
      <c r="AB919" s="543">
        <v>3.114514518828452</v>
      </c>
      <c r="AC919" s="543">
        <v>3.0533549999999998</v>
      </c>
      <c r="AD919" s="543">
        <v>4.626278771186441</v>
      </c>
      <c r="AE919" s="542">
        <v>0</v>
      </c>
      <c r="AF919" s="542">
        <v>0</v>
      </c>
      <c r="AG919" s="542">
        <v>0</v>
      </c>
      <c r="AH919" s="544"/>
      <c r="AI919" s="544">
        <v>3.114514518828452</v>
      </c>
      <c r="AJ919" s="544">
        <v>3.0533549999999998</v>
      </c>
      <c r="AK919" s="544">
        <v>4.626278771186441</v>
      </c>
      <c r="AL919" s="545">
        <v>0</v>
      </c>
      <c r="AM919" s="545">
        <v>1</v>
      </c>
      <c r="AN919" s="545">
        <v>1</v>
      </c>
      <c r="AO919" s="545">
        <v>1</v>
      </c>
    </row>
    <row r="920" spans="1:41" hidden="1">
      <c r="A920" s="533">
        <v>23</v>
      </c>
      <c r="B920" s="534" t="s">
        <v>20204</v>
      </c>
      <c r="C920" s="535">
        <v>0</v>
      </c>
      <c r="D920" s="536" t="s">
        <v>18657</v>
      </c>
      <c r="E920" s="534" t="s">
        <v>20204</v>
      </c>
      <c r="F920" s="537">
        <v>44595</v>
      </c>
      <c r="G920" s="534">
        <v>2022</v>
      </c>
      <c r="H920" s="538" t="s">
        <v>17156</v>
      </c>
      <c r="I920" s="534" t="s">
        <v>17157</v>
      </c>
      <c r="J920" s="534" t="s">
        <v>3</v>
      </c>
      <c r="K920" s="539">
        <v>124640</v>
      </c>
      <c r="L920" s="534">
        <v>1</v>
      </c>
      <c r="M920" s="540">
        <v>124640</v>
      </c>
      <c r="N920" s="534" t="s">
        <v>20155</v>
      </c>
      <c r="O920" s="534" t="s">
        <v>20161</v>
      </c>
      <c r="P920" s="884">
        <v>44600</v>
      </c>
      <c r="Q920" s="535">
        <v>0</v>
      </c>
      <c r="R920" s="535">
        <v>41000</v>
      </c>
      <c r="S920" s="535">
        <v>0</v>
      </c>
      <c r="T920" s="535">
        <v>0</v>
      </c>
      <c r="U920" s="535">
        <v>41000</v>
      </c>
      <c r="V920" s="541" t="s">
        <v>20155</v>
      </c>
      <c r="W920" s="542">
        <v>0</v>
      </c>
      <c r="X920" s="542">
        <v>124640</v>
      </c>
      <c r="Y920" s="542">
        <v>0</v>
      </c>
      <c r="Z920" s="542">
        <v>0</v>
      </c>
      <c r="AA920" s="543"/>
      <c r="AB920" s="543">
        <v>3.04</v>
      </c>
      <c r="AC920" s="543"/>
      <c r="AD920" s="543"/>
      <c r="AE920" s="542">
        <v>0</v>
      </c>
      <c r="AF920" s="542">
        <v>0</v>
      </c>
      <c r="AG920" s="542">
        <v>0</v>
      </c>
      <c r="AH920" s="544">
        <v>0</v>
      </c>
      <c r="AI920" s="544">
        <v>3.04</v>
      </c>
      <c r="AJ920" s="544">
        <v>0</v>
      </c>
      <c r="AK920" s="544">
        <v>0</v>
      </c>
      <c r="AL920" s="545">
        <v>0</v>
      </c>
      <c r="AM920" s="545">
        <v>1</v>
      </c>
      <c r="AN920" s="545">
        <v>0</v>
      </c>
      <c r="AO920" s="545">
        <v>0</v>
      </c>
    </row>
    <row r="921" spans="1:41" hidden="1">
      <c r="A921" s="533">
        <v>24</v>
      </c>
      <c r="B921" s="534" t="s">
        <v>20205</v>
      </c>
      <c r="C921" s="535">
        <v>0</v>
      </c>
      <c r="D921" s="536" t="s">
        <v>18658</v>
      </c>
      <c r="E921" s="534" t="s">
        <v>20205</v>
      </c>
      <c r="F921" s="537">
        <v>44597</v>
      </c>
      <c r="G921" s="534">
        <v>2022</v>
      </c>
      <c r="H921" s="538" t="s">
        <v>17017</v>
      </c>
      <c r="I921" s="534" t="s">
        <v>17018</v>
      </c>
      <c r="J921" s="534" t="s">
        <v>3</v>
      </c>
      <c r="K921" s="539">
        <v>12394.2</v>
      </c>
      <c r="L921" s="534">
        <v>1</v>
      </c>
      <c r="M921" s="540">
        <v>12394.2</v>
      </c>
      <c r="N921" s="534" t="s">
        <v>20155</v>
      </c>
      <c r="O921" s="534" t="s">
        <v>17238</v>
      </c>
      <c r="P921" s="884">
        <v>44609</v>
      </c>
      <c r="Q921" s="535">
        <v>0</v>
      </c>
      <c r="R921" s="535">
        <v>3814</v>
      </c>
      <c r="S921" s="535">
        <v>0</v>
      </c>
      <c r="T921" s="535">
        <v>0</v>
      </c>
      <c r="U921" s="535">
        <v>3814</v>
      </c>
      <c r="V921" s="541"/>
      <c r="W921" s="542">
        <v>0</v>
      </c>
      <c r="X921" s="542">
        <v>12394.2</v>
      </c>
      <c r="Y921" s="542">
        <v>0</v>
      </c>
      <c r="Z921" s="542">
        <v>0</v>
      </c>
      <c r="AA921" s="543"/>
      <c r="AB921" s="543">
        <v>3.2496591504981649</v>
      </c>
      <c r="AC921" s="543"/>
      <c r="AD921" s="543"/>
      <c r="AE921" s="542">
        <v>0</v>
      </c>
      <c r="AF921" s="542">
        <v>0</v>
      </c>
      <c r="AG921" s="542">
        <v>0</v>
      </c>
      <c r="AH921" s="544">
        <v>0</v>
      </c>
      <c r="AI921" s="544">
        <v>3.2496591504981649</v>
      </c>
      <c r="AJ921" s="544">
        <v>0</v>
      </c>
      <c r="AK921" s="544">
        <v>0</v>
      </c>
      <c r="AL921" s="545">
        <v>0</v>
      </c>
      <c r="AM921" s="545">
        <v>1</v>
      </c>
      <c r="AN921" s="545">
        <v>0</v>
      </c>
      <c r="AO921" s="545">
        <v>0</v>
      </c>
    </row>
    <row r="922" spans="1:41" hidden="1">
      <c r="A922" s="533">
        <v>25</v>
      </c>
      <c r="B922" s="534" t="s">
        <v>20206</v>
      </c>
      <c r="C922" s="535">
        <v>0</v>
      </c>
      <c r="D922" s="536" t="s">
        <v>18659</v>
      </c>
      <c r="E922" s="534" t="s">
        <v>20206</v>
      </c>
      <c r="F922" s="537">
        <v>44600</v>
      </c>
      <c r="G922" s="534">
        <v>2022</v>
      </c>
      <c r="H922" s="538" t="s">
        <v>16444</v>
      </c>
      <c r="I922" s="534" t="s">
        <v>16445</v>
      </c>
      <c r="J922" s="534" t="s">
        <v>3</v>
      </c>
      <c r="K922" s="539">
        <v>77328</v>
      </c>
      <c r="L922" s="534">
        <v>1</v>
      </c>
      <c r="M922" s="540">
        <v>77328</v>
      </c>
      <c r="N922" s="534" t="s">
        <v>20155</v>
      </c>
      <c r="O922" s="534" t="s">
        <v>17693</v>
      </c>
      <c r="P922" s="884">
        <v>44606</v>
      </c>
      <c r="Q922" s="535">
        <v>43200</v>
      </c>
      <c r="R922" s="535">
        <v>0</v>
      </c>
      <c r="S922" s="535">
        <v>0</v>
      </c>
      <c r="T922" s="535">
        <v>0</v>
      </c>
      <c r="U922" s="535">
        <v>43200</v>
      </c>
      <c r="V922" s="541" t="s">
        <v>20155</v>
      </c>
      <c r="W922" s="542">
        <v>77328</v>
      </c>
      <c r="X922" s="542">
        <v>0</v>
      </c>
      <c r="Y922" s="542">
        <v>0</v>
      </c>
      <c r="Z922" s="542">
        <v>0</v>
      </c>
      <c r="AA922" s="543">
        <v>1.79</v>
      </c>
      <c r="AB922" s="543"/>
      <c r="AC922" s="543"/>
      <c r="AD922" s="543"/>
      <c r="AE922" s="542">
        <v>0</v>
      </c>
      <c r="AF922" s="542">
        <v>0</v>
      </c>
      <c r="AG922" s="542">
        <v>0</v>
      </c>
      <c r="AH922" s="544">
        <v>1.79</v>
      </c>
      <c r="AI922" s="544">
        <v>0</v>
      </c>
      <c r="AJ922" s="544">
        <v>0</v>
      </c>
      <c r="AK922" s="544">
        <v>0</v>
      </c>
      <c r="AL922" s="545" t="s">
        <v>20324</v>
      </c>
      <c r="AM922" s="545">
        <v>0</v>
      </c>
      <c r="AN922" s="545">
        <v>0</v>
      </c>
      <c r="AO922" s="545">
        <v>0</v>
      </c>
    </row>
    <row r="923" spans="1:41" hidden="1">
      <c r="A923" s="533">
        <v>26</v>
      </c>
      <c r="B923" s="534" t="s">
        <v>20207</v>
      </c>
      <c r="C923" s="535">
        <v>0</v>
      </c>
      <c r="D923" s="536" t="s">
        <v>18660</v>
      </c>
      <c r="E923" s="534" t="s">
        <v>20207</v>
      </c>
      <c r="F923" s="537">
        <v>44602</v>
      </c>
      <c r="G923" s="534">
        <v>2022</v>
      </c>
      <c r="H923" s="538" t="s">
        <v>16957</v>
      </c>
      <c r="I923" s="534" t="s">
        <v>16958</v>
      </c>
      <c r="J923" s="534" t="s">
        <v>16401</v>
      </c>
      <c r="K923" s="539">
        <v>131874.23000000001</v>
      </c>
      <c r="L923" s="534">
        <v>2.8793500000000001</v>
      </c>
      <c r="M923" s="540">
        <v>45800</v>
      </c>
      <c r="N923" s="534" t="s">
        <v>20155</v>
      </c>
      <c r="O923" s="534" t="s">
        <v>20161</v>
      </c>
      <c r="P923" s="884">
        <v>44608</v>
      </c>
      <c r="Q923" s="535">
        <v>40000</v>
      </c>
      <c r="R923" s="535">
        <v>0</v>
      </c>
      <c r="S923" s="535">
        <v>0</v>
      </c>
      <c r="T923" s="535">
        <v>0</v>
      </c>
      <c r="U923" s="535">
        <v>40000</v>
      </c>
      <c r="V923" s="541"/>
      <c r="W923" s="542">
        <v>131874.23000000001</v>
      </c>
      <c r="X923" s="542">
        <v>0</v>
      </c>
      <c r="Y923" s="542">
        <v>0</v>
      </c>
      <c r="Z923" s="542">
        <v>0</v>
      </c>
      <c r="AA923" s="543">
        <v>3.2968557500000002</v>
      </c>
      <c r="AB923" s="543"/>
      <c r="AC923" s="543"/>
      <c r="AD923" s="543"/>
      <c r="AE923" s="542">
        <v>994.73400000000004</v>
      </c>
      <c r="AF923" s="542">
        <v>8023.07</v>
      </c>
      <c r="AG923" s="542">
        <v>0.20057675</v>
      </c>
      <c r="AH923" s="544">
        <v>3.096279</v>
      </c>
      <c r="AI923" s="544"/>
      <c r="AJ923" s="544"/>
      <c r="AK923" s="544"/>
      <c r="AL923" s="545">
        <v>1</v>
      </c>
      <c r="AM923" s="545">
        <v>0</v>
      </c>
      <c r="AN923" s="545">
        <v>0</v>
      </c>
      <c r="AO923" s="545">
        <v>0</v>
      </c>
    </row>
    <row r="924" spans="1:41" hidden="1">
      <c r="A924" s="533">
        <v>27</v>
      </c>
      <c r="B924" s="534" t="s">
        <v>20208</v>
      </c>
      <c r="C924" s="535">
        <v>0</v>
      </c>
      <c r="D924" s="536" t="s">
        <v>18661</v>
      </c>
      <c r="E924" s="534" t="s">
        <v>20208</v>
      </c>
      <c r="F924" s="537">
        <v>44602</v>
      </c>
      <c r="G924" s="534">
        <v>2022</v>
      </c>
      <c r="H924" s="538" t="s">
        <v>16779</v>
      </c>
      <c r="I924" s="534" t="s">
        <v>16780</v>
      </c>
      <c r="J924" s="534" t="s">
        <v>16482</v>
      </c>
      <c r="K924" s="539">
        <v>83305.816200000001</v>
      </c>
      <c r="L924" s="534">
        <v>3.2485499999999998</v>
      </c>
      <c r="M924" s="540">
        <v>25644</v>
      </c>
      <c r="N924" s="534" t="s">
        <v>20155</v>
      </c>
      <c r="O924" s="534" t="s">
        <v>16394</v>
      </c>
      <c r="P924" s="884">
        <v>44677</v>
      </c>
      <c r="Q924" s="535">
        <v>9444</v>
      </c>
      <c r="R924" s="535">
        <v>14016</v>
      </c>
      <c r="S924" s="535">
        <v>0</v>
      </c>
      <c r="T924" s="535">
        <v>0</v>
      </c>
      <c r="U924" s="535">
        <v>23460</v>
      </c>
      <c r="V924" s="541" t="e">
        <v>#N/A</v>
      </c>
      <c r="W924" s="542">
        <v>0</v>
      </c>
      <c r="X924" s="542">
        <v>42438.017663999999</v>
      </c>
      <c r="Y924" s="542">
        <v>33133.650696000004</v>
      </c>
      <c r="Z924" s="542">
        <v>7734.1478400000015</v>
      </c>
      <c r="AA924" s="543">
        <v>0</v>
      </c>
      <c r="AB924" s="543">
        <v>3.0278266027397258</v>
      </c>
      <c r="AC924" s="543"/>
      <c r="AD924" s="543"/>
      <c r="AE924" s="542">
        <v>0</v>
      </c>
      <c r="AF924" s="542">
        <v>0</v>
      </c>
      <c r="AG924" s="542">
        <v>0</v>
      </c>
      <c r="AH924" s="544">
        <v>0</v>
      </c>
      <c r="AI924" s="544">
        <v>3.0278266027397258</v>
      </c>
      <c r="AJ924" s="544">
        <v>0</v>
      </c>
      <c r="AK924" s="544">
        <v>0</v>
      </c>
      <c r="AL924" s="545">
        <v>1</v>
      </c>
      <c r="AM924" s="545">
        <v>1</v>
      </c>
      <c r="AN924" s="545">
        <v>1</v>
      </c>
      <c r="AO924" s="545">
        <v>1</v>
      </c>
    </row>
    <row r="925" spans="1:41" hidden="1">
      <c r="A925" s="533">
        <v>28</v>
      </c>
      <c r="B925" s="534" t="s">
        <v>20209</v>
      </c>
      <c r="C925" s="535">
        <v>0</v>
      </c>
      <c r="D925" s="536" t="s">
        <v>18662</v>
      </c>
      <c r="E925" s="534" t="s">
        <v>20209</v>
      </c>
      <c r="F925" s="537">
        <v>44608</v>
      </c>
      <c r="G925" s="534">
        <v>2022</v>
      </c>
      <c r="H925" s="538" t="s">
        <v>17307</v>
      </c>
      <c r="I925" s="534" t="s">
        <v>17308</v>
      </c>
      <c r="J925" s="534" t="s">
        <v>16401</v>
      </c>
      <c r="K925" s="539">
        <v>133690.07250000001</v>
      </c>
      <c r="L925" s="534">
        <v>2.8797000000000001</v>
      </c>
      <c r="M925" s="540">
        <v>46425</v>
      </c>
      <c r="N925" s="534" t="s">
        <v>20155</v>
      </c>
      <c r="O925" s="534" t="s">
        <v>17939</v>
      </c>
      <c r="P925" s="884">
        <v>44616</v>
      </c>
      <c r="Q925" s="535">
        <v>0</v>
      </c>
      <c r="R925" s="535">
        <v>0</v>
      </c>
      <c r="S925" s="535">
        <v>0</v>
      </c>
      <c r="T925" s="535">
        <v>25000</v>
      </c>
      <c r="U925" s="535">
        <v>25000</v>
      </c>
      <c r="V925" s="541"/>
      <c r="W925" s="542">
        <v>0</v>
      </c>
      <c r="X925" s="542">
        <v>0</v>
      </c>
      <c r="Y925" s="542">
        <v>0</v>
      </c>
      <c r="Z925" s="542">
        <v>133690.07250000001</v>
      </c>
      <c r="AA925" s="543"/>
      <c r="AB925" s="543"/>
      <c r="AC925" s="543"/>
      <c r="AD925" s="543">
        <v>5.3476029</v>
      </c>
      <c r="AE925" s="542">
        <v>0</v>
      </c>
      <c r="AF925" s="542">
        <v>0</v>
      </c>
      <c r="AG925" s="542">
        <v>0</v>
      </c>
      <c r="AH925" s="544">
        <v>0</v>
      </c>
      <c r="AI925" s="544">
        <v>0</v>
      </c>
      <c r="AJ925" s="544">
        <v>0</v>
      </c>
      <c r="AK925" s="544">
        <v>5.3476029</v>
      </c>
      <c r="AL925" s="545">
        <v>0</v>
      </c>
      <c r="AM925" s="545">
        <v>0</v>
      </c>
      <c r="AN925" s="545">
        <v>0</v>
      </c>
      <c r="AO925" s="545">
        <v>1</v>
      </c>
    </row>
    <row r="926" spans="1:41" hidden="1">
      <c r="A926" s="546">
        <v>29</v>
      </c>
      <c r="B926" s="547" t="s">
        <v>20210</v>
      </c>
      <c r="C926" s="548">
        <v>0</v>
      </c>
      <c r="D926" s="549" t="s">
        <v>18663</v>
      </c>
      <c r="E926" s="547" t="s">
        <v>20210</v>
      </c>
      <c r="F926" s="550">
        <v>44610</v>
      </c>
      <c r="G926" s="547">
        <v>2022</v>
      </c>
      <c r="H926" s="551" t="s">
        <v>17119</v>
      </c>
      <c r="I926" s="547" t="s">
        <v>17120</v>
      </c>
      <c r="J926" s="547" t="s">
        <v>16401</v>
      </c>
      <c r="K926" s="552">
        <v>64692.217100000002</v>
      </c>
      <c r="L926" s="547">
        <v>2.8786</v>
      </c>
      <c r="M926" s="553">
        <v>22473.5</v>
      </c>
      <c r="N926" s="547" t="s">
        <v>20155</v>
      </c>
      <c r="O926" s="547" t="s">
        <v>17965</v>
      </c>
      <c r="P926" s="885">
        <v>44615</v>
      </c>
      <c r="Q926" s="548">
        <v>0</v>
      </c>
      <c r="R926" s="548">
        <v>23430</v>
      </c>
      <c r="S926" s="548">
        <v>0</v>
      </c>
      <c r="T926" s="548">
        <v>0</v>
      </c>
      <c r="U926" s="548">
        <v>23430</v>
      </c>
      <c r="V926" s="554"/>
      <c r="W926" s="542">
        <v>0</v>
      </c>
      <c r="X926" s="542">
        <v>64691.641300000003</v>
      </c>
      <c r="Y926" s="542">
        <v>0</v>
      </c>
      <c r="Z926" s="542">
        <v>0</v>
      </c>
      <c r="AA926" s="47"/>
      <c r="AB926" s="47">
        <v>2.7610602347417843</v>
      </c>
      <c r="AC926" s="47"/>
      <c r="AD926" s="47"/>
      <c r="AE926" s="47">
        <v>3623.5499999999997</v>
      </c>
      <c r="AF926" s="47">
        <v>11828.85</v>
      </c>
      <c r="AG926" s="47">
        <v>0.50485915492957745</v>
      </c>
      <c r="AH926" s="47"/>
      <c r="AI926" s="47">
        <v>2.256201079812207</v>
      </c>
      <c r="AJ926" s="47"/>
      <c r="AK926" s="47"/>
      <c r="AL926" s="555">
        <v>0</v>
      </c>
      <c r="AM926" s="555" t="s">
        <v>20316</v>
      </c>
      <c r="AN926" s="555">
        <v>0</v>
      </c>
      <c r="AO926" s="555">
        <v>0</v>
      </c>
    </row>
    <row r="927" spans="1:41" hidden="1">
      <c r="A927" s="533">
        <v>30</v>
      </c>
      <c r="B927" s="534" t="s">
        <v>20211</v>
      </c>
      <c r="C927" s="535">
        <v>0</v>
      </c>
      <c r="D927" s="536" t="s">
        <v>18664</v>
      </c>
      <c r="E927" s="534" t="s">
        <v>20211</v>
      </c>
      <c r="F927" s="537">
        <v>44610</v>
      </c>
      <c r="G927" s="534">
        <v>2022</v>
      </c>
      <c r="H927" s="538" t="s">
        <v>16470</v>
      </c>
      <c r="I927" s="534" t="s">
        <v>16471</v>
      </c>
      <c r="J927" s="534" t="s">
        <v>16401</v>
      </c>
      <c r="K927" s="539">
        <v>869156.58240000007</v>
      </c>
      <c r="L927" s="534">
        <v>2.8885000000000001</v>
      </c>
      <c r="M927" s="556">
        <v>300902.40000000002</v>
      </c>
      <c r="N927" s="534" t="s">
        <v>20155</v>
      </c>
      <c r="O927" s="534" t="s">
        <v>18227</v>
      </c>
      <c r="P927" s="884">
        <v>44620</v>
      </c>
      <c r="Q927" s="535">
        <v>2880</v>
      </c>
      <c r="R927" s="535">
        <v>311280</v>
      </c>
      <c r="S927" s="535">
        <v>0</v>
      </c>
      <c r="T927" s="535">
        <v>0</v>
      </c>
      <c r="U927" s="535">
        <v>314160</v>
      </c>
      <c r="V927" s="541"/>
      <c r="W927" s="542">
        <v>8608.6739999999991</v>
      </c>
      <c r="X927" s="542">
        <v>860547.90840000007</v>
      </c>
      <c r="Y927" s="542">
        <v>0</v>
      </c>
      <c r="Z927" s="542">
        <v>0</v>
      </c>
      <c r="AA927" s="543">
        <v>2.9891229166666662</v>
      </c>
      <c r="AB927" s="543">
        <v>2.7645460948342331</v>
      </c>
      <c r="AC927" s="543"/>
      <c r="AD927" s="543"/>
      <c r="AE927" s="542">
        <v>42914.906999999999</v>
      </c>
      <c r="AF927" s="542">
        <v>144254.82</v>
      </c>
      <c r="AG927" s="542">
        <v>0.4591762796027502</v>
      </c>
      <c r="AH927" s="544">
        <v>2.5299466370639161</v>
      </c>
      <c r="AI927" s="544">
        <v>2.305369815231483</v>
      </c>
      <c r="AJ927" s="544"/>
      <c r="AK927" s="544"/>
      <c r="AL927" s="545">
        <v>1</v>
      </c>
      <c r="AM927" s="545" t="s">
        <v>20316</v>
      </c>
      <c r="AN927" s="545">
        <v>0</v>
      </c>
      <c r="AO927" s="545">
        <v>0</v>
      </c>
    </row>
    <row r="928" spans="1:41" hidden="1">
      <c r="A928" s="533">
        <v>31</v>
      </c>
      <c r="B928" s="534" t="s">
        <v>20212</v>
      </c>
      <c r="C928" s="535">
        <v>0</v>
      </c>
      <c r="D928" s="536" t="s">
        <v>18665</v>
      </c>
      <c r="E928" s="534" t="s">
        <v>20212</v>
      </c>
      <c r="F928" s="537">
        <v>44610</v>
      </c>
      <c r="G928" s="534">
        <v>2022</v>
      </c>
      <c r="H928" s="538" t="s">
        <v>16643</v>
      </c>
      <c r="I928" s="534" t="s">
        <v>16644</v>
      </c>
      <c r="J928" s="534" t="s">
        <v>16482</v>
      </c>
      <c r="K928" s="539">
        <v>173178.19440000001</v>
      </c>
      <c r="L928" s="534">
        <v>3.25915</v>
      </c>
      <c r="M928" s="540">
        <v>53136</v>
      </c>
      <c r="N928" s="534" t="s">
        <v>20155</v>
      </c>
      <c r="O928" s="534" t="s">
        <v>18227</v>
      </c>
      <c r="P928" s="884">
        <v>44620</v>
      </c>
      <c r="Q928" s="535">
        <v>0</v>
      </c>
      <c r="R928" s="535">
        <v>64800</v>
      </c>
      <c r="S928" s="535">
        <v>0</v>
      </c>
      <c r="T928" s="535">
        <v>0</v>
      </c>
      <c r="U928" s="535">
        <v>64800</v>
      </c>
      <c r="V928" s="541"/>
      <c r="W928" s="542">
        <v>0</v>
      </c>
      <c r="X928" s="542">
        <v>173178.19440000001</v>
      </c>
      <c r="Y928" s="542">
        <v>0</v>
      </c>
      <c r="Z928" s="542">
        <v>0</v>
      </c>
      <c r="AA928" s="543"/>
      <c r="AB928" s="543">
        <v>2.6725030000000003</v>
      </c>
      <c r="AC928" s="543"/>
      <c r="AD928" s="543"/>
      <c r="AE928" s="542">
        <v>9227.4524999999994</v>
      </c>
      <c r="AF928" s="542">
        <v>32226.115000000002</v>
      </c>
      <c r="AG928" s="542">
        <v>0.49731658950617286</v>
      </c>
      <c r="AH928" s="544"/>
      <c r="AI928" s="544">
        <v>2.1751864104938274</v>
      </c>
      <c r="AJ928" s="544"/>
      <c r="AK928" s="544"/>
      <c r="AL928" s="545">
        <v>0</v>
      </c>
      <c r="AM928" s="545" t="s">
        <v>20316</v>
      </c>
      <c r="AN928" s="545">
        <v>0</v>
      </c>
      <c r="AO928" s="545">
        <v>0</v>
      </c>
    </row>
    <row r="929" spans="1:41" hidden="1">
      <c r="A929" s="533">
        <v>32</v>
      </c>
      <c r="B929" s="534" t="s">
        <v>20213</v>
      </c>
      <c r="C929" s="535">
        <v>0</v>
      </c>
      <c r="D929" s="536" t="s">
        <v>18666</v>
      </c>
      <c r="E929" s="534" t="s">
        <v>20213</v>
      </c>
      <c r="F929" s="537">
        <v>44610</v>
      </c>
      <c r="G929" s="534">
        <v>2022</v>
      </c>
      <c r="H929" s="538" t="s">
        <v>16904</v>
      </c>
      <c r="I929" s="534" t="s">
        <v>16905</v>
      </c>
      <c r="J929" s="534" t="s">
        <v>16482</v>
      </c>
      <c r="K929" s="539">
        <v>95016.932128</v>
      </c>
      <c r="L929" s="534">
        <v>3.2744</v>
      </c>
      <c r="M929" s="540">
        <v>29018.12</v>
      </c>
      <c r="N929" s="534" t="s">
        <v>20155</v>
      </c>
      <c r="O929" s="534" t="s">
        <v>20160</v>
      </c>
      <c r="P929" s="884">
        <v>44615</v>
      </c>
      <c r="Q929" s="535">
        <v>0</v>
      </c>
      <c r="R929" s="535">
        <v>20580</v>
      </c>
      <c r="S929" s="535">
        <v>6756</v>
      </c>
      <c r="T929" s="535">
        <v>0</v>
      </c>
      <c r="U929" s="535">
        <v>27336</v>
      </c>
      <c r="V929" s="541"/>
      <c r="W929" s="542">
        <v>0</v>
      </c>
      <c r="X929" s="542">
        <v>71602.15187999999</v>
      </c>
      <c r="Y929" s="542">
        <v>23414.780247999995</v>
      </c>
      <c r="Z929" s="542">
        <v>0</v>
      </c>
      <c r="AA929" s="543"/>
      <c r="AB929" s="543">
        <v>3.4792104897959177</v>
      </c>
      <c r="AC929" s="543">
        <v>3.4657756435760798</v>
      </c>
      <c r="AD929" s="543"/>
      <c r="AE929" s="542">
        <v>3935.9249999999997</v>
      </c>
      <c r="AF929" s="542">
        <v>12825.475</v>
      </c>
      <c r="AG929" s="542">
        <v>0.46917892156862745</v>
      </c>
      <c r="AH929" s="544"/>
      <c r="AI929" s="544">
        <v>3.0100315682272902</v>
      </c>
      <c r="AJ929" s="544">
        <v>2.9965967220074523</v>
      </c>
      <c r="AK929" s="544"/>
      <c r="AL929" s="545">
        <v>0</v>
      </c>
      <c r="AM929" s="545">
        <v>1</v>
      </c>
      <c r="AN929" s="545">
        <v>1</v>
      </c>
      <c r="AO929" s="545">
        <v>0</v>
      </c>
    </row>
    <row r="930" spans="1:41" hidden="1">
      <c r="A930" s="533">
        <v>33</v>
      </c>
      <c r="B930" s="534" t="s">
        <v>20214</v>
      </c>
      <c r="C930" s="535">
        <v>0</v>
      </c>
      <c r="D930" s="536" t="s">
        <v>18667</v>
      </c>
      <c r="E930" s="534" t="s">
        <v>20214</v>
      </c>
      <c r="F930" s="537">
        <v>44610</v>
      </c>
      <c r="G930" s="534">
        <v>2022</v>
      </c>
      <c r="H930" s="538" t="s">
        <v>16444</v>
      </c>
      <c r="I930" s="534" t="s">
        <v>16445</v>
      </c>
      <c r="J930" s="534" t="s">
        <v>3</v>
      </c>
      <c r="K930" s="539">
        <v>248880</v>
      </c>
      <c r="L930" s="534">
        <v>1</v>
      </c>
      <c r="M930" s="540">
        <v>248880</v>
      </c>
      <c r="N930" s="534" t="s">
        <v>20155</v>
      </c>
      <c r="O930" s="534" t="s">
        <v>18248</v>
      </c>
      <c r="P930" s="884">
        <v>44616</v>
      </c>
      <c r="Q930" s="535">
        <v>30000</v>
      </c>
      <c r="R930" s="535">
        <v>76800</v>
      </c>
      <c r="S930" s="535">
        <v>6000</v>
      </c>
      <c r="T930" s="535">
        <v>0</v>
      </c>
      <c r="U930" s="535">
        <v>112800</v>
      </c>
      <c r="V930" s="541" t="s">
        <v>20155</v>
      </c>
      <c r="W930" s="542">
        <v>75000</v>
      </c>
      <c r="X930" s="542">
        <v>161280</v>
      </c>
      <c r="Y930" s="542">
        <v>12600</v>
      </c>
      <c r="Z930" s="542">
        <v>0</v>
      </c>
      <c r="AA930" s="543">
        <v>2.5</v>
      </c>
      <c r="AB930" s="543">
        <v>2.1</v>
      </c>
      <c r="AC930" s="543">
        <v>2.1</v>
      </c>
      <c r="AD930" s="543"/>
      <c r="AE930" s="542">
        <v>0</v>
      </c>
      <c r="AF930" s="542">
        <v>0</v>
      </c>
      <c r="AG930" s="542">
        <v>0</v>
      </c>
      <c r="AH930" s="544">
        <v>2.5</v>
      </c>
      <c r="AI930" s="544">
        <v>2.1</v>
      </c>
      <c r="AJ930" s="544">
        <v>2.1</v>
      </c>
      <c r="AK930" s="544">
        <v>0</v>
      </c>
      <c r="AL930" s="545" t="s">
        <v>20324</v>
      </c>
      <c r="AM930" s="545" t="s">
        <v>20316</v>
      </c>
      <c r="AN930" s="545" t="s">
        <v>20316</v>
      </c>
      <c r="AO930" s="545">
        <v>0</v>
      </c>
    </row>
    <row r="931" spans="1:41" hidden="1">
      <c r="A931" s="533">
        <v>34</v>
      </c>
      <c r="B931" s="534" t="s">
        <v>20215</v>
      </c>
      <c r="C931" s="535">
        <v>0</v>
      </c>
      <c r="D931" s="536" t="s">
        <v>18668</v>
      </c>
      <c r="E931" s="534" t="s">
        <v>20215</v>
      </c>
      <c r="F931" s="537">
        <v>44613</v>
      </c>
      <c r="G931" s="534">
        <v>2022</v>
      </c>
      <c r="H931" s="538" t="s">
        <v>16972</v>
      </c>
      <c r="I931" s="534" t="s">
        <v>16973</v>
      </c>
      <c r="J931" s="534" t="s">
        <v>3</v>
      </c>
      <c r="K931" s="539">
        <v>501200</v>
      </c>
      <c r="L931" s="534">
        <v>1</v>
      </c>
      <c r="M931" s="540">
        <v>501200</v>
      </c>
      <c r="N931" s="534" t="s">
        <v>20155</v>
      </c>
      <c r="O931" s="534" t="s">
        <v>17801</v>
      </c>
      <c r="P931" s="884">
        <v>44618</v>
      </c>
      <c r="Q931" s="535">
        <v>0</v>
      </c>
      <c r="R931" s="535">
        <v>0</v>
      </c>
      <c r="S931" s="535">
        <v>280000</v>
      </c>
      <c r="T931" s="535">
        <v>0</v>
      </c>
      <c r="U931" s="535">
        <v>280000</v>
      </c>
      <c r="V931" s="541" t="s">
        <v>20155</v>
      </c>
      <c r="W931" s="542">
        <v>0</v>
      </c>
      <c r="X931" s="542">
        <v>0</v>
      </c>
      <c r="Y931" s="542">
        <v>501200</v>
      </c>
      <c r="Z931" s="542">
        <v>0</v>
      </c>
      <c r="AA931" s="543"/>
      <c r="AB931" s="543"/>
      <c r="AC931" s="543">
        <v>1.79</v>
      </c>
      <c r="AD931" s="543"/>
      <c r="AE931" s="542">
        <v>0</v>
      </c>
      <c r="AF931" s="542">
        <v>0</v>
      </c>
      <c r="AG931" s="542">
        <v>0</v>
      </c>
      <c r="AH931" s="544">
        <v>0</v>
      </c>
      <c r="AI931" s="544">
        <v>0</v>
      </c>
      <c r="AJ931" s="544">
        <v>1.79</v>
      </c>
      <c r="AK931" s="544">
        <v>0</v>
      </c>
      <c r="AL931" s="545">
        <v>0</v>
      </c>
      <c r="AM931" s="545">
        <v>0</v>
      </c>
      <c r="AN931" s="545" t="s">
        <v>20323</v>
      </c>
      <c r="AO931" s="545">
        <v>0</v>
      </c>
    </row>
    <row r="932" spans="1:41" hidden="1">
      <c r="A932" s="533">
        <v>35</v>
      </c>
      <c r="B932" s="534" t="s">
        <v>20216</v>
      </c>
      <c r="C932" s="535">
        <v>0</v>
      </c>
      <c r="D932" s="536" t="s">
        <v>18669</v>
      </c>
      <c r="E932" s="534" t="s">
        <v>20216</v>
      </c>
      <c r="F932" s="537">
        <v>44613</v>
      </c>
      <c r="G932" s="534">
        <v>2022</v>
      </c>
      <c r="H932" s="538" t="s">
        <v>16972</v>
      </c>
      <c r="I932" s="534" t="s">
        <v>16973</v>
      </c>
      <c r="J932" s="534" t="s">
        <v>3</v>
      </c>
      <c r="K932" s="539">
        <v>501200</v>
      </c>
      <c r="L932" s="534">
        <v>1</v>
      </c>
      <c r="M932" s="540">
        <v>501200</v>
      </c>
      <c r="N932" s="534" t="s">
        <v>20155</v>
      </c>
      <c r="O932" s="534" t="s">
        <v>17801</v>
      </c>
      <c r="P932" s="884">
        <v>44636</v>
      </c>
      <c r="Q932" s="535">
        <v>0</v>
      </c>
      <c r="R932" s="535">
        <v>0</v>
      </c>
      <c r="S932" s="535">
        <v>280000</v>
      </c>
      <c r="T932" s="535">
        <v>0</v>
      </c>
      <c r="U932" s="535">
        <v>280000</v>
      </c>
      <c r="V932" s="541" t="s">
        <v>20155</v>
      </c>
      <c r="W932" s="542">
        <v>0</v>
      </c>
      <c r="X932" s="542">
        <v>0</v>
      </c>
      <c r="Y932" s="542">
        <v>501200</v>
      </c>
      <c r="Z932" s="542">
        <v>0</v>
      </c>
      <c r="AA932" s="543"/>
      <c r="AB932" s="543"/>
      <c r="AC932" s="543">
        <v>1.79</v>
      </c>
      <c r="AD932" s="543"/>
      <c r="AE932" s="542">
        <v>0</v>
      </c>
      <c r="AF932" s="542">
        <v>0</v>
      </c>
      <c r="AG932" s="542">
        <v>0</v>
      </c>
      <c r="AH932" s="544"/>
      <c r="AI932" s="544"/>
      <c r="AJ932" s="544">
        <v>1.79</v>
      </c>
      <c r="AK932" s="544"/>
      <c r="AL932" s="545">
        <v>0</v>
      </c>
      <c r="AM932" s="545">
        <v>0</v>
      </c>
      <c r="AN932" s="545" t="s">
        <v>20323</v>
      </c>
      <c r="AO932" s="545">
        <v>0</v>
      </c>
    </row>
    <row r="933" spans="1:41" hidden="1">
      <c r="A933" s="533">
        <v>36</v>
      </c>
      <c r="B933" s="534" t="s">
        <v>20217</v>
      </c>
      <c r="C933" s="535">
        <v>0</v>
      </c>
      <c r="D933" s="536" t="s">
        <v>18670</v>
      </c>
      <c r="E933" s="534" t="s">
        <v>20217</v>
      </c>
      <c r="F933" s="537">
        <v>44613</v>
      </c>
      <c r="G933" s="534">
        <v>2022</v>
      </c>
      <c r="H933" s="538" t="s">
        <v>17017</v>
      </c>
      <c r="I933" s="534" t="s">
        <v>17018</v>
      </c>
      <c r="J933" s="534" t="s">
        <v>3</v>
      </c>
      <c r="K933" s="539">
        <v>41045</v>
      </c>
      <c r="L933" s="534">
        <v>1</v>
      </c>
      <c r="M933" s="540">
        <v>41045</v>
      </c>
      <c r="N933" s="534" t="s">
        <v>20155</v>
      </c>
      <c r="O933" s="534" t="s">
        <v>17954</v>
      </c>
      <c r="P933" s="884">
        <v>44672</v>
      </c>
      <c r="Q933" s="535">
        <v>3600</v>
      </c>
      <c r="R933" s="535">
        <v>1800</v>
      </c>
      <c r="S933" s="535">
        <v>1250</v>
      </c>
      <c r="T933" s="535">
        <v>5280</v>
      </c>
      <c r="U933" s="535">
        <v>11930</v>
      </c>
      <c r="V933" s="541" t="e">
        <v>#N/A</v>
      </c>
      <c r="W933" s="542">
        <v>11160</v>
      </c>
      <c r="X933" s="542">
        <v>6180</v>
      </c>
      <c r="Y933" s="542">
        <v>3812.5</v>
      </c>
      <c r="Z933" s="542">
        <v>19892.400000000001</v>
      </c>
      <c r="AA933" s="543">
        <v>3.1</v>
      </c>
      <c r="AB933" s="543">
        <v>3.4333333333333331</v>
      </c>
      <c r="AC933" s="543">
        <v>3.05</v>
      </c>
      <c r="AD933" s="543">
        <v>3.7675000000000001</v>
      </c>
      <c r="AE933" s="542">
        <v>0</v>
      </c>
      <c r="AF933" s="542">
        <v>0</v>
      </c>
      <c r="AG933" s="542">
        <v>0</v>
      </c>
      <c r="AH933" s="544">
        <v>3.1</v>
      </c>
      <c r="AI933" s="544">
        <v>3.4333333333333331</v>
      </c>
      <c r="AJ933" s="544">
        <v>3.05</v>
      </c>
      <c r="AK933" s="544">
        <v>3.7675000000000001</v>
      </c>
      <c r="AL933" s="545">
        <v>1</v>
      </c>
      <c r="AM933" s="545">
        <v>1</v>
      </c>
      <c r="AN933" s="545">
        <v>1</v>
      </c>
      <c r="AO933" s="545">
        <v>1</v>
      </c>
    </row>
    <row r="934" spans="1:41" hidden="1">
      <c r="A934" s="533">
        <v>37</v>
      </c>
      <c r="B934" s="534" t="s">
        <v>20218</v>
      </c>
      <c r="C934" s="535">
        <v>0</v>
      </c>
      <c r="D934" s="536" t="s">
        <v>18671</v>
      </c>
      <c r="E934" s="534" t="s">
        <v>20218</v>
      </c>
      <c r="F934" s="537">
        <v>44613</v>
      </c>
      <c r="G934" s="534">
        <v>2022</v>
      </c>
      <c r="H934" s="538" t="s">
        <v>16838</v>
      </c>
      <c r="I934" s="534" t="s">
        <v>16839</v>
      </c>
      <c r="J934" s="534" t="s">
        <v>3</v>
      </c>
      <c r="K934" s="539">
        <v>322197.12</v>
      </c>
      <c r="L934" s="534">
        <v>1</v>
      </c>
      <c r="M934" s="540">
        <v>322197.12</v>
      </c>
      <c r="N934" s="534" t="s">
        <v>20325</v>
      </c>
      <c r="O934" s="534" t="s">
        <v>20321</v>
      </c>
      <c r="P934" s="884" t="s">
        <v>20327</v>
      </c>
      <c r="Q934" s="535">
        <v>0</v>
      </c>
      <c r="R934" s="535">
        <v>176064</v>
      </c>
      <c r="S934" s="535">
        <v>0</v>
      </c>
      <c r="T934" s="535">
        <v>0</v>
      </c>
      <c r="U934" s="535">
        <v>176064</v>
      </c>
      <c r="V934" s="541" t="s">
        <v>20155</v>
      </c>
      <c r="W934" s="542">
        <v>0</v>
      </c>
      <c r="X934" s="542">
        <v>322197.12</v>
      </c>
      <c r="Y934" s="542">
        <v>0</v>
      </c>
      <c r="Z934" s="542">
        <v>0</v>
      </c>
      <c r="AA934" s="543"/>
      <c r="AB934" s="543">
        <v>1.83</v>
      </c>
      <c r="AC934" s="543"/>
      <c r="AD934" s="543"/>
      <c r="AE934" s="542">
        <v>0</v>
      </c>
      <c r="AF934" s="542">
        <v>0</v>
      </c>
      <c r="AG934" s="542">
        <v>0</v>
      </c>
      <c r="AH934" s="544"/>
      <c r="AI934" s="544">
        <v>1.83</v>
      </c>
      <c r="AJ934" s="544"/>
      <c r="AK934" s="544"/>
      <c r="AL934" s="545">
        <v>0</v>
      </c>
      <c r="AM934" s="545" t="s">
        <v>20323</v>
      </c>
      <c r="AN934" s="545">
        <v>0</v>
      </c>
      <c r="AO934" s="545">
        <v>0</v>
      </c>
    </row>
    <row r="935" spans="1:41" hidden="1">
      <c r="A935" s="533">
        <v>38</v>
      </c>
      <c r="B935" s="534" t="s">
        <v>20219</v>
      </c>
      <c r="C935" s="535">
        <v>0</v>
      </c>
      <c r="D935" s="536" t="s">
        <v>18672</v>
      </c>
      <c r="E935" s="534" t="s">
        <v>20219</v>
      </c>
      <c r="F935" s="537">
        <v>44613</v>
      </c>
      <c r="G935" s="534">
        <v>2022</v>
      </c>
      <c r="H935" s="538" t="s">
        <v>16957</v>
      </c>
      <c r="I935" s="534" t="s">
        <v>16958</v>
      </c>
      <c r="J935" s="534" t="s">
        <v>16401</v>
      </c>
      <c r="K935" s="539">
        <v>67713.009999999995</v>
      </c>
      <c r="L935" s="534">
        <v>2.9569000000000001</v>
      </c>
      <c r="M935" s="540">
        <v>22900</v>
      </c>
      <c r="N935" s="534" t="s">
        <v>20155</v>
      </c>
      <c r="O935" s="534" t="s">
        <v>20161</v>
      </c>
      <c r="P935" s="884">
        <v>44658</v>
      </c>
      <c r="Q935" s="535">
        <v>20000</v>
      </c>
      <c r="R935" s="535">
        <v>0</v>
      </c>
      <c r="S935" s="535">
        <v>0</v>
      </c>
      <c r="T935" s="535">
        <v>0</v>
      </c>
      <c r="U935" s="535">
        <v>20000</v>
      </c>
      <c r="V935" s="541" t="e">
        <v>#N/A</v>
      </c>
      <c r="W935" s="542">
        <v>67713.009999999995</v>
      </c>
      <c r="X935" s="542">
        <v>0</v>
      </c>
      <c r="Y935" s="542">
        <v>0</v>
      </c>
      <c r="Z935" s="542">
        <v>0</v>
      </c>
      <c r="AA935" s="543">
        <v>3.3856504999999997</v>
      </c>
      <c r="AB935" s="543"/>
      <c r="AC935" s="543"/>
      <c r="AD935" s="543"/>
      <c r="AE935" s="542">
        <v>1474.2150000000001</v>
      </c>
      <c r="AF935" s="542">
        <v>8538.0249999999996</v>
      </c>
      <c r="AG935" s="542">
        <v>0.42690124999999995</v>
      </c>
      <c r="AH935" s="544">
        <v>2.9587492499999999</v>
      </c>
      <c r="AI935" s="544"/>
      <c r="AJ935" s="544"/>
      <c r="AK935" s="544"/>
      <c r="AL935" s="545">
        <v>1</v>
      </c>
      <c r="AM935" s="545">
        <v>0</v>
      </c>
      <c r="AN935" s="545">
        <v>0</v>
      </c>
      <c r="AO935" s="545">
        <v>0</v>
      </c>
    </row>
    <row r="936" spans="1:41" hidden="1">
      <c r="A936" s="533">
        <v>39</v>
      </c>
      <c r="B936" s="534" t="s">
        <v>20220</v>
      </c>
      <c r="C936" s="535">
        <v>0</v>
      </c>
      <c r="D936" s="536" t="s">
        <v>18673</v>
      </c>
      <c r="E936" s="534" t="s">
        <v>20220</v>
      </c>
      <c r="F936" s="537">
        <v>44613</v>
      </c>
      <c r="G936" s="534">
        <v>2022</v>
      </c>
      <c r="H936" s="538" t="s">
        <v>16838</v>
      </c>
      <c r="I936" s="534" t="s">
        <v>16839</v>
      </c>
      <c r="J936" s="534" t="s">
        <v>3</v>
      </c>
      <c r="K936" s="539">
        <v>277260.24</v>
      </c>
      <c r="L936" s="534">
        <v>1</v>
      </c>
      <c r="M936" s="540">
        <v>277260.24</v>
      </c>
      <c r="N936" s="534" t="s">
        <v>20155</v>
      </c>
      <c r="O936" s="534" t="s">
        <v>17949</v>
      </c>
      <c r="P936" s="884">
        <v>44634</v>
      </c>
      <c r="Q936" s="535">
        <v>88032</v>
      </c>
      <c r="R936" s="535">
        <v>25200</v>
      </c>
      <c r="S936" s="535">
        <v>0</v>
      </c>
      <c r="T936" s="535">
        <v>0</v>
      </c>
      <c r="U936" s="535">
        <v>113232</v>
      </c>
      <c r="V936" s="541" t="s">
        <v>20155</v>
      </c>
      <c r="W936" s="542">
        <v>220740.24</v>
      </c>
      <c r="X936" s="542">
        <v>56520</v>
      </c>
      <c r="Y936" s="542">
        <v>0</v>
      </c>
      <c r="Z936" s="542">
        <v>0</v>
      </c>
      <c r="AA936" s="543">
        <v>2.5074999999999998</v>
      </c>
      <c r="AB936" s="543">
        <v>2.2428571428571429</v>
      </c>
      <c r="AC936" s="543"/>
      <c r="AD936" s="543"/>
      <c r="AE936" s="542">
        <v>0</v>
      </c>
      <c r="AF936" s="542">
        <v>0</v>
      </c>
      <c r="AG936" s="542">
        <v>0</v>
      </c>
      <c r="AH936" s="544">
        <v>2.5074999999999998</v>
      </c>
      <c r="AI936" s="544">
        <v>2.2428571428571429</v>
      </c>
      <c r="AJ936" s="544"/>
      <c r="AK936" s="544"/>
      <c r="AL936" s="545" t="s">
        <v>20324</v>
      </c>
      <c r="AM936" s="545" t="s">
        <v>20316</v>
      </c>
      <c r="AN936" s="545">
        <v>0</v>
      </c>
      <c r="AO936" s="545">
        <v>0</v>
      </c>
    </row>
    <row r="937" spans="1:41" hidden="1">
      <c r="A937" s="533">
        <v>40</v>
      </c>
      <c r="B937" s="534" t="s">
        <v>20221</v>
      </c>
      <c r="C937" s="535">
        <v>0</v>
      </c>
      <c r="D937" s="536" t="s">
        <v>18674</v>
      </c>
      <c r="E937" s="534" t="s">
        <v>20221</v>
      </c>
      <c r="F937" s="537">
        <v>44613</v>
      </c>
      <c r="G937" s="534">
        <v>2022</v>
      </c>
      <c r="H937" s="538" t="s">
        <v>17248</v>
      </c>
      <c r="I937" s="534" t="s">
        <v>17249</v>
      </c>
      <c r="J937" s="534" t="s">
        <v>16401</v>
      </c>
      <c r="K937" s="539">
        <v>82945.333341999998</v>
      </c>
      <c r="L937" s="534">
        <v>2.8786</v>
      </c>
      <c r="M937" s="540">
        <v>28814.47</v>
      </c>
      <c r="N937" s="534" t="s">
        <v>20155</v>
      </c>
      <c r="O937" s="534" t="s">
        <v>17954</v>
      </c>
      <c r="P937" s="884">
        <v>44615</v>
      </c>
      <c r="Q937" s="535">
        <v>0</v>
      </c>
      <c r="R937" s="535">
        <v>23426.400000000001</v>
      </c>
      <c r="S937" s="535">
        <v>0</v>
      </c>
      <c r="T937" s="535">
        <v>0</v>
      </c>
      <c r="U937" s="535">
        <v>23426.400000000001</v>
      </c>
      <c r="V937" s="541"/>
      <c r="W937" s="542">
        <v>0</v>
      </c>
      <c r="X937" s="542">
        <v>82944.843980000005</v>
      </c>
      <c r="Y937" s="542">
        <v>0</v>
      </c>
      <c r="Z937" s="542">
        <v>0</v>
      </c>
      <c r="AA937" s="543"/>
      <c r="AB937" s="543">
        <v>3.5406568649045522</v>
      </c>
      <c r="AC937" s="543"/>
      <c r="AD937" s="543"/>
      <c r="AE937" s="542">
        <v>7566.3755999999994</v>
      </c>
      <c r="AF937" s="542">
        <v>39023.928</v>
      </c>
      <c r="AG937" s="542">
        <v>1.6658098555475873</v>
      </c>
      <c r="AH937" s="544"/>
      <c r="AI937" s="544">
        <v>1.8748470093569649</v>
      </c>
      <c r="AJ937" s="544"/>
      <c r="AK937" s="544"/>
      <c r="AL937" s="545">
        <v>0</v>
      </c>
      <c r="AM937" s="545" t="s">
        <v>20328</v>
      </c>
      <c r="AN937" s="545">
        <v>0</v>
      </c>
      <c r="AO937" s="545">
        <v>0</v>
      </c>
    </row>
    <row r="938" spans="1:41" hidden="1">
      <c r="A938" s="533">
        <v>41</v>
      </c>
      <c r="B938" s="534" t="s">
        <v>20222</v>
      </c>
      <c r="C938" s="535">
        <v>0</v>
      </c>
      <c r="D938" s="536" t="s">
        <v>18675</v>
      </c>
      <c r="E938" s="534" t="s">
        <v>20222</v>
      </c>
      <c r="F938" s="537">
        <v>44613</v>
      </c>
      <c r="G938" s="534">
        <v>2022</v>
      </c>
      <c r="H938" s="538" t="s">
        <v>17299</v>
      </c>
      <c r="I938" s="534" t="s">
        <v>17300</v>
      </c>
      <c r="J938" s="534" t="s">
        <v>16482</v>
      </c>
      <c r="K938" s="539">
        <v>328483.2672</v>
      </c>
      <c r="L938" s="534">
        <v>3.2681</v>
      </c>
      <c r="M938" s="540">
        <v>100512</v>
      </c>
      <c r="N938" s="534" t="s">
        <v>20155</v>
      </c>
      <c r="O938" s="534" t="s">
        <v>20321</v>
      </c>
      <c r="P938" s="884">
        <v>44617</v>
      </c>
      <c r="Q938" s="535">
        <v>115200</v>
      </c>
      <c r="R938" s="535">
        <v>0</v>
      </c>
      <c r="S938" s="535">
        <v>0</v>
      </c>
      <c r="T938" s="535">
        <v>0</v>
      </c>
      <c r="U938" s="535">
        <v>115200</v>
      </c>
      <c r="V938" s="541"/>
      <c r="W938" s="542">
        <v>328483.2672</v>
      </c>
      <c r="X938" s="542">
        <v>0</v>
      </c>
      <c r="Y938" s="542">
        <v>0</v>
      </c>
      <c r="Z938" s="542">
        <v>0</v>
      </c>
      <c r="AA938" s="543">
        <v>2.8514172499999999</v>
      </c>
      <c r="AB938" s="543"/>
      <c r="AC938" s="543"/>
      <c r="AD938" s="543"/>
      <c r="AE938" s="542">
        <v>18423.93</v>
      </c>
      <c r="AF938" s="542">
        <v>61576.89</v>
      </c>
      <c r="AG938" s="542">
        <v>0.53452161458333336</v>
      </c>
      <c r="AH938" s="544">
        <v>2.3168956354166665</v>
      </c>
      <c r="AI938" s="544"/>
      <c r="AJ938" s="544"/>
      <c r="AK938" s="544"/>
      <c r="AL938" s="545" t="s">
        <v>20324</v>
      </c>
      <c r="AM938" s="545">
        <v>0</v>
      </c>
      <c r="AN938" s="545">
        <v>0</v>
      </c>
      <c r="AO938" s="545">
        <v>0</v>
      </c>
    </row>
    <row r="939" spans="1:41" hidden="1">
      <c r="A939" s="533">
        <v>42</v>
      </c>
      <c r="B939" s="534" t="s">
        <v>20223</v>
      </c>
      <c r="C939" s="535">
        <v>0</v>
      </c>
      <c r="D939" s="536" t="s">
        <v>18676</v>
      </c>
      <c r="E939" s="534" t="s">
        <v>20223</v>
      </c>
      <c r="F939" s="537">
        <v>44615</v>
      </c>
      <c r="G939" s="534">
        <v>2022</v>
      </c>
      <c r="H939" s="538" t="s">
        <v>16880</v>
      </c>
      <c r="I939" s="534" t="s">
        <v>16881</v>
      </c>
      <c r="J939" s="534" t="s">
        <v>16401</v>
      </c>
      <c r="K939" s="539">
        <v>88215.119179999994</v>
      </c>
      <c r="L939" s="534">
        <v>2.9280499999999998</v>
      </c>
      <c r="M939" s="540">
        <v>30127.599999999999</v>
      </c>
      <c r="N939" s="534" t="s">
        <v>20155</v>
      </c>
      <c r="O939" s="534" t="s">
        <v>20329</v>
      </c>
      <c r="P939" s="884">
        <v>44627</v>
      </c>
      <c r="Q939" s="535">
        <v>0</v>
      </c>
      <c r="R939" s="535">
        <v>19800</v>
      </c>
      <c r="S939" s="535">
        <v>0</v>
      </c>
      <c r="T939" s="535">
        <v>0</v>
      </c>
      <c r="U939" s="535">
        <v>19800</v>
      </c>
      <c r="V939" s="541"/>
      <c r="W939" s="542">
        <v>0</v>
      </c>
      <c r="X939" s="542">
        <v>88215.119179999994</v>
      </c>
      <c r="Y939" s="542">
        <v>0</v>
      </c>
      <c r="Z939" s="542">
        <v>0</v>
      </c>
      <c r="AA939" s="543"/>
      <c r="AB939" s="543">
        <v>4.4553090494949492</v>
      </c>
      <c r="AC939" s="543"/>
      <c r="AD939" s="543"/>
      <c r="AE939" s="542">
        <v>0</v>
      </c>
      <c r="AF939" s="542">
        <v>1600.92</v>
      </c>
      <c r="AG939" s="542">
        <v>8.0854545454545457E-2</v>
      </c>
      <c r="AH939" s="544"/>
      <c r="AI939" s="544">
        <v>4.3744545040404041</v>
      </c>
      <c r="AJ939" s="544"/>
      <c r="AK939" s="544"/>
      <c r="AL939" s="545">
        <v>0</v>
      </c>
      <c r="AM939" s="545">
        <v>1</v>
      </c>
      <c r="AN939" s="545">
        <v>0</v>
      </c>
      <c r="AO939" s="545">
        <v>0</v>
      </c>
    </row>
    <row r="940" spans="1:41" hidden="1">
      <c r="A940" s="533">
        <v>43</v>
      </c>
      <c r="B940" s="534" t="s">
        <v>20224</v>
      </c>
      <c r="C940" s="535">
        <v>0</v>
      </c>
      <c r="D940" s="536" t="s">
        <v>18677</v>
      </c>
      <c r="E940" s="534" t="s">
        <v>20224</v>
      </c>
      <c r="F940" s="537">
        <v>44621</v>
      </c>
      <c r="G940" s="534">
        <v>2022</v>
      </c>
      <c r="H940" s="538" t="s">
        <v>17311</v>
      </c>
      <c r="I940" s="534" t="s">
        <v>17312</v>
      </c>
      <c r="J940" s="534" t="s">
        <v>16401</v>
      </c>
      <c r="K940" s="539">
        <v>178875.84996749999</v>
      </c>
      <c r="L940" s="534">
        <v>2.9536500000000001</v>
      </c>
      <c r="M940" s="540">
        <v>60560.95</v>
      </c>
      <c r="N940" s="534" t="s">
        <v>20155</v>
      </c>
      <c r="O940" s="534" t="s">
        <v>17689</v>
      </c>
      <c r="P940" s="884">
        <v>44634</v>
      </c>
      <c r="Q940" s="535">
        <v>5389</v>
      </c>
      <c r="R940" s="535">
        <v>39960</v>
      </c>
      <c r="S940" s="535">
        <v>0</v>
      </c>
      <c r="T940" s="535">
        <v>1560</v>
      </c>
      <c r="U940" s="535">
        <v>46909</v>
      </c>
      <c r="V940" s="541"/>
      <c r="W940" s="542">
        <v>23188.740388800001</v>
      </c>
      <c r="X940" s="542">
        <v>129959.40131100001</v>
      </c>
      <c r="Y940" s="542">
        <v>20889.689624999999</v>
      </c>
      <c r="Z940" s="542">
        <v>4838.0245500000001</v>
      </c>
      <c r="AA940" s="543">
        <v>4.3029765056225644</v>
      </c>
      <c r="AB940" s="543">
        <v>3.2522372700450455</v>
      </c>
      <c r="AC940" s="543"/>
      <c r="AD940" s="543">
        <v>3.1012977884615385</v>
      </c>
      <c r="AE940" s="542">
        <v>1398.7200000000003</v>
      </c>
      <c r="AF940" s="542">
        <v>9512.4500000000007</v>
      </c>
      <c r="AG940" s="542">
        <v>0.20278517981623997</v>
      </c>
      <c r="AH940" s="544">
        <v>4.1001913258063247</v>
      </c>
      <c r="AI940" s="544">
        <v>3.0494520902288054</v>
      </c>
      <c r="AJ940" s="544"/>
      <c r="AK940" s="544">
        <v>2.8985126086452984</v>
      </c>
      <c r="AL940" s="545">
        <v>1</v>
      </c>
      <c r="AM940" s="545">
        <v>1</v>
      </c>
      <c r="AN940" s="545">
        <v>0</v>
      </c>
      <c r="AO940" s="545">
        <v>1</v>
      </c>
    </row>
    <row r="941" spans="1:41" hidden="1">
      <c r="A941" s="533">
        <v>44</v>
      </c>
      <c r="B941" s="534" t="s">
        <v>20225</v>
      </c>
      <c r="C941" s="535">
        <v>0</v>
      </c>
      <c r="D941" s="536" t="s">
        <v>18678</v>
      </c>
      <c r="E941" s="534" t="s">
        <v>20225</v>
      </c>
      <c r="F941" s="537">
        <v>44627</v>
      </c>
      <c r="G941" s="534">
        <v>2022</v>
      </c>
      <c r="H941" s="538" t="s">
        <v>16904</v>
      </c>
      <c r="I941" s="534" t="s">
        <v>16905</v>
      </c>
      <c r="J941" s="534" t="s">
        <v>16482</v>
      </c>
      <c r="K941" s="539">
        <v>77060.001199999999</v>
      </c>
      <c r="L941" s="534">
        <v>3.2578</v>
      </c>
      <c r="M941" s="540">
        <v>23654</v>
      </c>
      <c r="N941" s="534" t="s">
        <v>20155</v>
      </c>
      <c r="O941" s="534" t="s">
        <v>20160</v>
      </c>
      <c r="P941" s="884">
        <v>44641</v>
      </c>
      <c r="Q941" s="535">
        <v>0</v>
      </c>
      <c r="R941" s="535">
        <v>21600</v>
      </c>
      <c r="S941" s="535">
        <v>0</v>
      </c>
      <c r="T941" s="535">
        <v>0</v>
      </c>
      <c r="U941" s="535">
        <v>21600</v>
      </c>
      <c r="V941" s="541"/>
      <c r="W941" s="542">
        <v>0</v>
      </c>
      <c r="X941" s="542">
        <v>77060.001199999999</v>
      </c>
      <c r="Y941" s="542">
        <v>0</v>
      </c>
      <c r="Z941" s="542">
        <v>0</v>
      </c>
      <c r="AA941" s="543"/>
      <c r="AB941" s="543">
        <v>3.5675926481481479</v>
      </c>
      <c r="AC941" s="543"/>
      <c r="AD941" s="543"/>
      <c r="AE941" s="542">
        <v>4345.1799999999994</v>
      </c>
      <c r="AF941" s="542">
        <v>13797.38</v>
      </c>
      <c r="AG941" s="542">
        <v>0.63876759259259253</v>
      </c>
      <c r="AH941" s="544"/>
      <c r="AI941" s="544">
        <v>2.9288250555555555</v>
      </c>
      <c r="AJ941" s="544"/>
      <c r="AK941" s="544"/>
      <c r="AL941" s="545">
        <v>0</v>
      </c>
      <c r="AM941" s="545">
        <v>1</v>
      </c>
      <c r="AN941" s="545">
        <v>0</v>
      </c>
      <c r="AO941" s="545">
        <v>0</v>
      </c>
    </row>
    <row r="942" spans="1:41" hidden="1">
      <c r="A942" s="533">
        <v>45</v>
      </c>
      <c r="B942" s="534" t="s">
        <v>20226</v>
      </c>
      <c r="C942" s="535">
        <v>0</v>
      </c>
      <c r="D942" s="536" t="s">
        <v>18679</v>
      </c>
      <c r="E942" s="534" t="s">
        <v>20226</v>
      </c>
      <c r="F942" s="537">
        <v>44628</v>
      </c>
      <c r="G942" s="534">
        <v>2022</v>
      </c>
      <c r="H942" s="538" t="s">
        <v>16560</v>
      </c>
      <c r="I942" s="534" t="s">
        <v>16561</v>
      </c>
      <c r="J942" s="534" t="s">
        <v>16482</v>
      </c>
      <c r="K942" s="539">
        <v>220102.59600000002</v>
      </c>
      <c r="L942" s="534">
        <v>3.2349000000000001</v>
      </c>
      <c r="M942" s="540">
        <v>68040</v>
      </c>
      <c r="N942" s="534" t="s">
        <v>20155</v>
      </c>
      <c r="O942" s="534" t="s">
        <v>17801</v>
      </c>
      <c r="P942" s="884">
        <v>44632</v>
      </c>
      <c r="Q942" s="535">
        <v>0</v>
      </c>
      <c r="R942" s="535">
        <v>0</v>
      </c>
      <c r="S942" s="535">
        <v>108000</v>
      </c>
      <c r="T942" s="535">
        <v>0</v>
      </c>
      <c r="U942" s="535">
        <v>108000</v>
      </c>
      <c r="V942" s="541"/>
      <c r="W942" s="542">
        <v>0</v>
      </c>
      <c r="X942" s="542">
        <v>0</v>
      </c>
      <c r="Y942" s="542">
        <v>220102.59600000002</v>
      </c>
      <c r="Z942" s="542">
        <v>0</v>
      </c>
      <c r="AA942" s="543"/>
      <c r="AB942" s="543"/>
      <c r="AC942" s="543">
        <v>2.0379870000000002</v>
      </c>
      <c r="AD942" s="543"/>
      <c r="AE942" s="542">
        <v>11315.870999999999</v>
      </c>
      <c r="AF942" s="542">
        <v>37330.36</v>
      </c>
      <c r="AG942" s="542">
        <v>0.3456514814814815</v>
      </c>
      <c r="AH942" s="544"/>
      <c r="AI942" s="544"/>
      <c r="AJ942" s="544">
        <v>1.6923355185185187</v>
      </c>
      <c r="AK942" s="544"/>
      <c r="AL942" s="545">
        <v>0</v>
      </c>
      <c r="AM942" s="545">
        <v>0</v>
      </c>
      <c r="AN942" s="545" t="s">
        <v>20323</v>
      </c>
      <c r="AO942" s="545">
        <v>0</v>
      </c>
    </row>
    <row r="943" spans="1:41" hidden="1">
      <c r="A943" s="546">
        <v>46</v>
      </c>
      <c r="B943" s="547" t="s">
        <v>20227</v>
      </c>
      <c r="C943" s="548">
        <v>0</v>
      </c>
      <c r="D943" s="549" t="s">
        <v>18680</v>
      </c>
      <c r="E943" s="547" t="s">
        <v>20227</v>
      </c>
      <c r="F943" s="537">
        <v>44628</v>
      </c>
      <c r="G943" s="547">
        <v>2022</v>
      </c>
      <c r="H943" s="551" t="s">
        <v>16560</v>
      </c>
      <c r="I943" s="547" t="s">
        <v>16561</v>
      </c>
      <c r="J943" s="547" t="s">
        <v>16482</v>
      </c>
      <c r="K943" s="552">
        <v>220102.59600000002</v>
      </c>
      <c r="L943" s="547">
        <v>3.2349000000000001</v>
      </c>
      <c r="M943" s="553">
        <v>68040</v>
      </c>
      <c r="N943" s="547" t="s">
        <v>20155</v>
      </c>
      <c r="O943" s="547" t="s">
        <v>17801</v>
      </c>
      <c r="P943" s="885">
        <v>44635</v>
      </c>
      <c r="Q943" s="548">
        <v>0</v>
      </c>
      <c r="R943" s="548">
        <v>0</v>
      </c>
      <c r="S943" s="548">
        <v>108000</v>
      </c>
      <c r="T943" s="548">
        <v>0</v>
      </c>
      <c r="U943" s="548">
        <v>108000</v>
      </c>
      <c r="V943" s="554"/>
      <c r="W943" s="47">
        <v>0</v>
      </c>
      <c r="X943" s="47">
        <v>0</v>
      </c>
      <c r="Y943" s="47">
        <v>220102.59600000002</v>
      </c>
      <c r="Z943" s="47">
        <v>0</v>
      </c>
      <c r="AA943" s="47"/>
      <c r="AB943" s="47"/>
      <c r="AC943" s="47">
        <v>2.0379870000000002</v>
      </c>
      <c r="AD943" s="47"/>
      <c r="AE943" s="47">
        <v>11315.870999999999</v>
      </c>
      <c r="AF943" s="47">
        <v>37330.36</v>
      </c>
      <c r="AG943" s="47">
        <v>0.3456514814814815</v>
      </c>
      <c r="AH943" s="47"/>
      <c r="AI943" s="47"/>
      <c r="AJ943" s="47">
        <v>1.6923355185185187</v>
      </c>
      <c r="AK943" s="47"/>
      <c r="AL943" s="555">
        <v>0</v>
      </c>
      <c r="AM943" s="555">
        <v>0</v>
      </c>
      <c r="AN943" s="555" t="s">
        <v>20323</v>
      </c>
      <c r="AO943" s="555">
        <v>0</v>
      </c>
    </row>
    <row r="944" spans="1:41" hidden="1">
      <c r="A944" s="533">
        <v>47</v>
      </c>
      <c r="B944" s="534" t="s">
        <v>20228</v>
      </c>
      <c r="C944" s="535">
        <v>0</v>
      </c>
      <c r="D944" s="536" t="s">
        <v>18681</v>
      </c>
      <c r="E944" s="534" t="s">
        <v>20228</v>
      </c>
      <c r="F944" s="537">
        <v>44628</v>
      </c>
      <c r="G944" s="534">
        <v>2022</v>
      </c>
      <c r="H944" s="538" t="s">
        <v>16560</v>
      </c>
      <c r="I944" s="534" t="s">
        <v>16561</v>
      </c>
      <c r="J944" s="534" t="s">
        <v>16482</v>
      </c>
      <c r="K944" s="539">
        <v>220742.17199999999</v>
      </c>
      <c r="L944" s="534">
        <v>3.2443</v>
      </c>
      <c r="M944" s="540">
        <v>68040</v>
      </c>
      <c r="N944" s="534" t="s">
        <v>20155</v>
      </c>
      <c r="O944" s="534" t="s">
        <v>17801</v>
      </c>
      <c r="P944" s="884">
        <v>44636</v>
      </c>
      <c r="Q944" s="535">
        <v>0</v>
      </c>
      <c r="R944" s="535">
        <v>0</v>
      </c>
      <c r="S944" s="535">
        <v>108000</v>
      </c>
      <c r="T944" s="535">
        <v>0</v>
      </c>
      <c r="U944" s="535">
        <v>108000</v>
      </c>
      <c r="V944" s="541"/>
      <c r="W944" s="542">
        <v>0</v>
      </c>
      <c r="X944" s="542">
        <v>0</v>
      </c>
      <c r="Y944" s="542">
        <v>220742.17199999999</v>
      </c>
      <c r="Z944" s="542">
        <v>0</v>
      </c>
      <c r="AA944" s="543"/>
      <c r="AB944" s="543"/>
      <c r="AC944" s="543">
        <v>2.0439089999999998</v>
      </c>
      <c r="AD944" s="543"/>
      <c r="AE944" s="542">
        <v>11315.870999999999</v>
      </c>
      <c r="AF944" s="542">
        <v>37330.36</v>
      </c>
      <c r="AG944" s="542">
        <v>0.3456514814814815</v>
      </c>
      <c r="AH944" s="544"/>
      <c r="AI944" s="544"/>
      <c r="AJ944" s="544">
        <v>1.6982575185185182</v>
      </c>
      <c r="AK944" s="544"/>
      <c r="AL944" s="545">
        <v>0</v>
      </c>
      <c r="AM944" s="545">
        <v>0</v>
      </c>
      <c r="AN944" s="545" t="s">
        <v>20323</v>
      </c>
      <c r="AO944" s="545">
        <v>0</v>
      </c>
    </row>
    <row r="945" spans="1:41" hidden="1">
      <c r="A945" s="533">
        <v>48</v>
      </c>
      <c r="B945" s="534" t="s">
        <v>20229</v>
      </c>
      <c r="C945" s="535">
        <v>0</v>
      </c>
      <c r="D945" s="536" t="s">
        <v>18682</v>
      </c>
      <c r="E945" s="534" t="s">
        <v>20229</v>
      </c>
      <c r="F945" s="537">
        <v>44628</v>
      </c>
      <c r="G945" s="534">
        <v>2022</v>
      </c>
      <c r="H945" s="538" t="s">
        <v>16560</v>
      </c>
      <c r="I945" s="534" t="s">
        <v>16561</v>
      </c>
      <c r="J945" s="534" t="s">
        <v>16482</v>
      </c>
      <c r="K945" s="539">
        <v>220480.21799999999</v>
      </c>
      <c r="L945" s="534">
        <v>3.2404500000000001</v>
      </c>
      <c r="M945" s="540">
        <v>68040</v>
      </c>
      <c r="N945" s="534" t="s">
        <v>20155</v>
      </c>
      <c r="O945" s="534" t="s">
        <v>17801</v>
      </c>
      <c r="P945" s="884">
        <v>44637</v>
      </c>
      <c r="Q945" s="535">
        <v>0</v>
      </c>
      <c r="R945" s="535">
        <v>0</v>
      </c>
      <c r="S945" s="535">
        <v>108000</v>
      </c>
      <c r="T945" s="535">
        <v>0</v>
      </c>
      <c r="U945" s="535">
        <v>108000</v>
      </c>
      <c r="V945" s="541"/>
      <c r="W945" s="542">
        <v>0</v>
      </c>
      <c r="X945" s="542">
        <v>0</v>
      </c>
      <c r="Y945" s="542">
        <v>220480.21799999999</v>
      </c>
      <c r="Z945" s="542">
        <v>0</v>
      </c>
      <c r="AA945" s="543"/>
      <c r="AB945" s="543"/>
      <c r="AC945" s="543">
        <v>2.0414835</v>
      </c>
      <c r="AD945" s="543"/>
      <c r="AE945" s="542">
        <v>11315.870999999999</v>
      </c>
      <c r="AF945" s="542">
        <v>37330.36</v>
      </c>
      <c r="AG945" s="542">
        <v>0.3456514814814815</v>
      </c>
      <c r="AH945" s="544"/>
      <c r="AI945" s="544"/>
      <c r="AJ945" s="544">
        <v>1.6958320185185185</v>
      </c>
      <c r="AK945" s="544"/>
      <c r="AL945" s="545">
        <v>0</v>
      </c>
      <c r="AM945" s="545">
        <v>0</v>
      </c>
      <c r="AN945" s="545" t="s">
        <v>20323</v>
      </c>
      <c r="AO945" s="545">
        <v>0</v>
      </c>
    </row>
    <row r="946" spans="1:41" hidden="1">
      <c r="A946" s="533">
        <v>49</v>
      </c>
      <c r="B946" s="534" t="s">
        <v>20230</v>
      </c>
      <c r="C946" s="535">
        <v>0</v>
      </c>
      <c r="D946" s="536" t="s">
        <v>18683</v>
      </c>
      <c r="E946" s="534" t="s">
        <v>20230</v>
      </c>
      <c r="F946" s="537">
        <v>44628</v>
      </c>
      <c r="G946" s="534">
        <v>2022</v>
      </c>
      <c r="H946" s="538" t="s">
        <v>16560</v>
      </c>
      <c r="I946" s="534" t="s">
        <v>16561</v>
      </c>
      <c r="J946" s="534" t="s">
        <v>16482</v>
      </c>
      <c r="K946" s="539">
        <v>221119.79399999999</v>
      </c>
      <c r="L946" s="534">
        <v>3.2498499999999999</v>
      </c>
      <c r="M946" s="540">
        <v>68040</v>
      </c>
      <c r="N946" s="534" t="s">
        <v>20155</v>
      </c>
      <c r="O946" s="534" t="s">
        <v>17801</v>
      </c>
      <c r="P946" s="884">
        <v>44637</v>
      </c>
      <c r="Q946" s="535">
        <v>0</v>
      </c>
      <c r="R946" s="535">
        <v>0</v>
      </c>
      <c r="S946" s="535">
        <v>108000</v>
      </c>
      <c r="T946" s="535">
        <v>0</v>
      </c>
      <c r="U946" s="535">
        <v>108000</v>
      </c>
      <c r="V946" s="541"/>
      <c r="W946" s="542">
        <v>0</v>
      </c>
      <c r="X946" s="542">
        <v>0</v>
      </c>
      <c r="Y946" s="542">
        <v>221119.79399999999</v>
      </c>
      <c r="Z946" s="542">
        <v>0</v>
      </c>
      <c r="AA946" s="543"/>
      <c r="AB946" s="543"/>
      <c r="AC946" s="543">
        <v>2.0474055</v>
      </c>
      <c r="AD946" s="543"/>
      <c r="AE946" s="542">
        <v>11315.870999999999</v>
      </c>
      <c r="AF946" s="542">
        <v>37330.36</v>
      </c>
      <c r="AG946" s="542">
        <v>0.3456514814814815</v>
      </c>
      <c r="AH946" s="544"/>
      <c r="AI946" s="544"/>
      <c r="AJ946" s="544">
        <v>1.7017540185185185</v>
      </c>
      <c r="AK946" s="544"/>
      <c r="AL946" s="545">
        <v>0</v>
      </c>
      <c r="AM946" s="545">
        <v>0</v>
      </c>
      <c r="AN946" s="545" t="s">
        <v>20323</v>
      </c>
      <c r="AO946" s="545">
        <v>0</v>
      </c>
    </row>
    <row r="947" spans="1:41" hidden="1">
      <c r="A947" s="533">
        <v>50</v>
      </c>
      <c r="B947" s="534" t="s">
        <v>20232</v>
      </c>
      <c r="C947" s="535">
        <v>0</v>
      </c>
      <c r="D947" s="536" t="s">
        <v>18684</v>
      </c>
      <c r="E947" s="534" t="s">
        <v>20232</v>
      </c>
      <c r="F947" s="537">
        <v>44630</v>
      </c>
      <c r="G947" s="534">
        <v>2022</v>
      </c>
      <c r="H947" s="538" t="s">
        <v>17017</v>
      </c>
      <c r="I947" s="534" t="s">
        <v>17018</v>
      </c>
      <c r="J947" s="534" t="s">
        <v>3</v>
      </c>
      <c r="K947" s="539">
        <v>64575</v>
      </c>
      <c r="L947" s="534">
        <v>1</v>
      </c>
      <c r="M947" s="540">
        <v>64575</v>
      </c>
      <c r="N947" s="534" t="s">
        <v>20155</v>
      </c>
      <c r="O947" s="534" t="s">
        <v>18283</v>
      </c>
      <c r="P947" s="884">
        <v>44637</v>
      </c>
      <c r="Q947" s="535">
        <v>0</v>
      </c>
      <c r="R947" s="535">
        <v>20500</v>
      </c>
      <c r="S947" s="535">
        <v>0</v>
      </c>
      <c r="T947" s="535">
        <v>0</v>
      </c>
      <c r="U947" s="535">
        <v>20500</v>
      </c>
      <c r="V947" s="541"/>
      <c r="W947" s="542">
        <v>0</v>
      </c>
      <c r="X947" s="542">
        <v>64575</v>
      </c>
      <c r="Y947" s="542">
        <v>0</v>
      </c>
      <c r="Z947" s="542">
        <v>0</v>
      </c>
      <c r="AA947" s="543"/>
      <c r="AB947" s="543">
        <v>3.15</v>
      </c>
      <c r="AC947" s="543"/>
      <c r="AD947" s="543"/>
      <c r="AE947" s="542">
        <v>0</v>
      </c>
      <c r="AF947" s="542">
        <v>0</v>
      </c>
      <c r="AG947" s="542">
        <v>0</v>
      </c>
      <c r="AH947" s="544"/>
      <c r="AI947" s="544">
        <v>3.15</v>
      </c>
      <c r="AJ947" s="544"/>
      <c r="AK947" s="544"/>
      <c r="AL947" s="545">
        <v>0</v>
      </c>
      <c r="AM947" s="545">
        <v>1</v>
      </c>
      <c r="AN947" s="545">
        <v>0</v>
      </c>
      <c r="AO947" s="545">
        <v>0</v>
      </c>
    </row>
    <row r="948" spans="1:41" hidden="1">
      <c r="A948" s="533">
        <v>51</v>
      </c>
      <c r="B948" s="534" t="s">
        <v>20233</v>
      </c>
      <c r="C948" s="535">
        <v>0</v>
      </c>
      <c r="D948" s="536" t="s">
        <v>18685</v>
      </c>
      <c r="E948" s="534" t="s">
        <v>20233</v>
      </c>
      <c r="F948" s="537">
        <v>44630</v>
      </c>
      <c r="G948" s="534">
        <v>2022</v>
      </c>
      <c r="H948" s="538" t="s">
        <v>17314</v>
      </c>
      <c r="I948" s="534" t="s">
        <v>17315</v>
      </c>
      <c r="J948" s="534" t="s">
        <v>16401</v>
      </c>
      <c r="K948" s="539">
        <v>68598.07759999999</v>
      </c>
      <c r="L948" s="534">
        <v>3.2473999999999998</v>
      </c>
      <c r="M948" s="540">
        <v>21124</v>
      </c>
      <c r="N948" s="534" t="s">
        <v>20155</v>
      </c>
      <c r="O948" s="534" t="s">
        <v>20171</v>
      </c>
      <c r="P948" s="884">
        <v>44672</v>
      </c>
      <c r="Q948" s="535">
        <v>19200</v>
      </c>
      <c r="R948" s="535">
        <v>0</v>
      </c>
      <c r="S948" s="535">
        <v>0</v>
      </c>
      <c r="T948" s="535">
        <v>0</v>
      </c>
      <c r="U948" s="535">
        <v>19200</v>
      </c>
      <c r="V948" s="541" t="e">
        <v>#N/A</v>
      </c>
      <c r="W948" s="542">
        <v>68598.07759999999</v>
      </c>
      <c r="X948" s="542">
        <v>0</v>
      </c>
      <c r="Y948" s="542">
        <v>0</v>
      </c>
      <c r="Z948" s="542">
        <v>0</v>
      </c>
      <c r="AA948" s="543">
        <v>3.5728165416666662</v>
      </c>
      <c r="AB948" s="543"/>
      <c r="AC948" s="543"/>
      <c r="AD948" s="543"/>
      <c r="AE948" s="542">
        <v>3448.4799999999996</v>
      </c>
      <c r="AF948" s="542">
        <v>10969.75</v>
      </c>
      <c r="AG948" s="542">
        <v>0.57134114583333329</v>
      </c>
      <c r="AH948" s="544">
        <v>3.0014753958333329</v>
      </c>
      <c r="AI948" s="544"/>
      <c r="AJ948" s="544"/>
      <c r="AK948" s="544"/>
      <c r="AL948" s="545">
        <v>1</v>
      </c>
      <c r="AM948" s="545">
        <v>0</v>
      </c>
      <c r="AN948" s="545">
        <v>0</v>
      </c>
      <c r="AO948" s="545">
        <v>0</v>
      </c>
    </row>
    <row r="949" spans="1:41" hidden="1">
      <c r="A949" s="533">
        <v>52</v>
      </c>
      <c r="B949" s="534" t="s">
        <v>20234</v>
      </c>
      <c r="C949" s="535">
        <v>0</v>
      </c>
      <c r="D949" s="536" t="s">
        <v>18687</v>
      </c>
      <c r="E949" s="534" t="s">
        <v>20234</v>
      </c>
      <c r="F949" s="537">
        <v>44630</v>
      </c>
      <c r="G949" s="534">
        <v>2022</v>
      </c>
      <c r="H949" s="538" t="s">
        <v>17274</v>
      </c>
      <c r="I949" s="534" t="s">
        <v>17275</v>
      </c>
      <c r="J949" s="534" t="s">
        <v>16482</v>
      </c>
      <c r="K949" s="539">
        <v>87090.115839999999</v>
      </c>
      <c r="L949" s="534">
        <v>3.2578</v>
      </c>
      <c r="M949" s="540">
        <v>26732.799999999999</v>
      </c>
      <c r="N949" s="534" t="s">
        <v>20155</v>
      </c>
      <c r="O949" s="534" t="s">
        <v>16394</v>
      </c>
      <c r="P949" s="884">
        <v>44643</v>
      </c>
      <c r="Q949" s="535">
        <v>0</v>
      </c>
      <c r="R949" s="535">
        <v>14152</v>
      </c>
      <c r="S949" s="535">
        <v>1500</v>
      </c>
      <c r="T949" s="535">
        <v>2300</v>
      </c>
      <c r="U949" s="535">
        <v>17952</v>
      </c>
      <c r="V949" s="541"/>
      <c r="W949" s="542">
        <v>0</v>
      </c>
      <c r="X949" s="542">
        <v>66061.016839999997</v>
      </c>
      <c r="Y949" s="542">
        <v>6841.38</v>
      </c>
      <c r="Z949" s="542">
        <v>14187.718999999999</v>
      </c>
      <c r="AA949" s="543"/>
      <c r="AB949" s="543">
        <v>4.6679633154324476</v>
      </c>
      <c r="AC949" s="543">
        <v>4.5609200000000003</v>
      </c>
      <c r="AD949" s="543">
        <v>6.1685734782608694</v>
      </c>
      <c r="AE949" s="542">
        <v>1956</v>
      </c>
      <c r="AF949" s="542">
        <v>25164.54</v>
      </c>
      <c r="AG949" s="542">
        <v>1.4017680481283423</v>
      </c>
      <c r="AH949" s="544"/>
      <c r="AI949" s="544">
        <v>3.2661952673041053</v>
      </c>
      <c r="AJ949" s="544">
        <v>3.159151951871658</v>
      </c>
      <c r="AK949" s="544">
        <v>4.7668054301325267</v>
      </c>
      <c r="AL949" s="545">
        <v>0</v>
      </c>
      <c r="AM949" s="545">
        <v>1</v>
      </c>
      <c r="AN949" s="545">
        <v>1</v>
      </c>
      <c r="AO949" s="545">
        <v>1</v>
      </c>
    </row>
    <row r="950" spans="1:41" hidden="1">
      <c r="A950" s="533">
        <v>53</v>
      </c>
      <c r="B950" s="534" t="s">
        <v>20235</v>
      </c>
      <c r="C950" s="535">
        <v>0</v>
      </c>
      <c r="D950" s="536" t="s">
        <v>18688</v>
      </c>
      <c r="E950" s="534" t="s">
        <v>20235</v>
      </c>
      <c r="F950" s="537">
        <v>44630</v>
      </c>
      <c r="G950" s="534">
        <v>2022</v>
      </c>
      <c r="H950" s="538" t="s">
        <v>16904</v>
      </c>
      <c r="I950" s="534" t="s">
        <v>16905</v>
      </c>
      <c r="J950" s="534" t="s">
        <v>16482</v>
      </c>
      <c r="K950" s="539">
        <v>94371.683440000008</v>
      </c>
      <c r="L950" s="534">
        <v>3.2545999999999999</v>
      </c>
      <c r="M950" s="540">
        <v>28996.400000000001</v>
      </c>
      <c r="N950" s="534" t="s">
        <v>20155</v>
      </c>
      <c r="O950" s="534" t="s">
        <v>20160</v>
      </c>
      <c r="P950" s="884">
        <v>44644</v>
      </c>
      <c r="Q950" s="535">
        <v>0</v>
      </c>
      <c r="R950" s="535">
        <v>12144</v>
      </c>
      <c r="S950" s="535">
        <v>15192</v>
      </c>
      <c r="T950" s="535">
        <v>0</v>
      </c>
      <c r="U950" s="535">
        <v>27336</v>
      </c>
      <c r="V950" s="541"/>
      <c r="W950" s="542">
        <v>0</v>
      </c>
      <c r="X950" s="542">
        <v>51320.861207999995</v>
      </c>
      <c r="Y950" s="542">
        <v>43050.822231999991</v>
      </c>
      <c r="Z950" s="542">
        <v>0</v>
      </c>
      <c r="AA950" s="543"/>
      <c r="AB950" s="543">
        <v>4.2260261205533594</v>
      </c>
      <c r="AC950" s="543">
        <v>2.8337824007372294</v>
      </c>
      <c r="AD950" s="543"/>
      <c r="AE950" s="542">
        <v>4339.4399999999996</v>
      </c>
      <c r="AF950" s="542">
        <v>14196.74</v>
      </c>
      <c r="AG950" s="542">
        <v>0.51934225929177635</v>
      </c>
      <c r="AH950" s="544"/>
      <c r="AI950" s="544">
        <v>3.7066838612615829</v>
      </c>
      <c r="AJ950" s="544">
        <v>2.314440141445453</v>
      </c>
      <c r="AK950" s="544"/>
      <c r="AL950" s="545">
        <v>0</v>
      </c>
      <c r="AM950" s="545">
        <v>1</v>
      </c>
      <c r="AN950" s="545">
        <v>1</v>
      </c>
      <c r="AO950" s="545">
        <v>0</v>
      </c>
    </row>
    <row r="951" spans="1:41" hidden="1">
      <c r="A951" s="533">
        <v>54</v>
      </c>
      <c r="B951" s="534" t="s">
        <v>20236</v>
      </c>
      <c r="C951" s="535">
        <v>0</v>
      </c>
      <c r="D951" s="536" t="s">
        <v>18689</v>
      </c>
      <c r="E951" s="534" t="s">
        <v>20236</v>
      </c>
      <c r="F951" s="537">
        <v>44635</v>
      </c>
      <c r="G951" s="534">
        <v>2022</v>
      </c>
      <c r="H951" s="538" t="s">
        <v>17287</v>
      </c>
      <c r="I951" s="534" t="s">
        <v>17288</v>
      </c>
      <c r="J951" s="534" t="s">
        <v>3</v>
      </c>
      <c r="K951" s="539">
        <v>269598</v>
      </c>
      <c r="L951" s="534">
        <v>1</v>
      </c>
      <c r="M951" s="540">
        <v>269598</v>
      </c>
      <c r="N951" s="534" t="s">
        <v>20155</v>
      </c>
      <c r="O951" s="534" t="s">
        <v>17949</v>
      </c>
      <c r="P951" s="884">
        <v>44643</v>
      </c>
      <c r="Q951" s="535">
        <v>110040</v>
      </c>
      <c r="R951" s="535">
        <v>0</v>
      </c>
      <c r="S951" s="535">
        <v>0</v>
      </c>
      <c r="T951" s="535">
        <v>0</v>
      </c>
      <c r="U951" s="535">
        <v>110040</v>
      </c>
      <c r="V951" s="541"/>
      <c r="W951" s="542">
        <v>269598</v>
      </c>
      <c r="X951" s="542">
        <v>0</v>
      </c>
      <c r="Y951" s="542">
        <v>0</v>
      </c>
      <c r="Z951" s="542">
        <v>0</v>
      </c>
      <c r="AA951" s="543">
        <v>2.4500000000000002</v>
      </c>
      <c r="AB951" s="543"/>
      <c r="AC951" s="543"/>
      <c r="AD951" s="543"/>
      <c r="AE951" s="542">
        <v>0</v>
      </c>
      <c r="AF951" s="542">
        <v>0</v>
      </c>
      <c r="AG951" s="542">
        <v>0</v>
      </c>
      <c r="AH951" s="544">
        <v>2.4500000000000002</v>
      </c>
      <c r="AI951" s="544"/>
      <c r="AJ951" s="544"/>
      <c r="AK951" s="544"/>
      <c r="AL951" s="545">
        <v>1</v>
      </c>
      <c r="AM951" s="545">
        <v>0</v>
      </c>
      <c r="AN951" s="545">
        <v>0</v>
      </c>
      <c r="AO951" s="545">
        <v>0</v>
      </c>
    </row>
    <row r="952" spans="1:41" hidden="1">
      <c r="A952" s="533">
        <v>55</v>
      </c>
      <c r="B952" s="534" t="s">
        <v>20237</v>
      </c>
      <c r="C952" s="535">
        <v>0</v>
      </c>
      <c r="D952" s="536" t="s">
        <v>18690</v>
      </c>
      <c r="E952" s="534" t="s">
        <v>20237</v>
      </c>
      <c r="F952" s="537">
        <v>44635</v>
      </c>
      <c r="G952" s="534">
        <v>2022</v>
      </c>
      <c r="H952" s="538" t="s">
        <v>17284</v>
      </c>
      <c r="I952" s="534" t="s">
        <v>17285</v>
      </c>
      <c r="J952" s="534" t="s">
        <v>3</v>
      </c>
      <c r="K952" s="539">
        <v>5936</v>
      </c>
      <c r="L952" s="534">
        <v>1</v>
      </c>
      <c r="M952" s="540">
        <v>5936</v>
      </c>
      <c r="N952" s="534" t="s">
        <v>20155</v>
      </c>
      <c r="O952" s="534" t="s">
        <v>20306</v>
      </c>
      <c r="P952" s="884">
        <v>44648</v>
      </c>
      <c r="Q952" s="535">
        <v>0</v>
      </c>
      <c r="R952" s="535">
        <v>0</v>
      </c>
      <c r="S952" s="535">
        <v>0</v>
      </c>
      <c r="T952" s="535">
        <v>1120</v>
      </c>
      <c r="U952" s="535">
        <v>1120</v>
      </c>
      <c r="V952" s="541"/>
      <c r="W952" s="542">
        <v>0</v>
      </c>
      <c r="X952" s="542">
        <v>0</v>
      </c>
      <c r="Y952" s="542">
        <v>0</v>
      </c>
      <c r="Z952" s="542">
        <v>5936</v>
      </c>
      <c r="AA952" s="543"/>
      <c r="AB952" s="543"/>
      <c r="AC952" s="543"/>
      <c r="AD952" s="543">
        <v>5.3</v>
      </c>
      <c r="AE952" s="542">
        <v>0</v>
      </c>
      <c r="AF952" s="542">
        <v>0</v>
      </c>
      <c r="AG952" s="542">
        <v>0</v>
      </c>
      <c r="AH952" s="544"/>
      <c r="AI952" s="544"/>
      <c r="AJ952" s="544"/>
      <c r="AK952" s="544">
        <v>5.3</v>
      </c>
      <c r="AL952" s="545">
        <v>1</v>
      </c>
      <c r="AM952" s="545">
        <v>0</v>
      </c>
      <c r="AN952" s="545">
        <v>0</v>
      </c>
      <c r="AO952" s="545">
        <v>0</v>
      </c>
    </row>
    <row r="953" spans="1:41" hidden="1">
      <c r="A953" s="533">
        <v>56</v>
      </c>
      <c r="B953" s="534" t="s">
        <v>20238</v>
      </c>
      <c r="C953" s="535">
        <v>0</v>
      </c>
      <c r="D953" s="536" t="s">
        <v>18691</v>
      </c>
      <c r="E953" s="534" t="s">
        <v>20238</v>
      </c>
      <c r="F953" s="537">
        <v>44635</v>
      </c>
      <c r="G953" s="534">
        <v>2022</v>
      </c>
      <c r="H953" s="538" t="s">
        <v>16838</v>
      </c>
      <c r="I953" s="534" t="s">
        <v>16839</v>
      </c>
      <c r="J953" s="534" t="s">
        <v>3</v>
      </c>
      <c r="K953" s="539">
        <v>218153.60000000001</v>
      </c>
      <c r="L953" s="534">
        <v>1</v>
      </c>
      <c r="M953" s="540">
        <v>218153.60000000001</v>
      </c>
      <c r="N953" s="534" t="s">
        <v>20155</v>
      </c>
      <c r="O953" s="534" t="s">
        <v>17771</v>
      </c>
      <c r="P953" s="884">
        <v>44659</v>
      </c>
      <c r="Q953" s="535">
        <v>3360</v>
      </c>
      <c r="R953" s="535">
        <v>20280</v>
      </c>
      <c r="S953" s="535">
        <v>84000</v>
      </c>
      <c r="T953" s="535">
        <v>0</v>
      </c>
      <c r="U953" s="535">
        <v>107640</v>
      </c>
      <c r="V953" s="541" t="s">
        <v>20155</v>
      </c>
      <c r="W953" s="542">
        <v>8366.4</v>
      </c>
      <c r="X953" s="542">
        <v>45427.199999999997</v>
      </c>
      <c r="Y953" s="542">
        <v>164360</v>
      </c>
      <c r="Z953" s="542">
        <v>0</v>
      </c>
      <c r="AA953" s="543">
        <v>2.4899999999999998</v>
      </c>
      <c r="AB953" s="543">
        <v>2.2399999999999998</v>
      </c>
      <c r="AC953" s="543">
        <v>1.9566666666666668</v>
      </c>
      <c r="AD953" s="543"/>
      <c r="AE953" s="542">
        <v>0</v>
      </c>
      <c r="AF953" s="542">
        <v>0</v>
      </c>
      <c r="AG953" s="542">
        <v>0</v>
      </c>
      <c r="AH953" s="544">
        <v>2.4899999999999998</v>
      </c>
      <c r="AI953" s="544">
        <v>2.2399999999999998</v>
      </c>
      <c r="AJ953" s="544">
        <v>1.9566666666666668</v>
      </c>
      <c r="AK953" s="544">
        <v>0</v>
      </c>
      <c r="AL953" s="545">
        <v>1</v>
      </c>
      <c r="AM953" s="545" t="s">
        <v>20323</v>
      </c>
      <c r="AN953" s="545" t="s">
        <v>20323</v>
      </c>
      <c r="AO953" s="545">
        <v>0</v>
      </c>
    </row>
    <row r="954" spans="1:41" hidden="1">
      <c r="A954" s="533">
        <v>57</v>
      </c>
      <c r="B954" s="534" t="s">
        <v>20239</v>
      </c>
      <c r="C954" s="535">
        <v>0</v>
      </c>
      <c r="D954" s="536" t="s">
        <v>18692</v>
      </c>
      <c r="E954" s="534" t="s">
        <v>20239</v>
      </c>
      <c r="F954" s="537">
        <v>44635</v>
      </c>
      <c r="G954" s="534">
        <v>2022</v>
      </c>
      <c r="H954" s="538" t="s">
        <v>16838</v>
      </c>
      <c r="I954" s="534" t="s">
        <v>16839</v>
      </c>
      <c r="J954" s="534" t="s">
        <v>3</v>
      </c>
      <c r="K954" s="539">
        <v>593788</v>
      </c>
      <c r="L954" s="534">
        <v>1</v>
      </c>
      <c r="M954" s="540">
        <v>593788</v>
      </c>
      <c r="N954" s="534" t="s">
        <v>20155</v>
      </c>
      <c r="O954" s="534" t="s">
        <v>17949</v>
      </c>
      <c r="P954" s="884">
        <v>44651</v>
      </c>
      <c r="Q954" s="535">
        <v>215656</v>
      </c>
      <c r="R954" s="535">
        <v>24000</v>
      </c>
      <c r="S954" s="535">
        <v>0</v>
      </c>
      <c r="T954" s="535">
        <v>0</v>
      </c>
      <c r="U954" s="535">
        <v>239656</v>
      </c>
      <c r="V954" s="541" t="s">
        <v>20155</v>
      </c>
      <c r="W954" s="542">
        <v>539788</v>
      </c>
      <c r="X954" s="542">
        <v>54000</v>
      </c>
      <c r="Y954" s="542">
        <v>0</v>
      </c>
      <c r="Z954" s="542">
        <v>0</v>
      </c>
      <c r="AA954" s="543">
        <v>2.5030047853989688</v>
      </c>
      <c r="AB954" s="543">
        <v>2.25</v>
      </c>
      <c r="AC954" s="543"/>
      <c r="AD954" s="543"/>
      <c r="AE954" s="542">
        <v>0</v>
      </c>
      <c r="AF954" s="542">
        <v>0</v>
      </c>
      <c r="AG954" s="542">
        <v>0</v>
      </c>
      <c r="AH954" s="544">
        <v>2.5030047853989688</v>
      </c>
      <c r="AI954" s="544">
        <v>2.25</v>
      </c>
      <c r="AJ954" s="544"/>
      <c r="AK954" s="544"/>
      <c r="AL954" s="545">
        <v>0</v>
      </c>
      <c r="AM954" s="545">
        <v>0</v>
      </c>
      <c r="AN954" s="545">
        <v>0</v>
      </c>
      <c r="AO954" s="545">
        <v>0</v>
      </c>
    </row>
    <row r="955" spans="1:41" hidden="1">
      <c r="A955" s="533">
        <v>58</v>
      </c>
      <c r="B955" s="534" t="s">
        <v>20240</v>
      </c>
      <c r="C955" s="535">
        <v>0</v>
      </c>
      <c r="D955" s="536" t="s">
        <v>18693</v>
      </c>
      <c r="E955" s="534" t="s">
        <v>20240</v>
      </c>
      <c r="F955" s="537">
        <v>44638</v>
      </c>
      <c r="G955" s="534">
        <v>2022</v>
      </c>
      <c r="H955" s="538" t="s">
        <v>17272</v>
      </c>
      <c r="I955" s="534" t="s">
        <v>17273</v>
      </c>
      <c r="J955" s="534" t="s">
        <v>3</v>
      </c>
      <c r="K955" s="539">
        <v>28196.799999999999</v>
      </c>
      <c r="L955" s="534">
        <v>1</v>
      </c>
      <c r="M955" s="540">
        <v>28196.799999999999</v>
      </c>
      <c r="N955" s="534" t="s">
        <v>20155</v>
      </c>
      <c r="O955" s="534" t="s">
        <v>16394</v>
      </c>
      <c r="P955" s="884">
        <v>44645</v>
      </c>
      <c r="Q955" s="535">
        <v>0</v>
      </c>
      <c r="R955" s="535">
        <v>5796</v>
      </c>
      <c r="S955" s="535">
        <v>1500</v>
      </c>
      <c r="T955" s="535">
        <v>780</v>
      </c>
      <c r="U955" s="535">
        <v>8076</v>
      </c>
      <c r="V955" s="541"/>
      <c r="W955" s="542">
        <v>0</v>
      </c>
      <c r="X955" s="542">
        <v>20326.8</v>
      </c>
      <c r="Y955" s="542">
        <v>4950</v>
      </c>
      <c r="Z955" s="542">
        <v>2920</v>
      </c>
      <c r="AA955" s="543"/>
      <c r="AB955" s="543">
        <v>3.50703933747412</v>
      </c>
      <c r="AC955" s="543">
        <v>3.3</v>
      </c>
      <c r="AD955" s="543">
        <v>3.7435897435897436</v>
      </c>
      <c r="AE955" s="542">
        <v>0</v>
      </c>
      <c r="AF955" s="542">
        <v>0</v>
      </c>
      <c r="AG955" s="542">
        <v>0</v>
      </c>
      <c r="AH955" s="544"/>
      <c r="AI955" s="544">
        <v>3.50703933747412</v>
      </c>
      <c r="AJ955" s="544">
        <v>3.3</v>
      </c>
      <c r="AK955" s="544">
        <v>3.7435897435897436</v>
      </c>
      <c r="AL955" s="545">
        <v>0</v>
      </c>
      <c r="AM955" s="545">
        <v>1</v>
      </c>
      <c r="AN955" s="545">
        <v>1</v>
      </c>
      <c r="AO955" s="545">
        <v>1</v>
      </c>
    </row>
    <row r="956" spans="1:41" hidden="1">
      <c r="A956" s="533">
        <v>59</v>
      </c>
      <c r="B956" s="534" t="s">
        <v>20241</v>
      </c>
      <c r="C956" s="535">
        <v>0</v>
      </c>
      <c r="D956" s="536" t="s">
        <v>18694</v>
      </c>
      <c r="E956" s="534" t="s">
        <v>20241</v>
      </c>
      <c r="F956" s="537">
        <v>44638</v>
      </c>
      <c r="G956" s="534">
        <v>2022</v>
      </c>
      <c r="H956" s="538" t="s">
        <v>16444</v>
      </c>
      <c r="I956" s="534" t="s">
        <v>16445</v>
      </c>
      <c r="J956" s="534" t="s">
        <v>3</v>
      </c>
      <c r="K956" s="539">
        <v>148704</v>
      </c>
      <c r="L956" s="534">
        <v>1</v>
      </c>
      <c r="M956" s="540">
        <v>148704</v>
      </c>
      <c r="N956" s="534" t="s">
        <v>20155</v>
      </c>
      <c r="O956" s="534" t="s">
        <v>17949</v>
      </c>
      <c r="P956" s="884">
        <v>44648</v>
      </c>
      <c r="Q956" s="535">
        <v>65616</v>
      </c>
      <c r="R956" s="535">
        <v>0</v>
      </c>
      <c r="S956" s="535">
        <v>0</v>
      </c>
      <c r="T956" s="535">
        <v>0</v>
      </c>
      <c r="U956" s="535">
        <v>65616</v>
      </c>
      <c r="V956" s="541" t="s">
        <v>20155</v>
      </c>
      <c r="W956" s="542">
        <v>148704</v>
      </c>
      <c r="X956" s="542">
        <v>0</v>
      </c>
      <c r="Y956" s="542">
        <v>0</v>
      </c>
      <c r="Z956" s="542">
        <v>0</v>
      </c>
      <c r="AA956" s="543">
        <v>2.2662765179224578</v>
      </c>
      <c r="AB956" s="543"/>
      <c r="AC956" s="543"/>
      <c r="AD956" s="543"/>
      <c r="AE956" s="542">
        <v>0</v>
      </c>
      <c r="AF956" s="542">
        <v>0</v>
      </c>
      <c r="AG956" s="542">
        <v>0</v>
      </c>
      <c r="AH956" s="544">
        <v>2.2662765179224578</v>
      </c>
      <c r="AI956" s="544"/>
      <c r="AJ956" s="544"/>
      <c r="AK956" s="544"/>
      <c r="AL956" s="545" t="s">
        <v>20324</v>
      </c>
      <c r="AM956" s="545">
        <v>0</v>
      </c>
      <c r="AN956" s="545">
        <v>0</v>
      </c>
      <c r="AO956" s="545">
        <v>0</v>
      </c>
    </row>
    <row r="957" spans="1:41" hidden="1">
      <c r="A957" s="533">
        <v>60</v>
      </c>
      <c r="B957" s="534" t="s">
        <v>20242</v>
      </c>
      <c r="C957" s="535">
        <v>0</v>
      </c>
      <c r="D957" s="536" t="s">
        <v>18695</v>
      </c>
      <c r="E957" s="534" t="s">
        <v>20242</v>
      </c>
      <c r="F957" s="537">
        <v>44638</v>
      </c>
      <c r="G957" s="534">
        <v>2022</v>
      </c>
      <c r="H957" s="538" t="s">
        <v>17233</v>
      </c>
      <c r="I957" s="534" t="s">
        <v>17234</v>
      </c>
      <c r="J957" s="534" t="s">
        <v>16401</v>
      </c>
      <c r="K957" s="539">
        <v>815609.65500000003</v>
      </c>
      <c r="L957" s="534">
        <v>2.9557500000000001</v>
      </c>
      <c r="M957" s="540">
        <v>275940</v>
      </c>
      <c r="N957" s="534" t="s">
        <v>20155</v>
      </c>
      <c r="O957" s="534" t="s">
        <v>17939</v>
      </c>
      <c r="P957" s="884">
        <v>44648</v>
      </c>
      <c r="Q957" s="535">
        <v>0</v>
      </c>
      <c r="R957" s="535">
        <v>220752</v>
      </c>
      <c r="S957" s="535">
        <v>94608</v>
      </c>
      <c r="T957" s="535">
        <v>0</v>
      </c>
      <c r="U957" s="535">
        <v>315360</v>
      </c>
      <c r="V957" s="541"/>
      <c r="W957" s="542">
        <v>0</v>
      </c>
      <c r="X957" s="542">
        <v>570926.7585</v>
      </c>
      <c r="Y957" s="542">
        <v>244682.89649999994</v>
      </c>
      <c r="Z957" s="542">
        <v>0</v>
      </c>
      <c r="AA957" s="543"/>
      <c r="AB957" s="543">
        <v>2.5862812499999999</v>
      </c>
      <c r="AC957" s="543">
        <v>2.5862812499999994</v>
      </c>
      <c r="AD957" s="543"/>
      <c r="AE957" s="542">
        <v>0</v>
      </c>
      <c r="AF957" s="542">
        <v>0</v>
      </c>
      <c r="AG957" s="542">
        <v>0</v>
      </c>
      <c r="AH957" s="544"/>
      <c r="AI957" s="544">
        <v>2.5862812499999999</v>
      </c>
      <c r="AJ957" s="544">
        <v>2.5862812499999994</v>
      </c>
      <c r="AK957" s="544"/>
      <c r="AL957" s="545">
        <v>0</v>
      </c>
      <c r="AM957" s="545" t="s">
        <v>20324</v>
      </c>
      <c r="AN957" s="545" t="s">
        <v>20324</v>
      </c>
      <c r="AO957" s="545">
        <v>0</v>
      </c>
    </row>
    <row r="958" spans="1:41" hidden="1">
      <c r="A958" s="533">
        <v>61</v>
      </c>
      <c r="B958" s="534" t="s">
        <v>20243</v>
      </c>
      <c r="C958" s="535">
        <v>0</v>
      </c>
      <c r="D958" s="536" t="s">
        <v>18696</v>
      </c>
      <c r="E958" s="534" t="s">
        <v>20243</v>
      </c>
      <c r="F958" s="537">
        <v>44639</v>
      </c>
      <c r="G958" s="534">
        <v>2022</v>
      </c>
      <c r="H958" s="538" t="s">
        <v>16783</v>
      </c>
      <c r="I958" s="534" t="s">
        <v>16784</v>
      </c>
      <c r="J958" s="534" t="s">
        <v>16401</v>
      </c>
      <c r="K958" s="539">
        <v>1144088.064</v>
      </c>
      <c r="L958" s="534">
        <v>2.9557500000000001</v>
      </c>
      <c r="M958" s="540">
        <v>387072</v>
      </c>
      <c r="N958" s="534" t="s">
        <v>20155</v>
      </c>
      <c r="O958" s="534" t="s">
        <v>17939</v>
      </c>
      <c r="P958" s="884">
        <v>44648</v>
      </c>
      <c r="Q958" s="535">
        <v>0</v>
      </c>
      <c r="R958" s="535">
        <v>412800</v>
      </c>
      <c r="S958" s="535">
        <v>48000</v>
      </c>
      <c r="T958" s="535">
        <v>0</v>
      </c>
      <c r="U958" s="535">
        <v>460800</v>
      </c>
      <c r="V958" s="541"/>
      <c r="W958" s="542">
        <v>0</v>
      </c>
      <c r="X958" s="542">
        <v>1024912.2240000004</v>
      </c>
      <c r="Y958" s="542">
        <v>119175.84</v>
      </c>
      <c r="Z958" s="542">
        <v>0</v>
      </c>
      <c r="AA958" s="543"/>
      <c r="AB958" s="543">
        <v>2.4828300000000008</v>
      </c>
      <c r="AC958" s="543">
        <v>2.4828299999999999</v>
      </c>
      <c r="AD958" s="543"/>
      <c r="AE958" s="542">
        <v>0</v>
      </c>
      <c r="AF958" s="542">
        <v>0</v>
      </c>
      <c r="AG958" s="542">
        <v>0</v>
      </c>
      <c r="AH958" s="544"/>
      <c r="AI958" s="544">
        <v>2.4828300000000008</v>
      </c>
      <c r="AJ958" s="544">
        <v>2.4828299999999999</v>
      </c>
      <c r="AK958" s="544"/>
      <c r="AL958" s="545">
        <v>0</v>
      </c>
      <c r="AM958" s="545" t="s">
        <v>20324</v>
      </c>
      <c r="AN958" s="545" t="s">
        <v>20324</v>
      </c>
      <c r="AO958" s="545">
        <v>0</v>
      </c>
    </row>
    <row r="959" spans="1:41" hidden="1">
      <c r="A959" s="533">
        <v>62</v>
      </c>
      <c r="B959" s="534" t="s">
        <v>20244</v>
      </c>
      <c r="C959" s="535">
        <v>0</v>
      </c>
      <c r="D959" s="536" t="s">
        <v>18697</v>
      </c>
      <c r="E959" s="534" t="s">
        <v>20244</v>
      </c>
      <c r="F959" s="537">
        <v>44639</v>
      </c>
      <c r="G959" s="534">
        <v>2022</v>
      </c>
      <c r="H959" s="538" t="s">
        <v>17017</v>
      </c>
      <c r="I959" s="534" t="s">
        <v>17018</v>
      </c>
      <c r="J959" s="534" t="s">
        <v>3</v>
      </c>
      <c r="K959" s="539">
        <v>61000</v>
      </c>
      <c r="L959" s="534">
        <v>1</v>
      </c>
      <c r="M959" s="540">
        <v>63000</v>
      </c>
      <c r="N959" s="534" t="s">
        <v>20155</v>
      </c>
      <c r="O959" s="534" t="s">
        <v>18064</v>
      </c>
      <c r="P959" s="884">
        <v>44648</v>
      </c>
      <c r="Q959" s="535">
        <v>0</v>
      </c>
      <c r="R959" s="535">
        <v>20000</v>
      </c>
      <c r="S959" s="535">
        <v>0</v>
      </c>
      <c r="T959" s="535">
        <v>0</v>
      </c>
      <c r="U959" s="535">
        <v>20000</v>
      </c>
      <c r="V959" s="541"/>
      <c r="W959" s="542">
        <v>0</v>
      </c>
      <c r="X959" s="542">
        <v>61000</v>
      </c>
      <c r="Y959" s="542">
        <v>0</v>
      </c>
      <c r="Z959" s="542">
        <v>0</v>
      </c>
      <c r="AA959" s="543"/>
      <c r="AB959" s="543">
        <v>3.05</v>
      </c>
      <c r="AC959" s="543"/>
      <c r="AD959" s="543"/>
      <c r="AE959" s="542">
        <v>0</v>
      </c>
      <c r="AF959" s="542">
        <v>0</v>
      </c>
      <c r="AG959" s="542">
        <v>0</v>
      </c>
      <c r="AH959" s="544"/>
      <c r="AI959" s="544">
        <v>3.05</v>
      </c>
      <c r="AJ959" s="544"/>
      <c r="AK959" s="544"/>
      <c r="AL959" s="545">
        <v>0</v>
      </c>
      <c r="AM959" s="545">
        <v>1</v>
      </c>
      <c r="AN959" s="545">
        <v>0</v>
      </c>
      <c r="AO959" s="545">
        <v>0</v>
      </c>
    </row>
    <row r="960" spans="1:41" hidden="1">
      <c r="A960" s="533">
        <v>63</v>
      </c>
      <c r="B960" s="534" t="s">
        <v>20245</v>
      </c>
      <c r="C960" s="535">
        <v>0</v>
      </c>
      <c r="D960" s="536" t="s">
        <v>18698</v>
      </c>
      <c r="E960" s="534" t="s">
        <v>20245</v>
      </c>
      <c r="F960" s="537">
        <v>44643</v>
      </c>
      <c r="G960" s="534">
        <v>2022</v>
      </c>
      <c r="H960" s="538" t="s">
        <v>17299</v>
      </c>
      <c r="I960" s="534" t="s">
        <v>17300</v>
      </c>
      <c r="J960" s="534" t="s">
        <v>16482</v>
      </c>
      <c r="K960" s="539">
        <v>217766.7072</v>
      </c>
      <c r="L960" s="534">
        <v>3.2591999999999999</v>
      </c>
      <c r="M960" s="540">
        <v>66816</v>
      </c>
      <c r="N960" s="534" t="s">
        <v>20155</v>
      </c>
      <c r="O960" s="534" t="s">
        <v>20321</v>
      </c>
      <c r="P960" s="884">
        <v>44649</v>
      </c>
      <c r="Q960" s="535">
        <v>76800</v>
      </c>
      <c r="R960" s="535">
        <v>0</v>
      </c>
      <c r="S960" s="535">
        <v>0</v>
      </c>
      <c r="T960" s="535">
        <v>0</v>
      </c>
      <c r="U960" s="535">
        <v>76800</v>
      </c>
      <c r="V960" s="541"/>
      <c r="W960" s="542">
        <v>217766.70719999998</v>
      </c>
      <c r="X960" s="542">
        <v>0</v>
      </c>
      <c r="Y960" s="542">
        <v>0</v>
      </c>
      <c r="Z960" s="542">
        <v>0</v>
      </c>
      <c r="AA960" s="543">
        <v>2.8355039999999998</v>
      </c>
      <c r="AB960" s="543"/>
      <c r="AC960" s="543"/>
      <c r="AD960" s="543"/>
      <c r="AE960" s="542">
        <v>12077.73</v>
      </c>
      <c r="AF960" s="542">
        <v>38989.745000000003</v>
      </c>
      <c r="AG960" s="542">
        <v>0.50767897135416673</v>
      </c>
      <c r="AH960" s="544">
        <v>2.3278250286458331</v>
      </c>
      <c r="AI960" s="544"/>
      <c r="AJ960" s="544"/>
      <c r="AK960" s="544"/>
      <c r="AL960" s="545" t="s">
        <v>20324</v>
      </c>
      <c r="AM960" s="545">
        <v>0</v>
      </c>
      <c r="AN960" s="545">
        <v>0</v>
      </c>
      <c r="AO960" s="545">
        <v>0</v>
      </c>
    </row>
    <row r="961" spans="1:41" hidden="1">
      <c r="A961" s="533">
        <v>64</v>
      </c>
      <c r="B961" s="534" t="s">
        <v>20246</v>
      </c>
      <c r="C961" s="535">
        <v>0</v>
      </c>
      <c r="D961" s="536" t="s">
        <v>18699</v>
      </c>
      <c r="E961" s="534" t="s">
        <v>20246</v>
      </c>
      <c r="F961" s="537">
        <v>44644</v>
      </c>
      <c r="G961" s="534">
        <v>2022</v>
      </c>
      <c r="H961" s="557" t="s">
        <v>17319</v>
      </c>
      <c r="I961" s="534" t="s">
        <v>17320</v>
      </c>
      <c r="J961" s="534" t="s">
        <v>16401</v>
      </c>
      <c r="K961" s="539">
        <v>298303.99200000003</v>
      </c>
      <c r="L961" s="534">
        <v>2.9712499999999999</v>
      </c>
      <c r="M961" s="540">
        <v>100396.8</v>
      </c>
      <c r="N961" s="534" t="s">
        <v>20155</v>
      </c>
      <c r="O961" s="534" t="s">
        <v>17939</v>
      </c>
      <c r="P961" s="884">
        <v>44649</v>
      </c>
      <c r="Q961" s="535">
        <v>0</v>
      </c>
      <c r="R961" s="535">
        <v>96000</v>
      </c>
      <c r="S961" s="535">
        <v>24960</v>
      </c>
      <c r="T961" s="535">
        <v>0</v>
      </c>
      <c r="U961" s="535">
        <v>120960</v>
      </c>
      <c r="V961" s="541"/>
      <c r="W961" s="542">
        <v>0</v>
      </c>
      <c r="X961" s="542">
        <v>236749.2</v>
      </c>
      <c r="Y961" s="542">
        <v>61554.792000000001</v>
      </c>
      <c r="Z961" s="542">
        <v>0</v>
      </c>
      <c r="AA961" s="543"/>
      <c r="AB961" s="543">
        <v>2.4661375000000003</v>
      </c>
      <c r="AC961" s="543">
        <v>2.4661374999999999</v>
      </c>
      <c r="AD961" s="543"/>
      <c r="AE961" s="542">
        <v>0</v>
      </c>
      <c r="AF961" s="542">
        <v>0</v>
      </c>
      <c r="AG961" s="542">
        <v>0</v>
      </c>
      <c r="AH961" s="544"/>
      <c r="AI961" s="544">
        <v>2.4661375000000003</v>
      </c>
      <c r="AJ961" s="544">
        <v>2.4661374999999999</v>
      </c>
      <c r="AK961" s="544"/>
      <c r="AL961" s="545">
        <v>0</v>
      </c>
      <c r="AM961" s="545" t="s">
        <v>20324</v>
      </c>
      <c r="AN961" s="545" t="s">
        <v>20324</v>
      </c>
      <c r="AO961" s="545">
        <v>0</v>
      </c>
    </row>
    <row r="962" spans="1:41" hidden="1">
      <c r="A962" s="533">
        <v>65</v>
      </c>
      <c r="B962" s="534" t="s">
        <v>20247</v>
      </c>
      <c r="C962" s="535">
        <v>0</v>
      </c>
      <c r="D962" s="536" t="s">
        <v>18701</v>
      </c>
      <c r="E962" s="534" t="s">
        <v>20247</v>
      </c>
      <c r="F962" s="537">
        <v>44648</v>
      </c>
      <c r="G962" s="534">
        <v>2022</v>
      </c>
      <c r="H962" s="538" t="s">
        <v>17317</v>
      </c>
      <c r="I962" s="534" t="s">
        <v>17318</v>
      </c>
      <c r="J962" s="534" t="s">
        <v>3</v>
      </c>
      <c r="K962" s="539">
        <v>26742.799999999999</v>
      </c>
      <c r="L962" s="534">
        <v>1</v>
      </c>
      <c r="M962" s="540">
        <v>26742.799999999999</v>
      </c>
      <c r="N962" s="534" t="s">
        <v>20155</v>
      </c>
      <c r="O962" s="534" t="s">
        <v>17238</v>
      </c>
      <c r="P962" s="884">
        <v>44698</v>
      </c>
      <c r="Q962" s="535">
        <v>960</v>
      </c>
      <c r="R962" s="535">
        <v>2436</v>
      </c>
      <c r="S962" s="535">
        <v>3000</v>
      </c>
      <c r="T962" s="535">
        <v>940</v>
      </c>
      <c r="U962" s="535">
        <v>7336</v>
      </c>
      <c r="V962" s="541" t="e">
        <v>#N/A</v>
      </c>
      <c r="W962" s="542">
        <v>3484.8</v>
      </c>
      <c r="X962" s="542">
        <v>7362</v>
      </c>
      <c r="Y962" s="542">
        <v>9750</v>
      </c>
      <c r="Z962" s="542">
        <v>6146</v>
      </c>
      <c r="AA962" s="543">
        <v>3.6300000000000003</v>
      </c>
      <c r="AB962" s="543">
        <v>3.0221674876847291</v>
      </c>
      <c r="AC962" s="543">
        <v>3.25</v>
      </c>
      <c r="AD962" s="543">
        <v>6.5382978723404257</v>
      </c>
      <c r="AE962" s="542">
        <v>0</v>
      </c>
      <c r="AF962" s="542">
        <v>0</v>
      </c>
      <c r="AG962" s="542">
        <v>0</v>
      </c>
      <c r="AH962" s="544">
        <v>3.6300000000000003</v>
      </c>
      <c r="AI962" s="544">
        <v>3.0221674876847291</v>
      </c>
      <c r="AJ962" s="544">
        <v>3.25</v>
      </c>
      <c r="AK962" s="544">
        <v>6.5382978723404257</v>
      </c>
      <c r="AL962" s="545">
        <v>1</v>
      </c>
      <c r="AM962" s="545">
        <v>1</v>
      </c>
      <c r="AN962" s="545">
        <v>0</v>
      </c>
      <c r="AO962" s="545">
        <v>1</v>
      </c>
    </row>
    <row r="963" spans="1:41" hidden="1">
      <c r="A963" s="533">
        <v>66</v>
      </c>
      <c r="B963" s="534" t="s">
        <v>20248</v>
      </c>
      <c r="C963" s="535">
        <v>0</v>
      </c>
      <c r="D963" s="536" t="s">
        <v>18702</v>
      </c>
      <c r="E963" s="534" t="s">
        <v>20248</v>
      </c>
      <c r="F963" s="537">
        <v>44649</v>
      </c>
      <c r="G963" s="534">
        <v>2022</v>
      </c>
      <c r="H963" s="538" t="s">
        <v>16838</v>
      </c>
      <c r="I963" s="534" t="s">
        <v>16839</v>
      </c>
      <c r="J963" s="534" t="s">
        <v>3</v>
      </c>
      <c r="K963" s="539">
        <v>201373.2</v>
      </c>
      <c r="L963" s="534">
        <v>1</v>
      </c>
      <c r="M963" s="540">
        <v>201373.2</v>
      </c>
      <c r="N963" s="534" t="s">
        <v>20155</v>
      </c>
      <c r="O963" s="534" t="s">
        <v>20321</v>
      </c>
      <c r="P963" s="884">
        <v>44655</v>
      </c>
      <c r="Q963" s="535">
        <v>0</v>
      </c>
      <c r="R963" s="535">
        <v>110040</v>
      </c>
      <c r="S963" s="535">
        <v>0</v>
      </c>
      <c r="T963" s="535">
        <v>0</v>
      </c>
      <c r="U963" s="535">
        <v>110040</v>
      </c>
      <c r="V963" s="541" t="s">
        <v>20155</v>
      </c>
      <c r="W963" s="542">
        <v>0</v>
      </c>
      <c r="X963" s="542">
        <v>201373.2</v>
      </c>
      <c r="Y963" s="542">
        <v>0</v>
      </c>
      <c r="Z963" s="542">
        <v>0</v>
      </c>
      <c r="AA963" s="543"/>
      <c r="AB963" s="543">
        <v>1.83</v>
      </c>
      <c r="AC963" s="543"/>
      <c r="AD963" s="543"/>
      <c r="AE963" s="542">
        <v>0</v>
      </c>
      <c r="AF963" s="542">
        <v>0</v>
      </c>
      <c r="AG963" s="542">
        <v>0</v>
      </c>
      <c r="AH963" s="544">
        <v>0</v>
      </c>
      <c r="AI963" s="544">
        <v>1.83</v>
      </c>
      <c r="AJ963" s="544">
        <v>0</v>
      </c>
      <c r="AK963" s="544">
        <v>0</v>
      </c>
      <c r="AL963" s="545">
        <v>0</v>
      </c>
      <c r="AM963" s="545" t="s">
        <v>20323</v>
      </c>
      <c r="AN963" s="545">
        <v>0</v>
      </c>
      <c r="AO963" s="545">
        <v>0</v>
      </c>
    </row>
    <row r="964" spans="1:41" hidden="1">
      <c r="A964" s="533">
        <v>67</v>
      </c>
      <c r="B964" s="534" t="s">
        <v>20249</v>
      </c>
      <c r="C964" s="535">
        <v>0</v>
      </c>
      <c r="D964" s="536" t="s">
        <v>18703</v>
      </c>
      <c r="E964" s="534" t="s">
        <v>20249</v>
      </c>
      <c r="F964" s="537">
        <v>44649</v>
      </c>
      <c r="G964" s="534">
        <v>2022</v>
      </c>
      <c r="H964" s="558" t="s">
        <v>17309</v>
      </c>
      <c r="I964" s="534" t="s">
        <v>17310</v>
      </c>
      <c r="J964" s="534" t="s">
        <v>3</v>
      </c>
      <c r="K964" s="539">
        <v>561162</v>
      </c>
      <c r="L964" s="534">
        <v>1</v>
      </c>
      <c r="M964" s="540">
        <v>561162</v>
      </c>
      <c r="N964" s="534" t="s">
        <v>20155</v>
      </c>
      <c r="O964" s="534" t="s">
        <v>20321</v>
      </c>
      <c r="P964" s="884">
        <v>44664</v>
      </c>
      <c r="Q964" s="535">
        <v>0</v>
      </c>
      <c r="R964" s="535">
        <v>275088</v>
      </c>
      <c r="S964" s="535">
        <v>0</v>
      </c>
      <c r="T964" s="535">
        <v>0</v>
      </c>
      <c r="U964" s="535">
        <v>275088</v>
      </c>
      <c r="V964" s="541" t="s">
        <v>20155</v>
      </c>
      <c r="W964" s="542">
        <v>0</v>
      </c>
      <c r="X964" s="542">
        <v>561162</v>
      </c>
      <c r="Y964" s="542">
        <v>0</v>
      </c>
      <c r="Z964" s="542">
        <v>0</v>
      </c>
      <c r="AA964" s="543"/>
      <c r="AB964" s="543">
        <v>2.0399363112894782</v>
      </c>
      <c r="AC964" s="543"/>
      <c r="AD964" s="543"/>
      <c r="AE964" s="542">
        <v>0</v>
      </c>
      <c r="AF964" s="542">
        <v>0</v>
      </c>
      <c r="AG964" s="542">
        <v>0</v>
      </c>
      <c r="AH964" s="544">
        <v>0</v>
      </c>
      <c r="AI964" s="544">
        <v>2.0399363112894782</v>
      </c>
      <c r="AJ964" s="544">
        <v>0</v>
      </c>
      <c r="AK964" s="544">
        <v>0</v>
      </c>
      <c r="AL964" s="545">
        <v>0</v>
      </c>
      <c r="AM964" s="545" t="s">
        <v>20323</v>
      </c>
      <c r="AN964" s="545">
        <v>0</v>
      </c>
      <c r="AO964" s="545">
        <v>0</v>
      </c>
    </row>
    <row r="965" spans="1:41" hidden="1">
      <c r="A965" s="533">
        <v>68</v>
      </c>
      <c r="B965" s="534" t="s">
        <v>20250</v>
      </c>
      <c r="C965" s="535">
        <v>0</v>
      </c>
      <c r="D965" s="536" t="s">
        <v>18705</v>
      </c>
      <c r="E965" s="534" t="s">
        <v>20250</v>
      </c>
      <c r="F965" s="537">
        <v>44658</v>
      </c>
      <c r="G965" s="534">
        <v>2022</v>
      </c>
      <c r="H965" s="538" t="s">
        <v>16880</v>
      </c>
      <c r="I965" s="534" t="s">
        <v>16881</v>
      </c>
      <c r="J965" s="534" t="s">
        <v>16401</v>
      </c>
      <c r="K965" s="539">
        <v>93522.355884000004</v>
      </c>
      <c r="L965" s="534">
        <v>3.0001500000000001</v>
      </c>
      <c r="M965" s="540">
        <v>31172.560000000001</v>
      </c>
      <c r="N965" s="534" t="s">
        <v>20155</v>
      </c>
      <c r="O965" s="534" t="s">
        <v>20329</v>
      </c>
      <c r="P965" s="884">
        <v>44669</v>
      </c>
      <c r="Q965" s="535">
        <v>0</v>
      </c>
      <c r="R965" s="535">
        <v>20480</v>
      </c>
      <c r="S965" s="535">
        <v>0</v>
      </c>
      <c r="T965" s="535">
        <v>0</v>
      </c>
      <c r="U965" s="535">
        <v>20480</v>
      </c>
      <c r="V965" s="541" t="e">
        <v>#N/A</v>
      </c>
      <c r="W965" s="542">
        <v>0</v>
      </c>
      <c r="X965" s="542">
        <v>93522.355884000004</v>
      </c>
      <c r="Y965" s="542">
        <v>0</v>
      </c>
      <c r="Z965" s="542">
        <v>0</v>
      </c>
      <c r="AA965" s="543"/>
      <c r="AB965" s="543">
        <v>4.5665212833984379</v>
      </c>
      <c r="AC965" s="543"/>
      <c r="AD965" s="543"/>
      <c r="AE965" s="542">
        <v>0</v>
      </c>
      <c r="AF965" s="542">
        <v>1586.87</v>
      </c>
      <c r="AG965" s="542">
        <v>7.7483886718749992E-2</v>
      </c>
      <c r="AH965" s="544"/>
      <c r="AI965" s="544">
        <v>4.4890373966796879</v>
      </c>
      <c r="AJ965" s="544"/>
      <c r="AK965" s="544"/>
      <c r="AL965" s="545">
        <v>0</v>
      </c>
      <c r="AM965" s="545">
        <v>1</v>
      </c>
      <c r="AN965" s="545">
        <v>0</v>
      </c>
      <c r="AO965" s="545">
        <v>0</v>
      </c>
    </row>
    <row r="966" spans="1:41" hidden="1">
      <c r="A966" s="533">
        <v>69</v>
      </c>
      <c r="B966" s="534" t="s">
        <v>20251</v>
      </c>
      <c r="C966" s="535">
        <v>0</v>
      </c>
      <c r="D966" s="536" t="s">
        <v>18706</v>
      </c>
      <c r="E966" s="534" t="s">
        <v>20251</v>
      </c>
      <c r="F966" s="537">
        <v>44658</v>
      </c>
      <c r="G966" s="534">
        <v>2022</v>
      </c>
      <c r="H966" s="538" t="s">
        <v>17017</v>
      </c>
      <c r="I966" s="534" t="s">
        <v>17018</v>
      </c>
      <c r="J966" s="534" t="s">
        <v>3</v>
      </c>
      <c r="K966" s="539">
        <v>76266.12</v>
      </c>
      <c r="L966" s="534">
        <v>1</v>
      </c>
      <c r="M966" s="540">
        <v>76266.12</v>
      </c>
      <c r="N966" s="534" t="s">
        <v>20155</v>
      </c>
      <c r="O966" s="534" t="s">
        <v>20162</v>
      </c>
      <c r="P966" s="884">
        <v>44672</v>
      </c>
      <c r="Q966" s="535">
        <v>0</v>
      </c>
      <c r="R966" s="535">
        <v>15845</v>
      </c>
      <c r="S966" s="535">
        <v>8400</v>
      </c>
      <c r="T966" s="535">
        <v>0</v>
      </c>
      <c r="U966" s="535">
        <v>24245</v>
      </c>
      <c r="V966" s="541" t="e">
        <v>#N/A</v>
      </c>
      <c r="W966" s="542">
        <v>0</v>
      </c>
      <c r="X966" s="542">
        <v>48966.12</v>
      </c>
      <c r="Y966" s="542">
        <v>26220</v>
      </c>
      <c r="Z966" s="542">
        <v>1080</v>
      </c>
      <c r="AA966" s="543"/>
      <c r="AB966" s="543">
        <v>3.0903199747554435</v>
      </c>
      <c r="AC966" s="543">
        <v>3.1214285714285714</v>
      </c>
      <c r="AD966" s="543"/>
      <c r="AE966" s="542">
        <v>0</v>
      </c>
      <c r="AF966" s="542">
        <v>0</v>
      </c>
      <c r="AG966" s="542">
        <v>0</v>
      </c>
      <c r="AH966" s="544">
        <v>0</v>
      </c>
      <c r="AI966" s="544">
        <v>3.0903199747554435</v>
      </c>
      <c r="AJ966" s="544">
        <v>3.1214285714285714</v>
      </c>
      <c r="AK966" s="544">
        <v>0</v>
      </c>
      <c r="AL966" s="545">
        <v>0</v>
      </c>
      <c r="AM966" s="545">
        <v>1</v>
      </c>
      <c r="AN966" s="545">
        <v>1</v>
      </c>
      <c r="AO966" s="545">
        <v>0</v>
      </c>
    </row>
    <row r="967" spans="1:41" hidden="1">
      <c r="A967" s="533">
        <v>70</v>
      </c>
      <c r="B967" s="534" t="s">
        <v>20252</v>
      </c>
      <c r="C967" s="535">
        <v>0</v>
      </c>
      <c r="D967" s="536" t="s">
        <v>18707</v>
      </c>
      <c r="E967" s="534" t="s">
        <v>20252</v>
      </c>
      <c r="F967" s="537">
        <v>44658</v>
      </c>
      <c r="G967" s="534">
        <v>2022</v>
      </c>
      <c r="H967" s="538" t="s">
        <v>16779</v>
      </c>
      <c r="I967" s="534" t="s">
        <v>16780</v>
      </c>
      <c r="J967" s="534" t="s">
        <v>16482</v>
      </c>
      <c r="K967" s="539">
        <v>86363.221517999991</v>
      </c>
      <c r="L967" s="534">
        <v>3.2485499999999998</v>
      </c>
      <c r="M967" s="540">
        <v>26585.16</v>
      </c>
      <c r="N967" s="534" t="s">
        <v>20155</v>
      </c>
      <c r="O967" s="534" t="s">
        <v>16394</v>
      </c>
      <c r="P967" s="884">
        <v>44677</v>
      </c>
      <c r="Q967" s="535">
        <v>0</v>
      </c>
      <c r="R967" s="535">
        <v>14368</v>
      </c>
      <c r="S967" s="535">
        <v>10296</v>
      </c>
      <c r="T967" s="535">
        <v>1980</v>
      </c>
      <c r="U967" s="535">
        <v>26644</v>
      </c>
      <c r="V967" s="541" t="e">
        <v>#N/A</v>
      </c>
      <c r="W967" s="542">
        <v>0</v>
      </c>
      <c r="X967" s="542">
        <v>43874.656416000005</v>
      </c>
      <c r="Y967" s="542">
        <v>31440.246552000001</v>
      </c>
      <c r="Z967" s="542">
        <v>11048.31855</v>
      </c>
      <c r="AA967" s="543"/>
      <c r="AB967" s="543">
        <v>3.0536370000000002</v>
      </c>
      <c r="AC967" s="543">
        <v>3.0536370000000002</v>
      </c>
      <c r="AD967" s="543">
        <v>5.5799588636363637</v>
      </c>
      <c r="AE967" s="542">
        <v>0</v>
      </c>
      <c r="AF967" s="542">
        <v>0</v>
      </c>
      <c r="AG967" s="542">
        <v>0</v>
      </c>
      <c r="AH967" s="544">
        <v>0</v>
      </c>
      <c r="AI967" s="544">
        <v>3.0536370000000002</v>
      </c>
      <c r="AJ967" s="544">
        <v>3.0536370000000002</v>
      </c>
      <c r="AK967" s="544">
        <v>5.5799588636363637</v>
      </c>
      <c r="AL967" s="545">
        <v>0</v>
      </c>
      <c r="AM967" s="545">
        <v>1</v>
      </c>
      <c r="AN967" s="545">
        <v>1</v>
      </c>
      <c r="AO967" s="545">
        <v>1</v>
      </c>
    </row>
    <row r="968" spans="1:41" hidden="1">
      <c r="A968" s="533">
        <v>71</v>
      </c>
      <c r="B968" s="534" t="s">
        <v>20253</v>
      </c>
      <c r="C968" s="535">
        <v>0</v>
      </c>
      <c r="D968" s="536" t="s">
        <v>18708</v>
      </c>
      <c r="E968" s="534" t="s">
        <v>20253</v>
      </c>
      <c r="F968" s="537">
        <v>44658</v>
      </c>
      <c r="G968" s="534">
        <v>2022</v>
      </c>
      <c r="H968" s="538" t="s">
        <v>16904</v>
      </c>
      <c r="I968" s="534" t="s">
        <v>16905</v>
      </c>
      <c r="J968" s="534" t="s">
        <v>16482</v>
      </c>
      <c r="K968" s="539">
        <v>95667.204304000014</v>
      </c>
      <c r="L968" s="534">
        <v>3.2594500000000002</v>
      </c>
      <c r="M968" s="540">
        <v>29350.720000000001</v>
      </c>
      <c r="N968" s="534" t="s">
        <v>20155</v>
      </c>
      <c r="O968" s="534" t="s">
        <v>20160</v>
      </c>
      <c r="P968" s="884">
        <v>44676</v>
      </c>
      <c r="Q968" s="535">
        <v>0</v>
      </c>
      <c r="R968" s="535">
        <v>18684</v>
      </c>
      <c r="S968" s="535">
        <v>8652</v>
      </c>
      <c r="T968" s="535">
        <v>0</v>
      </c>
      <c r="U968" s="535">
        <v>27336</v>
      </c>
      <c r="V968" s="541" t="e">
        <v>#N/A</v>
      </c>
      <c r="W968" s="542">
        <v>0</v>
      </c>
      <c r="X968" s="542">
        <v>62914.845506170321</v>
      </c>
      <c r="Y968" s="542">
        <v>32752.358797829675</v>
      </c>
      <c r="Z968" s="542">
        <v>0</v>
      </c>
      <c r="AA968" s="543"/>
      <c r="AB968" s="543">
        <v>3.3673113629934877</v>
      </c>
      <c r="AC968" s="543">
        <v>3.7855245952184089</v>
      </c>
      <c r="AD968" s="543"/>
      <c r="AE968" s="542">
        <v>4443.1975000000002</v>
      </c>
      <c r="AF968" s="542">
        <v>14493.065000000001</v>
      </c>
      <c r="AG968" s="542">
        <v>0.53018236025753585</v>
      </c>
      <c r="AH968" s="544"/>
      <c r="AI968" s="544">
        <v>2.8371290027359519</v>
      </c>
      <c r="AJ968" s="544">
        <v>3.2553422349608732</v>
      </c>
      <c r="AK968" s="544"/>
      <c r="AL968" s="545">
        <v>0</v>
      </c>
      <c r="AM968" s="545">
        <v>1</v>
      </c>
      <c r="AN968" s="545">
        <v>1</v>
      </c>
      <c r="AO968" s="545">
        <v>0</v>
      </c>
    </row>
    <row r="969" spans="1:41" hidden="1">
      <c r="A969" s="533">
        <v>72</v>
      </c>
      <c r="B969" s="534" t="s">
        <v>20254</v>
      </c>
      <c r="C969" s="535">
        <v>0</v>
      </c>
      <c r="D969" s="536" t="s">
        <v>18709</v>
      </c>
      <c r="E969" s="534" t="s">
        <v>20254</v>
      </c>
      <c r="F969" s="537">
        <v>44658</v>
      </c>
      <c r="G969" s="534">
        <v>2022</v>
      </c>
      <c r="H969" s="538" t="s">
        <v>16904</v>
      </c>
      <c r="I969" s="534" t="s">
        <v>16905</v>
      </c>
      <c r="J969" s="534" t="s">
        <v>16482</v>
      </c>
      <c r="K969" s="539">
        <v>95667.204304000014</v>
      </c>
      <c r="L969" s="534">
        <v>3.2594500000000002</v>
      </c>
      <c r="M969" s="540">
        <v>29350.720000000001</v>
      </c>
      <c r="N969" s="534" t="s">
        <v>20155</v>
      </c>
      <c r="O969" s="534" t="s">
        <v>20160</v>
      </c>
      <c r="P969" s="884">
        <v>44676</v>
      </c>
      <c r="Q969" s="535">
        <v>0</v>
      </c>
      <c r="R969" s="535">
        <v>19368</v>
      </c>
      <c r="S969" s="535">
        <v>7968</v>
      </c>
      <c r="T969" s="535">
        <v>0</v>
      </c>
      <c r="U969" s="535">
        <v>27336</v>
      </c>
      <c r="V969" s="541" t="e">
        <v>#N/A</v>
      </c>
      <c r="W969" s="542">
        <v>0</v>
      </c>
      <c r="X969" s="542">
        <v>60937.080384284454</v>
      </c>
      <c r="Y969" s="542">
        <v>34730.123919715537</v>
      </c>
      <c r="Z969" s="542">
        <v>0</v>
      </c>
      <c r="AA969" s="543"/>
      <c r="AB969" s="543">
        <v>3.1462763519353807</v>
      </c>
      <c r="AC969" s="543">
        <v>4.3587002911289581</v>
      </c>
      <c r="AD969" s="543"/>
      <c r="AE969" s="542">
        <v>4443.1975000000002</v>
      </c>
      <c r="AF969" s="542">
        <v>14493.065000000001</v>
      </c>
      <c r="AG969" s="542">
        <v>0.53018236025753585</v>
      </c>
      <c r="AH969" s="544"/>
      <c r="AI969" s="544">
        <v>2.616093991677845</v>
      </c>
      <c r="AJ969" s="544">
        <v>3.8285179308714223</v>
      </c>
      <c r="AK969" s="544"/>
      <c r="AL969" s="545">
        <v>0</v>
      </c>
      <c r="AM969" s="545">
        <v>1</v>
      </c>
      <c r="AN969" s="545">
        <v>1</v>
      </c>
      <c r="AO969" s="545">
        <v>0</v>
      </c>
    </row>
    <row r="970" spans="1:41" hidden="1">
      <c r="A970" s="533">
        <v>73</v>
      </c>
      <c r="B970" s="534" t="s">
        <v>20256</v>
      </c>
      <c r="C970" s="535">
        <v>0</v>
      </c>
      <c r="D970" s="536" t="s">
        <v>18710</v>
      </c>
      <c r="E970" s="534" t="s">
        <v>20256</v>
      </c>
      <c r="F970" s="537">
        <v>44658</v>
      </c>
      <c r="G970" s="534">
        <v>2022</v>
      </c>
      <c r="H970" s="538" t="s">
        <v>16904</v>
      </c>
      <c r="I970" s="534" t="s">
        <v>16905</v>
      </c>
      <c r="J970" s="534" t="s">
        <v>16482</v>
      </c>
      <c r="K970" s="539">
        <v>95657.817088000011</v>
      </c>
      <c r="L970" s="534">
        <v>3.2594500000000002</v>
      </c>
      <c r="M970" s="540">
        <v>29347.84</v>
      </c>
      <c r="N970" s="534" t="s">
        <v>20155</v>
      </c>
      <c r="O970" s="534" t="s">
        <v>20160</v>
      </c>
      <c r="P970" s="884">
        <v>44676</v>
      </c>
      <c r="Q970" s="535">
        <v>0</v>
      </c>
      <c r="R970" s="535">
        <v>16776</v>
      </c>
      <c r="S970" s="535">
        <v>10560</v>
      </c>
      <c r="T970" s="535">
        <v>0</v>
      </c>
      <c r="U970" s="535">
        <v>27336</v>
      </c>
      <c r="V970" s="541" t="e">
        <v>#N/A</v>
      </c>
      <c r="W970" s="542">
        <v>0</v>
      </c>
      <c r="X970" s="542">
        <v>61742.183879220371</v>
      </c>
      <c r="Y970" s="542">
        <v>33915.633208779633</v>
      </c>
      <c r="Z970" s="542">
        <v>0</v>
      </c>
      <c r="AA970" s="543"/>
      <c r="AB970" s="543">
        <v>3.6803876895100363</v>
      </c>
      <c r="AC970" s="543">
        <v>3.2117076902253441</v>
      </c>
      <c r="AD970" s="543"/>
      <c r="AE970" s="542">
        <v>4443.1975000000002</v>
      </c>
      <c r="AF970" s="542">
        <v>14493.065000000001</v>
      </c>
      <c r="AG970" s="542">
        <v>0.53018236025753585</v>
      </c>
      <c r="AH970" s="544"/>
      <c r="AI970" s="544">
        <v>3.1502053292525005</v>
      </c>
      <c r="AJ970" s="544">
        <v>2.6815253299678083</v>
      </c>
      <c r="AK970" s="544"/>
      <c r="AL970" s="545">
        <v>0</v>
      </c>
      <c r="AM970" s="545">
        <v>1</v>
      </c>
      <c r="AN970" s="545">
        <v>1</v>
      </c>
      <c r="AO970" s="545">
        <v>0</v>
      </c>
    </row>
    <row r="971" spans="1:41" hidden="1">
      <c r="A971" s="533">
        <v>74</v>
      </c>
      <c r="B971" s="534" t="s">
        <v>20257</v>
      </c>
      <c r="C971" s="535">
        <v>0</v>
      </c>
      <c r="D971" s="536" t="s">
        <v>18711</v>
      </c>
      <c r="E971" s="534" t="s">
        <v>20257</v>
      </c>
      <c r="F971" s="537">
        <v>44658</v>
      </c>
      <c r="G971" s="534">
        <v>2022</v>
      </c>
      <c r="H971" s="538" t="s">
        <v>16444</v>
      </c>
      <c r="I971" s="534" t="s">
        <v>16445</v>
      </c>
      <c r="J971" s="534" t="s">
        <v>3</v>
      </c>
      <c r="K971" s="539">
        <v>124125.12</v>
      </c>
      <c r="L971" s="534">
        <v>1</v>
      </c>
      <c r="M971" s="540">
        <v>124125.12</v>
      </c>
      <c r="N971" s="534" t="s">
        <v>20155</v>
      </c>
      <c r="O971" s="534" t="s">
        <v>17949</v>
      </c>
      <c r="P971" s="884">
        <v>44669</v>
      </c>
      <c r="Q971" s="535">
        <v>44016</v>
      </c>
      <c r="R971" s="535">
        <v>0</v>
      </c>
      <c r="S971" s="535">
        <v>0</v>
      </c>
      <c r="T971" s="535">
        <v>0</v>
      </c>
      <c r="U971" s="535">
        <v>44016</v>
      </c>
      <c r="V971" s="541" t="s">
        <v>20155</v>
      </c>
      <c r="W971" s="542">
        <v>124125.12</v>
      </c>
      <c r="X971" s="542">
        <v>0</v>
      </c>
      <c r="Y971" s="542">
        <v>0</v>
      </c>
      <c r="Z971" s="542">
        <v>0</v>
      </c>
      <c r="AA971" s="543">
        <v>2.82</v>
      </c>
      <c r="AB971" s="543"/>
      <c r="AC971" s="543"/>
      <c r="AD971" s="543"/>
      <c r="AE971" s="542">
        <v>0</v>
      </c>
      <c r="AF971" s="542">
        <v>0</v>
      </c>
      <c r="AG971" s="542">
        <v>0</v>
      </c>
      <c r="AH971" s="544">
        <v>2.82</v>
      </c>
      <c r="AI971" s="544">
        <v>0</v>
      </c>
      <c r="AJ971" s="544">
        <v>0</v>
      </c>
      <c r="AK971" s="544">
        <v>0</v>
      </c>
      <c r="AL971" s="545" t="s">
        <v>20324</v>
      </c>
      <c r="AM971" s="545">
        <v>0</v>
      </c>
      <c r="AN971" s="545">
        <v>0</v>
      </c>
      <c r="AO971" s="545">
        <v>0</v>
      </c>
    </row>
    <row r="972" spans="1:41" hidden="1">
      <c r="A972" s="533">
        <v>75</v>
      </c>
      <c r="B972" s="534" t="s">
        <v>20259</v>
      </c>
      <c r="C972" s="535">
        <v>0</v>
      </c>
      <c r="D972" s="536" t="s">
        <v>18712</v>
      </c>
      <c r="E972" s="534" t="s">
        <v>20259</v>
      </c>
      <c r="F972" s="537">
        <v>44658</v>
      </c>
      <c r="G972" s="534">
        <v>2022</v>
      </c>
      <c r="H972" s="538" t="s">
        <v>16972</v>
      </c>
      <c r="I972" s="534" t="s">
        <v>16973</v>
      </c>
      <c r="J972" s="534" t="s">
        <v>3</v>
      </c>
      <c r="K972" s="539">
        <v>501200</v>
      </c>
      <c r="L972" s="534">
        <v>1</v>
      </c>
      <c r="M972" s="540">
        <v>501200</v>
      </c>
      <c r="N972" s="534" t="s">
        <v>20155</v>
      </c>
      <c r="O972" s="534" t="s">
        <v>17801</v>
      </c>
      <c r="P972" s="884">
        <v>44672</v>
      </c>
      <c r="Q972" s="535">
        <v>0</v>
      </c>
      <c r="R972" s="535">
        <v>0</v>
      </c>
      <c r="S972" s="535">
        <v>280000</v>
      </c>
      <c r="T972" s="535">
        <v>0</v>
      </c>
      <c r="U972" s="535">
        <v>280000</v>
      </c>
      <c r="V972" s="541" t="s">
        <v>20155</v>
      </c>
      <c r="W972" s="542">
        <v>0</v>
      </c>
      <c r="X972" s="542">
        <v>0</v>
      </c>
      <c r="Y972" s="542">
        <v>501200</v>
      </c>
      <c r="Z972" s="542">
        <v>0</v>
      </c>
      <c r="AA972" s="543"/>
      <c r="AB972" s="543"/>
      <c r="AC972" s="543">
        <v>1.79</v>
      </c>
      <c r="AD972" s="543"/>
      <c r="AE972" s="542">
        <v>0</v>
      </c>
      <c r="AF972" s="542">
        <v>0</v>
      </c>
      <c r="AG972" s="542">
        <v>0</v>
      </c>
      <c r="AH972" s="544">
        <v>0</v>
      </c>
      <c r="AI972" s="544">
        <v>0</v>
      </c>
      <c r="AJ972" s="544">
        <v>1.79</v>
      </c>
      <c r="AK972" s="544">
        <v>0</v>
      </c>
      <c r="AL972" s="545">
        <v>0</v>
      </c>
      <c r="AM972" s="545">
        <v>0</v>
      </c>
      <c r="AN972" s="545" t="s">
        <v>20323</v>
      </c>
      <c r="AO972" s="545">
        <v>0</v>
      </c>
    </row>
    <row r="973" spans="1:41" hidden="1">
      <c r="A973" s="533">
        <v>76</v>
      </c>
      <c r="B973" s="534" t="s">
        <v>20260</v>
      </c>
      <c r="C973" s="535">
        <v>0</v>
      </c>
      <c r="D973" s="536" t="s">
        <v>18713</v>
      </c>
      <c r="E973" s="534" t="s">
        <v>20260</v>
      </c>
      <c r="F973" s="537">
        <v>44658</v>
      </c>
      <c r="G973" s="534">
        <v>2022</v>
      </c>
      <c r="H973" s="538" t="s">
        <v>16972</v>
      </c>
      <c r="I973" s="534" t="s">
        <v>16973</v>
      </c>
      <c r="J973" s="534" t="s">
        <v>3</v>
      </c>
      <c r="K973" s="539">
        <v>250600</v>
      </c>
      <c r="L973" s="534">
        <v>1</v>
      </c>
      <c r="M973" s="540">
        <v>250600</v>
      </c>
      <c r="N973" s="534" t="s">
        <v>20155</v>
      </c>
      <c r="O973" s="534" t="s">
        <v>17801</v>
      </c>
      <c r="P973" s="884">
        <v>44674</v>
      </c>
      <c r="Q973" s="535">
        <v>0</v>
      </c>
      <c r="R973" s="535">
        <v>0</v>
      </c>
      <c r="S973" s="535">
        <v>140000</v>
      </c>
      <c r="T973" s="535">
        <v>0</v>
      </c>
      <c r="U973" s="535">
        <v>140000</v>
      </c>
      <c r="V973" s="541" t="s">
        <v>20155</v>
      </c>
      <c r="W973" s="542">
        <v>0</v>
      </c>
      <c r="X973" s="542">
        <v>0</v>
      </c>
      <c r="Y973" s="542">
        <v>250600</v>
      </c>
      <c r="Z973" s="542">
        <v>0</v>
      </c>
      <c r="AA973" s="543"/>
      <c r="AB973" s="543"/>
      <c r="AC973" s="543">
        <v>1.79</v>
      </c>
      <c r="AD973" s="543"/>
      <c r="AE973" s="542">
        <v>0</v>
      </c>
      <c r="AF973" s="542">
        <v>0</v>
      </c>
      <c r="AG973" s="542">
        <v>0</v>
      </c>
      <c r="AH973" s="544">
        <v>0</v>
      </c>
      <c r="AI973" s="544">
        <v>0</v>
      </c>
      <c r="AJ973" s="544">
        <v>1.79</v>
      </c>
      <c r="AK973" s="544">
        <v>0</v>
      </c>
      <c r="AL973" s="545">
        <v>0</v>
      </c>
      <c r="AM973" s="545">
        <v>0</v>
      </c>
      <c r="AN973" s="545" t="s">
        <v>20323</v>
      </c>
      <c r="AO973" s="545">
        <v>0</v>
      </c>
    </row>
    <row r="974" spans="1:41" hidden="1">
      <c r="A974" s="533">
        <v>77</v>
      </c>
      <c r="B974" s="534" t="s">
        <v>20261</v>
      </c>
      <c r="C974" s="535">
        <v>0</v>
      </c>
      <c r="D974" s="536" t="s">
        <v>18714</v>
      </c>
      <c r="E974" s="534" t="s">
        <v>20261</v>
      </c>
      <c r="F974" s="537">
        <v>44658</v>
      </c>
      <c r="G974" s="534">
        <v>2022</v>
      </c>
      <c r="H974" s="538" t="s">
        <v>17209</v>
      </c>
      <c r="I974" s="534" t="s">
        <v>17210</v>
      </c>
      <c r="J974" s="534" t="s">
        <v>16401</v>
      </c>
      <c r="K974" s="539">
        <v>45760.687919999997</v>
      </c>
      <c r="L974" s="534">
        <v>3.0001500000000001</v>
      </c>
      <c r="M974" s="540">
        <v>15252.8</v>
      </c>
      <c r="N974" s="534" t="s">
        <v>20155</v>
      </c>
      <c r="O974" s="534" t="s">
        <v>20168</v>
      </c>
      <c r="P974" s="884">
        <v>44669</v>
      </c>
      <c r="Q974" s="535">
        <v>12000</v>
      </c>
      <c r="R974" s="535">
        <v>0</v>
      </c>
      <c r="S974" s="535">
        <v>0</v>
      </c>
      <c r="T974" s="535">
        <v>0</v>
      </c>
      <c r="U974" s="535">
        <v>12000</v>
      </c>
      <c r="V974" s="541" t="e">
        <v>#N/A</v>
      </c>
      <c r="W974" s="542">
        <v>45760.687920000004</v>
      </c>
      <c r="X974" s="542">
        <v>0</v>
      </c>
      <c r="Y974" s="542">
        <v>0</v>
      </c>
      <c r="Z974" s="542">
        <v>0</v>
      </c>
      <c r="AA974" s="543">
        <v>3.8133906600000005</v>
      </c>
      <c r="AB974" s="543"/>
      <c r="AC974" s="543"/>
      <c r="AD974" s="543"/>
      <c r="AE974" s="542">
        <v>788.67000000000007</v>
      </c>
      <c r="AF974" s="542">
        <v>5236.8500000000004</v>
      </c>
      <c r="AG974" s="542">
        <v>0.4364041666666667</v>
      </c>
      <c r="AH974" s="544">
        <v>3.3769864933333338</v>
      </c>
      <c r="AI974" s="544"/>
      <c r="AJ974" s="544"/>
      <c r="AK974" s="544"/>
      <c r="AL974" s="545">
        <v>1</v>
      </c>
      <c r="AM974" s="545">
        <v>0</v>
      </c>
      <c r="AN974" s="545">
        <v>0</v>
      </c>
      <c r="AO974" s="545">
        <v>0</v>
      </c>
    </row>
    <row r="975" spans="1:41" hidden="1">
      <c r="A975" s="533">
        <v>78</v>
      </c>
      <c r="B975" s="534" t="s">
        <v>20262</v>
      </c>
      <c r="C975" s="535">
        <v>0</v>
      </c>
      <c r="D975" s="536" t="s">
        <v>18715</v>
      </c>
      <c r="E975" s="534" t="s">
        <v>20262</v>
      </c>
      <c r="F975" s="537">
        <v>44658</v>
      </c>
      <c r="G975" s="534">
        <v>2022</v>
      </c>
      <c r="H975" s="538" t="s">
        <v>17017</v>
      </c>
      <c r="I975" s="534" t="s">
        <v>17018</v>
      </c>
      <c r="J975" s="534" t="s">
        <v>3</v>
      </c>
      <c r="K975" s="539">
        <v>138170</v>
      </c>
      <c r="L975" s="534">
        <v>1</v>
      </c>
      <c r="M975" s="540">
        <v>138170</v>
      </c>
      <c r="N975" s="534" t="s">
        <v>20155</v>
      </c>
      <c r="O975" s="534" t="s">
        <v>18283</v>
      </c>
      <c r="P975" s="884">
        <v>44671</v>
      </c>
      <c r="Q975" s="535">
        <v>0</v>
      </c>
      <c r="R975" s="535">
        <v>41000</v>
      </c>
      <c r="S975" s="535">
        <v>0</v>
      </c>
      <c r="T975" s="535">
        <v>0</v>
      </c>
      <c r="U975" s="535">
        <v>41000</v>
      </c>
      <c r="V975" s="541" t="e">
        <v>#N/A</v>
      </c>
      <c r="W975" s="542">
        <v>0</v>
      </c>
      <c r="X975" s="542">
        <v>138170</v>
      </c>
      <c r="Y975" s="542">
        <v>0</v>
      </c>
      <c r="Z975" s="542">
        <v>0</v>
      </c>
      <c r="AA975" s="543"/>
      <c r="AB975" s="543">
        <v>3.37</v>
      </c>
      <c r="AC975" s="543"/>
      <c r="AD975" s="543"/>
      <c r="AE975" s="542">
        <v>0</v>
      </c>
      <c r="AF975" s="542">
        <v>0</v>
      </c>
      <c r="AG975" s="542">
        <v>0</v>
      </c>
      <c r="AH975" s="544">
        <v>0</v>
      </c>
      <c r="AI975" s="544">
        <v>3.37</v>
      </c>
      <c r="AJ975" s="544">
        <v>0</v>
      </c>
      <c r="AK975" s="544">
        <v>0</v>
      </c>
      <c r="AL975" s="545">
        <v>0</v>
      </c>
      <c r="AM975" s="545">
        <v>1</v>
      </c>
      <c r="AN975" s="545">
        <v>0</v>
      </c>
      <c r="AO975" s="545">
        <v>0</v>
      </c>
    </row>
    <row r="976" spans="1:41" hidden="1">
      <c r="A976" s="533">
        <v>79</v>
      </c>
      <c r="B976" s="534" t="s">
        <v>20263</v>
      </c>
      <c r="C976" s="535">
        <v>0</v>
      </c>
      <c r="D976" s="536" t="s">
        <v>18716</v>
      </c>
      <c r="E976" s="534" t="s">
        <v>20263</v>
      </c>
      <c r="F976" s="537">
        <v>44658</v>
      </c>
      <c r="G976" s="534">
        <v>2022</v>
      </c>
      <c r="H976" s="538" t="s">
        <v>17017</v>
      </c>
      <c r="I976" s="534" t="s">
        <v>17018</v>
      </c>
      <c r="J976" s="534" t="s">
        <v>3</v>
      </c>
      <c r="K976" s="539">
        <v>65300</v>
      </c>
      <c r="L976" s="534">
        <v>1</v>
      </c>
      <c r="M976" s="540">
        <v>65300</v>
      </c>
      <c r="N976" s="534" t="s">
        <v>20155</v>
      </c>
      <c r="O976" s="534" t="s">
        <v>18064</v>
      </c>
      <c r="P976" s="884">
        <v>44690</v>
      </c>
      <c r="Q976" s="535">
        <v>0</v>
      </c>
      <c r="R976" s="535">
        <v>20000</v>
      </c>
      <c r="S976" s="535">
        <v>0</v>
      </c>
      <c r="T976" s="535">
        <v>0</v>
      </c>
      <c r="U976" s="535">
        <v>20000</v>
      </c>
      <c r="V976" s="541" t="s">
        <v>20231</v>
      </c>
      <c r="W976" s="542">
        <v>0</v>
      </c>
      <c r="X976" s="542">
        <v>65300</v>
      </c>
      <c r="Y976" s="542">
        <v>0</v>
      </c>
      <c r="Z976" s="542">
        <v>0</v>
      </c>
      <c r="AA976" s="543"/>
      <c r="AB976" s="543">
        <v>3.2650000000000001</v>
      </c>
      <c r="AC976" s="543"/>
      <c r="AD976" s="543"/>
      <c r="AE976" s="542">
        <v>0</v>
      </c>
      <c r="AF976" s="542">
        <v>0</v>
      </c>
      <c r="AG976" s="542">
        <v>0</v>
      </c>
      <c r="AH976" s="544">
        <v>0</v>
      </c>
      <c r="AI976" s="544">
        <v>3.2650000000000001</v>
      </c>
      <c r="AJ976" s="544">
        <v>0</v>
      </c>
      <c r="AK976" s="544">
        <v>0</v>
      </c>
      <c r="AL976" s="545">
        <v>0</v>
      </c>
      <c r="AM976" s="545">
        <v>1</v>
      </c>
      <c r="AN976" s="545">
        <v>0</v>
      </c>
      <c r="AO976" s="545">
        <v>0</v>
      </c>
    </row>
    <row r="977" spans="1:41" hidden="1">
      <c r="A977" s="533">
        <v>80</v>
      </c>
      <c r="B977" s="534" t="s">
        <v>20264</v>
      </c>
      <c r="C977" s="535">
        <v>0</v>
      </c>
      <c r="D977" s="536" t="s">
        <v>18717</v>
      </c>
      <c r="E977" s="534" t="s">
        <v>20264</v>
      </c>
      <c r="F977" s="537">
        <v>44658</v>
      </c>
      <c r="G977" s="534">
        <v>2022</v>
      </c>
      <c r="H977" s="538" t="s">
        <v>16444</v>
      </c>
      <c r="I977" s="534" t="s">
        <v>16445</v>
      </c>
      <c r="J977" s="534" t="s">
        <v>3</v>
      </c>
      <c r="K977" s="539">
        <v>97872.5</v>
      </c>
      <c r="L977" s="534">
        <v>1</v>
      </c>
      <c r="M977" s="540">
        <v>97872.5</v>
      </c>
      <c r="N977" s="534" t="s">
        <v>20155</v>
      </c>
      <c r="O977" s="534" t="s">
        <v>17693</v>
      </c>
      <c r="P977" s="884">
        <v>44665</v>
      </c>
      <c r="Q977" s="535">
        <v>42350</v>
      </c>
      <c r="R977" s="535">
        <v>0</v>
      </c>
      <c r="S977" s="535">
        <v>0</v>
      </c>
      <c r="T977" s="535">
        <v>0</v>
      </c>
      <c r="U977" s="535">
        <v>42350</v>
      </c>
      <c r="V977" s="541" t="s">
        <v>20155</v>
      </c>
      <c r="W977" s="542">
        <v>97872.5</v>
      </c>
      <c r="X977" s="542">
        <v>0</v>
      </c>
      <c r="Y977" s="542">
        <v>0</v>
      </c>
      <c r="Z977" s="542">
        <v>0</v>
      </c>
      <c r="AA977" s="543">
        <v>2.3110389610389612</v>
      </c>
      <c r="AB977" s="543"/>
      <c r="AC977" s="543"/>
      <c r="AD977" s="543"/>
      <c r="AE977" s="542">
        <v>0</v>
      </c>
      <c r="AF977" s="542">
        <v>0</v>
      </c>
      <c r="AG977" s="542">
        <v>0</v>
      </c>
      <c r="AH977" s="544">
        <v>2.3110389610389612</v>
      </c>
      <c r="AI977" s="544">
        <v>0</v>
      </c>
      <c r="AJ977" s="544">
        <v>0</v>
      </c>
      <c r="AK977" s="544">
        <v>0</v>
      </c>
      <c r="AL977" s="545" t="s">
        <v>20324</v>
      </c>
      <c r="AM977" s="545">
        <v>0</v>
      </c>
      <c r="AN977" s="545">
        <v>0</v>
      </c>
      <c r="AO977" s="545">
        <v>0</v>
      </c>
    </row>
    <row r="978" spans="1:41" hidden="1">
      <c r="A978" s="533">
        <v>81</v>
      </c>
      <c r="B978" s="534" t="s">
        <v>20265</v>
      </c>
      <c r="C978" s="535">
        <v>0</v>
      </c>
      <c r="D978" s="536" t="s">
        <v>18718</v>
      </c>
      <c r="E978" s="534" t="s">
        <v>20265</v>
      </c>
      <c r="F978" s="537">
        <v>44660</v>
      </c>
      <c r="G978" s="534">
        <v>2022</v>
      </c>
      <c r="H978" s="559" t="s">
        <v>17321</v>
      </c>
      <c r="I978" s="534" t="s">
        <v>17322</v>
      </c>
      <c r="J978" s="534" t="s">
        <v>16401</v>
      </c>
      <c r="K978" s="539">
        <v>66456.520499999999</v>
      </c>
      <c r="L978" s="534">
        <v>2.9814500000000002</v>
      </c>
      <c r="M978" s="540">
        <v>22290</v>
      </c>
      <c r="N978" s="534" t="s">
        <v>20155</v>
      </c>
      <c r="O978" s="534" t="s">
        <v>17939</v>
      </c>
      <c r="P978" s="884">
        <v>44667</v>
      </c>
      <c r="Q978" s="535">
        <v>0</v>
      </c>
      <c r="R978" s="535">
        <v>0</v>
      </c>
      <c r="S978" s="535">
        <v>0</v>
      </c>
      <c r="T978" s="535">
        <v>12750</v>
      </c>
      <c r="U978" s="535">
        <v>12750</v>
      </c>
      <c r="V978" s="541" t="s">
        <v>20155</v>
      </c>
      <c r="W978" s="542">
        <v>0</v>
      </c>
      <c r="X978" s="542">
        <v>0</v>
      </c>
      <c r="Y978" s="542">
        <v>0</v>
      </c>
      <c r="Z978" s="542">
        <v>66456.520499999984</v>
      </c>
      <c r="AA978" s="543"/>
      <c r="AB978" s="543"/>
      <c r="AC978" s="543"/>
      <c r="AD978" s="543">
        <v>5.2122761176470576</v>
      </c>
      <c r="AE978" s="542">
        <v>0</v>
      </c>
      <c r="AF978" s="542">
        <v>0</v>
      </c>
      <c r="AG978" s="542">
        <v>0</v>
      </c>
      <c r="AH978" s="544">
        <v>0</v>
      </c>
      <c r="AI978" s="544">
        <v>0</v>
      </c>
      <c r="AJ978" s="544">
        <v>0</v>
      </c>
      <c r="AK978" s="544">
        <v>5.2122761176470576</v>
      </c>
      <c r="AL978" s="545">
        <v>0</v>
      </c>
      <c r="AM978" s="545">
        <v>0</v>
      </c>
      <c r="AN978" s="545">
        <v>0</v>
      </c>
      <c r="AO978" s="545">
        <v>1</v>
      </c>
    </row>
    <row r="979" spans="1:41" hidden="1">
      <c r="A979" s="533">
        <v>82</v>
      </c>
      <c r="B979" s="534" t="s">
        <v>20267</v>
      </c>
      <c r="C979" s="535">
        <v>0</v>
      </c>
      <c r="D979" s="536" t="s">
        <v>18720</v>
      </c>
      <c r="E979" s="534" t="s">
        <v>20267</v>
      </c>
      <c r="F979" s="537">
        <v>44663</v>
      </c>
      <c r="G979" s="534">
        <v>2022</v>
      </c>
      <c r="H979" s="538" t="s">
        <v>16838</v>
      </c>
      <c r="I979" s="534" t="s">
        <v>16839</v>
      </c>
      <c r="J979" s="534" t="s">
        <v>3</v>
      </c>
      <c r="K979" s="539">
        <v>217280</v>
      </c>
      <c r="L979" s="534">
        <v>1</v>
      </c>
      <c r="M979" s="540">
        <v>217280</v>
      </c>
      <c r="N979" s="534" t="s">
        <v>20155</v>
      </c>
      <c r="O979" s="534" t="s">
        <v>17771</v>
      </c>
      <c r="P979" s="884">
        <v>44672</v>
      </c>
      <c r="Q979" s="535">
        <v>0</v>
      </c>
      <c r="R979" s="535">
        <v>112000</v>
      </c>
      <c r="S979" s="535">
        <v>0</v>
      </c>
      <c r="T979" s="535">
        <v>0</v>
      </c>
      <c r="U979" s="535">
        <v>112000</v>
      </c>
      <c r="V979" s="541" t="s">
        <v>20155</v>
      </c>
      <c r="W979" s="542">
        <v>0</v>
      </c>
      <c r="X979" s="542">
        <v>0</v>
      </c>
      <c r="Y979" s="542">
        <v>217280</v>
      </c>
      <c r="Z979" s="542">
        <v>0</v>
      </c>
      <c r="AA979" s="543"/>
      <c r="AB979" s="543">
        <v>0</v>
      </c>
      <c r="AC979" s="543"/>
      <c r="AD979" s="543"/>
      <c r="AE979" s="542">
        <v>0</v>
      </c>
      <c r="AF979" s="542">
        <v>0</v>
      </c>
      <c r="AG979" s="542">
        <v>0</v>
      </c>
      <c r="AH979" s="544">
        <v>0</v>
      </c>
      <c r="AI979" s="544">
        <v>0</v>
      </c>
      <c r="AJ979" s="544">
        <v>0</v>
      </c>
      <c r="AK979" s="544">
        <v>0</v>
      </c>
      <c r="AL979" s="545">
        <v>0</v>
      </c>
      <c r="AM979" s="545" t="s">
        <v>20323</v>
      </c>
      <c r="AN979" s="545">
        <v>0</v>
      </c>
      <c r="AO979" s="545">
        <v>0</v>
      </c>
    </row>
    <row r="980" spans="1:41" hidden="1">
      <c r="A980" s="533">
        <v>83</v>
      </c>
      <c r="B980" s="534" t="s">
        <v>20268</v>
      </c>
      <c r="C980" s="535">
        <v>0</v>
      </c>
      <c r="D980" s="536" t="s">
        <v>18721</v>
      </c>
      <c r="E980" s="534" t="s">
        <v>20268</v>
      </c>
      <c r="F980" s="537">
        <v>44665</v>
      </c>
      <c r="G980" s="534">
        <v>2022</v>
      </c>
      <c r="H980" s="538" t="s">
        <v>17323</v>
      </c>
      <c r="I980" s="534" t="s">
        <v>17324</v>
      </c>
      <c r="J980" s="534" t="s">
        <v>16401</v>
      </c>
      <c r="K980" s="539">
        <v>74940.508799999996</v>
      </c>
      <c r="L980" s="534">
        <v>3.0568</v>
      </c>
      <c r="M980" s="540">
        <v>24516</v>
      </c>
      <c r="N980" s="534" t="s">
        <v>20155</v>
      </c>
      <c r="O980" s="534" t="s">
        <v>20319</v>
      </c>
      <c r="P980" s="884">
        <v>44688</v>
      </c>
      <c r="Q980" s="535">
        <v>21600</v>
      </c>
      <c r="R980" s="535">
        <v>0</v>
      </c>
      <c r="S980" s="535">
        <v>0</v>
      </c>
      <c r="T980" s="535">
        <v>0</v>
      </c>
      <c r="U980" s="535">
        <v>21600</v>
      </c>
      <c r="V980" s="541" t="e">
        <v>#N/A</v>
      </c>
      <c r="W980" s="542">
        <v>74940.508799999996</v>
      </c>
      <c r="X980" s="542">
        <v>0</v>
      </c>
      <c r="Y980" s="542">
        <v>0</v>
      </c>
      <c r="Z980" s="542">
        <v>0</v>
      </c>
      <c r="AA980" s="543">
        <v>3.469468</v>
      </c>
      <c r="AB980" s="543"/>
      <c r="AC980" s="543"/>
      <c r="AD980" s="543"/>
      <c r="AE980" s="542">
        <v>0</v>
      </c>
      <c r="AF980" s="542">
        <v>1300.8019999999999</v>
      </c>
      <c r="AG980" s="542">
        <v>6.0222314814814812E-2</v>
      </c>
      <c r="AH980" s="544">
        <v>3.4092456851851853</v>
      </c>
      <c r="AI980" s="544"/>
      <c r="AJ980" s="544"/>
      <c r="AK980" s="544"/>
      <c r="AL980" s="545" t="s">
        <v>20324</v>
      </c>
      <c r="AM980" s="545">
        <v>0</v>
      </c>
      <c r="AN980" s="545">
        <v>0</v>
      </c>
      <c r="AO980" s="545">
        <v>0</v>
      </c>
    </row>
    <row r="981" spans="1:41" hidden="1">
      <c r="A981" s="533">
        <v>84</v>
      </c>
      <c r="B981" s="534" t="s">
        <v>20269</v>
      </c>
      <c r="C981" s="535">
        <v>0</v>
      </c>
      <c r="D981" s="536" t="s">
        <v>18723</v>
      </c>
      <c r="E981" s="534" t="s">
        <v>20269</v>
      </c>
      <c r="F981" s="537">
        <v>44669</v>
      </c>
      <c r="G981" s="534">
        <v>2022</v>
      </c>
      <c r="H981" s="538" t="s">
        <v>16779</v>
      </c>
      <c r="I981" s="534" t="s">
        <v>16780</v>
      </c>
      <c r="J981" s="534" t="s">
        <v>16482</v>
      </c>
      <c r="K981" s="539">
        <v>66393.605015999987</v>
      </c>
      <c r="L981" s="534">
        <v>3.2485499999999998</v>
      </c>
      <c r="M981" s="540">
        <v>20437.919999999998</v>
      </c>
      <c r="N981" s="534" t="s">
        <v>20155</v>
      </c>
      <c r="O981" s="534" t="s">
        <v>16394</v>
      </c>
      <c r="P981" s="884">
        <v>44676</v>
      </c>
      <c r="Q981" s="535">
        <v>0</v>
      </c>
      <c r="R981" s="535">
        <v>17424</v>
      </c>
      <c r="S981" s="535">
        <v>1500</v>
      </c>
      <c r="T981" s="535">
        <v>0</v>
      </c>
      <c r="U981" s="535">
        <v>18924</v>
      </c>
      <c r="V981" s="541" t="e">
        <v>#N/A</v>
      </c>
      <c r="W981" s="542">
        <v>0</v>
      </c>
      <c r="X981" s="542">
        <v>61130.954016000011</v>
      </c>
      <c r="Y981" s="542">
        <v>5262.6509999999998</v>
      </c>
      <c r="Z981" s="542">
        <v>0</v>
      </c>
      <c r="AA981" s="543"/>
      <c r="AB981" s="543">
        <v>3.5084340000000007</v>
      </c>
      <c r="AC981" s="543">
        <v>3.5084339999999998</v>
      </c>
      <c r="AD981" s="543"/>
      <c r="AE981" s="542">
        <v>0</v>
      </c>
      <c r="AF981" s="542">
        <v>0</v>
      </c>
      <c r="AG981" s="542">
        <v>0</v>
      </c>
      <c r="AH981" s="544">
        <v>0</v>
      </c>
      <c r="AI981" s="544">
        <v>3.5084340000000007</v>
      </c>
      <c r="AJ981" s="544">
        <v>3.5084339999999998</v>
      </c>
      <c r="AK981" s="544">
        <v>0</v>
      </c>
      <c r="AL981" s="545">
        <v>0</v>
      </c>
      <c r="AM981" s="545">
        <v>1</v>
      </c>
      <c r="AN981" s="545">
        <v>0</v>
      </c>
      <c r="AO981" s="545">
        <v>0</v>
      </c>
    </row>
    <row r="982" spans="1:41" hidden="1">
      <c r="A982" s="533">
        <v>85</v>
      </c>
      <c r="B982" s="534" t="s">
        <v>20270</v>
      </c>
      <c r="C982" s="535">
        <v>0</v>
      </c>
      <c r="D982" s="536" t="s">
        <v>18724</v>
      </c>
      <c r="E982" s="534" t="s">
        <v>20270</v>
      </c>
      <c r="F982" s="537">
        <v>44669</v>
      </c>
      <c r="G982" s="534">
        <v>2022</v>
      </c>
      <c r="H982" s="538" t="s">
        <v>16904</v>
      </c>
      <c r="I982" s="534" t="s">
        <v>16905</v>
      </c>
      <c r="J982" s="534" t="s">
        <v>16482</v>
      </c>
      <c r="K982" s="539">
        <v>95347.671281999996</v>
      </c>
      <c r="L982" s="534">
        <v>3.2485499999999998</v>
      </c>
      <c r="M982" s="540">
        <v>29350.84</v>
      </c>
      <c r="N982" s="534" t="s">
        <v>20155</v>
      </c>
      <c r="O982" s="534" t="s">
        <v>20160</v>
      </c>
      <c r="P982" s="884">
        <v>44676</v>
      </c>
      <c r="Q982" s="535">
        <v>0</v>
      </c>
      <c r="R982" s="535">
        <v>18684</v>
      </c>
      <c r="S982" s="535">
        <v>8652</v>
      </c>
      <c r="T982" s="535">
        <v>0</v>
      </c>
      <c r="U982" s="535">
        <v>27336</v>
      </c>
      <c r="V982" s="541" t="s">
        <v>20231</v>
      </c>
      <c r="W982" s="542">
        <v>0</v>
      </c>
      <c r="X982" s="542">
        <v>65269.505637323971</v>
      </c>
      <c r="Y982" s="542">
        <v>30078.165644676035</v>
      </c>
      <c r="Z982" s="542">
        <v>0</v>
      </c>
      <c r="AA982" s="543"/>
      <c r="AB982" s="543">
        <v>3.4933368463564531</v>
      </c>
      <c r="AC982" s="543">
        <v>3.4764407818626948</v>
      </c>
      <c r="AD982" s="543"/>
      <c r="AE982" s="542">
        <v>4865.6299999999992</v>
      </c>
      <c r="AF982" s="542">
        <v>15794.94</v>
      </c>
      <c r="AG982" s="542">
        <v>0.57780728709394202</v>
      </c>
      <c r="AH982" s="544"/>
      <c r="AI982" s="544">
        <v>2.9155295592625112</v>
      </c>
      <c r="AJ982" s="544">
        <v>2.8986334947687529</v>
      </c>
      <c r="AK982" s="544"/>
      <c r="AL982" s="545">
        <v>0</v>
      </c>
      <c r="AM982" s="545">
        <v>1</v>
      </c>
      <c r="AN982" s="545">
        <v>0</v>
      </c>
      <c r="AO982" s="545">
        <v>0</v>
      </c>
    </row>
    <row r="983" spans="1:41" hidden="1">
      <c r="A983" s="533">
        <v>86</v>
      </c>
      <c r="B983" s="534" t="s">
        <v>20271</v>
      </c>
      <c r="C983" s="535">
        <v>0</v>
      </c>
      <c r="D983" s="536" t="s">
        <v>18725</v>
      </c>
      <c r="E983" s="534" t="s">
        <v>20271</v>
      </c>
      <c r="F983" s="537">
        <v>44669</v>
      </c>
      <c r="G983" s="534">
        <v>2022</v>
      </c>
      <c r="H983" s="538" t="s">
        <v>16904</v>
      </c>
      <c r="I983" s="534" t="s">
        <v>16905</v>
      </c>
      <c r="J983" s="534" t="s">
        <v>16482</v>
      </c>
      <c r="K983" s="539">
        <v>95318.43433199999</v>
      </c>
      <c r="L983" s="534">
        <v>3.2485499999999998</v>
      </c>
      <c r="M983" s="540">
        <v>29341.84</v>
      </c>
      <c r="N983" s="534" t="s">
        <v>20155</v>
      </c>
      <c r="O983" s="534" t="s">
        <v>20160</v>
      </c>
      <c r="P983" s="884">
        <v>44676</v>
      </c>
      <c r="Q983" s="535">
        <v>0</v>
      </c>
      <c r="R983" s="535">
        <v>19368</v>
      </c>
      <c r="S983" s="535">
        <v>7968</v>
      </c>
      <c r="T983" s="535">
        <v>0</v>
      </c>
      <c r="U983" s="535">
        <v>27336</v>
      </c>
      <c r="V983" s="541" t="e">
        <v>#N/A</v>
      </c>
      <c r="W983" s="542">
        <v>0</v>
      </c>
      <c r="X983" s="542">
        <v>67658.9480402318</v>
      </c>
      <c r="Y983" s="542">
        <v>27659.486291768219</v>
      </c>
      <c r="Z983" s="542">
        <v>0</v>
      </c>
      <c r="AA983" s="543"/>
      <c r="AB983" s="543">
        <v>3.493336846356454</v>
      </c>
      <c r="AC983" s="543">
        <v>3.4713210707540436</v>
      </c>
      <c r="AD983" s="543"/>
      <c r="AE983" s="542">
        <v>4865.6299999999992</v>
      </c>
      <c r="AF983" s="542">
        <v>15794.94</v>
      </c>
      <c r="AG983" s="542">
        <v>0.57780728709394202</v>
      </c>
      <c r="AH983" s="544"/>
      <c r="AI983" s="544">
        <v>2.9155295592625121</v>
      </c>
      <c r="AJ983" s="544">
        <v>2.8935137836601017</v>
      </c>
      <c r="AK983" s="544"/>
      <c r="AL983" s="545">
        <v>0</v>
      </c>
      <c r="AM983" s="545">
        <v>1</v>
      </c>
      <c r="AN983" s="545">
        <v>0</v>
      </c>
      <c r="AO983" s="545">
        <v>0</v>
      </c>
    </row>
    <row r="984" spans="1:41" hidden="1">
      <c r="A984" s="533">
        <v>87</v>
      </c>
      <c r="B984" s="534" t="s">
        <v>20272</v>
      </c>
      <c r="C984" s="535">
        <v>0</v>
      </c>
      <c r="D984" s="536" t="s">
        <v>18726</v>
      </c>
      <c r="E984" s="534" t="s">
        <v>20272</v>
      </c>
      <c r="F984" s="537">
        <v>44669</v>
      </c>
      <c r="G984" s="534">
        <v>2022</v>
      </c>
      <c r="H984" s="538" t="s">
        <v>16904</v>
      </c>
      <c r="I984" s="534" t="s">
        <v>16905</v>
      </c>
      <c r="J984" s="534" t="s">
        <v>16482</v>
      </c>
      <c r="K984" s="539">
        <v>95298.943031999996</v>
      </c>
      <c r="L984" s="534">
        <v>3.2485499999999998</v>
      </c>
      <c r="M984" s="540">
        <v>29335.84</v>
      </c>
      <c r="N984" s="534" t="s">
        <v>20155</v>
      </c>
      <c r="O984" s="534" t="s">
        <v>20160</v>
      </c>
      <c r="P984" s="884">
        <v>44676</v>
      </c>
      <c r="Q984" s="535">
        <v>0</v>
      </c>
      <c r="R984" s="535">
        <v>16776</v>
      </c>
      <c r="S984" s="535">
        <v>10560</v>
      </c>
      <c r="T984" s="535">
        <v>0</v>
      </c>
      <c r="U984" s="535">
        <v>27336</v>
      </c>
      <c r="V984" s="541" t="e">
        <v>#N/A</v>
      </c>
      <c r="W984" s="542">
        <v>0</v>
      </c>
      <c r="X984" s="542">
        <v>58604.218934475859</v>
      </c>
      <c r="Y984" s="542">
        <v>36694.724097524144</v>
      </c>
      <c r="Z984" s="542">
        <v>0</v>
      </c>
      <c r="AA984" s="543"/>
      <c r="AB984" s="543">
        <v>3.4933368463564531</v>
      </c>
      <c r="AC984" s="543">
        <v>3.4748791759019078</v>
      </c>
      <c r="AD984" s="543"/>
      <c r="AE984" s="542">
        <v>4865.6299999999992</v>
      </c>
      <c r="AF984" s="542">
        <v>15766.4</v>
      </c>
      <c r="AG984" s="542">
        <v>0.57676324261047707</v>
      </c>
      <c r="AH984" s="544"/>
      <c r="AI984" s="544">
        <v>2.916573603745976</v>
      </c>
      <c r="AJ984" s="544">
        <v>2.8981159332914306</v>
      </c>
      <c r="AK984" s="544"/>
      <c r="AL984" s="545">
        <v>0</v>
      </c>
      <c r="AM984" s="545">
        <v>1</v>
      </c>
      <c r="AN984" s="545">
        <v>0</v>
      </c>
      <c r="AO984" s="545">
        <v>0</v>
      </c>
    </row>
    <row r="985" spans="1:41" hidden="1">
      <c r="A985" s="533">
        <v>88</v>
      </c>
      <c r="B985" s="534" t="s">
        <v>20273</v>
      </c>
      <c r="C985" s="535">
        <v>0</v>
      </c>
      <c r="D985" s="536" t="s">
        <v>18727</v>
      </c>
      <c r="E985" s="534" t="s">
        <v>20273</v>
      </c>
      <c r="F985" s="537">
        <v>44669</v>
      </c>
      <c r="G985" s="534">
        <v>2022</v>
      </c>
      <c r="H985" s="538" t="s">
        <v>17017</v>
      </c>
      <c r="I985" s="534" t="s">
        <v>17018</v>
      </c>
      <c r="J985" s="534" t="s">
        <v>3</v>
      </c>
      <c r="K985" s="539">
        <v>60000</v>
      </c>
      <c r="L985" s="534">
        <v>1</v>
      </c>
      <c r="M985" s="540">
        <v>60000</v>
      </c>
      <c r="N985" s="534" t="s">
        <v>20155</v>
      </c>
      <c r="O985" s="534" t="s">
        <v>20307</v>
      </c>
      <c r="P985" s="884">
        <v>44677</v>
      </c>
      <c r="Q985" s="535">
        <v>0</v>
      </c>
      <c r="R985" s="535">
        <v>20000</v>
      </c>
      <c r="S985" s="535">
        <v>0</v>
      </c>
      <c r="T985" s="535">
        <v>0</v>
      </c>
      <c r="U985" s="535">
        <v>20000</v>
      </c>
      <c r="V985" s="541" t="e">
        <v>#N/A</v>
      </c>
      <c r="W985" s="542">
        <v>0</v>
      </c>
      <c r="X985" s="542">
        <v>60000</v>
      </c>
      <c r="Y985" s="542">
        <v>0</v>
      </c>
      <c r="Z985" s="542">
        <v>0</v>
      </c>
      <c r="AA985" s="543"/>
      <c r="AB985" s="543">
        <v>3</v>
      </c>
      <c r="AC985" s="543"/>
      <c r="AD985" s="543"/>
      <c r="AE985" s="542">
        <v>0</v>
      </c>
      <c r="AF985" s="542">
        <v>0</v>
      </c>
      <c r="AG985" s="542">
        <v>0</v>
      </c>
      <c r="AH985" s="544">
        <v>0</v>
      </c>
      <c r="AI985" s="544">
        <v>3</v>
      </c>
      <c r="AJ985" s="544">
        <v>0</v>
      </c>
      <c r="AK985" s="544">
        <v>0</v>
      </c>
      <c r="AL985" s="545">
        <v>0</v>
      </c>
      <c r="AM985" s="545" t="s">
        <v>20328</v>
      </c>
      <c r="AN985" s="545">
        <v>0</v>
      </c>
      <c r="AO985" s="545">
        <v>0</v>
      </c>
    </row>
    <row r="986" spans="1:41" hidden="1">
      <c r="A986" s="533">
        <v>89</v>
      </c>
      <c r="B986" s="534" t="s">
        <v>20274</v>
      </c>
      <c r="C986" s="535">
        <v>0</v>
      </c>
      <c r="D986" s="536" t="s">
        <v>18728</v>
      </c>
      <c r="E986" s="534" t="s">
        <v>20274</v>
      </c>
      <c r="F986" s="537">
        <v>44669</v>
      </c>
      <c r="G986" s="534">
        <v>2022</v>
      </c>
      <c r="H986" s="538" t="s">
        <v>17017</v>
      </c>
      <c r="I986" s="534" t="s">
        <v>17018</v>
      </c>
      <c r="J986" s="534" t="s">
        <v>3</v>
      </c>
      <c r="K986" s="539">
        <v>130600</v>
      </c>
      <c r="L986" s="534">
        <v>1</v>
      </c>
      <c r="M986" s="540">
        <v>130600</v>
      </c>
      <c r="N986" s="534" t="s">
        <v>20155</v>
      </c>
      <c r="O986" s="534" t="s">
        <v>20307</v>
      </c>
      <c r="P986" s="884">
        <v>44676</v>
      </c>
      <c r="Q986" s="535">
        <v>40000</v>
      </c>
      <c r="R986" s="535">
        <v>0</v>
      </c>
      <c r="S986" s="535">
        <v>0</v>
      </c>
      <c r="T986" s="535">
        <v>0</v>
      </c>
      <c r="U986" s="535">
        <v>40000</v>
      </c>
      <c r="V986" s="541" t="e">
        <v>#N/A</v>
      </c>
      <c r="W986" s="542">
        <v>130600</v>
      </c>
      <c r="X986" s="542">
        <v>0</v>
      </c>
      <c r="Y986" s="542">
        <v>0</v>
      </c>
      <c r="Z986" s="542">
        <v>0</v>
      </c>
      <c r="AA986" s="543">
        <v>3.2650000000000001</v>
      </c>
      <c r="AB986" s="543"/>
      <c r="AC986" s="543"/>
      <c r="AD986" s="543"/>
      <c r="AE986" s="542">
        <v>0</v>
      </c>
      <c r="AF986" s="542">
        <v>0</v>
      </c>
      <c r="AG986" s="542">
        <v>0</v>
      </c>
      <c r="AH986" s="544">
        <v>3.2650000000000001</v>
      </c>
      <c r="AI986" s="544">
        <v>0</v>
      </c>
      <c r="AJ986" s="544">
        <v>0</v>
      </c>
      <c r="AK986" s="544">
        <v>0</v>
      </c>
      <c r="AL986" s="545">
        <v>1</v>
      </c>
      <c r="AM986" s="545">
        <v>0</v>
      </c>
      <c r="AN986" s="545">
        <v>0</v>
      </c>
      <c r="AO986" s="545">
        <v>0</v>
      </c>
    </row>
    <row r="987" spans="1:41" hidden="1">
      <c r="A987" s="533">
        <v>90</v>
      </c>
      <c r="B987" s="534" t="s">
        <v>20275</v>
      </c>
      <c r="C987" s="535">
        <v>0</v>
      </c>
      <c r="D987" s="536" t="s">
        <v>18729</v>
      </c>
      <c r="E987" s="534" t="s">
        <v>20275</v>
      </c>
      <c r="F987" s="537">
        <v>44669</v>
      </c>
      <c r="G987" s="534">
        <v>2022</v>
      </c>
      <c r="H987" s="538" t="s">
        <v>16384</v>
      </c>
      <c r="I987" s="534" t="s">
        <v>16385</v>
      </c>
      <c r="J987" s="534" t="s">
        <v>3</v>
      </c>
      <c r="K987" s="539">
        <v>87930</v>
      </c>
      <c r="L987" s="534">
        <v>1</v>
      </c>
      <c r="M987" s="540">
        <v>87930</v>
      </c>
      <c r="N987" s="534" t="s">
        <v>20155</v>
      </c>
      <c r="O987" s="534" t="s">
        <v>18094</v>
      </c>
      <c r="P987" s="884">
        <v>44680</v>
      </c>
      <c r="Q987" s="535">
        <v>0</v>
      </c>
      <c r="R987" s="535">
        <v>0</v>
      </c>
      <c r="S987" s="535">
        <v>39000</v>
      </c>
      <c r="T987" s="535">
        <v>0</v>
      </c>
      <c r="U987" s="535">
        <v>39000</v>
      </c>
      <c r="V987" s="541" t="e">
        <v>#N/A</v>
      </c>
      <c r="W987" s="542">
        <v>0</v>
      </c>
      <c r="X987" s="542">
        <v>87930</v>
      </c>
      <c r="Y987" s="542">
        <v>0</v>
      </c>
      <c r="Z987" s="542">
        <v>0</v>
      </c>
      <c r="AA987" s="543"/>
      <c r="AB987" s="543"/>
      <c r="AC987" s="543">
        <v>0</v>
      </c>
      <c r="AD987" s="543"/>
      <c r="AE987" s="542">
        <v>0</v>
      </c>
      <c r="AF987" s="542">
        <v>0</v>
      </c>
      <c r="AG987" s="542">
        <v>0</v>
      </c>
      <c r="AH987" s="544">
        <v>0</v>
      </c>
      <c r="AI987" s="544">
        <v>0</v>
      </c>
      <c r="AJ987" s="544">
        <v>0</v>
      </c>
      <c r="AK987" s="544">
        <v>0</v>
      </c>
      <c r="AL987" s="545">
        <v>0</v>
      </c>
      <c r="AM987" s="545">
        <v>0</v>
      </c>
      <c r="AN987" s="545" t="s">
        <v>20316</v>
      </c>
      <c r="AO987" s="545">
        <v>0</v>
      </c>
    </row>
    <row r="988" spans="1:41" hidden="1">
      <c r="A988" s="533">
        <v>91</v>
      </c>
      <c r="B988" s="534" t="s">
        <v>20276</v>
      </c>
      <c r="C988" s="535">
        <v>0</v>
      </c>
      <c r="D988" s="536" t="s">
        <v>18730</v>
      </c>
      <c r="E988" s="534" t="s">
        <v>20276</v>
      </c>
      <c r="F988" s="537">
        <v>44669</v>
      </c>
      <c r="G988" s="534">
        <v>2022</v>
      </c>
      <c r="H988" s="538" t="s">
        <v>16643</v>
      </c>
      <c r="I988" s="534" t="s">
        <v>16644</v>
      </c>
      <c r="J988" s="534" t="s">
        <v>16482</v>
      </c>
      <c r="K988" s="539">
        <v>207369.81479400001</v>
      </c>
      <c r="L988" s="534">
        <v>3.2383500000000001</v>
      </c>
      <c r="M988" s="540">
        <v>64035.64</v>
      </c>
      <c r="N988" s="534" t="s">
        <v>20155</v>
      </c>
      <c r="O988" s="534" t="s">
        <v>18227</v>
      </c>
      <c r="P988" s="884">
        <v>44680</v>
      </c>
      <c r="Q988" s="535">
        <v>5004</v>
      </c>
      <c r="R988" s="535">
        <v>36000</v>
      </c>
      <c r="S988" s="535">
        <v>26000</v>
      </c>
      <c r="T988" s="535">
        <v>0</v>
      </c>
      <c r="U988" s="535">
        <v>67004</v>
      </c>
      <c r="V988" s="541" t="e">
        <v>#N/A</v>
      </c>
      <c r="W988" s="542">
        <v>16436.789269064175</v>
      </c>
      <c r="X988" s="542">
        <v>111255.44651125306</v>
      </c>
      <c r="Y988" s="542">
        <v>79677.579013682771</v>
      </c>
      <c r="Z988" s="542">
        <v>0</v>
      </c>
      <c r="AA988" s="543">
        <v>3.2847300697570292</v>
      </c>
      <c r="AB988" s="543">
        <v>3.0904290697570294</v>
      </c>
      <c r="AC988" s="543">
        <v>3.0645222697570298</v>
      </c>
      <c r="AD988" s="543"/>
      <c r="AE988" s="542">
        <v>10635.224249999999</v>
      </c>
      <c r="AF988" s="542">
        <v>34837.184999999998</v>
      </c>
      <c r="AG988" s="542">
        <v>0.51992694466002021</v>
      </c>
      <c r="AH988" s="544">
        <v>2.7648031250970089</v>
      </c>
      <c r="AI988" s="544">
        <v>2.570502125097009</v>
      </c>
      <c r="AJ988" s="544">
        <v>2.5445953250970095</v>
      </c>
      <c r="AK988" s="544"/>
      <c r="AL988" s="545">
        <v>1</v>
      </c>
      <c r="AM988" s="545" t="s">
        <v>20316</v>
      </c>
      <c r="AN988" s="545" t="s">
        <v>20316</v>
      </c>
      <c r="AO988" s="545">
        <v>0</v>
      </c>
    </row>
    <row r="989" spans="1:41" hidden="1">
      <c r="A989" s="533">
        <v>92</v>
      </c>
      <c r="B989" s="534" t="s">
        <v>20277</v>
      </c>
      <c r="C989" s="535">
        <v>0</v>
      </c>
      <c r="D989" s="536" t="s">
        <v>18731</v>
      </c>
      <c r="E989" s="534" t="s">
        <v>20277</v>
      </c>
      <c r="F989" s="537">
        <v>44670</v>
      </c>
      <c r="G989" s="534">
        <v>2022</v>
      </c>
      <c r="H989" s="538" t="s">
        <v>16470</v>
      </c>
      <c r="I989" s="534" t="s">
        <v>16471</v>
      </c>
      <c r="J989" s="534" t="s">
        <v>16401</v>
      </c>
      <c r="K989" s="539">
        <v>934420.43715599994</v>
      </c>
      <c r="L989" s="534">
        <v>3.0196999999999998</v>
      </c>
      <c r="M989" s="540">
        <v>309441.48</v>
      </c>
      <c r="N989" s="534" t="s">
        <v>20155</v>
      </c>
      <c r="O989" s="534" t="s">
        <v>18227</v>
      </c>
      <c r="P989" s="884">
        <v>44678</v>
      </c>
      <c r="Q989" s="535">
        <v>28800</v>
      </c>
      <c r="R989" s="535">
        <v>294552</v>
      </c>
      <c r="S989" s="535">
        <v>0</v>
      </c>
      <c r="T989" s="535">
        <v>0</v>
      </c>
      <c r="U989" s="535">
        <v>323352</v>
      </c>
      <c r="V989" s="541" t="e">
        <v>#N/A</v>
      </c>
      <c r="W989" s="542">
        <v>88685.20419265196</v>
      </c>
      <c r="X989" s="542">
        <v>845735.23296334816</v>
      </c>
      <c r="Y989" s="542">
        <v>0</v>
      </c>
      <c r="Z989" s="542">
        <v>0</v>
      </c>
      <c r="AA989" s="543">
        <v>3.0793473678004153</v>
      </c>
      <c r="AB989" s="543">
        <v>2.8712595160221221</v>
      </c>
      <c r="AC989" s="543"/>
      <c r="AD989" s="543"/>
      <c r="AE989" s="542">
        <v>45769.898999999998</v>
      </c>
      <c r="AF989" s="542">
        <v>145592.04</v>
      </c>
      <c r="AG989" s="542">
        <v>0.45025866547910637</v>
      </c>
      <c r="AH989" s="544">
        <v>2.629088702321309</v>
      </c>
      <c r="AI989" s="544">
        <v>2.4210008505430158</v>
      </c>
      <c r="AJ989" s="544"/>
      <c r="AK989" s="544"/>
      <c r="AL989" s="545">
        <v>0</v>
      </c>
      <c r="AM989" s="545" t="s">
        <v>20316</v>
      </c>
      <c r="AN989" s="545">
        <v>0</v>
      </c>
      <c r="AO989" s="545">
        <v>0</v>
      </c>
    </row>
    <row r="990" spans="1:41" hidden="1">
      <c r="A990" s="533">
        <v>93</v>
      </c>
      <c r="B990" s="534" t="s">
        <v>20278</v>
      </c>
      <c r="C990" s="535">
        <v>0</v>
      </c>
      <c r="D990" s="536" t="s">
        <v>18732</v>
      </c>
      <c r="E990" s="534" t="s">
        <v>20278</v>
      </c>
      <c r="F990" s="537">
        <v>44670</v>
      </c>
      <c r="G990" s="534">
        <v>2022</v>
      </c>
      <c r="H990" s="538" t="s">
        <v>16838</v>
      </c>
      <c r="I990" s="534" t="s">
        <v>16839</v>
      </c>
      <c r="J990" s="534" t="s">
        <v>3</v>
      </c>
      <c r="K990" s="539">
        <v>333421.2</v>
      </c>
      <c r="L990" s="534">
        <v>1</v>
      </c>
      <c r="M990" s="540">
        <v>333421.2</v>
      </c>
      <c r="N990" s="534" t="s">
        <v>20155</v>
      </c>
      <c r="O990" s="534" t="s">
        <v>20321</v>
      </c>
      <c r="P990" s="884">
        <v>44679</v>
      </c>
      <c r="Q990" s="535">
        <v>0</v>
      </c>
      <c r="R990" s="535">
        <v>176064</v>
      </c>
      <c r="S990" s="535">
        <v>0</v>
      </c>
      <c r="T990" s="535">
        <v>0</v>
      </c>
      <c r="U990" s="535">
        <v>176064</v>
      </c>
      <c r="V990" s="541" t="s">
        <v>20155</v>
      </c>
      <c r="W990" s="542">
        <v>0</v>
      </c>
      <c r="X990" s="542">
        <v>333421.2</v>
      </c>
      <c r="Y990" s="542">
        <v>0</v>
      </c>
      <c r="Z990" s="542">
        <v>0</v>
      </c>
      <c r="AA990" s="543"/>
      <c r="AB990" s="543">
        <v>1.89375</v>
      </c>
      <c r="AC990" s="543"/>
      <c r="AD990" s="543"/>
      <c r="AE990" s="542">
        <v>0</v>
      </c>
      <c r="AF990" s="542">
        <v>0</v>
      </c>
      <c r="AG990" s="542">
        <v>0</v>
      </c>
      <c r="AH990" s="544">
        <v>0</v>
      </c>
      <c r="AI990" s="544">
        <v>1.89375</v>
      </c>
      <c r="AJ990" s="544">
        <v>0</v>
      </c>
      <c r="AK990" s="544">
        <v>0</v>
      </c>
      <c r="AL990" s="545">
        <v>0</v>
      </c>
      <c r="AM990" s="545" t="s">
        <v>20323</v>
      </c>
      <c r="AN990" s="545">
        <v>0</v>
      </c>
      <c r="AO990" s="545">
        <v>0</v>
      </c>
    </row>
    <row r="991" spans="1:41" hidden="1">
      <c r="A991" s="533">
        <v>94</v>
      </c>
      <c r="B991" s="534" t="s">
        <v>20279</v>
      </c>
      <c r="C991" s="535">
        <v>0</v>
      </c>
      <c r="D991" s="536" t="s">
        <v>18733</v>
      </c>
      <c r="E991" s="534" t="s">
        <v>20279</v>
      </c>
      <c r="F991" s="537">
        <v>44670</v>
      </c>
      <c r="G991" s="534">
        <v>2022</v>
      </c>
      <c r="H991" s="538" t="s">
        <v>17278</v>
      </c>
      <c r="I991" s="534" t="s">
        <v>17279</v>
      </c>
      <c r="J991" s="534" t="s">
        <v>16482</v>
      </c>
      <c r="K991" s="539">
        <v>434749.54823999992</v>
      </c>
      <c r="L991" s="534">
        <v>3.2485499999999998</v>
      </c>
      <c r="M991" s="540">
        <v>133828.79999999999</v>
      </c>
      <c r="N991" s="534" t="s">
        <v>20155</v>
      </c>
      <c r="O991" s="534" t="s">
        <v>20173</v>
      </c>
      <c r="P991" s="884">
        <v>44680</v>
      </c>
      <c r="Q991" s="535">
        <v>0</v>
      </c>
      <c r="R991" s="535">
        <v>136560</v>
      </c>
      <c r="S991" s="535">
        <v>0</v>
      </c>
      <c r="T991" s="535">
        <v>0</v>
      </c>
      <c r="U991" s="535">
        <v>136560</v>
      </c>
      <c r="V991" s="541" t="s">
        <v>20231</v>
      </c>
      <c r="W991" s="542">
        <v>0</v>
      </c>
      <c r="X991" s="542">
        <v>434749.54824000003</v>
      </c>
      <c r="Y991" s="542">
        <v>0</v>
      </c>
      <c r="Z991" s="542">
        <v>0</v>
      </c>
      <c r="AA991" s="543"/>
      <c r="AB991" s="543">
        <v>3.1835790000000004</v>
      </c>
      <c r="AC991" s="543"/>
      <c r="AD991" s="543"/>
      <c r="AE991" s="542">
        <v>20800.022249999998</v>
      </c>
      <c r="AF991" s="542">
        <v>64819.285000000003</v>
      </c>
      <c r="AG991" s="542">
        <v>0.47465791593438783</v>
      </c>
      <c r="AH991" s="544"/>
      <c r="AI991" s="544">
        <v>2.7089210840656124</v>
      </c>
      <c r="AJ991" s="544"/>
      <c r="AK991" s="544"/>
      <c r="AL991" s="545">
        <v>0</v>
      </c>
      <c r="AM991" s="545" t="s">
        <v>20316</v>
      </c>
      <c r="AN991" s="545">
        <v>0</v>
      </c>
      <c r="AO991" s="545">
        <v>0</v>
      </c>
    </row>
    <row r="992" spans="1:41" hidden="1">
      <c r="A992" s="533">
        <v>95</v>
      </c>
      <c r="B992" s="534" t="s">
        <v>20280</v>
      </c>
      <c r="C992" s="535">
        <v>0</v>
      </c>
      <c r="D992" s="536" t="s">
        <v>18734</v>
      </c>
      <c r="E992" s="534" t="s">
        <v>20280</v>
      </c>
      <c r="F992" s="537">
        <v>44671</v>
      </c>
      <c r="G992" s="534">
        <v>2022</v>
      </c>
      <c r="H992" s="538" t="s">
        <v>16957</v>
      </c>
      <c r="I992" s="534" t="s">
        <v>16958</v>
      </c>
      <c r="J992" s="534" t="s">
        <v>16401</v>
      </c>
      <c r="K992" s="539">
        <v>139408.32999999999</v>
      </c>
      <c r="L992" s="534">
        <v>3.0438499999999999</v>
      </c>
      <c r="M992" s="540">
        <v>45800</v>
      </c>
      <c r="N992" s="534" t="s">
        <v>20155</v>
      </c>
      <c r="O992" s="534" t="s">
        <v>20161</v>
      </c>
      <c r="P992" s="884">
        <v>44678</v>
      </c>
      <c r="Q992" s="535">
        <v>40000</v>
      </c>
      <c r="R992" s="535">
        <v>0</v>
      </c>
      <c r="S992" s="535">
        <v>0</v>
      </c>
      <c r="T992" s="535">
        <v>0</v>
      </c>
      <c r="U992" s="535">
        <v>40000</v>
      </c>
      <c r="V992" s="541" t="e">
        <v>#N/A</v>
      </c>
      <c r="W992" s="542">
        <v>139408.32999999999</v>
      </c>
      <c r="X992" s="542">
        <v>0</v>
      </c>
      <c r="Y992" s="542">
        <v>0</v>
      </c>
      <c r="Z992" s="542">
        <v>0</v>
      </c>
      <c r="AA992" s="543">
        <v>3.4852082499999999</v>
      </c>
      <c r="AB992" s="543"/>
      <c r="AC992" s="543"/>
      <c r="AD992" s="543"/>
      <c r="AE992" s="542">
        <v>3199.2160000000003</v>
      </c>
      <c r="AF992" s="542">
        <v>22016.935000000001</v>
      </c>
      <c r="AG992" s="542">
        <v>0.55042337500000005</v>
      </c>
      <c r="AH992" s="544">
        <v>2.9347848750000001</v>
      </c>
      <c r="AI992" s="544"/>
      <c r="AJ992" s="544"/>
      <c r="AK992" s="544"/>
      <c r="AL992" s="545">
        <v>1</v>
      </c>
      <c r="AM992" s="545">
        <v>0</v>
      </c>
      <c r="AN992" s="545">
        <v>0</v>
      </c>
      <c r="AO992" s="545">
        <v>0</v>
      </c>
    </row>
    <row r="993" spans="1:41" hidden="1">
      <c r="A993" s="533">
        <v>96</v>
      </c>
      <c r="B993" s="534" t="s">
        <v>20281</v>
      </c>
      <c r="C993" s="535">
        <v>0</v>
      </c>
      <c r="D993" s="536" t="s">
        <v>18735</v>
      </c>
      <c r="E993" s="534" t="s">
        <v>20281</v>
      </c>
      <c r="F993" s="537">
        <v>44674</v>
      </c>
      <c r="G993" s="534">
        <v>2022</v>
      </c>
      <c r="H993" s="538" t="s">
        <v>17233</v>
      </c>
      <c r="I993" s="534" t="s">
        <v>17234</v>
      </c>
      <c r="J993" s="534" t="s">
        <v>16401</v>
      </c>
      <c r="K993" s="539">
        <v>1533749.7484799998</v>
      </c>
      <c r="L993" s="534">
        <v>3.0438499999999999</v>
      </c>
      <c r="M993" s="540">
        <v>503884.79999999999</v>
      </c>
      <c r="N993" s="534" t="s">
        <v>20155</v>
      </c>
      <c r="O993" s="534" t="s">
        <v>17939</v>
      </c>
      <c r="P993" s="884">
        <v>44680</v>
      </c>
      <c r="Q993" s="535">
        <v>0</v>
      </c>
      <c r="R993" s="535">
        <v>311040</v>
      </c>
      <c r="S993" s="535">
        <v>207360</v>
      </c>
      <c r="T993" s="535">
        <v>0</v>
      </c>
      <c r="U993" s="535">
        <v>518400</v>
      </c>
      <c r="V993" s="541" t="e">
        <v>#N/A</v>
      </c>
      <c r="W993" s="542">
        <v>0</v>
      </c>
      <c r="X993" s="542">
        <v>920230.12493999978</v>
      </c>
      <c r="Y993" s="542">
        <v>613486.74995999981</v>
      </c>
      <c r="Z993" s="542">
        <v>0</v>
      </c>
      <c r="AA993" s="543"/>
      <c r="AB993" s="543">
        <v>2.9585587864583327</v>
      </c>
      <c r="AC993" s="543">
        <v>2.9585587864583323</v>
      </c>
      <c r="AD993" s="543"/>
      <c r="AE993" s="542">
        <v>0</v>
      </c>
      <c r="AF993" s="542">
        <v>0</v>
      </c>
      <c r="AG993" s="542">
        <v>0</v>
      </c>
      <c r="AH993" s="544">
        <v>0</v>
      </c>
      <c r="AI993" s="544">
        <v>2.9585587864583327</v>
      </c>
      <c r="AJ993" s="544">
        <v>2.9585587864583323</v>
      </c>
      <c r="AK993" s="544">
        <v>0</v>
      </c>
      <c r="AL993" s="545">
        <v>0</v>
      </c>
      <c r="AM993" s="545" t="s">
        <v>20324</v>
      </c>
      <c r="AN993" s="545" t="s">
        <v>20324</v>
      </c>
      <c r="AO993" s="545">
        <v>0</v>
      </c>
    </row>
    <row r="994" spans="1:41" hidden="1">
      <c r="A994" s="533">
        <v>97</v>
      </c>
      <c r="B994" s="534" t="s">
        <v>20282</v>
      </c>
      <c r="C994" s="535">
        <v>0</v>
      </c>
      <c r="D994" s="536" t="s">
        <v>18736</v>
      </c>
      <c r="E994" s="534" t="s">
        <v>20282</v>
      </c>
      <c r="F994" s="537">
        <v>44674</v>
      </c>
      <c r="G994" s="534">
        <v>2022</v>
      </c>
      <c r="H994" s="538" t="s">
        <v>17233</v>
      </c>
      <c r="I994" s="534" t="s">
        <v>17234</v>
      </c>
      <c r="J994" s="534" t="s">
        <v>16401</v>
      </c>
      <c r="K994" s="539">
        <v>1135695.6917999999</v>
      </c>
      <c r="L994" s="534">
        <v>3.0602999999999998</v>
      </c>
      <c r="M994" s="540">
        <v>371106</v>
      </c>
      <c r="N994" s="534" t="s">
        <v>20155</v>
      </c>
      <c r="O994" s="534" t="s">
        <v>17939</v>
      </c>
      <c r="P994" s="884">
        <v>44693</v>
      </c>
      <c r="Q994" s="535">
        <v>0</v>
      </c>
      <c r="R994" s="535">
        <v>228960</v>
      </c>
      <c r="S994" s="535">
        <v>152640</v>
      </c>
      <c r="T994" s="535">
        <v>0</v>
      </c>
      <c r="U994" s="535">
        <v>381600</v>
      </c>
      <c r="V994" s="541" t="e">
        <v>#N/A</v>
      </c>
      <c r="W994" s="542">
        <v>0</v>
      </c>
      <c r="X994" s="542">
        <v>681417.41507999972</v>
      </c>
      <c r="Y994" s="542">
        <v>454278.27671999997</v>
      </c>
      <c r="Z994" s="542">
        <v>0</v>
      </c>
      <c r="AA994" s="543"/>
      <c r="AB994" s="543">
        <v>2.9761417499999987</v>
      </c>
      <c r="AC994" s="543">
        <v>2.9761417499999996</v>
      </c>
      <c r="AD994" s="543"/>
      <c r="AE994" s="542">
        <v>0</v>
      </c>
      <c r="AF994" s="542">
        <v>0</v>
      </c>
      <c r="AG994" s="542">
        <v>0</v>
      </c>
      <c r="AH994" s="544">
        <v>0</v>
      </c>
      <c r="AI994" s="544">
        <v>2.9761417499999987</v>
      </c>
      <c r="AJ994" s="544">
        <v>2.9761417499999996</v>
      </c>
      <c r="AK994" s="544">
        <v>0</v>
      </c>
      <c r="AL994" s="545">
        <v>0</v>
      </c>
      <c r="AM994" s="545" t="s">
        <v>20324</v>
      </c>
      <c r="AN994" s="545" t="s">
        <v>20324</v>
      </c>
      <c r="AO994" s="545">
        <v>0</v>
      </c>
    </row>
    <row r="995" spans="1:41" hidden="1">
      <c r="A995" s="533">
        <v>98</v>
      </c>
      <c r="B995" s="534" t="s">
        <v>20283</v>
      </c>
      <c r="C995" s="535">
        <v>0</v>
      </c>
      <c r="D995" s="536" t="s">
        <v>18737</v>
      </c>
      <c r="E995" s="534" t="s">
        <v>20283</v>
      </c>
      <c r="F995" s="537">
        <v>44674</v>
      </c>
      <c r="G995" s="534">
        <v>2022</v>
      </c>
      <c r="H995" s="538" t="s">
        <v>17017</v>
      </c>
      <c r="I995" s="534" t="s">
        <v>17018</v>
      </c>
      <c r="J995" s="534" t="s">
        <v>3</v>
      </c>
      <c r="K995" s="539">
        <v>57137.5</v>
      </c>
      <c r="L995" s="534">
        <v>1</v>
      </c>
      <c r="M995" s="540">
        <v>57137.5</v>
      </c>
      <c r="N995" s="534" t="s">
        <v>20155</v>
      </c>
      <c r="O995" s="534" t="s">
        <v>20175</v>
      </c>
      <c r="P995" s="884">
        <v>44679</v>
      </c>
      <c r="Q995" s="535">
        <v>17500</v>
      </c>
      <c r="R995" s="535">
        <v>0</v>
      </c>
      <c r="S995" s="535">
        <v>0</v>
      </c>
      <c r="T995" s="535">
        <v>0</v>
      </c>
      <c r="U995" s="535">
        <v>17500</v>
      </c>
      <c r="V995" s="541" t="e">
        <v>#N/A</v>
      </c>
      <c r="W995" s="542">
        <v>57137.5</v>
      </c>
      <c r="X995" s="542">
        <v>0</v>
      </c>
      <c r="Y995" s="542">
        <v>0</v>
      </c>
      <c r="Z995" s="542">
        <v>0</v>
      </c>
      <c r="AA995" s="543">
        <v>3.2650000000000001</v>
      </c>
      <c r="AB995" s="543"/>
      <c r="AC995" s="543"/>
      <c r="AD995" s="543"/>
      <c r="AE995" s="542">
        <v>0</v>
      </c>
      <c r="AF995" s="542">
        <v>0</v>
      </c>
      <c r="AG995" s="542">
        <v>0</v>
      </c>
      <c r="AH995" s="544">
        <v>3.2650000000000001</v>
      </c>
      <c r="AI995" s="544">
        <v>0</v>
      </c>
      <c r="AJ995" s="544">
        <v>0</v>
      </c>
      <c r="AK995" s="544">
        <v>0</v>
      </c>
      <c r="AL995" s="545">
        <v>1</v>
      </c>
      <c r="AM995" s="545">
        <v>0</v>
      </c>
      <c r="AN995" s="545">
        <v>0</v>
      </c>
      <c r="AO995" s="545">
        <v>0</v>
      </c>
    </row>
    <row r="996" spans="1:41" hidden="1">
      <c r="A996" s="533">
        <v>99</v>
      </c>
      <c r="B996" s="534" t="s">
        <v>20284</v>
      </c>
      <c r="C996" s="535">
        <v>0</v>
      </c>
      <c r="D996" s="536" t="s">
        <v>18738</v>
      </c>
      <c r="E996" s="534" t="s">
        <v>20284</v>
      </c>
      <c r="F996" s="537">
        <v>44685</v>
      </c>
      <c r="G996" s="534">
        <v>2022</v>
      </c>
      <c r="H996" s="538" t="s">
        <v>16880</v>
      </c>
      <c r="I996" s="534" t="s">
        <v>16881</v>
      </c>
      <c r="J996" s="534" t="s">
        <v>16401</v>
      </c>
      <c r="K996" s="539">
        <v>96114.040544000003</v>
      </c>
      <c r="L996" s="534">
        <v>3.0823999999999998</v>
      </c>
      <c r="M996" s="540">
        <v>31181.56</v>
      </c>
      <c r="N996" s="534" t="s">
        <v>20155</v>
      </c>
      <c r="O996" s="534" t="s">
        <v>20329</v>
      </c>
      <c r="P996" s="884">
        <v>44699</v>
      </c>
      <c r="Q996" s="535">
        <v>0</v>
      </c>
      <c r="R996" s="535">
        <v>20480</v>
      </c>
      <c r="S996" s="535">
        <v>0</v>
      </c>
      <c r="T996" s="535">
        <v>0</v>
      </c>
      <c r="U996" s="535">
        <v>20480</v>
      </c>
      <c r="V996" s="541" t="e">
        <v>#N/A</v>
      </c>
      <c r="W996" s="542">
        <v>0</v>
      </c>
      <c r="X996" s="542">
        <v>96114.040544000003</v>
      </c>
      <c r="Y996" s="542">
        <v>0</v>
      </c>
      <c r="Z996" s="542">
        <v>0</v>
      </c>
      <c r="AA996" s="543"/>
      <c r="AB996" s="543">
        <v>4.6930683859375</v>
      </c>
      <c r="AC996" s="543"/>
      <c r="AD996" s="543"/>
      <c r="AE996" s="542">
        <v>0</v>
      </c>
      <c r="AF996" s="542">
        <v>1586.87</v>
      </c>
      <c r="AG996" s="542">
        <v>7.7483886718749992E-2</v>
      </c>
      <c r="AH996" s="544"/>
      <c r="AI996" s="544">
        <v>4.61558449921875</v>
      </c>
      <c r="AJ996" s="544"/>
      <c r="AK996" s="544"/>
      <c r="AL996" s="545">
        <v>0</v>
      </c>
      <c r="AM996" s="545">
        <v>1</v>
      </c>
      <c r="AN996" s="545">
        <v>0</v>
      </c>
      <c r="AO996" s="545">
        <v>0</v>
      </c>
    </row>
    <row r="997" spans="1:41" hidden="1">
      <c r="A997" s="533">
        <v>100</v>
      </c>
      <c r="B997" s="534" t="s">
        <v>112</v>
      </c>
      <c r="C997" s="535">
        <v>0</v>
      </c>
      <c r="D997" s="536" t="s">
        <v>18739</v>
      </c>
      <c r="E997" s="534" t="s">
        <v>112</v>
      </c>
      <c r="F997" s="537">
        <v>44686</v>
      </c>
      <c r="G997" s="534">
        <v>2022</v>
      </c>
      <c r="H997" s="560" t="s">
        <v>16783</v>
      </c>
      <c r="I997" s="534" t="s">
        <v>16784</v>
      </c>
      <c r="J997" s="534" t="s">
        <v>16401</v>
      </c>
      <c r="K997" s="539">
        <v>366321.17735999997</v>
      </c>
      <c r="L997" s="561">
        <v>3.0703</v>
      </c>
      <c r="M997" s="562">
        <v>119311.2</v>
      </c>
      <c r="N997" s="534" t="s">
        <v>20155</v>
      </c>
      <c r="O997" s="534" t="s">
        <v>17939</v>
      </c>
      <c r="P997" s="884">
        <v>44692</v>
      </c>
      <c r="Q997" s="535">
        <v>105120</v>
      </c>
      <c r="R997" s="535">
        <v>0</v>
      </c>
      <c r="S997" s="535">
        <v>0</v>
      </c>
      <c r="T997" s="535">
        <v>0</v>
      </c>
      <c r="U997" s="535">
        <v>105120</v>
      </c>
      <c r="V997" s="541" t="e">
        <v>#N/A</v>
      </c>
      <c r="W997" s="542">
        <v>366321.17735999991</v>
      </c>
      <c r="X997" s="542">
        <v>0</v>
      </c>
      <c r="Y997" s="542">
        <v>0</v>
      </c>
      <c r="Z997" s="542">
        <v>0</v>
      </c>
      <c r="AA997" s="543">
        <v>3.484790499999999</v>
      </c>
      <c r="AB997" s="543"/>
      <c r="AC997" s="543"/>
      <c r="AD997" s="543"/>
      <c r="AE997" s="542">
        <v>0</v>
      </c>
      <c r="AF997" s="542">
        <v>0</v>
      </c>
      <c r="AG997" s="542">
        <v>0</v>
      </c>
      <c r="AH997" s="544">
        <v>3.484790499999999</v>
      </c>
      <c r="AI997" s="544">
        <v>0</v>
      </c>
      <c r="AJ997" s="544">
        <v>0</v>
      </c>
      <c r="AK997" s="544">
        <v>0</v>
      </c>
      <c r="AL997" s="545" t="s">
        <v>20324</v>
      </c>
      <c r="AM997" s="545">
        <v>0</v>
      </c>
      <c r="AN997" s="545">
        <v>0</v>
      </c>
      <c r="AO997" s="545">
        <v>0</v>
      </c>
    </row>
    <row r="998" spans="1:41" hidden="1">
      <c r="A998" s="533">
        <v>101</v>
      </c>
      <c r="B998" s="534" t="s">
        <v>113</v>
      </c>
      <c r="C998" s="535">
        <v>0</v>
      </c>
      <c r="D998" s="536" t="s">
        <v>18740</v>
      </c>
      <c r="E998" s="534" t="s">
        <v>113</v>
      </c>
      <c r="F998" s="537">
        <v>44691</v>
      </c>
      <c r="G998" s="534">
        <v>2022</v>
      </c>
      <c r="H998" s="563" t="s">
        <v>17278</v>
      </c>
      <c r="I998" s="534" t="s">
        <v>17279</v>
      </c>
      <c r="J998" s="534" t="s">
        <v>16482</v>
      </c>
      <c r="K998" s="539">
        <v>782820.78</v>
      </c>
      <c r="L998" s="534">
        <v>3.2135500000000001</v>
      </c>
      <c r="M998" s="540">
        <v>243600</v>
      </c>
      <c r="N998" s="534" t="s">
        <v>20155</v>
      </c>
      <c r="O998" s="534" t="s">
        <v>20173</v>
      </c>
      <c r="P998" s="884">
        <v>44699</v>
      </c>
      <c r="Q998" s="535">
        <v>0</v>
      </c>
      <c r="R998" s="535">
        <v>0</v>
      </c>
      <c r="S998" s="535">
        <v>278400</v>
      </c>
      <c r="T998" s="535">
        <v>0</v>
      </c>
      <c r="U998" s="535">
        <v>278400</v>
      </c>
      <c r="V998" s="541" t="e">
        <v>#N/A</v>
      </c>
      <c r="W998" s="542">
        <v>0</v>
      </c>
      <c r="X998" s="542">
        <v>0</v>
      </c>
      <c r="Y998" s="542">
        <v>782820.78</v>
      </c>
      <c r="Z998" s="542">
        <v>0</v>
      </c>
      <c r="AA998" s="543"/>
      <c r="AB998" s="543"/>
      <c r="AC998" s="543">
        <v>2.8118562499999999</v>
      </c>
      <c r="AD998" s="543"/>
      <c r="AE998" s="542">
        <v>29971.497500000001</v>
      </c>
      <c r="AF998" s="542">
        <v>96887.4</v>
      </c>
      <c r="AG998" s="542">
        <v>0.34801508620689653</v>
      </c>
      <c r="AH998" s="544"/>
      <c r="AI998" s="544"/>
      <c r="AJ998" s="544">
        <v>2.4638411637931035</v>
      </c>
      <c r="AK998" s="544"/>
      <c r="AL998" s="545">
        <v>0</v>
      </c>
      <c r="AM998" s="545">
        <v>0</v>
      </c>
      <c r="AN998" s="545" t="s">
        <v>20323</v>
      </c>
      <c r="AO998" s="545">
        <v>0</v>
      </c>
    </row>
    <row r="999" spans="1:41" hidden="1">
      <c r="A999" s="533">
        <v>102</v>
      </c>
      <c r="B999" s="534" t="s">
        <v>114</v>
      </c>
      <c r="C999" s="535">
        <v>0</v>
      </c>
      <c r="D999" s="536" t="s">
        <v>18741</v>
      </c>
      <c r="E999" s="534" t="s">
        <v>114</v>
      </c>
      <c r="F999" s="537">
        <v>44691</v>
      </c>
      <c r="G999" s="534">
        <v>2022</v>
      </c>
      <c r="H999" s="563" t="s">
        <v>16904</v>
      </c>
      <c r="I999" s="534" t="s">
        <v>16905</v>
      </c>
      <c r="J999" s="534" t="s">
        <v>16482</v>
      </c>
      <c r="K999" s="539">
        <v>94378.707695999998</v>
      </c>
      <c r="L999" s="534">
        <v>3.2155499999999999</v>
      </c>
      <c r="M999" s="540">
        <v>29350.720000000001</v>
      </c>
      <c r="N999" s="534" t="s">
        <v>20155</v>
      </c>
      <c r="O999" s="534" t="s">
        <v>20160</v>
      </c>
      <c r="P999" s="884">
        <v>44700</v>
      </c>
      <c r="Q999" s="535">
        <v>0</v>
      </c>
      <c r="R999" s="535">
        <v>17784</v>
      </c>
      <c r="S999" s="535">
        <v>9552</v>
      </c>
      <c r="T999" s="535">
        <v>0</v>
      </c>
      <c r="U999" s="535">
        <v>27336</v>
      </c>
      <c r="V999" s="541" t="e">
        <v>#N/A</v>
      </c>
      <c r="W999" s="542">
        <v>0</v>
      </c>
      <c r="X999" s="542">
        <v>61494.408116059698</v>
      </c>
      <c r="Y999" s="542">
        <v>32884.2995799403</v>
      </c>
      <c r="Z999" s="542">
        <v>0</v>
      </c>
      <c r="AA999" s="543"/>
      <c r="AB999" s="543">
        <v>3.4578502089552239</v>
      </c>
      <c r="AC999" s="543">
        <v>3.4426611788044701</v>
      </c>
      <c r="AD999" s="543"/>
      <c r="AE999" s="542">
        <v>4865.6299999999992</v>
      </c>
      <c r="AF999" s="542">
        <v>15828.64</v>
      </c>
      <c r="AG999" s="542">
        <v>0.57904009364940001</v>
      </c>
      <c r="AH999" s="544"/>
      <c r="AI999" s="544">
        <v>2.8788101153058241</v>
      </c>
      <c r="AJ999" s="544">
        <v>2.8636210851550699</v>
      </c>
      <c r="AK999" s="544"/>
      <c r="AL999" s="545">
        <v>0</v>
      </c>
      <c r="AM999" s="545">
        <v>1</v>
      </c>
      <c r="AN999" s="545">
        <v>1</v>
      </c>
      <c r="AO999" s="545">
        <v>0</v>
      </c>
    </row>
    <row r="1000" spans="1:41" hidden="1">
      <c r="A1000" s="533">
        <v>103</v>
      </c>
      <c r="B1000" s="534" t="s">
        <v>115</v>
      </c>
      <c r="C1000" s="535">
        <v>0</v>
      </c>
      <c r="D1000" s="536" t="s">
        <v>18742</v>
      </c>
      <c r="E1000" s="534" t="s">
        <v>115</v>
      </c>
      <c r="F1000" s="537">
        <v>44691</v>
      </c>
      <c r="G1000" s="534">
        <v>2022</v>
      </c>
      <c r="H1000" s="563" t="s">
        <v>16904</v>
      </c>
      <c r="I1000" s="534" t="s">
        <v>16905</v>
      </c>
      <c r="J1000" s="534" t="s">
        <v>16482</v>
      </c>
      <c r="K1000" s="539">
        <v>94379.093561999995</v>
      </c>
      <c r="L1000" s="534">
        <v>3.2155499999999999</v>
      </c>
      <c r="M1000" s="540">
        <v>29350.84</v>
      </c>
      <c r="N1000" s="534" t="s">
        <v>20155</v>
      </c>
      <c r="O1000" s="534" t="s">
        <v>20160</v>
      </c>
      <c r="P1000" s="884">
        <v>44700</v>
      </c>
      <c r="Q1000" s="535">
        <v>0</v>
      </c>
      <c r="R1000" s="535">
        <v>19416</v>
      </c>
      <c r="S1000" s="535">
        <v>7920</v>
      </c>
      <c r="T1000" s="535">
        <v>0</v>
      </c>
      <c r="U1000" s="535">
        <v>27336</v>
      </c>
      <c r="V1000" s="541" t="e">
        <v>#N/A</v>
      </c>
      <c r="W1000" s="542">
        <v>0</v>
      </c>
      <c r="X1000" s="542">
        <v>67137.619657074625</v>
      </c>
      <c r="Y1000" s="542">
        <v>27241.473904925377</v>
      </c>
      <c r="Z1000" s="542">
        <v>0</v>
      </c>
      <c r="AA1000" s="543"/>
      <c r="AB1000" s="543">
        <v>3.4578502089552239</v>
      </c>
      <c r="AC1000" s="543">
        <v>3.4395800385006789</v>
      </c>
      <c r="AD1000" s="543"/>
      <c r="AE1000" s="542">
        <v>4865.6299999999992</v>
      </c>
      <c r="AF1000" s="542">
        <v>15828.64</v>
      </c>
      <c r="AG1000" s="542">
        <v>0.57904009364940001</v>
      </c>
      <c r="AH1000" s="544"/>
      <c r="AI1000" s="544">
        <v>2.8788101153058241</v>
      </c>
      <c r="AJ1000" s="544">
        <v>2.8605399448512792</v>
      </c>
      <c r="AK1000" s="544"/>
      <c r="AL1000" s="545">
        <v>0</v>
      </c>
      <c r="AM1000" s="545">
        <v>1</v>
      </c>
      <c r="AN1000" s="545">
        <v>1</v>
      </c>
      <c r="AO1000" s="545">
        <v>0</v>
      </c>
    </row>
    <row r="1001" spans="1:41" hidden="1">
      <c r="A1001" s="533">
        <v>104</v>
      </c>
      <c r="B1001" s="534" t="s">
        <v>116</v>
      </c>
      <c r="C1001" s="535">
        <v>0</v>
      </c>
      <c r="D1001" s="536" t="s">
        <v>18743</v>
      </c>
      <c r="E1001" s="534" t="s">
        <v>116</v>
      </c>
      <c r="F1001" s="537">
        <v>44691</v>
      </c>
      <c r="G1001" s="534">
        <v>2022</v>
      </c>
      <c r="H1001" s="563" t="s">
        <v>16444</v>
      </c>
      <c r="I1001" s="534" t="s">
        <v>16445</v>
      </c>
      <c r="J1001" s="534" t="s">
        <v>3</v>
      </c>
      <c r="K1001" s="539">
        <v>124125.12</v>
      </c>
      <c r="L1001" s="534">
        <v>1</v>
      </c>
      <c r="M1001" s="540">
        <v>124125.12</v>
      </c>
      <c r="N1001" s="534" t="s">
        <v>20155</v>
      </c>
      <c r="O1001" s="534" t="s">
        <v>18248</v>
      </c>
      <c r="P1001" s="884">
        <v>44701</v>
      </c>
      <c r="Q1001" s="535">
        <v>44016</v>
      </c>
      <c r="R1001" s="535">
        <v>0</v>
      </c>
      <c r="S1001" s="535">
        <v>0</v>
      </c>
      <c r="T1001" s="535">
        <v>0</v>
      </c>
      <c r="U1001" s="535">
        <v>44016</v>
      </c>
      <c r="V1001" s="541" t="s">
        <v>20155</v>
      </c>
      <c r="W1001" s="542">
        <v>124125.12</v>
      </c>
      <c r="X1001" s="542">
        <v>0</v>
      </c>
      <c r="Y1001" s="542">
        <v>0</v>
      </c>
      <c r="Z1001" s="542">
        <v>0</v>
      </c>
      <c r="AA1001" s="543">
        <v>2.82</v>
      </c>
      <c r="AB1001" s="543"/>
      <c r="AC1001" s="543"/>
      <c r="AD1001" s="543"/>
      <c r="AE1001" s="542">
        <v>0</v>
      </c>
      <c r="AF1001" s="542">
        <v>0</v>
      </c>
      <c r="AG1001" s="542">
        <v>0</v>
      </c>
      <c r="AH1001" s="544">
        <v>2.82</v>
      </c>
      <c r="AI1001" s="544">
        <v>0</v>
      </c>
      <c r="AJ1001" s="544">
        <v>0</v>
      </c>
      <c r="AK1001" s="544">
        <v>0</v>
      </c>
      <c r="AL1001" s="545" t="s">
        <v>20324</v>
      </c>
      <c r="AM1001" s="545">
        <v>0</v>
      </c>
      <c r="AN1001" s="545">
        <v>0</v>
      </c>
      <c r="AO1001" s="545">
        <v>0</v>
      </c>
    </row>
    <row r="1002" spans="1:41" hidden="1">
      <c r="A1002" s="533">
        <v>105</v>
      </c>
      <c r="B1002" s="534" t="s">
        <v>117</v>
      </c>
      <c r="C1002" s="535">
        <v>0</v>
      </c>
      <c r="D1002" s="536" t="s">
        <v>18744</v>
      </c>
      <c r="E1002" s="534" t="s">
        <v>117</v>
      </c>
      <c r="F1002" s="537">
        <v>44691</v>
      </c>
      <c r="G1002" s="534">
        <v>2022</v>
      </c>
      <c r="H1002" s="563" t="s">
        <v>16838</v>
      </c>
      <c r="I1002" s="534" t="s">
        <v>16839</v>
      </c>
      <c r="J1002" s="534" t="s">
        <v>3</v>
      </c>
      <c r="K1002" s="539">
        <v>130947.6</v>
      </c>
      <c r="L1002" s="534">
        <v>1</v>
      </c>
      <c r="M1002" s="540">
        <v>130947.6</v>
      </c>
      <c r="N1002" s="534" t="s">
        <v>20155</v>
      </c>
      <c r="O1002" s="534" t="s">
        <v>20321</v>
      </c>
      <c r="P1002" s="884">
        <v>44695</v>
      </c>
      <c r="Q1002" s="535">
        <v>0</v>
      </c>
      <c r="R1002" s="535">
        <v>66024</v>
      </c>
      <c r="S1002" s="535">
        <v>0</v>
      </c>
      <c r="T1002" s="535">
        <v>0</v>
      </c>
      <c r="U1002" s="535">
        <v>66024</v>
      </c>
      <c r="V1002" s="541" t="s">
        <v>20155</v>
      </c>
      <c r="W1002" s="542">
        <v>0</v>
      </c>
      <c r="X1002" s="542">
        <v>130947.6</v>
      </c>
      <c r="Y1002" s="542">
        <v>0</v>
      </c>
      <c r="Z1002" s="542">
        <v>0</v>
      </c>
      <c r="AA1002" s="543"/>
      <c r="AB1002" s="543">
        <v>1.9833333333333334</v>
      </c>
      <c r="AC1002" s="543"/>
      <c r="AD1002" s="543"/>
      <c r="AE1002" s="542">
        <v>0</v>
      </c>
      <c r="AF1002" s="542">
        <v>0</v>
      </c>
      <c r="AG1002" s="542">
        <v>0</v>
      </c>
      <c r="AH1002" s="544">
        <v>0</v>
      </c>
      <c r="AI1002" s="544">
        <v>1.9833333333333334</v>
      </c>
      <c r="AJ1002" s="544">
        <v>0</v>
      </c>
      <c r="AK1002" s="544">
        <v>0</v>
      </c>
      <c r="AL1002" s="545">
        <v>0</v>
      </c>
      <c r="AM1002" s="545" t="s">
        <v>20323</v>
      </c>
      <c r="AN1002" s="545">
        <v>0</v>
      </c>
      <c r="AO1002" s="545">
        <v>0</v>
      </c>
    </row>
    <row r="1003" spans="1:41" hidden="1">
      <c r="A1003" s="533">
        <v>106</v>
      </c>
      <c r="B1003" s="534" t="s">
        <v>118</v>
      </c>
      <c r="C1003" s="535">
        <v>0</v>
      </c>
      <c r="D1003" s="536" t="s">
        <v>18745</v>
      </c>
      <c r="E1003" s="534" t="s">
        <v>118</v>
      </c>
      <c r="F1003" s="537">
        <v>44693</v>
      </c>
      <c r="G1003" s="534">
        <v>2022</v>
      </c>
      <c r="H1003" s="563" t="s">
        <v>17259</v>
      </c>
      <c r="I1003" s="534" t="s">
        <v>17260</v>
      </c>
      <c r="J1003" s="534" t="s">
        <v>16401</v>
      </c>
      <c r="K1003" s="539">
        <v>146786.97039999999</v>
      </c>
      <c r="L1003" s="534">
        <v>3.0823999999999998</v>
      </c>
      <c r="M1003" s="540">
        <v>47621</v>
      </c>
      <c r="N1003" s="534" t="s">
        <v>20155</v>
      </c>
      <c r="O1003" s="534" t="s">
        <v>17261</v>
      </c>
      <c r="P1003" s="884">
        <v>44699</v>
      </c>
      <c r="Q1003" s="535">
        <v>0</v>
      </c>
      <c r="R1003" s="535">
        <v>41400</v>
      </c>
      <c r="S1003" s="535">
        <v>0</v>
      </c>
      <c r="T1003" s="535">
        <v>0</v>
      </c>
      <c r="U1003" s="535">
        <v>41400</v>
      </c>
      <c r="V1003" s="541" t="e">
        <v>#N/A</v>
      </c>
      <c r="W1003" s="542">
        <v>0</v>
      </c>
      <c r="X1003" s="542">
        <v>146786.97039999999</v>
      </c>
      <c r="Y1003" s="542">
        <v>0</v>
      </c>
      <c r="Z1003" s="542">
        <v>0</v>
      </c>
      <c r="AA1003" s="543"/>
      <c r="AB1003" s="543">
        <v>3.5455789951690817</v>
      </c>
      <c r="AC1003" s="543"/>
      <c r="AD1003" s="543"/>
      <c r="AE1003" s="542">
        <v>9380.4759999999987</v>
      </c>
      <c r="AF1003" s="542">
        <v>28999.91</v>
      </c>
      <c r="AG1003" s="542">
        <v>0.70048091787439615</v>
      </c>
      <c r="AH1003" s="544"/>
      <c r="AI1003" s="544">
        <v>2.8450980772946854</v>
      </c>
      <c r="AJ1003" s="544"/>
      <c r="AK1003" s="544"/>
      <c r="AL1003" s="545">
        <v>0</v>
      </c>
      <c r="AM1003" s="545" t="s">
        <v>20300</v>
      </c>
      <c r="AN1003" s="545">
        <v>0</v>
      </c>
      <c r="AO1003" s="545">
        <v>0</v>
      </c>
    </row>
    <row r="1004" spans="1:41" hidden="1">
      <c r="A1004" s="533">
        <v>107</v>
      </c>
      <c r="B1004" s="534" t="s">
        <v>119</v>
      </c>
      <c r="C1004" s="535">
        <v>0</v>
      </c>
      <c r="D1004" s="536" t="s">
        <v>18746</v>
      </c>
      <c r="E1004" s="534" t="s">
        <v>119</v>
      </c>
      <c r="F1004" s="537">
        <v>44693</v>
      </c>
      <c r="G1004" s="534">
        <v>2022</v>
      </c>
      <c r="H1004" s="563" t="s">
        <v>17326</v>
      </c>
      <c r="I1004" s="534" t="s">
        <v>17327</v>
      </c>
      <c r="J1004" s="534" t="s">
        <v>16482</v>
      </c>
      <c r="K1004" s="539">
        <v>59806.368699999999</v>
      </c>
      <c r="L1004" s="534">
        <v>3.2261500000000001</v>
      </c>
      <c r="M1004" s="540">
        <v>18538</v>
      </c>
      <c r="N1004" s="534" t="s">
        <v>20155</v>
      </c>
      <c r="O1004" s="534" t="s">
        <v>20195</v>
      </c>
      <c r="P1004" s="884">
        <v>44704</v>
      </c>
      <c r="Q1004" s="535">
        <v>2400</v>
      </c>
      <c r="R1004" s="535">
        <v>4200</v>
      </c>
      <c r="S1004" s="535">
        <v>12000</v>
      </c>
      <c r="T1004" s="535">
        <v>0</v>
      </c>
      <c r="U1004" s="535">
        <v>18600</v>
      </c>
      <c r="V1004" s="541" t="e">
        <v>#N/A</v>
      </c>
      <c r="W1004" s="542">
        <v>8288.9159741935491</v>
      </c>
      <c r="X1004" s="542">
        <v>13557.11485483871</v>
      </c>
      <c r="Y1004" s="542">
        <v>37960.337870967742</v>
      </c>
      <c r="Z1004" s="542">
        <v>0</v>
      </c>
      <c r="AA1004" s="543">
        <v>3.4537149892473122</v>
      </c>
      <c r="AB1004" s="543">
        <v>3.227884489247312</v>
      </c>
      <c r="AC1004" s="543">
        <v>3.1633614892473116</v>
      </c>
      <c r="AD1004" s="543"/>
      <c r="AE1004" s="542">
        <v>3211.9363499999995</v>
      </c>
      <c r="AF1004" s="542">
        <v>10313.995999999999</v>
      </c>
      <c r="AG1004" s="542">
        <v>0.55451591397849453</v>
      </c>
      <c r="AH1004" s="544">
        <v>2.8991990752688177</v>
      </c>
      <c r="AI1004" s="544">
        <v>2.6733685752688174</v>
      </c>
      <c r="AJ1004" s="544">
        <v>2.6088455752688171</v>
      </c>
      <c r="AK1004" s="544"/>
      <c r="AL1004" s="545" t="s">
        <v>20324</v>
      </c>
      <c r="AM1004" s="545" t="s">
        <v>20300</v>
      </c>
      <c r="AN1004" s="545" t="s">
        <v>20300</v>
      </c>
      <c r="AO1004" s="545">
        <v>0</v>
      </c>
    </row>
    <row r="1005" spans="1:41" hidden="1">
      <c r="A1005" s="533">
        <v>108</v>
      </c>
      <c r="B1005" s="534" t="s">
        <v>120</v>
      </c>
      <c r="C1005" s="535">
        <v>0</v>
      </c>
      <c r="D1005" s="536" t="s">
        <v>18748</v>
      </c>
      <c r="E1005" s="534" t="s">
        <v>120</v>
      </c>
      <c r="F1005" s="537">
        <v>44693</v>
      </c>
      <c r="G1005" s="534">
        <v>2022</v>
      </c>
      <c r="H1005" s="563" t="s">
        <v>16838</v>
      </c>
      <c r="I1005" s="534" t="s">
        <v>16839</v>
      </c>
      <c r="J1005" s="534" t="s">
        <v>3</v>
      </c>
      <c r="K1005" s="539">
        <v>171662.4</v>
      </c>
      <c r="L1005" s="534">
        <v>1</v>
      </c>
      <c r="M1005" s="540">
        <v>171662.4</v>
      </c>
      <c r="N1005" s="534" t="s">
        <v>20330</v>
      </c>
      <c r="O1005" s="534" t="s">
        <v>20321</v>
      </c>
      <c r="P1005" s="884">
        <v>44701</v>
      </c>
      <c r="Q1005" s="535">
        <v>0</v>
      </c>
      <c r="R1005" s="535">
        <v>88032</v>
      </c>
      <c r="S1005" s="535">
        <v>0</v>
      </c>
      <c r="T1005" s="535">
        <v>0</v>
      </c>
      <c r="U1005" s="535">
        <v>88032</v>
      </c>
      <c r="V1005" s="541" t="s">
        <v>20155</v>
      </c>
      <c r="W1005" s="542">
        <v>0</v>
      </c>
      <c r="X1005" s="542">
        <v>171662.4</v>
      </c>
      <c r="Y1005" s="542">
        <v>0</v>
      </c>
      <c r="Z1005" s="542">
        <v>0</v>
      </c>
      <c r="AA1005" s="543"/>
      <c r="AB1005" s="543">
        <v>1.95</v>
      </c>
      <c r="AC1005" s="543"/>
      <c r="AD1005" s="543"/>
      <c r="AE1005" s="542">
        <v>0</v>
      </c>
      <c r="AF1005" s="542">
        <v>0</v>
      </c>
      <c r="AG1005" s="542">
        <v>0</v>
      </c>
      <c r="AH1005" s="544">
        <v>0</v>
      </c>
      <c r="AI1005" s="544">
        <v>1.95</v>
      </c>
      <c r="AJ1005" s="544">
        <v>0</v>
      </c>
      <c r="AK1005" s="544">
        <v>0</v>
      </c>
      <c r="AL1005" s="545">
        <v>0</v>
      </c>
      <c r="AM1005" s="545" t="s">
        <v>20323</v>
      </c>
      <c r="AN1005" s="545">
        <v>0</v>
      </c>
      <c r="AO1005" s="545">
        <v>0</v>
      </c>
    </row>
    <row r="1006" spans="1:41" hidden="1">
      <c r="A1006" s="533">
        <v>109</v>
      </c>
      <c r="B1006" s="534" t="s">
        <v>121</v>
      </c>
      <c r="C1006" s="535">
        <v>0</v>
      </c>
      <c r="D1006" s="536" t="s">
        <v>18749</v>
      </c>
      <c r="E1006" s="534" t="s">
        <v>121</v>
      </c>
      <c r="F1006" s="537">
        <v>44694</v>
      </c>
      <c r="G1006" s="534">
        <v>2022</v>
      </c>
      <c r="H1006" s="563" t="s">
        <v>17226</v>
      </c>
      <c r="I1006" s="534" t="s">
        <v>17227</v>
      </c>
      <c r="J1006" s="534" t="s">
        <v>3</v>
      </c>
      <c r="K1006" s="539">
        <v>636040</v>
      </c>
      <c r="L1006" s="534">
        <v>1</v>
      </c>
      <c r="M1006" s="540">
        <v>636040</v>
      </c>
      <c r="N1006" s="534" t="s">
        <v>20155</v>
      </c>
      <c r="O1006" s="534" t="s">
        <v>17689</v>
      </c>
      <c r="P1006" s="884">
        <v>44707</v>
      </c>
      <c r="Q1006" s="535">
        <v>38400</v>
      </c>
      <c r="R1006" s="535">
        <v>147600</v>
      </c>
      <c r="S1006" s="535">
        <v>0</v>
      </c>
      <c r="T1006" s="535">
        <v>2900</v>
      </c>
      <c r="U1006" s="535">
        <v>188900</v>
      </c>
      <c r="V1006" s="541" t="e">
        <v>#N/A</v>
      </c>
      <c r="W1006" s="542">
        <v>132480</v>
      </c>
      <c r="X1006" s="542">
        <v>467640</v>
      </c>
      <c r="Y1006" s="542">
        <v>0</v>
      </c>
      <c r="Z1006" s="542">
        <v>35920</v>
      </c>
      <c r="AA1006" s="543">
        <v>3.45</v>
      </c>
      <c r="AB1006" s="543">
        <v>3.1682926829268294</v>
      </c>
      <c r="AC1006" s="543"/>
      <c r="AD1006" s="543">
        <v>12.386206896551725</v>
      </c>
      <c r="AE1006" s="542">
        <v>0</v>
      </c>
      <c r="AF1006" s="542">
        <v>0</v>
      </c>
      <c r="AG1006" s="542">
        <v>0</v>
      </c>
      <c r="AH1006" s="544">
        <v>3.45</v>
      </c>
      <c r="AI1006" s="544">
        <v>3.1682926829268294</v>
      </c>
      <c r="AJ1006" s="544">
        <v>0</v>
      </c>
      <c r="AK1006" s="544">
        <v>12.386206896551725</v>
      </c>
      <c r="AL1006" s="545">
        <v>1</v>
      </c>
      <c r="AM1006" s="545">
        <v>1</v>
      </c>
      <c r="AN1006" s="545">
        <v>0</v>
      </c>
      <c r="AO1006" s="545">
        <v>1</v>
      </c>
    </row>
    <row r="1007" spans="1:41" hidden="1">
      <c r="A1007" s="533">
        <v>110</v>
      </c>
      <c r="B1007" s="534" t="s">
        <v>122</v>
      </c>
      <c r="C1007" s="535">
        <v>0</v>
      </c>
      <c r="D1007" s="536" t="s">
        <v>18750</v>
      </c>
      <c r="E1007" s="534" t="s">
        <v>122</v>
      </c>
      <c r="F1007" s="537">
        <v>44695</v>
      </c>
      <c r="G1007" s="534">
        <v>2022</v>
      </c>
      <c r="H1007" s="563" t="s">
        <v>16444</v>
      </c>
      <c r="I1007" s="534" t="s">
        <v>16445</v>
      </c>
      <c r="J1007" s="534" t="s">
        <v>3</v>
      </c>
      <c r="K1007" s="539">
        <v>145632</v>
      </c>
      <c r="L1007" s="534">
        <v>1</v>
      </c>
      <c r="M1007" s="540">
        <v>145632</v>
      </c>
      <c r="N1007" s="534" t="s">
        <v>20155</v>
      </c>
      <c r="O1007" s="534" t="s">
        <v>18248</v>
      </c>
      <c r="P1007" s="884">
        <v>44700</v>
      </c>
      <c r="Q1007" s="535">
        <v>12000</v>
      </c>
      <c r="R1007" s="535">
        <v>40200</v>
      </c>
      <c r="S1007" s="535">
        <v>1200</v>
      </c>
      <c r="T1007" s="535">
        <v>0</v>
      </c>
      <c r="U1007" s="535">
        <v>53400</v>
      </c>
      <c r="V1007" s="541" t="s">
        <v>20155</v>
      </c>
      <c r="W1007" s="542">
        <v>33912</v>
      </c>
      <c r="X1007" s="542">
        <v>108540</v>
      </c>
      <c r="Y1007" s="542">
        <v>3180</v>
      </c>
      <c r="Z1007" s="542">
        <v>0</v>
      </c>
      <c r="AA1007" s="543">
        <v>2.8260000000000001</v>
      </c>
      <c r="AB1007" s="543">
        <v>2.7</v>
      </c>
      <c r="AC1007" s="543">
        <v>2.65</v>
      </c>
      <c r="AD1007" s="543"/>
      <c r="AE1007" s="542">
        <v>0</v>
      </c>
      <c r="AF1007" s="542">
        <v>0</v>
      </c>
      <c r="AG1007" s="542">
        <v>0</v>
      </c>
      <c r="AH1007" s="544">
        <v>2.8260000000000001</v>
      </c>
      <c r="AI1007" s="544">
        <v>2.7</v>
      </c>
      <c r="AJ1007" s="544">
        <v>2.65</v>
      </c>
      <c r="AK1007" s="544">
        <v>0</v>
      </c>
      <c r="AL1007" s="545" t="s">
        <v>20324</v>
      </c>
      <c r="AM1007" s="545" t="s">
        <v>20323</v>
      </c>
      <c r="AN1007" s="545" t="s">
        <v>20323</v>
      </c>
      <c r="AO1007" s="545">
        <v>0</v>
      </c>
    </row>
    <row r="1008" spans="1:41" hidden="1">
      <c r="A1008" s="533">
        <v>111</v>
      </c>
      <c r="B1008" s="534" t="s">
        <v>123</v>
      </c>
      <c r="C1008" s="535">
        <v>0</v>
      </c>
      <c r="D1008" s="536" t="s">
        <v>18751</v>
      </c>
      <c r="E1008" s="534" t="s">
        <v>123</v>
      </c>
      <c r="F1008" s="537">
        <v>44695</v>
      </c>
      <c r="G1008" s="534">
        <v>2022</v>
      </c>
      <c r="H1008" s="563" t="s">
        <v>16783</v>
      </c>
      <c r="I1008" s="534" t="s">
        <v>16784</v>
      </c>
      <c r="J1008" s="534" t="s">
        <v>16401</v>
      </c>
      <c r="K1008" s="539">
        <v>1271231.0784</v>
      </c>
      <c r="L1008" s="534">
        <v>3.0823999999999998</v>
      </c>
      <c r="M1008" s="540">
        <v>412416</v>
      </c>
      <c r="N1008" s="534" t="s">
        <v>20155</v>
      </c>
      <c r="O1008" s="534" t="s">
        <v>17939</v>
      </c>
      <c r="P1008" s="884">
        <v>44701</v>
      </c>
      <c r="Q1008" s="535">
        <v>0</v>
      </c>
      <c r="R1008" s="535">
        <v>403200</v>
      </c>
      <c r="S1008" s="535">
        <v>57600</v>
      </c>
      <c r="T1008" s="535">
        <v>0</v>
      </c>
      <c r="U1008" s="535">
        <v>460800</v>
      </c>
      <c r="V1008" s="541" t="e">
        <v>#N/A</v>
      </c>
      <c r="W1008" s="542">
        <v>0</v>
      </c>
      <c r="X1008" s="542">
        <v>1112327.1936000008</v>
      </c>
      <c r="Y1008" s="542">
        <v>158903.8848</v>
      </c>
      <c r="Z1008" s="542">
        <v>0</v>
      </c>
      <c r="AA1008" s="543"/>
      <c r="AB1008" s="543">
        <v>2.758748000000002</v>
      </c>
      <c r="AC1008" s="543">
        <v>2.7587480000000002</v>
      </c>
      <c r="AD1008" s="543"/>
      <c r="AE1008" s="542">
        <v>0</v>
      </c>
      <c r="AF1008" s="542">
        <v>0</v>
      </c>
      <c r="AG1008" s="542">
        <v>0</v>
      </c>
      <c r="AH1008" s="544">
        <v>0</v>
      </c>
      <c r="AI1008" s="544">
        <v>2.758748000000002</v>
      </c>
      <c r="AJ1008" s="544">
        <v>2.7587480000000002</v>
      </c>
      <c r="AK1008" s="544">
        <v>0</v>
      </c>
      <c r="AL1008" s="545">
        <v>0</v>
      </c>
      <c r="AM1008" s="545" t="s">
        <v>20324</v>
      </c>
      <c r="AN1008" s="545" t="s">
        <v>20324</v>
      </c>
      <c r="AO1008" s="545">
        <v>0</v>
      </c>
    </row>
    <row r="1009" spans="1:41" hidden="1">
      <c r="A1009" s="533">
        <v>112</v>
      </c>
      <c r="B1009" s="534" t="s">
        <v>124</v>
      </c>
      <c r="C1009" s="535">
        <v>0</v>
      </c>
      <c r="D1009" s="536" t="s">
        <v>18752</v>
      </c>
      <c r="E1009" s="534" t="s">
        <v>124</v>
      </c>
      <c r="F1009" s="537">
        <v>44697</v>
      </c>
      <c r="G1009" s="534">
        <v>2022</v>
      </c>
      <c r="H1009" s="563" t="s">
        <v>16823</v>
      </c>
      <c r="I1009" s="534" t="s">
        <v>16824</v>
      </c>
      <c r="J1009" s="534" t="s">
        <v>16401</v>
      </c>
      <c r="K1009" s="539">
        <v>187151.44499999998</v>
      </c>
      <c r="L1009" s="534">
        <v>3.0419999999999998</v>
      </c>
      <c r="M1009" s="540">
        <v>61522.5</v>
      </c>
      <c r="N1009" s="534" t="s">
        <v>20302</v>
      </c>
      <c r="O1009" s="534" t="s">
        <v>17965</v>
      </c>
      <c r="P1009" s="884">
        <v>44705</v>
      </c>
      <c r="Q1009" s="535">
        <v>0</v>
      </c>
      <c r="R1009" s="535">
        <v>55700</v>
      </c>
      <c r="S1009" s="535">
        <v>0</v>
      </c>
      <c r="T1009" s="535">
        <v>0</v>
      </c>
      <c r="U1009" s="535">
        <v>55700</v>
      </c>
      <c r="V1009" s="541" t="s">
        <v>20231</v>
      </c>
      <c r="W1009" s="542">
        <v>0</v>
      </c>
      <c r="X1009" s="542">
        <v>187151.44500000001</v>
      </c>
      <c r="Y1009" s="542">
        <v>0</v>
      </c>
      <c r="Z1009" s="542">
        <v>0</v>
      </c>
      <c r="AA1009" s="543"/>
      <c r="AB1009" s="543">
        <v>3.3599900359066428</v>
      </c>
      <c r="AC1009" s="543"/>
      <c r="AD1009" s="543"/>
      <c r="AE1009" s="542">
        <v>6836.7067999999999</v>
      </c>
      <c r="AF1009" s="542">
        <v>22525.161</v>
      </c>
      <c r="AG1009" s="542">
        <v>0.40440145421903051</v>
      </c>
      <c r="AH1009" s="544"/>
      <c r="AI1009" s="544">
        <v>2.9555885816876124</v>
      </c>
      <c r="AJ1009" s="544"/>
      <c r="AK1009" s="544"/>
      <c r="AL1009" s="545">
        <v>0</v>
      </c>
      <c r="AM1009" s="545" t="s">
        <v>20300</v>
      </c>
      <c r="AN1009" s="545">
        <v>0</v>
      </c>
      <c r="AO1009" s="545">
        <v>0</v>
      </c>
    </row>
    <row r="1010" spans="1:41" hidden="1">
      <c r="A1010" s="533">
        <v>113</v>
      </c>
      <c r="B1010" s="534" t="s">
        <v>125</v>
      </c>
      <c r="C1010" s="535">
        <v>0</v>
      </c>
      <c r="D1010" s="536" t="s">
        <v>18753</v>
      </c>
      <c r="E1010" s="534" t="s">
        <v>125</v>
      </c>
      <c r="F1010" s="537">
        <v>44698</v>
      </c>
      <c r="G1010" s="534">
        <v>2022</v>
      </c>
      <c r="H1010" s="563" t="s">
        <v>17017</v>
      </c>
      <c r="I1010" s="534" t="s">
        <v>17018</v>
      </c>
      <c r="J1010" s="534" t="s">
        <v>3</v>
      </c>
      <c r="K1010" s="539">
        <v>65300</v>
      </c>
      <c r="L1010" s="534">
        <v>1</v>
      </c>
      <c r="M1010" s="540">
        <v>65300</v>
      </c>
      <c r="N1010" s="534" t="s">
        <v>20330</v>
      </c>
      <c r="O1010" s="534" t="s">
        <v>18064</v>
      </c>
      <c r="P1010" s="884">
        <v>44704</v>
      </c>
      <c r="Q1010" s="535">
        <v>0</v>
      </c>
      <c r="R1010" s="535">
        <v>20000</v>
      </c>
      <c r="S1010" s="535">
        <v>0</v>
      </c>
      <c r="T1010" s="535">
        <v>0</v>
      </c>
      <c r="U1010" s="535">
        <v>20000</v>
      </c>
      <c r="V1010" s="541" t="s">
        <v>20231</v>
      </c>
      <c r="W1010" s="542">
        <v>0</v>
      </c>
      <c r="X1010" s="542">
        <v>65300</v>
      </c>
      <c r="Y1010" s="542">
        <v>0</v>
      </c>
      <c r="Z1010" s="542">
        <v>0</v>
      </c>
      <c r="AA1010" s="543"/>
      <c r="AB1010" s="543">
        <v>3.2650000000000001</v>
      </c>
      <c r="AC1010" s="543"/>
      <c r="AD1010" s="543"/>
      <c r="AE1010" s="542">
        <v>0</v>
      </c>
      <c r="AF1010" s="542">
        <v>0</v>
      </c>
      <c r="AG1010" s="542">
        <v>0</v>
      </c>
      <c r="AH1010" s="544">
        <v>0</v>
      </c>
      <c r="AI1010" s="544">
        <v>3.2650000000000001</v>
      </c>
      <c r="AJ1010" s="544">
        <v>0</v>
      </c>
      <c r="AK1010" s="544">
        <v>0</v>
      </c>
      <c r="AL1010" s="545">
        <v>0</v>
      </c>
      <c r="AM1010" s="545">
        <v>1</v>
      </c>
      <c r="AN1010" s="545">
        <v>0</v>
      </c>
      <c r="AO1010" s="545">
        <v>0</v>
      </c>
    </row>
    <row r="1011" spans="1:41" hidden="1">
      <c r="A1011" s="533">
        <v>114</v>
      </c>
      <c r="B1011" s="534" t="s">
        <v>126</v>
      </c>
      <c r="C1011" s="535">
        <v>0</v>
      </c>
      <c r="D1011" s="536" t="s">
        <v>18754</v>
      </c>
      <c r="E1011" s="534" t="s">
        <v>126</v>
      </c>
      <c r="F1011" s="537">
        <v>44699</v>
      </c>
      <c r="G1011" s="534">
        <v>2022</v>
      </c>
      <c r="H1011" s="563" t="s">
        <v>16972</v>
      </c>
      <c r="I1011" s="534" t="s">
        <v>16973</v>
      </c>
      <c r="J1011" s="534" t="s">
        <v>3</v>
      </c>
      <c r="K1011" s="539">
        <v>751800</v>
      </c>
      <c r="L1011" s="534">
        <v>1</v>
      </c>
      <c r="M1011" s="540">
        <v>751800</v>
      </c>
      <c r="N1011" s="534" t="s">
        <v>20325</v>
      </c>
      <c r="O1011" s="534" t="s">
        <v>17801</v>
      </c>
      <c r="P1011" s="884" t="s">
        <v>20331</v>
      </c>
      <c r="Q1011" s="535">
        <v>0</v>
      </c>
      <c r="R1011" s="535">
        <v>0</v>
      </c>
      <c r="S1011" s="535">
        <v>420000</v>
      </c>
      <c r="T1011" s="535">
        <v>0</v>
      </c>
      <c r="U1011" s="535">
        <v>420000</v>
      </c>
      <c r="V1011" s="541" t="s">
        <v>20155</v>
      </c>
      <c r="W1011" s="542">
        <v>0</v>
      </c>
      <c r="X1011" s="542">
        <v>0</v>
      </c>
      <c r="Y1011" s="542">
        <v>751800</v>
      </c>
      <c r="Z1011" s="542">
        <v>0</v>
      </c>
      <c r="AA1011" s="543"/>
      <c r="AB1011" s="543"/>
      <c r="AC1011" s="543">
        <v>1.79</v>
      </c>
      <c r="AD1011" s="543"/>
      <c r="AE1011" s="542">
        <v>0</v>
      </c>
      <c r="AF1011" s="542">
        <v>0</v>
      </c>
      <c r="AG1011" s="542">
        <v>0</v>
      </c>
      <c r="AH1011" s="544">
        <v>0</v>
      </c>
      <c r="AI1011" s="544">
        <v>0</v>
      </c>
      <c r="AJ1011" s="544">
        <v>1.79</v>
      </c>
      <c r="AK1011" s="544">
        <v>0</v>
      </c>
      <c r="AL1011" s="545">
        <v>0</v>
      </c>
      <c r="AM1011" s="545">
        <v>0</v>
      </c>
      <c r="AN1011" s="545" t="s">
        <v>20323</v>
      </c>
      <c r="AO1011" s="545">
        <v>0</v>
      </c>
    </row>
    <row r="1012" spans="1:41" hidden="1">
      <c r="A1012" s="533">
        <v>115</v>
      </c>
      <c r="B1012" s="534" t="s">
        <v>127</v>
      </c>
      <c r="C1012" s="535">
        <v>0</v>
      </c>
      <c r="D1012" s="536" t="s">
        <v>18755</v>
      </c>
      <c r="E1012" s="534" t="s">
        <v>127</v>
      </c>
      <c r="F1012" s="537">
        <v>44699</v>
      </c>
      <c r="G1012" s="534">
        <v>2022</v>
      </c>
      <c r="H1012" s="563" t="s">
        <v>16470</v>
      </c>
      <c r="I1012" s="534" t="s">
        <v>16471</v>
      </c>
      <c r="J1012" s="534" t="s">
        <v>16401</v>
      </c>
      <c r="K1012" s="539">
        <v>1533695.8076800001</v>
      </c>
      <c r="L1012" s="534">
        <v>3.028</v>
      </c>
      <c r="M1012" s="540">
        <v>506504.56</v>
      </c>
      <c r="N1012" s="534" t="s">
        <v>20155</v>
      </c>
      <c r="O1012" s="534" t="s">
        <v>18227</v>
      </c>
      <c r="P1012" s="884">
        <v>44712</v>
      </c>
      <c r="Q1012" s="535">
        <v>38400</v>
      </c>
      <c r="R1012" s="535">
        <v>406944</v>
      </c>
      <c r="S1012" s="535">
        <v>0</v>
      </c>
      <c r="T1012" s="535">
        <v>0</v>
      </c>
      <c r="U1012" s="535">
        <v>445344</v>
      </c>
      <c r="V1012" s="541" t="s">
        <v>20231</v>
      </c>
      <c r="W1012" s="542">
        <v>137662.97115757706</v>
      </c>
      <c r="X1012" s="542">
        <v>1394500.6685224227</v>
      </c>
      <c r="Y1012" s="542">
        <v>0</v>
      </c>
      <c r="Z1012" s="542">
        <v>0</v>
      </c>
      <c r="AA1012" s="543">
        <v>3.5849732072285692</v>
      </c>
      <c r="AB1012" s="543">
        <v>3.4267630645062286</v>
      </c>
      <c r="AC1012" s="543"/>
      <c r="AD1012" s="543"/>
      <c r="AE1012" s="542">
        <v>58448.179999999993</v>
      </c>
      <c r="AF1012" s="542">
        <v>189325.75200000001</v>
      </c>
      <c r="AG1012" s="542">
        <v>0.42512249407199831</v>
      </c>
      <c r="AH1012" s="544">
        <v>3.1598507131565707</v>
      </c>
      <c r="AI1012" s="544">
        <v>3.0016405704342302</v>
      </c>
      <c r="AJ1012" s="544"/>
      <c r="AK1012" s="544"/>
      <c r="AL1012" s="545" t="s">
        <v>20324</v>
      </c>
      <c r="AM1012" s="545" t="s">
        <v>20300</v>
      </c>
      <c r="AN1012" s="545">
        <v>0</v>
      </c>
      <c r="AO1012" s="545">
        <v>0</v>
      </c>
    </row>
    <row r="1013" spans="1:41" hidden="1">
      <c r="A1013" s="533">
        <v>116</v>
      </c>
      <c r="B1013" s="534" t="s">
        <v>128</v>
      </c>
      <c r="C1013" s="535">
        <v>0</v>
      </c>
      <c r="D1013" s="536" t="s">
        <v>18756</v>
      </c>
      <c r="E1013" s="534" t="s">
        <v>128</v>
      </c>
      <c r="F1013" s="537">
        <v>44699</v>
      </c>
      <c r="G1013" s="534">
        <v>2022</v>
      </c>
      <c r="H1013" s="563" t="s">
        <v>17119</v>
      </c>
      <c r="I1013" s="534" t="s">
        <v>17120</v>
      </c>
      <c r="J1013" s="534" t="s">
        <v>16401</v>
      </c>
      <c r="K1013" s="539">
        <v>295000.99199999997</v>
      </c>
      <c r="L1013" s="534">
        <v>3.0419999999999998</v>
      </c>
      <c r="M1013" s="540">
        <v>96976</v>
      </c>
      <c r="N1013" s="534" t="s">
        <v>20302</v>
      </c>
      <c r="O1013" s="534" t="s">
        <v>17965</v>
      </c>
      <c r="P1013" s="884">
        <v>44705</v>
      </c>
      <c r="Q1013" s="535">
        <v>38400</v>
      </c>
      <c r="R1013" s="535">
        <v>45600</v>
      </c>
      <c r="S1013" s="535">
        <v>0</v>
      </c>
      <c r="T1013" s="535">
        <v>0</v>
      </c>
      <c r="U1013" s="535">
        <v>84000</v>
      </c>
      <c r="V1013" s="541"/>
      <c r="W1013" s="542">
        <v>138979.41942857145</v>
      </c>
      <c r="X1013" s="542">
        <v>156021.57257142858</v>
      </c>
      <c r="Y1013" s="542">
        <v>0</v>
      </c>
      <c r="Z1013" s="542">
        <v>0</v>
      </c>
      <c r="AA1013" s="543">
        <v>3.6192557142857149</v>
      </c>
      <c r="AB1013" s="543">
        <v>3.4215257142857145</v>
      </c>
      <c r="AC1013" s="543"/>
      <c r="AD1013" s="543"/>
      <c r="AE1013" s="542">
        <v>0</v>
      </c>
      <c r="AF1013" s="542">
        <v>0</v>
      </c>
      <c r="AG1013" s="542">
        <v>0</v>
      </c>
      <c r="AH1013" s="544">
        <v>3.6192557142857149</v>
      </c>
      <c r="AI1013" s="544">
        <v>3.4215257142857145</v>
      </c>
      <c r="AJ1013" s="544">
        <v>0</v>
      </c>
      <c r="AK1013" s="544">
        <v>0</v>
      </c>
      <c r="AL1013" s="545" t="s">
        <v>20324</v>
      </c>
      <c r="AM1013" s="545" t="s">
        <v>20300</v>
      </c>
      <c r="AN1013" s="545">
        <v>0</v>
      </c>
      <c r="AO1013" s="545">
        <v>0</v>
      </c>
    </row>
    <row r="1014" spans="1:41" hidden="1">
      <c r="A1014" s="533">
        <v>117</v>
      </c>
      <c r="B1014" s="534" t="s">
        <v>129</v>
      </c>
      <c r="C1014" s="535">
        <v>0</v>
      </c>
      <c r="D1014" s="536" t="s">
        <v>18757</v>
      </c>
      <c r="E1014" s="534" t="s">
        <v>129</v>
      </c>
      <c r="F1014" s="537">
        <v>44700</v>
      </c>
      <c r="G1014" s="534">
        <v>2022</v>
      </c>
      <c r="H1014" s="563" t="s">
        <v>16444</v>
      </c>
      <c r="I1014" s="534" t="s">
        <v>16445</v>
      </c>
      <c r="J1014" s="534" t="s">
        <v>3</v>
      </c>
      <c r="K1014" s="539">
        <v>55392</v>
      </c>
      <c r="L1014" s="534">
        <v>1</v>
      </c>
      <c r="M1014" s="540">
        <v>55392</v>
      </c>
      <c r="N1014" s="534" t="s">
        <v>20155</v>
      </c>
      <c r="O1014" s="534" t="s">
        <v>18248</v>
      </c>
      <c r="P1014" s="884">
        <v>44704</v>
      </c>
      <c r="Q1014" s="535">
        <v>19200</v>
      </c>
      <c r="R1014" s="535">
        <v>0</v>
      </c>
      <c r="S1014" s="535">
        <v>0</v>
      </c>
      <c r="T1014" s="535">
        <v>0</v>
      </c>
      <c r="U1014" s="535">
        <v>19200</v>
      </c>
      <c r="V1014" s="541" t="s">
        <v>20231</v>
      </c>
      <c r="W1014" s="542">
        <v>55392</v>
      </c>
      <c r="X1014" s="542">
        <v>0</v>
      </c>
      <c r="Y1014" s="542">
        <v>0</v>
      </c>
      <c r="Z1014" s="542">
        <v>0</v>
      </c>
      <c r="AA1014" s="543">
        <v>2.8849999999999998</v>
      </c>
      <c r="AB1014" s="543"/>
      <c r="AC1014" s="543"/>
      <c r="AD1014" s="543"/>
      <c r="AE1014" s="542">
        <v>0</v>
      </c>
      <c r="AF1014" s="542">
        <v>0</v>
      </c>
      <c r="AG1014" s="542">
        <v>0</v>
      </c>
      <c r="AH1014" s="544">
        <v>2.8849999999999998</v>
      </c>
      <c r="AI1014" s="544">
        <v>0</v>
      </c>
      <c r="AJ1014" s="544">
        <v>0</v>
      </c>
      <c r="AK1014" s="544">
        <v>0</v>
      </c>
      <c r="AL1014" s="545" t="s">
        <v>20324</v>
      </c>
      <c r="AM1014" s="545">
        <v>0</v>
      </c>
      <c r="AN1014" s="545">
        <v>0</v>
      </c>
      <c r="AO1014" s="545">
        <v>0</v>
      </c>
    </row>
    <row r="1015" spans="1:41" hidden="1">
      <c r="A1015" s="564">
        <v>118</v>
      </c>
      <c r="B1015" s="496" t="s">
        <v>130</v>
      </c>
      <c r="C1015" s="565">
        <v>0</v>
      </c>
      <c r="D1015" s="566" t="s">
        <v>20332</v>
      </c>
      <c r="E1015" s="496" t="s">
        <v>130</v>
      </c>
      <c r="F1015" s="567">
        <v>44700</v>
      </c>
      <c r="G1015" s="496">
        <v>2022</v>
      </c>
      <c r="H1015" s="568" t="s">
        <v>17287</v>
      </c>
      <c r="I1015" s="496" t="s">
        <v>17288</v>
      </c>
      <c r="J1015" s="496" t="s">
        <v>3</v>
      </c>
      <c r="K1015" s="497">
        <v>310312.8</v>
      </c>
      <c r="L1015" s="496">
        <v>1</v>
      </c>
      <c r="M1015" s="498">
        <v>310312.8</v>
      </c>
      <c r="N1015" s="496" t="s">
        <v>20164</v>
      </c>
      <c r="O1015" s="496" t="s">
        <v>17949</v>
      </c>
      <c r="P1015" s="880">
        <v>0</v>
      </c>
      <c r="Q1015" s="565">
        <v>0</v>
      </c>
      <c r="R1015" s="565">
        <v>0</v>
      </c>
      <c r="S1015" s="565">
        <v>0</v>
      </c>
      <c r="T1015" s="565">
        <v>0</v>
      </c>
      <c r="U1015" s="565">
        <v>110040</v>
      </c>
      <c r="V1015" s="354"/>
      <c r="W1015" s="569"/>
      <c r="X1015" s="569"/>
      <c r="Y1015" s="569"/>
      <c r="Z1015" s="569"/>
      <c r="AA1015" s="570"/>
      <c r="AB1015" s="570"/>
      <c r="AC1015" s="570"/>
      <c r="AD1015" s="570"/>
      <c r="AE1015" s="569"/>
      <c r="AF1015" s="569"/>
      <c r="AG1015" s="569"/>
      <c r="AH1015" s="571"/>
      <c r="AI1015" s="571"/>
      <c r="AJ1015" s="571"/>
      <c r="AK1015" s="571"/>
      <c r="AL1015" s="572"/>
      <c r="AM1015" s="572"/>
      <c r="AN1015" s="572"/>
      <c r="AO1015" s="572"/>
    </row>
    <row r="1016" spans="1:41" hidden="1">
      <c r="A1016" s="533">
        <v>119</v>
      </c>
      <c r="B1016" s="534" t="s">
        <v>131</v>
      </c>
      <c r="C1016" s="535">
        <v>0</v>
      </c>
      <c r="D1016" s="536" t="s">
        <v>18758</v>
      </c>
      <c r="E1016" s="534" t="s">
        <v>131</v>
      </c>
      <c r="F1016" s="537">
        <v>44707</v>
      </c>
      <c r="G1016" s="534">
        <v>2022</v>
      </c>
      <c r="H1016" s="563" t="s">
        <v>17017</v>
      </c>
      <c r="I1016" s="534" t="s">
        <v>17018</v>
      </c>
      <c r="J1016" s="534" t="s">
        <v>3</v>
      </c>
      <c r="K1016" s="539">
        <v>65300</v>
      </c>
      <c r="L1016" s="561">
        <v>1</v>
      </c>
      <c r="M1016" s="562">
        <v>65300</v>
      </c>
      <c r="N1016" s="534" t="s">
        <v>20155</v>
      </c>
      <c r="O1016" s="534" t="s">
        <v>18064</v>
      </c>
      <c r="P1016" s="884">
        <v>44711</v>
      </c>
      <c r="Q1016" s="535">
        <v>0</v>
      </c>
      <c r="R1016" s="535">
        <v>20000</v>
      </c>
      <c r="S1016" s="535">
        <v>0</v>
      </c>
      <c r="T1016" s="535">
        <v>0</v>
      </c>
      <c r="U1016" s="535">
        <v>20000</v>
      </c>
      <c r="V1016" s="541" t="e">
        <v>#N/A</v>
      </c>
      <c r="W1016" s="542">
        <v>0</v>
      </c>
      <c r="X1016" s="542">
        <v>65300</v>
      </c>
      <c r="Y1016" s="542">
        <v>0</v>
      </c>
      <c r="Z1016" s="542">
        <v>0</v>
      </c>
      <c r="AA1016" s="543"/>
      <c r="AB1016" s="543">
        <v>3.2650000000000001</v>
      </c>
      <c r="AC1016" s="543"/>
      <c r="AD1016" s="543"/>
      <c r="AE1016" s="542">
        <v>0</v>
      </c>
      <c r="AF1016" s="542">
        <v>0</v>
      </c>
      <c r="AG1016" s="542">
        <v>0</v>
      </c>
      <c r="AH1016" s="544">
        <v>0</v>
      </c>
      <c r="AI1016" s="544">
        <v>3.2650000000000001</v>
      </c>
      <c r="AJ1016" s="544">
        <v>0</v>
      </c>
      <c r="AK1016" s="544">
        <v>0</v>
      </c>
      <c r="AL1016" s="545">
        <v>0</v>
      </c>
      <c r="AM1016" s="545">
        <v>1</v>
      </c>
      <c r="AN1016" s="545">
        <v>0</v>
      </c>
      <c r="AO1016" s="545">
        <v>0</v>
      </c>
    </row>
    <row r="1017" spans="1:41" hidden="1">
      <c r="A1017" s="533">
        <v>120</v>
      </c>
      <c r="B1017" s="534" t="s">
        <v>132</v>
      </c>
      <c r="C1017" s="535">
        <v>0</v>
      </c>
      <c r="D1017" s="536" t="s">
        <v>18759</v>
      </c>
      <c r="E1017" s="534" t="s">
        <v>132</v>
      </c>
      <c r="F1017" s="537">
        <v>44718</v>
      </c>
      <c r="G1017" s="534">
        <v>2022</v>
      </c>
      <c r="H1017" s="563" t="s">
        <v>17278</v>
      </c>
      <c r="I1017" s="534" t="s">
        <v>17279</v>
      </c>
      <c r="J1017" s="534" t="s">
        <v>16482</v>
      </c>
      <c r="K1017" s="539">
        <v>618259.19500800001</v>
      </c>
      <c r="L1017" s="534">
        <v>3.2404500000000001</v>
      </c>
      <c r="M1017" s="540">
        <v>190794.23999999999</v>
      </c>
      <c r="N1017" s="534" t="s">
        <v>20155</v>
      </c>
      <c r="O1017" s="534" t="s">
        <v>20173</v>
      </c>
      <c r="P1017" s="884">
        <v>44727</v>
      </c>
      <c r="Q1017" s="535">
        <v>0</v>
      </c>
      <c r="R1017" s="535">
        <v>195686</v>
      </c>
      <c r="S1017" s="535">
        <v>0</v>
      </c>
      <c r="T1017" s="535">
        <v>0</v>
      </c>
      <c r="U1017" s="535">
        <v>195686</v>
      </c>
      <c r="V1017" s="541" t="e">
        <v>#N/A</v>
      </c>
      <c r="W1017" s="542">
        <v>0</v>
      </c>
      <c r="X1017" s="542">
        <v>618259.19500800001</v>
      </c>
      <c r="Y1017" s="542">
        <v>0</v>
      </c>
      <c r="Z1017" s="542">
        <v>0</v>
      </c>
      <c r="AA1017" s="543"/>
      <c r="AB1017" s="543">
        <v>3.1594452081804523</v>
      </c>
      <c r="AC1017" s="543"/>
      <c r="AD1017" s="543"/>
      <c r="AE1017" s="542">
        <v>22092.335999999999</v>
      </c>
      <c r="AF1017" s="542">
        <v>71889.81</v>
      </c>
      <c r="AG1017" s="542">
        <v>0.36737329190642148</v>
      </c>
      <c r="AH1017" s="544"/>
      <c r="AI1017" s="544">
        <v>2.7920719162740308</v>
      </c>
      <c r="AJ1017" s="544"/>
      <c r="AK1017" s="544"/>
      <c r="AL1017" s="545">
        <v>0</v>
      </c>
      <c r="AM1017" s="545" t="s">
        <v>20300</v>
      </c>
      <c r="AN1017" s="545">
        <v>0</v>
      </c>
      <c r="AO1017" s="545">
        <v>0</v>
      </c>
    </row>
    <row r="1018" spans="1:41" hidden="1">
      <c r="A1018" s="533">
        <v>121</v>
      </c>
      <c r="B1018" s="534" t="s">
        <v>133</v>
      </c>
      <c r="C1018" s="535">
        <v>0</v>
      </c>
      <c r="D1018" s="536" t="s">
        <v>18760</v>
      </c>
      <c r="E1018" s="534" t="s">
        <v>133</v>
      </c>
      <c r="F1018" s="537">
        <v>44718</v>
      </c>
      <c r="G1018" s="534">
        <v>2022</v>
      </c>
      <c r="H1018" s="563" t="s">
        <v>16470</v>
      </c>
      <c r="I1018" s="534" t="s">
        <v>16471</v>
      </c>
      <c r="J1018" s="534" t="s">
        <v>16401</v>
      </c>
      <c r="K1018" s="539">
        <v>1546510.373048</v>
      </c>
      <c r="L1018" s="534">
        <v>3.0533000000000001</v>
      </c>
      <c r="M1018" s="540">
        <v>506504.56</v>
      </c>
      <c r="N1018" s="534" t="s">
        <v>20302</v>
      </c>
      <c r="O1018" s="534" t="s">
        <v>18227</v>
      </c>
      <c r="P1018" s="884">
        <v>44730</v>
      </c>
      <c r="Q1018" s="535">
        <v>38400</v>
      </c>
      <c r="R1018" s="535">
        <v>406944</v>
      </c>
      <c r="S1018" s="535">
        <v>0</v>
      </c>
      <c r="T1018" s="535">
        <v>0</v>
      </c>
      <c r="U1018" s="535">
        <v>445344</v>
      </c>
      <c r="V1018" s="541"/>
      <c r="W1018" s="542">
        <v>138813.19347273119</v>
      </c>
      <c r="X1018" s="542">
        <v>1406152.2097752695</v>
      </c>
      <c r="Y1018" s="542">
        <v>0</v>
      </c>
      <c r="Z1018" s="542">
        <v>0</v>
      </c>
      <c r="AA1018" s="543">
        <v>3.6149269133523747</v>
      </c>
      <c r="AB1018" s="543">
        <v>3.4553948695035914</v>
      </c>
      <c r="AC1018" s="543" t="e">
        <v>#DIV/0!</v>
      </c>
      <c r="AD1018" s="543" t="e">
        <v>#DIV/0!</v>
      </c>
      <c r="AE1018" s="542">
        <v>58448.179999999993</v>
      </c>
      <c r="AF1018" s="542">
        <v>189325.75200000001</v>
      </c>
      <c r="AG1018" s="542">
        <v>0.42512249407199831</v>
      </c>
      <c r="AH1018" s="544">
        <v>3.1898044192803763</v>
      </c>
      <c r="AI1018" s="544">
        <v>3.030272375431593</v>
      </c>
      <c r="AJ1018" s="544" t="e">
        <v>#DIV/0!</v>
      </c>
      <c r="AK1018" s="544" t="e">
        <v>#DIV/0!</v>
      </c>
      <c r="AL1018" s="545" t="s">
        <v>20324</v>
      </c>
      <c r="AM1018" s="545" t="s">
        <v>20300</v>
      </c>
      <c r="AN1018" s="545">
        <v>0</v>
      </c>
      <c r="AO1018" s="545">
        <v>0</v>
      </c>
    </row>
    <row r="1019" spans="1:41" hidden="1">
      <c r="A1019" s="533">
        <v>122</v>
      </c>
      <c r="B1019" s="534" t="s">
        <v>134</v>
      </c>
      <c r="C1019" s="535">
        <v>0</v>
      </c>
      <c r="D1019" s="536" t="s">
        <v>18761</v>
      </c>
      <c r="E1019" s="534" t="s">
        <v>134</v>
      </c>
      <c r="F1019" s="537">
        <v>44718</v>
      </c>
      <c r="G1019" s="534">
        <v>2022</v>
      </c>
      <c r="H1019" s="563" t="s">
        <v>17259</v>
      </c>
      <c r="I1019" s="534" t="s">
        <v>17260</v>
      </c>
      <c r="J1019" s="534" t="s">
        <v>16401</v>
      </c>
      <c r="K1019" s="539">
        <v>166434.973</v>
      </c>
      <c r="L1019" s="534">
        <v>3.0827</v>
      </c>
      <c r="M1019" s="540">
        <v>53990</v>
      </c>
      <c r="N1019" s="534" t="s">
        <v>20302</v>
      </c>
      <c r="O1019" s="534" t="s">
        <v>17261</v>
      </c>
      <c r="P1019" s="884">
        <v>44728</v>
      </c>
      <c r="Q1019" s="535">
        <v>0</v>
      </c>
      <c r="R1019" s="535">
        <v>48000</v>
      </c>
      <c r="S1019" s="535">
        <v>0</v>
      </c>
      <c r="T1019" s="535">
        <v>0</v>
      </c>
      <c r="U1019" s="535">
        <v>48000</v>
      </c>
      <c r="V1019" s="541"/>
      <c r="W1019" s="542">
        <v>0</v>
      </c>
      <c r="X1019" s="542">
        <v>166434.973</v>
      </c>
      <c r="Y1019" s="542">
        <v>0</v>
      </c>
      <c r="Z1019" s="542">
        <v>0</v>
      </c>
      <c r="AA1019" s="543" t="e">
        <v>#DIV/0!</v>
      </c>
      <c r="AB1019" s="543">
        <v>3.4673952708333333</v>
      </c>
      <c r="AC1019" s="543" t="e">
        <v>#DIV/0!</v>
      </c>
      <c r="AD1019" s="543" t="e">
        <v>#DIV/0!</v>
      </c>
      <c r="AE1019" s="542">
        <v>9758.941499999999</v>
      </c>
      <c r="AF1019" s="542">
        <v>30086.837</v>
      </c>
      <c r="AG1019" s="542">
        <v>0.62680910416666669</v>
      </c>
      <c r="AH1019" s="544" t="e">
        <v>#DIV/0!</v>
      </c>
      <c r="AI1019" s="544">
        <v>2.8405861666666667</v>
      </c>
      <c r="AJ1019" s="544" t="e">
        <v>#DIV/0!</v>
      </c>
      <c r="AK1019" s="544" t="e">
        <v>#DIV/0!</v>
      </c>
      <c r="AL1019" s="545">
        <v>0</v>
      </c>
      <c r="AM1019" s="545">
        <v>0</v>
      </c>
      <c r="AN1019" s="545">
        <v>0</v>
      </c>
      <c r="AO1019" s="545">
        <v>0</v>
      </c>
    </row>
    <row r="1020" spans="1:41" hidden="1">
      <c r="A1020" s="533">
        <v>123</v>
      </c>
      <c r="B1020" s="534" t="s">
        <v>135</v>
      </c>
      <c r="C1020" s="535">
        <v>0</v>
      </c>
      <c r="D1020" s="536" t="s">
        <v>18762</v>
      </c>
      <c r="E1020" s="534" t="s">
        <v>135</v>
      </c>
      <c r="F1020" s="537">
        <v>44718</v>
      </c>
      <c r="G1020" s="534">
        <v>2022</v>
      </c>
      <c r="H1020" s="563" t="s">
        <v>16972</v>
      </c>
      <c r="I1020" s="534" t="s">
        <v>16973</v>
      </c>
      <c r="J1020" s="534" t="s">
        <v>3</v>
      </c>
      <c r="K1020" s="539">
        <v>624400</v>
      </c>
      <c r="L1020" s="534">
        <v>1</v>
      </c>
      <c r="M1020" s="540">
        <v>624400</v>
      </c>
      <c r="N1020" s="534" t="s">
        <v>20155</v>
      </c>
      <c r="O1020" s="534" t="s">
        <v>17801</v>
      </c>
      <c r="P1020" s="884">
        <v>44737</v>
      </c>
      <c r="Q1020" s="535">
        <v>0</v>
      </c>
      <c r="R1020" s="535">
        <v>0</v>
      </c>
      <c r="S1020" s="535">
        <v>280000</v>
      </c>
      <c r="T1020" s="535">
        <v>0</v>
      </c>
      <c r="U1020" s="535">
        <v>280000</v>
      </c>
      <c r="V1020" s="541" t="e">
        <v>#N/A</v>
      </c>
      <c r="W1020" s="542">
        <v>0</v>
      </c>
      <c r="X1020" s="542">
        <v>0</v>
      </c>
      <c r="Y1020" s="542">
        <v>624400</v>
      </c>
      <c r="Z1020" s="542">
        <v>0</v>
      </c>
      <c r="AA1020" s="543"/>
      <c r="AB1020" s="543"/>
      <c r="AC1020" s="543">
        <v>2.23</v>
      </c>
      <c r="AD1020" s="543"/>
      <c r="AE1020" s="542">
        <v>0</v>
      </c>
      <c r="AF1020" s="542">
        <v>0</v>
      </c>
      <c r="AG1020" s="542">
        <v>0</v>
      </c>
      <c r="AH1020" s="544">
        <v>0</v>
      </c>
      <c r="AI1020" s="544">
        <v>0</v>
      </c>
      <c r="AJ1020" s="544">
        <v>2.23</v>
      </c>
      <c r="AK1020" s="544">
        <v>0</v>
      </c>
      <c r="AL1020" s="545">
        <v>0</v>
      </c>
      <c r="AM1020" s="545">
        <v>0</v>
      </c>
      <c r="AN1020" s="545" t="s">
        <v>20323</v>
      </c>
      <c r="AO1020" s="545">
        <v>0</v>
      </c>
    </row>
    <row r="1021" spans="1:41" hidden="1">
      <c r="A1021" s="533">
        <v>124</v>
      </c>
      <c r="B1021" s="534" t="s">
        <v>136</v>
      </c>
      <c r="C1021" s="535">
        <v>0</v>
      </c>
      <c r="D1021" s="536" t="s">
        <v>18763</v>
      </c>
      <c r="E1021" s="534" t="s">
        <v>136</v>
      </c>
      <c r="F1021" s="537">
        <v>44718</v>
      </c>
      <c r="G1021" s="534">
        <v>2022</v>
      </c>
      <c r="H1021" s="563" t="s">
        <v>17017</v>
      </c>
      <c r="I1021" s="534" t="s">
        <v>17018</v>
      </c>
      <c r="J1021" s="534" t="s">
        <v>3</v>
      </c>
      <c r="K1021" s="539">
        <v>23892</v>
      </c>
      <c r="L1021" s="534">
        <v>1</v>
      </c>
      <c r="M1021" s="540">
        <v>23892</v>
      </c>
      <c r="N1021" s="534" t="s">
        <v>20155</v>
      </c>
      <c r="O1021" s="534" t="s">
        <v>17954</v>
      </c>
      <c r="P1021" s="884">
        <v>44741</v>
      </c>
      <c r="Q1021" s="535">
        <v>0</v>
      </c>
      <c r="R1021" s="535">
        <v>0</v>
      </c>
      <c r="S1021" s="535">
        <v>0</v>
      </c>
      <c r="T1021" s="535">
        <v>4400</v>
      </c>
      <c r="U1021" s="535">
        <v>4400</v>
      </c>
      <c r="V1021" s="541" t="e">
        <v>#N/A</v>
      </c>
      <c r="W1021" s="542">
        <v>0</v>
      </c>
      <c r="X1021" s="542">
        <v>0</v>
      </c>
      <c r="Y1021" s="542">
        <v>0</v>
      </c>
      <c r="Z1021" s="542">
        <v>23892</v>
      </c>
      <c r="AA1021" s="543"/>
      <c r="AB1021" s="543"/>
      <c r="AC1021" s="543"/>
      <c r="AD1021" s="543">
        <v>5.43</v>
      </c>
      <c r="AE1021" s="542">
        <v>0</v>
      </c>
      <c r="AF1021" s="542">
        <v>0</v>
      </c>
      <c r="AG1021" s="542">
        <v>0</v>
      </c>
      <c r="AH1021" s="544">
        <v>0</v>
      </c>
      <c r="AI1021" s="544">
        <v>0</v>
      </c>
      <c r="AJ1021" s="544">
        <v>0</v>
      </c>
      <c r="AK1021" s="544">
        <v>5.43</v>
      </c>
      <c r="AL1021" s="545">
        <v>0</v>
      </c>
      <c r="AM1021" s="545">
        <v>0</v>
      </c>
      <c r="AN1021" s="545">
        <v>0</v>
      </c>
      <c r="AO1021" s="545">
        <v>1</v>
      </c>
    </row>
    <row r="1022" spans="1:41" hidden="1">
      <c r="A1022" s="533">
        <v>125</v>
      </c>
      <c r="B1022" s="534" t="s">
        <v>137</v>
      </c>
      <c r="C1022" s="535">
        <v>0</v>
      </c>
      <c r="D1022" s="536" t="s">
        <v>18764</v>
      </c>
      <c r="E1022" s="534" t="s">
        <v>137</v>
      </c>
      <c r="F1022" s="537">
        <v>44718</v>
      </c>
      <c r="G1022" s="534">
        <v>2022</v>
      </c>
      <c r="H1022" s="563" t="s">
        <v>17017</v>
      </c>
      <c r="I1022" s="534" t="s">
        <v>17018</v>
      </c>
      <c r="J1022" s="534" t="s">
        <v>3</v>
      </c>
      <c r="K1022" s="539">
        <v>17952</v>
      </c>
      <c r="L1022" s="534">
        <v>1</v>
      </c>
      <c r="M1022" s="540">
        <v>17952</v>
      </c>
      <c r="N1022" s="534" t="s">
        <v>20155</v>
      </c>
      <c r="O1022" s="534" t="s">
        <v>17238</v>
      </c>
      <c r="P1022" s="884">
        <v>44727</v>
      </c>
      <c r="Q1022" s="535">
        <v>0</v>
      </c>
      <c r="R1022" s="535">
        <v>0</v>
      </c>
      <c r="S1022" s="535">
        <v>0</v>
      </c>
      <c r="T1022" s="535">
        <v>3520</v>
      </c>
      <c r="U1022" s="535">
        <v>3520</v>
      </c>
      <c r="V1022" s="541" t="e">
        <v>#N/A</v>
      </c>
      <c r="W1022" s="542">
        <v>0</v>
      </c>
      <c r="X1022" s="542">
        <v>0</v>
      </c>
      <c r="Y1022" s="542">
        <v>0</v>
      </c>
      <c r="Z1022" s="542">
        <v>17952</v>
      </c>
      <c r="AA1022" s="543"/>
      <c r="AB1022" s="543"/>
      <c r="AC1022" s="543"/>
      <c r="AD1022" s="543">
        <v>5.0999999999999996</v>
      </c>
      <c r="AE1022" s="542">
        <v>0</v>
      </c>
      <c r="AF1022" s="542">
        <v>0</v>
      </c>
      <c r="AG1022" s="542">
        <v>0</v>
      </c>
      <c r="AH1022" s="544">
        <v>0</v>
      </c>
      <c r="AI1022" s="544">
        <v>0</v>
      </c>
      <c r="AJ1022" s="544">
        <v>0</v>
      </c>
      <c r="AK1022" s="544">
        <v>5.0999999999999996</v>
      </c>
      <c r="AL1022" s="545">
        <v>0</v>
      </c>
      <c r="AM1022" s="545">
        <v>0</v>
      </c>
      <c r="AN1022" s="545">
        <v>0</v>
      </c>
      <c r="AO1022" s="545">
        <v>1</v>
      </c>
    </row>
    <row r="1023" spans="1:41" hidden="1">
      <c r="A1023" s="533">
        <v>126</v>
      </c>
      <c r="B1023" s="534" t="s">
        <v>138</v>
      </c>
      <c r="C1023" s="535">
        <v>0</v>
      </c>
      <c r="D1023" s="536" t="s">
        <v>18765</v>
      </c>
      <c r="E1023" s="534" t="s">
        <v>138</v>
      </c>
      <c r="F1023" s="537">
        <v>44718</v>
      </c>
      <c r="G1023" s="534">
        <v>2022</v>
      </c>
      <c r="H1023" s="563" t="s">
        <v>16444</v>
      </c>
      <c r="I1023" s="534" t="s">
        <v>16445</v>
      </c>
      <c r="J1023" s="534" t="s">
        <v>3</v>
      </c>
      <c r="K1023" s="539">
        <v>124125.12</v>
      </c>
      <c r="L1023" s="534">
        <v>1</v>
      </c>
      <c r="M1023" s="540">
        <v>124125.12</v>
      </c>
      <c r="N1023" s="534" t="s">
        <v>20155</v>
      </c>
      <c r="O1023" s="534" t="s">
        <v>18248</v>
      </c>
      <c r="P1023" s="884">
        <v>44723</v>
      </c>
      <c r="Q1023" s="535">
        <v>44016</v>
      </c>
      <c r="R1023" s="535">
        <v>0</v>
      </c>
      <c r="S1023" s="535">
        <v>0</v>
      </c>
      <c r="T1023" s="535">
        <v>0</v>
      </c>
      <c r="U1023" s="535">
        <v>44016</v>
      </c>
      <c r="V1023" s="541" t="s">
        <v>20155</v>
      </c>
      <c r="W1023" s="542">
        <v>124125.12</v>
      </c>
      <c r="X1023" s="542">
        <v>0</v>
      </c>
      <c r="Y1023" s="542">
        <v>0</v>
      </c>
      <c r="Z1023" s="542">
        <v>0</v>
      </c>
      <c r="AA1023" s="543">
        <v>2.82</v>
      </c>
      <c r="AB1023" s="543"/>
      <c r="AC1023" s="543"/>
      <c r="AD1023" s="543"/>
      <c r="AE1023" s="542">
        <v>0</v>
      </c>
      <c r="AF1023" s="542">
        <v>0</v>
      </c>
      <c r="AG1023" s="542">
        <v>0</v>
      </c>
      <c r="AH1023" s="544">
        <v>2.82</v>
      </c>
      <c r="AI1023" s="544">
        <v>0</v>
      </c>
      <c r="AJ1023" s="544">
        <v>0</v>
      </c>
      <c r="AK1023" s="544">
        <v>0</v>
      </c>
      <c r="AL1023" s="545" t="s">
        <v>20324</v>
      </c>
      <c r="AM1023" s="545">
        <v>0</v>
      </c>
      <c r="AN1023" s="545">
        <v>0</v>
      </c>
      <c r="AO1023" s="545">
        <v>0</v>
      </c>
    </row>
    <row r="1024" spans="1:41" hidden="1">
      <c r="A1024" s="533">
        <v>127</v>
      </c>
      <c r="B1024" s="534" t="s">
        <v>139</v>
      </c>
      <c r="C1024" s="535">
        <v>0</v>
      </c>
      <c r="D1024" s="536" t="s">
        <v>18766</v>
      </c>
      <c r="E1024" s="534" t="s">
        <v>139</v>
      </c>
      <c r="F1024" s="537">
        <v>44718</v>
      </c>
      <c r="G1024" s="534">
        <v>2022</v>
      </c>
      <c r="H1024" s="563" t="s">
        <v>16444</v>
      </c>
      <c r="I1024" s="534" t="s">
        <v>16445</v>
      </c>
      <c r="J1024" s="534" t="s">
        <v>3</v>
      </c>
      <c r="K1024" s="539">
        <v>124125.12</v>
      </c>
      <c r="L1024" s="534">
        <v>1</v>
      </c>
      <c r="M1024" s="540">
        <v>124125.12</v>
      </c>
      <c r="N1024" s="534" t="s">
        <v>20155</v>
      </c>
      <c r="O1024" s="534" t="s">
        <v>17949</v>
      </c>
      <c r="P1024" s="884">
        <v>44723</v>
      </c>
      <c r="Q1024" s="535">
        <v>44016</v>
      </c>
      <c r="R1024" s="535">
        <v>0</v>
      </c>
      <c r="S1024" s="535">
        <v>0</v>
      </c>
      <c r="T1024" s="535">
        <v>0</v>
      </c>
      <c r="U1024" s="535">
        <v>44016</v>
      </c>
      <c r="V1024" s="541" t="s">
        <v>20155</v>
      </c>
      <c r="W1024" s="542">
        <v>124125.12</v>
      </c>
      <c r="X1024" s="542">
        <v>0</v>
      </c>
      <c r="Y1024" s="542">
        <v>0</v>
      </c>
      <c r="Z1024" s="542">
        <v>0</v>
      </c>
      <c r="AA1024" s="543">
        <v>2.82</v>
      </c>
      <c r="AB1024" s="543"/>
      <c r="AC1024" s="543"/>
      <c r="AD1024" s="543"/>
      <c r="AE1024" s="542">
        <v>0</v>
      </c>
      <c r="AF1024" s="542">
        <v>0</v>
      </c>
      <c r="AG1024" s="542">
        <v>0</v>
      </c>
      <c r="AH1024" s="544">
        <v>2.82</v>
      </c>
      <c r="AI1024" s="544">
        <v>0</v>
      </c>
      <c r="AJ1024" s="544">
        <v>0</v>
      </c>
      <c r="AK1024" s="544">
        <v>0</v>
      </c>
      <c r="AL1024" s="545" t="s">
        <v>20324</v>
      </c>
      <c r="AM1024" s="545">
        <v>0</v>
      </c>
      <c r="AN1024" s="545">
        <v>0</v>
      </c>
      <c r="AO1024" s="545">
        <v>0</v>
      </c>
    </row>
    <row r="1025" spans="1:41" hidden="1">
      <c r="A1025" s="533">
        <v>128</v>
      </c>
      <c r="B1025" s="534" t="s">
        <v>140</v>
      </c>
      <c r="C1025" s="535">
        <v>0</v>
      </c>
      <c r="D1025" s="536" t="s">
        <v>18767</v>
      </c>
      <c r="E1025" s="534" t="s">
        <v>140</v>
      </c>
      <c r="F1025" s="537">
        <v>44719</v>
      </c>
      <c r="G1025" s="534">
        <v>2022</v>
      </c>
      <c r="H1025" s="563" t="s">
        <v>16838</v>
      </c>
      <c r="I1025" s="534" t="s">
        <v>16839</v>
      </c>
      <c r="J1025" s="534" t="s">
        <v>3</v>
      </c>
      <c r="K1025" s="539">
        <v>290438</v>
      </c>
      <c r="L1025" s="534">
        <v>1</v>
      </c>
      <c r="M1025" s="540">
        <v>290438</v>
      </c>
      <c r="N1025" s="534" t="s">
        <v>20155</v>
      </c>
      <c r="O1025" s="534" t="s">
        <v>17771</v>
      </c>
      <c r="P1025" s="884">
        <v>44736</v>
      </c>
      <c r="Q1025" s="535">
        <v>3600</v>
      </c>
      <c r="R1025" s="535">
        <v>22200</v>
      </c>
      <c r="S1025" s="535">
        <v>84000</v>
      </c>
      <c r="T1025" s="535">
        <v>0</v>
      </c>
      <c r="U1025" s="535">
        <v>109800</v>
      </c>
      <c r="V1025" s="541" t="e">
        <v>#N/A</v>
      </c>
      <c r="W1025" s="542">
        <v>10080</v>
      </c>
      <c r="X1025" s="542">
        <v>59718</v>
      </c>
      <c r="Y1025" s="542">
        <v>220640</v>
      </c>
      <c r="Z1025" s="542">
        <v>0</v>
      </c>
      <c r="AA1025" s="543">
        <v>2.8</v>
      </c>
      <c r="AB1025" s="543">
        <v>2.69</v>
      </c>
      <c r="AC1025" s="543">
        <v>2.6266666666666665</v>
      </c>
      <c r="AD1025" s="543"/>
      <c r="AE1025" s="542">
        <v>0</v>
      </c>
      <c r="AF1025" s="542">
        <v>0</v>
      </c>
      <c r="AG1025" s="542">
        <v>0</v>
      </c>
      <c r="AH1025" s="544">
        <v>2.8</v>
      </c>
      <c r="AI1025" s="544">
        <v>2.69</v>
      </c>
      <c r="AJ1025" s="544">
        <v>2.6266666666666665</v>
      </c>
      <c r="AK1025" s="544">
        <v>0</v>
      </c>
      <c r="AL1025" s="545" t="s">
        <v>20324</v>
      </c>
      <c r="AM1025" s="545" t="s">
        <v>20300</v>
      </c>
      <c r="AN1025" s="545" t="s">
        <v>20323</v>
      </c>
      <c r="AO1025" s="545">
        <v>0</v>
      </c>
    </row>
    <row r="1026" spans="1:41" hidden="1">
      <c r="A1026" s="533">
        <v>129</v>
      </c>
      <c r="B1026" s="534" t="s">
        <v>141</v>
      </c>
      <c r="C1026" s="535">
        <v>0</v>
      </c>
      <c r="D1026" s="536" t="s">
        <v>18768</v>
      </c>
      <c r="E1026" s="534" t="s">
        <v>141</v>
      </c>
      <c r="F1026" s="537">
        <v>44719</v>
      </c>
      <c r="G1026" s="534">
        <v>2022</v>
      </c>
      <c r="H1026" s="563" t="s">
        <v>16643</v>
      </c>
      <c r="I1026" s="534" t="s">
        <v>16644</v>
      </c>
      <c r="J1026" s="534" t="s">
        <v>16482</v>
      </c>
      <c r="K1026" s="539">
        <v>218902.45788000003</v>
      </c>
      <c r="L1026" s="534">
        <v>3.2278500000000001</v>
      </c>
      <c r="M1026" s="540">
        <v>67816.800000000003</v>
      </c>
      <c r="N1026" s="534" t="s">
        <v>20155</v>
      </c>
      <c r="O1026" s="534" t="s">
        <v>18227</v>
      </c>
      <c r="P1026" s="884">
        <v>44729</v>
      </c>
      <c r="Q1026" s="535">
        <v>0</v>
      </c>
      <c r="R1026" s="535">
        <v>67608</v>
      </c>
      <c r="S1026" s="535">
        <v>0</v>
      </c>
      <c r="T1026" s="535">
        <v>0</v>
      </c>
      <c r="U1026" s="535">
        <v>67608</v>
      </c>
      <c r="V1026" s="541" t="e">
        <v>#N/A</v>
      </c>
      <c r="W1026" s="542">
        <v>0</v>
      </c>
      <c r="X1026" s="542">
        <v>218902.45788000003</v>
      </c>
      <c r="Y1026" s="542">
        <v>0</v>
      </c>
      <c r="Z1026" s="542">
        <v>0</v>
      </c>
      <c r="AA1026" s="543"/>
      <c r="AB1026" s="543">
        <v>3.2378188658146971</v>
      </c>
      <c r="AC1026" s="543"/>
      <c r="AD1026" s="543"/>
      <c r="AE1026" s="542">
        <v>11295.654999999999</v>
      </c>
      <c r="AF1026" s="542">
        <v>36981.629999999997</v>
      </c>
      <c r="AG1026" s="542">
        <v>0.54700079872204466</v>
      </c>
      <c r="AH1026" s="544"/>
      <c r="AI1026" s="544">
        <v>2.6908180670926525</v>
      </c>
      <c r="AJ1026" s="544"/>
      <c r="AK1026" s="544"/>
      <c r="AL1026" s="545">
        <v>0</v>
      </c>
      <c r="AM1026" s="545" t="s">
        <v>20300</v>
      </c>
      <c r="AN1026" s="545">
        <v>0</v>
      </c>
      <c r="AO1026" s="545">
        <v>0</v>
      </c>
    </row>
    <row r="1027" spans="1:41" hidden="1">
      <c r="A1027" s="533">
        <v>130</v>
      </c>
      <c r="B1027" s="534" t="s">
        <v>142</v>
      </c>
      <c r="C1027" s="535">
        <v>0</v>
      </c>
      <c r="D1027" s="536" t="s">
        <v>18769</v>
      </c>
      <c r="E1027" s="534" t="s">
        <v>142</v>
      </c>
      <c r="F1027" s="537">
        <v>44721</v>
      </c>
      <c r="G1027" s="534">
        <v>2022</v>
      </c>
      <c r="H1027" s="563" t="s">
        <v>16880</v>
      </c>
      <c r="I1027" s="534" t="s">
        <v>16881</v>
      </c>
      <c r="J1027" s="534" t="s">
        <v>16401</v>
      </c>
      <c r="K1027" s="539">
        <v>93338.476599999995</v>
      </c>
      <c r="L1027" s="534">
        <v>3.0817999999999999</v>
      </c>
      <c r="M1027" s="540">
        <v>30287</v>
      </c>
      <c r="N1027" s="534" t="s">
        <v>20155</v>
      </c>
      <c r="O1027" s="534" t="s">
        <v>20329</v>
      </c>
      <c r="P1027" s="884">
        <v>44727</v>
      </c>
      <c r="Q1027" s="535">
        <v>0</v>
      </c>
      <c r="R1027" s="535">
        <v>19900</v>
      </c>
      <c r="S1027" s="535">
        <v>0</v>
      </c>
      <c r="T1027" s="535">
        <v>0</v>
      </c>
      <c r="U1027" s="535">
        <v>19900</v>
      </c>
      <c r="V1027" s="541" t="s">
        <v>20231</v>
      </c>
      <c r="W1027" s="542">
        <v>0</v>
      </c>
      <c r="X1027" s="542">
        <v>93338.476599999995</v>
      </c>
      <c r="Y1027" s="542">
        <v>0</v>
      </c>
      <c r="Z1027" s="542">
        <v>0</v>
      </c>
      <c r="AA1027" s="543"/>
      <c r="AB1027" s="543">
        <v>4.6903757085427129</v>
      </c>
      <c r="AC1027" s="543"/>
      <c r="AD1027" s="543"/>
      <c r="AE1027" s="542">
        <v>0</v>
      </c>
      <c r="AF1027" s="542">
        <v>1612.8430000000001</v>
      </c>
      <c r="AG1027" s="542">
        <v>8.1047386934673366E-2</v>
      </c>
      <c r="AH1027" s="544"/>
      <c r="AI1027" s="544">
        <v>4.6093283216080394</v>
      </c>
      <c r="AJ1027" s="544"/>
      <c r="AK1027" s="544"/>
      <c r="AL1027" s="545">
        <v>0</v>
      </c>
      <c r="AM1027" s="545">
        <v>1</v>
      </c>
      <c r="AN1027" s="545">
        <v>0</v>
      </c>
      <c r="AO1027" s="545">
        <v>0</v>
      </c>
    </row>
    <row r="1028" spans="1:41" hidden="1">
      <c r="A1028" s="533">
        <v>131</v>
      </c>
      <c r="B1028" s="534" t="s">
        <v>143</v>
      </c>
      <c r="C1028" s="535">
        <v>0</v>
      </c>
      <c r="D1028" s="536" t="s">
        <v>18770</v>
      </c>
      <c r="E1028" s="534" t="s">
        <v>143</v>
      </c>
      <c r="F1028" s="537">
        <v>44721</v>
      </c>
      <c r="G1028" s="534">
        <v>2022</v>
      </c>
      <c r="H1028" s="563" t="s">
        <v>17287</v>
      </c>
      <c r="I1028" s="534" t="s">
        <v>17288</v>
      </c>
      <c r="J1028" s="534" t="s">
        <v>3</v>
      </c>
      <c r="K1028" s="539">
        <v>56000</v>
      </c>
      <c r="L1028" s="534">
        <v>1</v>
      </c>
      <c r="M1028" s="540">
        <v>56000</v>
      </c>
      <c r="N1028" s="534" t="s">
        <v>20155</v>
      </c>
      <c r="O1028" s="534" t="s">
        <v>20333</v>
      </c>
      <c r="P1028" s="884">
        <v>44732</v>
      </c>
      <c r="Q1028" s="535">
        <v>20000</v>
      </c>
      <c r="R1028" s="535">
        <v>0</v>
      </c>
      <c r="S1028" s="535">
        <v>0</v>
      </c>
      <c r="T1028" s="535">
        <v>0</v>
      </c>
      <c r="U1028" s="535">
        <v>20000</v>
      </c>
      <c r="V1028" s="541" t="s">
        <v>20231</v>
      </c>
      <c r="W1028" s="542">
        <v>56000</v>
      </c>
      <c r="X1028" s="542">
        <v>0</v>
      </c>
      <c r="Y1028" s="542">
        <v>0</v>
      </c>
      <c r="Z1028" s="542">
        <v>0</v>
      </c>
      <c r="AA1028" s="543">
        <v>2.8</v>
      </c>
      <c r="AB1028" s="543"/>
      <c r="AC1028" s="543"/>
      <c r="AD1028" s="543"/>
      <c r="AE1028" s="542">
        <v>0</v>
      </c>
      <c r="AF1028" s="542">
        <v>0</v>
      </c>
      <c r="AG1028" s="542">
        <v>0</v>
      </c>
      <c r="AH1028" s="544">
        <v>2.8</v>
      </c>
      <c r="AI1028" s="544">
        <v>0</v>
      </c>
      <c r="AJ1028" s="544">
        <v>0</v>
      </c>
      <c r="AK1028" s="544">
        <v>0</v>
      </c>
      <c r="AL1028" s="545" t="s">
        <v>20324</v>
      </c>
      <c r="AM1028" s="545">
        <v>0</v>
      </c>
      <c r="AN1028" s="545">
        <v>0</v>
      </c>
      <c r="AO1028" s="545">
        <v>0</v>
      </c>
    </row>
    <row r="1029" spans="1:41" hidden="1">
      <c r="A1029" s="533">
        <v>132</v>
      </c>
      <c r="B1029" s="534" t="s">
        <v>144</v>
      </c>
      <c r="C1029" s="535">
        <v>0</v>
      </c>
      <c r="D1029" s="536" t="s">
        <v>18771</v>
      </c>
      <c r="E1029" s="534" t="s">
        <v>144</v>
      </c>
      <c r="F1029" s="537">
        <v>44721</v>
      </c>
      <c r="G1029" s="534">
        <v>2022</v>
      </c>
      <c r="H1029" s="563" t="s">
        <v>17156</v>
      </c>
      <c r="I1029" s="534" t="s">
        <v>17157</v>
      </c>
      <c r="J1029" s="534" t="s">
        <v>3</v>
      </c>
      <c r="K1029" s="539">
        <v>198337.5</v>
      </c>
      <c r="L1029" s="534">
        <v>1</v>
      </c>
      <c r="M1029" s="540">
        <v>198337.5</v>
      </c>
      <c r="N1029" s="534" t="s">
        <v>20155</v>
      </c>
      <c r="O1029" s="534" t="s">
        <v>20161</v>
      </c>
      <c r="P1029" s="884">
        <v>44725</v>
      </c>
      <c r="Q1029" s="535">
        <v>0</v>
      </c>
      <c r="R1029" s="535">
        <v>61500</v>
      </c>
      <c r="S1029" s="535">
        <v>0</v>
      </c>
      <c r="T1029" s="535">
        <v>0</v>
      </c>
      <c r="U1029" s="535">
        <v>61500</v>
      </c>
      <c r="V1029" s="541" t="s">
        <v>20155</v>
      </c>
      <c r="W1029" s="542">
        <v>0</v>
      </c>
      <c r="X1029" s="542">
        <v>198337.5</v>
      </c>
      <c r="Y1029" s="542">
        <v>0</v>
      </c>
      <c r="Z1029" s="542">
        <v>0</v>
      </c>
      <c r="AA1029" s="543"/>
      <c r="AB1029" s="543">
        <v>3.2250000000000001</v>
      </c>
      <c r="AC1029" s="543"/>
      <c r="AD1029" s="543"/>
      <c r="AE1029" s="542">
        <v>0</v>
      </c>
      <c r="AF1029" s="542">
        <v>0</v>
      </c>
      <c r="AG1029" s="542">
        <v>0</v>
      </c>
      <c r="AH1029" s="544">
        <v>0</v>
      </c>
      <c r="AI1029" s="544">
        <v>3.2250000000000001</v>
      </c>
      <c r="AJ1029" s="544">
        <v>0</v>
      </c>
      <c r="AK1029" s="544">
        <v>0</v>
      </c>
      <c r="AL1029" s="545">
        <v>0</v>
      </c>
      <c r="AM1029" s="545">
        <v>1</v>
      </c>
      <c r="AN1029" s="545">
        <v>0</v>
      </c>
      <c r="AO1029" s="545">
        <v>0</v>
      </c>
    </row>
    <row r="1030" spans="1:41" hidden="1">
      <c r="A1030" s="533">
        <v>133</v>
      </c>
      <c r="B1030" s="534" t="s">
        <v>145</v>
      </c>
      <c r="C1030" s="535">
        <v>0</v>
      </c>
      <c r="D1030" s="536" t="s">
        <v>18772</v>
      </c>
      <c r="E1030" s="534" t="s">
        <v>145</v>
      </c>
      <c r="F1030" s="537">
        <v>44722</v>
      </c>
      <c r="G1030" s="534">
        <v>2022</v>
      </c>
      <c r="H1030" s="563" t="s">
        <v>16838</v>
      </c>
      <c r="I1030" s="534" t="s">
        <v>16839</v>
      </c>
      <c r="J1030" s="534" t="s">
        <v>3</v>
      </c>
      <c r="K1030" s="539">
        <v>593335.68000000005</v>
      </c>
      <c r="L1030" s="534">
        <v>1</v>
      </c>
      <c r="M1030" s="540">
        <v>593335.68000000005</v>
      </c>
      <c r="N1030" s="534" t="s">
        <v>20155</v>
      </c>
      <c r="O1030" s="534" t="s">
        <v>20321</v>
      </c>
      <c r="P1030" s="884">
        <v>44732</v>
      </c>
      <c r="Q1030" s="535">
        <v>0</v>
      </c>
      <c r="R1030" s="535">
        <v>242088</v>
      </c>
      <c r="S1030" s="535">
        <v>0</v>
      </c>
      <c r="T1030" s="535">
        <v>0</v>
      </c>
      <c r="U1030" s="535">
        <v>242088</v>
      </c>
      <c r="V1030" s="541" t="s">
        <v>20231</v>
      </c>
      <c r="W1030" s="542">
        <v>0</v>
      </c>
      <c r="X1030" s="542">
        <v>593335.68000000005</v>
      </c>
      <c r="Y1030" s="542">
        <v>0</v>
      </c>
      <c r="Z1030" s="542">
        <v>0</v>
      </c>
      <c r="AA1030" s="543"/>
      <c r="AB1030" s="543">
        <v>2.4509090909090911</v>
      </c>
      <c r="AC1030" s="543"/>
      <c r="AD1030" s="543"/>
      <c r="AE1030" s="542">
        <v>0</v>
      </c>
      <c r="AF1030" s="542">
        <v>0</v>
      </c>
      <c r="AG1030" s="542">
        <v>0</v>
      </c>
      <c r="AH1030" s="544">
        <v>0</v>
      </c>
      <c r="AI1030" s="544">
        <v>2.4509090909090911</v>
      </c>
      <c r="AJ1030" s="544">
        <v>0</v>
      </c>
      <c r="AK1030" s="544">
        <v>0</v>
      </c>
      <c r="AL1030" s="545">
        <v>0</v>
      </c>
      <c r="AM1030" s="545" t="s">
        <v>20323</v>
      </c>
      <c r="AN1030" s="545">
        <v>0</v>
      </c>
      <c r="AO1030" s="545">
        <v>0</v>
      </c>
    </row>
    <row r="1031" spans="1:41" hidden="1">
      <c r="A1031" s="533">
        <v>134</v>
      </c>
      <c r="B1031" s="534" t="s">
        <v>146</v>
      </c>
      <c r="C1031" s="535">
        <v>0</v>
      </c>
      <c r="D1031" s="536" t="s">
        <v>18773</v>
      </c>
      <c r="E1031" s="534" t="s">
        <v>146</v>
      </c>
      <c r="F1031" s="537">
        <v>44725</v>
      </c>
      <c r="G1031" s="534">
        <v>2022</v>
      </c>
      <c r="H1031" s="563" t="s">
        <v>16783</v>
      </c>
      <c r="I1031" s="534" t="s">
        <v>16784</v>
      </c>
      <c r="J1031" s="534" t="s">
        <v>16401</v>
      </c>
      <c r="K1031" s="539">
        <v>1549810.5792</v>
      </c>
      <c r="L1031" s="534">
        <v>3.0738500000000002</v>
      </c>
      <c r="M1031" s="540">
        <v>504192</v>
      </c>
      <c r="N1031" s="534" t="s">
        <v>20155</v>
      </c>
      <c r="O1031" s="534" t="s">
        <v>17939</v>
      </c>
      <c r="P1031" s="884">
        <v>44733</v>
      </c>
      <c r="Q1031" s="535">
        <v>0</v>
      </c>
      <c r="R1031" s="535">
        <v>403200</v>
      </c>
      <c r="S1031" s="535">
        <v>96000</v>
      </c>
      <c r="T1031" s="535">
        <v>0</v>
      </c>
      <c r="U1031" s="535">
        <v>499200</v>
      </c>
      <c r="V1031" s="541" t="s">
        <v>20231</v>
      </c>
      <c r="W1031" s="542">
        <v>0</v>
      </c>
      <c r="X1031" s="542">
        <v>1251770.0831999998</v>
      </c>
      <c r="Y1031" s="542">
        <v>298040.49600000004</v>
      </c>
      <c r="Z1031" s="542">
        <v>0</v>
      </c>
      <c r="AA1031" s="543"/>
      <c r="AB1031" s="543">
        <v>3.1045884999999993</v>
      </c>
      <c r="AC1031" s="543">
        <v>3.1045885000000006</v>
      </c>
      <c r="AD1031" s="543"/>
      <c r="AE1031" s="542">
        <v>0</v>
      </c>
      <c r="AF1031" s="542">
        <v>0</v>
      </c>
      <c r="AG1031" s="542">
        <v>0</v>
      </c>
      <c r="AH1031" s="544">
        <v>0</v>
      </c>
      <c r="AI1031" s="544">
        <v>3.1045884999999993</v>
      </c>
      <c r="AJ1031" s="544">
        <v>3.1045885000000006</v>
      </c>
      <c r="AK1031" s="544">
        <v>0</v>
      </c>
      <c r="AL1031" s="545">
        <v>0</v>
      </c>
      <c r="AM1031" s="545" t="s">
        <v>20324</v>
      </c>
      <c r="AN1031" s="545" t="s">
        <v>20324</v>
      </c>
      <c r="AO1031" s="545">
        <v>0</v>
      </c>
    </row>
    <row r="1032" spans="1:41" hidden="1">
      <c r="A1032" s="533">
        <v>135</v>
      </c>
      <c r="B1032" s="534" t="s">
        <v>147</v>
      </c>
      <c r="C1032" s="535">
        <v>0</v>
      </c>
      <c r="D1032" s="536" t="s">
        <v>18774</v>
      </c>
      <c r="E1032" s="534" t="s">
        <v>147</v>
      </c>
      <c r="F1032" s="537">
        <v>44726</v>
      </c>
      <c r="G1032" s="534">
        <v>2022</v>
      </c>
      <c r="H1032" s="563" t="s">
        <v>16957</v>
      </c>
      <c r="I1032" s="534" t="s">
        <v>16958</v>
      </c>
      <c r="J1032" s="534" t="s">
        <v>16401</v>
      </c>
      <c r="K1032" s="539">
        <v>156151.58000000002</v>
      </c>
      <c r="L1032" s="534">
        <v>3.0738500000000002</v>
      </c>
      <c r="M1032" s="540">
        <v>50800</v>
      </c>
      <c r="N1032" s="534" t="s">
        <v>20155</v>
      </c>
      <c r="O1032" s="534" t="s">
        <v>20161</v>
      </c>
      <c r="P1032" s="884">
        <v>44737</v>
      </c>
      <c r="Q1032" s="535">
        <v>40000</v>
      </c>
      <c r="R1032" s="535">
        <v>0</v>
      </c>
      <c r="S1032" s="535">
        <v>0</v>
      </c>
      <c r="T1032" s="535">
        <v>0</v>
      </c>
      <c r="U1032" s="535">
        <v>40000</v>
      </c>
      <c r="V1032" s="541" t="s">
        <v>20231</v>
      </c>
      <c r="W1032" s="542">
        <v>156151.57999999999</v>
      </c>
      <c r="X1032" s="542">
        <v>0</v>
      </c>
      <c r="Y1032" s="542">
        <v>0</v>
      </c>
      <c r="Z1032" s="542">
        <v>0</v>
      </c>
      <c r="AA1032" s="543">
        <v>3.9037894999999998</v>
      </c>
      <c r="AB1032" s="543"/>
      <c r="AC1032" s="543"/>
      <c r="AD1032" s="543"/>
      <c r="AE1032" s="542">
        <v>3199.2160000000003</v>
      </c>
      <c r="AF1032" s="542">
        <v>21713.936000000002</v>
      </c>
      <c r="AG1032" s="542">
        <v>0.54284840000000001</v>
      </c>
      <c r="AH1032" s="544">
        <v>3.3609410999999998</v>
      </c>
      <c r="AI1032" s="544"/>
      <c r="AJ1032" s="544"/>
      <c r="AK1032" s="544"/>
      <c r="AL1032" s="545">
        <v>1</v>
      </c>
      <c r="AM1032" s="545">
        <v>0</v>
      </c>
      <c r="AN1032" s="545">
        <v>0</v>
      </c>
      <c r="AO1032" s="545">
        <v>0</v>
      </c>
    </row>
    <row r="1033" spans="1:41" hidden="1">
      <c r="A1033" s="533">
        <v>136</v>
      </c>
      <c r="B1033" s="534" t="s">
        <v>148</v>
      </c>
      <c r="C1033" s="535">
        <v>0</v>
      </c>
      <c r="D1033" s="536" t="s">
        <v>18775</v>
      </c>
      <c r="E1033" s="534" t="s">
        <v>148</v>
      </c>
      <c r="F1033" s="537">
        <v>44726</v>
      </c>
      <c r="G1033" s="534">
        <v>2022</v>
      </c>
      <c r="H1033" s="563" t="s">
        <v>16444</v>
      </c>
      <c r="I1033" s="534" t="s">
        <v>16445</v>
      </c>
      <c r="J1033" s="534" t="s">
        <v>3</v>
      </c>
      <c r="K1033" s="539">
        <v>146094</v>
      </c>
      <c r="L1033" s="534">
        <v>1</v>
      </c>
      <c r="M1033" s="540">
        <v>146094</v>
      </c>
      <c r="N1033" s="534" t="s">
        <v>20155</v>
      </c>
      <c r="O1033" s="534" t="s">
        <v>18248</v>
      </c>
      <c r="P1033" s="884">
        <v>44732</v>
      </c>
      <c r="Q1033" s="535">
        <v>11040</v>
      </c>
      <c r="R1033" s="535">
        <v>40200</v>
      </c>
      <c r="S1033" s="535">
        <v>2400</v>
      </c>
      <c r="T1033" s="535">
        <v>0</v>
      </c>
      <c r="U1033" s="535">
        <v>53640</v>
      </c>
      <c r="V1033" s="541" t="s">
        <v>20231</v>
      </c>
      <c r="W1033" s="542">
        <v>31194</v>
      </c>
      <c r="X1033" s="542">
        <v>108540</v>
      </c>
      <c r="Y1033" s="542">
        <v>6360</v>
      </c>
      <c r="Z1033" s="542">
        <v>0</v>
      </c>
      <c r="AA1033" s="543">
        <v>2.8255434782608697</v>
      </c>
      <c r="AB1033" s="543">
        <v>2.7</v>
      </c>
      <c r="AC1033" s="543">
        <v>2.65</v>
      </c>
      <c r="AD1033" s="543"/>
      <c r="AE1033" s="542">
        <v>0</v>
      </c>
      <c r="AF1033" s="542">
        <v>0</v>
      </c>
      <c r="AG1033" s="542">
        <v>0</v>
      </c>
      <c r="AH1033" s="544">
        <v>2.8255434782608697</v>
      </c>
      <c r="AI1033" s="544">
        <v>2.7</v>
      </c>
      <c r="AJ1033" s="544">
        <v>2.65</v>
      </c>
      <c r="AK1033" s="544">
        <v>0</v>
      </c>
      <c r="AL1033" s="545" t="s">
        <v>20324</v>
      </c>
      <c r="AM1033" s="545" t="s">
        <v>20316</v>
      </c>
      <c r="AN1033" s="545" t="s">
        <v>20316</v>
      </c>
      <c r="AO1033" s="545">
        <v>0</v>
      </c>
    </row>
    <row r="1034" spans="1:41" hidden="1">
      <c r="A1034" s="533">
        <v>137</v>
      </c>
      <c r="B1034" s="534" t="s">
        <v>149</v>
      </c>
      <c r="C1034" s="535">
        <v>0</v>
      </c>
      <c r="D1034" s="536" t="s">
        <v>18776</v>
      </c>
      <c r="E1034" s="534" t="s">
        <v>149</v>
      </c>
      <c r="F1034" s="537">
        <v>44726</v>
      </c>
      <c r="G1034" s="534">
        <v>2022</v>
      </c>
      <c r="H1034" s="563" t="s">
        <v>16444</v>
      </c>
      <c r="I1034" s="534" t="s">
        <v>16445</v>
      </c>
      <c r="J1034" s="534" t="s">
        <v>3</v>
      </c>
      <c r="K1034" s="539">
        <v>77148</v>
      </c>
      <c r="L1034" s="534">
        <v>1</v>
      </c>
      <c r="M1034" s="540">
        <v>77148</v>
      </c>
      <c r="N1034" s="534" t="s">
        <v>20155</v>
      </c>
      <c r="O1034" s="534" t="s">
        <v>18248</v>
      </c>
      <c r="P1034" s="884">
        <v>44732</v>
      </c>
      <c r="Q1034" s="535">
        <v>8400</v>
      </c>
      <c r="R1034" s="535">
        <v>19800</v>
      </c>
      <c r="S1034" s="535">
        <v>0</v>
      </c>
      <c r="T1034" s="535">
        <v>0</v>
      </c>
      <c r="U1034" s="535">
        <v>28200</v>
      </c>
      <c r="V1034" s="541" t="e">
        <v>#N/A</v>
      </c>
      <c r="W1034" s="542">
        <v>23688</v>
      </c>
      <c r="X1034" s="542">
        <v>53460</v>
      </c>
      <c r="Y1034" s="542">
        <v>0</v>
      </c>
      <c r="Z1034" s="542">
        <v>0</v>
      </c>
      <c r="AA1034" s="543">
        <v>2.82</v>
      </c>
      <c r="AB1034" s="543">
        <v>2.7</v>
      </c>
      <c r="AC1034" s="543"/>
      <c r="AD1034" s="543"/>
      <c r="AE1034" s="542">
        <v>0</v>
      </c>
      <c r="AF1034" s="542">
        <v>0</v>
      </c>
      <c r="AG1034" s="542">
        <v>0</v>
      </c>
      <c r="AH1034" s="544">
        <v>2.82</v>
      </c>
      <c r="AI1034" s="544">
        <v>2.7</v>
      </c>
      <c r="AJ1034" s="544">
        <v>0</v>
      </c>
      <c r="AK1034" s="544">
        <v>0</v>
      </c>
      <c r="AL1034" s="545" t="s">
        <v>20324</v>
      </c>
      <c r="AM1034" s="545" t="s">
        <v>20316</v>
      </c>
      <c r="AN1034" s="545">
        <v>0</v>
      </c>
      <c r="AO1034" s="545">
        <v>0</v>
      </c>
    </row>
    <row r="1035" spans="1:41" hidden="1">
      <c r="A1035" s="564">
        <v>138</v>
      </c>
      <c r="B1035" s="496" t="s">
        <v>150</v>
      </c>
      <c r="C1035" s="565">
        <v>0</v>
      </c>
      <c r="D1035" s="566" t="s">
        <v>20334</v>
      </c>
      <c r="E1035" s="496" t="s">
        <v>150</v>
      </c>
      <c r="F1035" s="567">
        <v>44726</v>
      </c>
      <c r="G1035" s="496">
        <v>2022</v>
      </c>
      <c r="H1035" s="568" t="s">
        <v>17203</v>
      </c>
      <c r="I1035" s="496" t="s">
        <v>17205</v>
      </c>
      <c r="J1035" s="496" t="s">
        <v>16401</v>
      </c>
      <c r="K1035" s="497">
        <v>220370.62464000002</v>
      </c>
      <c r="L1035" s="496">
        <v>3.0829</v>
      </c>
      <c r="M1035" s="498">
        <v>71481.600000000006</v>
      </c>
      <c r="N1035" s="496" t="s">
        <v>20164</v>
      </c>
      <c r="O1035" s="496" t="s">
        <v>17939</v>
      </c>
      <c r="P1035" s="880">
        <v>0</v>
      </c>
      <c r="Q1035" s="565">
        <v>0</v>
      </c>
      <c r="R1035" s="565">
        <v>0</v>
      </c>
      <c r="S1035" s="565">
        <v>0</v>
      </c>
      <c r="T1035" s="565">
        <v>0</v>
      </c>
      <c r="U1035" s="565">
        <v>0</v>
      </c>
      <c r="V1035" s="354"/>
      <c r="W1035" s="569"/>
      <c r="X1035" s="569"/>
      <c r="Y1035" s="569"/>
      <c r="Z1035" s="569"/>
      <c r="AA1035" s="570"/>
      <c r="AB1035" s="570"/>
      <c r="AC1035" s="570"/>
      <c r="AD1035" s="570"/>
      <c r="AE1035" s="569"/>
      <c r="AF1035" s="569"/>
      <c r="AG1035" s="569"/>
      <c r="AH1035" s="571"/>
      <c r="AI1035" s="571"/>
      <c r="AJ1035" s="571"/>
      <c r="AK1035" s="571"/>
      <c r="AL1035" s="572"/>
      <c r="AM1035" s="572"/>
      <c r="AN1035" s="572"/>
      <c r="AO1035" s="572"/>
    </row>
    <row r="1036" spans="1:41" hidden="1">
      <c r="A1036" s="533">
        <v>139</v>
      </c>
      <c r="B1036" s="534" t="s">
        <v>151</v>
      </c>
      <c r="C1036" s="535">
        <v>0</v>
      </c>
      <c r="D1036" s="536" t="s">
        <v>18777</v>
      </c>
      <c r="E1036" s="534" t="s">
        <v>151</v>
      </c>
      <c r="F1036" s="537">
        <v>44727</v>
      </c>
      <c r="G1036" s="534">
        <v>2022</v>
      </c>
      <c r="H1036" s="563" t="s">
        <v>17278</v>
      </c>
      <c r="I1036" s="534" t="s">
        <v>17279</v>
      </c>
      <c r="J1036" s="534" t="s">
        <v>16482</v>
      </c>
      <c r="K1036" s="539">
        <v>855817.80900000001</v>
      </c>
      <c r="L1036" s="534">
        <v>3.2336499999999999</v>
      </c>
      <c r="M1036" s="540">
        <v>264660</v>
      </c>
      <c r="N1036" s="534" t="s">
        <v>20155</v>
      </c>
      <c r="O1036" s="534" t="s">
        <v>20173</v>
      </c>
      <c r="P1036" s="884">
        <v>44734</v>
      </c>
      <c r="Q1036" s="535">
        <v>21600</v>
      </c>
      <c r="R1036" s="535">
        <v>0</v>
      </c>
      <c r="S1036" s="535">
        <v>278400</v>
      </c>
      <c r="T1036" s="535">
        <v>0</v>
      </c>
      <c r="U1036" s="535">
        <v>300000</v>
      </c>
      <c r="V1036" s="541" t="e">
        <v>#N/A</v>
      </c>
      <c r="W1036" s="542">
        <v>68100.669000000009</v>
      </c>
      <c r="X1036" s="542">
        <v>0</v>
      </c>
      <c r="Y1036" s="542">
        <v>787717.14</v>
      </c>
      <c r="Z1036" s="542">
        <v>0</v>
      </c>
      <c r="AA1036" s="543">
        <v>3.1528087500000006</v>
      </c>
      <c r="AB1036" s="543"/>
      <c r="AC1036" s="543">
        <v>2.8294437500000003</v>
      </c>
      <c r="AD1036" s="543"/>
      <c r="AE1036" s="542">
        <v>35696.622499999998</v>
      </c>
      <c r="AF1036" s="542">
        <v>114152.2</v>
      </c>
      <c r="AG1036" s="542">
        <v>0.38050733333333331</v>
      </c>
      <c r="AH1036" s="544">
        <v>2.7723014166666671</v>
      </c>
      <c r="AI1036" s="544"/>
      <c r="AJ1036" s="544">
        <v>2.4489364166666672</v>
      </c>
      <c r="AK1036" s="544"/>
      <c r="AL1036" s="545" t="s">
        <v>20324</v>
      </c>
      <c r="AM1036" s="545" t="s">
        <v>20300</v>
      </c>
      <c r="AN1036" s="545">
        <v>0</v>
      </c>
      <c r="AO1036" s="545">
        <v>0</v>
      </c>
    </row>
    <row r="1037" spans="1:41" hidden="1">
      <c r="A1037" s="533">
        <v>140</v>
      </c>
      <c r="B1037" s="534" t="s">
        <v>152</v>
      </c>
      <c r="C1037" s="535">
        <v>0</v>
      </c>
      <c r="D1037" s="536" t="s">
        <v>18778</v>
      </c>
      <c r="E1037" s="534" t="s">
        <v>152</v>
      </c>
      <c r="F1037" s="537">
        <v>44729</v>
      </c>
      <c r="G1037" s="534">
        <v>2022</v>
      </c>
      <c r="H1037" s="563" t="s">
        <v>17203</v>
      </c>
      <c r="I1037" s="534" t="s">
        <v>17205</v>
      </c>
      <c r="J1037" s="534" t="s">
        <v>16401</v>
      </c>
      <c r="K1037" s="539">
        <v>97532.491392000011</v>
      </c>
      <c r="L1037" s="534">
        <v>3.0933000000000002</v>
      </c>
      <c r="M1037" s="540">
        <v>31530.240000000002</v>
      </c>
      <c r="N1037" s="534" t="s">
        <v>20155</v>
      </c>
      <c r="O1037" s="534" t="s">
        <v>17939</v>
      </c>
      <c r="P1037" s="884">
        <v>44732</v>
      </c>
      <c r="Q1037" s="535">
        <v>0</v>
      </c>
      <c r="R1037" s="535">
        <v>28915.200000000001</v>
      </c>
      <c r="S1037" s="535">
        <v>1996.8</v>
      </c>
      <c r="T1037" s="535">
        <v>0</v>
      </c>
      <c r="U1037" s="535">
        <v>30912</v>
      </c>
      <c r="V1037" s="541" t="s">
        <v>20231</v>
      </c>
      <c r="W1037" s="542">
        <v>0</v>
      </c>
      <c r="X1037" s="542">
        <v>91232.255923199991</v>
      </c>
      <c r="Y1037" s="542">
        <v>6300.2354688000005</v>
      </c>
      <c r="Z1037" s="542">
        <v>0</v>
      </c>
      <c r="AA1037" s="543"/>
      <c r="AB1037" s="543">
        <v>3.1551659999999995</v>
      </c>
      <c r="AC1037" s="543">
        <v>3.1551660000000004</v>
      </c>
      <c r="AD1037" s="543"/>
      <c r="AE1037" s="542">
        <v>0</v>
      </c>
      <c r="AF1037" s="542">
        <v>0</v>
      </c>
      <c r="AG1037" s="542">
        <v>0</v>
      </c>
      <c r="AH1037" s="544">
        <v>0</v>
      </c>
      <c r="AI1037" s="544">
        <v>3.1551659999999995</v>
      </c>
      <c r="AJ1037" s="544">
        <v>3.1551660000000004</v>
      </c>
      <c r="AK1037" s="544">
        <v>0</v>
      </c>
      <c r="AL1037" s="545">
        <v>0</v>
      </c>
      <c r="AM1037" s="545" t="s">
        <v>20324</v>
      </c>
      <c r="AN1037" s="545" t="s">
        <v>20324</v>
      </c>
      <c r="AO1037" s="545">
        <v>0</v>
      </c>
    </row>
    <row r="1038" spans="1:41" hidden="1">
      <c r="A1038" s="533">
        <v>141</v>
      </c>
      <c r="B1038" s="534" t="s">
        <v>153</v>
      </c>
      <c r="C1038" s="535">
        <v>0</v>
      </c>
      <c r="D1038" s="536" t="s">
        <v>18779</v>
      </c>
      <c r="E1038" s="534" t="s">
        <v>153</v>
      </c>
      <c r="F1038" s="537">
        <v>44732</v>
      </c>
      <c r="G1038" s="534">
        <v>2022</v>
      </c>
      <c r="H1038" s="563" t="s">
        <v>17209</v>
      </c>
      <c r="I1038" s="534" t="s">
        <v>17210</v>
      </c>
      <c r="J1038" s="534" t="s">
        <v>16401</v>
      </c>
      <c r="K1038" s="539">
        <v>39480.549899999998</v>
      </c>
      <c r="L1038" s="534">
        <v>3.0634999999999999</v>
      </c>
      <c r="M1038" s="540">
        <v>12887.4</v>
      </c>
      <c r="N1038" s="534" t="s">
        <v>20155</v>
      </c>
      <c r="O1038" s="534" t="s">
        <v>20168</v>
      </c>
      <c r="P1038" s="884">
        <v>44742</v>
      </c>
      <c r="Q1038" s="535">
        <v>0</v>
      </c>
      <c r="R1038" s="535">
        <v>5760</v>
      </c>
      <c r="S1038" s="535">
        <v>1920</v>
      </c>
      <c r="T1038" s="535">
        <v>1250</v>
      </c>
      <c r="U1038" s="535">
        <v>8930</v>
      </c>
      <c r="V1038" s="541" t="e">
        <v>#N/A</v>
      </c>
      <c r="W1038" s="542">
        <v>0</v>
      </c>
      <c r="X1038" s="542">
        <v>23983.611133706607</v>
      </c>
      <c r="Y1038" s="542">
        <v>7994.5370445688695</v>
      </c>
      <c r="Z1038" s="542">
        <v>7502.4017217245255</v>
      </c>
      <c r="AA1038" s="543"/>
      <c r="AB1038" s="543">
        <v>4.1638213773796195</v>
      </c>
      <c r="AC1038" s="543">
        <v>4.1638213773796195</v>
      </c>
      <c r="AD1038" s="543">
        <v>6.0019213773796203</v>
      </c>
      <c r="AE1038" s="542">
        <v>978.67000000000007</v>
      </c>
      <c r="AF1038" s="542">
        <v>6189.6850000000004</v>
      </c>
      <c r="AG1038" s="542">
        <v>0.69313381858902579</v>
      </c>
      <c r="AH1038" s="544"/>
      <c r="AI1038" s="544">
        <v>3.4706875587905937</v>
      </c>
      <c r="AJ1038" s="544">
        <v>3.4706875587905937</v>
      </c>
      <c r="AK1038" s="544">
        <v>5.3087875587905948</v>
      </c>
      <c r="AL1038" s="545">
        <v>0</v>
      </c>
      <c r="AM1038" s="545">
        <v>1</v>
      </c>
      <c r="AN1038" s="545">
        <v>1</v>
      </c>
      <c r="AO1038" s="545">
        <v>1</v>
      </c>
    </row>
    <row r="1039" spans="1:41" hidden="1">
      <c r="A1039" s="533">
        <v>142</v>
      </c>
      <c r="B1039" s="534" t="s">
        <v>154</v>
      </c>
      <c r="C1039" s="535">
        <v>0</v>
      </c>
      <c r="D1039" s="536" t="s">
        <v>18780</v>
      </c>
      <c r="E1039" s="534" t="s">
        <v>154</v>
      </c>
      <c r="F1039" s="537">
        <v>44733</v>
      </c>
      <c r="G1039" s="534">
        <v>2022</v>
      </c>
      <c r="H1039" s="563" t="s">
        <v>16838</v>
      </c>
      <c r="I1039" s="534" t="s">
        <v>16839</v>
      </c>
      <c r="J1039" s="534" t="s">
        <v>3</v>
      </c>
      <c r="K1039" s="539">
        <v>430584</v>
      </c>
      <c r="L1039" s="534">
        <v>1</v>
      </c>
      <c r="M1039" s="540">
        <v>430584</v>
      </c>
      <c r="N1039" s="534" t="s">
        <v>20155</v>
      </c>
      <c r="O1039" s="534" t="s">
        <v>17949</v>
      </c>
      <c r="P1039" s="884">
        <v>44765</v>
      </c>
      <c r="Q1039" s="535">
        <v>131640</v>
      </c>
      <c r="R1039" s="535">
        <v>22800</v>
      </c>
      <c r="S1039" s="535">
        <v>0</v>
      </c>
      <c r="T1039" s="535">
        <v>0</v>
      </c>
      <c r="U1039" s="535">
        <v>154440</v>
      </c>
      <c r="V1039" s="541" t="e">
        <v>#N/A</v>
      </c>
      <c r="W1039" s="542">
        <v>369024</v>
      </c>
      <c r="X1039" s="542">
        <v>61560</v>
      </c>
      <c r="Y1039" s="542">
        <v>0</v>
      </c>
      <c r="Z1039" s="542">
        <v>0</v>
      </c>
      <c r="AA1039" s="543">
        <v>2.8032816773017322</v>
      </c>
      <c r="AB1039" s="543">
        <v>2.7</v>
      </c>
      <c r="AC1039" s="543"/>
      <c r="AD1039" s="543"/>
      <c r="AE1039" s="542">
        <v>0</v>
      </c>
      <c r="AF1039" s="542">
        <v>0</v>
      </c>
      <c r="AG1039" s="542">
        <v>0</v>
      </c>
      <c r="AH1039" s="544">
        <v>2.8032816773017322</v>
      </c>
      <c r="AI1039" s="544">
        <v>2.7</v>
      </c>
      <c r="AJ1039" s="544">
        <v>0</v>
      </c>
      <c r="AK1039" s="544">
        <v>0</v>
      </c>
      <c r="AL1039" s="545" t="s">
        <v>20324</v>
      </c>
      <c r="AM1039" s="545" t="s">
        <v>20316</v>
      </c>
      <c r="AN1039" s="545">
        <v>0</v>
      </c>
      <c r="AO1039" s="545">
        <v>0</v>
      </c>
    </row>
    <row r="1040" spans="1:41" hidden="1">
      <c r="A1040" s="533">
        <v>143</v>
      </c>
      <c r="B1040" s="534" t="s">
        <v>155</v>
      </c>
      <c r="C1040" s="535">
        <v>0</v>
      </c>
      <c r="D1040" s="536" t="s">
        <v>18781</v>
      </c>
      <c r="E1040" s="534" t="s">
        <v>155</v>
      </c>
      <c r="F1040" s="537">
        <v>44737</v>
      </c>
      <c r="G1040" s="534">
        <v>2022</v>
      </c>
      <c r="H1040" s="563" t="s">
        <v>17329</v>
      </c>
      <c r="I1040" s="534" t="s">
        <v>17330</v>
      </c>
      <c r="J1040" s="534" t="s">
        <v>16401</v>
      </c>
      <c r="K1040" s="539">
        <v>106853.238375</v>
      </c>
      <c r="L1040" s="534">
        <v>3.0615000000000001</v>
      </c>
      <c r="M1040" s="540">
        <v>34902.25</v>
      </c>
      <c r="N1040" s="534" t="s">
        <v>20155</v>
      </c>
      <c r="O1040" s="534" t="s">
        <v>20335</v>
      </c>
      <c r="P1040" s="884">
        <v>44749</v>
      </c>
      <c r="Q1040" s="535">
        <v>3600</v>
      </c>
      <c r="R1040" s="535">
        <v>6000</v>
      </c>
      <c r="S1040" s="535">
        <v>1000</v>
      </c>
      <c r="T1040" s="535">
        <v>9215</v>
      </c>
      <c r="U1040" s="535">
        <v>19815</v>
      </c>
      <c r="V1040" s="541" t="e">
        <v>#N/A</v>
      </c>
      <c r="W1040" s="542">
        <v>13005.252</v>
      </c>
      <c r="X1040" s="542">
        <v>20389.589999999997</v>
      </c>
      <c r="Y1040" s="542">
        <v>3321.7274999999995</v>
      </c>
      <c r="Z1040" s="542">
        <v>53298.418874999996</v>
      </c>
      <c r="AA1040" s="543">
        <v>3.6125700000000003</v>
      </c>
      <c r="AB1040" s="543">
        <v>3.3982649999999994</v>
      </c>
      <c r="AC1040" s="543">
        <v>3.3217274999999997</v>
      </c>
      <c r="AD1040" s="543">
        <v>5.7838761665762339</v>
      </c>
      <c r="AE1040" s="542">
        <v>6193.8376499999995</v>
      </c>
      <c r="AF1040" s="542">
        <v>18837.629000000001</v>
      </c>
      <c r="AG1040" s="542">
        <v>0.95067519555892011</v>
      </c>
      <c r="AH1040" s="544">
        <v>2.6618948044410802</v>
      </c>
      <c r="AI1040" s="544">
        <v>2.4475898044410793</v>
      </c>
      <c r="AJ1040" s="544">
        <v>2.3710523044410796</v>
      </c>
      <c r="AK1040" s="544">
        <v>4.8332009710173143</v>
      </c>
      <c r="AL1040" s="545">
        <v>1</v>
      </c>
      <c r="AM1040" s="545">
        <v>1</v>
      </c>
      <c r="AN1040" s="545">
        <v>1</v>
      </c>
      <c r="AO1040" s="545">
        <v>1</v>
      </c>
    </row>
    <row r="1041" spans="1:41" hidden="1">
      <c r="A1041" s="533">
        <v>144</v>
      </c>
      <c r="B1041" s="534" t="s">
        <v>156</v>
      </c>
      <c r="C1041" s="535">
        <v>0</v>
      </c>
      <c r="D1041" s="536" t="s">
        <v>18783</v>
      </c>
      <c r="E1041" s="534" t="s">
        <v>156</v>
      </c>
      <c r="F1041" s="537">
        <v>44740</v>
      </c>
      <c r="G1041" s="534">
        <v>2022</v>
      </c>
      <c r="H1041" s="563" t="s">
        <v>16444</v>
      </c>
      <c r="I1041" s="534" t="s">
        <v>16445</v>
      </c>
      <c r="J1041" s="534" t="s">
        <v>3</v>
      </c>
      <c r="K1041" s="539">
        <v>350880</v>
      </c>
      <c r="L1041" s="534">
        <v>1</v>
      </c>
      <c r="M1041" s="540">
        <v>350880</v>
      </c>
      <c r="N1041" s="534" t="s">
        <v>20155</v>
      </c>
      <c r="O1041" s="534" t="s">
        <v>20173</v>
      </c>
      <c r="P1041" s="884">
        <v>44746</v>
      </c>
      <c r="Q1041" s="535">
        <v>0</v>
      </c>
      <c r="R1041" s="535">
        <v>136000</v>
      </c>
      <c r="S1041" s="535">
        <v>0</v>
      </c>
      <c r="T1041" s="535">
        <v>0</v>
      </c>
      <c r="U1041" s="535">
        <v>136000</v>
      </c>
      <c r="V1041" s="541" t="e">
        <v>#N/A</v>
      </c>
      <c r="W1041" s="542">
        <v>0</v>
      </c>
      <c r="X1041" s="542">
        <v>350880</v>
      </c>
      <c r="Y1041" s="542">
        <v>0</v>
      </c>
      <c r="Z1041" s="542">
        <v>0</v>
      </c>
      <c r="AA1041" s="543"/>
      <c r="AB1041" s="543">
        <v>2.58</v>
      </c>
      <c r="AC1041" s="543"/>
      <c r="AD1041" s="543"/>
      <c r="AE1041" s="542">
        <v>0</v>
      </c>
      <c r="AF1041" s="542">
        <v>0</v>
      </c>
      <c r="AG1041" s="542">
        <v>0</v>
      </c>
      <c r="AH1041" s="544">
        <v>0</v>
      </c>
      <c r="AI1041" s="544">
        <v>2.58</v>
      </c>
      <c r="AJ1041" s="544">
        <v>0</v>
      </c>
      <c r="AK1041" s="544">
        <v>0</v>
      </c>
      <c r="AL1041" s="545">
        <v>0</v>
      </c>
      <c r="AM1041" s="545" t="s">
        <v>20300</v>
      </c>
      <c r="AN1041" s="545">
        <v>0</v>
      </c>
      <c r="AO1041" s="545">
        <v>0</v>
      </c>
    </row>
    <row r="1042" spans="1:41" hidden="1">
      <c r="A1042" s="533">
        <v>145</v>
      </c>
      <c r="B1042" s="534" t="s">
        <v>157</v>
      </c>
      <c r="C1042" s="535">
        <v>0</v>
      </c>
      <c r="D1042" s="536" t="s">
        <v>18784</v>
      </c>
      <c r="E1042" s="534" t="s">
        <v>157</v>
      </c>
      <c r="F1042" s="537">
        <v>44746</v>
      </c>
      <c r="G1042" s="534">
        <v>2022</v>
      </c>
      <c r="H1042" s="563" t="s">
        <v>16972</v>
      </c>
      <c r="I1042" s="534" t="s">
        <v>16973</v>
      </c>
      <c r="J1042" s="534" t="s">
        <v>3</v>
      </c>
      <c r="K1042" s="539">
        <v>624400</v>
      </c>
      <c r="L1042" s="534">
        <v>1</v>
      </c>
      <c r="M1042" s="540">
        <v>624400</v>
      </c>
      <c r="N1042" s="534" t="s">
        <v>20155</v>
      </c>
      <c r="O1042" s="534" t="s">
        <v>17801</v>
      </c>
      <c r="P1042" s="884">
        <v>44756</v>
      </c>
      <c r="Q1042" s="535">
        <v>0</v>
      </c>
      <c r="R1042" s="535">
        <v>0</v>
      </c>
      <c r="S1042" s="535">
        <v>280000</v>
      </c>
      <c r="T1042" s="535">
        <v>0</v>
      </c>
      <c r="U1042" s="535">
        <v>280000</v>
      </c>
      <c r="V1042" s="541" t="s">
        <v>20231</v>
      </c>
      <c r="W1042" s="542">
        <v>0</v>
      </c>
      <c r="X1042" s="542">
        <v>0</v>
      </c>
      <c r="Y1042" s="542">
        <v>624400</v>
      </c>
      <c r="Z1042" s="542">
        <v>0</v>
      </c>
      <c r="AA1042" s="543"/>
      <c r="AB1042" s="543"/>
      <c r="AC1042" s="543">
        <v>2.23</v>
      </c>
      <c r="AD1042" s="543"/>
      <c r="AE1042" s="542">
        <v>0</v>
      </c>
      <c r="AF1042" s="542">
        <v>0</v>
      </c>
      <c r="AG1042" s="542">
        <v>0</v>
      </c>
      <c r="AH1042" s="544">
        <v>0</v>
      </c>
      <c r="AI1042" s="544">
        <v>0</v>
      </c>
      <c r="AJ1042" s="544">
        <v>2.23</v>
      </c>
      <c r="AK1042" s="544">
        <v>0</v>
      </c>
      <c r="AL1042" s="545">
        <v>0</v>
      </c>
      <c r="AM1042" s="545">
        <v>0</v>
      </c>
      <c r="AN1042" s="545" t="s">
        <v>20323</v>
      </c>
      <c r="AO1042" s="545">
        <v>0</v>
      </c>
    </row>
    <row r="1043" spans="1:41" hidden="1">
      <c r="A1043" s="533">
        <v>146</v>
      </c>
      <c r="B1043" s="534" t="s">
        <v>158</v>
      </c>
      <c r="C1043" s="535">
        <v>0</v>
      </c>
      <c r="D1043" s="536" t="s">
        <v>18785</v>
      </c>
      <c r="E1043" s="534" t="s">
        <v>158</v>
      </c>
      <c r="F1043" s="537">
        <v>44746</v>
      </c>
      <c r="G1043" s="534">
        <v>2022</v>
      </c>
      <c r="H1043" s="563" t="s">
        <v>16957</v>
      </c>
      <c r="I1043" s="534" t="s">
        <v>16958</v>
      </c>
      <c r="J1043" s="534" t="s">
        <v>16401</v>
      </c>
      <c r="K1043" s="539">
        <v>157251.4</v>
      </c>
      <c r="L1043" s="534">
        <v>3.0954999999999999</v>
      </c>
      <c r="M1043" s="540">
        <v>50800</v>
      </c>
      <c r="N1043" s="534" t="s">
        <v>20155</v>
      </c>
      <c r="O1043" s="534" t="s">
        <v>20161</v>
      </c>
      <c r="P1043" s="884">
        <v>44749</v>
      </c>
      <c r="Q1043" s="535">
        <v>40000</v>
      </c>
      <c r="R1043" s="535">
        <v>0</v>
      </c>
      <c r="S1043" s="535">
        <v>0</v>
      </c>
      <c r="T1043" s="535">
        <v>0</v>
      </c>
      <c r="U1043" s="535">
        <v>40000</v>
      </c>
      <c r="V1043" s="541"/>
      <c r="W1043" s="542">
        <v>157251.4</v>
      </c>
      <c r="X1043" s="542">
        <v>0</v>
      </c>
      <c r="Y1043" s="542">
        <v>0</v>
      </c>
      <c r="Z1043" s="542">
        <v>0</v>
      </c>
      <c r="AA1043" s="543">
        <v>3.9312849999999999</v>
      </c>
      <c r="AB1043" s="543"/>
      <c r="AC1043" s="543"/>
      <c r="AD1043" s="543"/>
      <c r="AE1043" s="542">
        <v>3072.7200000000003</v>
      </c>
      <c r="AF1043" s="542">
        <v>21007.85</v>
      </c>
      <c r="AG1043" s="542">
        <v>0.52519624999999992</v>
      </c>
      <c r="AH1043" s="544">
        <v>3.4060887499999999</v>
      </c>
      <c r="AI1043" s="544"/>
      <c r="AJ1043" s="544"/>
      <c r="AK1043" s="544"/>
      <c r="AL1043" s="545">
        <v>1</v>
      </c>
      <c r="AM1043" s="545">
        <v>0</v>
      </c>
      <c r="AN1043" s="545">
        <v>0</v>
      </c>
      <c r="AO1043" s="545">
        <v>0</v>
      </c>
    </row>
    <row r="1044" spans="1:41" hidden="1">
      <c r="A1044" s="533" t="s">
        <v>159</v>
      </c>
      <c r="B1044" s="534" t="s">
        <v>159</v>
      </c>
      <c r="C1044" s="535">
        <v>0</v>
      </c>
      <c r="D1044" s="536" t="s">
        <v>18786</v>
      </c>
      <c r="E1044" s="534" t="s">
        <v>159</v>
      </c>
      <c r="F1044" s="537">
        <v>44746</v>
      </c>
      <c r="G1044" s="534">
        <v>2022</v>
      </c>
      <c r="H1044" s="563" t="s">
        <v>16754</v>
      </c>
      <c r="I1044" s="534" t="s">
        <v>16755</v>
      </c>
      <c r="J1044" s="534" t="s">
        <v>16401</v>
      </c>
      <c r="K1044" s="539">
        <v>425292.36749999999</v>
      </c>
      <c r="L1044" s="534">
        <v>3.1608499999999999</v>
      </c>
      <c r="M1044" s="540">
        <v>134550</v>
      </c>
      <c r="N1044" s="534" t="s">
        <v>20155</v>
      </c>
      <c r="O1044" s="534" t="s">
        <v>20336</v>
      </c>
      <c r="P1044" s="884">
        <v>44756</v>
      </c>
      <c r="Q1044" s="535">
        <v>0</v>
      </c>
      <c r="R1044" s="535">
        <v>0</v>
      </c>
      <c r="S1044" s="535">
        <v>130000</v>
      </c>
      <c r="T1044" s="535">
        <v>0</v>
      </c>
      <c r="U1044" s="535">
        <v>130000</v>
      </c>
      <c r="V1044" s="541"/>
      <c r="W1044" s="542">
        <v>0</v>
      </c>
      <c r="X1044" s="542">
        <v>0</v>
      </c>
      <c r="Y1044" s="542">
        <v>425292.36749999999</v>
      </c>
      <c r="Z1044" s="542">
        <v>0</v>
      </c>
      <c r="AA1044" s="543"/>
      <c r="AB1044" s="543"/>
      <c r="AC1044" s="543">
        <v>3.2714797500000001</v>
      </c>
      <c r="AD1044" s="543"/>
      <c r="AE1044" s="542">
        <v>19704.125</v>
      </c>
      <c r="AF1044" s="542">
        <v>63764.195</v>
      </c>
      <c r="AG1044" s="542">
        <v>0.49049380769230772</v>
      </c>
      <c r="AH1044" s="544"/>
      <c r="AI1044" s="544"/>
      <c r="AJ1044" s="544">
        <v>2.7809859423076926</v>
      </c>
      <c r="AK1044" s="544"/>
      <c r="AL1044" s="545">
        <v>0</v>
      </c>
      <c r="AM1044" s="545">
        <v>0</v>
      </c>
      <c r="AN1044" s="545" t="s">
        <v>20300</v>
      </c>
      <c r="AO1044" s="545">
        <v>0</v>
      </c>
    </row>
    <row r="1045" spans="1:41" hidden="1">
      <c r="A1045" s="533" t="s">
        <v>160</v>
      </c>
      <c r="B1045" s="534" t="s">
        <v>160</v>
      </c>
      <c r="C1045" s="535">
        <v>0</v>
      </c>
      <c r="D1045" s="536" t="s">
        <v>18787</v>
      </c>
      <c r="E1045" s="534" t="s">
        <v>160</v>
      </c>
      <c r="F1045" s="537">
        <v>44754</v>
      </c>
      <c r="G1045" s="534">
        <v>2022</v>
      </c>
      <c r="H1045" s="563" t="s">
        <v>17156</v>
      </c>
      <c r="I1045" s="534" t="s">
        <v>17157</v>
      </c>
      <c r="J1045" s="534" t="s">
        <v>3</v>
      </c>
      <c r="K1045" s="539">
        <v>132225</v>
      </c>
      <c r="L1045" s="534">
        <v>1</v>
      </c>
      <c r="M1045" s="540">
        <v>132225</v>
      </c>
      <c r="N1045" s="534" t="s">
        <v>20155</v>
      </c>
      <c r="O1045" s="534" t="s">
        <v>20161</v>
      </c>
      <c r="P1045" s="884">
        <v>44762</v>
      </c>
      <c r="Q1045" s="535">
        <v>0</v>
      </c>
      <c r="R1045" s="535">
        <v>41000</v>
      </c>
      <c r="S1045" s="535">
        <v>0</v>
      </c>
      <c r="T1045" s="535">
        <v>0</v>
      </c>
      <c r="U1045" s="535">
        <v>41000</v>
      </c>
      <c r="V1045" s="541"/>
      <c r="W1045" s="542">
        <v>0</v>
      </c>
      <c r="X1045" s="542">
        <v>132225</v>
      </c>
      <c r="Y1045" s="542">
        <v>0</v>
      </c>
      <c r="Z1045" s="542">
        <v>0</v>
      </c>
      <c r="AA1045" s="543"/>
      <c r="AB1045" s="543">
        <v>3.2250000000000001</v>
      </c>
      <c r="AC1045" s="543"/>
      <c r="AD1045" s="543"/>
      <c r="AE1045" s="542">
        <v>0</v>
      </c>
      <c r="AF1045" s="542">
        <v>0</v>
      </c>
      <c r="AG1045" s="542">
        <v>0</v>
      </c>
      <c r="AH1045" s="544">
        <v>0</v>
      </c>
      <c r="AI1045" s="544">
        <v>3.2250000000000001</v>
      </c>
      <c r="AJ1045" s="544">
        <v>0</v>
      </c>
      <c r="AK1045" s="544">
        <v>0</v>
      </c>
      <c r="AL1045" s="545">
        <v>0</v>
      </c>
      <c r="AM1045" s="545">
        <v>1</v>
      </c>
      <c r="AN1045" s="545">
        <v>0</v>
      </c>
      <c r="AO1045" s="545">
        <v>0</v>
      </c>
    </row>
    <row r="1046" spans="1:41" hidden="1">
      <c r="A1046" s="533" t="s">
        <v>161</v>
      </c>
      <c r="B1046" s="534" t="s">
        <v>161</v>
      </c>
      <c r="C1046" s="535">
        <v>0</v>
      </c>
      <c r="D1046" s="536" t="s">
        <v>18788</v>
      </c>
      <c r="E1046" s="534" t="s">
        <v>161</v>
      </c>
      <c r="F1046" s="537">
        <v>44754</v>
      </c>
      <c r="G1046" s="534">
        <v>2022</v>
      </c>
      <c r="H1046" s="563" t="s">
        <v>17017</v>
      </c>
      <c r="I1046" s="534" t="s">
        <v>17018</v>
      </c>
      <c r="J1046" s="534" t="s">
        <v>3</v>
      </c>
      <c r="K1046" s="539">
        <v>64600</v>
      </c>
      <c r="L1046" s="534">
        <v>1</v>
      </c>
      <c r="M1046" s="540">
        <v>64600</v>
      </c>
      <c r="N1046" s="534" t="s">
        <v>20155</v>
      </c>
      <c r="O1046" s="534" t="s">
        <v>18064</v>
      </c>
      <c r="P1046" s="884">
        <v>44762</v>
      </c>
      <c r="Q1046" s="535">
        <v>0</v>
      </c>
      <c r="R1046" s="535">
        <v>20000</v>
      </c>
      <c r="S1046" s="535">
        <v>0</v>
      </c>
      <c r="T1046" s="535">
        <v>0</v>
      </c>
      <c r="U1046" s="535">
        <v>20000</v>
      </c>
      <c r="V1046" s="541"/>
      <c r="W1046" s="542">
        <v>0</v>
      </c>
      <c r="X1046" s="542">
        <v>64600</v>
      </c>
      <c r="Y1046" s="542">
        <v>0</v>
      </c>
      <c r="Z1046" s="542">
        <v>0</v>
      </c>
      <c r="AA1046" s="543"/>
      <c r="AB1046" s="543">
        <v>3.23</v>
      </c>
      <c r="AC1046" s="543"/>
      <c r="AD1046" s="543"/>
      <c r="AE1046" s="542">
        <v>0</v>
      </c>
      <c r="AF1046" s="542">
        <v>0</v>
      </c>
      <c r="AG1046" s="542">
        <v>0</v>
      </c>
      <c r="AH1046" s="544">
        <v>0</v>
      </c>
      <c r="AI1046" s="544">
        <v>3.23</v>
      </c>
      <c r="AJ1046" s="544">
        <v>0</v>
      </c>
      <c r="AK1046" s="544">
        <v>0</v>
      </c>
      <c r="AL1046" s="545">
        <v>0</v>
      </c>
      <c r="AM1046" s="545">
        <v>1</v>
      </c>
      <c r="AN1046" s="545">
        <v>0</v>
      </c>
      <c r="AO1046" s="545">
        <v>0</v>
      </c>
    </row>
    <row r="1047" spans="1:41" hidden="1">
      <c r="A1047" s="533" t="s">
        <v>162</v>
      </c>
      <c r="B1047" s="534" t="s">
        <v>162</v>
      </c>
      <c r="C1047" s="535">
        <v>0</v>
      </c>
      <c r="D1047" s="536" t="s">
        <v>18789</v>
      </c>
      <c r="E1047" s="534" t="s">
        <v>162</v>
      </c>
      <c r="F1047" s="537">
        <v>44754</v>
      </c>
      <c r="G1047" s="534">
        <v>2022</v>
      </c>
      <c r="H1047" s="563" t="s">
        <v>17017</v>
      </c>
      <c r="I1047" s="534" t="s">
        <v>17018</v>
      </c>
      <c r="J1047" s="534" t="s">
        <v>3</v>
      </c>
      <c r="K1047" s="539">
        <v>64600</v>
      </c>
      <c r="L1047" s="534">
        <v>1</v>
      </c>
      <c r="M1047" s="540">
        <v>64600</v>
      </c>
      <c r="N1047" s="534" t="s">
        <v>20155</v>
      </c>
      <c r="O1047" s="534" t="s">
        <v>18064</v>
      </c>
      <c r="P1047" s="884">
        <v>44768</v>
      </c>
      <c r="Q1047" s="535">
        <v>0</v>
      </c>
      <c r="R1047" s="535">
        <v>20000</v>
      </c>
      <c r="S1047" s="535">
        <v>0</v>
      </c>
      <c r="T1047" s="535">
        <v>0</v>
      </c>
      <c r="U1047" s="535">
        <v>20000</v>
      </c>
      <c r="V1047" s="541"/>
      <c r="W1047" s="542">
        <v>0</v>
      </c>
      <c r="X1047" s="542">
        <v>64600</v>
      </c>
      <c r="Y1047" s="542">
        <v>0</v>
      </c>
      <c r="Z1047" s="542">
        <v>0</v>
      </c>
      <c r="AA1047" s="543"/>
      <c r="AB1047" s="543">
        <v>3.23</v>
      </c>
      <c r="AC1047" s="543"/>
      <c r="AD1047" s="543"/>
      <c r="AE1047" s="542">
        <v>0</v>
      </c>
      <c r="AF1047" s="542">
        <v>0</v>
      </c>
      <c r="AG1047" s="542">
        <v>0</v>
      </c>
      <c r="AH1047" s="544">
        <v>0</v>
      </c>
      <c r="AI1047" s="544">
        <v>3.23</v>
      </c>
      <c r="AJ1047" s="544">
        <v>0</v>
      </c>
      <c r="AK1047" s="544">
        <v>0</v>
      </c>
      <c r="AL1047" s="545">
        <v>0</v>
      </c>
      <c r="AM1047" s="545">
        <v>1</v>
      </c>
      <c r="AN1047" s="545">
        <v>0</v>
      </c>
      <c r="AO1047" s="545">
        <v>0</v>
      </c>
    </row>
    <row r="1048" spans="1:41" hidden="1">
      <c r="A1048" s="533" t="s">
        <v>163</v>
      </c>
      <c r="B1048" s="534" t="s">
        <v>163</v>
      </c>
      <c r="C1048" s="535">
        <v>0</v>
      </c>
      <c r="D1048" s="536" t="s">
        <v>18790</v>
      </c>
      <c r="E1048" s="534" t="s">
        <v>163</v>
      </c>
      <c r="F1048" s="537">
        <v>44755</v>
      </c>
      <c r="G1048" s="534">
        <v>2022</v>
      </c>
      <c r="H1048" s="563" t="s">
        <v>17278</v>
      </c>
      <c r="I1048" s="534" t="s">
        <v>17279</v>
      </c>
      <c r="J1048" s="534" t="s">
        <v>16482</v>
      </c>
      <c r="K1048" s="539">
        <v>606527.94848349993</v>
      </c>
      <c r="L1048" s="534">
        <v>3.1953499999999999</v>
      </c>
      <c r="M1048" s="540">
        <v>189815.81</v>
      </c>
      <c r="N1048" s="534" t="s">
        <v>20302</v>
      </c>
      <c r="O1048" s="534" t="s">
        <v>20173</v>
      </c>
      <c r="P1048" s="884">
        <v>44788</v>
      </c>
      <c r="Q1048" s="535">
        <v>0</v>
      </c>
      <c r="R1048" s="535">
        <v>195686</v>
      </c>
      <c r="S1048" s="535">
        <v>0</v>
      </c>
      <c r="T1048" s="535">
        <v>0</v>
      </c>
      <c r="U1048" s="535">
        <v>195686</v>
      </c>
      <c r="V1048" s="541"/>
      <c r="W1048" s="542">
        <v>0</v>
      </c>
      <c r="X1048" s="542">
        <v>606527.94209280005</v>
      </c>
      <c r="Y1048" s="542">
        <v>0</v>
      </c>
      <c r="Z1048" s="542">
        <v>0</v>
      </c>
      <c r="AA1048" s="543" t="e">
        <v>#DIV/0!</v>
      </c>
      <c r="AB1048" s="543">
        <v>3.0994958356387277</v>
      </c>
      <c r="AC1048" s="543" t="e">
        <v>#DIV/0!</v>
      </c>
      <c r="AD1048" s="543" t="e">
        <v>#DIV/0!</v>
      </c>
      <c r="AE1048" s="542">
        <v>32703.795599999998</v>
      </c>
      <c r="AF1048" s="542">
        <v>102760.266</v>
      </c>
      <c r="AG1048" s="542">
        <v>0.52512834847664114</v>
      </c>
      <c r="AH1048" s="544" t="e">
        <v>#DIV/0!</v>
      </c>
      <c r="AI1048" s="544">
        <v>2.5743674871620863</v>
      </c>
      <c r="AJ1048" s="544" t="e">
        <v>#DIV/0!</v>
      </c>
      <c r="AK1048" s="544" t="e">
        <v>#DIV/0!</v>
      </c>
      <c r="AL1048" s="545">
        <v>0</v>
      </c>
      <c r="AM1048" s="545" t="s">
        <v>20300</v>
      </c>
      <c r="AN1048" s="545">
        <v>0</v>
      </c>
      <c r="AO1048" s="545">
        <v>0</v>
      </c>
    </row>
    <row r="1049" spans="1:41" hidden="1">
      <c r="A1049" s="533" t="s">
        <v>164</v>
      </c>
      <c r="B1049" s="534" t="s">
        <v>164</v>
      </c>
      <c r="C1049" s="535">
        <v>0</v>
      </c>
      <c r="D1049" s="536" t="s">
        <v>18791</v>
      </c>
      <c r="E1049" s="534" t="s">
        <v>164</v>
      </c>
      <c r="F1049" s="537">
        <v>44755</v>
      </c>
      <c r="G1049" s="534">
        <v>2022</v>
      </c>
      <c r="H1049" s="563" t="s">
        <v>16957</v>
      </c>
      <c r="I1049" s="534" t="s">
        <v>16958</v>
      </c>
      <c r="J1049" s="534" t="s">
        <v>16401</v>
      </c>
      <c r="K1049" s="539">
        <v>159931.1</v>
      </c>
      <c r="L1049" s="534">
        <v>3.14825</v>
      </c>
      <c r="M1049" s="540">
        <v>50800</v>
      </c>
      <c r="N1049" s="534" t="s">
        <v>20155</v>
      </c>
      <c r="O1049" s="534" t="s">
        <v>20161</v>
      </c>
      <c r="P1049" s="884">
        <v>44771</v>
      </c>
      <c r="Q1049" s="535">
        <v>40000</v>
      </c>
      <c r="R1049" s="535">
        <v>0</v>
      </c>
      <c r="S1049" s="535">
        <v>0</v>
      </c>
      <c r="T1049" s="535">
        <v>0</v>
      </c>
      <c r="U1049" s="535">
        <v>40000</v>
      </c>
      <c r="V1049" s="541"/>
      <c r="W1049" s="542">
        <v>159931.1</v>
      </c>
      <c r="X1049" s="542">
        <v>0</v>
      </c>
      <c r="Y1049" s="542">
        <v>0</v>
      </c>
      <c r="Z1049" s="542">
        <v>0</v>
      </c>
      <c r="AA1049" s="543">
        <v>3.9982774999999999</v>
      </c>
      <c r="AB1049" s="543"/>
      <c r="AC1049" s="543"/>
      <c r="AD1049" s="543"/>
      <c r="AE1049" s="542">
        <v>3084.9920000000002</v>
      </c>
      <c r="AF1049" s="542">
        <v>21046.858</v>
      </c>
      <c r="AG1049" s="542">
        <v>0.52617144999999999</v>
      </c>
      <c r="AH1049" s="544">
        <v>3.4721060499999998</v>
      </c>
      <c r="AI1049" s="544"/>
      <c r="AJ1049" s="544"/>
      <c r="AK1049" s="544"/>
      <c r="AL1049" s="545">
        <v>1</v>
      </c>
      <c r="AM1049" s="545">
        <v>0</v>
      </c>
      <c r="AN1049" s="545">
        <v>0</v>
      </c>
      <c r="AO1049" s="545">
        <v>0</v>
      </c>
    </row>
    <row r="1050" spans="1:41" hidden="1">
      <c r="A1050" s="533" t="s">
        <v>165</v>
      </c>
      <c r="B1050" s="534" t="s">
        <v>165</v>
      </c>
      <c r="C1050" s="535">
        <v>0</v>
      </c>
      <c r="D1050" s="536" t="s">
        <v>18792</v>
      </c>
      <c r="E1050" s="534" t="s">
        <v>165</v>
      </c>
      <c r="F1050" s="537">
        <v>44755</v>
      </c>
      <c r="G1050" s="534">
        <v>2022</v>
      </c>
      <c r="H1050" s="563" t="s">
        <v>16444</v>
      </c>
      <c r="I1050" s="534" t="s">
        <v>16445</v>
      </c>
      <c r="J1050" s="534" t="s">
        <v>3</v>
      </c>
      <c r="K1050" s="539">
        <v>153552</v>
      </c>
      <c r="L1050" s="534">
        <v>1</v>
      </c>
      <c r="M1050" s="540">
        <v>153552</v>
      </c>
      <c r="N1050" s="534" t="s">
        <v>20155</v>
      </c>
      <c r="O1050" s="534" t="s">
        <v>20173</v>
      </c>
      <c r="P1050" s="884">
        <v>44775</v>
      </c>
      <c r="Q1050" s="535">
        <v>33600</v>
      </c>
      <c r="R1050" s="535">
        <v>22400</v>
      </c>
      <c r="S1050" s="535">
        <v>0</v>
      </c>
      <c r="T1050" s="535">
        <v>0</v>
      </c>
      <c r="U1050" s="535">
        <v>56000</v>
      </c>
      <c r="V1050" s="541"/>
      <c r="W1050" s="542">
        <v>95760</v>
      </c>
      <c r="X1050" s="542">
        <v>57792</v>
      </c>
      <c r="Y1050" s="542">
        <v>0</v>
      </c>
      <c r="Z1050" s="542">
        <v>0</v>
      </c>
      <c r="AA1050" s="543">
        <v>2.85</v>
      </c>
      <c r="AB1050" s="543">
        <v>2.58</v>
      </c>
      <c r="AC1050" s="543"/>
      <c r="AD1050" s="543"/>
      <c r="AE1050" s="542">
        <v>0</v>
      </c>
      <c r="AF1050" s="542">
        <v>0</v>
      </c>
      <c r="AG1050" s="542">
        <v>0</v>
      </c>
      <c r="AH1050" s="544">
        <v>2.85</v>
      </c>
      <c r="AI1050" s="544">
        <v>2.58</v>
      </c>
      <c r="AJ1050" s="544">
        <v>0</v>
      </c>
      <c r="AK1050" s="544">
        <v>0</v>
      </c>
      <c r="AL1050" s="545" t="s">
        <v>20324</v>
      </c>
      <c r="AM1050" s="545" t="s">
        <v>20300</v>
      </c>
      <c r="AN1050" s="545">
        <v>0</v>
      </c>
      <c r="AO1050" s="545">
        <v>0</v>
      </c>
    </row>
    <row r="1051" spans="1:41" hidden="1">
      <c r="A1051" s="533" t="s">
        <v>166</v>
      </c>
      <c r="B1051" s="534" t="s">
        <v>166</v>
      </c>
      <c r="C1051" s="535">
        <v>0</v>
      </c>
      <c r="D1051" s="536" t="s">
        <v>18793</v>
      </c>
      <c r="E1051" s="534" t="s">
        <v>166</v>
      </c>
      <c r="F1051" s="537">
        <v>44761</v>
      </c>
      <c r="G1051" s="534">
        <v>2022</v>
      </c>
      <c r="H1051" s="563" t="s">
        <v>17332</v>
      </c>
      <c r="I1051" s="534" t="s">
        <v>17333</v>
      </c>
      <c r="J1051" s="534" t="s">
        <v>3</v>
      </c>
      <c r="K1051" s="539">
        <v>258008.25599999999</v>
      </c>
      <c r="L1051" s="534">
        <v>1</v>
      </c>
      <c r="M1051" s="540">
        <v>258008.25599999999</v>
      </c>
      <c r="N1051" s="534" t="s">
        <v>20155</v>
      </c>
      <c r="O1051" s="534" t="s">
        <v>17939</v>
      </c>
      <c r="P1051" s="884">
        <v>44770</v>
      </c>
      <c r="Q1051" s="535">
        <v>0</v>
      </c>
      <c r="R1051" s="535">
        <v>100003</v>
      </c>
      <c r="S1051" s="535">
        <v>0</v>
      </c>
      <c r="T1051" s="535">
        <v>0</v>
      </c>
      <c r="U1051" s="535">
        <v>100003</v>
      </c>
      <c r="V1051" s="541"/>
      <c r="W1051" s="542">
        <v>0</v>
      </c>
      <c r="X1051" s="542">
        <v>258008.25600000005</v>
      </c>
      <c r="Y1051" s="542">
        <v>0</v>
      </c>
      <c r="Z1051" s="542">
        <v>0</v>
      </c>
      <c r="AA1051" s="543"/>
      <c r="AB1051" s="543">
        <v>2.580005159845205</v>
      </c>
      <c r="AC1051" s="543"/>
      <c r="AD1051" s="543"/>
      <c r="AE1051" s="542">
        <v>0</v>
      </c>
      <c r="AF1051" s="542">
        <v>0</v>
      </c>
      <c r="AG1051" s="542">
        <v>0</v>
      </c>
      <c r="AH1051" s="544">
        <v>0</v>
      </c>
      <c r="AI1051" s="544">
        <v>2.580005159845205</v>
      </c>
      <c r="AJ1051" s="544">
        <v>0</v>
      </c>
      <c r="AK1051" s="544">
        <v>0</v>
      </c>
      <c r="AL1051" s="545">
        <v>0</v>
      </c>
      <c r="AM1051" s="545" t="s">
        <v>20323</v>
      </c>
      <c r="AN1051" s="545">
        <v>0</v>
      </c>
      <c r="AO1051" s="545">
        <v>0</v>
      </c>
    </row>
    <row r="1052" spans="1:41" hidden="1">
      <c r="A1052" s="533" t="s">
        <v>167</v>
      </c>
      <c r="B1052" s="534" t="s">
        <v>167</v>
      </c>
      <c r="C1052" s="535">
        <v>0</v>
      </c>
      <c r="D1052" s="536" t="s">
        <v>18795</v>
      </c>
      <c r="E1052" s="534" t="s">
        <v>167</v>
      </c>
      <c r="F1052" s="537">
        <v>44761</v>
      </c>
      <c r="G1052" s="534">
        <v>2022</v>
      </c>
      <c r="H1052" s="563" t="s">
        <v>17278</v>
      </c>
      <c r="I1052" s="534" t="s">
        <v>17279</v>
      </c>
      <c r="J1052" s="534" t="s">
        <v>16482</v>
      </c>
      <c r="K1052" s="539">
        <v>841263.49782999989</v>
      </c>
      <c r="L1052" s="534">
        <v>3.2029999999999998</v>
      </c>
      <c r="M1052" s="540">
        <v>262648.61</v>
      </c>
      <c r="N1052" s="534" t="s">
        <v>20302</v>
      </c>
      <c r="O1052" s="534" t="s">
        <v>20173</v>
      </c>
      <c r="P1052" s="884">
        <v>44771</v>
      </c>
      <c r="Q1052" s="535">
        <v>0</v>
      </c>
      <c r="R1052" s="535">
        <v>195686</v>
      </c>
      <c r="S1052" s="535">
        <v>83400</v>
      </c>
      <c r="T1052" s="535">
        <v>0</v>
      </c>
      <c r="U1052" s="535">
        <v>279086</v>
      </c>
      <c r="V1052" s="541"/>
      <c r="W1052" s="542">
        <v>0</v>
      </c>
      <c r="X1052" s="542">
        <v>607980.03302400012</v>
      </c>
      <c r="Y1052" s="542">
        <v>233283.4584</v>
      </c>
      <c r="Z1052" s="542">
        <v>0</v>
      </c>
      <c r="AA1052" s="543" t="e">
        <v>#DIV/0!</v>
      </c>
      <c r="AB1052" s="543">
        <v>3.1069163508069058</v>
      </c>
      <c r="AC1052" s="543">
        <v>2.7971637697841727</v>
      </c>
      <c r="AD1052" s="543" t="e">
        <v>#DIV/0!</v>
      </c>
      <c r="AE1052" s="542">
        <v>41889.510249999999</v>
      </c>
      <c r="AF1052" s="542">
        <v>132439.9</v>
      </c>
      <c r="AG1052" s="542">
        <v>0.47454870541696825</v>
      </c>
      <c r="AH1052" s="544" t="e">
        <v>#DIV/0!</v>
      </c>
      <c r="AI1052" s="544">
        <v>2.6323676453899374</v>
      </c>
      <c r="AJ1052" s="544">
        <v>2.3226150643672043</v>
      </c>
      <c r="AK1052" s="544" t="e">
        <v>#DIV/0!</v>
      </c>
      <c r="AL1052" s="545">
        <v>0</v>
      </c>
      <c r="AM1052" s="545" t="s">
        <v>20300</v>
      </c>
      <c r="AN1052" s="545" t="s">
        <v>20323</v>
      </c>
      <c r="AO1052" s="545">
        <v>0</v>
      </c>
    </row>
    <row r="1053" spans="1:41" hidden="1">
      <c r="A1053" s="533" t="s">
        <v>168</v>
      </c>
      <c r="B1053" s="534" t="s">
        <v>168</v>
      </c>
      <c r="C1053" s="535">
        <v>0</v>
      </c>
      <c r="D1053" s="536" t="s">
        <v>18796</v>
      </c>
      <c r="E1053" s="534" t="s">
        <v>168</v>
      </c>
      <c r="F1053" s="537">
        <v>44761</v>
      </c>
      <c r="G1053" s="534">
        <v>2022</v>
      </c>
      <c r="H1053" s="563" t="s">
        <v>17119</v>
      </c>
      <c r="I1053" s="534" t="s">
        <v>17120</v>
      </c>
      <c r="J1053" s="534" t="s">
        <v>16401</v>
      </c>
      <c r="K1053" s="539">
        <v>259408.45139999999</v>
      </c>
      <c r="L1053" s="534">
        <v>3.1353</v>
      </c>
      <c r="M1053" s="540">
        <v>82738</v>
      </c>
      <c r="N1053" s="534" t="s">
        <v>20155</v>
      </c>
      <c r="O1053" s="534" t="s">
        <v>20321</v>
      </c>
      <c r="P1053" s="884">
        <v>44770</v>
      </c>
      <c r="Q1053" s="535">
        <v>16800</v>
      </c>
      <c r="R1053" s="535">
        <v>61250</v>
      </c>
      <c r="S1053" s="535">
        <v>0</v>
      </c>
      <c r="T1053" s="535">
        <v>0</v>
      </c>
      <c r="U1053" s="535">
        <v>78050</v>
      </c>
      <c r="V1053" s="541"/>
      <c r="W1053" s="542">
        <v>60590.36142242152</v>
      </c>
      <c r="X1053" s="542">
        <v>198818.08997757846</v>
      </c>
      <c r="Y1053" s="542">
        <v>0</v>
      </c>
      <c r="Z1053" s="542">
        <v>0</v>
      </c>
      <c r="AA1053" s="543">
        <v>3.606569132286995</v>
      </c>
      <c r="AB1053" s="543">
        <v>3.2460096322869951</v>
      </c>
      <c r="AC1053" s="543"/>
      <c r="AD1053" s="543"/>
      <c r="AE1053" s="542">
        <v>6443.3407499999994</v>
      </c>
      <c r="AF1053" s="542">
        <v>21773.895</v>
      </c>
      <c r="AG1053" s="542">
        <v>0.27897367072389495</v>
      </c>
      <c r="AH1053" s="544">
        <v>3.3275954615631003</v>
      </c>
      <c r="AI1053" s="544">
        <v>2.9670359615631003</v>
      </c>
      <c r="AJ1053" s="544"/>
      <c r="AK1053" s="544"/>
      <c r="AL1053" s="545" t="s">
        <v>20324</v>
      </c>
      <c r="AM1053" s="545" t="s">
        <v>20316</v>
      </c>
      <c r="AN1053" s="545">
        <v>0</v>
      </c>
      <c r="AO1053" s="545">
        <v>0</v>
      </c>
    </row>
    <row r="1054" spans="1:41" hidden="1">
      <c r="A1054" s="573" t="s">
        <v>169</v>
      </c>
      <c r="B1054" s="534" t="s">
        <v>169</v>
      </c>
      <c r="C1054" s="535">
        <v>0</v>
      </c>
      <c r="D1054" s="536" t="s">
        <v>18797</v>
      </c>
      <c r="E1054" s="534" t="s">
        <v>169</v>
      </c>
      <c r="F1054" s="537">
        <v>44761</v>
      </c>
      <c r="G1054" s="534">
        <v>2022</v>
      </c>
      <c r="H1054" s="563" t="s">
        <v>17119</v>
      </c>
      <c r="I1054" s="534" t="s">
        <v>17120</v>
      </c>
      <c r="J1054" s="534" t="s">
        <v>16401</v>
      </c>
      <c r="K1054" s="539">
        <v>533216.81599999999</v>
      </c>
      <c r="L1054" s="574">
        <v>3.1240000000000001</v>
      </c>
      <c r="M1054" s="540">
        <v>170684</v>
      </c>
      <c r="N1054" s="534" t="s">
        <v>20155</v>
      </c>
      <c r="O1054" s="534" t="s">
        <v>17965</v>
      </c>
      <c r="P1054" s="884">
        <v>44776</v>
      </c>
      <c r="Q1054" s="535">
        <v>55200</v>
      </c>
      <c r="R1054" s="535">
        <v>86200</v>
      </c>
      <c r="S1054" s="535">
        <v>0</v>
      </c>
      <c r="T1054" s="535">
        <v>0</v>
      </c>
      <c r="U1054" s="535">
        <v>141400</v>
      </c>
      <c r="V1054" s="541"/>
      <c r="W1054" s="542">
        <v>219941.30545968877</v>
      </c>
      <c r="X1054" s="542">
        <v>315584.43054031115</v>
      </c>
      <c r="Y1054" s="542">
        <v>0</v>
      </c>
      <c r="Z1054" s="542">
        <v>0</v>
      </c>
      <c r="AA1054" s="543">
        <v>3.9844439394871154</v>
      </c>
      <c r="AB1054" s="543">
        <v>3.6610722800500133</v>
      </c>
      <c r="AC1054" s="543"/>
      <c r="AD1054" s="543"/>
      <c r="AE1054" s="542">
        <v>21436.852500000001</v>
      </c>
      <c r="AF1054" s="542">
        <v>68321.490000000005</v>
      </c>
      <c r="AG1054" s="542">
        <v>0.48317885431400287</v>
      </c>
      <c r="AH1054" s="544">
        <v>3.5012650851731126</v>
      </c>
      <c r="AI1054" s="544">
        <v>3.1778934257360105</v>
      </c>
      <c r="AJ1054" s="544"/>
      <c r="AK1054" s="544"/>
      <c r="AL1054" s="545" t="s">
        <v>20324</v>
      </c>
      <c r="AM1054" s="545" t="s">
        <v>20316</v>
      </c>
      <c r="AN1054" s="545">
        <v>0</v>
      </c>
      <c r="AO1054" s="545">
        <v>0</v>
      </c>
    </row>
    <row r="1055" spans="1:41" hidden="1">
      <c r="A1055" s="573" t="s">
        <v>170</v>
      </c>
      <c r="B1055" s="534" t="s">
        <v>170</v>
      </c>
      <c r="C1055" s="535">
        <v>0</v>
      </c>
      <c r="D1055" s="536" t="s">
        <v>18798</v>
      </c>
      <c r="E1055" s="534" t="s">
        <v>170</v>
      </c>
      <c r="F1055" s="537">
        <v>44763</v>
      </c>
      <c r="G1055" s="534">
        <v>2022</v>
      </c>
      <c r="H1055" s="563" t="s">
        <v>16972</v>
      </c>
      <c r="I1055" s="534" t="s">
        <v>16973</v>
      </c>
      <c r="J1055" s="534" t="s">
        <v>3</v>
      </c>
      <c r="K1055" s="539">
        <v>624400</v>
      </c>
      <c r="L1055" s="534">
        <v>1</v>
      </c>
      <c r="M1055" s="540">
        <v>624400</v>
      </c>
      <c r="N1055" s="534" t="s">
        <v>20155</v>
      </c>
      <c r="O1055" s="534" t="s">
        <v>17801</v>
      </c>
      <c r="P1055" s="884">
        <v>44785</v>
      </c>
      <c r="Q1055" s="535">
        <v>0</v>
      </c>
      <c r="R1055" s="535">
        <v>0</v>
      </c>
      <c r="S1055" s="535">
        <v>280000</v>
      </c>
      <c r="T1055" s="535">
        <v>0</v>
      </c>
      <c r="U1055" s="535">
        <v>280000</v>
      </c>
      <c r="V1055" s="541"/>
      <c r="W1055" s="542">
        <v>0</v>
      </c>
      <c r="X1055" s="542">
        <v>0</v>
      </c>
      <c r="Y1055" s="542">
        <v>624400</v>
      </c>
      <c r="Z1055" s="542">
        <v>0</v>
      </c>
      <c r="AA1055" s="543"/>
      <c r="AB1055" s="543"/>
      <c r="AC1055" s="543">
        <v>2.23</v>
      </c>
      <c r="AD1055" s="543"/>
      <c r="AE1055" s="542">
        <v>0</v>
      </c>
      <c r="AF1055" s="542">
        <v>0</v>
      </c>
      <c r="AG1055" s="542">
        <v>0</v>
      </c>
      <c r="AH1055" s="544">
        <v>0</v>
      </c>
      <c r="AI1055" s="544">
        <v>0</v>
      </c>
      <c r="AJ1055" s="544">
        <v>2.23</v>
      </c>
      <c r="AK1055" s="544">
        <v>0</v>
      </c>
      <c r="AL1055" s="545">
        <v>0</v>
      </c>
      <c r="AM1055" s="545">
        <v>0</v>
      </c>
      <c r="AN1055" s="545" t="s">
        <v>20323</v>
      </c>
      <c r="AO1055" s="545">
        <v>0</v>
      </c>
    </row>
    <row r="1056" spans="1:41" hidden="1">
      <c r="A1056" s="533" t="s">
        <v>171</v>
      </c>
      <c r="B1056" s="534" t="s">
        <v>171</v>
      </c>
      <c r="C1056" s="535">
        <v>0</v>
      </c>
      <c r="D1056" s="536" t="s">
        <v>18799</v>
      </c>
      <c r="E1056" s="534" t="s">
        <v>171</v>
      </c>
      <c r="F1056" s="537">
        <v>44764</v>
      </c>
      <c r="G1056" s="534">
        <v>2022</v>
      </c>
      <c r="H1056" s="563" t="s">
        <v>17278</v>
      </c>
      <c r="I1056" s="534" t="s">
        <v>17279</v>
      </c>
      <c r="J1056" s="534" t="s">
        <v>16482</v>
      </c>
      <c r="K1056" s="539">
        <v>233523.486</v>
      </c>
      <c r="L1056" s="534">
        <v>3.1954500000000001</v>
      </c>
      <c r="M1056" s="540">
        <v>73080</v>
      </c>
      <c r="N1056" s="534" t="s">
        <v>20155</v>
      </c>
      <c r="O1056" s="534" t="s">
        <v>20173</v>
      </c>
      <c r="P1056" s="884">
        <v>44774</v>
      </c>
      <c r="Q1056" s="535">
        <v>0</v>
      </c>
      <c r="R1056" s="535">
        <v>0</v>
      </c>
      <c r="S1056" s="535">
        <v>83520</v>
      </c>
      <c r="T1056" s="535">
        <v>0</v>
      </c>
      <c r="U1056" s="535">
        <v>83520</v>
      </c>
      <c r="V1056" s="541"/>
      <c r="W1056" s="542">
        <v>0</v>
      </c>
      <c r="X1056" s="542">
        <v>0</v>
      </c>
      <c r="Y1056" s="542">
        <v>233523.486</v>
      </c>
      <c r="Z1056" s="542">
        <v>0</v>
      </c>
      <c r="AA1056" s="543"/>
      <c r="AB1056" s="543"/>
      <c r="AC1056" s="543">
        <v>2.79601875</v>
      </c>
      <c r="AD1056" s="543"/>
      <c r="AE1056" s="542">
        <v>10382.95125</v>
      </c>
      <c r="AF1056" s="542">
        <v>33202.074999999997</v>
      </c>
      <c r="AG1056" s="542">
        <v>0.39753442289272028</v>
      </c>
      <c r="AH1056" s="544"/>
      <c r="AI1056" s="544"/>
      <c r="AJ1056" s="544">
        <v>2.3984843271072798</v>
      </c>
      <c r="AK1056" s="544"/>
      <c r="AL1056" s="545">
        <v>0</v>
      </c>
      <c r="AM1056" s="545">
        <v>0</v>
      </c>
      <c r="AN1056" s="545" t="s">
        <v>20323</v>
      </c>
      <c r="AO1056" s="545">
        <v>0</v>
      </c>
    </row>
    <row r="1057" spans="1:41" hidden="1">
      <c r="A1057" s="533" t="s">
        <v>172</v>
      </c>
      <c r="B1057" s="534" t="s">
        <v>172</v>
      </c>
      <c r="C1057" s="535">
        <v>0</v>
      </c>
      <c r="D1057" s="536" t="s">
        <v>18800</v>
      </c>
      <c r="E1057" s="534" t="s">
        <v>172</v>
      </c>
      <c r="F1057" s="537">
        <v>44769</v>
      </c>
      <c r="G1057" s="534">
        <v>2022</v>
      </c>
      <c r="H1057" s="563" t="s">
        <v>17304</v>
      </c>
      <c r="I1057" s="534" t="s">
        <v>17305</v>
      </c>
      <c r="J1057" s="534" t="s">
        <v>17306</v>
      </c>
      <c r="K1057" s="539">
        <v>203516.75713599997</v>
      </c>
      <c r="L1057" s="574">
        <v>2.44895</v>
      </c>
      <c r="M1057" s="540">
        <v>83103.679999999993</v>
      </c>
      <c r="N1057" s="534" t="s">
        <v>20155</v>
      </c>
      <c r="O1057" s="534" t="s">
        <v>17954</v>
      </c>
      <c r="P1057" s="884">
        <v>44788</v>
      </c>
      <c r="Q1057" s="535">
        <v>0</v>
      </c>
      <c r="R1057" s="535">
        <v>16146.88</v>
      </c>
      <c r="S1057" s="535">
        <v>34816</v>
      </c>
      <c r="T1057" s="535">
        <v>0</v>
      </c>
      <c r="U1057" s="535">
        <v>50962.879999999997</v>
      </c>
      <c r="V1057" s="541"/>
      <c r="W1057" s="542">
        <v>0</v>
      </c>
      <c r="X1057" s="542">
        <v>64691.941958430492</v>
      </c>
      <c r="Y1057" s="542">
        <v>138824.81517756952</v>
      </c>
      <c r="Z1057" s="542">
        <v>0</v>
      </c>
      <c r="AA1057" s="543"/>
      <c r="AB1057" s="543">
        <v>4.0064670052933131</v>
      </c>
      <c r="AC1057" s="543">
        <v>3.9873855462307422</v>
      </c>
      <c r="AD1057" s="543"/>
      <c r="AE1057" s="542">
        <v>11416.92</v>
      </c>
      <c r="AF1057" s="542">
        <v>60332.544999999998</v>
      </c>
      <c r="AG1057" s="542">
        <v>1.1838527375218983</v>
      </c>
      <c r="AH1057" s="544"/>
      <c r="AI1057" s="544">
        <v>2.8226142677714146</v>
      </c>
      <c r="AJ1057" s="544">
        <v>2.8035328087088436</v>
      </c>
      <c r="AK1057" s="544"/>
      <c r="AL1057" s="545">
        <v>0</v>
      </c>
      <c r="AM1057" s="545" t="s">
        <v>20324</v>
      </c>
      <c r="AN1057" s="545">
        <v>1</v>
      </c>
      <c r="AO1057" s="545">
        <v>0</v>
      </c>
    </row>
    <row r="1058" spans="1:41" hidden="1">
      <c r="A1058" s="533" t="s">
        <v>173</v>
      </c>
      <c r="B1058" s="534" t="s">
        <v>173</v>
      </c>
      <c r="C1058" s="535">
        <v>0</v>
      </c>
      <c r="D1058" s="536" t="s">
        <v>18801</v>
      </c>
      <c r="E1058" s="534" t="s">
        <v>173</v>
      </c>
      <c r="F1058" s="537">
        <v>44774</v>
      </c>
      <c r="G1058" s="534">
        <v>2022</v>
      </c>
      <c r="H1058" s="563" t="s">
        <v>16384</v>
      </c>
      <c r="I1058" s="534" t="s">
        <v>16385</v>
      </c>
      <c r="J1058" s="534" t="s">
        <v>3</v>
      </c>
      <c r="K1058" s="539">
        <v>344400</v>
      </c>
      <c r="L1058" s="534">
        <v>1</v>
      </c>
      <c r="M1058" s="540">
        <v>344400</v>
      </c>
      <c r="N1058" s="534" t="s">
        <v>20155</v>
      </c>
      <c r="O1058" s="534" t="s">
        <v>17261</v>
      </c>
      <c r="P1058" s="884">
        <v>44783</v>
      </c>
      <c r="Q1058" s="535">
        <v>0</v>
      </c>
      <c r="R1058" s="535">
        <v>0</v>
      </c>
      <c r="S1058" s="535">
        <v>140000</v>
      </c>
      <c r="T1058" s="535">
        <v>0</v>
      </c>
      <c r="U1058" s="535">
        <v>140000</v>
      </c>
      <c r="V1058" s="541"/>
      <c r="W1058" s="542">
        <v>0</v>
      </c>
      <c r="X1058" s="542">
        <v>0</v>
      </c>
      <c r="Y1058" s="542">
        <v>344400</v>
      </c>
      <c r="Z1058" s="542">
        <v>0</v>
      </c>
      <c r="AA1058" s="543"/>
      <c r="AB1058" s="543"/>
      <c r="AC1058" s="543">
        <v>2.46</v>
      </c>
      <c r="AD1058" s="543"/>
      <c r="AE1058" s="542">
        <v>0</v>
      </c>
      <c r="AF1058" s="542">
        <v>0</v>
      </c>
      <c r="AG1058" s="542">
        <v>0</v>
      </c>
      <c r="AH1058" s="544">
        <v>0</v>
      </c>
      <c r="AI1058" s="544">
        <v>0</v>
      </c>
      <c r="AJ1058" s="544">
        <v>2.46</v>
      </c>
      <c r="AK1058" s="544">
        <v>0</v>
      </c>
      <c r="AL1058" s="545">
        <v>0</v>
      </c>
      <c r="AM1058" s="545">
        <v>0</v>
      </c>
      <c r="AN1058" s="545" t="s">
        <v>20323</v>
      </c>
      <c r="AO1058" s="545">
        <v>0</v>
      </c>
    </row>
    <row r="1059" spans="1:41" hidden="1">
      <c r="A1059" s="533" t="s">
        <v>174</v>
      </c>
      <c r="B1059" s="534" t="s">
        <v>174</v>
      </c>
      <c r="C1059" s="535">
        <v>0</v>
      </c>
      <c r="D1059" s="536" t="s">
        <v>18802</v>
      </c>
      <c r="E1059" s="534" t="s">
        <v>174</v>
      </c>
      <c r="F1059" s="537">
        <v>44778</v>
      </c>
      <c r="G1059" s="534">
        <v>2022</v>
      </c>
      <c r="H1059" s="563" t="s">
        <v>16444</v>
      </c>
      <c r="I1059" s="534" t="s">
        <v>16445</v>
      </c>
      <c r="J1059" s="534" t="s">
        <v>3</v>
      </c>
      <c r="K1059" s="539">
        <v>55392</v>
      </c>
      <c r="L1059" s="534">
        <v>1</v>
      </c>
      <c r="M1059" s="540">
        <v>55392</v>
      </c>
      <c r="N1059" s="534" t="s">
        <v>20155</v>
      </c>
      <c r="O1059" s="534" t="s">
        <v>18248</v>
      </c>
      <c r="P1059" s="884">
        <v>44790</v>
      </c>
      <c r="Q1059" s="535">
        <v>19200</v>
      </c>
      <c r="R1059" s="535">
        <v>0</v>
      </c>
      <c r="S1059" s="535">
        <v>0</v>
      </c>
      <c r="T1059" s="535">
        <v>0</v>
      </c>
      <c r="U1059" s="535">
        <v>19200</v>
      </c>
      <c r="V1059" s="541"/>
      <c r="W1059" s="542">
        <v>55392</v>
      </c>
      <c r="X1059" s="542">
        <v>0</v>
      </c>
      <c r="Y1059" s="542">
        <v>0</v>
      </c>
      <c r="Z1059" s="542">
        <v>0</v>
      </c>
      <c r="AA1059" s="543">
        <v>2.8849999999999998</v>
      </c>
      <c r="AB1059" s="543"/>
      <c r="AC1059" s="543"/>
      <c r="AD1059" s="543"/>
      <c r="AE1059" s="542">
        <v>0</v>
      </c>
      <c r="AF1059" s="542">
        <v>0</v>
      </c>
      <c r="AG1059" s="542">
        <v>0</v>
      </c>
      <c r="AH1059" s="544">
        <v>2.8849999999999998</v>
      </c>
      <c r="AI1059" s="544">
        <v>0</v>
      </c>
      <c r="AJ1059" s="544">
        <v>0</v>
      </c>
      <c r="AK1059" s="544">
        <v>0</v>
      </c>
      <c r="AL1059" s="545" t="s">
        <v>20324</v>
      </c>
      <c r="AM1059" s="545">
        <v>0</v>
      </c>
      <c r="AN1059" s="545">
        <v>0</v>
      </c>
      <c r="AO1059" s="545">
        <v>0</v>
      </c>
    </row>
    <row r="1060" spans="1:41" hidden="1">
      <c r="A1060" s="533">
        <v>163</v>
      </c>
      <c r="B1060" s="534" t="s">
        <v>175</v>
      </c>
      <c r="C1060" s="535">
        <v>0</v>
      </c>
      <c r="D1060" s="536" t="s">
        <v>18803</v>
      </c>
      <c r="E1060" s="534" t="s">
        <v>175</v>
      </c>
      <c r="F1060" s="537">
        <v>44782</v>
      </c>
      <c r="G1060" s="534">
        <v>2022</v>
      </c>
      <c r="H1060" s="563" t="s">
        <v>17017</v>
      </c>
      <c r="I1060" s="534" t="s">
        <v>17018</v>
      </c>
      <c r="J1060" s="534" t="s">
        <v>3</v>
      </c>
      <c r="K1060" s="539">
        <v>64600</v>
      </c>
      <c r="L1060" s="534">
        <v>1</v>
      </c>
      <c r="M1060" s="540">
        <v>64600</v>
      </c>
      <c r="N1060" s="534" t="s">
        <v>20155</v>
      </c>
      <c r="O1060" s="534" t="s">
        <v>18064</v>
      </c>
      <c r="P1060" s="884">
        <v>44788</v>
      </c>
      <c r="Q1060" s="535">
        <v>0</v>
      </c>
      <c r="R1060" s="535">
        <v>20000</v>
      </c>
      <c r="S1060" s="535">
        <v>0</v>
      </c>
      <c r="T1060" s="535">
        <v>0</v>
      </c>
      <c r="U1060" s="535">
        <v>20000</v>
      </c>
      <c r="V1060" s="541"/>
      <c r="W1060" s="542">
        <v>0</v>
      </c>
      <c r="X1060" s="542">
        <v>64600</v>
      </c>
      <c r="Y1060" s="542">
        <v>0</v>
      </c>
      <c r="Z1060" s="542">
        <v>0</v>
      </c>
      <c r="AA1060" s="543"/>
      <c r="AB1060" s="543">
        <v>3.23</v>
      </c>
      <c r="AC1060" s="543"/>
      <c r="AD1060" s="543"/>
      <c r="AE1060" s="542">
        <v>0</v>
      </c>
      <c r="AF1060" s="542">
        <v>0</v>
      </c>
      <c r="AG1060" s="542">
        <v>0</v>
      </c>
      <c r="AH1060" s="544">
        <v>0</v>
      </c>
      <c r="AI1060" s="544">
        <v>3.23</v>
      </c>
      <c r="AJ1060" s="544">
        <v>0</v>
      </c>
      <c r="AK1060" s="544">
        <v>0</v>
      </c>
      <c r="AL1060" s="545">
        <v>0</v>
      </c>
      <c r="AM1060" s="545">
        <v>1</v>
      </c>
      <c r="AN1060" s="545">
        <v>0</v>
      </c>
      <c r="AO1060" s="545">
        <v>0</v>
      </c>
    </row>
    <row r="1061" spans="1:41" hidden="1">
      <c r="A1061" s="533">
        <v>164</v>
      </c>
      <c r="B1061" s="534" t="s">
        <v>176</v>
      </c>
      <c r="C1061" s="535">
        <v>0</v>
      </c>
      <c r="D1061" s="536" t="s">
        <v>18804</v>
      </c>
      <c r="E1061" s="534" t="s">
        <v>176</v>
      </c>
      <c r="F1061" s="537">
        <v>44782</v>
      </c>
      <c r="G1061" s="534">
        <v>2022</v>
      </c>
      <c r="H1061" s="563" t="s">
        <v>16880</v>
      </c>
      <c r="I1061" s="534" t="s">
        <v>16881</v>
      </c>
      <c r="J1061" s="534" t="s">
        <v>16401</v>
      </c>
      <c r="K1061" s="539">
        <v>105630.37568</v>
      </c>
      <c r="L1061" s="534">
        <v>3.1715499999999999</v>
      </c>
      <c r="M1061" s="540">
        <v>33305.599999999999</v>
      </c>
      <c r="N1061" s="534" t="s">
        <v>20155</v>
      </c>
      <c r="O1061" s="534" t="s">
        <v>20329</v>
      </c>
      <c r="P1061" s="884">
        <v>44795</v>
      </c>
      <c r="Q1061" s="535">
        <v>0</v>
      </c>
      <c r="R1061" s="535">
        <v>20800</v>
      </c>
      <c r="S1061" s="535">
        <v>0</v>
      </c>
      <c r="T1061" s="535">
        <v>0</v>
      </c>
      <c r="U1061" s="535">
        <v>20800</v>
      </c>
      <c r="V1061" s="541"/>
      <c r="W1061" s="542">
        <v>0</v>
      </c>
      <c r="X1061" s="542">
        <v>105630.37567999998</v>
      </c>
      <c r="Y1061" s="542">
        <v>0</v>
      </c>
      <c r="Z1061" s="542">
        <v>0</v>
      </c>
      <c r="AA1061" s="543"/>
      <c r="AB1061" s="543">
        <v>5.0783834461538451</v>
      </c>
      <c r="AC1061" s="543"/>
      <c r="AD1061" s="543"/>
      <c r="AE1061" s="542">
        <v>0</v>
      </c>
      <c r="AF1061" s="542">
        <v>1620.645</v>
      </c>
      <c r="AG1061" s="542">
        <v>7.7915625000000002E-2</v>
      </c>
      <c r="AH1061" s="544"/>
      <c r="AI1061" s="544">
        <v>5.0004678211538449</v>
      </c>
      <c r="AJ1061" s="544"/>
      <c r="AK1061" s="544"/>
      <c r="AL1061" s="545">
        <v>0</v>
      </c>
      <c r="AM1061" s="545">
        <v>1</v>
      </c>
      <c r="AN1061" s="545">
        <v>0</v>
      </c>
      <c r="AO1061" s="545">
        <v>0</v>
      </c>
    </row>
    <row r="1062" spans="1:41" hidden="1">
      <c r="A1062" s="533">
        <v>165</v>
      </c>
      <c r="B1062" s="534" t="s">
        <v>177</v>
      </c>
      <c r="C1062" s="535">
        <v>0</v>
      </c>
      <c r="D1062" s="536" t="s">
        <v>18805</v>
      </c>
      <c r="E1062" s="534" t="s">
        <v>177</v>
      </c>
      <c r="F1062" s="537">
        <v>44784</v>
      </c>
      <c r="G1062" s="534">
        <v>2022</v>
      </c>
      <c r="H1062" s="563" t="s">
        <v>16444</v>
      </c>
      <c r="I1062" s="534" t="s">
        <v>16445</v>
      </c>
      <c r="J1062" s="534" t="s">
        <v>3</v>
      </c>
      <c r="K1062" s="539">
        <v>186187.68</v>
      </c>
      <c r="L1062" s="534">
        <v>1</v>
      </c>
      <c r="M1062" s="540">
        <v>186187.68</v>
      </c>
      <c r="N1062" s="534" t="s">
        <v>20155</v>
      </c>
      <c r="O1062" s="534" t="s">
        <v>18248</v>
      </c>
      <c r="P1062" s="884">
        <v>44797</v>
      </c>
      <c r="Q1062" s="535">
        <v>66024</v>
      </c>
      <c r="R1062" s="535">
        <v>0</v>
      </c>
      <c r="S1062" s="535">
        <v>0</v>
      </c>
      <c r="T1062" s="535">
        <v>0</v>
      </c>
      <c r="U1062" s="535">
        <v>66024</v>
      </c>
      <c r="V1062" s="541"/>
      <c r="W1062" s="542">
        <v>186187.68</v>
      </c>
      <c r="X1062" s="542">
        <v>0</v>
      </c>
      <c r="Y1062" s="542">
        <v>0</v>
      </c>
      <c r="Z1062" s="542">
        <v>0</v>
      </c>
      <c r="AA1062" s="543">
        <v>2.82</v>
      </c>
      <c r="AB1062" s="543"/>
      <c r="AC1062" s="543"/>
      <c r="AD1062" s="543"/>
      <c r="AE1062" s="542">
        <v>0</v>
      </c>
      <c r="AF1062" s="542">
        <v>0</v>
      </c>
      <c r="AG1062" s="542">
        <v>0</v>
      </c>
      <c r="AH1062" s="544">
        <v>2.82</v>
      </c>
      <c r="AI1062" s="544">
        <v>0</v>
      </c>
      <c r="AJ1062" s="544">
        <v>0</v>
      </c>
      <c r="AK1062" s="544">
        <v>0</v>
      </c>
      <c r="AL1062" s="545" t="s">
        <v>20324</v>
      </c>
      <c r="AM1062" s="545">
        <v>0</v>
      </c>
      <c r="AN1062" s="545">
        <v>0</v>
      </c>
      <c r="AO1062" s="545">
        <v>0</v>
      </c>
    </row>
    <row r="1063" spans="1:41" hidden="1">
      <c r="A1063" s="533">
        <v>166</v>
      </c>
      <c r="B1063" s="534" t="s">
        <v>178</v>
      </c>
      <c r="C1063" s="535">
        <v>0</v>
      </c>
      <c r="D1063" s="536" t="s">
        <v>18806</v>
      </c>
      <c r="E1063" s="534" t="s">
        <v>178</v>
      </c>
      <c r="F1063" s="537">
        <v>44791</v>
      </c>
      <c r="G1063" s="534">
        <v>2022</v>
      </c>
      <c r="H1063" s="563" t="s">
        <v>17304</v>
      </c>
      <c r="I1063" s="534" t="s">
        <v>17305</v>
      </c>
      <c r="J1063" s="534" t="s">
        <v>17306</v>
      </c>
      <c r="K1063" s="539">
        <v>113489.75285999999</v>
      </c>
      <c r="L1063" s="574">
        <v>2.4651000000000001</v>
      </c>
      <c r="M1063" s="575">
        <v>46038.6</v>
      </c>
      <c r="N1063" s="534" t="s">
        <v>20155</v>
      </c>
      <c r="O1063" s="534" t="s">
        <v>17954</v>
      </c>
      <c r="P1063" s="884">
        <v>44799</v>
      </c>
      <c r="Q1063" s="535">
        <v>0</v>
      </c>
      <c r="R1063" s="535">
        <v>21436.48</v>
      </c>
      <c r="S1063" s="535">
        <v>2400</v>
      </c>
      <c r="T1063" s="535">
        <v>2400</v>
      </c>
      <c r="U1063" s="535">
        <v>26236.48</v>
      </c>
      <c r="V1063" s="541"/>
      <c r="W1063" s="542">
        <v>0</v>
      </c>
      <c r="X1063" s="542">
        <v>87479.83991397066</v>
      </c>
      <c r="Y1063" s="542">
        <v>10342.648473014671</v>
      </c>
      <c r="Z1063" s="542">
        <v>15667.264473014671</v>
      </c>
      <c r="AA1063" s="543" t="e">
        <v>#DIV/0!</v>
      </c>
      <c r="AB1063" s="543">
        <v>4.0808864101741822</v>
      </c>
      <c r="AC1063" s="543">
        <v>4.3094368637561127</v>
      </c>
      <c r="AD1063" s="543">
        <v>6.5280268637561134</v>
      </c>
      <c r="AE1063" s="542">
        <v>5841.92</v>
      </c>
      <c r="AF1063" s="542">
        <v>31087.599999999999</v>
      </c>
      <c r="AG1063" s="542">
        <v>1.1848998036321945</v>
      </c>
      <c r="AH1063" s="544" t="e">
        <v>#DIV/0!</v>
      </c>
      <c r="AI1063" s="544">
        <v>2.8959866065419879</v>
      </c>
      <c r="AJ1063" s="544">
        <v>3.1245370601239184</v>
      </c>
      <c r="AK1063" s="544">
        <v>5.3431270601239191</v>
      </c>
      <c r="AL1063" s="545">
        <v>0</v>
      </c>
      <c r="AM1063" s="545">
        <v>1</v>
      </c>
      <c r="AN1063" s="545">
        <v>0</v>
      </c>
      <c r="AO1063" s="545">
        <v>1</v>
      </c>
    </row>
    <row r="1064" spans="1:41" hidden="1">
      <c r="A1064" s="533">
        <v>167</v>
      </c>
      <c r="B1064" s="534" t="s">
        <v>179</v>
      </c>
      <c r="C1064" s="535">
        <v>0</v>
      </c>
      <c r="D1064" s="536" t="s">
        <v>18807</v>
      </c>
      <c r="E1064" s="534" t="s">
        <v>179</v>
      </c>
      <c r="F1064" s="537">
        <v>44792</v>
      </c>
      <c r="G1064" s="534">
        <v>2022</v>
      </c>
      <c r="H1064" s="563" t="s">
        <v>17017</v>
      </c>
      <c r="I1064" s="534" t="s">
        <v>17018</v>
      </c>
      <c r="J1064" s="534" t="s">
        <v>3</v>
      </c>
      <c r="K1064" s="539">
        <v>64600</v>
      </c>
      <c r="L1064" s="534">
        <v>1</v>
      </c>
      <c r="M1064" s="540">
        <v>64600</v>
      </c>
      <c r="N1064" s="534" t="s">
        <v>20155</v>
      </c>
      <c r="O1064" s="534" t="s">
        <v>18064</v>
      </c>
      <c r="P1064" s="884">
        <v>44795</v>
      </c>
      <c r="Q1064" s="535">
        <v>0</v>
      </c>
      <c r="R1064" s="535">
        <v>20000</v>
      </c>
      <c r="S1064" s="535">
        <v>0</v>
      </c>
      <c r="T1064" s="535">
        <v>0</v>
      </c>
      <c r="U1064" s="535">
        <v>20000</v>
      </c>
      <c r="V1064" s="541"/>
      <c r="W1064" s="542">
        <v>0</v>
      </c>
      <c r="X1064" s="542">
        <v>64600</v>
      </c>
      <c r="Y1064" s="542">
        <v>0</v>
      </c>
      <c r="Z1064" s="542">
        <v>0</v>
      </c>
      <c r="AA1064" s="543"/>
      <c r="AB1064" s="543">
        <v>3.23</v>
      </c>
      <c r="AC1064" s="543"/>
      <c r="AD1064" s="543"/>
      <c r="AE1064" s="542">
        <v>0</v>
      </c>
      <c r="AF1064" s="542">
        <v>0</v>
      </c>
      <c r="AG1064" s="542">
        <v>0</v>
      </c>
      <c r="AH1064" s="544">
        <v>0</v>
      </c>
      <c r="AI1064" s="544">
        <v>3.23</v>
      </c>
      <c r="AJ1064" s="544">
        <v>0</v>
      </c>
      <c r="AK1064" s="544">
        <v>0</v>
      </c>
      <c r="AL1064" s="545">
        <v>0</v>
      </c>
      <c r="AM1064" s="545">
        <v>1</v>
      </c>
      <c r="AN1064" s="545">
        <v>0</v>
      </c>
      <c r="AO1064" s="545">
        <v>0</v>
      </c>
    </row>
    <row r="1065" spans="1:41" hidden="1">
      <c r="A1065" s="533">
        <v>168</v>
      </c>
      <c r="B1065" s="534" t="s">
        <v>180</v>
      </c>
      <c r="C1065" s="535">
        <v>0</v>
      </c>
      <c r="D1065" s="536" t="s">
        <v>18808</v>
      </c>
      <c r="E1065" s="534" t="s">
        <v>180</v>
      </c>
      <c r="F1065" s="537">
        <v>44792</v>
      </c>
      <c r="G1065" s="534">
        <v>2022</v>
      </c>
      <c r="H1065" s="563" t="s">
        <v>17017</v>
      </c>
      <c r="I1065" s="534" t="s">
        <v>17018</v>
      </c>
      <c r="J1065" s="534" t="s">
        <v>3</v>
      </c>
      <c r="K1065" s="539">
        <v>91430</v>
      </c>
      <c r="L1065" s="534">
        <v>1</v>
      </c>
      <c r="M1065" s="540">
        <v>91430</v>
      </c>
      <c r="N1065" s="534" t="s">
        <v>20155</v>
      </c>
      <c r="O1065" s="534" t="s">
        <v>18283</v>
      </c>
      <c r="P1065" s="884">
        <v>44803</v>
      </c>
      <c r="Q1065" s="535">
        <v>0</v>
      </c>
      <c r="R1065" s="535">
        <v>41000</v>
      </c>
      <c r="S1065" s="535">
        <v>0</v>
      </c>
      <c r="T1065" s="535">
        <v>0</v>
      </c>
      <c r="U1065" s="535">
        <v>41000</v>
      </c>
      <c r="V1065" s="541"/>
      <c r="W1065" s="542">
        <v>0</v>
      </c>
      <c r="X1065" s="542">
        <v>132430</v>
      </c>
      <c r="Y1065" s="542">
        <v>0</v>
      </c>
      <c r="Z1065" s="542">
        <v>0</v>
      </c>
      <c r="AA1065" s="543"/>
      <c r="AB1065" s="543">
        <v>3.23</v>
      </c>
      <c r="AC1065" s="543"/>
      <c r="AD1065" s="543"/>
      <c r="AE1065" s="542">
        <v>0</v>
      </c>
      <c r="AF1065" s="542">
        <v>0</v>
      </c>
      <c r="AG1065" s="542">
        <v>0</v>
      </c>
      <c r="AH1065" s="544">
        <v>0</v>
      </c>
      <c r="AI1065" s="544">
        <v>3.23</v>
      </c>
      <c r="AJ1065" s="544">
        <v>0</v>
      </c>
      <c r="AK1065" s="544">
        <v>0</v>
      </c>
      <c r="AL1065" s="545">
        <v>0</v>
      </c>
      <c r="AM1065" s="545">
        <v>1</v>
      </c>
      <c r="AN1065" s="545">
        <v>0</v>
      </c>
      <c r="AO1065" s="545">
        <v>0</v>
      </c>
    </row>
    <row r="1066" spans="1:41" hidden="1">
      <c r="A1066" s="533">
        <v>196</v>
      </c>
      <c r="B1066" s="534" t="s">
        <v>181</v>
      </c>
      <c r="C1066" s="535">
        <v>0</v>
      </c>
      <c r="D1066" s="536" t="s">
        <v>18809</v>
      </c>
      <c r="E1066" s="534" t="s">
        <v>181</v>
      </c>
      <c r="F1066" s="537">
        <v>44792</v>
      </c>
      <c r="G1066" s="534">
        <v>2022</v>
      </c>
      <c r="H1066" s="563" t="s">
        <v>16838</v>
      </c>
      <c r="I1066" s="534" t="s">
        <v>16839</v>
      </c>
      <c r="J1066" s="534" t="s">
        <v>3</v>
      </c>
      <c r="K1066" s="539">
        <v>213353.8</v>
      </c>
      <c r="L1066" s="534">
        <v>1</v>
      </c>
      <c r="M1066" s="540">
        <v>213353.8</v>
      </c>
      <c r="N1066" s="534" t="s">
        <v>20155</v>
      </c>
      <c r="O1066" s="534" t="s">
        <v>17771</v>
      </c>
      <c r="P1066" s="884">
        <v>44809</v>
      </c>
      <c r="Q1066" s="535">
        <v>3600</v>
      </c>
      <c r="R1066" s="535">
        <v>22440</v>
      </c>
      <c r="S1066" s="535">
        <v>56000</v>
      </c>
      <c r="T1066" s="535">
        <v>0</v>
      </c>
      <c r="U1066" s="535">
        <v>82040</v>
      </c>
      <c r="V1066" s="541"/>
      <c r="W1066" s="542">
        <v>10080</v>
      </c>
      <c r="X1066" s="542">
        <v>59353.8</v>
      </c>
      <c r="Y1066" s="542">
        <v>143920</v>
      </c>
      <c r="Z1066" s="542">
        <v>0</v>
      </c>
      <c r="AA1066" s="543">
        <v>2.8</v>
      </c>
      <c r="AB1066" s="543">
        <v>2.645</v>
      </c>
      <c r="AC1066" s="543">
        <v>2.57</v>
      </c>
      <c r="AD1066" s="543"/>
      <c r="AE1066" s="542">
        <v>0</v>
      </c>
      <c r="AF1066" s="542">
        <v>0</v>
      </c>
      <c r="AG1066" s="542">
        <v>0</v>
      </c>
      <c r="AH1066" s="544">
        <v>2.8</v>
      </c>
      <c r="AI1066" s="544">
        <v>2.645</v>
      </c>
      <c r="AJ1066" s="544">
        <v>2.57</v>
      </c>
      <c r="AK1066" s="544">
        <v>0</v>
      </c>
      <c r="AL1066" s="545" t="s">
        <v>20324</v>
      </c>
      <c r="AM1066" s="545" t="s">
        <v>20300</v>
      </c>
      <c r="AN1066" s="545" t="s">
        <v>20323</v>
      </c>
      <c r="AO1066" s="545">
        <v>0</v>
      </c>
    </row>
    <row r="1067" spans="1:41" hidden="1">
      <c r="A1067" s="533">
        <v>170</v>
      </c>
      <c r="B1067" s="534" t="s">
        <v>182</v>
      </c>
      <c r="C1067" s="535">
        <v>0</v>
      </c>
      <c r="D1067" s="536" t="s">
        <v>18810</v>
      </c>
      <c r="E1067" s="534" t="s">
        <v>182</v>
      </c>
      <c r="F1067" s="537">
        <v>44795</v>
      </c>
      <c r="G1067" s="534">
        <v>2022</v>
      </c>
      <c r="H1067" s="563" t="s">
        <v>16444</v>
      </c>
      <c r="I1067" s="534" t="s">
        <v>16445</v>
      </c>
      <c r="J1067" s="534" t="s">
        <v>3</v>
      </c>
      <c r="K1067" s="539">
        <v>146094</v>
      </c>
      <c r="L1067" s="534">
        <v>1</v>
      </c>
      <c r="M1067" s="540">
        <v>146094</v>
      </c>
      <c r="N1067" s="534" t="s">
        <v>20155</v>
      </c>
      <c r="O1067" s="534" t="s">
        <v>18248</v>
      </c>
      <c r="P1067" s="884">
        <v>44804</v>
      </c>
      <c r="Q1067" s="535">
        <v>11040</v>
      </c>
      <c r="R1067" s="535">
        <v>40200</v>
      </c>
      <c r="S1067" s="535">
        <v>2400</v>
      </c>
      <c r="T1067" s="535">
        <v>0</v>
      </c>
      <c r="U1067" s="535">
        <v>53640</v>
      </c>
      <c r="V1067" s="541"/>
      <c r="W1067" s="542">
        <v>31194</v>
      </c>
      <c r="X1067" s="542">
        <v>108540</v>
      </c>
      <c r="Y1067" s="542">
        <v>6360</v>
      </c>
      <c r="Z1067" s="542">
        <v>0</v>
      </c>
      <c r="AA1067" s="543">
        <v>2.8255434782608697</v>
      </c>
      <c r="AB1067" s="543">
        <v>2.7</v>
      </c>
      <c r="AC1067" s="543">
        <v>2.65</v>
      </c>
      <c r="AD1067" s="543"/>
      <c r="AE1067" s="542">
        <v>0</v>
      </c>
      <c r="AF1067" s="542">
        <v>0</v>
      </c>
      <c r="AG1067" s="542">
        <v>0</v>
      </c>
      <c r="AH1067" s="544">
        <v>2.8255434782608697</v>
      </c>
      <c r="AI1067" s="544">
        <v>2.7</v>
      </c>
      <c r="AJ1067" s="544">
        <v>2.65</v>
      </c>
      <c r="AK1067" s="544">
        <v>0</v>
      </c>
      <c r="AL1067" s="545" t="s">
        <v>20324</v>
      </c>
      <c r="AM1067" s="545" t="s">
        <v>20316</v>
      </c>
      <c r="AN1067" s="545" t="s">
        <v>20323</v>
      </c>
      <c r="AO1067" s="545">
        <v>0</v>
      </c>
    </row>
    <row r="1068" spans="1:41" hidden="1">
      <c r="A1068" s="533">
        <v>171</v>
      </c>
      <c r="B1068" s="534" t="s">
        <v>183</v>
      </c>
      <c r="C1068" s="535">
        <v>0</v>
      </c>
      <c r="D1068" s="536" t="s">
        <v>18811</v>
      </c>
      <c r="E1068" s="534" t="s">
        <v>183</v>
      </c>
      <c r="F1068" s="537">
        <v>44796</v>
      </c>
      <c r="G1068" s="534">
        <v>2022</v>
      </c>
      <c r="H1068" s="563" t="s">
        <v>17191</v>
      </c>
      <c r="I1068" s="534" t="s">
        <v>17192</v>
      </c>
      <c r="J1068" s="534" t="s">
        <v>3</v>
      </c>
      <c r="K1068" s="539">
        <v>39000</v>
      </c>
      <c r="L1068" s="534">
        <v>1</v>
      </c>
      <c r="M1068" s="540">
        <v>39000</v>
      </c>
      <c r="N1068" s="534" t="s">
        <v>20155</v>
      </c>
      <c r="O1068" s="534" t="s">
        <v>20337</v>
      </c>
      <c r="P1068" s="884">
        <v>44816</v>
      </c>
      <c r="Q1068" s="535">
        <v>0</v>
      </c>
      <c r="R1068" s="535">
        <v>12000</v>
      </c>
      <c r="S1068" s="535">
        <v>0</v>
      </c>
      <c r="T1068" s="535">
        <v>0</v>
      </c>
      <c r="U1068" s="535">
        <v>12000</v>
      </c>
      <c r="V1068" s="541"/>
      <c r="W1068" s="542">
        <v>0</v>
      </c>
      <c r="X1068" s="542">
        <v>39000</v>
      </c>
      <c r="Y1068" s="542">
        <v>0</v>
      </c>
      <c r="Z1068" s="542">
        <v>0</v>
      </c>
      <c r="AA1068" s="543"/>
      <c r="AB1068" s="543">
        <v>3.25</v>
      </c>
      <c r="AC1068" s="543"/>
      <c r="AD1068" s="543"/>
      <c r="AE1068" s="542">
        <v>0</v>
      </c>
      <c r="AF1068" s="542">
        <v>0</v>
      </c>
      <c r="AG1068" s="542">
        <v>0</v>
      </c>
      <c r="AH1068" s="544">
        <v>0</v>
      </c>
      <c r="AI1068" s="544">
        <v>3.25</v>
      </c>
      <c r="AJ1068" s="544">
        <v>0</v>
      </c>
      <c r="AK1068" s="544">
        <v>0</v>
      </c>
      <c r="AL1068" s="545">
        <v>0</v>
      </c>
      <c r="AM1068" s="545">
        <v>1</v>
      </c>
      <c r="AN1068" s="545">
        <v>0</v>
      </c>
      <c r="AO1068" s="545">
        <v>0</v>
      </c>
    </row>
    <row r="1069" spans="1:41" hidden="1">
      <c r="A1069" s="533">
        <v>172</v>
      </c>
      <c r="B1069" s="534" t="s">
        <v>184</v>
      </c>
      <c r="C1069" s="535">
        <v>0</v>
      </c>
      <c r="D1069" s="536" t="s">
        <v>18812</v>
      </c>
      <c r="E1069" s="534" t="s">
        <v>184</v>
      </c>
      <c r="F1069" s="537">
        <v>44796</v>
      </c>
      <c r="G1069" s="534">
        <v>2022</v>
      </c>
      <c r="H1069" s="563" t="s">
        <v>16823</v>
      </c>
      <c r="I1069" s="534" t="s">
        <v>16824</v>
      </c>
      <c r="J1069" s="534" t="s">
        <v>16401</v>
      </c>
      <c r="K1069" s="539">
        <v>166060.65090000001</v>
      </c>
      <c r="L1069" s="574">
        <v>3.1912500000000001</v>
      </c>
      <c r="M1069" s="575">
        <v>52036.24</v>
      </c>
      <c r="N1069" s="534" t="s">
        <v>20155</v>
      </c>
      <c r="O1069" s="534" t="s">
        <v>17965</v>
      </c>
      <c r="P1069" s="884">
        <v>44800</v>
      </c>
      <c r="Q1069" s="535">
        <v>30600</v>
      </c>
      <c r="R1069" s="535">
        <v>9936</v>
      </c>
      <c r="S1069" s="535">
        <v>0</v>
      </c>
      <c r="T1069" s="535">
        <v>0</v>
      </c>
      <c r="U1069" s="535">
        <v>40536</v>
      </c>
      <c r="V1069" s="541"/>
      <c r="W1069" s="542">
        <v>128109.26792184723</v>
      </c>
      <c r="X1069" s="542">
        <v>37951.382978152753</v>
      </c>
      <c r="Y1069" s="542">
        <v>0</v>
      </c>
      <c r="Z1069" s="542">
        <v>0</v>
      </c>
      <c r="AA1069" s="543">
        <v>4.1865773830669033</v>
      </c>
      <c r="AB1069" s="543">
        <v>3.8195836330669035</v>
      </c>
      <c r="AC1069" s="543"/>
      <c r="AD1069" s="543"/>
      <c r="AE1069" s="542">
        <v>10448.615449999999</v>
      </c>
      <c r="AF1069" s="542">
        <v>32051.081999999999</v>
      </c>
      <c r="AG1069" s="542">
        <v>0.79068191237418584</v>
      </c>
      <c r="AH1069" s="544">
        <v>3.3958954706927176</v>
      </c>
      <c r="AI1069" s="544">
        <v>3.0289017206927178</v>
      </c>
      <c r="AJ1069" s="544"/>
      <c r="AK1069" s="544"/>
      <c r="AL1069" s="545" t="s">
        <v>20324</v>
      </c>
      <c r="AM1069" s="545" t="s">
        <v>20316</v>
      </c>
      <c r="AN1069" s="545">
        <v>0</v>
      </c>
      <c r="AO1069" s="545">
        <v>0</v>
      </c>
    </row>
    <row r="1070" spans="1:41" hidden="1">
      <c r="A1070" s="533">
        <v>173</v>
      </c>
      <c r="B1070" s="534" t="s">
        <v>185</v>
      </c>
      <c r="C1070" s="535">
        <v>0</v>
      </c>
      <c r="D1070" s="536" t="s">
        <v>18813</v>
      </c>
      <c r="E1070" s="534" t="s">
        <v>185</v>
      </c>
      <c r="F1070" s="537">
        <v>44796</v>
      </c>
      <c r="G1070" s="534">
        <v>2022</v>
      </c>
      <c r="H1070" s="563" t="s">
        <v>16384</v>
      </c>
      <c r="I1070" s="534" t="s">
        <v>16385</v>
      </c>
      <c r="J1070" s="534" t="s">
        <v>3</v>
      </c>
      <c r="K1070" s="539">
        <v>344400</v>
      </c>
      <c r="L1070" s="534">
        <v>1</v>
      </c>
      <c r="M1070" s="540">
        <v>344400</v>
      </c>
      <c r="N1070" s="534" t="s">
        <v>20155</v>
      </c>
      <c r="O1070" s="534" t="s">
        <v>17261</v>
      </c>
      <c r="P1070" s="884">
        <v>44802</v>
      </c>
      <c r="Q1070" s="535">
        <v>0</v>
      </c>
      <c r="R1070" s="535">
        <v>0</v>
      </c>
      <c r="S1070" s="535">
        <v>140000</v>
      </c>
      <c r="T1070" s="535">
        <v>0</v>
      </c>
      <c r="U1070" s="535">
        <v>140000</v>
      </c>
      <c r="V1070" s="541"/>
      <c r="W1070" s="542">
        <v>0</v>
      </c>
      <c r="X1070" s="542">
        <v>0</v>
      </c>
      <c r="Y1070" s="542">
        <v>344400</v>
      </c>
      <c r="Z1070" s="542">
        <v>0</v>
      </c>
      <c r="AA1070" s="543"/>
      <c r="AB1070" s="543"/>
      <c r="AC1070" s="543">
        <v>2.46</v>
      </c>
      <c r="AD1070" s="543"/>
      <c r="AE1070" s="542">
        <v>0</v>
      </c>
      <c r="AF1070" s="542">
        <v>0</v>
      </c>
      <c r="AG1070" s="542">
        <v>0</v>
      </c>
      <c r="AH1070" s="544">
        <v>0</v>
      </c>
      <c r="AI1070" s="544">
        <v>0</v>
      </c>
      <c r="AJ1070" s="544">
        <v>2.46</v>
      </c>
      <c r="AK1070" s="544">
        <v>0</v>
      </c>
      <c r="AL1070" s="545">
        <v>0</v>
      </c>
      <c r="AM1070" s="545">
        <v>0</v>
      </c>
      <c r="AN1070" s="545" t="s">
        <v>20323</v>
      </c>
      <c r="AO1070" s="545">
        <v>0</v>
      </c>
    </row>
    <row r="1071" spans="1:41" hidden="1">
      <c r="A1071" s="533">
        <v>174</v>
      </c>
      <c r="B1071" s="534" t="s">
        <v>186</v>
      </c>
      <c r="C1071" s="535">
        <v>0</v>
      </c>
      <c r="D1071" s="536" t="s">
        <v>18814</v>
      </c>
      <c r="E1071" s="534" t="s">
        <v>186</v>
      </c>
      <c r="F1071" s="537">
        <v>44796</v>
      </c>
      <c r="G1071" s="534">
        <v>2022</v>
      </c>
      <c r="H1071" s="563" t="s">
        <v>16384</v>
      </c>
      <c r="I1071" s="534" t="s">
        <v>16385</v>
      </c>
      <c r="J1071" s="534" t="s">
        <v>3</v>
      </c>
      <c r="K1071" s="539">
        <v>57788.75</v>
      </c>
      <c r="L1071" s="534">
        <v>1</v>
      </c>
      <c r="M1071" s="540">
        <v>57788.75</v>
      </c>
      <c r="N1071" s="534" t="s">
        <v>20155</v>
      </c>
      <c r="O1071" s="534" t="s">
        <v>17771</v>
      </c>
      <c r="P1071" s="884">
        <v>44834</v>
      </c>
      <c r="Q1071" s="535">
        <v>20750</v>
      </c>
      <c r="R1071" s="535">
        <v>0</v>
      </c>
      <c r="S1071" s="535">
        <v>0</v>
      </c>
      <c r="T1071" s="535">
        <v>0</v>
      </c>
      <c r="U1071" s="535">
        <v>20750</v>
      </c>
      <c r="V1071" s="541"/>
      <c r="W1071" s="542">
        <v>57788.75</v>
      </c>
      <c r="X1071" s="542">
        <v>0</v>
      </c>
      <c r="Y1071" s="542">
        <v>0</v>
      </c>
      <c r="Z1071" s="542">
        <v>0</v>
      </c>
      <c r="AA1071" s="543">
        <v>2.7850000000000001</v>
      </c>
      <c r="AB1071" s="543"/>
      <c r="AC1071" s="543"/>
      <c r="AD1071" s="543"/>
      <c r="AE1071" s="542">
        <v>0</v>
      </c>
      <c r="AF1071" s="542">
        <v>0</v>
      </c>
      <c r="AG1071" s="542">
        <v>0</v>
      </c>
      <c r="AH1071" s="544">
        <v>2.7850000000000001</v>
      </c>
      <c r="AI1071" s="544">
        <v>0</v>
      </c>
      <c r="AJ1071" s="544">
        <v>0</v>
      </c>
      <c r="AK1071" s="544">
        <v>0</v>
      </c>
      <c r="AL1071" s="545" t="s">
        <v>20324</v>
      </c>
      <c r="AM1071" s="545">
        <v>0</v>
      </c>
      <c r="AN1071" s="545">
        <v>0</v>
      </c>
      <c r="AO1071" s="545">
        <v>0</v>
      </c>
    </row>
    <row r="1072" spans="1:41" hidden="1">
      <c r="A1072" s="533">
        <v>175</v>
      </c>
      <c r="B1072" s="534" t="s">
        <v>187</v>
      </c>
      <c r="C1072" s="535">
        <v>0</v>
      </c>
      <c r="D1072" s="536" t="s">
        <v>18815</v>
      </c>
      <c r="E1072" s="534" t="s">
        <v>187</v>
      </c>
      <c r="F1072" s="537">
        <v>44796</v>
      </c>
      <c r="G1072" s="534">
        <v>2022</v>
      </c>
      <c r="H1072" s="563" t="s">
        <v>17332</v>
      </c>
      <c r="I1072" s="534" t="s">
        <v>17333</v>
      </c>
      <c r="J1072" s="534" t="s">
        <v>3</v>
      </c>
      <c r="K1072" s="539">
        <v>288161.28000000003</v>
      </c>
      <c r="L1072" s="534">
        <v>1</v>
      </c>
      <c r="M1072" s="540">
        <v>288161.28000000003</v>
      </c>
      <c r="N1072" s="534" t="s">
        <v>20155</v>
      </c>
      <c r="O1072" s="534" t="s">
        <v>17939</v>
      </c>
      <c r="P1072" s="884">
        <v>44851</v>
      </c>
      <c r="Q1072" s="535">
        <v>0</v>
      </c>
      <c r="R1072" s="535">
        <v>120067</v>
      </c>
      <c r="S1072" s="535">
        <v>0</v>
      </c>
      <c r="T1072" s="535">
        <v>0</v>
      </c>
      <c r="U1072" s="535">
        <v>120067</v>
      </c>
      <c r="V1072" s="541"/>
      <c r="W1072" s="542">
        <v>0</v>
      </c>
      <c r="X1072" s="542">
        <v>288161.28000000003</v>
      </c>
      <c r="Y1072" s="542">
        <v>0</v>
      </c>
      <c r="Z1072" s="542">
        <v>0</v>
      </c>
      <c r="AA1072" s="543" t="e">
        <v>#DIV/0!</v>
      </c>
      <c r="AB1072" s="543">
        <v>2.4000039977679131</v>
      </c>
      <c r="AC1072" s="543" t="e">
        <v>#DIV/0!</v>
      </c>
      <c r="AD1072" s="543" t="e">
        <v>#DIV/0!</v>
      </c>
      <c r="AE1072" s="542">
        <v>0</v>
      </c>
      <c r="AF1072" s="542">
        <v>0</v>
      </c>
      <c r="AG1072" s="542">
        <v>0</v>
      </c>
      <c r="AH1072" s="544" t="e">
        <v>#DIV/0!</v>
      </c>
      <c r="AI1072" s="544">
        <v>2.4000039977679131</v>
      </c>
      <c r="AJ1072" s="544" t="e">
        <v>#DIV/0!</v>
      </c>
      <c r="AK1072" s="544" t="e">
        <v>#DIV/0!</v>
      </c>
      <c r="AL1072" s="545">
        <v>0</v>
      </c>
      <c r="AM1072" s="545" t="s">
        <v>20323</v>
      </c>
      <c r="AN1072" s="545">
        <v>0</v>
      </c>
      <c r="AO1072" s="545">
        <v>0</v>
      </c>
    </row>
    <row r="1073" spans="1:41" hidden="1">
      <c r="A1073" s="533">
        <v>176</v>
      </c>
      <c r="B1073" s="534" t="s">
        <v>188</v>
      </c>
      <c r="C1073" s="535">
        <v>0</v>
      </c>
      <c r="D1073" s="536" t="s">
        <v>18816</v>
      </c>
      <c r="E1073" s="534" t="s">
        <v>188</v>
      </c>
      <c r="F1073" s="537">
        <v>44796</v>
      </c>
      <c r="G1073" s="534">
        <v>2022</v>
      </c>
      <c r="H1073" s="563" t="s">
        <v>16783</v>
      </c>
      <c r="I1073" s="534" t="s">
        <v>16784</v>
      </c>
      <c r="J1073" s="534" t="s">
        <v>16401</v>
      </c>
      <c r="K1073" s="539">
        <v>128517.65775</v>
      </c>
      <c r="L1073" s="534">
        <v>3.19815</v>
      </c>
      <c r="M1073" s="540">
        <v>40185</v>
      </c>
      <c r="N1073" s="534" t="s">
        <v>20155</v>
      </c>
      <c r="O1073" s="534" t="s">
        <v>17939</v>
      </c>
      <c r="P1073" s="884">
        <v>44803</v>
      </c>
      <c r="Q1073" s="535">
        <v>0</v>
      </c>
      <c r="R1073" s="535">
        <v>0</v>
      </c>
      <c r="S1073" s="535">
        <v>0</v>
      </c>
      <c r="T1073" s="535">
        <v>27000</v>
      </c>
      <c r="U1073" s="535">
        <v>27000</v>
      </c>
      <c r="V1073" s="541"/>
      <c r="W1073" s="542">
        <v>0</v>
      </c>
      <c r="X1073" s="542">
        <v>0</v>
      </c>
      <c r="Y1073" s="542">
        <v>0</v>
      </c>
      <c r="Z1073" s="542">
        <v>128517.65775</v>
      </c>
      <c r="AA1073" s="543"/>
      <c r="AB1073" s="543"/>
      <c r="AC1073" s="543"/>
      <c r="AD1073" s="543">
        <v>4.7599132500000003</v>
      </c>
      <c r="AE1073" s="542">
        <v>0</v>
      </c>
      <c r="AF1073" s="542">
        <v>0</v>
      </c>
      <c r="AG1073" s="542">
        <v>0</v>
      </c>
      <c r="AH1073" s="544">
        <v>0</v>
      </c>
      <c r="AI1073" s="544">
        <v>0</v>
      </c>
      <c r="AJ1073" s="544">
        <v>0</v>
      </c>
      <c r="AK1073" s="544">
        <v>4.7599132500000003</v>
      </c>
      <c r="AL1073" s="545">
        <v>0</v>
      </c>
      <c r="AM1073" s="545">
        <v>0</v>
      </c>
      <c r="AN1073" s="545">
        <v>0</v>
      </c>
      <c r="AO1073" s="545">
        <v>1</v>
      </c>
    </row>
    <row r="1074" spans="1:41" hidden="1">
      <c r="A1074" s="533">
        <v>177</v>
      </c>
      <c r="B1074" s="534" t="s">
        <v>189</v>
      </c>
      <c r="C1074" s="535">
        <v>0</v>
      </c>
      <c r="D1074" s="536" t="s">
        <v>18817</v>
      </c>
      <c r="E1074" s="534" t="s">
        <v>189</v>
      </c>
      <c r="F1074" s="537">
        <v>44805</v>
      </c>
      <c r="G1074" s="534">
        <v>2022</v>
      </c>
      <c r="H1074" s="563" t="s">
        <v>17017</v>
      </c>
      <c r="I1074" s="534" t="s">
        <v>17018</v>
      </c>
      <c r="J1074" s="534" t="s">
        <v>3</v>
      </c>
      <c r="K1074" s="539">
        <v>195365</v>
      </c>
      <c r="L1074" s="534">
        <v>1</v>
      </c>
      <c r="M1074" s="540">
        <v>195365</v>
      </c>
      <c r="N1074" s="534" t="s">
        <v>20155</v>
      </c>
      <c r="O1074" s="534" t="s">
        <v>20307</v>
      </c>
      <c r="P1074" s="884">
        <v>44823</v>
      </c>
      <c r="Q1074" s="535">
        <v>41000</v>
      </c>
      <c r="R1074" s="535">
        <v>20500</v>
      </c>
      <c r="S1074" s="535">
        <v>0</v>
      </c>
      <c r="T1074" s="535">
        <v>0</v>
      </c>
      <c r="U1074" s="535">
        <v>61500</v>
      </c>
      <c r="V1074" s="541"/>
      <c r="W1074" s="542">
        <v>133865</v>
      </c>
      <c r="X1074" s="542">
        <v>61500</v>
      </c>
      <c r="Y1074" s="542">
        <v>0</v>
      </c>
      <c r="Z1074" s="542">
        <v>0</v>
      </c>
      <c r="AA1074" s="543">
        <v>3.2650000000000001</v>
      </c>
      <c r="AB1074" s="543">
        <v>3</v>
      </c>
      <c r="AC1074" s="543"/>
      <c r="AD1074" s="543"/>
      <c r="AE1074" s="542">
        <v>0</v>
      </c>
      <c r="AF1074" s="542">
        <v>0</v>
      </c>
      <c r="AG1074" s="542">
        <v>0</v>
      </c>
      <c r="AH1074" s="544">
        <v>3.2650000000000001</v>
      </c>
      <c r="AI1074" s="544">
        <v>3</v>
      </c>
      <c r="AJ1074" s="544">
        <v>0</v>
      </c>
      <c r="AK1074" s="544">
        <v>0</v>
      </c>
      <c r="AL1074" s="545">
        <v>1</v>
      </c>
      <c r="AM1074" s="545" t="s">
        <v>20338</v>
      </c>
      <c r="AN1074" s="545">
        <v>0</v>
      </c>
      <c r="AO1074" s="545">
        <v>0</v>
      </c>
    </row>
    <row r="1075" spans="1:41" hidden="1">
      <c r="A1075" s="533">
        <v>178</v>
      </c>
      <c r="B1075" s="534" t="s">
        <v>190</v>
      </c>
      <c r="C1075" s="535">
        <v>0</v>
      </c>
      <c r="D1075" s="536" t="s">
        <v>18818</v>
      </c>
      <c r="E1075" s="534" t="s">
        <v>190</v>
      </c>
      <c r="F1075" s="537">
        <v>44809</v>
      </c>
      <c r="G1075" s="534">
        <v>2022</v>
      </c>
      <c r="H1075" s="563" t="s">
        <v>16444</v>
      </c>
      <c r="I1075" s="534" t="s">
        <v>16445</v>
      </c>
      <c r="J1075" s="534" t="s">
        <v>3</v>
      </c>
      <c r="K1075" s="539">
        <v>149742</v>
      </c>
      <c r="L1075" s="534">
        <v>1</v>
      </c>
      <c r="M1075" s="540">
        <v>149742</v>
      </c>
      <c r="N1075" s="534" t="s">
        <v>20155</v>
      </c>
      <c r="O1075" s="534" t="s">
        <v>18248</v>
      </c>
      <c r="P1075" s="884">
        <v>44816</v>
      </c>
      <c r="Q1075" s="535">
        <v>13440</v>
      </c>
      <c r="R1075" s="535">
        <v>41400</v>
      </c>
      <c r="S1075" s="535">
        <v>0</v>
      </c>
      <c r="T1075" s="535">
        <v>0</v>
      </c>
      <c r="U1075" s="535">
        <v>54840</v>
      </c>
      <c r="V1075" s="541"/>
      <c r="W1075" s="542">
        <v>37962</v>
      </c>
      <c r="X1075" s="542">
        <v>111780</v>
      </c>
      <c r="Y1075" s="542">
        <v>0</v>
      </c>
      <c r="Z1075" s="542">
        <v>0</v>
      </c>
      <c r="AA1075" s="543">
        <v>2.8245535714285714</v>
      </c>
      <c r="AB1075" s="543">
        <v>2.7</v>
      </c>
      <c r="AC1075" s="543"/>
      <c r="AD1075" s="543"/>
      <c r="AE1075" s="542">
        <v>0</v>
      </c>
      <c r="AF1075" s="542">
        <v>0</v>
      </c>
      <c r="AG1075" s="542">
        <v>0</v>
      </c>
      <c r="AH1075" s="544">
        <v>2.8245535714285714</v>
      </c>
      <c r="AI1075" s="544">
        <v>2.7</v>
      </c>
      <c r="AJ1075" s="544">
        <v>0</v>
      </c>
      <c r="AK1075" s="544">
        <v>0</v>
      </c>
      <c r="AL1075" s="545" t="s">
        <v>20324</v>
      </c>
      <c r="AM1075" s="545" t="s">
        <v>20316</v>
      </c>
      <c r="AN1075" s="545">
        <v>0</v>
      </c>
      <c r="AO1075" s="545">
        <v>0</v>
      </c>
    </row>
    <row r="1076" spans="1:41" hidden="1">
      <c r="A1076" s="533">
        <v>179</v>
      </c>
      <c r="B1076" s="534" t="s">
        <v>191</v>
      </c>
      <c r="C1076" s="535">
        <v>0</v>
      </c>
      <c r="D1076" s="536" t="s">
        <v>18819</v>
      </c>
      <c r="E1076" s="534" t="s">
        <v>191</v>
      </c>
      <c r="F1076" s="537">
        <v>44812</v>
      </c>
      <c r="G1076" s="534">
        <v>2022</v>
      </c>
      <c r="H1076" s="563" t="s">
        <v>17017</v>
      </c>
      <c r="I1076" s="534" t="s">
        <v>17018</v>
      </c>
      <c r="J1076" s="534" t="s">
        <v>3</v>
      </c>
      <c r="K1076" s="539">
        <v>64600</v>
      </c>
      <c r="L1076" s="534">
        <v>1</v>
      </c>
      <c r="M1076" s="540">
        <v>64600</v>
      </c>
      <c r="N1076" s="534" t="s">
        <v>20155</v>
      </c>
      <c r="O1076" s="534" t="s">
        <v>18064</v>
      </c>
      <c r="P1076" s="884">
        <v>44818</v>
      </c>
      <c r="Q1076" s="535">
        <v>0</v>
      </c>
      <c r="R1076" s="535">
        <v>20000</v>
      </c>
      <c r="S1076" s="535">
        <v>0</v>
      </c>
      <c r="T1076" s="535">
        <v>0</v>
      </c>
      <c r="U1076" s="535">
        <v>20000</v>
      </c>
      <c r="V1076" s="541"/>
      <c r="W1076" s="542">
        <v>0</v>
      </c>
      <c r="X1076" s="542">
        <v>64600</v>
      </c>
      <c r="Y1076" s="542">
        <v>0</v>
      </c>
      <c r="Z1076" s="542">
        <v>0</v>
      </c>
      <c r="AA1076" s="543"/>
      <c r="AB1076" s="543">
        <v>3.23</v>
      </c>
      <c r="AC1076" s="543"/>
      <c r="AD1076" s="543"/>
      <c r="AE1076" s="542">
        <v>0</v>
      </c>
      <c r="AF1076" s="542">
        <v>0</v>
      </c>
      <c r="AG1076" s="542">
        <v>0</v>
      </c>
      <c r="AH1076" s="544">
        <v>0</v>
      </c>
      <c r="AI1076" s="544">
        <v>3.23</v>
      </c>
      <c r="AJ1076" s="544">
        <v>0</v>
      </c>
      <c r="AK1076" s="544">
        <v>0</v>
      </c>
      <c r="AL1076" s="545">
        <v>0</v>
      </c>
      <c r="AM1076" s="545">
        <v>1</v>
      </c>
      <c r="AN1076" s="545">
        <v>0</v>
      </c>
      <c r="AO1076" s="545">
        <v>0</v>
      </c>
    </row>
    <row r="1077" spans="1:41" hidden="1">
      <c r="A1077" s="533">
        <v>180</v>
      </c>
      <c r="B1077" s="534" t="s">
        <v>192</v>
      </c>
      <c r="C1077" s="535">
        <v>0</v>
      </c>
      <c r="D1077" s="536" t="s">
        <v>18820</v>
      </c>
      <c r="E1077" s="534" t="s">
        <v>192</v>
      </c>
      <c r="F1077" s="537">
        <v>44816</v>
      </c>
      <c r="G1077" s="534">
        <v>2022</v>
      </c>
      <c r="H1077" s="563" t="s">
        <v>16957</v>
      </c>
      <c r="I1077" s="534" t="s">
        <v>16958</v>
      </c>
      <c r="J1077" s="534" t="s">
        <v>16401</v>
      </c>
      <c r="K1077" s="539">
        <v>71773.257249999995</v>
      </c>
      <c r="L1077" s="534">
        <v>3.2120500000000001</v>
      </c>
      <c r="M1077" s="540">
        <v>22345</v>
      </c>
      <c r="N1077" s="534" t="s">
        <v>20155</v>
      </c>
      <c r="O1077" s="534" t="s">
        <v>20161</v>
      </c>
      <c r="P1077" s="884">
        <v>44823</v>
      </c>
      <c r="Q1077" s="535">
        <v>20500</v>
      </c>
      <c r="R1077" s="535">
        <v>0</v>
      </c>
      <c r="S1077" s="535">
        <v>0</v>
      </c>
      <c r="T1077" s="535">
        <v>0</v>
      </c>
      <c r="U1077" s="535">
        <v>20500</v>
      </c>
      <c r="V1077" s="541"/>
      <c r="W1077" s="542">
        <v>71773.257249999995</v>
      </c>
      <c r="X1077" s="542">
        <v>0</v>
      </c>
      <c r="Y1077" s="542">
        <v>0</v>
      </c>
      <c r="Z1077" s="542">
        <v>0</v>
      </c>
      <c r="AA1077" s="543">
        <v>3.5011344999999996</v>
      </c>
      <c r="AB1077" s="543" t="e">
        <v>#DIV/0!</v>
      </c>
      <c r="AC1077" s="543" t="e">
        <v>#DIV/0!</v>
      </c>
      <c r="AD1077" s="543" t="e">
        <v>#DIV/0!</v>
      </c>
      <c r="AE1077" s="542">
        <v>0</v>
      </c>
      <c r="AF1077" s="542">
        <v>1571.7650000000001</v>
      </c>
      <c r="AG1077" s="542">
        <v>7.6671463414634156E-2</v>
      </c>
      <c r="AH1077" s="544">
        <v>3.4244630365853652</v>
      </c>
      <c r="AI1077" s="544" t="e">
        <v>#DIV/0!</v>
      </c>
      <c r="AJ1077" s="544" t="e">
        <v>#DIV/0!</v>
      </c>
      <c r="AK1077" s="544" t="e">
        <v>#DIV/0!</v>
      </c>
      <c r="AL1077" s="545">
        <v>1</v>
      </c>
      <c r="AM1077" s="545">
        <v>0</v>
      </c>
      <c r="AN1077" s="545">
        <v>0</v>
      </c>
      <c r="AO1077" s="545">
        <v>0</v>
      </c>
    </row>
    <row r="1078" spans="1:41" hidden="1">
      <c r="A1078" s="533">
        <v>181</v>
      </c>
      <c r="B1078" s="534" t="s">
        <v>193</v>
      </c>
      <c r="C1078" s="535">
        <v>0</v>
      </c>
      <c r="D1078" s="536" t="s">
        <v>18821</v>
      </c>
      <c r="E1078" s="534" t="s">
        <v>193</v>
      </c>
      <c r="F1078" s="537">
        <v>44816</v>
      </c>
      <c r="G1078" s="534">
        <v>2022</v>
      </c>
      <c r="H1078" s="563" t="s">
        <v>16838</v>
      </c>
      <c r="I1078" s="534" t="s">
        <v>16839</v>
      </c>
      <c r="J1078" s="534" t="s">
        <v>3</v>
      </c>
      <c r="K1078" s="539">
        <v>879219.6</v>
      </c>
      <c r="L1078" s="534">
        <v>1</v>
      </c>
      <c r="M1078" s="540">
        <v>879219.6</v>
      </c>
      <c r="N1078" s="534" t="s">
        <v>20155</v>
      </c>
      <c r="O1078" s="534" t="s">
        <v>20321</v>
      </c>
      <c r="P1078" s="884">
        <v>44827</v>
      </c>
      <c r="Q1078" s="535">
        <v>0</v>
      </c>
      <c r="R1078" s="535">
        <v>352128</v>
      </c>
      <c r="S1078" s="535">
        <v>0</v>
      </c>
      <c r="T1078" s="535">
        <v>0</v>
      </c>
      <c r="U1078" s="535">
        <v>352128</v>
      </c>
      <c r="V1078" s="541"/>
      <c r="W1078" s="542">
        <v>0</v>
      </c>
      <c r="X1078" s="542">
        <v>879219.6</v>
      </c>
      <c r="Y1078" s="542">
        <v>0</v>
      </c>
      <c r="Z1078" s="542">
        <v>0</v>
      </c>
      <c r="AA1078" s="543"/>
      <c r="AB1078" s="543">
        <v>2.4968749999999997</v>
      </c>
      <c r="AC1078" s="543"/>
      <c r="AD1078" s="543"/>
      <c r="AE1078" s="542">
        <v>0</v>
      </c>
      <c r="AF1078" s="542">
        <v>0</v>
      </c>
      <c r="AG1078" s="542">
        <v>0</v>
      </c>
      <c r="AH1078" s="544">
        <v>0</v>
      </c>
      <c r="AI1078" s="544">
        <v>2.4968749999999997</v>
      </c>
      <c r="AJ1078" s="544">
        <v>0</v>
      </c>
      <c r="AK1078" s="544">
        <v>0</v>
      </c>
      <c r="AL1078" s="545">
        <v>0</v>
      </c>
      <c r="AM1078" s="545" t="s">
        <v>20323</v>
      </c>
      <c r="AN1078" s="545">
        <v>0</v>
      </c>
      <c r="AO1078" s="545">
        <v>0</v>
      </c>
    </row>
    <row r="1079" spans="1:41" hidden="1">
      <c r="A1079" s="533">
        <v>182</v>
      </c>
      <c r="B1079" s="534" t="s">
        <v>194</v>
      </c>
      <c r="C1079" s="535">
        <v>0</v>
      </c>
      <c r="D1079" s="536" t="s">
        <v>18822</v>
      </c>
      <c r="E1079" s="534" t="s">
        <v>194</v>
      </c>
      <c r="F1079" s="537">
        <v>44816</v>
      </c>
      <c r="G1079" s="534">
        <v>2022</v>
      </c>
      <c r="H1079" s="563" t="s">
        <v>16838</v>
      </c>
      <c r="I1079" s="534" t="s">
        <v>16839</v>
      </c>
      <c r="J1079" s="534" t="s">
        <v>3</v>
      </c>
      <c r="K1079" s="539">
        <v>161280</v>
      </c>
      <c r="L1079" s="534">
        <v>1</v>
      </c>
      <c r="M1079" s="540">
        <v>161280</v>
      </c>
      <c r="N1079" s="534" t="s">
        <v>20155</v>
      </c>
      <c r="O1079" s="534" t="s">
        <v>18248</v>
      </c>
      <c r="P1079" s="884">
        <v>44824</v>
      </c>
      <c r="Q1079" s="535">
        <v>57600</v>
      </c>
      <c r="R1079" s="535">
        <v>0</v>
      </c>
      <c r="S1079" s="535">
        <v>0</v>
      </c>
      <c r="T1079" s="535">
        <v>0</v>
      </c>
      <c r="U1079" s="535">
        <v>57600</v>
      </c>
      <c r="V1079" s="541"/>
      <c r="W1079" s="542">
        <v>161280</v>
      </c>
      <c r="X1079" s="542">
        <v>0</v>
      </c>
      <c r="Y1079" s="542">
        <v>0</v>
      </c>
      <c r="Z1079" s="542">
        <v>0</v>
      </c>
      <c r="AA1079" s="543">
        <v>2.8</v>
      </c>
      <c r="AB1079" s="543"/>
      <c r="AC1079" s="543"/>
      <c r="AD1079" s="543"/>
      <c r="AE1079" s="542">
        <v>0</v>
      </c>
      <c r="AF1079" s="542">
        <v>0</v>
      </c>
      <c r="AG1079" s="542">
        <v>0</v>
      </c>
      <c r="AH1079" s="544">
        <v>2.8</v>
      </c>
      <c r="AI1079" s="544">
        <v>0</v>
      </c>
      <c r="AJ1079" s="544">
        <v>0</v>
      </c>
      <c r="AK1079" s="544">
        <v>0</v>
      </c>
      <c r="AL1079" s="545" t="s">
        <v>20324</v>
      </c>
      <c r="AM1079" s="545">
        <v>0</v>
      </c>
      <c r="AN1079" s="545">
        <v>0</v>
      </c>
      <c r="AO1079" s="545">
        <v>0</v>
      </c>
    </row>
    <row r="1080" spans="1:41" hidden="1">
      <c r="A1080" s="533">
        <v>183</v>
      </c>
      <c r="B1080" s="534" t="s">
        <v>195</v>
      </c>
      <c r="C1080" s="535">
        <v>0</v>
      </c>
      <c r="D1080" s="536" t="s">
        <v>18823</v>
      </c>
      <c r="E1080" s="534" t="s">
        <v>195</v>
      </c>
      <c r="F1080" s="537">
        <v>44816</v>
      </c>
      <c r="G1080" s="534">
        <v>2022</v>
      </c>
      <c r="H1080" s="563" t="s">
        <v>17332</v>
      </c>
      <c r="I1080" s="534" t="s">
        <v>17333</v>
      </c>
      <c r="J1080" s="534" t="s">
        <v>3</v>
      </c>
      <c r="K1080" s="539">
        <v>393000</v>
      </c>
      <c r="L1080" s="534">
        <v>1</v>
      </c>
      <c r="M1080" s="540">
        <v>393000</v>
      </c>
      <c r="N1080" s="534" t="s">
        <v>20155</v>
      </c>
      <c r="O1080" s="534" t="s">
        <v>17939</v>
      </c>
      <c r="P1080" s="884">
        <v>44834</v>
      </c>
      <c r="Q1080" s="535">
        <v>150000</v>
      </c>
      <c r="R1080" s="535">
        <v>0</v>
      </c>
      <c r="S1080" s="535">
        <v>0</v>
      </c>
      <c r="T1080" s="535">
        <v>0</v>
      </c>
      <c r="U1080" s="535">
        <v>150000</v>
      </c>
      <c r="V1080" s="541"/>
      <c r="W1080" s="542">
        <v>392999.99999999994</v>
      </c>
      <c r="X1080" s="542">
        <v>0</v>
      </c>
      <c r="Y1080" s="542">
        <v>0</v>
      </c>
      <c r="Z1080" s="542">
        <v>0</v>
      </c>
      <c r="AA1080" s="543">
        <v>2.6199999999999997</v>
      </c>
      <c r="AB1080" s="543"/>
      <c r="AC1080" s="543"/>
      <c r="AD1080" s="543"/>
      <c r="AE1080" s="542">
        <v>0</v>
      </c>
      <c r="AF1080" s="542">
        <v>0</v>
      </c>
      <c r="AG1080" s="542">
        <v>0</v>
      </c>
      <c r="AH1080" s="544">
        <v>2.6199999999999997</v>
      </c>
      <c r="AI1080" s="544">
        <v>0</v>
      </c>
      <c r="AJ1080" s="544">
        <v>0</v>
      </c>
      <c r="AK1080" s="544">
        <v>0</v>
      </c>
      <c r="AL1080" s="545" t="s">
        <v>20324</v>
      </c>
      <c r="AM1080" s="545">
        <v>0</v>
      </c>
      <c r="AN1080" s="545">
        <v>0</v>
      </c>
      <c r="AO1080" s="545">
        <v>0</v>
      </c>
    </row>
    <row r="1081" spans="1:41" hidden="1">
      <c r="A1081" s="533">
        <v>184</v>
      </c>
      <c r="B1081" s="534" t="s">
        <v>196</v>
      </c>
      <c r="C1081" s="535">
        <v>0</v>
      </c>
      <c r="D1081" s="536" t="s">
        <v>18824</v>
      </c>
      <c r="E1081" s="534" t="s">
        <v>196</v>
      </c>
      <c r="F1081" s="537">
        <v>44819</v>
      </c>
      <c r="G1081" s="534">
        <v>2022</v>
      </c>
      <c r="H1081" s="563" t="s">
        <v>16957</v>
      </c>
      <c r="I1081" s="534" t="s">
        <v>16958</v>
      </c>
      <c r="J1081" s="534" t="s">
        <v>16401</v>
      </c>
      <c r="K1081" s="539">
        <v>65069.321624999997</v>
      </c>
      <c r="L1081" s="534">
        <v>3.2224499999999998</v>
      </c>
      <c r="M1081" s="540">
        <v>20192.5</v>
      </c>
      <c r="N1081" s="534" t="s">
        <v>20155</v>
      </c>
      <c r="O1081" s="534" t="s">
        <v>20161</v>
      </c>
      <c r="P1081" s="884">
        <v>44827</v>
      </c>
      <c r="Q1081" s="535">
        <v>20500</v>
      </c>
      <c r="R1081" s="535">
        <v>0</v>
      </c>
      <c r="S1081" s="535">
        <v>0</v>
      </c>
      <c r="T1081" s="535">
        <v>0</v>
      </c>
      <c r="U1081" s="535">
        <v>20500</v>
      </c>
      <c r="V1081" s="541"/>
      <c r="W1081" s="542">
        <v>65069.321625000004</v>
      </c>
      <c r="X1081" s="542">
        <v>0</v>
      </c>
      <c r="Y1081" s="542">
        <v>0</v>
      </c>
      <c r="Z1081" s="542">
        <v>0</v>
      </c>
      <c r="AA1081" s="543">
        <v>3.17411325</v>
      </c>
      <c r="AB1081" s="543" t="e">
        <v>#DIV/0!</v>
      </c>
      <c r="AC1081" s="543" t="e">
        <v>#DIV/0!</v>
      </c>
      <c r="AD1081" s="543" t="e">
        <v>#DIV/0!</v>
      </c>
      <c r="AE1081" s="542">
        <v>0</v>
      </c>
      <c r="AF1081" s="542">
        <v>1500.3030000000001</v>
      </c>
      <c r="AG1081" s="542">
        <v>7.3185512195121954E-2</v>
      </c>
      <c r="AH1081" s="544">
        <v>3.1009277378048781</v>
      </c>
      <c r="AI1081" s="544" t="e">
        <v>#DIV/0!</v>
      </c>
      <c r="AJ1081" s="544" t="e">
        <v>#DIV/0!</v>
      </c>
      <c r="AK1081" s="544" t="e">
        <v>#DIV/0!</v>
      </c>
      <c r="AL1081" s="545">
        <v>1</v>
      </c>
      <c r="AM1081" s="545">
        <v>0</v>
      </c>
      <c r="AN1081" s="545">
        <v>0</v>
      </c>
      <c r="AO1081" s="545">
        <v>0</v>
      </c>
    </row>
    <row r="1082" spans="1:41" hidden="1">
      <c r="A1082" s="533">
        <v>185</v>
      </c>
      <c r="B1082" s="534" t="s">
        <v>197</v>
      </c>
      <c r="C1082" s="535">
        <v>0</v>
      </c>
      <c r="D1082" s="536" t="s">
        <v>18825</v>
      </c>
      <c r="E1082" s="534" t="s">
        <v>197</v>
      </c>
      <c r="F1082" s="537">
        <v>44826</v>
      </c>
      <c r="G1082" s="534">
        <v>2022</v>
      </c>
      <c r="H1082" s="563" t="s">
        <v>17017</v>
      </c>
      <c r="I1082" s="534" t="s">
        <v>17018</v>
      </c>
      <c r="J1082" s="534" t="s">
        <v>3</v>
      </c>
      <c r="K1082" s="539">
        <v>64600</v>
      </c>
      <c r="L1082" s="534">
        <v>1</v>
      </c>
      <c r="M1082" s="540">
        <v>64600</v>
      </c>
      <c r="N1082" s="534" t="s">
        <v>20155</v>
      </c>
      <c r="O1082" s="534" t="s">
        <v>18064</v>
      </c>
      <c r="P1082" s="884">
        <v>44832</v>
      </c>
      <c r="Q1082" s="535">
        <v>0</v>
      </c>
      <c r="R1082" s="535">
        <v>20000</v>
      </c>
      <c r="S1082" s="535">
        <v>0</v>
      </c>
      <c r="T1082" s="535">
        <v>0</v>
      </c>
      <c r="U1082" s="535">
        <v>20000</v>
      </c>
      <c r="V1082" s="541"/>
      <c r="W1082" s="542">
        <v>0</v>
      </c>
      <c r="X1082" s="542">
        <v>64600</v>
      </c>
      <c r="Y1082" s="542">
        <v>0</v>
      </c>
      <c r="Z1082" s="542">
        <v>0</v>
      </c>
      <c r="AA1082" s="543"/>
      <c r="AB1082" s="543">
        <v>3.23</v>
      </c>
      <c r="AC1082" s="543"/>
      <c r="AD1082" s="543"/>
      <c r="AE1082" s="542">
        <v>0</v>
      </c>
      <c r="AF1082" s="542">
        <v>0</v>
      </c>
      <c r="AG1082" s="542">
        <v>0</v>
      </c>
      <c r="AH1082" s="544">
        <v>0</v>
      </c>
      <c r="AI1082" s="544">
        <v>3.23</v>
      </c>
      <c r="AJ1082" s="544">
        <v>0</v>
      </c>
      <c r="AK1082" s="544">
        <v>0</v>
      </c>
      <c r="AL1082" s="545">
        <v>0</v>
      </c>
      <c r="AM1082" s="545">
        <v>1</v>
      </c>
      <c r="AN1082" s="545">
        <v>0</v>
      </c>
      <c r="AO1082" s="545">
        <v>0</v>
      </c>
    </row>
    <row r="1083" spans="1:41" hidden="1">
      <c r="A1083" s="533">
        <v>186</v>
      </c>
      <c r="B1083" s="534" t="s">
        <v>198</v>
      </c>
      <c r="C1083" s="535">
        <v>0</v>
      </c>
      <c r="D1083" s="536" t="s">
        <v>18826</v>
      </c>
      <c r="E1083" s="534" t="s">
        <v>198</v>
      </c>
      <c r="F1083" s="537">
        <v>44826</v>
      </c>
      <c r="G1083" s="534">
        <v>2022</v>
      </c>
      <c r="H1083" s="563" t="s">
        <v>17332</v>
      </c>
      <c r="I1083" s="534" t="s">
        <v>17333</v>
      </c>
      <c r="J1083" s="534" t="s">
        <v>3</v>
      </c>
      <c r="K1083" s="539">
        <v>76890</v>
      </c>
      <c r="L1083" s="534">
        <v>1</v>
      </c>
      <c r="M1083" s="540">
        <v>76890</v>
      </c>
      <c r="N1083" s="534" t="s">
        <v>20155</v>
      </c>
      <c r="O1083" s="534" t="s">
        <v>18248</v>
      </c>
      <c r="P1083" s="884">
        <v>44833</v>
      </c>
      <c r="Q1083" s="535">
        <v>27960</v>
      </c>
      <c r="R1083" s="535">
        <v>0</v>
      </c>
      <c r="S1083" s="535">
        <v>0</v>
      </c>
      <c r="T1083" s="535">
        <v>0</v>
      </c>
      <c r="U1083" s="535">
        <v>27960</v>
      </c>
      <c r="V1083" s="541"/>
      <c r="W1083" s="542">
        <v>76890</v>
      </c>
      <c r="X1083" s="542">
        <v>0</v>
      </c>
      <c r="Y1083" s="542">
        <v>0</v>
      </c>
      <c r="Z1083" s="542">
        <v>0</v>
      </c>
      <c r="AA1083" s="543">
        <v>2.75</v>
      </c>
      <c r="AB1083" s="543"/>
      <c r="AC1083" s="543"/>
      <c r="AD1083" s="543"/>
      <c r="AE1083" s="542">
        <v>0</v>
      </c>
      <c r="AF1083" s="542">
        <v>0</v>
      </c>
      <c r="AG1083" s="542">
        <v>0</v>
      </c>
      <c r="AH1083" s="544">
        <v>2.75</v>
      </c>
      <c r="AI1083" s="544">
        <v>0</v>
      </c>
      <c r="AJ1083" s="544">
        <v>0</v>
      </c>
      <c r="AK1083" s="544">
        <v>0</v>
      </c>
      <c r="AL1083" s="545" t="s">
        <v>20324</v>
      </c>
      <c r="AM1083" s="545">
        <v>0</v>
      </c>
      <c r="AN1083" s="545">
        <v>0</v>
      </c>
      <c r="AO1083" s="545">
        <v>0</v>
      </c>
    </row>
    <row r="1084" spans="1:41" hidden="1">
      <c r="A1084" s="533">
        <v>187</v>
      </c>
      <c r="B1084" s="534" t="s">
        <v>199</v>
      </c>
      <c r="C1084" s="535">
        <v>0</v>
      </c>
      <c r="D1084" s="536" t="s">
        <v>18827</v>
      </c>
      <c r="E1084" s="534" t="s">
        <v>199</v>
      </c>
      <c r="F1084" s="537">
        <v>44826</v>
      </c>
      <c r="G1084" s="534">
        <v>2022</v>
      </c>
      <c r="H1084" s="563" t="s">
        <v>16783</v>
      </c>
      <c r="I1084" s="534" t="s">
        <v>16784</v>
      </c>
      <c r="J1084" s="534" t="s">
        <v>16401</v>
      </c>
      <c r="K1084" s="539">
        <v>895093.41599999997</v>
      </c>
      <c r="L1084" s="534">
        <v>3.2888500000000001</v>
      </c>
      <c r="M1084" s="540">
        <v>272160</v>
      </c>
      <c r="N1084" s="534" t="s">
        <v>20155</v>
      </c>
      <c r="O1084" s="534" t="s">
        <v>17939</v>
      </c>
      <c r="P1084" s="884">
        <v>44834</v>
      </c>
      <c r="Q1084" s="535">
        <v>10512</v>
      </c>
      <c r="R1084" s="535">
        <v>195226</v>
      </c>
      <c r="S1084" s="535">
        <v>96662</v>
      </c>
      <c r="T1084" s="535">
        <v>0</v>
      </c>
      <c r="U1084" s="535">
        <v>302400</v>
      </c>
      <c r="V1084" s="541"/>
      <c r="W1084" s="542">
        <v>31115.152079999996</v>
      </c>
      <c r="X1084" s="542">
        <v>577860.94310400006</v>
      </c>
      <c r="Y1084" s="542">
        <v>286117.32081599993</v>
      </c>
      <c r="Z1084" s="542">
        <v>0</v>
      </c>
      <c r="AA1084" s="543">
        <v>2.9599649999999995</v>
      </c>
      <c r="AB1084" s="543">
        <v>2.9599589353057487</v>
      </c>
      <c r="AC1084" s="543">
        <v>2.9599772487223515</v>
      </c>
      <c r="AD1084" s="543"/>
      <c r="AE1084" s="542">
        <v>0</v>
      </c>
      <c r="AF1084" s="542">
        <v>0</v>
      </c>
      <c r="AG1084" s="542">
        <v>0</v>
      </c>
      <c r="AH1084" s="544">
        <v>2.9599649999999995</v>
      </c>
      <c r="AI1084" s="544">
        <v>2.9599589353057487</v>
      </c>
      <c r="AJ1084" s="544">
        <v>2.9599772487223515</v>
      </c>
      <c r="AK1084" s="544">
        <v>0</v>
      </c>
      <c r="AL1084" s="545" t="s">
        <v>20324</v>
      </c>
      <c r="AM1084" s="545" t="s">
        <v>20324</v>
      </c>
      <c r="AN1084" s="545" t="s">
        <v>20324</v>
      </c>
      <c r="AO1084" s="545">
        <v>0</v>
      </c>
    </row>
    <row r="1085" spans="1:41" hidden="1">
      <c r="A1085" s="533">
        <v>188</v>
      </c>
      <c r="B1085" s="534" t="s">
        <v>200</v>
      </c>
      <c r="C1085" s="535">
        <v>0</v>
      </c>
      <c r="D1085" s="536" t="s">
        <v>18828</v>
      </c>
      <c r="E1085" s="534" t="s">
        <v>200</v>
      </c>
      <c r="F1085" s="537">
        <v>44830</v>
      </c>
      <c r="G1085" s="534">
        <v>2022</v>
      </c>
      <c r="H1085" s="563" t="s">
        <v>16560</v>
      </c>
      <c r="I1085" s="534" t="s">
        <v>16561</v>
      </c>
      <c r="J1085" s="534" t="s">
        <v>16482</v>
      </c>
      <c r="K1085" s="539">
        <v>251789.39099999997</v>
      </c>
      <c r="L1085" s="534">
        <v>3.1719499999999998</v>
      </c>
      <c r="M1085" s="540">
        <v>79380</v>
      </c>
      <c r="N1085" s="534" t="s">
        <v>20155</v>
      </c>
      <c r="O1085" s="534" t="s">
        <v>17801</v>
      </c>
      <c r="P1085" s="884">
        <v>44832</v>
      </c>
      <c r="Q1085" s="535">
        <v>0</v>
      </c>
      <c r="R1085" s="535">
        <v>0</v>
      </c>
      <c r="S1085" s="535">
        <v>108000</v>
      </c>
      <c r="T1085" s="535">
        <v>0</v>
      </c>
      <c r="U1085" s="535">
        <v>108000</v>
      </c>
      <c r="V1085" s="541"/>
      <c r="W1085" s="542">
        <v>0</v>
      </c>
      <c r="X1085" s="542">
        <v>0</v>
      </c>
      <c r="Y1085" s="542">
        <v>251789.391</v>
      </c>
      <c r="Z1085" s="542">
        <v>0</v>
      </c>
      <c r="AA1085" s="543"/>
      <c r="AB1085" s="543"/>
      <c r="AC1085" s="543">
        <v>2.33138325</v>
      </c>
      <c r="AD1085" s="543"/>
      <c r="AE1085" s="542">
        <v>11321.8462</v>
      </c>
      <c r="AF1085" s="542">
        <v>37201.432000000001</v>
      </c>
      <c r="AG1085" s="542">
        <v>0.34445770370370371</v>
      </c>
      <c r="AH1085" s="544"/>
      <c r="AI1085" s="544"/>
      <c r="AJ1085" s="544">
        <v>1.9869255462962963</v>
      </c>
      <c r="AK1085" s="544"/>
      <c r="AL1085" s="545">
        <v>0</v>
      </c>
      <c r="AM1085" s="545">
        <v>0</v>
      </c>
      <c r="AN1085" s="545" t="s">
        <v>20323</v>
      </c>
      <c r="AO1085" s="545">
        <v>0</v>
      </c>
    </row>
    <row r="1086" spans="1:41" hidden="1">
      <c r="A1086" s="533">
        <v>189</v>
      </c>
      <c r="B1086" s="534" t="s">
        <v>201</v>
      </c>
      <c r="C1086" s="535">
        <v>0</v>
      </c>
      <c r="D1086" s="536" t="s">
        <v>18829</v>
      </c>
      <c r="E1086" s="534" t="s">
        <v>201</v>
      </c>
      <c r="F1086" s="537">
        <v>44830</v>
      </c>
      <c r="G1086" s="534">
        <v>2022</v>
      </c>
      <c r="H1086" s="563" t="s">
        <v>16560</v>
      </c>
      <c r="I1086" s="534" t="s">
        <v>16561</v>
      </c>
      <c r="J1086" s="534" t="s">
        <v>16482</v>
      </c>
      <c r="K1086" s="539">
        <v>250963.83900000001</v>
      </c>
      <c r="L1086" s="534">
        <v>3.1615500000000001</v>
      </c>
      <c r="M1086" s="540">
        <v>79380</v>
      </c>
      <c r="N1086" s="534" t="s">
        <v>20155</v>
      </c>
      <c r="O1086" s="534" t="s">
        <v>17801</v>
      </c>
      <c r="P1086" s="884">
        <v>44833</v>
      </c>
      <c r="Q1086" s="535">
        <v>0</v>
      </c>
      <c r="R1086" s="535">
        <v>0</v>
      </c>
      <c r="S1086" s="535">
        <v>108000</v>
      </c>
      <c r="T1086" s="535">
        <v>0</v>
      </c>
      <c r="U1086" s="535">
        <v>108000</v>
      </c>
      <c r="V1086" s="541"/>
      <c r="W1086" s="542">
        <v>0</v>
      </c>
      <c r="X1086" s="542">
        <v>0</v>
      </c>
      <c r="Y1086" s="542">
        <v>250963.83899999998</v>
      </c>
      <c r="Z1086" s="542">
        <v>0</v>
      </c>
      <c r="AA1086" s="543"/>
      <c r="AB1086" s="543"/>
      <c r="AC1086" s="543">
        <v>2.3237392499999996</v>
      </c>
      <c r="AD1086" s="543"/>
      <c r="AE1086" s="542">
        <v>11321.8462</v>
      </c>
      <c r="AF1086" s="542">
        <v>37201.432000000001</v>
      </c>
      <c r="AG1086" s="542">
        <v>0.34445770370370371</v>
      </c>
      <c r="AH1086" s="544"/>
      <c r="AI1086" s="544"/>
      <c r="AJ1086" s="544">
        <v>1.9792815462962958</v>
      </c>
      <c r="AK1086" s="544"/>
      <c r="AL1086" s="545">
        <v>0</v>
      </c>
      <c r="AM1086" s="545">
        <v>0</v>
      </c>
      <c r="AN1086" s="545" t="s">
        <v>20323</v>
      </c>
      <c r="AO1086" s="545">
        <v>0</v>
      </c>
    </row>
    <row r="1087" spans="1:41" hidden="1">
      <c r="A1087" s="533">
        <v>190</v>
      </c>
      <c r="B1087" s="534" t="s">
        <v>202</v>
      </c>
      <c r="C1087" s="535">
        <v>0</v>
      </c>
      <c r="D1087" s="536" t="s">
        <v>18830</v>
      </c>
      <c r="E1087" s="534" t="s">
        <v>202</v>
      </c>
      <c r="F1087" s="537">
        <v>44830</v>
      </c>
      <c r="G1087" s="534">
        <v>2022</v>
      </c>
      <c r="H1087" s="563" t="s">
        <v>16560</v>
      </c>
      <c r="I1087" s="534" t="s">
        <v>16561</v>
      </c>
      <c r="J1087" s="534" t="s">
        <v>16482</v>
      </c>
      <c r="K1087" s="539">
        <v>251682.228</v>
      </c>
      <c r="L1087" s="534">
        <v>3.1705999999999999</v>
      </c>
      <c r="M1087" s="540">
        <v>79380</v>
      </c>
      <c r="N1087" s="534" t="s">
        <v>20155</v>
      </c>
      <c r="O1087" s="534" t="s">
        <v>17801</v>
      </c>
      <c r="P1087" s="884">
        <v>44834</v>
      </c>
      <c r="Q1087" s="535">
        <v>0</v>
      </c>
      <c r="R1087" s="535">
        <v>0</v>
      </c>
      <c r="S1087" s="535">
        <v>108000</v>
      </c>
      <c r="T1087" s="535">
        <v>0</v>
      </c>
      <c r="U1087" s="535">
        <v>108000</v>
      </c>
      <c r="V1087" s="541"/>
      <c r="W1087" s="542">
        <v>0</v>
      </c>
      <c r="X1087" s="542">
        <v>0</v>
      </c>
      <c r="Y1087" s="542">
        <v>251682.228</v>
      </c>
      <c r="Z1087" s="542">
        <v>0</v>
      </c>
      <c r="AA1087" s="543"/>
      <c r="AB1087" s="543"/>
      <c r="AC1087" s="543">
        <v>2.3303910000000001</v>
      </c>
      <c r="AD1087" s="543"/>
      <c r="AE1087" s="542">
        <v>11321.8462</v>
      </c>
      <c r="AF1087" s="542">
        <v>37201.432000000001</v>
      </c>
      <c r="AG1087" s="542">
        <v>0.34445770370370371</v>
      </c>
      <c r="AH1087" s="544"/>
      <c r="AI1087" s="544"/>
      <c r="AJ1087" s="544">
        <v>1.9859332962962963</v>
      </c>
      <c r="AK1087" s="544"/>
      <c r="AL1087" s="545">
        <v>0</v>
      </c>
      <c r="AM1087" s="545">
        <v>0</v>
      </c>
      <c r="AN1087" s="545" t="s">
        <v>20323</v>
      </c>
      <c r="AO1087" s="545">
        <v>0</v>
      </c>
    </row>
    <row r="1088" spans="1:41" hidden="1">
      <c r="A1088" s="533">
        <v>191</v>
      </c>
      <c r="B1088" s="534" t="s">
        <v>203</v>
      </c>
      <c r="C1088" s="535">
        <v>0</v>
      </c>
      <c r="D1088" s="536" t="s">
        <v>18831</v>
      </c>
      <c r="E1088" s="534" t="s">
        <v>203</v>
      </c>
      <c r="F1088" s="537">
        <v>44830</v>
      </c>
      <c r="G1088" s="534">
        <v>2022</v>
      </c>
      <c r="H1088" s="563" t="s">
        <v>17226</v>
      </c>
      <c r="I1088" s="534" t="s">
        <v>17227</v>
      </c>
      <c r="J1088" s="534" t="s">
        <v>3</v>
      </c>
      <c r="K1088" s="539">
        <v>170760.95999999999</v>
      </c>
      <c r="L1088" s="534">
        <v>1</v>
      </c>
      <c r="M1088" s="540">
        <v>170760.95999999999</v>
      </c>
      <c r="N1088" s="534" t="s">
        <v>20155</v>
      </c>
      <c r="O1088" s="534" t="s">
        <v>17689</v>
      </c>
      <c r="P1088" s="884">
        <v>44838</v>
      </c>
      <c r="Q1088" s="535">
        <v>0</v>
      </c>
      <c r="R1088" s="535">
        <v>0</v>
      </c>
      <c r="S1088" s="535">
        <v>55987</v>
      </c>
      <c r="T1088" s="535">
        <v>0</v>
      </c>
      <c r="U1088" s="535">
        <v>55987</v>
      </c>
      <c r="V1088" s="541"/>
      <c r="W1088" s="542">
        <v>0</v>
      </c>
      <c r="X1088" s="542">
        <v>0</v>
      </c>
      <c r="Y1088" s="542">
        <v>170760.95999999999</v>
      </c>
      <c r="Z1088" s="542">
        <v>0</v>
      </c>
      <c r="AA1088" s="543" t="e">
        <v>#DIV/0!</v>
      </c>
      <c r="AB1088" s="543" t="e">
        <v>#DIV/0!</v>
      </c>
      <c r="AC1088" s="543">
        <v>3.0500108953864289</v>
      </c>
      <c r="AD1088" s="543" t="e">
        <v>#DIV/0!</v>
      </c>
      <c r="AE1088" s="542">
        <v>0</v>
      </c>
      <c r="AF1088" s="542">
        <v>0</v>
      </c>
      <c r="AG1088" s="542">
        <v>0</v>
      </c>
      <c r="AH1088" s="544" t="e">
        <v>#DIV/0!</v>
      </c>
      <c r="AI1088" s="544" t="e">
        <v>#DIV/0!</v>
      </c>
      <c r="AJ1088" s="544">
        <v>3.0500108953864289</v>
      </c>
      <c r="AK1088" s="544" t="e">
        <v>#DIV/0!</v>
      </c>
      <c r="AL1088" s="545">
        <v>0</v>
      </c>
      <c r="AM1088" s="545">
        <v>0</v>
      </c>
      <c r="AN1088" s="545">
        <v>1</v>
      </c>
      <c r="AO1088" s="545">
        <v>0</v>
      </c>
    </row>
    <row r="1089" spans="1:41" hidden="1">
      <c r="A1089" s="533">
        <v>192</v>
      </c>
      <c r="B1089" s="534" t="s">
        <v>204</v>
      </c>
      <c r="C1089" s="535">
        <v>0</v>
      </c>
      <c r="D1089" s="536" t="s">
        <v>18832</v>
      </c>
      <c r="E1089" s="534" t="s">
        <v>204</v>
      </c>
      <c r="F1089" s="537">
        <v>44834</v>
      </c>
      <c r="G1089" s="534">
        <v>2022</v>
      </c>
      <c r="H1089" s="563" t="s">
        <v>17334</v>
      </c>
      <c r="I1089" s="534" t="s">
        <v>17335</v>
      </c>
      <c r="J1089" s="534" t="s">
        <v>3</v>
      </c>
      <c r="K1089" s="539">
        <v>69248.600000000006</v>
      </c>
      <c r="L1089" s="534">
        <v>1</v>
      </c>
      <c r="M1089" s="540">
        <v>69248.600000000006</v>
      </c>
      <c r="N1089" s="534" t="s">
        <v>20155</v>
      </c>
      <c r="O1089" s="534" t="s">
        <v>16394</v>
      </c>
      <c r="P1089" s="884">
        <v>44879</v>
      </c>
      <c r="Q1089" s="535">
        <v>3840</v>
      </c>
      <c r="R1089" s="535">
        <v>7704</v>
      </c>
      <c r="S1089" s="535">
        <v>7500</v>
      </c>
      <c r="T1089" s="535">
        <v>1680</v>
      </c>
      <c r="U1089" s="535">
        <v>20724</v>
      </c>
      <c r="V1089" s="541"/>
      <c r="W1089" s="542">
        <v>12480</v>
      </c>
      <c r="X1089" s="542">
        <v>24267.599999999999</v>
      </c>
      <c r="Y1089" s="542">
        <v>23625</v>
      </c>
      <c r="Z1089" s="542">
        <v>8876</v>
      </c>
      <c r="AA1089" s="543">
        <v>3.25</v>
      </c>
      <c r="AB1089" s="543">
        <v>3.15</v>
      </c>
      <c r="AC1089" s="543">
        <v>3.15</v>
      </c>
      <c r="AD1089" s="543">
        <v>5.2833333333333332</v>
      </c>
      <c r="AE1089" s="542">
        <v>0</v>
      </c>
      <c r="AF1089" s="542">
        <v>0</v>
      </c>
      <c r="AG1089" s="542">
        <v>0</v>
      </c>
      <c r="AH1089" s="544">
        <v>3.25</v>
      </c>
      <c r="AI1089" s="544">
        <v>3.15</v>
      </c>
      <c r="AJ1089" s="544">
        <v>3.15</v>
      </c>
      <c r="AK1089" s="544">
        <v>5.2833333333333332</v>
      </c>
      <c r="AL1089" s="545">
        <v>1</v>
      </c>
      <c r="AM1089" s="545">
        <v>1</v>
      </c>
      <c r="AN1089" s="545">
        <v>1</v>
      </c>
      <c r="AO1089" s="545">
        <v>1</v>
      </c>
    </row>
    <row r="1090" spans="1:41" hidden="1">
      <c r="A1090" s="533">
        <v>193</v>
      </c>
      <c r="B1090" s="534" t="s">
        <v>205</v>
      </c>
      <c r="C1090" s="535">
        <v>0</v>
      </c>
      <c r="D1090" s="536" t="s">
        <v>18834</v>
      </c>
      <c r="E1090" s="534" t="s">
        <v>205</v>
      </c>
      <c r="F1090" s="537">
        <v>44839</v>
      </c>
      <c r="G1090" s="534">
        <v>2022</v>
      </c>
      <c r="H1090" s="563" t="s">
        <v>17336</v>
      </c>
      <c r="I1090" s="534" t="s">
        <v>17337</v>
      </c>
      <c r="J1090" s="534" t="s">
        <v>16401</v>
      </c>
      <c r="K1090" s="539">
        <v>110738.19934799999</v>
      </c>
      <c r="L1090" s="534">
        <v>3.2281499999999999</v>
      </c>
      <c r="M1090" s="540">
        <v>34303.919999999998</v>
      </c>
      <c r="N1090" s="534" t="s">
        <v>20155</v>
      </c>
      <c r="O1090" s="534" t="s">
        <v>17939</v>
      </c>
      <c r="P1090" s="884">
        <v>44839</v>
      </c>
      <c r="Q1090" s="535">
        <v>35004</v>
      </c>
      <c r="R1090" s="535">
        <v>0</v>
      </c>
      <c r="S1090" s="535">
        <v>0</v>
      </c>
      <c r="T1090" s="535">
        <v>0</v>
      </c>
      <c r="U1090" s="535">
        <v>35004</v>
      </c>
      <c r="V1090" s="541"/>
      <c r="W1090" s="542">
        <v>110738.19934800001</v>
      </c>
      <c r="X1090" s="542">
        <v>0</v>
      </c>
      <c r="Y1090" s="542">
        <v>0</v>
      </c>
      <c r="Z1090" s="542">
        <v>0</v>
      </c>
      <c r="AA1090" s="543">
        <v>3.1635870000000001</v>
      </c>
      <c r="AB1090" s="543" t="e">
        <v>#DIV/0!</v>
      </c>
      <c r="AC1090" s="543" t="e">
        <v>#DIV/0!</v>
      </c>
      <c r="AD1090" s="543" t="e">
        <v>#DIV/0!</v>
      </c>
      <c r="AE1090" s="542">
        <v>0</v>
      </c>
      <c r="AF1090" s="542">
        <v>0</v>
      </c>
      <c r="AG1090" s="542">
        <v>0</v>
      </c>
      <c r="AH1090" s="544">
        <v>3.1635870000000001</v>
      </c>
      <c r="AI1090" s="544" t="e">
        <v>#DIV/0!</v>
      </c>
      <c r="AJ1090" s="544" t="e">
        <v>#DIV/0!</v>
      </c>
      <c r="AK1090" s="544" t="e">
        <v>#DIV/0!</v>
      </c>
      <c r="AL1090" s="545" t="s">
        <v>20324</v>
      </c>
      <c r="AM1090" s="545">
        <v>0</v>
      </c>
      <c r="AN1090" s="545">
        <v>0</v>
      </c>
      <c r="AO1090" s="545">
        <v>0</v>
      </c>
    </row>
    <row r="1091" spans="1:41" hidden="1">
      <c r="A1091" s="533">
        <v>194</v>
      </c>
      <c r="B1091" s="534" t="s">
        <v>206</v>
      </c>
      <c r="C1091" s="535">
        <v>0</v>
      </c>
      <c r="D1091" s="536" t="s">
        <v>18836</v>
      </c>
      <c r="E1091" s="534" t="s">
        <v>206</v>
      </c>
      <c r="F1091" s="537">
        <v>44840</v>
      </c>
      <c r="G1091" s="534">
        <v>2022</v>
      </c>
      <c r="H1091" s="563" t="s">
        <v>17329</v>
      </c>
      <c r="I1091" s="534" t="s">
        <v>17330</v>
      </c>
      <c r="J1091" s="534" t="s">
        <v>16401</v>
      </c>
      <c r="K1091" s="539">
        <v>218609.67256000001</v>
      </c>
      <c r="L1091" s="534">
        <v>3.2698</v>
      </c>
      <c r="M1091" s="540">
        <v>66857.2</v>
      </c>
      <c r="N1091" s="534" t="s">
        <v>20155</v>
      </c>
      <c r="O1091" s="534" t="s">
        <v>20335</v>
      </c>
      <c r="P1091" s="884">
        <v>44847</v>
      </c>
      <c r="Q1091" s="535">
        <v>0</v>
      </c>
      <c r="R1091" s="535">
        <v>63360</v>
      </c>
      <c r="S1091" s="535">
        <v>0</v>
      </c>
      <c r="T1091" s="535">
        <v>0</v>
      </c>
      <c r="U1091" s="535">
        <v>63360</v>
      </c>
      <c r="V1091" s="541"/>
      <c r="W1091" s="542">
        <v>0</v>
      </c>
      <c r="X1091" s="542">
        <v>199147.82296000002</v>
      </c>
      <c r="Y1091" s="542">
        <v>0</v>
      </c>
      <c r="Z1091" s="542">
        <v>19461.849600000005</v>
      </c>
      <c r="AA1091" s="543" t="e">
        <v>#DIV/0!</v>
      </c>
      <c r="AB1091" s="543">
        <v>3.1431158926767679</v>
      </c>
      <c r="AC1091" s="543" t="e">
        <v>#DIV/0!</v>
      </c>
      <c r="AD1091" s="543" t="e">
        <v>#DIV/0!</v>
      </c>
      <c r="AE1091" s="542">
        <v>14434.664999999999</v>
      </c>
      <c r="AF1091" s="542">
        <v>46203</v>
      </c>
      <c r="AG1091" s="542">
        <v>0.72921401515151518</v>
      </c>
      <c r="AH1091" s="544" t="e">
        <v>#DIV/0!</v>
      </c>
      <c r="AI1091" s="544">
        <v>2.4139018775252525</v>
      </c>
      <c r="AJ1091" s="544" t="e">
        <v>#DIV/0!</v>
      </c>
      <c r="AK1091" s="544" t="e">
        <v>#DIV/0!</v>
      </c>
      <c r="AL1091" s="545">
        <v>0</v>
      </c>
      <c r="AM1091" s="545" t="s">
        <v>20300</v>
      </c>
      <c r="AN1091" s="545">
        <v>0</v>
      </c>
      <c r="AO1091" s="545">
        <v>0</v>
      </c>
    </row>
    <row r="1092" spans="1:41" hidden="1">
      <c r="A1092" s="576">
        <v>195</v>
      </c>
      <c r="B1092" s="1" t="s">
        <v>207</v>
      </c>
      <c r="C1092" s="50">
        <v>0</v>
      </c>
      <c r="D1092" s="464" t="s">
        <v>18837</v>
      </c>
      <c r="E1092" s="1" t="s">
        <v>207</v>
      </c>
      <c r="F1092" s="53">
        <v>44841</v>
      </c>
      <c r="G1092" s="1">
        <v>2022</v>
      </c>
      <c r="H1092" s="577" t="s">
        <v>16838</v>
      </c>
      <c r="I1092" s="1" t="s">
        <v>16839</v>
      </c>
      <c r="J1092" s="1" t="s">
        <v>3</v>
      </c>
      <c r="K1092" s="36">
        <v>708657.6</v>
      </c>
      <c r="L1092" s="1">
        <v>1</v>
      </c>
      <c r="M1092" s="37">
        <v>708657.6</v>
      </c>
      <c r="N1092" s="534" t="s">
        <v>20155</v>
      </c>
      <c r="O1092" s="1" t="s">
        <v>20321</v>
      </c>
      <c r="P1092" s="876">
        <v>44847</v>
      </c>
      <c r="Q1092" s="50">
        <v>0</v>
      </c>
      <c r="R1092" s="50">
        <v>308112</v>
      </c>
      <c r="S1092" s="50">
        <v>0</v>
      </c>
      <c r="T1092" s="50">
        <v>0</v>
      </c>
      <c r="U1092" s="50">
        <v>308112</v>
      </c>
      <c r="V1092" s="11"/>
      <c r="W1092" s="17">
        <v>0</v>
      </c>
      <c r="X1092" s="542">
        <v>708657.6</v>
      </c>
      <c r="Y1092" s="542">
        <v>0</v>
      </c>
      <c r="Z1092" s="542">
        <v>0</v>
      </c>
      <c r="AA1092" s="24" t="e">
        <v>#DIV/0!</v>
      </c>
      <c r="AB1092" s="24">
        <v>2.2999999999999998</v>
      </c>
      <c r="AC1092" s="24" t="e">
        <v>#DIV/0!</v>
      </c>
      <c r="AD1092" s="24" t="e">
        <v>#DIV/0!</v>
      </c>
      <c r="AE1092" s="17">
        <v>0</v>
      </c>
      <c r="AF1092" s="17">
        <v>0</v>
      </c>
      <c r="AG1092" s="17">
        <v>0</v>
      </c>
      <c r="AH1092" s="578" t="e">
        <v>#DIV/0!</v>
      </c>
      <c r="AI1092" s="578">
        <v>2.2999999999999998</v>
      </c>
      <c r="AJ1092" s="578" t="e">
        <v>#DIV/0!</v>
      </c>
      <c r="AK1092" s="578" t="e">
        <v>#DIV/0!</v>
      </c>
      <c r="AL1092" s="579">
        <v>0</v>
      </c>
      <c r="AM1092" s="579" t="s">
        <v>20323</v>
      </c>
      <c r="AN1092" s="579">
        <v>0</v>
      </c>
      <c r="AO1092" s="579">
        <v>0</v>
      </c>
    </row>
    <row r="1093" spans="1:41" hidden="1">
      <c r="A1093" s="576" t="s">
        <v>208</v>
      </c>
      <c r="B1093" s="1" t="s">
        <v>208</v>
      </c>
      <c r="C1093" s="50">
        <v>0</v>
      </c>
      <c r="D1093" s="464" t="s">
        <v>18838</v>
      </c>
      <c r="E1093" s="1" t="s">
        <v>208</v>
      </c>
      <c r="F1093" s="53">
        <v>44844</v>
      </c>
      <c r="G1093" s="1">
        <v>2022</v>
      </c>
      <c r="H1093" s="577" t="s">
        <v>16838</v>
      </c>
      <c r="I1093" s="1" t="s">
        <v>16839</v>
      </c>
      <c r="J1093" s="1" t="s">
        <v>3</v>
      </c>
      <c r="K1093" s="36">
        <v>464622</v>
      </c>
      <c r="L1093" s="1">
        <v>1</v>
      </c>
      <c r="M1093" s="37">
        <v>464622</v>
      </c>
      <c r="N1093" s="534" t="s">
        <v>20155</v>
      </c>
      <c r="O1093" s="1" t="s">
        <v>17949</v>
      </c>
      <c r="P1093" s="876">
        <v>44867</v>
      </c>
      <c r="Q1093" s="50">
        <v>174840</v>
      </c>
      <c r="R1093" s="50">
        <v>0</v>
      </c>
      <c r="S1093" s="50">
        <v>0</v>
      </c>
      <c r="T1093" s="50">
        <v>0</v>
      </c>
      <c r="U1093" s="50">
        <v>174840</v>
      </c>
      <c r="V1093" s="11"/>
      <c r="W1093" s="17">
        <v>464622</v>
      </c>
      <c r="X1093" s="17">
        <v>0</v>
      </c>
      <c r="Y1093" s="17">
        <v>0</v>
      </c>
      <c r="Z1093" s="17">
        <v>0</v>
      </c>
      <c r="AA1093" s="24">
        <v>2.6574124914207276</v>
      </c>
      <c r="AB1093" s="24" t="e">
        <v>#DIV/0!</v>
      </c>
      <c r="AC1093" s="24" t="e">
        <v>#DIV/0!</v>
      </c>
      <c r="AD1093" s="24" t="e">
        <v>#DIV/0!</v>
      </c>
      <c r="AE1093" s="17">
        <v>0</v>
      </c>
      <c r="AF1093" s="17">
        <v>0</v>
      </c>
      <c r="AG1093" s="17">
        <v>0</v>
      </c>
      <c r="AH1093" s="578">
        <v>2.6574124914207276</v>
      </c>
      <c r="AI1093" s="578" t="e">
        <v>#DIV/0!</v>
      </c>
      <c r="AJ1093" s="578" t="e">
        <v>#DIV/0!</v>
      </c>
      <c r="AK1093" s="578" t="e">
        <v>#DIV/0!</v>
      </c>
      <c r="AL1093" s="579" t="s">
        <v>20324</v>
      </c>
      <c r="AM1093" s="579">
        <v>0</v>
      </c>
      <c r="AN1093" s="579">
        <v>0</v>
      </c>
      <c r="AO1093" s="579">
        <v>0</v>
      </c>
    </row>
    <row r="1094" spans="1:41" hidden="1">
      <c r="A1094" s="576" t="s">
        <v>209</v>
      </c>
      <c r="B1094" s="1" t="s">
        <v>209</v>
      </c>
      <c r="C1094" s="50">
        <v>0</v>
      </c>
      <c r="D1094" s="464" t="s">
        <v>18839</v>
      </c>
      <c r="E1094" s="1" t="s">
        <v>209</v>
      </c>
      <c r="F1094" s="53">
        <v>44844</v>
      </c>
      <c r="G1094" s="1">
        <v>2022</v>
      </c>
      <c r="H1094" s="577" t="s">
        <v>16384</v>
      </c>
      <c r="I1094" s="1" t="s">
        <v>16385</v>
      </c>
      <c r="J1094" s="1" t="s">
        <v>3</v>
      </c>
      <c r="K1094" s="36">
        <v>51840</v>
      </c>
      <c r="L1094" s="1">
        <v>1</v>
      </c>
      <c r="M1094" s="37">
        <v>51840</v>
      </c>
      <c r="N1094" s="534" t="s">
        <v>20155</v>
      </c>
      <c r="O1094" s="1" t="s">
        <v>18094</v>
      </c>
      <c r="P1094" s="876">
        <v>44853</v>
      </c>
      <c r="Q1094" s="50">
        <v>19200</v>
      </c>
      <c r="R1094" s="50">
        <v>0</v>
      </c>
      <c r="S1094" s="50">
        <v>0</v>
      </c>
      <c r="T1094" s="50">
        <v>0</v>
      </c>
      <c r="U1094" s="50">
        <v>19200</v>
      </c>
      <c r="V1094" s="11"/>
      <c r="W1094" s="17">
        <v>51840</v>
      </c>
      <c r="X1094" s="17">
        <v>0</v>
      </c>
      <c r="Y1094" s="17">
        <v>0</v>
      </c>
      <c r="Z1094" s="17">
        <v>0</v>
      </c>
      <c r="AA1094" s="24">
        <v>2.7</v>
      </c>
      <c r="AB1094" s="24" t="e">
        <v>#DIV/0!</v>
      </c>
      <c r="AC1094" s="24" t="e">
        <v>#DIV/0!</v>
      </c>
      <c r="AD1094" s="24" t="e">
        <v>#DIV/0!</v>
      </c>
      <c r="AE1094" s="17">
        <v>0</v>
      </c>
      <c r="AF1094" s="17">
        <v>0</v>
      </c>
      <c r="AG1094" s="17">
        <v>0</v>
      </c>
      <c r="AH1094" s="578">
        <v>2.7</v>
      </c>
      <c r="AI1094" s="578" t="e">
        <v>#DIV/0!</v>
      </c>
      <c r="AJ1094" s="578" t="e">
        <v>#DIV/0!</v>
      </c>
      <c r="AK1094" s="578" t="e">
        <v>#DIV/0!</v>
      </c>
      <c r="AL1094" s="579" t="s">
        <v>20324</v>
      </c>
      <c r="AM1094" s="579">
        <v>0</v>
      </c>
      <c r="AN1094" s="579">
        <v>0</v>
      </c>
      <c r="AO1094" s="579">
        <v>0</v>
      </c>
    </row>
    <row r="1095" spans="1:41" hidden="1">
      <c r="A1095" s="576" t="s">
        <v>210</v>
      </c>
      <c r="B1095" s="1" t="s">
        <v>210</v>
      </c>
      <c r="C1095" s="50">
        <v>0</v>
      </c>
      <c r="D1095" s="464" t="s">
        <v>18840</v>
      </c>
      <c r="E1095" s="1" t="s">
        <v>210</v>
      </c>
      <c r="F1095" s="53">
        <v>44845</v>
      </c>
      <c r="G1095" s="1">
        <v>2022</v>
      </c>
      <c r="H1095" s="577" t="s">
        <v>16444</v>
      </c>
      <c r="I1095" s="1" t="s">
        <v>16445</v>
      </c>
      <c r="J1095" s="1" t="s">
        <v>3</v>
      </c>
      <c r="K1095" s="36">
        <v>57672</v>
      </c>
      <c r="L1095" s="1">
        <v>1</v>
      </c>
      <c r="M1095" s="37">
        <v>57672</v>
      </c>
      <c r="N1095" s="534" t="s">
        <v>20155</v>
      </c>
      <c r="O1095" s="1" t="s">
        <v>17693</v>
      </c>
      <c r="P1095" s="876">
        <v>44851</v>
      </c>
      <c r="Q1095" s="50">
        <v>21600</v>
      </c>
      <c r="R1095" s="50">
        <v>0</v>
      </c>
      <c r="S1095" s="50">
        <v>0</v>
      </c>
      <c r="T1095" s="50">
        <v>0</v>
      </c>
      <c r="U1095" s="50">
        <v>21600</v>
      </c>
      <c r="V1095" s="11"/>
      <c r="W1095" s="17">
        <v>57672</v>
      </c>
      <c r="X1095" s="17">
        <v>0</v>
      </c>
      <c r="Y1095" s="17">
        <v>0</v>
      </c>
      <c r="Z1095" s="17">
        <v>0</v>
      </c>
      <c r="AA1095" s="24">
        <v>2.67</v>
      </c>
      <c r="AB1095" s="24" t="e">
        <v>#DIV/0!</v>
      </c>
      <c r="AC1095" s="24" t="e">
        <v>#DIV/0!</v>
      </c>
      <c r="AD1095" s="24" t="e">
        <v>#DIV/0!</v>
      </c>
      <c r="AE1095" s="17">
        <v>0</v>
      </c>
      <c r="AF1095" s="17">
        <v>0</v>
      </c>
      <c r="AG1095" s="17">
        <v>0</v>
      </c>
      <c r="AH1095" s="578">
        <v>2.67</v>
      </c>
      <c r="AI1095" s="578" t="e">
        <v>#DIV/0!</v>
      </c>
      <c r="AJ1095" s="578" t="e">
        <v>#DIV/0!</v>
      </c>
      <c r="AK1095" s="578" t="e">
        <v>#DIV/0!</v>
      </c>
      <c r="AL1095" s="579" t="s">
        <v>20324</v>
      </c>
      <c r="AM1095" s="579">
        <v>0</v>
      </c>
      <c r="AN1095" s="579">
        <v>0</v>
      </c>
      <c r="AO1095" s="579">
        <v>0</v>
      </c>
    </row>
    <row r="1096" spans="1:41" hidden="1">
      <c r="A1096" s="576" t="s">
        <v>211</v>
      </c>
      <c r="B1096" s="1" t="s">
        <v>211</v>
      </c>
      <c r="C1096" s="50">
        <v>0</v>
      </c>
      <c r="D1096" s="464" t="s">
        <v>18841</v>
      </c>
      <c r="E1096" s="1" t="s">
        <v>211</v>
      </c>
      <c r="F1096" s="53">
        <v>44845</v>
      </c>
      <c r="G1096" s="1">
        <v>2022</v>
      </c>
      <c r="H1096" s="577" t="s">
        <v>16957</v>
      </c>
      <c r="I1096" s="1" t="s">
        <v>16958</v>
      </c>
      <c r="J1096" s="1" t="s">
        <v>16401</v>
      </c>
      <c r="K1096" s="36">
        <v>62357.983349999995</v>
      </c>
      <c r="L1096" s="1">
        <v>3.2610000000000001</v>
      </c>
      <c r="M1096" s="37">
        <v>19122.349999999999</v>
      </c>
      <c r="N1096" s="534" t="s">
        <v>20155</v>
      </c>
      <c r="O1096" s="1" t="s">
        <v>20161</v>
      </c>
      <c r="P1096" s="876">
        <v>44853</v>
      </c>
      <c r="Q1096" s="50">
        <v>20150</v>
      </c>
      <c r="R1096" s="50">
        <v>0</v>
      </c>
      <c r="S1096" s="50">
        <v>0</v>
      </c>
      <c r="T1096" s="50">
        <v>0</v>
      </c>
      <c r="U1096" s="50">
        <v>20150</v>
      </c>
      <c r="V1096" s="11"/>
      <c r="W1096" s="17">
        <v>62357.983350000002</v>
      </c>
      <c r="X1096" s="17">
        <v>0</v>
      </c>
      <c r="Y1096" s="17">
        <v>0</v>
      </c>
      <c r="Z1096" s="17">
        <v>0</v>
      </c>
      <c r="AA1096" s="24">
        <v>3.0946890000000002</v>
      </c>
      <c r="AB1096" s="24" t="e">
        <v>#DIV/0!</v>
      </c>
      <c r="AC1096" s="24" t="e">
        <v>#DIV/0!</v>
      </c>
      <c r="AD1096" s="24" t="e">
        <v>#DIV/0!</v>
      </c>
      <c r="AE1096" s="17">
        <v>0</v>
      </c>
      <c r="AF1096" s="17">
        <v>1550.3030000000001</v>
      </c>
      <c r="AG1096" s="17">
        <v>7.69381141439206E-2</v>
      </c>
      <c r="AH1096" s="578">
        <v>3.0177508858560795</v>
      </c>
      <c r="AI1096" s="578" t="e">
        <v>#DIV/0!</v>
      </c>
      <c r="AJ1096" s="578" t="e">
        <v>#DIV/0!</v>
      </c>
      <c r="AK1096" s="578" t="e">
        <v>#DIV/0!</v>
      </c>
      <c r="AL1096" s="579">
        <v>1</v>
      </c>
      <c r="AM1096" s="579">
        <v>0</v>
      </c>
      <c r="AN1096" s="579">
        <v>0</v>
      </c>
      <c r="AO1096" s="579">
        <v>0</v>
      </c>
    </row>
    <row r="1097" spans="1:41" hidden="1">
      <c r="A1097" s="576" t="s">
        <v>212</v>
      </c>
      <c r="B1097" s="1" t="s">
        <v>212</v>
      </c>
      <c r="C1097" s="50">
        <v>0</v>
      </c>
      <c r="D1097" s="464" t="s">
        <v>18842</v>
      </c>
      <c r="E1097" s="1" t="s">
        <v>212</v>
      </c>
      <c r="F1097" s="53">
        <v>44845</v>
      </c>
      <c r="G1097" s="1">
        <v>2022</v>
      </c>
      <c r="H1097" s="577" t="s">
        <v>17209</v>
      </c>
      <c r="I1097" s="1" t="s">
        <v>17210</v>
      </c>
      <c r="J1097" s="1" t="s">
        <v>16401</v>
      </c>
      <c r="K1097" s="36">
        <v>42005.331620000004</v>
      </c>
      <c r="L1097" s="1">
        <v>3.2606000000000002</v>
      </c>
      <c r="M1097" s="37">
        <v>12882.7</v>
      </c>
      <c r="N1097" s="534" t="s">
        <v>20155</v>
      </c>
      <c r="O1097" s="1" t="s">
        <v>20168</v>
      </c>
      <c r="P1097" s="876">
        <v>44859</v>
      </c>
      <c r="Q1097" s="50">
        <v>0</v>
      </c>
      <c r="R1097" s="50">
        <v>6540</v>
      </c>
      <c r="S1097" s="50">
        <v>2400</v>
      </c>
      <c r="T1097" s="50">
        <v>500</v>
      </c>
      <c r="U1097" s="50">
        <v>9440</v>
      </c>
      <c r="V1097" s="11"/>
      <c r="W1097" s="17">
        <v>0</v>
      </c>
      <c r="X1097" s="17">
        <v>27170.955597966102</v>
      </c>
      <c r="Y1097" s="17">
        <v>10394.57174237288</v>
      </c>
      <c r="Z1097" s="17">
        <v>4439.8042796610171</v>
      </c>
      <c r="AA1097" s="24" t="e">
        <v>#DIV/0!</v>
      </c>
      <c r="AB1097" s="24">
        <v>4.1545803666614836</v>
      </c>
      <c r="AC1097" s="24">
        <v>4.3310715593220337</v>
      </c>
      <c r="AD1097" s="24">
        <v>8.8796085593220333</v>
      </c>
      <c r="AE1097" s="17">
        <v>1831.4835</v>
      </c>
      <c r="AF1097" s="17">
        <v>6636.08</v>
      </c>
      <c r="AG1097" s="17">
        <v>0.70297457627118642</v>
      </c>
      <c r="AH1097" s="578" t="e">
        <v>#DIV/0!</v>
      </c>
      <c r="AI1097" s="578">
        <v>3.451605790390297</v>
      </c>
      <c r="AJ1097" s="578">
        <v>3.6280969830508472</v>
      </c>
      <c r="AK1097" s="578">
        <v>8.1766339830508468</v>
      </c>
      <c r="AL1097" s="579">
        <v>0</v>
      </c>
      <c r="AM1097" s="579">
        <v>1</v>
      </c>
      <c r="AN1097" s="579">
        <v>1</v>
      </c>
      <c r="AO1097" s="579">
        <v>1</v>
      </c>
    </row>
    <row r="1098" spans="1:41" hidden="1">
      <c r="A1098" s="576" t="s">
        <v>213</v>
      </c>
      <c r="B1098" s="1" t="s">
        <v>213</v>
      </c>
      <c r="C1098" s="50">
        <v>0</v>
      </c>
      <c r="D1098" s="464" t="s">
        <v>18843</v>
      </c>
      <c r="E1098" s="1" t="s">
        <v>213</v>
      </c>
      <c r="F1098" s="53">
        <v>44846</v>
      </c>
      <c r="G1098" s="1">
        <v>2022</v>
      </c>
      <c r="H1098" s="577" t="s">
        <v>17226</v>
      </c>
      <c r="I1098" s="1" t="s">
        <v>17227</v>
      </c>
      <c r="J1098" s="1" t="s">
        <v>3</v>
      </c>
      <c r="K1098" s="36">
        <v>129600</v>
      </c>
      <c r="L1098" s="1">
        <v>1</v>
      </c>
      <c r="M1098" s="37">
        <v>129600</v>
      </c>
      <c r="N1098" s="534" t="s">
        <v>20155</v>
      </c>
      <c r="O1098" s="1" t="s">
        <v>17689</v>
      </c>
      <c r="P1098" s="876">
        <v>44858</v>
      </c>
      <c r="Q1098" s="50">
        <v>38400</v>
      </c>
      <c r="R1098" s="50">
        <v>0</v>
      </c>
      <c r="S1098" s="50">
        <v>0</v>
      </c>
      <c r="T1098" s="50">
        <v>0</v>
      </c>
      <c r="U1098" s="50">
        <v>38400</v>
      </c>
      <c r="V1098" s="11"/>
      <c r="W1098" s="17">
        <v>129600</v>
      </c>
      <c r="X1098" s="17">
        <v>0</v>
      </c>
      <c r="Y1098" s="17">
        <v>0</v>
      </c>
      <c r="Z1098" s="17">
        <v>0</v>
      </c>
      <c r="AA1098" s="24">
        <v>3.375</v>
      </c>
      <c r="AB1098" s="24" t="e">
        <v>#DIV/0!</v>
      </c>
      <c r="AC1098" s="24" t="e">
        <v>#DIV/0!</v>
      </c>
      <c r="AD1098" s="24" t="e">
        <v>#DIV/0!</v>
      </c>
      <c r="AE1098" s="17">
        <v>0</v>
      </c>
      <c r="AF1098" s="17">
        <v>0</v>
      </c>
      <c r="AG1098" s="17">
        <v>0</v>
      </c>
      <c r="AH1098" s="578">
        <v>3.375</v>
      </c>
      <c r="AI1098" s="578" t="e">
        <v>#DIV/0!</v>
      </c>
      <c r="AJ1098" s="578" t="e">
        <v>#DIV/0!</v>
      </c>
      <c r="AK1098" s="578" t="e">
        <v>#DIV/0!</v>
      </c>
      <c r="AL1098" s="579">
        <v>1</v>
      </c>
      <c r="AM1098" s="579">
        <v>0</v>
      </c>
      <c r="AN1098" s="579">
        <v>0</v>
      </c>
      <c r="AO1098" s="579">
        <v>0</v>
      </c>
    </row>
    <row r="1099" spans="1:41" hidden="1">
      <c r="A1099" s="576" t="s">
        <v>214</v>
      </c>
      <c r="B1099" s="1" t="s">
        <v>214</v>
      </c>
      <c r="C1099" s="50">
        <v>0</v>
      </c>
      <c r="D1099" s="464" t="s">
        <v>18844</v>
      </c>
      <c r="E1099" s="1" t="s">
        <v>214</v>
      </c>
      <c r="F1099" s="53">
        <v>44847</v>
      </c>
      <c r="G1099" s="1">
        <v>2022</v>
      </c>
      <c r="H1099" s="577" t="s">
        <v>16444</v>
      </c>
      <c r="I1099" s="1" t="s">
        <v>16445</v>
      </c>
      <c r="J1099" s="1" t="s">
        <v>3</v>
      </c>
      <c r="K1099" s="36">
        <v>224808</v>
      </c>
      <c r="L1099" s="1">
        <v>1</v>
      </c>
      <c r="M1099" s="37">
        <v>224808</v>
      </c>
      <c r="N1099" s="534" t="s">
        <v>20155</v>
      </c>
      <c r="O1099" s="1" t="s">
        <v>18248</v>
      </c>
      <c r="P1099" s="876">
        <v>44858</v>
      </c>
      <c r="Q1099" s="50">
        <v>52200</v>
      </c>
      <c r="R1099" s="50">
        <v>32400</v>
      </c>
      <c r="S1099" s="50">
        <v>0</v>
      </c>
      <c r="T1099" s="50">
        <v>0</v>
      </c>
      <c r="U1099" s="50">
        <v>84600</v>
      </c>
      <c r="V1099" s="11"/>
      <c r="W1099" s="17">
        <v>141216</v>
      </c>
      <c r="X1099" s="17">
        <v>83592</v>
      </c>
      <c r="Y1099" s="17">
        <v>0</v>
      </c>
      <c r="Z1099" s="17">
        <v>0</v>
      </c>
      <c r="AA1099" s="24">
        <v>2.7052873563218389</v>
      </c>
      <c r="AB1099" s="24">
        <v>2.58</v>
      </c>
      <c r="AC1099" s="24" t="e">
        <v>#DIV/0!</v>
      </c>
      <c r="AD1099" s="24" t="e">
        <v>#DIV/0!</v>
      </c>
      <c r="AE1099" s="17">
        <v>0</v>
      </c>
      <c r="AF1099" s="17">
        <v>0</v>
      </c>
      <c r="AG1099" s="17">
        <v>0</v>
      </c>
      <c r="AH1099" s="578">
        <v>2.7052873563218389</v>
      </c>
      <c r="AI1099" s="578">
        <v>2.58</v>
      </c>
      <c r="AJ1099" s="578" t="e">
        <v>#DIV/0!</v>
      </c>
      <c r="AK1099" s="578" t="e">
        <v>#DIV/0!</v>
      </c>
      <c r="AL1099" s="579" t="s">
        <v>20324</v>
      </c>
      <c r="AM1099" s="579" t="s">
        <v>20316</v>
      </c>
      <c r="AN1099" s="579">
        <v>0</v>
      </c>
      <c r="AO1099" s="579">
        <v>0</v>
      </c>
    </row>
    <row r="1100" spans="1:41" hidden="1">
      <c r="A1100" s="576" t="s">
        <v>215</v>
      </c>
      <c r="B1100" s="1" t="s">
        <v>215</v>
      </c>
      <c r="C1100" s="50">
        <v>0</v>
      </c>
      <c r="D1100" s="464" t="s">
        <v>18845</v>
      </c>
      <c r="E1100" s="1" t="s">
        <v>215</v>
      </c>
      <c r="F1100" s="53">
        <v>44847</v>
      </c>
      <c r="G1100" s="1">
        <v>2022</v>
      </c>
      <c r="H1100" s="577" t="s">
        <v>16838</v>
      </c>
      <c r="I1100" s="1" t="s">
        <v>16839</v>
      </c>
      <c r="J1100" s="1" t="s">
        <v>3</v>
      </c>
      <c r="K1100" s="36">
        <v>236727.6</v>
      </c>
      <c r="L1100" s="1">
        <v>1</v>
      </c>
      <c r="M1100" s="37">
        <v>236727.6</v>
      </c>
      <c r="N1100" s="534" t="s">
        <v>20155</v>
      </c>
      <c r="O1100" s="1" t="s">
        <v>17949</v>
      </c>
      <c r="P1100" s="876">
        <v>44863</v>
      </c>
      <c r="Q1100" s="50">
        <v>66024</v>
      </c>
      <c r="R1100" s="50">
        <v>22800</v>
      </c>
      <c r="S1100" s="50">
        <v>1200</v>
      </c>
      <c r="T1100" s="50">
        <v>0</v>
      </c>
      <c r="U1100" s="50">
        <v>90024</v>
      </c>
      <c r="V1100" s="11"/>
      <c r="W1100" s="17">
        <v>174963.6</v>
      </c>
      <c r="X1100" s="17">
        <v>58824</v>
      </c>
      <c r="Y1100" s="17">
        <v>2940</v>
      </c>
      <c r="Z1100" s="17">
        <v>0</v>
      </c>
      <c r="AA1100" s="24">
        <v>2.65</v>
      </c>
      <c r="AB1100" s="24">
        <v>2.58</v>
      </c>
      <c r="AC1100" s="24">
        <v>2.4500000000000002</v>
      </c>
      <c r="AD1100" s="24" t="e">
        <v>#DIV/0!</v>
      </c>
      <c r="AE1100" s="17">
        <v>0</v>
      </c>
      <c r="AF1100" s="17">
        <v>0</v>
      </c>
      <c r="AG1100" s="17">
        <v>0</v>
      </c>
      <c r="AH1100" s="578">
        <v>2.65</v>
      </c>
      <c r="AI1100" s="578">
        <v>2.58</v>
      </c>
      <c r="AJ1100" s="578">
        <v>2.4500000000000002</v>
      </c>
      <c r="AK1100" s="578" t="e">
        <v>#DIV/0!</v>
      </c>
      <c r="AL1100" s="579" t="s">
        <v>20324</v>
      </c>
      <c r="AM1100" s="579" t="s">
        <v>20316</v>
      </c>
      <c r="AN1100" s="579" t="s">
        <v>20323</v>
      </c>
      <c r="AO1100" s="579">
        <v>0</v>
      </c>
    </row>
    <row r="1101" spans="1:41" hidden="1">
      <c r="A1101" s="576" t="s">
        <v>216</v>
      </c>
      <c r="B1101" s="1" t="s">
        <v>216</v>
      </c>
      <c r="C1101" s="50">
        <v>0</v>
      </c>
      <c r="D1101" s="464" t="s">
        <v>18846</v>
      </c>
      <c r="E1101" s="1" t="s">
        <v>216</v>
      </c>
      <c r="F1101" s="53">
        <v>44848</v>
      </c>
      <c r="G1101" s="1">
        <v>2022</v>
      </c>
      <c r="H1101" s="577" t="s">
        <v>16444</v>
      </c>
      <c r="I1101" s="1" t="s">
        <v>16445</v>
      </c>
      <c r="J1101" s="1" t="s">
        <v>3</v>
      </c>
      <c r="K1101" s="36">
        <v>150120</v>
      </c>
      <c r="L1101" s="1">
        <v>1</v>
      </c>
      <c r="M1101" s="37">
        <v>150120</v>
      </c>
      <c r="N1101" s="534" t="s">
        <v>20155</v>
      </c>
      <c r="O1101" s="1" t="s">
        <v>17854</v>
      </c>
      <c r="P1101" s="876">
        <v>44854</v>
      </c>
      <c r="Q1101" s="50">
        <v>54000</v>
      </c>
      <c r="R1101" s="50">
        <v>0</v>
      </c>
      <c r="S1101" s="50">
        <v>0</v>
      </c>
      <c r="T1101" s="50">
        <v>0</v>
      </c>
      <c r="U1101" s="50">
        <v>54000</v>
      </c>
      <c r="V1101" s="11"/>
      <c r="W1101" s="17">
        <v>150120</v>
      </c>
      <c r="X1101" s="17">
        <v>0</v>
      </c>
      <c r="Y1101" s="17">
        <v>0</v>
      </c>
      <c r="Z1101" s="17">
        <v>0</v>
      </c>
      <c r="AA1101" s="24">
        <v>2.78</v>
      </c>
      <c r="AB1101" s="24" t="e">
        <v>#DIV/0!</v>
      </c>
      <c r="AC1101" s="24" t="e">
        <v>#DIV/0!</v>
      </c>
      <c r="AD1101" s="24" t="e">
        <v>#DIV/0!</v>
      </c>
      <c r="AE1101" s="17">
        <v>0</v>
      </c>
      <c r="AF1101" s="17">
        <v>0</v>
      </c>
      <c r="AG1101" s="17">
        <v>0</v>
      </c>
      <c r="AH1101" s="578">
        <v>2.78</v>
      </c>
      <c r="AI1101" s="578" t="e">
        <v>#DIV/0!</v>
      </c>
      <c r="AJ1101" s="578" t="e">
        <v>#DIV/0!</v>
      </c>
      <c r="AK1101" s="578" t="e">
        <v>#DIV/0!</v>
      </c>
      <c r="AL1101" s="579" t="s">
        <v>20324</v>
      </c>
      <c r="AM1101" s="579">
        <v>0</v>
      </c>
      <c r="AN1101" s="579">
        <v>0</v>
      </c>
      <c r="AO1101" s="579">
        <v>0</v>
      </c>
    </row>
    <row r="1102" spans="1:41" hidden="1">
      <c r="A1102" s="576" t="s">
        <v>217</v>
      </c>
      <c r="B1102" s="1" t="s">
        <v>217</v>
      </c>
      <c r="C1102" s="50">
        <v>0</v>
      </c>
      <c r="D1102" s="464" t="s">
        <v>18847</v>
      </c>
      <c r="E1102" s="1" t="s">
        <v>217</v>
      </c>
      <c r="F1102" s="53">
        <v>44848</v>
      </c>
      <c r="G1102" s="1">
        <v>2022</v>
      </c>
      <c r="H1102" s="577" t="s">
        <v>16384</v>
      </c>
      <c r="I1102" s="1" t="s">
        <v>16385</v>
      </c>
      <c r="J1102" s="1" t="s">
        <v>3</v>
      </c>
      <c r="K1102" s="36">
        <v>61620</v>
      </c>
      <c r="L1102" s="1">
        <v>1</v>
      </c>
      <c r="M1102" s="37">
        <v>61620</v>
      </c>
      <c r="N1102" s="534" t="s">
        <v>20155</v>
      </c>
      <c r="O1102" s="1" t="s">
        <v>20319</v>
      </c>
      <c r="P1102" s="876">
        <v>44853</v>
      </c>
      <c r="Q1102" s="50">
        <v>0</v>
      </c>
      <c r="R1102" s="50">
        <v>0</v>
      </c>
      <c r="S1102" s="50">
        <v>26000</v>
      </c>
      <c r="T1102" s="50">
        <v>0</v>
      </c>
      <c r="U1102" s="50">
        <v>26000</v>
      </c>
      <c r="V1102" s="11"/>
      <c r="W1102" s="17">
        <v>0</v>
      </c>
      <c r="X1102" s="17">
        <v>0</v>
      </c>
      <c r="Y1102" s="17">
        <v>61620</v>
      </c>
      <c r="Z1102" s="17">
        <v>0</v>
      </c>
      <c r="AA1102" s="24" t="e">
        <v>#DIV/0!</v>
      </c>
      <c r="AB1102" s="24" t="e">
        <v>#DIV/0!</v>
      </c>
      <c r="AC1102" s="24">
        <v>2.37</v>
      </c>
      <c r="AD1102" s="24" t="e">
        <v>#DIV/0!</v>
      </c>
      <c r="AE1102" s="17">
        <v>0</v>
      </c>
      <c r="AF1102" s="17">
        <v>0</v>
      </c>
      <c r="AG1102" s="17">
        <v>0</v>
      </c>
      <c r="AH1102" s="578" t="e">
        <v>#DIV/0!</v>
      </c>
      <c r="AI1102" s="578" t="e">
        <v>#DIV/0!</v>
      </c>
      <c r="AJ1102" s="578">
        <v>2.37</v>
      </c>
      <c r="AK1102" s="578" t="e">
        <v>#DIV/0!</v>
      </c>
      <c r="AL1102" s="579">
        <v>0</v>
      </c>
      <c r="AM1102" s="579">
        <v>0</v>
      </c>
      <c r="AN1102" s="579" t="s">
        <v>20323</v>
      </c>
      <c r="AO1102" s="579">
        <v>0</v>
      </c>
    </row>
    <row r="1103" spans="1:41" hidden="1">
      <c r="A1103" s="576" t="s">
        <v>218</v>
      </c>
      <c r="B1103" s="1" t="s">
        <v>218</v>
      </c>
      <c r="C1103" s="50">
        <v>0</v>
      </c>
      <c r="D1103" s="464" t="s">
        <v>18848</v>
      </c>
      <c r="E1103" s="1" t="s">
        <v>218</v>
      </c>
      <c r="F1103" s="53">
        <v>44848</v>
      </c>
      <c r="G1103" s="1">
        <v>2022</v>
      </c>
      <c r="H1103" s="577" t="s">
        <v>17156</v>
      </c>
      <c r="I1103" s="1" t="s">
        <v>17157</v>
      </c>
      <c r="J1103" s="1" t="s">
        <v>3</v>
      </c>
      <c r="K1103" s="36">
        <v>186345</v>
      </c>
      <c r="L1103" s="1">
        <v>1</v>
      </c>
      <c r="M1103" s="37">
        <v>186345</v>
      </c>
      <c r="N1103" s="534" t="s">
        <v>20155</v>
      </c>
      <c r="O1103" s="1" t="s">
        <v>20161</v>
      </c>
      <c r="P1103" s="876">
        <v>44869</v>
      </c>
      <c r="Q1103" s="50">
        <v>0</v>
      </c>
      <c r="R1103" s="50">
        <v>61500</v>
      </c>
      <c r="S1103" s="50">
        <v>0</v>
      </c>
      <c r="T1103" s="50">
        <v>0</v>
      </c>
      <c r="U1103" s="50">
        <v>61500</v>
      </c>
      <c r="V1103" s="11"/>
      <c r="W1103" s="17">
        <v>0</v>
      </c>
      <c r="X1103" s="17">
        <v>186345</v>
      </c>
      <c r="Y1103" s="17">
        <v>0</v>
      </c>
      <c r="Z1103" s="17">
        <v>0</v>
      </c>
      <c r="AA1103" s="24" t="e">
        <v>#DIV/0!</v>
      </c>
      <c r="AB1103" s="24">
        <v>3.03</v>
      </c>
      <c r="AC1103" s="24" t="e">
        <v>#DIV/0!</v>
      </c>
      <c r="AD1103" s="24" t="e">
        <v>#DIV/0!</v>
      </c>
      <c r="AE1103" s="17">
        <v>0</v>
      </c>
      <c r="AF1103" s="17">
        <v>0</v>
      </c>
      <c r="AG1103" s="17">
        <v>0</v>
      </c>
      <c r="AH1103" s="578" t="e">
        <v>#DIV/0!</v>
      </c>
      <c r="AI1103" s="578">
        <v>3.03</v>
      </c>
      <c r="AJ1103" s="578" t="e">
        <v>#DIV/0!</v>
      </c>
      <c r="AK1103" s="578" t="e">
        <v>#DIV/0!</v>
      </c>
      <c r="AL1103" s="579">
        <v>0</v>
      </c>
      <c r="AM1103" s="579">
        <v>1</v>
      </c>
      <c r="AN1103" s="579">
        <v>0</v>
      </c>
      <c r="AO1103" s="579">
        <v>0</v>
      </c>
    </row>
    <row r="1104" spans="1:41" hidden="1">
      <c r="A1104" s="576" t="s">
        <v>219</v>
      </c>
      <c r="B1104" s="1" t="s">
        <v>219</v>
      </c>
      <c r="C1104" s="50">
        <v>0</v>
      </c>
      <c r="D1104" s="464" t="s">
        <v>18849</v>
      </c>
      <c r="E1104" s="1" t="s">
        <v>219</v>
      </c>
      <c r="F1104" s="53">
        <v>44853</v>
      </c>
      <c r="G1104" s="1">
        <v>2022</v>
      </c>
      <c r="H1104" s="577" t="s">
        <v>16957</v>
      </c>
      <c r="I1104" s="1" t="s">
        <v>16958</v>
      </c>
      <c r="J1104" s="1" t="s">
        <v>16401</v>
      </c>
      <c r="K1104" s="36">
        <v>57229.274374999994</v>
      </c>
      <c r="L1104" s="1">
        <v>3.2458999999999998</v>
      </c>
      <c r="M1104" s="37">
        <v>17631.25</v>
      </c>
      <c r="N1104" s="534" t="s">
        <v>20155</v>
      </c>
      <c r="O1104" s="1" t="s">
        <v>20161</v>
      </c>
      <c r="P1104" s="876">
        <v>44854</v>
      </c>
      <c r="Q1104" s="50">
        <v>20150</v>
      </c>
      <c r="R1104" s="50">
        <v>0</v>
      </c>
      <c r="S1104" s="50">
        <v>0</v>
      </c>
      <c r="T1104" s="50">
        <v>0</v>
      </c>
      <c r="U1104" s="50">
        <v>20150</v>
      </c>
      <c r="V1104" s="11"/>
      <c r="W1104" s="17">
        <v>57229.274375000001</v>
      </c>
      <c r="X1104" s="17">
        <v>0</v>
      </c>
      <c r="Y1104" s="17">
        <v>0</v>
      </c>
      <c r="Z1104" s="17">
        <v>0</v>
      </c>
      <c r="AA1104" s="24">
        <v>2.8401624999999999</v>
      </c>
      <c r="AB1104" s="24" t="e">
        <v>#DIV/0!</v>
      </c>
      <c r="AC1104" s="24" t="e">
        <v>#DIV/0!</v>
      </c>
      <c r="AD1104" s="24" t="e">
        <v>#DIV/0!</v>
      </c>
      <c r="AE1104" s="17">
        <v>0</v>
      </c>
      <c r="AF1104" s="17">
        <v>1550.3030000000001</v>
      </c>
      <c r="AG1104" s="17">
        <v>7.69381141439206E-2</v>
      </c>
      <c r="AH1104" s="578">
        <v>2.7632243858560792</v>
      </c>
      <c r="AI1104" s="578" t="e">
        <v>#DIV/0!</v>
      </c>
      <c r="AJ1104" s="578" t="e">
        <v>#DIV/0!</v>
      </c>
      <c r="AK1104" s="578" t="e">
        <v>#DIV/0!</v>
      </c>
      <c r="AL1104" s="579" t="s">
        <v>20324</v>
      </c>
      <c r="AM1104" s="579">
        <v>0</v>
      </c>
      <c r="AN1104" s="579">
        <v>0</v>
      </c>
      <c r="AO1104" s="579">
        <v>0</v>
      </c>
    </row>
    <row r="1105" spans="1:41" hidden="1">
      <c r="A1105" s="576" t="s">
        <v>220</v>
      </c>
      <c r="B1105" s="1" t="s">
        <v>220</v>
      </c>
      <c r="C1105" s="50">
        <v>0</v>
      </c>
      <c r="D1105" s="464" t="s">
        <v>18850</v>
      </c>
      <c r="E1105" s="1" t="s">
        <v>220</v>
      </c>
      <c r="F1105" s="53">
        <v>44853</v>
      </c>
      <c r="G1105" s="1">
        <v>2022</v>
      </c>
      <c r="H1105" s="577" t="s">
        <v>16838</v>
      </c>
      <c r="I1105" s="1" t="s">
        <v>16839</v>
      </c>
      <c r="J1105" s="1" t="s">
        <v>3</v>
      </c>
      <c r="K1105" s="36">
        <v>754874.4</v>
      </c>
      <c r="L1105" s="1">
        <v>1</v>
      </c>
      <c r="M1105" s="37">
        <v>754874.4</v>
      </c>
      <c r="N1105" s="534" t="s">
        <v>20155</v>
      </c>
      <c r="O1105" s="1" t="s">
        <v>20321</v>
      </c>
      <c r="P1105" s="876">
        <v>44862</v>
      </c>
      <c r="Q1105" s="50">
        <v>0</v>
      </c>
      <c r="R1105" s="50">
        <v>330120</v>
      </c>
      <c r="S1105" s="50">
        <v>0</v>
      </c>
      <c r="T1105" s="50">
        <v>0</v>
      </c>
      <c r="U1105" s="50">
        <v>330120</v>
      </c>
      <c r="V1105" s="11"/>
      <c r="W1105" s="17">
        <v>0</v>
      </c>
      <c r="X1105" s="17">
        <v>754874.4</v>
      </c>
      <c r="Y1105" s="17">
        <v>0</v>
      </c>
      <c r="Z1105" s="17">
        <v>0</v>
      </c>
      <c r="AA1105" s="24" t="e">
        <v>#DIV/0!</v>
      </c>
      <c r="AB1105" s="24">
        <v>2.2866666666666666</v>
      </c>
      <c r="AC1105" s="24" t="e">
        <v>#DIV/0!</v>
      </c>
      <c r="AD1105" s="24" t="e">
        <v>#DIV/0!</v>
      </c>
      <c r="AE1105" s="17">
        <v>0</v>
      </c>
      <c r="AF1105" s="17">
        <v>0</v>
      </c>
      <c r="AG1105" s="17">
        <v>0</v>
      </c>
      <c r="AH1105" s="578" t="e">
        <v>#DIV/0!</v>
      </c>
      <c r="AI1105" s="578">
        <v>2.2866666666666666</v>
      </c>
      <c r="AJ1105" s="578" t="e">
        <v>#DIV/0!</v>
      </c>
      <c r="AK1105" s="578" t="e">
        <v>#DIV/0!</v>
      </c>
      <c r="AL1105" s="579">
        <v>0</v>
      </c>
      <c r="AM1105" s="579" t="s">
        <v>20323</v>
      </c>
      <c r="AN1105" s="579">
        <v>0</v>
      </c>
      <c r="AO1105" s="579">
        <v>0</v>
      </c>
    </row>
    <row r="1106" spans="1:41" hidden="1">
      <c r="A1106" s="576" t="s">
        <v>221</v>
      </c>
      <c r="B1106" s="1" t="s">
        <v>221</v>
      </c>
      <c r="C1106" s="50">
        <v>0</v>
      </c>
      <c r="D1106" s="464" t="s">
        <v>18851</v>
      </c>
      <c r="E1106" s="1" t="s">
        <v>221</v>
      </c>
      <c r="F1106" s="53">
        <v>44859</v>
      </c>
      <c r="G1106" s="1">
        <v>2022</v>
      </c>
      <c r="H1106" s="577" t="s">
        <v>17017</v>
      </c>
      <c r="I1106" s="1" t="s">
        <v>17018</v>
      </c>
      <c r="J1106" s="1" t="s">
        <v>3</v>
      </c>
      <c r="K1106" s="36">
        <v>125050</v>
      </c>
      <c r="L1106" s="1">
        <v>1</v>
      </c>
      <c r="M1106" s="37">
        <v>125050</v>
      </c>
      <c r="N1106" s="534" t="s">
        <v>20155</v>
      </c>
      <c r="O1106" s="1" t="s">
        <v>18283</v>
      </c>
      <c r="P1106" s="876">
        <v>44861</v>
      </c>
      <c r="Q1106" s="50">
        <v>0</v>
      </c>
      <c r="R1106" s="50">
        <v>41000</v>
      </c>
      <c r="S1106" s="50">
        <v>0</v>
      </c>
      <c r="T1106" s="50">
        <v>0</v>
      </c>
      <c r="U1106" s="50">
        <v>41000</v>
      </c>
      <c r="V1106" s="11"/>
      <c r="W1106" s="17">
        <v>0</v>
      </c>
      <c r="X1106" s="17">
        <v>125050</v>
      </c>
      <c r="Y1106" s="17">
        <v>0</v>
      </c>
      <c r="Z1106" s="17">
        <v>0</v>
      </c>
      <c r="AA1106" s="24" t="e">
        <v>#DIV/0!</v>
      </c>
      <c r="AB1106" s="24">
        <v>3.05</v>
      </c>
      <c r="AC1106" s="24" t="e">
        <v>#DIV/0!</v>
      </c>
      <c r="AD1106" s="24" t="e">
        <v>#DIV/0!</v>
      </c>
      <c r="AE1106" s="17">
        <v>0</v>
      </c>
      <c r="AF1106" s="17">
        <v>0</v>
      </c>
      <c r="AG1106" s="17">
        <v>0</v>
      </c>
      <c r="AH1106" s="578" t="e">
        <v>#DIV/0!</v>
      </c>
      <c r="AI1106" s="578">
        <v>3.05</v>
      </c>
      <c r="AJ1106" s="578" t="e">
        <v>#DIV/0!</v>
      </c>
      <c r="AK1106" s="578" t="e">
        <v>#DIV/0!</v>
      </c>
      <c r="AL1106" s="579">
        <v>0</v>
      </c>
      <c r="AM1106" s="579" t="s">
        <v>20323</v>
      </c>
      <c r="AN1106" s="579">
        <v>0</v>
      </c>
      <c r="AO1106" s="579">
        <v>0</v>
      </c>
    </row>
    <row r="1107" spans="1:41" hidden="1">
      <c r="A1107" s="576" t="s">
        <v>222</v>
      </c>
      <c r="B1107" s="1" t="s">
        <v>222</v>
      </c>
      <c r="C1107" s="50">
        <v>0</v>
      </c>
      <c r="D1107" s="464" t="s">
        <v>18852</v>
      </c>
      <c r="E1107" s="1" t="s">
        <v>222</v>
      </c>
      <c r="F1107" s="53">
        <v>44859</v>
      </c>
      <c r="G1107" s="1">
        <v>2022</v>
      </c>
      <c r="H1107" s="577" t="s">
        <v>16444</v>
      </c>
      <c r="I1107" s="1" t="s">
        <v>16445</v>
      </c>
      <c r="J1107" s="1" t="s">
        <v>3</v>
      </c>
      <c r="K1107" s="36">
        <v>51840</v>
      </c>
      <c r="L1107" s="1">
        <v>1</v>
      </c>
      <c r="M1107" s="37">
        <v>51840</v>
      </c>
      <c r="N1107" s="534" t="s">
        <v>20155</v>
      </c>
      <c r="O1107" s="1" t="s">
        <v>18248</v>
      </c>
      <c r="P1107" s="876">
        <v>44865</v>
      </c>
      <c r="Q1107" s="50">
        <v>19200</v>
      </c>
      <c r="R1107" s="50">
        <v>0</v>
      </c>
      <c r="S1107" s="50">
        <v>0</v>
      </c>
      <c r="T1107" s="50">
        <v>0</v>
      </c>
      <c r="U1107" s="50">
        <v>19200</v>
      </c>
      <c r="V1107" s="11"/>
      <c r="W1107" s="17">
        <v>51840</v>
      </c>
      <c r="X1107" s="17">
        <v>0</v>
      </c>
      <c r="Y1107" s="17">
        <v>0</v>
      </c>
      <c r="Z1107" s="17">
        <v>0</v>
      </c>
      <c r="AA1107" s="24">
        <v>2.7</v>
      </c>
      <c r="AB1107" s="24" t="e">
        <v>#DIV/0!</v>
      </c>
      <c r="AC1107" s="24" t="e">
        <v>#DIV/0!</v>
      </c>
      <c r="AD1107" s="24" t="e">
        <v>#DIV/0!</v>
      </c>
      <c r="AE1107" s="17">
        <v>0</v>
      </c>
      <c r="AF1107" s="17">
        <v>0</v>
      </c>
      <c r="AG1107" s="17">
        <v>0</v>
      </c>
      <c r="AH1107" s="578">
        <v>2.7</v>
      </c>
      <c r="AI1107" s="578" t="e">
        <v>#DIV/0!</v>
      </c>
      <c r="AJ1107" s="578" t="e">
        <v>#DIV/0!</v>
      </c>
      <c r="AK1107" s="578" t="e">
        <v>#DIV/0!</v>
      </c>
      <c r="AL1107" s="579" t="s">
        <v>20324</v>
      </c>
      <c r="AM1107" s="579">
        <v>0</v>
      </c>
      <c r="AN1107" s="579">
        <v>0</v>
      </c>
      <c r="AO1107" s="579">
        <v>0</v>
      </c>
    </row>
    <row r="1108" spans="1:41" hidden="1">
      <c r="A1108" s="576" t="s">
        <v>223</v>
      </c>
      <c r="B1108" s="1" t="s">
        <v>223</v>
      </c>
      <c r="C1108" s="50">
        <v>0</v>
      </c>
      <c r="D1108" s="464" t="s">
        <v>18853</v>
      </c>
      <c r="E1108" s="1" t="s">
        <v>223</v>
      </c>
      <c r="F1108" s="53">
        <v>44860</v>
      </c>
      <c r="G1108" s="1">
        <v>2022</v>
      </c>
      <c r="H1108" s="577" t="s">
        <v>16384</v>
      </c>
      <c r="I1108" s="1" t="s">
        <v>16385</v>
      </c>
      <c r="J1108" s="1" t="s">
        <v>3</v>
      </c>
      <c r="K1108" s="36">
        <v>206592</v>
      </c>
      <c r="L1108" s="1">
        <v>1</v>
      </c>
      <c r="M1108" s="37">
        <v>206592</v>
      </c>
      <c r="N1108" s="534" t="s">
        <v>20155</v>
      </c>
      <c r="O1108" s="1" t="s">
        <v>17965</v>
      </c>
      <c r="P1108" s="876">
        <v>44865</v>
      </c>
      <c r="Q1108" s="50">
        <v>76800</v>
      </c>
      <c r="R1108" s="50">
        <v>0</v>
      </c>
      <c r="S1108" s="50">
        <v>0</v>
      </c>
      <c r="T1108" s="50">
        <v>0</v>
      </c>
      <c r="U1108" s="50">
        <v>76800</v>
      </c>
      <c r="V1108" s="11"/>
      <c r="W1108" s="17">
        <v>206592</v>
      </c>
      <c r="X1108" s="17">
        <v>0</v>
      </c>
      <c r="Y1108" s="17">
        <v>0</v>
      </c>
      <c r="Z1108" s="17">
        <v>0</v>
      </c>
      <c r="AA1108" s="24">
        <v>2.69</v>
      </c>
      <c r="AB1108" s="24" t="e">
        <v>#DIV/0!</v>
      </c>
      <c r="AC1108" s="24" t="e">
        <v>#DIV/0!</v>
      </c>
      <c r="AD1108" s="24" t="e">
        <v>#DIV/0!</v>
      </c>
      <c r="AE1108" s="17">
        <v>0</v>
      </c>
      <c r="AF1108" s="17">
        <v>0</v>
      </c>
      <c r="AG1108" s="17">
        <v>0</v>
      </c>
      <c r="AH1108" s="578">
        <v>2.69</v>
      </c>
      <c r="AI1108" s="578" t="e">
        <v>#DIV/0!</v>
      </c>
      <c r="AJ1108" s="578" t="e">
        <v>#DIV/0!</v>
      </c>
      <c r="AK1108" s="578" t="e">
        <v>#DIV/0!</v>
      </c>
      <c r="AL1108" s="579" t="s">
        <v>20324</v>
      </c>
      <c r="AM1108" s="579">
        <v>0</v>
      </c>
      <c r="AN1108" s="579">
        <v>0</v>
      </c>
      <c r="AO1108" s="579">
        <v>0</v>
      </c>
    </row>
    <row r="1109" spans="1:41" hidden="1">
      <c r="A1109" s="576" t="s">
        <v>224</v>
      </c>
      <c r="B1109" s="1" t="s">
        <v>224</v>
      </c>
      <c r="C1109" s="50">
        <v>0</v>
      </c>
      <c r="D1109" s="464" t="s">
        <v>18854</v>
      </c>
      <c r="E1109" s="1" t="s">
        <v>224</v>
      </c>
      <c r="F1109" s="53">
        <v>44861</v>
      </c>
      <c r="G1109" s="1">
        <v>2022</v>
      </c>
      <c r="H1109" s="577" t="s">
        <v>17297</v>
      </c>
      <c r="I1109" s="1" t="s">
        <v>17298</v>
      </c>
      <c r="J1109" s="1" t="s">
        <v>3</v>
      </c>
      <c r="K1109" s="36">
        <v>62539.199999999997</v>
      </c>
      <c r="L1109" s="1">
        <v>1</v>
      </c>
      <c r="M1109" s="37">
        <v>62539.199999999997</v>
      </c>
      <c r="N1109" s="534" t="s">
        <v>20155</v>
      </c>
      <c r="O1109" s="1" t="s">
        <v>20319</v>
      </c>
      <c r="P1109" s="876">
        <v>44867</v>
      </c>
      <c r="Q1109" s="50">
        <v>0</v>
      </c>
      <c r="R1109" s="50">
        <v>24240</v>
      </c>
      <c r="S1109" s="50">
        <v>0</v>
      </c>
      <c r="T1109" s="50">
        <v>0</v>
      </c>
      <c r="U1109" s="50">
        <v>24240</v>
      </c>
      <c r="V1109" s="11"/>
      <c r="W1109" s="17">
        <v>0</v>
      </c>
      <c r="X1109" s="17">
        <v>62539.199999999997</v>
      </c>
      <c r="Y1109" s="17">
        <v>0</v>
      </c>
      <c r="Z1109" s="17">
        <v>0</v>
      </c>
      <c r="AA1109" s="24" t="e">
        <v>#DIV/0!</v>
      </c>
      <c r="AB1109" s="24">
        <v>2.58</v>
      </c>
      <c r="AC1109" s="24" t="e">
        <v>#DIV/0!</v>
      </c>
      <c r="AD1109" s="24" t="e">
        <v>#DIV/0!</v>
      </c>
      <c r="AE1109" s="17">
        <v>0</v>
      </c>
      <c r="AF1109" s="17">
        <v>0</v>
      </c>
      <c r="AG1109" s="17">
        <v>0</v>
      </c>
      <c r="AH1109" s="578" t="e">
        <v>#DIV/0!</v>
      </c>
      <c r="AI1109" s="578">
        <v>2.58</v>
      </c>
      <c r="AJ1109" s="578" t="e">
        <v>#DIV/0!</v>
      </c>
      <c r="AK1109" s="578" t="e">
        <v>#DIV/0!</v>
      </c>
      <c r="AL1109" s="579">
        <v>0</v>
      </c>
      <c r="AM1109" s="579" t="s">
        <v>20316</v>
      </c>
      <c r="AN1109" s="579">
        <v>0</v>
      </c>
      <c r="AO1109" s="579">
        <v>0</v>
      </c>
    </row>
    <row r="1110" spans="1:41" hidden="1">
      <c r="A1110" s="576" t="s">
        <v>225</v>
      </c>
      <c r="B1110" s="1" t="s">
        <v>225</v>
      </c>
      <c r="C1110" s="50">
        <v>0</v>
      </c>
      <c r="D1110" s="464" t="s">
        <v>18855</v>
      </c>
      <c r="E1110" s="1" t="s">
        <v>225</v>
      </c>
      <c r="F1110" s="53">
        <v>44866</v>
      </c>
      <c r="G1110" s="1">
        <v>2022</v>
      </c>
      <c r="H1110" s="580" t="s">
        <v>17332</v>
      </c>
      <c r="I1110" s="1" t="s">
        <v>17333</v>
      </c>
      <c r="J1110" s="1" t="s">
        <v>3</v>
      </c>
      <c r="K1110" s="36">
        <v>133650</v>
      </c>
      <c r="L1110" s="581">
        <v>1</v>
      </c>
      <c r="M1110" s="582">
        <v>133650</v>
      </c>
      <c r="N1110" s="534" t="s">
        <v>20155</v>
      </c>
      <c r="O1110" s="1" t="s">
        <v>20339</v>
      </c>
      <c r="P1110" s="876">
        <v>44881</v>
      </c>
      <c r="Q1110" s="50">
        <v>54000</v>
      </c>
      <c r="R1110" s="50">
        <v>0</v>
      </c>
      <c r="S1110" s="50">
        <v>0</v>
      </c>
      <c r="T1110" s="50">
        <v>0</v>
      </c>
      <c r="U1110" s="50">
        <v>54000</v>
      </c>
      <c r="V1110" s="11"/>
      <c r="W1110" s="17">
        <v>133650</v>
      </c>
      <c r="X1110" s="17">
        <v>0</v>
      </c>
      <c r="Y1110" s="17">
        <v>0</v>
      </c>
      <c r="Z1110" s="17">
        <v>0</v>
      </c>
      <c r="AA1110" s="24">
        <v>2.4750000000000001</v>
      </c>
      <c r="AB1110" s="24" t="e">
        <v>#DIV/0!</v>
      </c>
      <c r="AC1110" s="24" t="e">
        <v>#DIV/0!</v>
      </c>
      <c r="AD1110" s="24" t="e">
        <v>#DIV/0!</v>
      </c>
      <c r="AE1110" s="17">
        <v>0</v>
      </c>
      <c r="AF1110" s="17">
        <v>0</v>
      </c>
      <c r="AG1110" s="17">
        <v>0</v>
      </c>
      <c r="AH1110" s="578">
        <v>2.4750000000000001</v>
      </c>
      <c r="AI1110" s="578" t="e">
        <v>#DIV/0!</v>
      </c>
      <c r="AJ1110" s="578" t="e">
        <v>#DIV/0!</v>
      </c>
      <c r="AK1110" s="578" t="e">
        <v>#DIV/0!</v>
      </c>
      <c r="AL1110" s="579" t="s">
        <v>20324</v>
      </c>
      <c r="AM1110" s="579">
        <v>0</v>
      </c>
      <c r="AN1110" s="579">
        <v>0</v>
      </c>
      <c r="AO1110" s="579">
        <v>0</v>
      </c>
    </row>
    <row r="1111" spans="1:41" hidden="1">
      <c r="A1111" s="533">
        <v>214</v>
      </c>
      <c r="B1111" s="534" t="s">
        <v>226</v>
      </c>
      <c r="C1111" s="535">
        <v>0</v>
      </c>
      <c r="D1111" s="536" t="s">
        <v>18856</v>
      </c>
      <c r="E1111" s="534" t="s">
        <v>226</v>
      </c>
      <c r="F1111" s="53">
        <v>44872</v>
      </c>
      <c r="G1111" s="534">
        <v>2022</v>
      </c>
      <c r="H1111" s="563" t="s">
        <v>16470</v>
      </c>
      <c r="I1111" s="1" t="s">
        <v>16471</v>
      </c>
      <c r="J1111" s="1" t="s">
        <v>16401</v>
      </c>
      <c r="K1111" s="539">
        <v>702699.65606399998</v>
      </c>
      <c r="L1111" s="534">
        <v>3.1583999999999999</v>
      </c>
      <c r="M1111" s="540">
        <v>222485.96</v>
      </c>
      <c r="N1111" s="534" t="s">
        <v>20155</v>
      </c>
      <c r="O1111" s="382" t="s">
        <v>18227</v>
      </c>
      <c r="P1111" s="886">
        <v>44882</v>
      </c>
      <c r="Q1111" s="385">
        <v>12000</v>
      </c>
      <c r="R1111" s="385">
        <v>240120</v>
      </c>
      <c r="S1111" s="385">
        <v>0</v>
      </c>
      <c r="T1111" s="385">
        <v>0</v>
      </c>
      <c r="U1111" s="385">
        <v>252120</v>
      </c>
      <c r="V1111" s="386"/>
      <c r="W1111" s="40">
        <v>35694.562141456452</v>
      </c>
      <c r="X1111" s="40">
        <v>666297.61232254351</v>
      </c>
      <c r="Y1111" s="40">
        <v>0</v>
      </c>
      <c r="Z1111" s="40">
        <v>0</v>
      </c>
      <c r="AA1111" s="56">
        <v>2.9745468451213708</v>
      </c>
      <c r="AB1111" s="56">
        <v>2.7748526250314156</v>
      </c>
      <c r="AC1111" s="56" t="e">
        <v>#DIV/0!</v>
      </c>
      <c r="AD1111" s="56" t="e">
        <v>#DIV/0!</v>
      </c>
      <c r="AE1111" s="40">
        <v>28562.799999999999</v>
      </c>
      <c r="AF1111" s="40">
        <v>108842.144</v>
      </c>
      <c r="AG1111" s="40">
        <v>0.43170769474853243</v>
      </c>
      <c r="AH1111" s="387">
        <v>2.5428391503728385</v>
      </c>
      <c r="AI1111" s="387">
        <v>2.3431449302828833</v>
      </c>
      <c r="AJ1111" s="387" t="e">
        <v>#DIV/0!</v>
      </c>
      <c r="AK1111" s="387" t="e">
        <v>#DIV/0!</v>
      </c>
      <c r="AL1111" s="388" t="s">
        <v>20324</v>
      </c>
      <c r="AM1111" s="388" t="s">
        <v>20300</v>
      </c>
      <c r="AN1111" s="388">
        <v>0</v>
      </c>
      <c r="AO1111" s="388">
        <v>0</v>
      </c>
    </row>
    <row r="1112" spans="1:41" hidden="1">
      <c r="A1112" s="533">
        <v>215</v>
      </c>
      <c r="B1112" s="534" t="s">
        <v>227</v>
      </c>
      <c r="C1112" s="535">
        <v>0</v>
      </c>
      <c r="D1112" s="536" t="s">
        <v>18857</v>
      </c>
      <c r="E1112" s="534" t="s">
        <v>227</v>
      </c>
      <c r="F1112" s="53">
        <v>44872</v>
      </c>
      <c r="G1112" s="534">
        <v>2022</v>
      </c>
      <c r="H1112" s="563" t="s">
        <v>16444</v>
      </c>
      <c r="I1112" s="1" t="s">
        <v>16445</v>
      </c>
      <c r="J1112" s="1" t="s">
        <v>3</v>
      </c>
      <c r="K1112" s="539">
        <v>115344</v>
      </c>
      <c r="L1112" s="534">
        <v>1</v>
      </c>
      <c r="M1112" s="540">
        <v>115344</v>
      </c>
      <c r="N1112" s="534" t="s">
        <v>20155</v>
      </c>
      <c r="O1112" s="382" t="s">
        <v>20173</v>
      </c>
      <c r="P1112" s="886">
        <v>44875</v>
      </c>
      <c r="Q1112" s="385">
        <v>43200</v>
      </c>
      <c r="R1112" s="385">
        <v>0</v>
      </c>
      <c r="S1112" s="385">
        <v>0</v>
      </c>
      <c r="T1112" s="385">
        <v>0</v>
      </c>
      <c r="U1112" s="385">
        <v>43200</v>
      </c>
      <c r="V1112" s="386"/>
      <c r="W1112" s="40">
        <v>115344</v>
      </c>
      <c r="X1112" s="40">
        <v>0</v>
      </c>
      <c r="Y1112" s="40">
        <v>0</v>
      </c>
      <c r="Z1112" s="40">
        <v>0</v>
      </c>
      <c r="AA1112" s="56">
        <v>2.67</v>
      </c>
      <c r="AB1112" s="56" t="e">
        <v>#DIV/0!</v>
      </c>
      <c r="AC1112" s="56" t="e">
        <v>#DIV/0!</v>
      </c>
      <c r="AD1112" s="56" t="e">
        <v>#DIV/0!</v>
      </c>
      <c r="AE1112" s="40">
        <v>0</v>
      </c>
      <c r="AF1112" s="40">
        <v>0</v>
      </c>
      <c r="AG1112" s="40">
        <v>0</v>
      </c>
      <c r="AH1112" s="387">
        <v>2.67</v>
      </c>
      <c r="AI1112" s="387" t="e">
        <v>#DIV/0!</v>
      </c>
      <c r="AJ1112" s="387" t="e">
        <v>#DIV/0!</v>
      </c>
      <c r="AK1112" s="387" t="e">
        <v>#DIV/0!</v>
      </c>
      <c r="AL1112" s="388" t="s">
        <v>20324</v>
      </c>
      <c r="AM1112" s="388">
        <v>0</v>
      </c>
      <c r="AN1112" s="388">
        <v>0</v>
      </c>
      <c r="AO1112" s="388">
        <v>0</v>
      </c>
    </row>
    <row r="1113" spans="1:41" hidden="1">
      <c r="A1113" s="533">
        <v>216</v>
      </c>
      <c r="B1113" s="534" t="s">
        <v>228</v>
      </c>
      <c r="C1113" s="535">
        <v>0</v>
      </c>
      <c r="D1113" s="536" t="s">
        <v>18858</v>
      </c>
      <c r="E1113" s="534" t="s">
        <v>228</v>
      </c>
      <c r="F1113" s="53">
        <v>44872</v>
      </c>
      <c r="G1113" s="534">
        <v>2022</v>
      </c>
      <c r="H1113" s="563" t="s">
        <v>17332</v>
      </c>
      <c r="I1113" s="1" t="s">
        <v>17333</v>
      </c>
      <c r="J1113" s="1" t="s">
        <v>3</v>
      </c>
      <c r="K1113" s="539">
        <v>519750</v>
      </c>
      <c r="L1113" s="534">
        <v>1</v>
      </c>
      <c r="M1113" s="540">
        <v>519750</v>
      </c>
      <c r="N1113" s="534" t="s">
        <v>20155</v>
      </c>
      <c r="O1113" s="382" t="s">
        <v>17939</v>
      </c>
      <c r="P1113" s="886">
        <v>44876</v>
      </c>
      <c r="Q1113" s="385">
        <v>210000</v>
      </c>
      <c r="R1113" s="385">
        <v>0</v>
      </c>
      <c r="S1113" s="385">
        <v>0</v>
      </c>
      <c r="T1113" s="385">
        <v>0</v>
      </c>
      <c r="U1113" s="385">
        <v>210000</v>
      </c>
      <c r="V1113" s="386"/>
      <c r="W1113" s="40">
        <v>519750</v>
      </c>
      <c r="X1113" s="40">
        <v>0</v>
      </c>
      <c r="Y1113" s="40">
        <v>0</v>
      </c>
      <c r="Z1113" s="40">
        <v>0</v>
      </c>
      <c r="AA1113" s="56">
        <v>2.4750000000000001</v>
      </c>
      <c r="AB1113" s="56" t="e">
        <v>#DIV/0!</v>
      </c>
      <c r="AC1113" s="56" t="e">
        <v>#DIV/0!</v>
      </c>
      <c r="AD1113" s="56" t="e">
        <v>#DIV/0!</v>
      </c>
      <c r="AE1113" s="40">
        <v>0</v>
      </c>
      <c r="AF1113" s="40">
        <v>0</v>
      </c>
      <c r="AG1113" s="40">
        <v>0</v>
      </c>
      <c r="AH1113" s="387">
        <v>2.4750000000000001</v>
      </c>
      <c r="AI1113" s="387" t="e">
        <v>#DIV/0!</v>
      </c>
      <c r="AJ1113" s="387" t="e">
        <v>#DIV/0!</v>
      </c>
      <c r="AK1113" s="387" t="e">
        <v>#DIV/0!</v>
      </c>
      <c r="AL1113" s="388" t="s">
        <v>20324</v>
      </c>
      <c r="AM1113" s="388">
        <v>0</v>
      </c>
      <c r="AN1113" s="388">
        <v>0</v>
      </c>
      <c r="AO1113" s="388">
        <v>0</v>
      </c>
    </row>
    <row r="1114" spans="1:41" hidden="1">
      <c r="A1114" s="533">
        <v>217</v>
      </c>
      <c r="B1114" s="534" t="s">
        <v>229</v>
      </c>
      <c r="C1114" s="535">
        <v>0</v>
      </c>
      <c r="D1114" s="536" t="s">
        <v>18859</v>
      </c>
      <c r="E1114" s="534" t="s">
        <v>229</v>
      </c>
      <c r="F1114" s="53">
        <v>44872</v>
      </c>
      <c r="G1114" s="534">
        <v>2022</v>
      </c>
      <c r="H1114" s="563" t="s">
        <v>16643</v>
      </c>
      <c r="I1114" s="1" t="s">
        <v>16644</v>
      </c>
      <c r="J1114" s="1" t="s">
        <v>16482</v>
      </c>
      <c r="K1114" s="539">
        <v>137681.28</v>
      </c>
      <c r="L1114" s="534">
        <v>3.2471999999999999</v>
      </c>
      <c r="M1114" s="540">
        <v>42400</v>
      </c>
      <c r="N1114" s="534" t="s">
        <v>20155</v>
      </c>
      <c r="O1114" s="382" t="s">
        <v>18227</v>
      </c>
      <c r="P1114" s="886">
        <v>44882</v>
      </c>
      <c r="Q1114" s="385">
        <v>0</v>
      </c>
      <c r="R1114" s="385">
        <v>42000</v>
      </c>
      <c r="S1114" s="385">
        <v>0</v>
      </c>
      <c r="T1114" s="385">
        <v>0</v>
      </c>
      <c r="U1114" s="385">
        <v>42000</v>
      </c>
      <c r="V1114" s="386"/>
      <c r="W1114" s="40">
        <v>0</v>
      </c>
      <c r="X1114" s="40">
        <v>137681.28</v>
      </c>
      <c r="Y1114" s="40">
        <v>0</v>
      </c>
      <c r="Z1114" s="40">
        <v>0</v>
      </c>
      <c r="AA1114" s="56" t="e">
        <v>#DIV/0!</v>
      </c>
      <c r="AB1114" s="56">
        <v>3.2781257142857143</v>
      </c>
      <c r="AC1114" s="56" t="e">
        <v>#DIV/0!</v>
      </c>
      <c r="AD1114" s="56" t="e">
        <v>#DIV/0!</v>
      </c>
      <c r="AE1114" s="40">
        <v>5712.5599999999995</v>
      </c>
      <c r="AF1114" s="40">
        <v>19048.759999999998</v>
      </c>
      <c r="AG1114" s="40">
        <v>0.4535419047619047</v>
      </c>
      <c r="AH1114" s="387" t="e">
        <v>#DIV/0!</v>
      </c>
      <c r="AI1114" s="387">
        <v>2.8245838095238094</v>
      </c>
      <c r="AJ1114" s="387" t="e">
        <v>#DIV/0!</v>
      </c>
      <c r="AK1114" s="387" t="e">
        <v>#DIV/0!</v>
      </c>
      <c r="AL1114" s="388">
        <v>0</v>
      </c>
      <c r="AM1114" s="388" t="s">
        <v>20300</v>
      </c>
      <c r="AN1114" s="388">
        <v>0</v>
      </c>
      <c r="AO1114" s="388">
        <v>0</v>
      </c>
    </row>
    <row r="1115" spans="1:41" hidden="1">
      <c r="A1115" s="533">
        <v>218</v>
      </c>
      <c r="B1115" s="534" t="s">
        <v>230</v>
      </c>
      <c r="C1115" s="535">
        <v>0</v>
      </c>
      <c r="D1115" s="536" t="s">
        <v>18860</v>
      </c>
      <c r="E1115" s="534" t="s">
        <v>230</v>
      </c>
      <c r="F1115" s="53">
        <v>44872</v>
      </c>
      <c r="G1115" s="534">
        <v>2022</v>
      </c>
      <c r="H1115" s="563" t="s">
        <v>16957</v>
      </c>
      <c r="I1115" s="1" t="s">
        <v>16958</v>
      </c>
      <c r="J1115" s="1" t="s">
        <v>16401</v>
      </c>
      <c r="K1115" s="539">
        <v>80309.118499999997</v>
      </c>
      <c r="L1115" s="534">
        <v>3.13585</v>
      </c>
      <c r="M1115" s="540">
        <v>25610</v>
      </c>
      <c r="N1115" s="534" t="s">
        <v>20155</v>
      </c>
      <c r="O1115" s="382" t="s">
        <v>20161</v>
      </c>
      <c r="P1115" s="886">
        <v>44882</v>
      </c>
      <c r="Q1115" s="385">
        <v>26000</v>
      </c>
      <c r="R1115" s="385">
        <v>0</v>
      </c>
      <c r="S1115" s="385">
        <v>0</v>
      </c>
      <c r="T1115" s="385">
        <v>0</v>
      </c>
      <c r="U1115" s="385">
        <v>26000</v>
      </c>
      <c r="V1115" s="386"/>
      <c r="W1115" s="40">
        <v>80309.118499999997</v>
      </c>
      <c r="X1115" s="40">
        <v>0</v>
      </c>
      <c r="Y1115" s="40">
        <v>0</v>
      </c>
      <c r="Z1115" s="40">
        <v>0</v>
      </c>
      <c r="AA1115" s="56">
        <v>3.0888122499999997</v>
      </c>
      <c r="AB1115" s="56" t="e">
        <v>#DIV/0!</v>
      </c>
      <c r="AC1115" s="56" t="e">
        <v>#DIV/0!</v>
      </c>
      <c r="AD1115" s="56" t="e">
        <v>#DIV/0!</v>
      </c>
      <c r="AE1115" s="40">
        <v>0</v>
      </c>
      <c r="AF1115" s="40">
        <v>1793.56</v>
      </c>
      <c r="AG1115" s="40">
        <v>6.8983076923076925E-2</v>
      </c>
      <c r="AH1115" s="387">
        <v>3.0198291730769227</v>
      </c>
      <c r="AI1115" s="387" t="e">
        <v>#DIV/0!</v>
      </c>
      <c r="AJ1115" s="387" t="e">
        <v>#DIV/0!</v>
      </c>
      <c r="AK1115" s="387" t="e">
        <v>#DIV/0!</v>
      </c>
      <c r="AL1115" s="388">
        <v>1</v>
      </c>
      <c r="AM1115" s="388">
        <v>0</v>
      </c>
      <c r="AN1115" s="388">
        <v>0</v>
      </c>
      <c r="AO1115" s="388">
        <v>0</v>
      </c>
    </row>
    <row r="1116" spans="1:41" hidden="1">
      <c r="A1116" s="533">
        <v>219</v>
      </c>
      <c r="B1116" s="534" t="s">
        <v>231</v>
      </c>
      <c r="C1116" s="535">
        <v>0</v>
      </c>
      <c r="D1116" s="536" t="s">
        <v>18861</v>
      </c>
      <c r="E1116" s="534" t="s">
        <v>231</v>
      </c>
      <c r="F1116" s="53">
        <v>44872</v>
      </c>
      <c r="G1116" s="534">
        <v>2022</v>
      </c>
      <c r="H1116" s="563" t="s">
        <v>16957</v>
      </c>
      <c r="I1116" s="1" t="s">
        <v>16958</v>
      </c>
      <c r="J1116" s="1" t="s">
        <v>16401</v>
      </c>
      <c r="K1116" s="539">
        <v>56325.672812500001</v>
      </c>
      <c r="L1116" s="534">
        <v>3.1946500000000002</v>
      </c>
      <c r="M1116" s="540">
        <v>17631.25</v>
      </c>
      <c r="N1116" s="534" t="s">
        <v>20155</v>
      </c>
      <c r="O1116" s="382" t="s">
        <v>20161</v>
      </c>
      <c r="P1116" s="886">
        <v>44879</v>
      </c>
      <c r="Q1116" s="385">
        <v>20150</v>
      </c>
      <c r="R1116" s="385">
        <v>0</v>
      </c>
      <c r="S1116" s="385">
        <v>0</v>
      </c>
      <c r="T1116" s="385">
        <v>0</v>
      </c>
      <c r="U1116" s="385">
        <v>20150</v>
      </c>
      <c r="V1116" s="386"/>
      <c r="W1116" s="40">
        <v>56325.672812500001</v>
      </c>
      <c r="X1116" s="40">
        <v>0</v>
      </c>
      <c r="Y1116" s="40">
        <v>0</v>
      </c>
      <c r="Z1116" s="40">
        <v>0</v>
      </c>
      <c r="AA1116" s="56">
        <v>2.7953187499999999</v>
      </c>
      <c r="AB1116" s="56" t="e">
        <v>#DIV/0!</v>
      </c>
      <c r="AC1116" s="56" t="e">
        <v>#DIV/0!</v>
      </c>
      <c r="AD1116" s="56" t="e">
        <v>#DIV/0!</v>
      </c>
      <c r="AE1116" s="40">
        <v>0</v>
      </c>
      <c r="AF1116" s="40">
        <v>1650.3530000000001</v>
      </c>
      <c r="AG1116" s="40">
        <v>8.1903374689826308E-2</v>
      </c>
      <c r="AH1116" s="387">
        <v>2.7134153753101735</v>
      </c>
      <c r="AI1116" s="387" t="e">
        <v>#DIV/0!</v>
      </c>
      <c r="AJ1116" s="387" t="e">
        <v>#DIV/0!</v>
      </c>
      <c r="AK1116" s="387" t="e">
        <v>#DIV/0!</v>
      </c>
      <c r="AL1116" s="388" t="s">
        <v>20324</v>
      </c>
      <c r="AM1116" s="388">
        <v>0</v>
      </c>
      <c r="AN1116" s="388">
        <v>0</v>
      </c>
      <c r="AO1116" s="388">
        <v>0</v>
      </c>
    </row>
    <row r="1117" spans="1:41" hidden="1">
      <c r="A1117" s="533">
        <v>220</v>
      </c>
      <c r="B1117" s="534" t="s">
        <v>232</v>
      </c>
      <c r="C1117" s="535">
        <v>0</v>
      </c>
      <c r="D1117" s="536" t="s">
        <v>18862</v>
      </c>
      <c r="E1117" s="534" t="s">
        <v>232</v>
      </c>
      <c r="F1117" s="53">
        <v>44873</v>
      </c>
      <c r="G1117" s="534">
        <v>2022</v>
      </c>
      <c r="H1117" s="563" t="s">
        <v>16904</v>
      </c>
      <c r="I1117" s="1" t="s">
        <v>16905</v>
      </c>
      <c r="J1117" s="1" t="s">
        <v>16482</v>
      </c>
      <c r="K1117" s="539">
        <v>99876.338495999997</v>
      </c>
      <c r="L1117" s="534">
        <v>3.2471999999999999</v>
      </c>
      <c r="M1117" s="540">
        <v>30757.68</v>
      </c>
      <c r="N1117" s="534" t="s">
        <v>20155</v>
      </c>
      <c r="O1117" s="382" t="s">
        <v>20340</v>
      </c>
      <c r="P1117" s="886">
        <v>44883</v>
      </c>
      <c r="Q1117" s="385">
        <v>0</v>
      </c>
      <c r="R1117" s="385">
        <v>21576</v>
      </c>
      <c r="S1117" s="385">
        <v>5760</v>
      </c>
      <c r="T1117" s="385">
        <v>0</v>
      </c>
      <c r="U1117" s="385">
        <v>27336</v>
      </c>
      <c r="V1117" s="386"/>
      <c r="W1117" s="40">
        <v>0</v>
      </c>
      <c r="X1117" s="40">
        <v>79117.308769432842</v>
      </c>
      <c r="Y1117" s="40">
        <v>20759.029726567169</v>
      </c>
      <c r="Z1117" s="40">
        <v>0</v>
      </c>
      <c r="AA1117" s="56" t="e">
        <v>#DIV/0!</v>
      </c>
      <c r="AB1117" s="56">
        <v>3.6669127164179107</v>
      </c>
      <c r="AC1117" s="56">
        <v>3.6039982164179114</v>
      </c>
      <c r="AD1117" s="56" t="e">
        <v>#DIV/0!</v>
      </c>
      <c r="AE1117" s="40">
        <v>4505.5674999999992</v>
      </c>
      <c r="AF1117" s="40">
        <v>14723.07</v>
      </c>
      <c r="AG1117" s="40">
        <v>0.53859635645302895</v>
      </c>
      <c r="AH1117" s="387" t="e">
        <v>#DIV/0!</v>
      </c>
      <c r="AI1117" s="387">
        <v>3.1283163599648818</v>
      </c>
      <c r="AJ1117" s="387">
        <v>3.0654018599648825</v>
      </c>
      <c r="AK1117" s="387" t="e">
        <v>#DIV/0!</v>
      </c>
      <c r="AL1117" s="388">
        <v>0</v>
      </c>
      <c r="AM1117" s="388">
        <v>1</v>
      </c>
      <c r="AN1117" s="388">
        <v>1</v>
      </c>
      <c r="AO1117" s="388">
        <v>0</v>
      </c>
    </row>
    <row r="1118" spans="1:41" hidden="1">
      <c r="A1118" s="533">
        <v>221</v>
      </c>
      <c r="B1118" s="534" t="s">
        <v>233</v>
      </c>
      <c r="C1118" s="535">
        <v>0</v>
      </c>
      <c r="D1118" s="536" t="s">
        <v>18863</v>
      </c>
      <c r="E1118" s="534" t="s">
        <v>233</v>
      </c>
      <c r="F1118" s="53">
        <v>44873</v>
      </c>
      <c r="G1118" s="534">
        <v>2022</v>
      </c>
      <c r="H1118" s="563" t="s">
        <v>16904</v>
      </c>
      <c r="I1118" s="1" t="s">
        <v>16905</v>
      </c>
      <c r="J1118" s="1" t="s">
        <v>16482</v>
      </c>
      <c r="K1118" s="539">
        <v>99380.504268000004</v>
      </c>
      <c r="L1118" s="534">
        <v>3.2333500000000002</v>
      </c>
      <c r="M1118" s="540">
        <v>30736.080000000002</v>
      </c>
      <c r="N1118" s="534" t="s">
        <v>20155</v>
      </c>
      <c r="O1118" s="382" t="s">
        <v>20160</v>
      </c>
      <c r="P1118" s="886">
        <v>44889</v>
      </c>
      <c r="Q1118" s="385">
        <v>0</v>
      </c>
      <c r="R1118" s="385">
        <v>18936</v>
      </c>
      <c r="S1118" s="385">
        <v>8400</v>
      </c>
      <c r="T1118" s="385">
        <v>0</v>
      </c>
      <c r="U1118" s="385">
        <v>27336</v>
      </c>
      <c r="V1118" s="386"/>
      <c r="W1118" s="40">
        <v>0</v>
      </c>
      <c r="X1118" s="40">
        <v>69140.497049194033</v>
      </c>
      <c r="Y1118" s="40">
        <v>30240.007218805968</v>
      </c>
      <c r="Z1118" s="40">
        <v>0</v>
      </c>
      <c r="AA1118" s="56" t="e">
        <v>#DIV/0!</v>
      </c>
      <c r="AB1118" s="56">
        <v>3.6512725522388063</v>
      </c>
      <c r="AC1118" s="56">
        <v>3.6000008593816628</v>
      </c>
      <c r="AD1118" s="56" t="e">
        <v>#DIV/0!</v>
      </c>
      <c r="AE1118" s="40">
        <v>4491.7424999999994</v>
      </c>
      <c r="AF1118" s="40">
        <v>14696.77</v>
      </c>
      <c r="AG1118" s="40">
        <v>0.53763425519461516</v>
      </c>
      <c r="AH1118" s="387" t="e">
        <v>#DIV/0!</v>
      </c>
      <c r="AI1118" s="387">
        <v>3.1136382970441909</v>
      </c>
      <c r="AJ1118" s="387">
        <v>3.0623666041870479</v>
      </c>
      <c r="AK1118" s="387" t="e">
        <v>#DIV/0!</v>
      </c>
      <c r="AL1118" s="388">
        <v>0</v>
      </c>
      <c r="AM1118" s="388">
        <v>1</v>
      </c>
      <c r="AN1118" s="388">
        <v>1</v>
      </c>
      <c r="AO1118" s="388">
        <v>0</v>
      </c>
    </row>
    <row r="1119" spans="1:41" hidden="1">
      <c r="A1119" s="533">
        <v>222</v>
      </c>
      <c r="B1119" s="534" t="s">
        <v>234</v>
      </c>
      <c r="C1119" s="535">
        <v>0</v>
      </c>
      <c r="D1119" s="536" t="s">
        <v>18864</v>
      </c>
      <c r="E1119" s="534" t="s">
        <v>234</v>
      </c>
      <c r="F1119" s="53">
        <v>44876</v>
      </c>
      <c r="G1119" s="534">
        <v>2022</v>
      </c>
      <c r="H1119" s="563" t="s">
        <v>17017</v>
      </c>
      <c r="I1119" s="1" t="s">
        <v>17018</v>
      </c>
      <c r="J1119" s="1" t="s">
        <v>3</v>
      </c>
      <c r="K1119" s="539">
        <v>60000</v>
      </c>
      <c r="L1119" s="534">
        <v>1</v>
      </c>
      <c r="M1119" s="540">
        <v>60000</v>
      </c>
      <c r="N1119" s="534" t="s">
        <v>20155</v>
      </c>
      <c r="O1119" s="382" t="s">
        <v>18064</v>
      </c>
      <c r="P1119" s="886">
        <v>44886</v>
      </c>
      <c r="Q1119" s="385">
        <v>0</v>
      </c>
      <c r="R1119" s="385">
        <v>20000</v>
      </c>
      <c r="S1119" s="385">
        <v>0</v>
      </c>
      <c r="T1119" s="385">
        <v>0</v>
      </c>
      <c r="U1119" s="385">
        <v>20000</v>
      </c>
      <c r="V1119" s="386"/>
      <c r="W1119" s="40">
        <v>0</v>
      </c>
      <c r="X1119" s="40">
        <v>60000</v>
      </c>
      <c r="Y1119" s="40">
        <v>0</v>
      </c>
      <c r="Z1119" s="40">
        <v>0</v>
      </c>
      <c r="AA1119" s="56" t="e">
        <v>#DIV/0!</v>
      </c>
      <c r="AB1119" s="56">
        <v>3</v>
      </c>
      <c r="AC1119" s="56" t="e">
        <v>#DIV/0!</v>
      </c>
      <c r="AD1119" s="56" t="e">
        <v>#DIV/0!</v>
      </c>
      <c r="AE1119" s="40">
        <v>0</v>
      </c>
      <c r="AF1119" s="40">
        <v>0</v>
      </c>
      <c r="AG1119" s="40">
        <v>0</v>
      </c>
      <c r="AH1119" s="387" t="e">
        <v>#DIV/0!</v>
      </c>
      <c r="AI1119" s="387">
        <v>3</v>
      </c>
      <c r="AJ1119" s="387" t="e">
        <v>#DIV/0!</v>
      </c>
      <c r="AK1119" s="387" t="e">
        <v>#DIV/0!</v>
      </c>
      <c r="AL1119" s="388">
        <v>0</v>
      </c>
      <c r="AM1119" s="388">
        <v>1</v>
      </c>
      <c r="AN1119" s="388">
        <v>0</v>
      </c>
      <c r="AO1119" s="388">
        <v>0</v>
      </c>
    </row>
    <row r="1120" spans="1:41" hidden="1">
      <c r="A1120" s="533">
        <v>223</v>
      </c>
      <c r="B1120" s="534" t="s">
        <v>235</v>
      </c>
      <c r="C1120" s="535">
        <v>0</v>
      </c>
      <c r="D1120" s="536" t="s">
        <v>18865</v>
      </c>
      <c r="E1120" s="534" t="s">
        <v>235</v>
      </c>
      <c r="F1120" s="53">
        <v>44876</v>
      </c>
      <c r="G1120" s="534">
        <v>2022</v>
      </c>
      <c r="H1120" s="563" t="s">
        <v>16384</v>
      </c>
      <c r="I1120" s="1" t="s">
        <v>16385</v>
      </c>
      <c r="J1120" s="1" t="s">
        <v>3</v>
      </c>
      <c r="K1120" s="539">
        <v>71394</v>
      </c>
      <c r="L1120" s="534">
        <v>1</v>
      </c>
      <c r="M1120" s="540">
        <v>71394</v>
      </c>
      <c r="N1120" s="534" t="s">
        <v>20155</v>
      </c>
      <c r="O1120" s="382" t="s">
        <v>18094</v>
      </c>
      <c r="P1120" s="886">
        <v>44888</v>
      </c>
      <c r="Q1120" s="385">
        <v>12000</v>
      </c>
      <c r="R1120" s="385">
        <v>15300</v>
      </c>
      <c r="S1120" s="385">
        <v>0</v>
      </c>
      <c r="T1120" s="385">
        <v>0</v>
      </c>
      <c r="U1120" s="385">
        <v>27300</v>
      </c>
      <c r="V1120" s="386"/>
      <c r="W1120" s="40">
        <v>31920</v>
      </c>
      <c r="X1120" s="40">
        <v>39474</v>
      </c>
      <c r="Y1120" s="40">
        <v>0</v>
      </c>
      <c r="Z1120" s="40">
        <v>0</v>
      </c>
      <c r="AA1120" s="56">
        <v>2.66</v>
      </c>
      <c r="AB1120" s="56">
        <v>2.58</v>
      </c>
      <c r="AC1120" s="56" t="e">
        <v>#DIV/0!</v>
      </c>
      <c r="AD1120" s="56" t="e">
        <v>#DIV/0!</v>
      </c>
      <c r="AE1120" s="40">
        <v>0</v>
      </c>
      <c r="AF1120" s="40">
        <v>0</v>
      </c>
      <c r="AG1120" s="40">
        <v>0</v>
      </c>
      <c r="AH1120" s="387">
        <v>2.66</v>
      </c>
      <c r="AI1120" s="387">
        <v>2.58</v>
      </c>
      <c r="AJ1120" s="387" t="e">
        <v>#DIV/0!</v>
      </c>
      <c r="AK1120" s="387" t="e">
        <v>#DIV/0!</v>
      </c>
      <c r="AL1120" s="388" t="s">
        <v>20324</v>
      </c>
      <c r="AM1120" s="388" t="s">
        <v>20300</v>
      </c>
      <c r="AN1120" s="388">
        <v>0</v>
      </c>
      <c r="AO1120" s="388">
        <v>0</v>
      </c>
    </row>
    <row r="1121" spans="1:41" hidden="1">
      <c r="A1121" s="533">
        <v>224</v>
      </c>
      <c r="B1121" s="534" t="s">
        <v>236</v>
      </c>
      <c r="C1121" s="535">
        <v>0</v>
      </c>
      <c r="D1121" s="536" t="s">
        <v>18866</v>
      </c>
      <c r="E1121" s="534" t="s">
        <v>236</v>
      </c>
      <c r="F1121" s="53">
        <v>44877</v>
      </c>
      <c r="G1121" s="534">
        <v>2022</v>
      </c>
      <c r="H1121" s="563" t="s">
        <v>16823</v>
      </c>
      <c r="I1121" s="1" t="s">
        <v>16824</v>
      </c>
      <c r="J1121" s="1" t="s">
        <v>16401</v>
      </c>
      <c r="K1121" s="539">
        <v>76270.230947999997</v>
      </c>
      <c r="L1121" s="534">
        <v>3.1173000000000002</v>
      </c>
      <c r="M1121" s="540">
        <v>24466.76</v>
      </c>
      <c r="N1121" s="534" t="s">
        <v>20155</v>
      </c>
      <c r="O1121" s="382" t="s">
        <v>20336</v>
      </c>
      <c r="P1121" s="886">
        <v>44890</v>
      </c>
      <c r="Q1121" s="385">
        <v>3600</v>
      </c>
      <c r="R1121" s="385">
        <v>22080</v>
      </c>
      <c r="S1121" s="385">
        <v>0</v>
      </c>
      <c r="T1121" s="385">
        <v>0</v>
      </c>
      <c r="U1121" s="385">
        <v>25680</v>
      </c>
      <c r="V1121" s="386"/>
      <c r="W1121" s="40">
        <v>11468.838036448598</v>
      </c>
      <c r="X1121" s="40">
        <v>64801.392911551404</v>
      </c>
      <c r="Y1121" s="40">
        <v>0</v>
      </c>
      <c r="Z1121" s="40">
        <v>0</v>
      </c>
      <c r="AA1121" s="56">
        <v>3.1857883434579439</v>
      </c>
      <c r="AB1121" s="56">
        <v>2.9348456934579441</v>
      </c>
      <c r="AC1121" s="56" t="e">
        <v>#DIV/0!</v>
      </c>
      <c r="AD1121" s="56" t="e">
        <v>#DIV/0!</v>
      </c>
      <c r="AE1121" s="40">
        <v>3274.39</v>
      </c>
      <c r="AF1121" s="40">
        <v>13987.35</v>
      </c>
      <c r="AG1121" s="40">
        <v>0.54467873831775704</v>
      </c>
      <c r="AH1121" s="387">
        <v>2.641109605140187</v>
      </c>
      <c r="AI1121" s="387">
        <v>2.3901669551401872</v>
      </c>
      <c r="AJ1121" s="387" t="e">
        <v>#DIV/0!</v>
      </c>
      <c r="AK1121" s="387" t="e">
        <v>#DIV/0!</v>
      </c>
      <c r="AL1121" s="388" t="s">
        <v>20324</v>
      </c>
      <c r="AM1121" s="388" t="s">
        <v>20300</v>
      </c>
      <c r="AN1121" s="388">
        <v>0</v>
      </c>
      <c r="AO1121" s="388">
        <v>0</v>
      </c>
    </row>
    <row r="1122" spans="1:41" hidden="1">
      <c r="A1122" s="533">
        <v>225</v>
      </c>
      <c r="B1122" s="534" t="s">
        <v>237</v>
      </c>
      <c r="C1122" s="535">
        <v>0</v>
      </c>
      <c r="D1122" s="536" t="s">
        <v>18867</v>
      </c>
      <c r="E1122" s="534" t="s">
        <v>237</v>
      </c>
      <c r="F1122" s="53">
        <v>44881</v>
      </c>
      <c r="G1122" s="534">
        <v>2022</v>
      </c>
      <c r="H1122" s="563" t="s">
        <v>17304</v>
      </c>
      <c r="I1122" s="1" t="s">
        <v>17305</v>
      </c>
      <c r="J1122" s="1" t="s">
        <v>17306</v>
      </c>
      <c r="K1122" s="539">
        <v>303555.67718399997</v>
      </c>
      <c r="L1122" s="534">
        <v>2.3472</v>
      </c>
      <c r="M1122" s="540">
        <v>129326.72</v>
      </c>
      <c r="N1122" s="534" t="s">
        <v>20155</v>
      </c>
      <c r="O1122" s="382" t="s">
        <v>17238</v>
      </c>
      <c r="P1122" s="886">
        <v>44888</v>
      </c>
      <c r="Q1122" s="385">
        <v>0</v>
      </c>
      <c r="R1122" s="385">
        <v>25424</v>
      </c>
      <c r="S1122" s="385">
        <v>47216</v>
      </c>
      <c r="T1122" s="385">
        <v>0</v>
      </c>
      <c r="U1122" s="385">
        <v>72640</v>
      </c>
      <c r="V1122" s="386"/>
      <c r="W1122" s="40">
        <v>0</v>
      </c>
      <c r="X1122" s="40">
        <v>107408.153664</v>
      </c>
      <c r="Y1122" s="40">
        <v>196147.52351999999</v>
      </c>
      <c r="Z1122" s="40">
        <v>0</v>
      </c>
      <c r="AA1122" s="56" t="e">
        <v>#DIV/0!</v>
      </c>
      <c r="AB1122" s="56">
        <v>4.2246756475770928</v>
      </c>
      <c r="AC1122" s="56">
        <v>4.1542596475770921</v>
      </c>
      <c r="AD1122" s="56" t="e">
        <v>#DIV/0!</v>
      </c>
      <c r="AE1122" s="40">
        <v>14508</v>
      </c>
      <c r="AF1122" s="40">
        <v>76831.539999999994</v>
      </c>
      <c r="AG1122" s="40">
        <v>1.0577029185022027</v>
      </c>
      <c r="AH1122" s="387" t="e">
        <v>#DIV/0!</v>
      </c>
      <c r="AI1122" s="387">
        <v>3.1669727290748901</v>
      </c>
      <c r="AJ1122" s="387">
        <v>3.0965567290748894</v>
      </c>
      <c r="AK1122" s="387" t="e">
        <v>#DIV/0!</v>
      </c>
      <c r="AL1122" s="388">
        <v>0</v>
      </c>
      <c r="AM1122" s="388">
        <v>1</v>
      </c>
      <c r="AN1122" s="388">
        <v>1</v>
      </c>
      <c r="AO1122" s="388">
        <v>0</v>
      </c>
    </row>
    <row r="1123" spans="1:41" hidden="1">
      <c r="A1123" s="533">
        <v>226</v>
      </c>
      <c r="B1123" s="534" t="s">
        <v>238</v>
      </c>
      <c r="C1123" s="535">
        <v>0</v>
      </c>
      <c r="D1123" s="536" t="s">
        <v>18868</v>
      </c>
      <c r="E1123" s="534" t="s">
        <v>238</v>
      </c>
      <c r="F1123" s="53">
        <v>44881</v>
      </c>
      <c r="G1123" s="534">
        <v>2022</v>
      </c>
      <c r="H1123" s="563" t="s">
        <v>17332</v>
      </c>
      <c r="I1123" s="1" t="s">
        <v>17333</v>
      </c>
      <c r="J1123" s="1" t="s">
        <v>3</v>
      </c>
      <c r="K1123" s="539">
        <v>459529.55200000003</v>
      </c>
      <c r="L1123" s="534">
        <v>1</v>
      </c>
      <c r="M1123" s="540">
        <v>459529.55200000003</v>
      </c>
      <c r="N1123" s="534" t="s">
        <v>20155</v>
      </c>
      <c r="O1123" s="382" t="s">
        <v>17939</v>
      </c>
      <c r="P1123" s="886">
        <v>44904</v>
      </c>
      <c r="Q1123" s="385">
        <v>0</v>
      </c>
      <c r="R1123" s="385">
        <v>170007.8</v>
      </c>
      <c r="S1123" s="385">
        <v>30005</v>
      </c>
      <c r="T1123" s="385">
        <v>0</v>
      </c>
      <c r="U1123" s="385">
        <v>200012.79999999999</v>
      </c>
      <c r="V1123" s="386"/>
      <c r="W1123" s="40">
        <v>0</v>
      </c>
      <c r="X1123" s="40">
        <v>390818.55999999994</v>
      </c>
      <c r="Y1123" s="40">
        <v>68710.992000000013</v>
      </c>
      <c r="Z1123" s="40">
        <v>0</v>
      </c>
      <c r="AA1123" s="56" t="e">
        <v>#DIV/0!</v>
      </c>
      <c r="AB1123" s="56">
        <v>2.2988272302800223</v>
      </c>
      <c r="AC1123" s="56">
        <v>2.2899847358773542</v>
      </c>
      <c r="AD1123" s="56" t="e">
        <v>#DIV/0!</v>
      </c>
      <c r="AE1123" s="40">
        <v>0</v>
      </c>
      <c r="AF1123" s="40">
        <v>0</v>
      </c>
      <c r="AG1123" s="40">
        <v>0</v>
      </c>
      <c r="AH1123" s="387" t="e">
        <v>#DIV/0!</v>
      </c>
      <c r="AI1123" s="387">
        <v>2.2988272302800223</v>
      </c>
      <c r="AJ1123" s="387">
        <v>2.2899847358773542</v>
      </c>
      <c r="AK1123" s="387" t="e">
        <v>#DIV/0!</v>
      </c>
      <c r="AL1123" s="388">
        <v>0</v>
      </c>
      <c r="AM1123" s="388" t="s">
        <v>20323</v>
      </c>
      <c r="AN1123" s="388" t="s">
        <v>20323</v>
      </c>
      <c r="AO1123" s="388">
        <v>0</v>
      </c>
    </row>
    <row r="1124" spans="1:41" hidden="1">
      <c r="A1124" s="533">
        <v>227</v>
      </c>
      <c r="B1124" s="534" t="s">
        <v>239</v>
      </c>
      <c r="C1124" s="535">
        <v>0</v>
      </c>
      <c r="D1124" s="536" t="s">
        <v>18869</v>
      </c>
      <c r="E1124" s="534" t="s">
        <v>239</v>
      </c>
      <c r="F1124" s="53">
        <v>44884</v>
      </c>
      <c r="G1124" s="534">
        <v>2022</v>
      </c>
      <c r="H1124" s="563" t="s">
        <v>17284</v>
      </c>
      <c r="I1124" s="1" t="s">
        <v>17285</v>
      </c>
      <c r="J1124" s="1" t="s">
        <v>3</v>
      </c>
      <c r="K1124" s="539">
        <v>53740.800000000003</v>
      </c>
      <c r="L1124" s="534">
        <v>1</v>
      </c>
      <c r="M1124" s="540">
        <v>53740.800000000003</v>
      </c>
      <c r="N1124" s="534" t="s">
        <v>20155</v>
      </c>
      <c r="O1124" s="382" t="s">
        <v>16394</v>
      </c>
      <c r="P1124" s="886">
        <v>44889</v>
      </c>
      <c r="Q1124" s="385">
        <v>0</v>
      </c>
      <c r="R1124" s="385">
        <v>7488</v>
      </c>
      <c r="S1124" s="385">
        <v>6000</v>
      </c>
      <c r="T1124" s="385">
        <v>2240</v>
      </c>
      <c r="U1124" s="385">
        <v>15728</v>
      </c>
      <c r="V1124" s="386"/>
      <c r="W1124" s="40">
        <v>0</v>
      </c>
      <c r="X1124" s="40">
        <v>23212.799999999999</v>
      </c>
      <c r="Y1124" s="40">
        <v>18600</v>
      </c>
      <c r="Z1124" s="40">
        <v>11928</v>
      </c>
      <c r="AA1124" s="56" t="e">
        <v>#DIV/0!</v>
      </c>
      <c r="AB1124" s="56">
        <v>3.1</v>
      </c>
      <c r="AC1124" s="56">
        <v>3.1</v>
      </c>
      <c r="AD1124" s="56">
        <v>5.3250000000000002</v>
      </c>
      <c r="AE1124" s="40">
        <v>0</v>
      </c>
      <c r="AF1124" s="40">
        <v>0</v>
      </c>
      <c r="AG1124" s="40">
        <v>0</v>
      </c>
      <c r="AH1124" s="387" t="e">
        <v>#DIV/0!</v>
      </c>
      <c r="AI1124" s="387">
        <v>3.1</v>
      </c>
      <c r="AJ1124" s="387">
        <v>3.1</v>
      </c>
      <c r="AK1124" s="387">
        <v>5.3250000000000002</v>
      </c>
      <c r="AL1124" s="388">
        <v>0</v>
      </c>
      <c r="AM1124" s="388">
        <v>1</v>
      </c>
      <c r="AN1124" s="388">
        <v>1</v>
      </c>
      <c r="AO1124" s="388">
        <v>1</v>
      </c>
    </row>
    <row r="1125" spans="1:41" hidden="1">
      <c r="A1125" s="533">
        <v>228</v>
      </c>
      <c r="B1125" s="534" t="s">
        <v>240</v>
      </c>
      <c r="C1125" s="535">
        <v>0</v>
      </c>
      <c r="D1125" s="536" t="s">
        <v>18870</v>
      </c>
      <c r="E1125" s="534" t="s">
        <v>240</v>
      </c>
      <c r="F1125" s="53">
        <v>44884</v>
      </c>
      <c r="G1125" s="534">
        <v>2022</v>
      </c>
      <c r="H1125" s="563" t="s">
        <v>17329</v>
      </c>
      <c r="I1125" s="1" t="s">
        <v>17330</v>
      </c>
      <c r="J1125" s="1" t="s">
        <v>16401</v>
      </c>
      <c r="K1125" s="539">
        <v>179442.868308</v>
      </c>
      <c r="L1125" s="534">
        <v>3.1181999999999999</v>
      </c>
      <c r="M1125" s="540">
        <v>57546.94</v>
      </c>
      <c r="N1125" s="534" t="s">
        <v>20155</v>
      </c>
      <c r="O1125" s="382" t="s">
        <v>20335</v>
      </c>
      <c r="P1125" s="886">
        <v>44900</v>
      </c>
      <c r="Q1125" s="385">
        <v>0</v>
      </c>
      <c r="R1125" s="385">
        <v>58704</v>
      </c>
      <c r="S1125" s="385">
        <v>0</v>
      </c>
      <c r="T1125" s="385">
        <v>2000</v>
      </c>
      <c r="U1125" s="385">
        <v>60704</v>
      </c>
      <c r="V1125" s="386"/>
      <c r="W1125" s="40">
        <v>0</v>
      </c>
      <c r="X1125" s="40">
        <v>167438.04522604489</v>
      </c>
      <c r="Y1125" s="40">
        <v>0</v>
      </c>
      <c r="Z1125" s="40">
        <v>12011.047009155089</v>
      </c>
      <c r="AA1125" s="56" t="e">
        <v>#DIV/0!</v>
      </c>
      <c r="AB1125" s="56">
        <v>2.8522425256548938</v>
      </c>
      <c r="AC1125" s="56" t="e">
        <v>#DIV/0!</v>
      </c>
      <c r="AD1125" s="56">
        <v>6.0055235045775444</v>
      </c>
      <c r="AE1125" s="40">
        <v>11295.48</v>
      </c>
      <c r="AF1125" s="40">
        <v>37017.599999999999</v>
      </c>
      <c r="AG1125" s="40">
        <v>0.60980495519240907</v>
      </c>
      <c r="AH1125" s="387" t="e">
        <v>#DIV/0!</v>
      </c>
      <c r="AI1125" s="387">
        <v>2.2424375704624846</v>
      </c>
      <c r="AJ1125" s="387" t="e">
        <v>#DIV/0!</v>
      </c>
      <c r="AK1125" s="387">
        <v>5.3957185493851352</v>
      </c>
      <c r="AL1125" s="388">
        <v>0</v>
      </c>
      <c r="AM1125" s="388" t="s">
        <v>20316</v>
      </c>
      <c r="AN1125" s="388">
        <v>0</v>
      </c>
      <c r="AO1125" s="388">
        <v>1</v>
      </c>
    </row>
    <row r="1126" spans="1:41" hidden="1">
      <c r="A1126" s="533">
        <v>229</v>
      </c>
      <c r="B1126" s="534" t="s">
        <v>241</v>
      </c>
      <c r="C1126" s="535">
        <v>0</v>
      </c>
      <c r="D1126" s="536" t="s">
        <v>18871</v>
      </c>
      <c r="E1126" s="534" t="s">
        <v>241</v>
      </c>
      <c r="F1126" s="53">
        <v>44884</v>
      </c>
      <c r="G1126" s="534">
        <v>2022</v>
      </c>
      <c r="H1126" s="563" t="s">
        <v>16783</v>
      </c>
      <c r="I1126" s="1" t="s">
        <v>16784</v>
      </c>
      <c r="J1126" s="1" t="s">
        <v>16401</v>
      </c>
      <c r="K1126" s="539">
        <v>1018241.1066000001</v>
      </c>
      <c r="L1126" s="534">
        <v>3.1173000000000002</v>
      </c>
      <c r="M1126" s="540">
        <v>326642</v>
      </c>
      <c r="N1126" s="534" t="s">
        <v>20155</v>
      </c>
      <c r="O1126" s="382" t="s">
        <v>17939</v>
      </c>
      <c r="P1126" s="886">
        <v>44893</v>
      </c>
      <c r="Q1126" s="385">
        <v>12000</v>
      </c>
      <c r="R1126" s="385">
        <v>288000</v>
      </c>
      <c r="S1126" s="385">
        <v>28800</v>
      </c>
      <c r="T1126" s="385">
        <v>22000</v>
      </c>
      <c r="U1126" s="385">
        <v>350800</v>
      </c>
      <c r="V1126" s="386"/>
      <c r="W1126" s="40">
        <v>40400.207999999999</v>
      </c>
      <c r="X1126" s="40">
        <v>776322.91540800035</v>
      </c>
      <c r="Y1126" s="40">
        <v>77917.038191999993</v>
      </c>
      <c r="Z1126" s="40">
        <v>123600.94500000001</v>
      </c>
      <c r="AA1126" s="56">
        <v>3.3666839999999998</v>
      </c>
      <c r="AB1126" s="56">
        <v>2.6955656785000013</v>
      </c>
      <c r="AC1126" s="56">
        <v>2.7054527149999998</v>
      </c>
      <c r="AD1126" s="56">
        <v>5.6182247727272729</v>
      </c>
      <c r="AE1126" s="40">
        <v>0</v>
      </c>
      <c r="AF1126" s="40">
        <v>0</v>
      </c>
      <c r="AG1126" s="40">
        <v>0</v>
      </c>
      <c r="AH1126" s="387">
        <v>3.3666839999999998</v>
      </c>
      <c r="AI1126" s="387">
        <v>2.6955656785000013</v>
      </c>
      <c r="AJ1126" s="387">
        <v>2.7054527149999998</v>
      </c>
      <c r="AK1126" s="387">
        <v>5.6182247727272729</v>
      </c>
      <c r="AL1126" s="388" t="s">
        <v>20324</v>
      </c>
      <c r="AM1126" s="388" t="s">
        <v>20324</v>
      </c>
      <c r="AN1126" s="388" t="s">
        <v>20324</v>
      </c>
      <c r="AO1126" s="388">
        <v>1</v>
      </c>
    </row>
    <row r="1127" spans="1:41" hidden="1">
      <c r="A1127" s="533">
        <v>230</v>
      </c>
      <c r="B1127" s="534" t="s">
        <v>242</v>
      </c>
      <c r="C1127" s="535">
        <v>0</v>
      </c>
      <c r="D1127" s="536" t="s">
        <v>18872</v>
      </c>
      <c r="E1127" s="534" t="s">
        <v>242</v>
      </c>
      <c r="F1127" s="53">
        <v>44886</v>
      </c>
      <c r="G1127" s="534">
        <v>2022</v>
      </c>
      <c r="H1127" s="563" t="s">
        <v>16783</v>
      </c>
      <c r="I1127" s="1" t="s">
        <v>16784</v>
      </c>
      <c r="J1127" s="1" t="s">
        <v>16401</v>
      </c>
      <c r="K1127" s="539">
        <v>241543.99050000001</v>
      </c>
      <c r="L1127" s="534">
        <v>3.1173000000000002</v>
      </c>
      <c r="M1127" s="540">
        <v>77485</v>
      </c>
      <c r="N1127" s="534" t="s">
        <v>20155</v>
      </c>
      <c r="O1127" s="382" t="s">
        <v>17939</v>
      </c>
      <c r="P1127" s="886">
        <v>44894</v>
      </c>
      <c r="Q1127" s="385">
        <v>0</v>
      </c>
      <c r="R1127" s="385">
        <v>42000</v>
      </c>
      <c r="S1127" s="385">
        <v>12000</v>
      </c>
      <c r="T1127" s="385">
        <v>0</v>
      </c>
      <c r="U1127" s="385">
        <v>54000</v>
      </c>
      <c r="V1127" s="386"/>
      <c r="W1127" s="40">
        <v>0</v>
      </c>
      <c r="X1127" s="40">
        <v>0</v>
      </c>
      <c r="Y1127" s="40">
        <v>0</v>
      </c>
      <c r="Z1127" s="40">
        <v>241543.99050000001</v>
      </c>
      <c r="AA1127" s="56" t="e">
        <v>#DIV/0!</v>
      </c>
      <c r="AB1127" s="56">
        <v>0</v>
      </c>
      <c r="AC1127" s="56">
        <v>0</v>
      </c>
      <c r="AD1127" s="56" t="e">
        <v>#DIV/0!</v>
      </c>
      <c r="AE1127" s="40">
        <v>0</v>
      </c>
      <c r="AF1127" s="40">
        <v>0</v>
      </c>
      <c r="AG1127" s="40">
        <v>0</v>
      </c>
      <c r="AH1127" s="387" t="e">
        <v>#DIV/0!</v>
      </c>
      <c r="AI1127" s="387">
        <v>0</v>
      </c>
      <c r="AJ1127" s="387">
        <v>0</v>
      </c>
      <c r="AK1127" s="387" t="e">
        <v>#DIV/0!</v>
      </c>
      <c r="AL1127" s="388">
        <v>0</v>
      </c>
      <c r="AM1127" s="388" t="s">
        <v>20324</v>
      </c>
      <c r="AN1127" s="388" t="s">
        <v>20324</v>
      </c>
      <c r="AO1127" s="388">
        <v>0</v>
      </c>
    </row>
    <row r="1128" spans="1:41" hidden="1">
      <c r="A1128" s="533">
        <v>231</v>
      </c>
      <c r="B1128" s="534" t="s">
        <v>243</v>
      </c>
      <c r="C1128" s="535">
        <v>0</v>
      </c>
      <c r="D1128" s="536" t="s">
        <v>18873</v>
      </c>
      <c r="E1128" s="534" t="s">
        <v>243</v>
      </c>
      <c r="F1128" s="53">
        <v>44886</v>
      </c>
      <c r="G1128" s="534">
        <v>2022</v>
      </c>
      <c r="H1128" s="563" t="s">
        <v>17264</v>
      </c>
      <c r="I1128" s="1" t="s">
        <v>17265</v>
      </c>
      <c r="J1128" s="1" t="s">
        <v>16401</v>
      </c>
      <c r="K1128" s="539">
        <v>146229.98749999999</v>
      </c>
      <c r="L1128" s="534">
        <v>3.1362999999999999</v>
      </c>
      <c r="M1128" s="540">
        <v>46625</v>
      </c>
      <c r="N1128" s="534" t="s">
        <v>20155</v>
      </c>
      <c r="O1128" s="382" t="s">
        <v>20157</v>
      </c>
      <c r="P1128" s="886">
        <v>44890</v>
      </c>
      <c r="Q1128" s="385">
        <v>0</v>
      </c>
      <c r="R1128" s="385">
        <v>0</v>
      </c>
      <c r="S1128" s="385">
        <v>0</v>
      </c>
      <c r="T1128" s="385">
        <v>27500</v>
      </c>
      <c r="U1128" s="385">
        <v>27500</v>
      </c>
      <c r="V1128" s="386"/>
      <c r="W1128" s="40">
        <v>0</v>
      </c>
      <c r="X1128" s="40">
        <v>0</v>
      </c>
      <c r="Y1128" s="40">
        <v>0</v>
      </c>
      <c r="Z1128" s="40">
        <v>146229.98749999999</v>
      </c>
      <c r="AA1128" s="56" t="e">
        <v>#DIV/0!</v>
      </c>
      <c r="AB1128" s="56" t="e">
        <v>#DIV/0!</v>
      </c>
      <c r="AC1128" s="56" t="e">
        <v>#DIV/0!</v>
      </c>
      <c r="AD1128" s="56">
        <v>5.3174540909090906</v>
      </c>
      <c r="AE1128" s="40">
        <v>0</v>
      </c>
      <c r="AF1128" s="40">
        <v>6972.76</v>
      </c>
      <c r="AG1128" s="40">
        <v>0.25355490909090911</v>
      </c>
      <c r="AH1128" s="387" t="e">
        <v>#DIV/0!</v>
      </c>
      <c r="AI1128" s="387" t="e">
        <v>#DIV/0!</v>
      </c>
      <c r="AJ1128" s="387" t="e">
        <v>#DIV/0!</v>
      </c>
      <c r="AK1128" s="387">
        <v>5.0638991818181811</v>
      </c>
      <c r="AL1128" s="388">
        <v>0</v>
      </c>
      <c r="AM1128" s="388">
        <v>0</v>
      </c>
      <c r="AN1128" s="388">
        <v>0</v>
      </c>
      <c r="AO1128" s="388">
        <v>1</v>
      </c>
    </row>
    <row r="1129" spans="1:41" hidden="1">
      <c r="A1129" s="533">
        <v>232</v>
      </c>
      <c r="B1129" s="534" t="s">
        <v>244</v>
      </c>
      <c r="C1129" s="535">
        <v>0</v>
      </c>
      <c r="D1129" s="536" t="s">
        <v>18874</v>
      </c>
      <c r="E1129" s="534" t="s">
        <v>244</v>
      </c>
      <c r="F1129" s="53">
        <v>44887</v>
      </c>
      <c r="G1129" s="534">
        <v>2022</v>
      </c>
      <c r="H1129" s="563" t="s">
        <v>17270</v>
      </c>
      <c r="I1129" s="1" t="s">
        <v>17271</v>
      </c>
      <c r="J1129" s="1" t="s">
        <v>16482</v>
      </c>
      <c r="K1129" s="539">
        <v>81655.56</v>
      </c>
      <c r="L1129" s="534">
        <v>3.2403</v>
      </c>
      <c r="M1129" s="540">
        <v>25200</v>
      </c>
      <c r="N1129" s="534" t="s">
        <v>20155</v>
      </c>
      <c r="O1129" s="382" t="s">
        <v>16394</v>
      </c>
      <c r="P1129" s="886">
        <v>44896</v>
      </c>
      <c r="Q1129" s="385">
        <v>0</v>
      </c>
      <c r="R1129" s="385">
        <v>12000</v>
      </c>
      <c r="S1129" s="385">
        <v>6000</v>
      </c>
      <c r="T1129" s="385">
        <v>0</v>
      </c>
      <c r="U1129" s="385">
        <v>18000</v>
      </c>
      <c r="V1129" s="386"/>
      <c r="W1129" s="40">
        <v>0</v>
      </c>
      <c r="X1129" s="40">
        <v>54437.039999999994</v>
      </c>
      <c r="Y1129" s="40">
        <v>27218.52</v>
      </c>
      <c r="Z1129" s="40">
        <v>0</v>
      </c>
      <c r="AA1129" s="56" t="e">
        <v>#DIV/0!</v>
      </c>
      <c r="AB1129" s="56">
        <v>4.5364199999999997</v>
      </c>
      <c r="AC1129" s="56">
        <v>4.5364199999999997</v>
      </c>
      <c r="AD1129" s="56" t="e">
        <v>#DIV/0!</v>
      </c>
      <c r="AE1129" s="40">
        <v>2520</v>
      </c>
      <c r="AF1129" s="40">
        <v>25533.24</v>
      </c>
      <c r="AG1129" s="40">
        <v>1.4185133333333335</v>
      </c>
      <c r="AH1129" s="387" t="e">
        <v>#DIV/0!</v>
      </c>
      <c r="AI1129" s="387">
        <v>3.1179066666666664</v>
      </c>
      <c r="AJ1129" s="387">
        <v>3.1179066666666664</v>
      </c>
      <c r="AK1129" s="387" t="e">
        <v>#DIV/0!</v>
      </c>
      <c r="AL1129" s="388">
        <v>0</v>
      </c>
      <c r="AM1129" s="388">
        <v>1</v>
      </c>
      <c r="AN1129" s="388">
        <v>1</v>
      </c>
      <c r="AO1129" s="388">
        <v>0</v>
      </c>
    </row>
    <row r="1130" spans="1:41" hidden="1">
      <c r="A1130" s="533">
        <v>233</v>
      </c>
      <c r="B1130" s="534" t="s">
        <v>245</v>
      </c>
      <c r="C1130" s="535">
        <v>0</v>
      </c>
      <c r="D1130" s="536" t="s">
        <v>18875</v>
      </c>
      <c r="E1130" s="534" t="s">
        <v>245</v>
      </c>
      <c r="F1130" s="53">
        <v>44888</v>
      </c>
      <c r="G1130" s="534">
        <v>2022</v>
      </c>
      <c r="H1130" s="563" t="s">
        <v>16560</v>
      </c>
      <c r="I1130" s="1" t="s">
        <v>16561</v>
      </c>
      <c r="J1130" s="1" t="s">
        <v>16482</v>
      </c>
      <c r="K1130" s="539">
        <v>256709.04</v>
      </c>
      <c r="L1130" s="534">
        <v>3.2743500000000001</v>
      </c>
      <c r="M1130" s="540">
        <v>78400</v>
      </c>
      <c r="N1130" s="534" t="s">
        <v>20155</v>
      </c>
      <c r="O1130" s="382" t="s">
        <v>17801</v>
      </c>
      <c r="P1130" s="886">
        <v>44923</v>
      </c>
      <c r="Q1130" s="385">
        <v>0</v>
      </c>
      <c r="R1130" s="385">
        <v>0</v>
      </c>
      <c r="S1130" s="385">
        <v>112000</v>
      </c>
      <c r="T1130" s="385">
        <v>0</v>
      </c>
      <c r="U1130" s="385">
        <v>112000</v>
      </c>
      <c r="V1130" s="386"/>
      <c r="W1130" s="40">
        <v>0</v>
      </c>
      <c r="X1130" s="40">
        <v>0</v>
      </c>
      <c r="Y1130" s="40">
        <v>256709.04</v>
      </c>
      <c r="Z1130" s="40">
        <v>0</v>
      </c>
      <c r="AA1130" s="56" t="e">
        <v>#DIV/0!</v>
      </c>
      <c r="AB1130" s="56" t="e">
        <v>#DIV/0!</v>
      </c>
      <c r="AC1130" s="56">
        <v>2.2920449999999999</v>
      </c>
      <c r="AD1130" s="56" t="e">
        <v>#DIV/0!</v>
      </c>
      <c r="AE1130" s="40">
        <v>8356.3829999999998</v>
      </c>
      <c r="AF1130" s="40">
        <v>30758.038</v>
      </c>
      <c r="AG1130" s="40">
        <v>0.27462533928571431</v>
      </c>
      <c r="AH1130" s="387" t="e">
        <v>#DIV/0!</v>
      </c>
      <c r="AI1130" s="387" t="e">
        <v>#DIV/0!</v>
      </c>
      <c r="AJ1130" s="387">
        <v>2.0174196607142854</v>
      </c>
      <c r="AK1130" s="387" t="e">
        <v>#DIV/0!</v>
      </c>
      <c r="AL1130" s="388">
        <v>0</v>
      </c>
      <c r="AM1130" s="388">
        <v>0</v>
      </c>
      <c r="AN1130" s="388" t="s">
        <v>20323</v>
      </c>
      <c r="AO1130" s="388">
        <v>0</v>
      </c>
    </row>
    <row r="1131" spans="1:41" hidden="1">
      <c r="A1131" s="533">
        <v>234</v>
      </c>
      <c r="B1131" s="534" t="s">
        <v>246</v>
      </c>
      <c r="C1131" s="535">
        <v>0</v>
      </c>
      <c r="D1131" s="536" t="s">
        <v>18876</v>
      </c>
      <c r="E1131" s="534" t="s">
        <v>246</v>
      </c>
      <c r="F1131" s="53">
        <v>44888</v>
      </c>
      <c r="G1131" s="534">
        <v>2022</v>
      </c>
      <c r="H1131" s="563" t="s">
        <v>16957</v>
      </c>
      <c r="I1131" s="1" t="s">
        <v>16958</v>
      </c>
      <c r="J1131" s="1" t="s">
        <v>16401</v>
      </c>
      <c r="K1131" s="539">
        <v>61810.855437500002</v>
      </c>
      <c r="L1131" s="534">
        <v>3.1142500000000002</v>
      </c>
      <c r="M1131" s="540">
        <v>19847.75</v>
      </c>
      <c r="N1131" s="534" t="s">
        <v>20155</v>
      </c>
      <c r="O1131" s="382" t="s">
        <v>20161</v>
      </c>
      <c r="P1131" s="886">
        <v>44894</v>
      </c>
      <c r="Q1131" s="385">
        <v>20150</v>
      </c>
      <c r="R1131" s="385">
        <v>0</v>
      </c>
      <c r="S1131" s="385">
        <v>0</v>
      </c>
      <c r="T1131" s="385">
        <v>0</v>
      </c>
      <c r="U1131" s="385">
        <v>20150</v>
      </c>
      <c r="V1131" s="386"/>
      <c r="W1131" s="40">
        <v>61810.855437500002</v>
      </c>
      <c r="X1131" s="40">
        <v>0</v>
      </c>
      <c r="Y1131" s="40">
        <v>0</v>
      </c>
      <c r="Z1131" s="40">
        <v>0</v>
      </c>
      <c r="AA1131" s="56">
        <v>3.0675362500000003</v>
      </c>
      <c r="AB1131" s="56" t="e">
        <v>#DIV/0!</v>
      </c>
      <c r="AC1131" s="56" t="e">
        <v>#DIV/0!</v>
      </c>
      <c r="AD1131" s="56" t="e">
        <v>#DIV/0!</v>
      </c>
      <c r="AE1131" s="40">
        <v>0</v>
      </c>
      <c r="AF1131" s="40">
        <v>3395.28</v>
      </c>
      <c r="AG1131" s="40">
        <v>0.16850024813895784</v>
      </c>
      <c r="AH1131" s="387">
        <v>2.8990360018610426</v>
      </c>
      <c r="AI1131" s="387" t="e">
        <v>#DIV/0!</v>
      </c>
      <c r="AJ1131" s="387" t="e">
        <v>#DIV/0!</v>
      </c>
      <c r="AK1131" s="387" t="e">
        <v>#DIV/0!</v>
      </c>
      <c r="AL1131" s="388">
        <v>1</v>
      </c>
      <c r="AM1131" s="388">
        <v>0</v>
      </c>
      <c r="AN1131" s="388">
        <v>0</v>
      </c>
      <c r="AO1131" s="388">
        <v>0</v>
      </c>
    </row>
    <row r="1132" spans="1:41" hidden="1">
      <c r="A1132" s="533">
        <v>235</v>
      </c>
      <c r="B1132" s="534" t="s">
        <v>247</v>
      </c>
      <c r="C1132" s="535">
        <v>0</v>
      </c>
      <c r="D1132" s="536" t="s">
        <v>18877</v>
      </c>
      <c r="E1132" s="534" t="s">
        <v>247</v>
      </c>
      <c r="F1132" s="53">
        <v>44890</v>
      </c>
      <c r="G1132" s="534">
        <v>2022</v>
      </c>
      <c r="H1132" s="563" t="s">
        <v>17338</v>
      </c>
      <c r="I1132" s="1" t="s">
        <v>17339</v>
      </c>
      <c r="J1132" s="1" t="s">
        <v>3</v>
      </c>
      <c r="K1132" s="539">
        <v>97920</v>
      </c>
      <c r="L1132" s="534">
        <v>1</v>
      </c>
      <c r="M1132" s="540">
        <v>97920</v>
      </c>
      <c r="N1132" s="534" t="s">
        <v>20155</v>
      </c>
      <c r="O1132" s="382" t="s">
        <v>17965</v>
      </c>
      <c r="P1132" s="886">
        <v>44909</v>
      </c>
      <c r="Q1132" s="385">
        <v>38400</v>
      </c>
      <c r="R1132" s="385">
        <v>0</v>
      </c>
      <c r="S1132" s="385">
        <v>0</v>
      </c>
      <c r="T1132" s="385">
        <v>0</v>
      </c>
      <c r="U1132" s="385">
        <v>38400</v>
      </c>
      <c r="V1132" s="386"/>
      <c r="W1132" s="40">
        <v>97920</v>
      </c>
      <c r="X1132" s="40">
        <v>0</v>
      </c>
      <c r="Y1132" s="40">
        <v>0</v>
      </c>
      <c r="Z1132" s="40">
        <v>0</v>
      </c>
      <c r="AA1132" s="56">
        <v>2.5499999999999998</v>
      </c>
      <c r="AB1132" s="56" t="e">
        <v>#DIV/0!</v>
      </c>
      <c r="AC1132" s="56" t="e">
        <v>#DIV/0!</v>
      </c>
      <c r="AD1132" s="56" t="e">
        <v>#DIV/0!</v>
      </c>
      <c r="AE1132" s="40">
        <v>0</v>
      </c>
      <c r="AF1132" s="40">
        <v>0</v>
      </c>
      <c r="AG1132" s="40">
        <v>0</v>
      </c>
      <c r="AH1132" s="387">
        <v>2.5499999999999998</v>
      </c>
      <c r="AI1132" s="387" t="e">
        <v>#DIV/0!</v>
      </c>
      <c r="AJ1132" s="387" t="e">
        <v>#DIV/0!</v>
      </c>
      <c r="AK1132" s="387" t="e">
        <v>#DIV/0!</v>
      </c>
      <c r="AL1132" s="388" t="s">
        <v>20324</v>
      </c>
      <c r="AM1132" s="388">
        <v>0</v>
      </c>
      <c r="AN1132" s="388">
        <v>0</v>
      </c>
      <c r="AO1132" s="388">
        <v>0</v>
      </c>
    </row>
    <row r="1133" spans="1:41" hidden="1">
      <c r="A1133" s="533">
        <v>236</v>
      </c>
      <c r="B1133" s="534" t="s">
        <v>248</v>
      </c>
      <c r="C1133" s="535">
        <v>0</v>
      </c>
      <c r="D1133" s="536" t="s">
        <v>18878</v>
      </c>
      <c r="E1133" s="534" t="s">
        <v>248</v>
      </c>
      <c r="F1133" s="53">
        <v>44896</v>
      </c>
      <c r="G1133" s="534">
        <v>2022</v>
      </c>
      <c r="H1133" s="563" t="s">
        <v>16444</v>
      </c>
      <c r="I1133" s="1" t="s">
        <v>16445</v>
      </c>
      <c r="J1133" s="1" t="s">
        <v>3</v>
      </c>
      <c r="K1133" s="539">
        <v>54987.5</v>
      </c>
      <c r="L1133" s="534">
        <v>1</v>
      </c>
      <c r="M1133" s="540">
        <v>54987.5</v>
      </c>
      <c r="N1133" s="534" t="s">
        <v>20155</v>
      </c>
      <c r="O1133" s="382" t="s">
        <v>20341</v>
      </c>
      <c r="P1133" s="886">
        <v>44902</v>
      </c>
      <c r="Q1133" s="385">
        <v>20750</v>
      </c>
      <c r="R1133" s="385">
        <v>0</v>
      </c>
      <c r="S1133" s="385">
        <v>0</v>
      </c>
      <c r="T1133" s="385">
        <v>0</v>
      </c>
      <c r="U1133" s="385">
        <v>20750</v>
      </c>
      <c r="V1133" s="386"/>
      <c r="W1133" s="40">
        <v>54987.5</v>
      </c>
      <c r="X1133" s="40">
        <v>0</v>
      </c>
      <c r="Y1133" s="40">
        <v>0</v>
      </c>
      <c r="Z1133" s="40">
        <v>0</v>
      </c>
      <c r="AA1133" s="56">
        <v>2.65</v>
      </c>
      <c r="AB1133" s="56" t="e">
        <v>#DIV/0!</v>
      </c>
      <c r="AC1133" s="56" t="e">
        <v>#DIV/0!</v>
      </c>
      <c r="AD1133" s="56" t="e">
        <v>#DIV/0!</v>
      </c>
      <c r="AE1133" s="40">
        <v>0</v>
      </c>
      <c r="AF1133" s="40">
        <v>0</v>
      </c>
      <c r="AG1133" s="40">
        <v>0</v>
      </c>
      <c r="AH1133" s="387">
        <v>2.65</v>
      </c>
      <c r="AI1133" s="387" t="e">
        <v>#DIV/0!</v>
      </c>
      <c r="AJ1133" s="387" t="e">
        <v>#DIV/0!</v>
      </c>
      <c r="AK1133" s="387" t="e">
        <v>#DIV/0!</v>
      </c>
      <c r="AL1133" s="388" t="s">
        <v>20324</v>
      </c>
      <c r="AM1133" s="388">
        <v>0</v>
      </c>
      <c r="AN1133" s="388">
        <v>0</v>
      </c>
      <c r="AO1133" s="388">
        <v>0</v>
      </c>
    </row>
    <row r="1134" spans="1:41" hidden="1">
      <c r="A1134" s="533">
        <v>237</v>
      </c>
      <c r="B1134" s="534" t="s">
        <v>249</v>
      </c>
      <c r="C1134" s="535">
        <v>0</v>
      </c>
      <c r="D1134" s="536" t="s">
        <v>18879</v>
      </c>
      <c r="E1134" s="534" t="s">
        <v>249</v>
      </c>
      <c r="F1134" s="53">
        <v>44901</v>
      </c>
      <c r="G1134" s="534">
        <v>2022</v>
      </c>
      <c r="H1134" s="563" t="s">
        <v>17332</v>
      </c>
      <c r="I1134" s="1" t="s">
        <v>17333</v>
      </c>
      <c r="J1134" s="1" t="s">
        <v>3</v>
      </c>
      <c r="K1134" s="539">
        <v>295736.83199999999</v>
      </c>
      <c r="L1134" s="534">
        <v>1</v>
      </c>
      <c r="M1134" s="540">
        <v>295736.83199999999</v>
      </c>
      <c r="N1134" s="534" t="s">
        <v>20155</v>
      </c>
      <c r="O1134" s="382" t="s">
        <v>17939</v>
      </c>
      <c r="P1134" s="886">
        <v>44907</v>
      </c>
      <c r="Q1134" s="385">
        <v>0</v>
      </c>
      <c r="R1134" s="385">
        <v>128927.8</v>
      </c>
      <c r="S1134" s="385">
        <v>7987.2</v>
      </c>
      <c r="T1134" s="385">
        <v>0</v>
      </c>
      <c r="U1134" s="385">
        <v>136915</v>
      </c>
      <c r="V1134" s="386"/>
      <c r="W1134" s="40">
        <v>0</v>
      </c>
      <c r="X1134" s="40">
        <v>278484.47999999998</v>
      </c>
      <c r="Y1134" s="40">
        <v>17252.351999999999</v>
      </c>
      <c r="Z1134" s="40">
        <v>0</v>
      </c>
      <c r="AA1134" s="56" t="e">
        <v>#DIV/0!</v>
      </c>
      <c r="AB1134" s="56">
        <v>2.1600033507125693</v>
      </c>
      <c r="AC1134" s="56">
        <v>2.1599999999999997</v>
      </c>
      <c r="AD1134" s="56" t="e">
        <v>#DIV/0!</v>
      </c>
      <c r="AE1134" s="40">
        <v>0</v>
      </c>
      <c r="AF1134" s="40">
        <v>0</v>
      </c>
      <c r="AG1134" s="40">
        <v>0</v>
      </c>
      <c r="AH1134" s="387" t="e">
        <v>#DIV/0!</v>
      </c>
      <c r="AI1134" s="387">
        <v>2.1600033507125693</v>
      </c>
      <c r="AJ1134" s="387">
        <v>2.1599999999999997</v>
      </c>
      <c r="AK1134" s="387" t="e">
        <v>#DIV/0!</v>
      </c>
      <c r="AL1134" s="388">
        <v>0</v>
      </c>
      <c r="AM1134" s="388" t="s">
        <v>20323</v>
      </c>
      <c r="AN1134" s="388" t="s">
        <v>20323</v>
      </c>
      <c r="AO1134" s="388">
        <v>0</v>
      </c>
    </row>
    <row r="1135" spans="1:41" hidden="1">
      <c r="A1135" s="533">
        <v>238</v>
      </c>
      <c r="B1135" s="534" t="s">
        <v>250</v>
      </c>
      <c r="C1135" s="535">
        <v>0</v>
      </c>
      <c r="D1135" s="536" t="s">
        <v>18880</v>
      </c>
      <c r="E1135" s="534" t="s">
        <v>250</v>
      </c>
      <c r="F1135" s="53">
        <v>44904</v>
      </c>
      <c r="G1135" s="534">
        <v>2022</v>
      </c>
      <c r="H1135" s="563" t="s">
        <v>16384</v>
      </c>
      <c r="I1135" s="1" t="s">
        <v>16385</v>
      </c>
      <c r="J1135" s="1" t="s">
        <v>3</v>
      </c>
      <c r="K1135" s="539">
        <v>254400</v>
      </c>
      <c r="L1135" s="534">
        <v>1</v>
      </c>
      <c r="M1135" s="540">
        <v>254400</v>
      </c>
      <c r="N1135" s="534" t="s">
        <v>20155</v>
      </c>
      <c r="O1135" s="382" t="s">
        <v>17965</v>
      </c>
      <c r="P1135" s="886">
        <v>44915</v>
      </c>
      <c r="Q1135" s="385">
        <v>96000</v>
      </c>
      <c r="R1135" s="385">
        <v>0</v>
      </c>
      <c r="S1135" s="385">
        <v>0</v>
      </c>
      <c r="T1135" s="385">
        <v>0</v>
      </c>
      <c r="U1135" s="385">
        <v>96000</v>
      </c>
      <c r="V1135" s="386"/>
      <c r="W1135" s="40">
        <v>254400</v>
      </c>
      <c r="X1135" s="40">
        <v>0</v>
      </c>
      <c r="Y1135" s="40">
        <v>0</v>
      </c>
      <c r="Z1135" s="40">
        <v>0</v>
      </c>
      <c r="AA1135" s="56">
        <v>2.65</v>
      </c>
      <c r="AB1135" s="56" t="e">
        <v>#DIV/0!</v>
      </c>
      <c r="AC1135" s="56" t="e">
        <v>#DIV/0!</v>
      </c>
      <c r="AD1135" s="56" t="e">
        <v>#DIV/0!</v>
      </c>
      <c r="AE1135" s="40">
        <v>0</v>
      </c>
      <c r="AF1135" s="40">
        <v>0</v>
      </c>
      <c r="AG1135" s="40">
        <v>0</v>
      </c>
      <c r="AH1135" s="387">
        <v>2.65</v>
      </c>
      <c r="AI1135" s="387" t="e">
        <v>#DIV/0!</v>
      </c>
      <c r="AJ1135" s="387" t="e">
        <v>#DIV/0!</v>
      </c>
      <c r="AK1135" s="387" t="e">
        <v>#DIV/0!</v>
      </c>
      <c r="AL1135" s="388" t="s">
        <v>20324</v>
      </c>
      <c r="AM1135" s="388">
        <v>0</v>
      </c>
      <c r="AN1135" s="388">
        <v>0</v>
      </c>
      <c r="AO1135" s="388">
        <v>0</v>
      </c>
    </row>
    <row r="1136" spans="1:41" hidden="1">
      <c r="A1136" s="533">
        <v>239</v>
      </c>
      <c r="B1136" s="534" t="s">
        <v>251</v>
      </c>
      <c r="C1136" s="535">
        <v>0</v>
      </c>
      <c r="D1136" s="536" t="s">
        <v>18881</v>
      </c>
      <c r="E1136" s="534" t="s">
        <v>251</v>
      </c>
      <c r="F1136" s="53">
        <v>44904</v>
      </c>
      <c r="G1136" s="534">
        <v>2022</v>
      </c>
      <c r="H1136" s="563" t="s">
        <v>16957</v>
      </c>
      <c r="I1136" s="1" t="s">
        <v>16958</v>
      </c>
      <c r="J1136" s="1" t="s">
        <v>16401</v>
      </c>
      <c r="K1136" s="539">
        <v>54517.588124999995</v>
      </c>
      <c r="L1136" s="534">
        <v>3.0920999999999998</v>
      </c>
      <c r="M1136" s="540">
        <v>17631.25</v>
      </c>
      <c r="N1136" s="534" t="s">
        <v>20155</v>
      </c>
      <c r="O1136" s="382" t="s">
        <v>20161</v>
      </c>
      <c r="P1136" s="886">
        <v>44910</v>
      </c>
      <c r="Q1136" s="385">
        <v>20150</v>
      </c>
      <c r="R1136" s="385">
        <v>0</v>
      </c>
      <c r="S1136" s="385">
        <v>0</v>
      </c>
      <c r="T1136" s="385">
        <v>0</v>
      </c>
      <c r="U1136" s="385">
        <v>20150</v>
      </c>
      <c r="V1136" s="386"/>
      <c r="W1136" s="40">
        <v>54517.588125000002</v>
      </c>
      <c r="X1136" s="40">
        <v>0</v>
      </c>
      <c r="Y1136" s="40">
        <v>0</v>
      </c>
      <c r="Z1136" s="40">
        <v>0</v>
      </c>
      <c r="AA1136" s="56">
        <v>2.7055875</v>
      </c>
      <c r="AB1136" s="56" t="e">
        <v>#DIV/0!</v>
      </c>
      <c r="AC1136" s="56" t="e">
        <v>#DIV/0!</v>
      </c>
      <c r="AD1136" s="56" t="e">
        <v>#DIV/0!</v>
      </c>
      <c r="AE1136" s="40">
        <v>0</v>
      </c>
      <c r="AF1136" s="40">
        <v>3368.3449999999998</v>
      </c>
      <c r="AG1136" s="40">
        <v>0.16716352357320099</v>
      </c>
      <c r="AH1136" s="387">
        <v>2.5384239764267988</v>
      </c>
      <c r="AI1136" s="387" t="e">
        <v>#DIV/0!</v>
      </c>
      <c r="AJ1136" s="387" t="e">
        <v>#DIV/0!</v>
      </c>
      <c r="AK1136" s="387" t="e">
        <v>#DIV/0!</v>
      </c>
      <c r="AL1136" s="388" t="s">
        <v>20324</v>
      </c>
      <c r="AM1136" s="388">
        <v>0</v>
      </c>
      <c r="AN1136" s="388">
        <v>0</v>
      </c>
      <c r="AO1136" s="388">
        <v>0</v>
      </c>
    </row>
    <row r="1137" spans="1:41" hidden="1">
      <c r="A1137" s="533">
        <v>240</v>
      </c>
      <c r="B1137" s="534" t="s">
        <v>252</v>
      </c>
      <c r="C1137" s="535">
        <v>0</v>
      </c>
      <c r="D1137" s="536" t="s">
        <v>18882</v>
      </c>
      <c r="E1137" s="534" t="s">
        <v>252</v>
      </c>
      <c r="F1137" s="53">
        <v>44905</v>
      </c>
      <c r="G1137" s="534">
        <v>2022</v>
      </c>
      <c r="H1137" s="563" t="s">
        <v>17332</v>
      </c>
      <c r="I1137" s="1" t="s">
        <v>17333</v>
      </c>
      <c r="J1137" s="1" t="s">
        <v>3</v>
      </c>
      <c r="K1137" s="539">
        <v>753000</v>
      </c>
      <c r="L1137" s="534">
        <v>1</v>
      </c>
      <c r="M1137" s="540">
        <v>753000</v>
      </c>
      <c r="N1137" s="534" t="s">
        <v>20155</v>
      </c>
      <c r="O1137" s="382" t="s">
        <v>17939</v>
      </c>
      <c r="P1137" s="886">
        <v>44912</v>
      </c>
      <c r="Q1137" s="385">
        <v>300000</v>
      </c>
      <c r="R1137" s="385">
        <v>0</v>
      </c>
      <c r="S1137" s="385">
        <v>0</v>
      </c>
      <c r="T1137" s="385">
        <v>0</v>
      </c>
      <c r="U1137" s="385">
        <v>300000</v>
      </c>
      <c r="V1137" s="386"/>
      <c r="W1137" s="40">
        <v>753000</v>
      </c>
      <c r="X1137" s="40">
        <v>0</v>
      </c>
      <c r="Y1137" s="40">
        <v>0</v>
      </c>
      <c r="Z1137" s="40">
        <v>0</v>
      </c>
      <c r="AA1137" s="56">
        <v>2.5099999999999998</v>
      </c>
      <c r="AB1137" s="56" t="e">
        <v>#DIV/0!</v>
      </c>
      <c r="AC1137" s="56" t="e">
        <v>#DIV/0!</v>
      </c>
      <c r="AD1137" s="56" t="e">
        <v>#DIV/0!</v>
      </c>
      <c r="AE1137" s="40">
        <v>0</v>
      </c>
      <c r="AF1137" s="40">
        <v>0</v>
      </c>
      <c r="AG1137" s="40">
        <v>0</v>
      </c>
      <c r="AH1137" s="387">
        <v>2.5099999999999998</v>
      </c>
      <c r="AI1137" s="387" t="e">
        <v>#DIV/0!</v>
      </c>
      <c r="AJ1137" s="387" t="e">
        <v>#DIV/0!</v>
      </c>
      <c r="AK1137" s="387" t="e">
        <v>#DIV/0!</v>
      </c>
      <c r="AL1137" s="388" t="s">
        <v>20324</v>
      </c>
      <c r="AM1137" s="388">
        <v>0</v>
      </c>
      <c r="AN1137" s="388">
        <v>0</v>
      </c>
      <c r="AO1137" s="388">
        <v>0</v>
      </c>
    </row>
    <row r="1138" spans="1:41" hidden="1">
      <c r="A1138" s="533">
        <v>241</v>
      </c>
      <c r="B1138" s="534" t="s">
        <v>253</v>
      </c>
      <c r="C1138" s="535">
        <v>0</v>
      </c>
      <c r="D1138" s="536" t="s">
        <v>18883</v>
      </c>
      <c r="E1138" s="534" t="s">
        <v>253</v>
      </c>
      <c r="F1138" s="53">
        <v>44908</v>
      </c>
      <c r="G1138" s="534">
        <v>2022</v>
      </c>
      <c r="H1138" s="563" t="s">
        <v>16957</v>
      </c>
      <c r="I1138" s="1" t="s">
        <v>16958</v>
      </c>
      <c r="J1138" s="1" t="s">
        <v>16401</v>
      </c>
      <c r="K1138" s="539">
        <v>61001.067237499999</v>
      </c>
      <c r="L1138" s="534">
        <v>3.0734499999999998</v>
      </c>
      <c r="M1138" s="540">
        <v>19847.75</v>
      </c>
      <c r="N1138" s="534" t="s">
        <v>20155</v>
      </c>
      <c r="O1138" s="382" t="s">
        <v>20161</v>
      </c>
      <c r="P1138" s="886">
        <v>44911</v>
      </c>
      <c r="Q1138" s="385">
        <v>20150</v>
      </c>
      <c r="R1138" s="385">
        <v>0</v>
      </c>
      <c r="S1138" s="385">
        <v>0</v>
      </c>
      <c r="T1138" s="385">
        <v>0</v>
      </c>
      <c r="U1138" s="385">
        <v>20150</v>
      </c>
      <c r="V1138" s="386"/>
      <c r="W1138" s="40">
        <v>61001.067237499999</v>
      </c>
      <c r="X1138" s="40">
        <v>0</v>
      </c>
      <c r="Y1138" s="40">
        <v>0</v>
      </c>
      <c r="Z1138" s="40">
        <v>0</v>
      </c>
      <c r="AA1138" s="56">
        <v>3.0273482500000002</v>
      </c>
      <c r="AB1138" s="56" t="e">
        <v>#DIV/0!</v>
      </c>
      <c r="AC1138" s="56" t="e">
        <v>#DIV/0!</v>
      </c>
      <c r="AD1138" s="56" t="e">
        <v>#DIV/0!</v>
      </c>
      <c r="AE1138" s="40">
        <v>0</v>
      </c>
      <c r="AF1138" s="40">
        <v>3368.3449999999998</v>
      </c>
      <c r="AG1138" s="40">
        <v>0.16716352357320099</v>
      </c>
      <c r="AH1138" s="387">
        <v>2.860184726426799</v>
      </c>
      <c r="AI1138" s="387" t="e">
        <v>#DIV/0!</v>
      </c>
      <c r="AJ1138" s="387" t="e">
        <v>#DIV/0!</v>
      </c>
      <c r="AK1138" s="387" t="e">
        <v>#DIV/0!</v>
      </c>
      <c r="AL1138" s="388">
        <v>1</v>
      </c>
      <c r="AM1138" s="388">
        <v>0</v>
      </c>
      <c r="AN1138" s="388">
        <v>0</v>
      </c>
      <c r="AO1138" s="388">
        <v>0</v>
      </c>
    </row>
    <row r="1139" spans="1:41" hidden="1">
      <c r="A1139" s="533">
        <v>242</v>
      </c>
      <c r="B1139" s="534" t="s">
        <v>254</v>
      </c>
      <c r="C1139" s="535">
        <v>0</v>
      </c>
      <c r="D1139" s="536" t="s">
        <v>18884</v>
      </c>
      <c r="E1139" s="534" t="s">
        <v>254</v>
      </c>
      <c r="F1139" s="53">
        <v>44908</v>
      </c>
      <c r="G1139" s="534">
        <v>2022</v>
      </c>
      <c r="H1139" s="563" t="s">
        <v>17332</v>
      </c>
      <c r="I1139" s="1" t="s">
        <v>17333</v>
      </c>
      <c r="J1139" s="1" t="s">
        <v>3</v>
      </c>
      <c r="K1139" s="539">
        <v>560820</v>
      </c>
      <c r="L1139" s="534">
        <v>1</v>
      </c>
      <c r="M1139" s="540">
        <v>560820</v>
      </c>
      <c r="N1139" s="534" t="s">
        <v>20155</v>
      </c>
      <c r="O1139" s="382" t="s">
        <v>17939</v>
      </c>
      <c r="P1139" s="886">
        <v>44917</v>
      </c>
      <c r="Q1139" s="385">
        <v>96000</v>
      </c>
      <c r="R1139" s="385">
        <v>144000</v>
      </c>
      <c r="S1139" s="385">
        <v>12000</v>
      </c>
      <c r="T1139" s="385">
        <v>0</v>
      </c>
      <c r="U1139" s="385">
        <v>252000</v>
      </c>
      <c r="V1139" s="386"/>
      <c r="W1139" s="40">
        <v>249600</v>
      </c>
      <c r="X1139" s="40">
        <v>287280</v>
      </c>
      <c r="Y1139" s="40">
        <v>23940</v>
      </c>
      <c r="Z1139" s="40">
        <v>0</v>
      </c>
      <c r="AA1139" s="56">
        <v>2.6</v>
      </c>
      <c r="AB1139" s="56">
        <v>1.9950000000000001</v>
      </c>
      <c r="AC1139" s="56">
        <v>1.9950000000000001</v>
      </c>
      <c r="AD1139" s="56" t="e">
        <v>#DIV/0!</v>
      </c>
      <c r="AE1139" s="40">
        <v>0</v>
      </c>
      <c r="AF1139" s="40">
        <v>0</v>
      </c>
      <c r="AG1139" s="40">
        <v>0</v>
      </c>
      <c r="AH1139" s="387">
        <v>2.6</v>
      </c>
      <c r="AI1139" s="387">
        <v>1.9950000000000001</v>
      </c>
      <c r="AJ1139" s="387">
        <v>1.9950000000000001</v>
      </c>
      <c r="AK1139" s="387" t="e">
        <v>#DIV/0!</v>
      </c>
      <c r="AL1139" s="388" t="s">
        <v>20324</v>
      </c>
      <c r="AM1139" s="388" t="s">
        <v>20323</v>
      </c>
      <c r="AN1139" s="388" t="s">
        <v>20323</v>
      </c>
      <c r="AO1139" s="388">
        <v>0</v>
      </c>
    </row>
    <row r="1140" spans="1:41" hidden="1">
      <c r="A1140" s="533">
        <v>243</v>
      </c>
      <c r="B1140" s="534" t="s">
        <v>255</v>
      </c>
      <c r="C1140" s="535">
        <v>0</v>
      </c>
      <c r="D1140" s="536" t="s">
        <v>18885</v>
      </c>
      <c r="E1140" s="534" t="s">
        <v>255</v>
      </c>
      <c r="F1140" s="53">
        <v>44908</v>
      </c>
      <c r="G1140" s="534">
        <v>2022</v>
      </c>
      <c r="H1140" s="563" t="s">
        <v>17017</v>
      </c>
      <c r="I1140" s="1" t="s">
        <v>17018</v>
      </c>
      <c r="J1140" s="1" t="s">
        <v>3</v>
      </c>
      <c r="K1140" s="539">
        <v>60000</v>
      </c>
      <c r="L1140" s="534">
        <v>1</v>
      </c>
      <c r="M1140" s="540">
        <v>60000</v>
      </c>
      <c r="N1140" s="534" t="s">
        <v>20155</v>
      </c>
      <c r="O1140" s="382" t="s">
        <v>18064</v>
      </c>
      <c r="P1140" s="886">
        <v>44914</v>
      </c>
      <c r="Q1140" s="385">
        <v>0</v>
      </c>
      <c r="R1140" s="385">
        <v>20000</v>
      </c>
      <c r="S1140" s="385">
        <v>0</v>
      </c>
      <c r="T1140" s="385">
        <v>0</v>
      </c>
      <c r="U1140" s="385">
        <v>20000</v>
      </c>
      <c r="V1140" s="386"/>
      <c r="W1140" s="40">
        <v>0</v>
      </c>
      <c r="X1140" s="40">
        <v>60000</v>
      </c>
      <c r="Y1140" s="40">
        <v>0</v>
      </c>
      <c r="Z1140" s="40">
        <v>0</v>
      </c>
      <c r="AA1140" s="56" t="e">
        <v>#DIV/0!</v>
      </c>
      <c r="AB1140" s="56">
        <v>3</v>
      </c>
      <c r="AC1140" s="56" t="e">
        <v>#DIV/0!</v>
      </c>
      <c r="AD1140" s="56" t="e">
        <v>#DIV/0!</v>
      </c>
      <c r="AE1140" s="40">
        <v>0</v>
      </c>
      <c r="AF1140" s="40">
        <v>0</v>
      </c>
      <c r="AG1140" s="40">
        <v>0</v>
      </c>
      <c r="AH1140" s="387" t="e">
        <v>#DIV/0!</v>
      </c>
      <c r="AI1140" s="387">
        <v>3</v>
      </c>
      <c r="AJ1140" s="387" t="e">
        <v>#DIV/0!</v>
      </c>
      <c r="AK1140" s="387" t="e">
        <v>#DIV/0!</v>
      </c>
      <c r="AL1140" s="388">
        <v>0</v>
      </c>
      <c r="AM1140" s="388">
        <v>1</v>
      </c>
      <c r="AN1140" s="388">
        <v>0</v>
      </c>
      <c r="AO1140" s="388">
        <v>0</v>
      </c>
    </row>
    <row r="1141" spans="1:41" hidden="1">
      <c r="A1141" s="533">
        <v>244</v>
      </c>
      <c r="B1141" s="534" t="s">
        <v>256</v>
      </c>
      <c r="C1141" s="535">
        <v>0</v>
      </c>
      <c r="D1141" s="536" t="s">
        <v>18886</v>
      </c>
      <c r="E1141" s="534" t="s">
        <v>256</v>
      </c>
      <c r="F1141" s="53">
        <v>44908</v>
      </c>
      <c r="G1141" s="534">
        <v>2022</v>
      </c>
      <c r="H1141" s="563" t="s">
        <v>16560</v>
      </c>
      <c r="I1141" s="1" t="s">
        <v>16561</v>
      </c>
      <c r="J1141" s="1" t="s">
        <v>16482</v>
      </c>
      <c r="K1141" s="539">
        <v>256665.92</v>
      </c>
      <c r="L1141" s="534">
        <v>3.2738</v>
      </c>
      <c r="M1141" s="540">
        <v>78400</v>
      </c>
      <c r="N1141" s="534" t="s">
        <v>20155</v>
      </c>
      <c r="O1141" s="382" t="s">
        <v>17801</v>
      </c>
      <c r="P1141" s="886">
        <v>44922</v>
      </c>
      <c r="Q1141" s="385">
        <v>0</v>
      </c>
      <c r="R1141" s="385">
        <v>0</v>
      </c>
      <c r="S1141" s="385">
        <v>112000</v>
      </c>
      <c r="T1141" s="385">
        <v>0</v>
      </c>
      <c r="U1141" s="385">
        <v>112000</v>
      </c>
      <c r="V1141" s="386"/>
      <c r="W1141" s="40">
        <v>0</v>
      </c>
      <c r="X1141" s="40">
        <v>0</v>
      </c>
      <c r="Y1141" s="40">
        <v>256665.92</v>
      </c>
      <c r="Z1141" s="40">
        <v>0</v>
      </c>
      <c r="AA1141" s="56" t="e">
        <v>#DIV/0!</v>
      </c>
      <c r="AB1141" s="56" t="e">
        <v>#DIV/0!</v>
      </c>
      <c r="AC1141" s="56">
        <v>2.2916600000000003</v>
      </c>
      <c r="AD1141" s="56" t="e">
        <v>#DIV/0!</v>
      </c>
      <c r="AE1141" s="40">
        <v>8356.3829999999998</v>
      </c>
      <c r="AF1141" s="40">
        <v>30758.038</v>
      </c>
      <c r="AG1141" s="40">
        <v>0.27462533928571431</v>
      </c>
      <c r="AH1141" s="387" t="e">
        <v>#DIV/0!</v>
      </c>
      <c r="AI1141" s="387" t="e">
        <v>#DIV/0!</v>
      </c>
      <c r="AJ1141" s="387">
        <v>2.0170346607142857</v>
      </c>
      <c r="AK1141" s="387" t="e">
        <v>#DIV/0!</v>
      </c>
      <c r="AL1141" s="388">
        <v>0</v>
      </c>
      <c r="AM1141" s="388">
        <v>0</v>
      </c>
      <c r="AN1141" s="388" t="s">
        <v>20323</v>
      </c>
      <c r="AO1141" s="388">
        <v>0</v>
      </c>
    </row>
    <row r="1142" spans="1:41" hidden="1">
      <c r="A1142" s="533">
        <v>245</v>
      </c>
      <c r="B1142" s="534" t="s">
        <v>257</v>
      </c>
      <c r="C1142" s="535">
        <v>0</v>
      </c>
      <c r="D1142" s="536" t="s">
        <v>18887</v>
      </c>
      <c r="E1142" s="534" t="s">
        <v>257</v>
      </c>
      <c r="F1142" s="53">
        <v>44908</v>
      </c>
      <c r="G1142" s="534">
        <v>2022</v>
      </c>
      <c r="H1142" s="563" t="s">
        <v>16904</v>
      </c>
      <c r="I1142" s="1" t="s">
        <v>16905</v>
      </c>
      <c r="J1142" s="1" t="s">
        <v>16482</v>
      </c>
      <c r="K1142" s="539">
        <v>102229.598016</v>
      </c>
      <c r="L1142" s="534">
        <v>3.2701500000000001</v>
      </c>
      <c r="M1142" s="540">
        <v>31261.439999999999</v>
      </c>
      <c r="N1142" s="534" t="s">
        <v>20155</v>
      </c>
      <c r="O1142" s="382" t="s">
        <v>20160</v>
      </c>
      <c r="P1142" s="886">
        <v>44917</v>
      </c>
      <c r="Q1142" s="385">
        <v>0</v>
      </c>
      <c r="R1142" s="385">
        <v>20328</v>
      </c>
      <c r="S1142" s="385">
        <v>7500</v>
      </c>
      <c r="T1142" s="385">
        <v>0</v>
      </c>
      <c r="U1142" s="385">
        <v>27828</v>
      </c>
      <c r="V1142" s="386"/>
      <c r="W1142" s="40">
        <v>0</v>
      </c>
      <c r="X1142" s="40">
        <v>74892.413155715389</v>
      </c>
      <c r="Y1142" s="40">
        <v>27337.184860284608</v>
      </c>
      <c r="Z1142" s="40">
        <v>0</v>
      </c>
      <c r="AA1142" s="56" t="e">
        <v>#DIV/0!</v>
      </c>
      <c r="AB1142" s="56">
        <v>3.6841997813712806</v>
      </c>
      <c r="AC1142" s="56">
        <v>3.6449579813712809</v>
      </c>
      <c r="AD1142" s="56" t="e">
        <v>#DIV/0!</v>
      </c>
      <c r="AE1142" s="40">
        <v>4436.25</v>
      </c>
      <c r="AF1142" s="40">
        <v>14627.85</v>
      </c>
      <c r="AG1142" s="40">
        <v>0.5256522207848211</v>
      </c>
      <c r="AH1142" s="387" t="e">
        <v>#DIV/0!</v>
      </c>
      <c r="AI1142" s="387">
        <v>3.1585475605864595</v>
      </c>
      <c r="AJ1142" s="387">
        <v>3.1193057605864598</v>
      </c>
      <c r="AK1142" s="387" t="e">
        <v>#DIV/0!</v>
      </c>
      <c r="AL1142" s="388">
        <v>0</v>
      </c>
      <c r="AM1142" s="388">
        <v>1</v>
      </c>
      <c r="AN1142" s="388">
        <v>1</v>
      </c>
      <c r="AO1142" s="388">
        <v>0</v>
      </c>
    </row>
    <row r="1143" spans="1:41" hidden="1">
      <c r="A1143" s="533">
        <v>246</v>
      </c>
      <c r="B1143" s="534" t="s">
        <v>258</v>
      </c>
      <c r="C1143" s="535">
        <v>0</v>
      </c>
      <c r="D1143" s="536" t="s">
        <v>18888</v>
      </c>
      <c r="E1143" s="534" t="s">
        <v>258</v>
      </c>
      <c r="F1143" s="53">
        <v>44908</v>
      </c>
      <c r="G1143" s="534">
        <v>2022</v>
      </c>
      <c r="H1143" s="563" t="s">
        <v>16904</v>
      </c>
      <c r="I1143" s="1" t="s">
        <v>16905</v>
      </c>
      <c r="J1143" s="1" t="s">
        <v>16482</v>
      </c>
      <c r="K1143" s="539">
        <v>82564.747199999998</v>
      </c>
      <c r="L1143" s="534">
        <v>3.2701500000000001</v>
      </c>
      <c r="M1143" s="540">
        <v>25248</v>
      </c>
      <c r="N1143" s="534" t="s">
        <v>20155</v>
      </c>
      <c r="O1143" s="382" t="s">
        <v>20160</v>
      </c>
      <c r="P1143" s="886">
        <v>44917</v>
      </c>
      <c r="Q1143" s="385">
        <v>0</v>
      </c>
      <c r="R1143" s="385">
        <v>21600</v>
      </c>
      <c r="S1143" s="385">
        <v>0</v>
      </c>
      <c r="T1143" s="385">
        <v>0</v>
      </c>
      <c r="U1143" s="385">
        <v>21600</v>
      </c>
      <c r="V1143" s="386"/>
      <c r="W1143" s="40">
        <v>0</v>
      </c>
      <c r="X1143" s="40">
        <v>82564.747199999998</v>
      </c>
      <c r="Y1143" s="40">
        <v>0</v>
      </c>
      <c r="Z1143" s="40">
        <v>0</v>
      </c>
      <c r="AA1143" s="56" t="e">
        <v>#DIV/0!</v>
      </c>
      <c r="AB1143" s="56">
        <v>3.8224420000000001</v>
      </c>
      <c r="AC1143" s="56" t="e">
        <v>#DIV/0!</v>
      </c>
      <c r="AD1143" s="56" t="e">
        <v>#DIV/0!</v>
      </c>
      <c r="AE1143" s="40">
        <v>4448.5349999999999</v>
      </c>
      <c r="AF1143" s="40">
        <v>14163.465</v>
      </c>
      <c r="AG1143" s="40">
        <v>0.65571597222222222</v>
      </c>
      <c r="AH1143" s="387" t="e">
        <v>#DIV/0!</v>
      </c>
      <c r="AI1143" s="387">
        <v>3.166726027777778</v>
      </c>
      <c r="AJ1143" s="387" t="e">
        <v>#DIV/0!</v>
      </c>
      <c r="AK1143" s="387" t="e">
        <v>#DIV/0!</v>
      </c>
      <c r="AL1143" s="388">
        <v>0</v>
      </c>
      <c r="AM1143" s="388">
        <v>1</v>
      </c>
      <c r="AN1143" s="388">
        <v>0</v>
      </c>
      <c r="AO1143" s="388">
        <v>0</v>
      </c>
    </row>
    <row r="1144" spans="1:41" hidden="1">
      <c r="A1144" s="533">
        <v>247</v>
      </c>
      <c r="B1144" s="534" t="s">
        <v>259</v>
      </c>
      <c r="C1144" s="535">
        <v>0</v>
      </c>
      <c r="D1144" s="536" t="s">
        <v>18889</v>
      </c>
      <c r="E1144" s="534" t="s">
        <v>259</v>
      </c>
      <c r="F1144" s="53">
        <v>44908</v>
      </c>
      <c r="G1144" s="534">
        <v>2022</v>
      </c>
      <c r="H1144" s="563" t="s">
        <v>17209</v>
      </c>
      <c r="I1144" s="1" t="s">
        <v>17210</v>
      </c>
      <c r="J1144" s="1" t="s">
        <v>16401</v>
      </c>
      <c r="K1144" s="539">
        <v>79430.36559999999</v>
      </c>
      <c r="L1144" s="534">
        <v>3.0823999999999998</v>
      </c>
      <c r="M1144" s="540">
        <v>25769</v>
      </c>
      <c r="N1144" s="534" t="s">
        <v>20155</v>
      </c>
      <c r="O1144" s="382" t="s">
        <v>20168</v>
      </c>
      <c r="P1144" s="886">
        <v>44922</v>
      </c>
      <c r="Q1144" s="385">
        <v>9000</v>
      </c>
      <c r="R1144" s="385">
        <v>8160</v>
      </c>
      <c r="S1144" s="385">
        <v>2880</v>
      </c>
      <c r="T1144" s="385">
        <v>1500</v>
      </c>
      <c r="U1144" s="385">
        <v>21540</v>
      </c>
      <c r="V1144" s="386"/>
      <c r="W1144" s="40">
        <v>31018.921016155989</v>
      </c>
      <c r="X1144" s="40">
        <v>28744.247193314761</v>
      </c>
      <c r="Y1144" s="40">
        <v>10145.028421169918</v>
      </c>
      <c r="Z1144" s="40">
        <v>9522.1689693593307</v>
      </c>
      <c r="AA1144" s="56">
        <v>3.4465467795728877</v>
      </c>
      <c r="AB1144" s="56">
        <v>3.5225793129062208</v>
      </c>
      <c r="AC1144" s="56">
        <v>3.5225793129062217</v>
      </c>
      <c r="AD1144" s="56">
        <v>6.3481126462395538</v>
      </c>
      <c r="AE1144" s="40">
        <v>414.375</v>
      </c>
      <c r="AF1144" s="40">
        <v>8877.0049999999992</v>
      </c>
      <c r="AG1144" s="40">
        <v>0.4121172237697307</v>
      </c>
      <c r="AH1144" s="387">
        <v>3.0344295558031571</v>
      </c>
      <c r="AI1144" s="387">
        <v>3.1104620891364902</v>
      </c>
      <c r="AJ1144" s="387">
        <v>3.1104620891364911</v>
      </c>
      <c r="AK1144" s="387">
        <v>5.9359954224698228</v>
      </c>
      <c r="AL1144" s="388">
        <v>1</v>
      </c>
      <c r="AM1144" s="388">
        <v>1</v>
      </c>
      <c r="AN1144" s="388">
        <v>1</v>
      </c>
      <c r="AO1144" s="388">
        <v>1</v>
      </c>
    </row>
    <row r="1145" spans="1:41" hidden="1">
      <c r="A1145" s="533">
        <v>248</v>
      </c>
      <c r="B1145" s="534" t="s">
        <v>260</v>
      </c>
      <c r="C1145" s="535">
        <v>0</v>
      </c>
      <c r="D1145" s="536" t="s">
        <v>20342</v>
      </c>
      <c r="E1145" s="534" t="s">
        <v>260</v>
      </c>
      <c r="F1145" s="53">
        <v>44909</v>
      </c>
      <c r="G1145" s="534">
        <v>2022</v>
      </c>
      <c r="H1145" s="563" t="s">
        <v>16560</v>
      </c>
      <c r="I1145" s="1" t="s">
        <v>16561</v>
      </c>
      <c r="J1145" s="1" t="s">
        <v>16482</v>
      </c>
      <c r="K1145" s="539">
        <v>0</v>
      </c>
      <c r="L1145" s="534"/>
      <c r="M1145" s="540">
        <v>207950</v>
      </c>
      <c r="N1145" s="583" t="s">
        <v>20164</v>
      </c>
      <c r="O1145" s="382" t="s">
        <v>17801</v>
      </c>
      <c r="P1145" s="886">
        <v>0</v>
      </c>
      <c r="Q1145" s="385">
        <v>0</v>
      </c>
      <c r="R1145" s="385">
        <v>230000</v>
      </c>
      <c r="S1145" s="385">
        <v>50000</v>
      </c>
      <c r="T1145" s="385">
        <v>0</v>
      </c>
      <c r="U1145" s="385">
        <v>280000</v>
      </c>
      <c r="V1145" s="386"/>
      <c r="W1145" s="40" t="e">
        <v>#N/A</v>
      </c>
      <c r="X1145" s="40" t="e">
        <v>#N/A</v>
      </c>
      <c r="Y1145" s="40" t="e">
        <v>#N/A</v>
      </c>
      <c r="Z1145" s="40" t="e">
        <v>#N/A</v>
      </c>
      <c r="AA1145" s="56" t="e">
        <v>#N/A</v>
      </c>
      <c r="AB1145" s="56" t="e">
        <v>#N/A</v>
      </c>
      <c r="AC1145" s="56" t="e">
        <v>#N/A</v>
      </c>
      <c r="AD1145" s="56" t="e">
        <v>#N/A</v>
      </c>
      <c r="AE1145" s="40" t="e">
        <v>#N/A</v>
      </c>
      <c r="AF1145" s="40" t="e">
        <v>#N/A</v>
      </c>
      <c r="AG1145" s="40" t="e">
        <v>#N/A</v>
      </c>
      <c r="AH1145" s="387" t="e">
        <v>#N/A</v>
      </c>
      <c r="AI1145" s="387" t="e">
        <v>#N/A</v>
      </c>
      <c r="AJ1145" s="387" t="e">
        <v>#N/A</v>
      </c>
      <c r="AK1145" s="387" t="e">
        <v>#N/A</v>
      </c>
      <c r="AL1145" s="388">
        <v>0</v>
      </c>
      <c r="AM1145" s="388" t="s">
        <v>20323</v>
      </c>
      <c r="AN1145" s="388" t="s">
        <v>20323</v>
      </c>
      <c r="AO1145" s="388">
        <v>0</v>
      </c>
    </row>
    <row r="1146" spans="1:41" hidden="1">
      <c r="A1146" s="533">
        <v>249</v>
      </c>
      <c r="B1146" s="534" t="s">
        <v>261</v>
      </c>
      <c r="C1146" s="535">
        <v>0</v>
      </c>
      <c r="D1146" s="536" t="s">
        <v>18890</v>
      </c>
      <c r="E1146" s="534" t="s">
        <v>261</v>
      </c>
      <c r="F1146" s="53">
        <v>44909</v>
      </c>
      <c r="G1146" s="534">
        <v>2022</v>
      </c>
      <c r="H1146" s="563" t="s">
        <v>16560</v>
      </c>
      <c r="I1146" s="1" t="s">
        <v>16561</v>
      </c>
      <c r="J1146" s="1" t="s">
        <v>16482</v>
      </c>
      <c r="K1146" s="539">
        <v>256665.92</v>
      </c>
      <c r="L1146" s="534">
        <v>3.2738</v>
      </c>
      <c r="M1146" s="540">
        <v>78400</v>
      </c>
      <c r="N1146" s="534" t="s">
        <v>20155</v>
      </c>
      <c r="O1146" s="382" t="s">
        <v>20343</v>
      </c>
      <c r="P1146" s="886">
        <v>44923</v>
      </c>
      <c r="Q1146" s="385">
        <v>0</v>
      </c>
      <c r="R1146" s="385">
        <v>0</v>
      </c>
      <c r="S1146" s="385">
        <v>112000</v>
      </c>
      <c r="T1146" s="385">
        <v>0</v>
      </c>
      <c r="U1146" s="385">
        <v>112000</v>
      </c>
      <c r="V1146" s="386"/>
      <c r="W1146" s="40">
        <v>0</v>
      </c>
      <c r="X1146" s="40">
        <v>0</v>
      </c>
      <c r="Y1146" s="40">
        <v>256665.92</v>
      </c>
      <c r="Z1146" s="40">
        <v>0</v>
      </c>
      <c r="AA1146" s="56" t="e">
        <v>#DIV/0!</v>
      </c>
      <c r="AB1146" s="56" t="e">
        <v>#DIV/0!</v>
      </c>
      <c r="AC1146" s="56">
        <v>2.2916600000000003</v>
      </c>
      <c r="AD1146" s="56" t="e">
        <v>#DIV/0!</v>
      </c>
      <c r="AE1146" s="40">
        <v>8356.3829999999998</v>
      </c>
      <c r="AF1146" s="40">
        <v>31174.538</v>
      </c>
      <c r="AG1146" s="40">
        <v>0.2783440892857143</v>
      </c>
      <c r="AH1146" s="387" t="e">
        <v>#DIV/0!</v>
      </c>
      <c r="AI1146" s="387" t="e">
        <v>#DIV/0!</v>
      </c>
      <c r="AJ1146" s="387">
        <v>2.0133159107142857</v>
      </c>
      <c r="AK1146" s="387" t="e">
        <v>#DIV/0!</v>
      </c>
      <c r="AL1146" s="388">
        <v>0</v>
      </c>
      <c r="AM1146" s="388">
        <v>0</v>
      </c>
      <c r="AN1146" s="388" t="s">
        <v>20323</v>
      </c>
      <c r="AO1146" s="388">
        <v>0</v>
      </c>
    </row>
    <row r="1147" spans="1:41" hidden="1">
      <c r="A1147" s="533">
        <v>250</v>
      </c>
      <c r="B1147" s="534" t="s">
        <v>262</v>
      </c>
      <c r="C1147" s="535">
        <v>0</v>
      </c>
      <c r="D1147" s="536" t="s">
        <v>18891</v>
      </c>
      <c r="E1147" s="534" t="s">
        <v>262</v>
      </c>
      <c r="F1147" s="53">
        <v>44909</v>
      </c>
      <c r="G1147" s="534">
        <v>2022</v>
      </c>
      <c r="H1147" s="563" t="s">
        <v>16444</v>
      </c>
      <c r="I1147" s="1" t="s">
        <v>16445</v>
      </c>
      <c r="J1147" s="1" t="s">
        <v>3</v>
      </c>
      <c r="K1147" s="539">
        <v>56780.639999999999</v>
      </c>
      <c r="L1147" s="534">
        <v>1</v>
      </c>
      <c r="M1147" s="540">
        <v>56780.639999999999</v>
      </c>
      <c r="N1147" s="534" t="s">
        <v>20155</v>
      </c>
      <c r="O1147" s="382" t="s">
        <v>18248</v>
      </c>
      <c r="P1147" s="886">
        <v>44921</v>
      </c>
      <c r="Q1147" s="385">
        <v>22008</v>
      </c>
      <c r="R1147" s="385">
        <v>0</v>
      </c>
      <c r="S1147" s="385">
        <v>0</v>
      </c>
      <c r="T1147" s="385">
        <v>0</v>
      </c>
      <c r="U1147" s="385">
        <v>22008</v>
      </c>
      <c r="V1147" s="386"/>
      <c r="W1147" s="40">
        <v>56780.639999999999</v>
      </c>
      <c r="X1147" s="40">
        <v>0</v>
      </c>
      <c r="Y1147" s="40">
        <v>0</v>
      </c>
      <c r="Z1147" s="40">
        <v>0</v>
      </c>
      <c r="AA1147" s="56">
        <v>2.58</v>
      </c>
      <c r="AB1147" s="56" t="e">
        <v>#DIV/0!</v>
      </c>
      <c r="AC1147" s="56" t="e">
        <v>#DIV/0!</v>
      </c>
      <c r="AD1147" s="56" t="e">
        <v>#DIV/0!</v>
      </c>
      <c r="AE1147" s="40">
        <v>0</v>
      </c>
      <c r="AF1147" s="40">
        <v>0</v>
      </c>
      <c r="AG1147" s="40">
        <v>0</v>
      </c>
      <c r="AH1147" s="387">
        <v>2.58</v>
      </c>
      <c r="AI1147" s="387" t="e">
        <v>#DIV/0!</v>
      </c>
      <c r="AJ1147" s="387" t="e">
        <v>#DIV/0!</v>
      </c>
      <c r="AK1147" s="387" t="e">
        <v>#DIV/0!</v>
      </c>
      <c r="AL1147" s="388" t="s">
        <v>20324</v>
      </c>
      <c r="AM1147" s="388">
        <v>0</v>
      </c>
      <c r="AN1147" s="388">
        <v>0</v>
      </c>
      <c r="AO1147" s="388">
        <v>0</v>
      </c>
    </row>
    <row r="1148" spans="1:41" hidden="1">
      <c r="A1148" s="533">
        <v>251</v>
      </c>
      <c r="B1148" s="534" t="s">
        <v>263</v>
      </c>
      <c r="C1148" s="535">
        <v>0</v>
      </c>
      <c r="D1148" s="536" t="s">
        <v>18892</v>
      </c>
      <c r="E1148" s="534" t="s">
        <v>263</v>
      </c>
      <c r="F1148" s="53">
        <v>44910</v>
      </c>
      <c r="G1148" s="534">
        <v>2022</v>
      </c>
      <c r="H1148" s="563" t="s">
        <v>16904</v>
      </c>
      <c r="I1148" s="1" t="s">
        <v>16905</v>
      </c>
      <c r="J1148" s="1" t="s">
        <v>16482</v>
      </c>
      <c r="K1148" s="539">
        <v>43561.301167999998</v>
      </c>
      <c r="L1148" s="534">
        <v>3.2763499999999999</v>
      </c>
      <c r="M1148" s="540">
        <v>13295.68</v>
      </c>
      <c r="N1148" s="534" t="s">
        <v>20155</v>
      </c>
      <c r="O1148" s="382" t="s">
        <v>20160</v>
      </c>
      <c r="P1148" s="886">
        <v>44916</v>
      </c>
      <c r="Q1148" s="385">
        <v>0</v>
      </c>
      <c r="R1148" s="385">
        <v>11016</v>
      </c>
      <c r="S1148" s="385">
        <v>0</v>
      </c>
      <c r="T1148" s="385">
        <v>0</v>
      </c>
      <c r="U1148" s="385">
        <v>11016</v>
      </c>
      <c r="V1148" s="386"/>
      <c r="W1148" s="40">
        <v>0</v>
      </c>
      <c r="X1148" s="40">
        <v>43561.301167999998</v>
      </c>
      <c r="Y1148" s="40">
        <v>0</v>
      </c>
      <c r="Z1148" s="40">
        <v>0</v>
      </c>
      <c r="AA1148" s="56" t="e">
        <v>#DIV/0!</v>
      </c>
      <c r="AB1148" s="56">
        <v>3.9543664822076976</v>
      </c>
      <c r="AC1148" s="56" t="e">
        <v>#DIV/0!</v>
      </c>
      <c r="AD1148" s="56" t="e">
        <v>#DIV/0!</v>
      </c>
      <c r="AE1148" s="40">
        <v>2868.8309999999997</v>
      </c>
      <c r="AF1148" s="40">
        <v>9898.8700000000008</v>
      </c>
      <c r="AG1148" s="40">
        <v>0.89859023238925206</v>
      </c>
      <c r="AH1148" s="387" t="e">
        <v>#DIV/0!</v>
      </c>
      <c r="AI1148" s="387">
        <v>3.0557762498184458</v>
      </c>
      <c r="AJ1148" s="387" t="e">
        <v>#DIV/0!</v>
      </c>
      <c r="AK1148" s="387" t="e">
        <v>#DIV/0!</v>
      </c>
      <c r="AL1148" s="388">
        <v>0</v>
      </c>
      <c r="AM1148" s="388">
        <v>1</v>
      </c>
      <c r="AN1148" s="388">
        <v>0</v>
      </c>
      <c r="AO1148" s="388">
        <v>0</v>
      </c>
    </row>
    <row r="1149" spans="1:41" hidden="1">
      <c r="A1149" s="533">
        <v>252</v>
      </c>
      <c r="B1149" s="534" t="s">
        <v>264</v>
      </c>
      <c r="C1149" s="535">
        <v>0</v>
      </c>
      <c r="D1149" s="536" t="s">
        <v>18893</v>
      </c>
      <c r="E1149" s="534" t="s">
        <v>264</v>
      </c>
      <c r="F1149" s="53">
        <v>44910</v>
      </c>
      <c r="G1149" s="534">
        <v>2022</v>
      </c>
      <c r="H1149" s="563" t="s">
        <v>17321</v>
      </c>
      <c r="I1149" s="1" t="s">
        <v>17322</v>
      </c>
      <c r="J1149" s="1" t="s">
        <v>16401</v>
      </c>
      <c r="K1149" s="539">
        <v>144815.56200000001</v>
      </c>
      <c r="L1149" s="534">
        <v>3.0766</v>
      </c>
      <c r="M1149" s="540">
        <v>47070</v>
      </c>
      <c r="N1149" s="534" t="s">
        <v>20155</v>
      </c>
      <c r="O1149" s="382" t="s">
        <v>17939</v>
      </c>
      <c r="P1149" s="886">
        <v>44919</v>
      </c>
      <c r="Q1149" s="385">
        <v>0</v>
      </c>
      <c r="R1149" s="385">
        <v>0</v>
      </c>
      <c r="S1149" s="385">
        <v>0</v>
      </c>
      <c r="T1149" s="385">
        <v>25500</v>
      </c>
      <c r="U1149" s="385">
        <v>25500</v>
      </c>
      <c r="V1149" s="386"/>
      <c r="W1149" s="40">
        <v>0</v>
      </c>
      <c r="X1149" s="40">
        <v>0</v>
      </c>
      <c r="Y1149" s="40">
        <v>0</v>
      </c>
      <c r="Z1149" s="40">
        <v>144815.56200000001</v>
      </c>
      <c r="AA1149" s="56" t="e">
        <v>#DIV/0!</v>
      </c>
      <c r="AB1149" s="56" t="e">
        <v>#DIV/0!</v>
      </c>
      <c r="AC1149" s="56" t="e">
        <v>#DIV/0!</v>
      </c>
      <c r="AD1149" s="56">
        <v>5.6790416470588241</v>
      </c>
      <c r="AE1149" s="40">
        <v>0</v>
      </c>
      <c r="AF1149" s="40">
        <v>0</v>
      </c>
      <c r="AG1149" s="40">
        <v>0</v>
      </c>
      <c r="AH1149" s="387" t="e">
        <v>#DIV/0!</v>
      </c>
      <c r="AI1149" s="387" t="e">
        <v>#DIV/0!</v>
      </c>
      <c r="AJ1149" s="387" t="e">
        <v>#DIV/0!</v>
      </c>
      <c r="AK1149" s="387">
        <v>5.6790416470588241</v>
      </c>
      <c r="AL1149" s="388">
        <v>0</v>
      </c>
      <c r="AM1149" s="388">
        <v>0</v>
      </c>
      <c r="AN1149" s="388">
        <v>0</v>
      </c>
      <c r="AO1149" s="388">
        <v>1</v>
      </c>
    </row>
    <row r="1150" spans="1:41" hidden="1">
      <c r="A1150" s="533">
        <v>253</v>
      </c>
      <c r="B1150" s="534" t="s">
        <v>265</v>
      </c>
      <c r="C1150" s="535">
        <v>0</v>
      </c>
      <c r="D1150" s="536" t="s">
        <v>18894</v>
      </c>
      <c r="E1150" s="534" t="s">
        <v>265</v>
      </c>
      <c r="F1150" s="53">
        <v>44910</v>
      </c>
      <c r="G1150" s="534">
        <v>2022</v>
      </c>
      <c r="H1150" s="563" t="s">
        <v>17321</v>
      </c>
      <c r="I1150" s="1" t="s">
        <v>17322</v>
      </c>
      <c r="J1150" s="1" t="s">
        <v>16401</v>
      </c>
      <c r="K1150" s="539">
        <v>248287.31999999998</v>
      </c>
      <c r="L1150" s="534">
        <v>3.0823999999999998</v>
      </c>
      <c r="M1150" s="540">
        <v>80550</v>
      </c>
      <c r="N1150" s="534" t="s">
        <v>20155</v>
      </c>
      <c r="O1150" s="382" t="s">
        <v>17939</v>
      </c>
      <c r="P1150" s="886">
        <v>44923</v>
      </c>
      <c r="Q1150" s="385">
        <v>0</v>
      </c>
      <c r="R1150" s="385">
        <v>90000</v>
      </c>
      <c r="S1150" s="385">
        <v>0</v>
      </c>
      <c r="T1150" s="385">
        <v>0</v>
      </c>
      <c r="U1150" s="385">
        <v>90000</v>
      </c>
      <c r="V1150" s="386"/>
      <c r="W1150" s="40">
        <v>0</v>
      </c>
      <c r="X1150" s="40">
        <v>248287.32</v>
      </c>
      <c r="Y1150" s="40">
        <v>0</v>
      </c>
      <c r="Z1150" s="40">
        <v>0</v>
      </c>
      <c r="AA1150" s="56" t="e">
        <v>#DIV/0!</v>
      </c>
      <c r="AB1150" s="56">
        <v>2.7587480000000002</v>
      </c>
      <c r="AC1150" s="56" t="e">
        <v>#DIV/0!</v>
      </c>
      <c r="AD1150" s="56" t="e">
        <v>#DIV/0!</v>
      </c>
      <c r="AE1150" s="40">
        <v>0</v>
      </c>
      <c r="AF1150" s="40">
        <v>0</v>
      </c>
      <c r="AG1150" s="40">
        <v>0</v>
      </c>
      <c r="AH1150" s="387" t="e">
        <v>#DIV/0!</v>
      </c>
      <c r="AI1150" s="387">
        <v>2.7587480000000002</v>
      </c>
      <c r="AJ1150" s="387" t="e">
        <v>#DIV/0!</v>
      </c>
      <c r="AK1150" s="387" t="e">
        <v>#DIV/0!</v>
      </c>
      <c r="AL1150" s="388">
        <v>0</v>
      </c>
      <c r="AM1150" s="388" t="s">
        <v>20324</v>
      </c>
      <c r="AN1150" s="388">
        <v>0</v>
      </c>
      <c r="AO1150" s="388">
        <v>0</v>
      </c>
    </row>
    <row r="1151" spans="1:41" hidden="1">
      <c r="A1151" s="533">
        <v>254</v>
      </c>
      <c r="B1151" s="534" t="s">
        <v>266</v>
      </c>
      <c r="C1151" s="535">
        <v>0</v>
      </c>
      <c r="D1151" s="536" t="s">
        <v>18895</v>
      </c>
      <c r="E1151" s="534" t="s">
        <v>266</v>
      </c>
      <c r="F1151" s="53">
        <v>44910</v>
      </c>
      <c r="G1151" s="534">
        <v>2022</v>
      </c>
      <c r="H1151" s="563" t="s">
        <v>17336</v>
      </c>
      <c r="I1151" s="1" t="s">
        <v>17337</v>
      </c>
      <c r="J1151" s="1" t="s">
        <v>16401</v>
      </c>
      <c r="K1151" s="539">
        <v>331510.60800000001</v>
      </c>
      <c r="L1151" s="534">
        <v>3.07775</v>
      </c>
      <c r="M1151" s="540">
        <v>107712</v>
      </c>
      <c r="N1151" s="534" t="s">
        <v>20155</v>
      </c>
      <c r="O1151" s="382" t="s">
        <v>17939</v>
      </c>
      <c r="P1151" s="886">
        <v>44925</v>
      </c>
      <c r="Q1151" s="385">
        <v>0</v>
      </c>
      <c r="R1151" s="385">
        <v>117600</v>
      </c>
      <c r="S1151" s="385">
        <v>4800</v>
      </c>
      <c r="T1151" s="385">
        <v>0</v>
      </c>
      <c r="U1151" s="385">
        <v>122400</v>
      </c>
      <c r="V1151" s="386"/>
      <c r="W1151" s="40">
        <v>0</v>
      </c>
      <c r="X1151" s="40">
        <v>318510.19199999998</v>
      </c>
      <c r="Y1151" s="40">
        <v>13000.415999999999</v>
      </c>
      <c r="Z1151" s="40">
        <v>0</v>
      </c>
      <c r="AA1151" s="56" t="e">
        <v>#DIV/0!</v>
      </c>
      <c r="AB1151" s="56">
        <v>2.7084199999999998</v>
      </c>
      <c r="AC1151" s="56">
        <v>2.7084199999999998</v>
      </c>
      <c r="AD1151" s="56" t="e">
        <v>#DIV/0!</v>
      </c>
      <c r="AE1151" s="40">
        <v>0</v>
      </c>
      <c r="AF1151" s="40">
        <v>0</v>
      </c>
      <c r="AG1151" s="40">
        <v>0</v>
      </c>
      <c r="AH1151" s="387" t="e">
        <v>#DIV/0!</v>
      </c>
      <c r="AI1151" s="387">
        <v>2.7084199999999998</v>
      </c>
      <c r="AJ1151" s="387">
        <v>2.7084199999999998</v>
      </c>
      <c r="AK1151" s="387" t="e">
        <v>#DIV/0!</v>
      </c>
      <c r="AL1151" s="388">
        <v>0</v>
      </c>
      <c r="AM1151" s="388" t="s">
        <v>20323</v>
      </c>
      <c r="AN1151" s="388" t="s">
        <v>20323</v>
      </c>
      <c r="AO1151" s="388">
        <v>0</v>
      </c>
    </row>
    <row r="1152" spans="1:41" hidden="1">
      <c r="A1152" s="533">
        <v>255</v>
      </c>
      <c r="B1152" s="534" t="s">
        <v>267</v>
      </c>
      <c r="C1152" s="535">
        <v>0</v>
      </c>
      <c r="D1152" s="536" t="s">
        <v>18896</v>
      </c>
      <c r="E1152" s="534" t="s">
        <v>267</v>
      </c>
      <c r="F1152" s="53">
        <v>44911</v>
      </c>
      <c r="G1152" s="534">
        <v>2022</v>
      </c>
      <c r="H1152" s="563" t="s">
        <v>17309</v>
      </c>
      <c r="I1152" s="1" t="s">
        <v>17310</v>
      </c>
      <c r="J1152" s="1" t="s">
        <v>3</v>
      </c>
      <c r="K1152" s="539">
        <v>380880</v>
      </c>
      <c r="L1152" s="534">
        <v>1</v>
      </c>
      <c r="M1152" s="540">
        <v>380880</v>
      </c>
      <c r="N1152" s="534" t="s">
        <v>20155</v>
      </c>
      <c r="O1152" s="382" t="s">
        <v>20321</v>
      </c>
      <c r="P1152" s="886">
        <v>44919</v>
      </c>
      <c r="Q1152" s="385">
        <v>0</v>
      </c>
      <c r="R1152" s="385">
        <v>165600</v>
      </c>
      <c r="S1152" s="385">
        <v>0</v>
      </c>
      <c r="T1152" s="385">
        <v>0</v>
      </c>
      <c r="U1152" s="385">
        <v>165600</v>
      </c>
      <c r="V1152" s="386"/>
      <c r="W1152" s="40">
        <v>0</v>
      </c>
      <c r="X1152" s="40">
        <v>380880</v>
      </c>
      <c r="Y1152" s="40">
        <v>0</v>
      </c>
      <c r="Z1152" s="40">
        <v>0</v>
      </c>
      <c r="AA1152" s="56" t="e">
        <v>#DIV/0!</v>
      </c>
      <c r="AB1152" s="56">
        <v>2.2999999999999998</v>
      </c>
      <c r="AC1152" s="56" t="e">
        <v>#DIV/0!</v>
      </c>
      <c r="AD1152" s="56" t="e">
        <v>#DIV/0!</v>
      </c>
      <c r="AE1152" s="40">
        <v>0</v>
      </c>
      <c r="AF1152" s="40">
        <v>0</v>
      </c>
      <c r="AG1152" s="40">
        <v>0</v>
      </c>
      <c r="AH1152" s="387" t="e">
        <v>#DIV/0!</v>
      </c>
      <c r="AI1152" s="387">
        <v>2.2999999999999998</v>
      </c>
      <c r="AJ1152" s="387" t="e">
        <v>#DIV/0!</v>
      </c>
      <c r="AK1152" s="387" t="e">
        <v>#DIV/0!</v>
      </c>
      <c r="AL1152" s="388">
        <v>0</v>
      </c>
      <c r="AM1152" s="388" t="s">
        <v>20323</v>
      </c>
      <c r="AN1152" s="388">
        <v>0</v>
      </c>
      <c r="AO1152" s="388">
        <v>0</v>
      </c>
    </row>
    <row r="1153" spans="1:41" hidden="1">
      <c r="A1153" s="533">
        <v>256</v>
      </c>
      <c r="B1153" s="534" t="s">
        <v>268</v>
      </c>
      <c r="C1153" s="535">
        <v>0</v>
      </c>
      <c r="D1153" s="536" t="s">
        <v>18897</v>
      </c>
      <c r="E1153" s="534" t="s">
        <v>268</v>
      </c>
      <c r="F1153" s="53">
        <v>44915</v>
      </c>
      <c r="G1153" s="534">
        <v>2022</v>
      </c>
      <c r="H1153" s="563" t="s">
        <v>16444</v>
      </c>
      <c r="I1153" s="1" t="s">
        <v>16445</v>
      </c>
      <c r="J1153" s="1" t="s">
        <v>3</v>
      </c>
      <c r="K1153" s="539">
        <v>51840</v>
      </c>
      <c r="L1153" s="534">
        <v>1</v>
      </c>
      <c r="M1153" s="540">
        <v>51840</v>
      </c>
      <c r="N1153" s="534" t="s">
        <v>20155</v>
      </c>
      <c r="O1153" s="382" t="s">
        <v>18248</v>
      </c>
      <c r="P1153" s="886">
        <v>44921</v>
      </c>
      <c r="Q1153" s="385">
        <v>19200</v>
      </c>
      <c r="R1153" s="385">
        <v>0</v>
      </c>
      <c r="S1153" s="385">
        <v>0</v>
      </c>
      <c r="T1153" s="385">
        <v>0</v>
      </c>
      <c r="U1153" s="385">
        <v>19200</v>
      </c>
      <c r="V1153" s="386"/>
      <c r="W1153" s="40">
        <v>51840</v>
      </c>
      <c r="X1153" s="40">
        <v>0</v>
      </c>
      <c r="Y1153" s="40">
        <v>0</v>
      </c>
      <c r="Z1153" s="40">
        <v>0</v>
      </c>
      <c r="AA1153" s="56">
        <v>2.7</v>
      </c>
      <c r="AB1153" s="56" t="e">
        <v>#DIV/0!</v>
      </c>
      <c r="AC1153" s="56" t="e">
        <v>#DIV/0!</v>
      </c>
      <c r="AD1153" s="56" t="e">
        <v>#DIV/0!</v>
      </c>
      <c r="AE1153" s="40">
        <v>0</v>
      </c>
      <c r="AF1153" s="40">
        <v>0</v>
      </c>
      <c r="AG1153" s="40">
        <v>0</v>
      </c>
      <c r="AH1153" s="387">
        <v>2.7</v>
      </c>
      <c r="AI1153" s="387" t="e">
        <v>#DIV/0!</v>
      </c>
      <c r="AJ1153" s="387" t="e">
        <v>#DIV/0!</v>
      </c>
      <c r="AK1153" s="387" t="e">
        <v>#DIV/0!</v>
      </c>
      <c r="AL1153" s="388" t="s">
        <v>20324</v>
      </c>
      <c r="AM1153" s="388">
        <v>0</v>
      </c>
      <c r="AN1153" s="388">
        <v>0</v>
      </c>
      <c r="AO1153" s="388">
        <v>0</v>
      </c>
    </row>
    <row r="1154" spans="1:41" hidden="1">
      <c r="A1154" s="533">
        <v>257</v>
      </c>
      <c r="B1154" s="534" t="s">
        <v>269</v>
      </c>
      <c r="C1154" s="535">
        <v>0</v>
      </c>
      <c r="D1154" s="536" t="s">
        <v>18898</v>
      </c>
      <c r="E1154" s="534" t="s">
        <v>269</v>
      </c>
      <c r="F1154" s="53">
        <v>44915</v>
      </c>
      <c r="G1154" s="534">
        <v>2022</v>
      </c>
      <c r="H1154" s="563" t="s">
        <v>17334</v>
      </c>
      <c r="I1154" s="1" t="s">
        <v>17335</v>
      </c>
      <c r="J1154" s="1" t="s">
        <v>3</v>
      </c>
      <c r="K1154" s="539">
        <v>313919.2</v>
      </c>
      <c r="L1154" s="534">
        <v>1</v>
      </c>
      <c r="M1154" s="540">
        <v>313919.2</v>
      </c>
      <c r="N1154" s="534" t="s">
        <v>20155</v>
      </c>
      <c r="O1154" s="382" t="s">
        <v>16394</v>
      </c>
      <c r="P1154" s="886">
        <v>44919</v>
      </c>
      <c r="Q1154" s="385">
        <v>7680</v>
      </c>
      <c r="R1154" s="385">
        <v>49248</v>
      </c>
      <c r="S1154" s="385">
        <v>36000</v>
      </c>
      <c r="T1154" s="385">
        <v>3920</v>
      </c>
      <c r="U1154" s="385">
        <v>96848</v>
      </c>
      <c r="V1154" s="386"/>
      <c r="W1154" s="40">
        <v>24192</v>
      </c>
      <c r="X1154" s="40">
        <v>155131.20000000001</v>
      </c>
      <c r="Y1154" s="40">
        <v>113400</v>
      </c>
      <c r="Z1154" s="40">
        <v>21196</v>
      </c>
      <c r="AA1154" s="56">
        <v>3.15</v>
      </c>
      <c r="AB1154" s="56">
        <v>3.1500000000000004</v>
      </c>
      <c r="AC1154" s="56">
        <v>3.15</v>
      </c>
      <c r="AD1154" s="56">
        <v>5.4071428571428575</v>
      </c>
      <c r="AE1154" s="40">
        <v>0</v>
      </c>
      <c r="AF1154" s="40">
        <v>0</v>
      </c>
      <c r="AG1154" s="40">
        <v>0</v>
      </c>
      <c r="AH1154" s="387">
        <v>3.15</v>
      </c>
      <c r="AI1154" s="387">
        <v>3.1500000000000004</v>
      </c>
      <c r="AJ1154" s="387">
        <v>3.15</v>
      </c>
      <c r="AK1154" s="387">
        <v>5.4071428571428575</v>
      </c>
      <c r="AL1154" s="388">
        <v>1</v>
      </c>
      <c r="AM1154" s="388">
        <v>1</v>
      </c>
      <c r="AN1154" s="388">
        <v>1</v>
      </c>
      <c r="AO1154" s="388">
        <v>1</v>
      </c>
    </row>
    <row r="1155" spans="1:41" hidden="1">
      <c r="A1155" s="533">
        <v>258</v>
      </c>
      <c r="B1155" s="534" t="s">
        <v>270</v>
      </c>
      <c r="C1155" s="535">
        <v>0</v>
      </c>
      <c r="D1155" s="536" t="s">
        <v>20344</v>
      </c>
      <c r="E1155" s="534" t="s">
        <v>270</v>
      </c>
      <c r="F1155" s="53">
        <v>44915</v>
      </c>
      <c r="G1155" s="534">
        <v>2022</v>
      </c>
      <c r="H1155" s="563" t="s">
        <v>17304</v>
      </c>
      <c r="I1155" s="1" t="s">
        <v>17305</v>
      </c>
      <c r="J1155" s="1" t="s">
        <v>17306</v>
      </c>
      <c r="K1155" s="539">
        <v>0</v>
      </c>
      <c r="L1155" s="534"/>
      <c r="M1155" s="540">
        <v>35971.22</v>
      </c>
      <c r="N1155" s="583" t="s">
        <v>20164</v>
      </c>
      <c r="O1155" s="382" t="s">
        <v>17954</v>
      </c>
      <c r="P1155" s="886">
        <v>0</v>
      </c>
      <c r="Q1155" s="385">
        <v>0</v>
      </c>
      <c r="R1155" s="385">
        <v>13572</v>
      </c>
      <c r="S1155" s="385">
        <v>0</v>
      </c>
      <c r="T1155" s="385">
        <v>2700</v>
      </c>
      <c r="U1155" s="385">
        <v>16272</v>
      </c>
      <c r="V1155" s="386"/>
      <c r="W1155" s="40" t="e">
        <v>#N/A</v>
      </c>
      <c r="X1155" s="40" t="e">
        <v>#N/A</v>
      </c>
      <c r="Y1155" s="40" t="e">
        <v>#N/A</v>
      </c>
      <c r="Z1155" s="40" t="e">
        <v>#N/A</v>
      </c>
      <c r="AA1155" s="56" t="e">
        <v>#N/A</v>
      </c>
      <c r="AB1155" s="56" t="e">
        <v>#N/A</v>
      </c>
      <c r="AC1155" s="56" t="e">
        <v>#N/A</v>
      </c>
      <c r="AD1155" s="56" t="e">
        <v>#N/A</v>
      </c>
      <c r="AE1155" s="40" t="e">
        <v>#N/A</v>
      </c>
      <c r="AF1155" s="40" t="e">
        <v>#N/A</v>
      </c>
      <c r="AG1155" s="40" t="e">
        <v>#N/A</v>
      </c>
      <c r="AH1155" s="387" t="e">
        <v>#N/A</v>
      </c>
      <c r="AI1155" s="387" t="e">
        <v>#N/A</v>
      </c>
      <c r="AJ1155" s="387" t="e">
        <v>#N/A</v>
      </c>
      <c r="AK1155" s="387" t="e">
        <v>#N/A</v>
      </c>
      <c r="AL1155" s="388">
        <v>0</v>
      </c>
      <c r="AM1155" s="388">
        <v>1</v>
      </c>
      <c r="AN1155" s="388">
        <v>0</v>
      </c>
      <c r="AO1155" s="388">
        <v>1</v>
      </c>
    </row>
    <row r="1156" spans="1:41" hidden="1">
      <c r="A1156" s="533">
        <v>259</v>
      </c>
      <c r="B1156" s="534" t="s">
        <v>271</v>
      </c>
      <c r="C1156" s="535">
        <v>0</v>
      </c>
      <c r="D1156" s="536" t="s">
        <v>18899</v>
      </c>
      <c r="E1156" s="534" t="s">
        <v>271</v>
      </c>
      <c r="F1156" s="53">
        <v>44916</v>
      </c>
      <c r="G1156" s="534">
        <v>2022</v>
      </c>
      <c r="H1156" s="563" t="s">
        <v>17248</v>
      </c>
      <c r="I1156" s="1" t="s">
        <v>17249</v>
      </c>
      <c r="J1156" s="1" t="s">
        <v>16401</v>
      </c>
      <c r="K1156" s="539">
        <v>220110.59808</v>
      </c>
      <c r="L1156" s="534">
        <v>3.0804</v>
      </c>
      <c r="M1156" s="540">
        <v>71455.199999999997</v>
      </c>
      <c r="N1156" s="534" t="s">
        <v>20155</v>
      </c>
      <c r="O1156" s="382" t="s">
        <v>17954</v>
      </c>
      <c r="P1156" s="886">
        <v>44925</v>
      </c>
      <c r="Q1156" s="385">
        <v>8000</v>
      </c>
      <c r="R1156" s="385">
        <v>43136</v>
      </c>
      <c r="S1156" s="385">
        <v>2400</v>
      </c>
      <c r="T1156" s="385">
        <v>0</v>
      </c>
      <c r="U1156" s="385">
        <v>53536</v>
      </c>
      <c r="V1156" s="386"/>
      <c r="W1156" s="40">
        <v>32862.988705319782</v>
      </c>
      <c r="X1156" s="40">
        <v>177111.4767630843</v>
      </c>
      <c r="Y1156" s="40">
        <v>10136.132611595936</v>
      </c>
      <c r="Z1156" s="40">
        <v>0</v>
      </c>
      <c r="AA1156" s="56">
        <v>4.1078735881649724</v>
      </c>
      <c r="AB1156" s="56">
        <v>4.1058854961768434</v>
      </c>
      <c r="AC1156" s="56">
        <v>4.2233885881649735</v>
      </c>
      <c r="AD1156" s="56" t="e">
        <v>#DIV/0!</v>
      </c>
      <c r="AE1156" s="40">
        <v>15626.1</v>
      </c>
      <c r="AF1156" s="40">
        <v>66167.115000000005</v>
      </c>
      <c r="AG1156" s="40">
        <v>1.2359368462343097</v>
      </c>
      <c r="AH1156" s="387">
        <v>2.8719367419306625</v>
      </c>
      <c r="AI1156" s="387">
        <v>2.8699486499425335</v>
      </c>
      <c r="AJ1156" s="387">
        <v>2.9874517419306637</v>
      </c>
      <c r="AK1156" s="387" t="e">
        <v>#DIV/0!</v>
      </c>
      <c r="AL1156" s="388">
        <v>1</v>
      </c>
      <c r="AM1156" s="388">
        <v>1</v>
      </c>
      <c r="AN1156" s="388">
        <v>1</v>
      </c>
      <c r="AO1156" s="388">
        <v>0</v>
      </c>
    </row>
    <row r="1157" spans="1:41" hidden="1">
      <c r="A1157" s="533">
        <v>260</v>
      </c>
      <c r="B1157" s="534" t="s">
        <v>272</v>
      </c>
      <c r="C1157" s="535">
        <v>0</v>
      </c>
      <c r="D1157" s="536" t="s">
        <v>18900</v>
      </c>
      <c r="E1157" s="534" t="s">
        <v>272</v>
      </c>
      <c r="F1157" s="53">
        <v>44918</v>
      </c>
      <c r="G1157" s="534">
        <v>2022</v>
      </c>
      <c r="H1157" s="563" t="s">
        <v>16470</v>
      </c>
      <c r="I1157" s="1" t="s">
        <v>16471</v>
      </c>
      <c r="J1157" s="1" t="s">
        <v>16401</v>
      </c>
      <c r="K1157" s="539">
        <v>702315.95823999995</v>
      </c>
      <c r="L1157" s="534">
        <v>3.07775</v>
      </c>
      <c r="M1157" s="540">
        <v>228191.35999999999</v>
      </c>
      <c r="N1157" s="534" t="s">
        <v>20155</v>
      </c>
      <c r="O1157" s="382" t="s">
        <v>18227</v>
      </c>
      <c r="P1157" s="886">
        <v>44924</v>
      </c>
      <c r="Q1157" s="385">
        <v>0</v>
      </c>
      <c r="R1157" s="385">
        <v>274572</v>
      </c>
      <c r="S1157" s="385">
        <v>0</v>
      </c>
      <c r="T1157" s="385">
        <v>0</v>
      </c>
      <c r="U1157" s="385">
        <v>274572</v>
      </c>
      <c r="V1157" s="386"/>
      <c r="W1157" s="40">
        <v>0</v>
      </c>
      <c r="X1157" s="40">
        <v>701577.28592900012</v>
      </c>
      <c r="Y1157" s="40">
        <v>0</v>
      </c>
      <c r="Z1157" s="40">
        <v>0</v>
      </c>
      <c r="AA1157" s="56" t="e">
        <v>#DIV/0!</v>
      </c>
      <c r="AB1157" s="56">
        <v>2.5551668994981283</v>
      </c>
      <c r="AC1157" s="56" t="e">
        <v>#DIV/0!</v>
      </c>
      <c r="AD1157" s="56" t="e">
        <v>#DIV/0!</v>
      </c>
      <c r="AE1157" s="40">
        <v>32486.999999999996</v>
      </c>
      <c r="AF1157" s="40">
        <v>107729.36199999999</v>
      </c>
      <c r="AG1157" s="40">
        <v>0.39235377970077062</v>
      </c>
      <c r="AH1157" s="387" t="e">
        <v>#DIV/0!</v>
      </c>
      <c r="AI1157" s="387">
        <v>2.1628131197973577</v>
      </c>
      <c r="AJ1157" s="387" t="e">
        <v>#DIV/0!</v>
      </c>
      <c r="AK1157" s="387" t="e">
        <v>#DIV/0!</v>
      </c>
      <c r="AL1157" s="388">
        <v>0</v>
      </c>
      <c r="AM1157" s="388" t="s">
        <v>20300</v>
      </c>
      <c r="AN1157" s="388">
        <v>0</v>
      </c>
      <c r="AO1157" s="388">
        <v>0</v>
      </c>
    </row>
    <row r="1158" spans="1:41" hidden="1">
      <c r="A1158" s="584">
        <v>1</v>
      </c>
      <c r="B1158" s="279" t="s">
        <v>20181</v>
      </c>
      <c r="C1158" s="279">
        <v>0</v>
      </c>
      <c r="D1158" s="585" t="s">
        <v>18901</v>
      </c>
      <c r="E1158" s="279" t="s">
        <v>20181</v>
      </c>
      <c r="F1158" s="53">
        <v>44928</v>
      </c>
      <c r="G1158" s="279">
        <v>2023</v>
      </c>
      <c r="H1158" s="586" t="s">
        <v>16838</v>
      </c>
      <c r="I1158" s="279" t="s">
        <v>16839</v>
      </c>
      <c r="J1158" s="279" t="s">
        <v>3</v>
      </c>
      <c r="K1158" s="280">
        <v>215778</v>
      </c>
      <c r="L1158" s="586">
        <v>1</v>
      </c>
      <c r="M1158" s="587">
        <v>215778</v>
      </c>
      <c r="N1158" s="279" t="s">
        <v>20155</v>
      </c>
      <c r="O1158" s="279" t="s">
        <v>17949</v>
      </c>
      <c r="P1158" s="887">
        <v>44934</v>
      </c>
      <c r="Q1158" s="588">
        <v>57600</v>
      </c>
      <c r="R1158" s="588">
        <v>25800</v>
      </c>
      <c r="S1158" s="588">
        <v>0</v>
      </c>
      <c r="T1158" s="588">
        <v>0</v>
      </c>
      <c r="U1158" s="588">
        <v>83400</v>
      </c>
      <c r="V1158" s="317"/>
      <c r="W1158" s="39">
        <v>153600</v>
      </c>
      <c r="X1158" s="39">
        <v>62178</v>
      </c>
      <c r="Y1158" s="39">
        <v>0</v>
      </c>
      <c r="Z1158" s="39">
        <v>0</v>
      </c>
      <c r="AA1158" s="589">
        <v>2.6666666666666665</v>
      </c>
      <c r="AB1158" s="589">
        <v>2.41</v>
      </c>
      <c r="AC1158" s="589"/>
      <c r="AD1158" s="589"/>
      <c r="AE1158" s="39">
        <v>0</v>
      </c>
      <c r="AF1158" s="39">
        <v>0</v>
      </c>
      <c r="AG1158" s="39">
        <v>0</v>
      </c>
      <c r="AH1158" s="590">
        <v>2.6666666666666665</v>
      </c>
      <c r="AI1158" s="590">
        <v>2.41</v>
      </c>
      <c r="AJ1158" s="590"/>
      <c r="AK1158" s="590"/>
      <c r="AL1158" s="591" t="s">
        <v>20345</v>
      </c>
      <c r="AM1158" s="591" t="s">
        <v>20346</v>
      </c>
      <c r="AN1158" s="591">
        <v>0</v>
      </c>
      <c r="AO1158" s="591">
        <v>0</v>
      </c>
    </row>
    <row r="1159" spans="1:41" hidden="1">
      <c r="A1159" s="584">
        <v>2</v>
      </c>
      <c r="B1159" s="279" t="s">
        <v>20182</v>
      </c>
      <c r="C1159" s="279">
        <v>0</v>
      </c>
      <c r="D1159" s="585" t="s">
        <v>18902</v>
      </c>
      <c r="E1159" s="279" t="s">
        <v>20182</v>
      </c>
      <c r="F1159" s="53">
        <v>44929</v>
      </c>
      <c r="G1159" s="279">
        <v>2023</v>
      </c>
      <c r="H1159" s="586" t="s">
        <v>17304</v>
      </c>
      <c r="I1159" s="279" t="s">
        <v>17305</v>
      </c>
      <c r="J1159" s="279" t="s">
        <v>17306</v>
      </c>
      <c r="K1159" s="280">
        <v>82285.964311000003</v>
      </c>
      <c r="L1159" s="586">
        <v>2.28755</v>
      </c>
      <c r="M1159" s="587">
        <v>35971.22</v>
      </c>
      <c r="N1159" s="279" t="s">
        <v>20155</v>
      </c>
      <c r="O1159" s="279" t="s">
        <v>17954</v>
      </c>
      <c r="P1159" s="887">
        <v>44935</v>
      </c>
      <c r="Q1159" s="588">
        <v>0</v>
      </c>
      <c r="R1159" s="588">
        <v>17803.28</v>
      </c>
      <c r="S1159" s="588">
        <v>0</v>
      </c>
      <c r="T1159" s="588">
        <v>2700</v>
      </c>
      <c r="U1159" s="588">
        <v>20503.28</v>
      </c>
      <c r="V1159" s="317"/>
      <c r="W1159" s="39">
        <v>0</v>
      </c>
      <c r="X1159" s="39">
        <v>56798.08557769208</v>
      </c>
      <c r="Y1159" s="39">
        <v>0</v>
      </c>
      <c r="Z1159" s="39">
        <v>25509.886794347916</v>
      </c>
      <c r="AA1159" s="589"/>
      <c r="AB1159" s="589">
        <v>3.1903158057218715</v>
      </c>
      <c r="AC1159" s="589"/>
      <c r="AD1159" s="589">
        <v>9.4481062201288584</v>
      </c>
      <c r="AE1159" s="39">
        <v>4764.366</v>
      </c>
      <c r="AF1159" s="39">
        <v>28109.915000000001</v>
      </c>
      <c r="AG1159" s="39">
        <v>1.3709960064926199</v>
      </c>
      <c r="AH1159" s="590"/>
      <c r="AI1159" s="590">
        <v>1.8193197992292516</v>
      </c>
      <c r="AJ1159" s="590"/>
      <c r="AK1159" s="590">
        <v>8.0771102136362387</v>
      </c>
      <c r="AL1159" s="591">
        <v>0</v>
      </c>
      <c r="AM1159" s="591">
        <v>1</v>
      </c>
      <c r="AN1159" s="591">
        <v>0</v>
      </c>
      <c r="AO1159" s="591">
        <v>1</v>
      </c>
    </row>
    <row r="1160" spans="1:41" hidden="1">
      <c r="A1160" s="584">
        <v>3</v>
      </c>
      <c r="B1160" s="279" t="s">
        <v>20183</v>
      </c>
      <c r="C1160" s="279">
        <v>0</v>
      </c>
      <c r="D1160" s="585" t="s">
        <v>18903</v>
      </c>
      <c r="E1160" s="279" t="s">
        <v>20183</v>
      </c>
      <c r="F1160" s="53">
        <v>44929</v>
      </c>
      <c r="G1160" s="279">
        <v>2023</v>
      </c>
      <c r="H1160" s="586" t="s">
        <v>16560</v>
      </c>
      <c r="I1160" s="279" t="s">
        <v>16561</v>
      </c>
      <c r="J1160" s="279" t="s">
        <v>16482</v>
      </c>
      <c r="K1160" s="280">
        <v>679289.47</v>
      </c>
      <c r="L1160" s="586">
        <v>3.2665999999999999</v>
      </c>
      <c r="M1160" s="587">
        <v>207950</v>
      </c>
      <c r="N1160" s="279" t="s">
        <v>20155</v>
      </c>
      <c r="O1160" s="279" t="s">
        <v>17801</v>
      </c>
      <c r="P1160" s="887">
        <v>44937</v>
      </c>
      <c r="Q1160" s="588">
        <v>0</v>
      </c>
      <c r="R1160" s="588">
        <v>230000</v>
      </c>
      <c r="S1160" s="588">
        <v>50000</v>
      </c>
      <c r="T1160" s="588">
        <v>0</v>
      </c>
      <c r="U1160" s="588">
        <v>280000</v>
      </c>
      <c r="V1160" s="317"/>
      <c r="W1160" s="39">
        <v>0</v>
      </c>
      <c r="X1160" s="39">
        <v>564958.46999999986</v>
      </c>
      <c r="Y1160" s="39">
        <v>114331.00000000001</v>
      </c>
      <c r="Z1160" s="39">
        <v>0</v>
      </c>
      <c r="AA1160" s="589"/>
      <c r="AB1160" s="589">
        <v>2.4563411739130427</v>
      </c>
      <c r="AC1160" s="589">
        <v>2.2866200000000001</v>
      </c>
      <c r="AD1160" s="589"/>
      <c r="AE1160" s="39">
        <v>22673.37</v>
      </c>
      <c r="AF1160" s="39">
        <v>94961</v>
      </c>
      <c r="AG1160" s="39">
        <v>0.33914642857142857</v>
      </c>
      <c r="AH1160" s="590"/>
      <c r="AI1160" s="590">
        <v>2.1171947453416142</v>
      </c>
      <c r="AJ1160" s="590">
        <v>1.9474735714285716</v>
      </c>
      <c r="AK1160" s="590"/>
      <c r="AL1160" s="591">
        <v>0</v>
      </c>
      <c r="AM1160" s="591" t="s">
        <v>20347</v>
      </c>
      <c r="AN1160" s="591" t="s">
        <v>20347</v>
      </c>
      <c r="AO1160" s="591">
        <v>0</v>
      </c>
    </row>
    <row r="1161" spans="1:41" hidden="1">
      <c r="A1161" s="584">
        <v>4</v>
      </c>
      <c r="B1161" s="279" t="s">
        <v>20184</v>
      </c>
      <c r="C1161" s="279">
        <v>0</v>
      </c>
      <c r="D1161" s="585" t="s">
        <v>18904</v>
      </c>
      <c r="E1161" s="279" t="s">
        <v>20184</v>
      </c>
      <c r="F1161" s="53">
        <v>44930</v>
      </c>
      <c r="G1161" s="279">
        <v>2023</v>
      </c>
      <c r="H1161" s="586" t="s">
        <v>17297</v>
      </c>
      <c r="I1161" s="279" t="s">
        <v>17298</v>
      </c>
      <c r="J1161" s="279" t="s">
        <v>3</v>
      </c>
      <c r="K1161" s="280">
        <v>65352</v>
      </c>
      <c r="L1161" s="586">
        <v>1</v>
      </c>
      <c r="M1161" s="587">
        <v>65352</v>
      </c>
      <c r="N1161" s="279" t="s">
        <v>20155</v>
      </c>
      <c r="O1161" s="279" t="s">
        <v>20319</v>
      </c>
      <c r="P1161" s="887">
        <v>44946</v>
      </c>
      <c r="Q1161" s="588">
        <v>7200</v>
      </c>
      <c r="R1161" s="588">
        <v>19200</v>
      </c>
      <c r="S1161" s="588">
        <v>0</v>
      </c>
      <c r="T1161" s="588">
        <v>0</v>
      </c>
      <c r="U1161" s="588">
        <v>26400</v>
      </c>
      <c r="V1161" s="317"/>
      <c r="W1161" s="39">
        <v>19080</v>
      </c>
      <c r="X1161" s="39">
        <v>46272</v>
      </c>
      <c r="Y1161" s="39">
        <v>0</v>
      </c>
      <c r="Z1161" s="39">
        <v>0</v>
      </c>
      <c r="AA1161" s="589">
        <v>2.65</v>
      </c>
      <c r="AB1161" s="589">
        <v>2.41</v>
      </c>
      <c r="AC1161" s="589"/>
      <c r="AD1161" s="589"/>
      <c r="AE1161" s="39">
        <v>0</v>
      </c>
      <c r="AF1161" s="39">
        <v>0</v>
      </c>
      <c r="AG1161" s="39">
        <v>0</v>
      </c>
      <c r="AH1161" s="590">
        <v>2.65</v>
      </c>
      <c r="AI1161" s="590">
        <v>2.41</v>
      </c>
      <c r="AJ1161" s="590"/>
      <c r="AK1161" s="590"/>
      <c r="AL1161" s="591" t="s">
        <v>20345</v>
      </c>
      <c r="AM1161" s="591" t="s">
        <v>20348</v>
      </c>
      <c r="AN1161" s="591">
        <v>0</v>
      </c>
      <c r="AO1161" s="591">
        <v>0</v>
      </c>
    </row>
    <row r="1162" spans="1:41" hidden="1">
      <c r="A1162" s="584">
        <v>5</v>
      </c>
      <c r="B1162" s="279" t="s">
        <v>20185</v>
      </c>
      <c r="C1162" s="279">
        <v>0</v>
      </c>
      <c r="D1162" s="585" t="s">
        <v>18905</v>
      </c>
      <c r="E1162" s="279" t="s">
        <v>20185</v>
      </c>
      <c r="F1162" s="53">
        <v>44935</v>
      </c>
      <c r="G1162" s="279">
        <v>2023</v>
      </c>
      <c r="H1162" s="586" t="s">
        <v>17309</v>
      </c>
      <c r="I1162" s="279" t="s">
        <v>17310</v>
      </c>
      <c r="J1162" s="279" t="s">
        <v>3</v>
      </c>
      <c r="K1162" s="280">
        <v>253920</v>
      </c>
      <c r="L1162" s="586">
        <v>1</v>
      </c>
      <c r="M1162" s="587">
        <v>253920</v>
      </c>
      <c r="N1162" s="279" t="s">
        <v>20155</v>
      </c>
      <c r="O1162" s="279" t="s">
        <v>20321</v>
      </c>
      <c r="P1162" s="887">
        <v>44943</v>
      </c>
      <c r="Q1162" s="588">
        <v>0</v>
      </c>
      <c r="R1162" s="588">
        <v>110400</v>
      </c>
      <c r="S1162" s="588">
        <v>0</v>
      </c>
      <c r="T1162" s="588">
        <v>0</v>
      </c>
      <c r="U1162" s="588">
        <v>110400</v>
      </c>
      <c r="V1162" s="317"/>
      <c r="W1162" s="39">
        <v>0</v>
      </c>
      <c r="X1162" s="39">
        <v>253920</v>
      </c>
      <c r="Y1162" s="39">
        <v>0</v>
      </c>
      <c r="Z1162" s="39">
        <v>0</v>
      </c>
      <c r="AA1162" s="589"/>
      <c r="AB1162" s="589">
        <v>2.2999999999999998</v>
      </c>
      <c r="AC1162" s="589"/>
      <c r="AD1162" s="589"/>
      <c r="AE1162" s="39">
        <v>0</v>
      </c>
      <c r="AF1162" s="39">
        <v>0</v>
      </c>
      <c r="AG1162" s="39">
        <v>0</v>
      </c>
      <c r="AH1162" s="590"/>
      <c r="AI1162" s="590">
        <v>2.2999999999999998</v>
      </c>
      <c r="AJ1162" s="590"/>
      <c r="AK1162" s="590"/>
      <c r="AL1162" s="591">
        <v>0</v>
      </c>
      <c r="AM1162" s="591" t="s">
        <v>20347</v>
      </c>
      <c r="AN1162" s="591">
        <v>0</v>
      </c>
      <c r="AO1162" s="591">
        <v>0</v>
      </c>
    </row>
    <row r="1163" spans="1:41" hidden="1">
      <c r="A1163" s="584">
        <v>6</v>
      </c>
      <c r="B1163" s="279" t="s">
        <v>20186</v>
      </c>
      <c r="C1163" s="279">
        <v>0</v>
      </c>
      <c r="D1163" s="585" t="s">
        <v>18906</v>
      </c>
      <c r="E1163" s="279" t="s">
        <v>20186</v>
      </c>
      <c r="F1163" s="53">
        <v>44936</v>
      </c>
      <c r="G1163" s="279">
        <v>2023</v>
      </c>
      <c r="H1163" s="586" t="s">
        <v>16904</v>
      </c>
      <c r="I1163" s="279" t="s">
        <v>16905</v>
      </c>
      <c r="J1163" s="279" t="s">
        <v>16482</v>
      </c>
      <c r="K1163" s="280">
        <v>83290.627200000003</v>
      </c>
      <c r="L1163" s="586">
        <v>3.2989000000000002</v>
      </c>
      <c r="M1163" s="587">
        <v>25248</v>
      </c>
      <c r="N1163" s="279" t="s">
        <v>20155</v>
      </c>
      <c r="O1163" s="279" t="s">
        <v>20160</v>
      </c>
      <c r="P1163" s="887">
        <v>44942</v>
      </c>
      <c r="Q1163" s="588">
        <v>0</v>
      </c>
      <c r="R1163" s="588">
        <v>21600</v>
      </c>
      <c r="S1163" s="588">
        <v>0</v>
      </c>
      <c r="T1163" s="588">
        <v>0</v>
      </c>
      <c r="U1163" s="588">
        <v>21600</v>
      </c>
      <c r="V1163" s="317"/>
      <c r="W1163" s="39">
        <v>0</v>
      </c>
      <c r="X1163" s="39">
        <v>83290.627200000003</v>
      </c>
      <c r="Y1163" s="39">
        <v>0</v>
      </c>
      <c r="Z1163" s="39">
        <v>0</v>
      </c>
      <c r="AA1163" s="589"/>
      <c r="AB1163" s="589">
        <v>3.8560475555555556</v>
      </c>
      <c r="AC1163" s="589"/>
      <c r="AD1163" s="589"/>
      <c r="AE1163" s="39">
        <v>3609.24</v>
      </c>
      <c r="AF1163" s="39">
        <v>13591.61</v>
      </c>
      <c r="AG1163" s="39">
        <v>0.62924120370370373</v>
      </c>
      <c r="AH1163" s="590"/>
      <c r="AI1163" s="590">
        <v>3.2268063518518519</v>
      </c>
      <c r="AJ1163" s="590"/>
      <c r="AK1163" s="590"/>
      <c r="AL1163" s="591">
        <v>0</v>
      </c>
      <c r="AM1163" s="591">
        <v>1</v>
      </c>
      <c r="AN1163" s="591">
        <v>0</v>
      </c>
      <c r="AO1163" s="591">
        <v>0</v>
      </c>
    </row>
    <row r="1164" spans="1:41" hidden="1">
      <c r="A1164" s="584">
        <v>7</v>
      </c>
      <c r="B1164" s="279" t="s">
        <v>20187</v>
      </c>
      <c r="C1164" s="279">
        <v>0</v>
      </c>
      <c r="D1164" s="585" t="s">
        <v>18907</v>
      </c>
      <c r="E1164" s="279" t="s">
        <v>20187</v>
      </c>
      <c r="F1164" s="53">
        <v>44942</v>
      </c>
      <c r="G1164" s="279">
        <v>2023</v>
      </c>
      <c r="H1164" s="586" t="s">
        <v>17340</v>
      </c>
      <c r="I1164" s="279" t="s">
        <v>17341</v>
      </c>
      <c r="J1164" s="279" t="s">
        <v>16401</v>
      </c>
      <c r="K1164" s="280">
        <v>183742.07928999999</v>
      </c>
      <c r="L1164" s="586">
        <v>3.0358999999999998</v>
      </c>
      <c r="M1164" s="587">
        <v>60523.1</v>
      </c>
      <c r="N1164" s="279" t="s">
        <v>20155</v>
      </c>
      <c r="O1164" s="279" t="s">
        <v>20195</v>
      </c>
      <c r="P1164" s="887">
        <v>44951</v>
      </c>
      <c r="Q1164" s="588">
        <v>0</v>
      </c>
      <c r="R1164" s="588">
        <v>28020</v>
      </c>
      <c r="S1164" s="588">
        <v>56000</v>
      </c>
      <c r="T1164" s="588">
        <v>0</v>
      </c>
      <c r="U1164" s="588">
        <v>84020</v>
      </c>
      <c r="V1164" s="317"/>
      <c r="W1164" s="39">
        <v>0</v>
      </c>
      <c r="X1164" s="39">
        <v>64224.768089999998</v>
      </c>
      <c r="Y1164" s="39">
        <v>119517.3112</v>
      </c>
      <c r="Z1164" s="39">
        <v>0</v>
      </c>
      <c r="AA1164" s="589"/>
      <c r="AB1164" s="589">
        <v>2.2921044999999998</v>
      </c>
      <c r="AC1164" s="589">
        <v>2.1342376999999999</v>
      </c>
      <c r="AD1164" s="589"/>
      <c r="AE1164" s="39">
        <v>5862.72</v>
      </c>
      <c r="AF1164" s="39">
        <v>25015.119999999999</v>
      </c>
      <c r="AG1164" s="39">
        <v>0.29772815996191382</v>
      </c>
      <c r="AH1164" s="590"/>
      <c r="AI1164" s="590">
        <v>1.9943763400380861</v>
      </c>
      <c r="AJ1164" s="590">
        <v>1.8365095400380862</v>
      </c>
      <c r="AK1164" s="590"/>
      <c r="AL1164" s="591">
        <v>0</v>
      </c>
      <c r="AM1164" s="591" t="s">
        <v>20347</v>
      </c>
      <c r="AN1164" s="591" t="s">
        <v>20347</v>
      </c>
      <c r="AO1164" s="591">
        <v>0</v>
      </c>
    </row>
    <row r="1165" spans="1:41" hidden="1">
      <c r="A1165" s="584">
        <v>8</v>
      </c>
      <c r="B1165" s="279" t="s">
        <v>20188</v>
      </c>
      <c r="C1165" s="279">
        <v>0</v>
      </c>
      <c r="D1165" s="585" t="s">
        <v>18909</v>
      </c>
      <c r="E1165" s="279" t="s">
        <v>20188</v>
      </c>
      <c r="F1165" s="53">
        <v>44943</v>
      </c>
      <c r="G1165" s="279">
        <v>2023</v>
      </c>
      <c r="H1165" s="586" t="s">
        <v>17323</v>
      </c>
      <c r="I1165" s="279" t="s">
        <v>17324</v>
      </c>
      <c r="J1165" s="279" t="s">
        <v>16401</v>
      </c>
      <c r="K1165" s="280">
        <v>57007.886400000003</v>
      </c>
      <c r="L1165" s="586">
        <v>3.0689000000000002</v>
      </c>
      <c r="M1165" s="587">
        <v>18576</v>
      </c>
      <c r="N1165" s="279" t="s">
        <v>20155</v>
      </c>
      <c r="O1165" s="279" t="s">
        <v>20319</v>
      </c>
      <c r="P1165" s="887">
        <v>44967</v>
      </c>
      <c r="Q1165" s="588">
        <v>21600</v>
      </c>
      <c r="R1165" s="588">
        <v>0</v>
      </c>
      <c r="S1165" s="588">
        <v>0</v>
      </c>
      <c r="T1165" s="588">
        <v>0</v>
      </c>
      <c r="U1165" s="588">
        <v>21600</v>
      </c>
      <c r="V1165" s="317"/>
      <c r="W1165" s="39">
        <v>57007.886399999996</v>
      </c>
      <c r="X1165" s="39">
        <v>0</v>
      </c>
      <c r="Y1165" s="39">
        <v>0</v>
      </c>
      <c r="Z1165" s="39">
        <v>0</v>
      </c>
      <c r="AA1165" s="589">
        <v>2.6392539999999998</v>
      </c>
      <c r="AB1165" s="589"/>
      <c r="AC1165" s="589"/>
      <c r="AD1165" s="589"/>
      <c r="AE1165" s="39">
        <v>0</v>
      </c>
      <c r="AF1165" s="39">
        <v>3314.71</v>
      </c>
      <c r="AG1165" s="39">
        <v>0.1534587962962963</v>
      </c>
      <c r="AH1165" s="590">
        <v>2.4857952037037037</v>
      </c>
      <c r="AI1165" s="590"/>
      <c r="AJ1165" s="590"/>
      <c r="AK1165" s="590"/>
      <c r="AL1165" s="591" t="s">
        <v>20345</v>
      </c>
      <c r="AM1165" s="591">
        <v>0</v>
      </c>
      <c r="AN1165" s="591">
        <v>0</v>
      </c>
      <c r="AO1165" s="591">
        <v>0</v>
      </c>
    </row>
    <row r="1166" spans="1:41" hidden="1">
      <c r="A1166" s="584">
        <v>9</v>
      </c>
      <c r="B1166" s="279" t="s">
        <v>20189</v>
      </c>
      <c r="C1166" s="279">
        <v>0</v>
      </c>
      <c r="D1166" s="585" t="s">
        <v>18910</v>
      </c>
      <c r="E1166" s="279" t="s">
        <v>20189</v>
      </c>
      <c r="F1166" s="53">
        <v>44943</v>
      </c>
      <c r="G1166" s="279">
        <v>2023</v>
      </c>
      <c r="H1166" s="586" t="s">
        <v>16444</v>
      </c>
      <c r="I1166" s="279" t="s">
        <v>16445</v>
      </c>
      <c r="J1166" s="279" t="s">
        <v>3</v>
      </c>
      <c r="K1166" s="280">
        <v>116500</v>
      </c>
      <c r="L1166" s="586">
        <v>1</v>
      </c>
      <c r="M1166" s="587">
        <v>116500</v>
      </c>
      <c r="N1166" s="279" t="s">
        <v>20155</v>
      </c>
      <c r="O1166" s="279" t="s">
        <v>20173</v>
      </c>
      <c r="P1166" s="887">
        <v>44950</v>
      </c>
      <c r="Q1166" s="588">
        <v>0</v>
      </c>
      <c r="R1166" s="588">
        <v>50000</v>
      </c>
      <c r="S1166" s="588">
        <v>0</v>
      </c>
      <c r="T1166" s="588">
        <v>0</v>
      </c>
      <c r="U1166" s="588">
        <v>50000</v>
      </c>
      <c r="V1166" s="317"/>
      <c r="W1166" s="39">
        <v>0</v>
      </c>
      <c r="X1166" s="39">
        <v>116500</v>
      </c>
      <c r="Y1166" s="39">
        <v>0</v>
      </c>
      <c r="Z1166" s="39">
        <v>0</v>
      </c>
      <c r="AA1166" s="589"/>
      <c r="AB1166" s="589">
        <v>2.33</v>
      </c>
      <c r="AC1166" s="589"/>
      <c r="AD1166" s="589"/>
      <c r="AE1166" s="39">
        <v>0</v>
      </c>
      <c r="AF1166" s="39">
        <v>0</v>
      </c>
      <c r="AG1166" s="39">
        <v>0</v>
      </c>
      <c r="AH1166" s="590"/>
      <c r="AI1166" s="590">
        <v>2.33</v>
      </c>
      <c r="AJ1166" s="590"/>
      <c r="AK1166" s="590"/>
      <c r="AL1166" s="591">
        <v>0</v>
      </c>
      <c r="AM1166" s="591" t="s">
        <v>20347</v>
      </c>
      <c r="AN1166" s="591">
        <v>0</v>
      </c>
      <c r="AO1166" s="591">
        <v>0</v>
      </c>
    </row>
    <row r="1167" spans="1:41" hidden="1">
      <c r="A1167" s="584">
        <v>10</v>
      </c>
      <c r="B1167" s="279" t="s">
        <v>20190</v>
      </c>
      <c r="C1167" s="279">
        <v>0</v>
      </c>
      <c r="D1167" s="585" t="s">
        <v>18911</v>
      </c>
      <c r="E1167" s="279" t="s">
        <v>20190</v>
      </c>
      <c r="F1167" s="53">
        <v>44943</v>
      </c>
      <c r="G1167" s="279">
        <v>2023</v>
      </c>
      <c r="H1167" s="586" t="s">
        <v>16444</v>
      </c>
      <c r="I1167" s="279" t="s">
        <v>16445</v>
      </c>
      <c r="J1167" s="279" t="s">
        <v>3</v>
      </c>
      <c r="K1167" s="280">
        <v>56592</v>
      </c>
      <c r="L1167" s="586">
        <v>1</v>
      </c>
      <c r="M1167" s="587">
        <v>56592</v>
      </c>
      <c r="N1167" s="279" t="s">
        <v>20155</v>
      </c>
      <c r="O1167" s="279" t="s">
        <v>17949</v>
      </c>
      <c r="P1167" s="887">
        <v>44951</v>
      </c>
      <c r="Q1167" s="588">
        <v>21600</v>
      </c>
      <c r="R1167" s="588">
        <v>0</v>
      </c>
      <c r="S1167" s="588">
        <v>0</v>
      </c>
      <c r="T1167" s="588">
        <v>0</v>
      </c>
      <c r="U1167" s="588">
        <v>21600</v>
      </c>
      <c r="V1167" s="317"/>
      <c r="W1167" s="39">
        <v>56592</v>
      </c>
      <c r="X1167" s="39">
        <v>0</v>
      </c>
      <c r="Y1167" s="39">
        <v>0</v>
      </c>
      <c r="Z1167" s="39">
        <v>0</v>
      </c>
      <c r="AA1167" s="589">
        <v>2.62</v>
      </c>
      <c r="AB1167" s="589"/>
      <c r="AC1167" s="589"/>
      <c r="AD1167" s="589"/>
      <c r="AE1167" s="39">
        <v>0</v>
      </c>
      <c r="AF1167" s="39">
        <v>0</v>
      </c>
      <c r="AG1167" s="39">
        <v>0</v>
      </c>
      <c r="AH1167" s="590">
        <v>2.62</v>
      </c>
      <c r="AI1167" s="590"/>
      <c r="AJ1167" s="590"/>
      <c r="AK1167" s="590"/>
      <c r="AL1167" s="591" t="s">
        <v>20345</v>
      </c>
      <c r="AM1167" s="591">
        <v>0</v>
      </c>
      <c r="AN1167" s="591">
        <v>0</v>
      </c>
      <c r="AO1167" s="591">
        <v>0</v>
      </c>
    </row>
    <row r="1168" spans="1:41" hidden="1">
      <c r="A1168" s="584">
        <v>11</v>
      </c>
      <c r="B1168" s="279" t="s">
        <v>20191</v>
      </c>
      <c r="C1168" s="279">
        <v>0</v>
      </c>
      <c r="D1168" s="585" t="s">
        <v>18912</v>
      </c>
      <c r="E1168" s="279" t="s">
        <v>20191</v>
      </c>
      <c r="F1168" s="53">
        <v>44943</v>
      </c>
      <c r="G1168" s="279">
        <v>2023</v>
      </c>
      <c r="H1168" s="586" t="s">
        <v>16444</v>
      </c>
      <c r="I1168" s="279" t="s">
        <v>16445</v>
      </c>
      <c r="J1168" s="279" t="s">
        <v>3</v>
      </c>
      <c r="K1168" s="280">
        <v>57220.800000000003</v>
      </c>
      <c r="L1168" s="586">
        <v>1</v>
      </c>
      <c r="M1168" s="587">
        <v>57220.800000000003</v>
      </c>
      <c r="N1168" s="279" t="s">
        <v>20155</v>
      </c>
      <c r="O1168" s="279" t="s">
        <v>17949</v>
      </c>
      <c r="P1168" s="887">
        <v>44951</v>
      </c>
      <c r="Q1168" s="588">
        <v>22008</v>
      </c>
      <c r="R1168" s="588">
        <v>0</v>
      </c>
      <c r="S1168" s="588">
        <v>0</v>
      </c>
      <c r="T1168" s="588">
        <v>0</v>
      </c>
      <c r="U1168" s="588">
        <v>22008</v>
      </c>
      <c r="V1168" s="317"/>
      <c r="W1168" s="39">
        <v>57220.800000000003</v>
      </c>
      <c r="X1168" s="39">
        <v>0</v>
      </c>
      <c r="Y1168" s="39">
        <v>0</v>
      </c>
      <c r="Z1168" s="39">
        <v>0</v>
      </c>
      <c r="AA1168" s="589">
        <v>2.6</v>
      </c>
      <c r="AB1168" s="589"/>
      <c r="AC1168" s="589"/>
      <c r="AD1168" s="589"/>
      <c r="AE1168" s="39">
        <v>0</v>
      </c>
      <c r="AF1168" s="39">
        <v>0</v>
      </c>
      <c r="AG1168" s="39">
        <v>0</v>
      </c>
      <c r="AH1168" s="590">
        <v>2.6</v>
      </c>
      <c r="AI1168" s="590"/>
      <c r="AJ1168" s="590"/>
      <c r="AK1168" s="590"/>
      <c r="AL1168" s="591" t="s">
        <v>20345</v>
      </c>
      <c r="AM1168" s="591">
        <v>0</v>
      </c>
      <c r="AN1168" s="591">
        <v>0</v>
      </c>
      <c r="AO1168" s="591">
        <v>0</v>
      </c>
    </row>
    <row r="1169" spans="1:41" hidden="1">
      <c r="A1169" s="584">
        <v>12</v>
      </c>
      <c r="B1169" s="279" t="s">
        <v>20192</v>
      </c>
      <c r="C1169" s="279">
        <v>0</v>
      </c>
      <c r="D1169" s="585" t="s">
        <v>18913</v>
      </c>
      <c r="E1169" s="279" t="s">
        <v>20192</v>
      </c>
      <c r="F1169" s="53">
        <v>44943</v>
      </c>
      <c r="G1169" s="279">
        <v>2023</v>
      </c>
      <c r="H1169" s="586" t="s">
        <v>16904</v>
      </c>
      <c r="I1169" s="279" t="s">
        <v>16905</v>
      </c>
      <c r="J1169" s="279" t="s">
        <v>16482</v>
      </c>
      <c r="K1169" s="280">
        <v>102809.43529199999</v>
      </c>
      <c r="L1169" s="586">
        <v>3.3008999999999999</v>
      </c>
      <c r="M1169" s="587">
        <v>31145.88</v>
      </c>
      <c r="N1169" s="279" t="s">
        <v>20155</v>
      </c>
      <c r="O1169" s="279" t="s">
        <v>20160</v>
      </c>
      <c r="P1169" s="887">
        <v>44952</v>
      </c>
      <c r="Q1169" s="588">
        <v>0</v>
      </c>
      <c r="R1169" s="588">
        <v>20256</v>
      </c>
      <c r="S1169" s="588">
        <v>7500</v>
      </c>
      <c r="T1169" s="588">
        <v>0</v>
      </c>
      <c r="U1169" s="588">
        <v>27756</v>
      </c>
      <c r="V1169" s="317"/>
      <c r="W1169" s="39">
        <v>0</v>
      </c>
      <c r="X1169" s="39">
        <v>75354.317278381321</v>
      </c>
      <c r="Y1169" s="39">
        <v>27455.118013618678</v>
      </c>
      <c r="Z1169" s="39">
        <v>0</v>
      </c>
      <c r="AA1169" s="589"/>
      <c r="AB1169" s="589">
        <v>3.7200986018158235</v>
      </c>
      <c r="AC1169" s="589">
        <v>3.6606824018158237</v>
      </c>
      <c r="AD1169" s="589"/>
      <c r="AE1169" s="39">
        <v>3593.28</v>
      </c>
      <c r="AF1169" s="39">
        <v>13947.42</v>
      </c>
      <c r="AG1169" s="39">
        <v>0.50250108084738432</v>
      </c>
      <c r="AH1169" s="590"/>
      <c r="AI1169" s="590">
        <v>3.2175975209684391</v>
      </c>
      <c r="AJ1169" s="590">
        <v>3.1581813209684393</v>
      </c>
      <c r="AK1169" s="590"/>
      <c r="AL1169" s="591">
        <v>0</v>
      </c>
      <c r="AM1169" s="591">
        <v>1</v>
      </c>
      <c r="AN1169" s="591">
        <v>1</v>
      </c>
      <c r="AO1169" s="591">
        <v>0</v>
      </c>
    </row>
    <row r="1170" spans="1:41" hidden="1">
      <c r="A1170" s="584">
        <v>13</v>
      </c>
      <c r="B1170" s="279" t="s">
        <v>20193</v>
      </c>
      <c r="C1170" s="279">
        <v>0</v>
      </c>
      <c r="D1170" s="585" t="s">
        <v>18914</v>
      </c>
      <c r="E1170" s="279" t="s">
        <v>20193</v>
      </c>
      <c r="F1170" s="53">
        <v>44944</v>
      </c>
      <c r="G1170" s="279">
        <v>2023</v>
      </c>
      <c r="H1170" s="586" t="s">
        <v>16444</v>
      </c>
      <c r="I1170" s="279" t="s">
        <v>16445</v>
      </c>
      <c r="J1170" s="279" t="s">
        <v>3</v>
      </c>
      <c r="K1170" s="280">
        <v>115344</v>
      </c>
      <c r="L1170" s="586">
        <v>1</v>
      </c>
      <c r="M1170" s="587">
        <v>115344</v>
      </c>
      <c r="N1170" s="279" t="s">
        <v>20155</v>
      </c>
      <c r="O1170" s="279" t="s">
        <v>20173</v>
      </c>
      <c r="P1170" s="887">
        <v>44951</v>
      </c>
      <c r="Q1170" s="588">
        <v>43200</v>
      </c>
      <c r="R1170" s="588">
        <v>0</v>
      </c>
      <c r="S1170" s="588">
        <v>0</v>
      </c>
      <c r="T1170" s="588">
        <v>0</v>
      </c>
      <c r="U1170" s="588">
        <v>43200</v>
      </c>
      <c r="V1170" s="317"/>
      <c r="W1170" s="39">
        <v>115344</v>
      </c>
      <c r="X1170" s="39">
        <v>0</v>
      </c>
      <c r="Y1170" s="39">
        <v>0</v>
      </c>
      <c r="Z1170" s="39">
        <v>0</v>
      </c>
      <c r="AA1170" s="589">
        <v>2.67</v>
      </c>
      <c r="AB1170" s="589"/>
      <c r="AC1170" s="589"/>
      <c r="AD1170" s="589"/>
      <c r="AE1170" s="39">
        <v>0</v>
      </c>
      <c r="AF1170" s="39">
        <v>0</v>
      </c>
      <c r="AG1170" s="39">
        <v>0</v>
      </c>
      <c r="AH1170" s="590">
        <v>2.67</v>
      </c>
      <c r="AI1170" s="590"/>
      <c r="AJ1170" s="590"/>
      <c r="AK1170" s="590"/>
      <c r="AL1170" s="591" t="s">
        <v>20345</v>
      </c>
      <c r="AM1170" s="591">
        <v>0</v>
      </c>
      <c r="AN1170" s="591">
        <v>0</v>
      </c>
      <c r="AO1170" s="591">
        <v>0</v>
      </c>
    </row>
    <row r="1171" spans="1:41" hidden="1">
      <c r="A1171" s="584">
        <v>14</v>
      </c>
      <c r="B1171" s="279" t="s">
        <v>20194</v>
      </c>
      <c r="C1171" s="279">
        <v>0</v>
      </c>
      <c r="D1171" s="585" t="s">
        <v>18915</v>
      </c>
      <c r="E1171" s="279" t="s">
        <v>20194</v>
      </c>
      <c r="F1171" s="53">
        <v>44944</v>
      </c>
      <c r="G1171" s="279">
        <v>2023</v>
      </c>
      <c r="H1171" s="586" t="s">
        <v>16560</v>
      </c>
      <c r="I1171" s="279" t="s">
        <v>16561</v>
      </c>
      <c r="J1171" s="279" t="s">
        <v>16482</v>
      </c>
      <c r="K1171" s="280">
        <v>244191.024</v>
      </c>
      <c r="L1171" s="586">
        <v>3.3034500000000002</v>
      </c>
      <c r="M1171" s="587">
        <v>73920</v>
      </c>
      <c r="N1171" s="279" t="s">
        <v>20155</v>
      </c>
      <c r="O1171" s="279" t="s">
        <v>17801</v>
      </c>
      <c r="P1171" s="887">
        <v>44956</v>
      </c>
      <c r="Q1171" s="588">
        <v>0</v>
      </c>
      <c r="R1171" s="588">
        <v>0</v>
      </c>
      <c r="S1171" s="588">
        <v>112000</v>
      </c>
      <c r="T1171" s="588">
        <v>0</v>
      </c>
      <c r="U1171" s="588">
        <v>112000</v>
      </c>
      <c r="V1171" s="317"/>
      <c r="W1171" s="39">
        <v>0</v>
      </c>
      <c r="X1171" s="39">
        <v>0</v>
      </c>
      <c r="Y1171" s="39">
        <v>244191.02399999998</v>
      </c>
      <c r="Z1171" s="39">
        <v>0</v>
      </c>
      <c r="AA1171" s="589"/>
      <c r="AB1171" s="589"/>
      <c r="AC1171" s="589">
        <v>2.1802769999999998</v>
      </c>
      <c r="AD1171" s="589"/>
      <c r="AE1171" s="39">
        <v>7081.6799999999994</v>
      </c>
      <c r="AF1171" s="39">
        <v>29171.794999999998</v>
      </c>
      <c r="AG1171" s="39">
        <v>0.26046245535714285</v>
      </c>
      <c r="AH1171" s="590"/>
      <c r="AI1171" s="590"/>
      <c r="AJ1171" s="590">
        <v>1.9198145446428569</v>
      </c>
      <c r="AK1171" s="590"/>
      <c r="AL1171" s="591">
        <v>0</v>
      </c>
      <c r="AM1171" s="591">
        <v>0</v>
      </c>
      <c r="AN1171" s="591" t="s">
        <v>20347</v>
      </c>
      <c r="AO1171" s="591">
        <v>0</v>
      </c>
    </row>
    <row r="1172" spans="1:41" hidden="1">
      <c r="A1172" s="584">
        <v>15</v>
      </c>
      <c r="B1172" s="279" t="s">
        <v>20196</v>
      </c>
      <c r="C1172" s="279">
        <v>0</v>
      </c>
      <c r="D1172" s="585" t="s">
        <v>18916</v>
      </c>
      <c r="E1172" s="279" t="s">
        <v>20196</v>
      </c>
      <c r="F1172" s="53">
        <v>44950</v>
      </c>
      <c r="G1172" s="279">
        <v>2023</v>
      </c>
      <c r="H1172" s="586" t="s">
        <v>17332</v>
      </c>
      <c r="I1172" s="279" t="s">
        <v>17333</v>
      </c>
      <c r="J1172" s="279" t="s">
        <v>3</v>
      </c>
      <c r="K1172" s="280">
        <v>638991.35999999999</v>
      </c>
      <c r="L1172" s="586">
        <v>1</v>
      </c>
      <c r="M1172" s="587">
        <v>638991.35999999999</v>
      </c>
      <c r="N1172" s="279" t="s">
        <v>20155</v>
      </c>
      <c r="O1172" s="279" t="s">
        <v>17939</v>
      </c>
      <c r="P1172" s="887">
        <v>44974</v>
      </c>
      <c r="Q1172" s="588">
        <v>0</v>
      </c>
      <c r="R1172" s="588">
        <v>242438.59999999998</v>
      </c>
      <c r="S1172" s="588">
        <v>79891</v>
      </c>
      <c r="T1172" s="588">
        <v>0</v>
      </c>
      <c r="U1172" s="588">
        <v>322329.59999999998</v>
      </c>
      <c r="V1172" s="317"/>
      <c r="W1172" s="39">
        <v>0</v>
      </c>
      <c r="X1172" s="39">
        <v>473510.88</v>
      </c>
      <c r="Y1172" s="39">
        <v>165480.48000000001</v>
      </c>
      <c r="Z1172" s="39">
        <v>0</v>
      </c>
      <c r="AA1172" s="589"/>
      <c r="AB1172" s="589">
        <v>1.9531167066630482</v>
      </c>
      <c r="AC1172" s="589">
        <v>2.0713281846515881</v>
      </c>
      <c r="AD1172" s="589"/>
      <c r="AE1172" s="39">
        <v>0</v>
      </c>
      <c r="AF1172" s="39">
        <v>0</v>
      </c>
      <c r="AG1172" s="39">
        <v>0</v>
      </c>
      <c r="AH1172" s="590"/>
      <c r="AI1172" s="590">
        <v>1.9531167066630482</v>
      </c>
      <c r="AJ1172" s="590">
        <v>2.0713281846515881</v>
      </c>
      <c r="AK1172" s="590"/>
      <c r="AL1172" s="591">
        <v>0</v>
      </c>
      <c r="AM1172" s="591" t="s">
        <v>20347</v>
      </c>
      <c r="AN1172" s="591" t="s">
        <v>20347</v>
      </c>
      <c r="AO1172" s="591">
        <v>0</v>
      </c>
    </row>
    <row r="1173" spans="1:41" hidden="1">
      <c r="A1173" s="584">
        <v>16</v>
      </c>
      <c r="B1173" s="279" t="s">
        <v>20197</v>
      </c>
      <c r="C1173" s="279">
        <v>0</v>
      </c>
      <c r="D1173" s="585" t="s">
        <v>18917</v>
      </c>
      <c r="E1173" s="279" t="s">
        <v>20197</v>
      </c>
      <c r="F1173" s="53">
        <v>44951</v>
      </c>
      <c r="G1173" s="279">
        <v>2023</v>
      </c>
      <c r="H1173" s="586" t="s">
        <v>17017</v>
      </c>
      <c r="I1173" s="279" t="s">
        <v>17018</v>
      </c>
      <c r="J1173" s="279" t="s">
        <v>3</v>
      </c>
      <c r="K1173" s="280">
        <v>71796</v>
      </c>
      <c r="L1173" s="586">
        <v>1</v>
      </c>
      <c r="M1173" s="587">
        <v>71796</v>
      </c>
      <c r="N1173" s="279" t="s">
        <v>20155</v>
      </c>
      <c r="O1173" s="279" t="s">
        <v>20349</v>
      </c>
      <c r="P1173" s="887">
        <v>44956</v>
      </c>
      <c r="Q1173" s="588">
        <v>0</v>
      </c>
      <c r="R1173" s="588">
        <v>19800</v>
      </c>
      <c r="S1173" s="588">
        <v>3360</v>
      </c>
      <c r="T1173" s="588">
        <v>0</v>
      </c>
      <c r="U1173" s="588">
        <v>23160</v>
      </c>
      <c r="V1173" s="317"/>
      <c r="W1173" s="39">
        <v>0</v>
      </c>
      <c r="X1173" s="39">
        <v>61380</v>
      </c>
      <c r="Y1173" s="39">
        <v>10416</v>
      </c>
      <c r="Z1173" s="39">
        <v>0</v>
      </c>
      <c r="AA1173" s="589"/>
      <c r="AB1173" s="589">
        <v>3.1</v>
      </c>
      <c r="AC1173" s="589">
        <v>3.1</v>
      </c>
      <c r="AD1173" s="589"/>
      <c r="AE1173" s="39">
        <v>0</v>
      </c>
      <c r="AF1173" s="39">
        <v>0</v>
      </c>
      <c r="AG1173" s="39">
        <v>0</v>
      </c>
      <c r="AH1173" s="590"/>
      <c r="AI1173" s="590">
        <v>3.1</v>
      </c>
      <c r="AJ1173" s="590">
        <v>3.1</v>
      </c>
      <c r="AK1173" s="590"/>
      <c r="AL1173" s="591">
        <v>0</v>
      </c>
      <c r="AM1173" s="591">
        <v>1</v>
      </c>
      <c r="AN1173" s="591">
        <v>1</v>
      </c>
      <c r="AO1173" s="591">
        <v>0</v>
      </c>
    </row>
    <row r="1174" spans="1:41" hidden="1">
      <c r="A1174" s="584">
        <v>17</v>
      </c>
      <c r="B1174" s="279" t="s">
        <v>20198</v>
      </c>
      <c r="C1174" s="279">
        <v>0</v>
      </c>
      <c r="D1174" s="585" t="s">
        <v>18918</v>
      </c>
      <c r="E1174" s="279" t="s">
        <v>20198</v>
      </c>
      <c r="F1174" s="53">
        <v>44951</v>
      </c>
      <c r="G1174" s="279">
        <v>2023</v>
      </c>
      <c r="H1174" s="586" t="s">
        <v>16838</v>
      </c>
      <c r="I1174" s="279" t="s">
        <v>16839</v>
      </c>
      <c r="J1174" s="279" t="s">
        <v>3</v>
      </c>
      <c r="K1174" s="280">
        <v>126280</v>
      </c>
      <c r="L1174" s="586">
        <v>1</v>
      </c>
      <c r="M1174" s="587">
        <v>126280</v>
      </c>
      <c r="N1174" s="279" t="s">
        <v>20155</v>
      </c>
      <c r="O1174" s="279" t="s">
        <v>17771</v>
      </c>
      <c r="P1174" s="887">
        <v>44953</v>
      </c>
      <c r="Q1174" s="588">
        <v>0</v>
      </c>
      <c r="R1174" s="588">
        <v>0</v>
      </c>
      <c r="S1174" s="588">
        <v>56000</v>
      </c>
      <c r="T1174" s="588">
        <v>0</v>
      </c>
      <c r="U1174" s="588">
        <v>56000</v>
      </c>
      <c r="V1174" s="317"/>
      <c r="W1174" s="39">
        <v>0</v>
      </c>
      <c r="X1174" s="39">
        <v>0</v>
      </c>
      <c r="Y1174" s="39">
        <v>126280</v>
      </c>
      <c r="Z1174" s="39">
        <v>0</v>
      </c>
      <c r="AA1174" s="589"/>
      <c r="AB1174" s="589"/>
      <c r="AC1174" s="589">
        <v>2.2549999999999999</v>
      </c>
      <c r="AD1174" s="589"/>
      <c r="AE1174" s="39">
        <v>0</v>
      </c>
      <c r="AF1174" s="39">
        <v>0</v>
      </c>
      <c r="AG1174" s="39">
        <v>0</v>
      </c>
      <c r="AH1174" s="590"/>
      <c r="AI1174" s="590"/>
      <c r="AJ1174" s="590">
        <v>2.2549999999999999</v>
      </c>
      <c r="AK1174" s="590"/>
      <c r="AL1174" s="591">
        <v>0</v>
      </c>
      <c r="AM1174" s="591">
        <v>0</v>
      </c>
      <c r="AN1174" s="591" t="s">
        <v>20347</v>
      </c>
      <c r="AO1174" s="591">
        <v>0</v>
      </c>
    </row>
    <row r="1175" spans="1:41" hidden="1">
      <c r="A1175" s="584">
        <v>18</v>
      </c>
      <c r="B1175" s="279" t="s">
        <v>20199</v>
      </c>
      <c r="C1175" s="279">
        <v>0</v>
      </c>
      <c r="D1175" s="585" t="s">
        <v>18919</v>
      </c>
      <c r="E1175" s="279" t="s">
        <v>20199</v>
      </c>
      <c r="F1175" s="53">
        <v>44951</v>
      </c>
      <c r="G1175" s="279">
        <v>2023</v>
      </c>
      <c r="H1175" s="586" t="s">
        <v>16384</v>
      </c>
      <c r="I1175" s="279" t="s">
        <v>16385</v>
      </c>
      <c r="J1175" s="279" t="s">
        <v>3</v>
      </c>
      <c r="K1175" s="280">
        <v>190546.8</v>
      </c>
      <c r="L1175" s="586">
        <v>1</v>
      </c>
      <c r="M1175" s="587">
        <v>190546.8</v>
      </c>
      <c r="N1175" s="279" t="s">
        <v>20155</v>
      </c>
      <c r="O1175" s="279" t="s">
        <v>17801</v>
      </c>
      <c r="P1175" s="887">
        <v>44957</v>
      </c>
      <c r="Q1175" s="588">
        <v>16800</v>
      </c>
      <c r="R1175" s="588">
        <v>56960</v>
      </c>
      <c r="S1175" s="588">
        <v>6000</v>
      </c>
      <c r="T1175" s="588">
        <v>0</v>
      </c>
      <c r="U1175" s="588">
        <v>79760</v>
      </c>
      <c r="V1175" s="317"/>
      <c r="W1175" s="39">
        <v>43680</v>
      </c>
      <c r="X1175" s="39">
        <v>130386.8</v>
      </c>
      <c r="Y1175" s="39">
        <v>12480</v>
      </c>
      <c r="Z1175" s="39">
        <v>4000</v>
      </c>
      <c r="AA1175" s="589">
        <v>2.6</v>
      </c>
      <c r="AB1175" s="589">
        <v>2.2890941011235957</v>
      </c>
      <c r="AC1175" s="589">
        <v>2.08</v>
      </c>
      <c r="AD1175" s="589"/>
      <c r="AE1175" s="39">
        <v>0</v>
      </c>
      <c r="AF1175" s="39">
        <v>0</v>
      </c>
      <c r="AG1175" s="39">
        <v>0</v>
      </c>
      <c r="AH1175" s="590">
        <v>2.6</v>
      </c>
      <c r="AI1175" s="590">
        <v>2.2890941011235957</v>
      </c>
      <c r="AJ1175" s="590">
        <v>2.08</v>
      </c>
      <c r="AK1175" s="590"/>
      <c r="AL1175" s="591" t="s">
        <v>20345</v>
      </c>
      <c r="AM1175" s="591" t="s">
        <v>20347</v>
      </c>
      <c r="AN1175" s="591" t="s">
        <v>20347</v>
      </c>
      <c r="AO1175" s="591">
        <v>0</v>
      </c>
    </row>
    <row r="1176" spans="1:41" hidden="1">
      <c r="A1176" s="584">
        <v>19</v>
      </c>
      <c r="B1176" s="279" t="s">
        <v>20200</v>
      </c>
      <c r="C1176" s="279">
        <v>0</v>
      </c>
      <c r="D1176" s="585" t="s">
        <v>18920</v>
      </c>
      <c r="E1176" s="279" t="s">
        <v>20200</v>
      </c>
      <c r="F1176" s="53">
        <v>44952</v>
      </c>
      <c r="G1176" s="279">
        <v>2023</v>
      </c>
      <c r="H1176" s="586" t="s">
        <v>17332</v>
      </c>
      <c r="I1176" s="279" t="s">
        <v>17333</v>
      </c>
      <c r="J1176" s="279" t="s">
        <v>3</v>
      </c>
      <c r="K1176" s="280">
        <v>88320</v>
      </c>
      <c r="L1176" s="586">
        <v>1</v>
      </c>
      <c r="M1176" s="587">
        <v>88320</v>
      </c>
      <c r="N1176" s="279" t="s">
        <v>20155</v>
      </c>
      <c r="O1176" s="279" t="s">
        <v>18248</v>
      </c>
      <c r="P1176" s="887">
        <v>44965</v>
      </c>
      <c r="Q1176" s="588">
        <v>38400</v>
      </c>
      <c r="R1176" s="588">
        <v>0</v>
      </c>
      <c r="S1176" s="588">
        <v>0</v>
      </c>
      <c r="T1176" s="588">
        <v>0</v>
      </c>
      <c r="U1176" s="588">
        <v>38400</v>
      </c>
      <c r="V1176" s="317"/>
      <c r="W1176" s="39">
        <v>88320</v>
      </c>
      <c r="X1176" s="39">
        <v>0</v>
      </c>
      <c r="Y1176" s="39">
        <v>0</v>
      </c>
      <c r="Z1176" s="39">
        <v>0</v>
      </c>
      <c r="AA1176" s="589">
        <v>2.2999999999999998</v>
      </c>
      <c r="AB1176" s="589"/>
      <c r="AC1176" s="589"/>
      <c r="AD1176" s="589"/>
      <c r="AE1176" s="39">
        <v>0</v>
      </c>
      <c r="AF1176" s="39">
        <v>0</v>
      </c>
      <c r="AG1176" s="39">
        <v>0</v>
      </c>
      <c r="AH1176" s="590">
        <v>2.2999999999999998</v>
      </c>
      <c r="AI1176" s="590"/>
      <c r="AJ1176" s="590"/>
      <c r="AK1176" s="590"/>
      <c r="AL1176" s="591" t="s">
        <v>20345</v>
      </c>
      <c r="AM1176" s="591">
        <v>0</v>
      </c>
      <c r="AN1176" s="591">
        <v>0</v>
      </c>
      <c r="AO1176" s="591">
        <v>0</v>
      </c>
    </row>
    <row r="1177" spans="1:41" hidden="1">
      <c r="A1177" s="584">
        <v>20</v>
      </c>
      <c r="B1177" s="279" t="s">
        <v>20201</v>
      </c>
      <c r="C1177" s="279">
        <v>0</v>
      </c>
      <c r="D1177" s="585" t="s">
        <v>18921</v>
      </c>
      <c r="E1177" s="279" t="s">
        <v>20201</v>
      </c>
      <c r="F1177" s="53">
        <v>44952</v>
      </c>
      <c r="G1177" s="279">
        <v>2023</v>
      </c>
      <c r="H1177" s="586" t="s">
        <v>17332</v>
      </c>
      <c r="I1177" s="279" t="s">
        <v>17333</v>
      </c>
      <c r="J1177" s="279" t="s">
        <v>3</v>
      </c>
      <c r="K1177" s="280">
        <v>226007.23199999999</v>
      </c>
      <c r="L1177" s="586">
        <v>1</v>
      </c>
      <c r="M1177" s="587">
        <v>226007.23199999999</v>
      </c>
      <c r="N1177" s="279" t="s">
        <v>20155</v>
      </c>
      <c r="O1177" s="279" t="s">
        <v>17939</v>
      </c>
      <c r="P1177" s="887">
        <v>45016</v>
      </c>
      <c r="Q1177" s="588">
        <v>100003</v>
      </c>
      <c r="R1177" s="588">
        <v>0</v>
      </c>
      <c r="S1177" s="588">
        <v>0</v>
      </c>
      <c r="T1177" s="588">
        <v>0</v>
      </c>
      <c r="U1177" s="588">
        <v>100003</v>
      </c>
      <c r="V1177" s="317"/>
      <c r="W1177" s="39">
        <v>226007.23199999999</v>
      </c>
      <c r="X1177" s="39">
        <v>0</v>
      </c>
      <c r="Y1177" s="39">
        <v>0</v>
      </c>
      <c r="Z1177" s="39">
        <v>0</v>
      </c>
      <c r="AA1177" s="589">
        <v>2.2600045198644039</v>
      </c>
      <c r="AB1177" s="589"/>
      <c r="AC1177" s="589"/>
      <c r="AD1177" s="589"/>
      <c r="AE1177" s="39">
        <v>0</v>
      </c>
      <c r="AF1177" s="39">
        <v>0</v>
      </c>
      <c r="AG1177" s="39">
        <v>0</v>
      </c>
      <c r="AH1177" s="590">
        <v>2.2600045198644039</v>
      </c>
      <c r="AI1177" s="590"/>
      <c r="AJ1177" s="590"/>
      <c r="AK1177" s="590"/>
      <c r="AL1177" s="591" t="s">
        <v>20345</v>
      </c>
      <c r="AM1177" s="591">
        <v>0</v>
      </c>
      <c r="AN1177" s="591">
        <v>0</v>
      </c>
      <c r="AO1177" s="591">
        <v>0</v>
      </c>
    </row>
    <row r="1178" spans="1:41" hidden="1">
      <c r="A1178" s="584">
        <v>21</v>
      </c>
      <c r="B1178" s="279" t="s">
        <v>20202</v>
      </c>
      <c r="C1178" s="279">
        <v>0</v>
      </c>
      <c r="D1178" s="585" t="s">
        <v>18922</v>
      </c>
      <c r="E1178" s="279" t="s">
        <v>20202</v>
      </c>
      <c r="F1178" s="53">
        <v>44977</v>
      </c>
      <c r="G1178" s="279">
        <v>2023</v>
      </c>
      <c r="H1178" s="586" t="s">
        <v>17017</v>
      </c>
      <c r="I1178" s="279" t="s">
        <v>17018</v>
      </c>
      <c r="J1178" s="279" t="s">
        <v>3</v>
      </c>
      <c r="K1178" s="280">
        <v>10169.6</v>
      </c>
      <c r="L1178" s="586">
        <v>1</v>
      </c>
      <c r="M1178" s="587">
        <v>10169.6</v>
      </c>
      <c r="N1178" s="279" t="s">
        <v>20155</v>
      </c>
      <c r="O1178" s="279" t="s">
        <v>17238</v>
      </c>
      <c r="P1178" s="887">
        <v>44977</v>
      </c>
      <c r="Q1178" s="588">
        <v>0</v>
      </c>
      <c r="R1178" s="588">
        <v>3178</v>
      </c>
      <c r="S1178" s="588">
        <v>0</v>
      </c>
      <c r="T1178" s="588">
        <v>0</v>
      </c>
      <c r="U1178" s="588">
        <v>3178</v>
      </c>
      <c r="V1178" s="317"/>
      <c r="W1178" s="39">
        <v>0</v>
      </c>
      <c r="X1178" s="39">
        <v>10169.6</v>
      </c>
      <c r="Y1178" s="39">
        <v>0</v>
      </c>
      <c r="Z1178" s="39">
        <v>0</v>
      </c>
      <c r="AA1178" s="589"/>
      <c r="AB1178" s="589">
        <v>3.2</v>
      </c>
      <c r="AC1178" s="589"/>
      <c r="AD1178" s="589"/>
      <c r="AE1178" s="39">
        <v>0</v>
      </c>
      <c r="AF1178" s="39">
        <v>0</v>
      </c>
      <c r="AG1178" s="39">
        <v>0</v>
      </c>
      <c r="AH1178" s="590"/>
      <c r="AI1178" s="590">
        <v>3.2</v>
      </c>
      <c r="AJ1178" s="590"/>
      <c r="AK1178" s="590"/>
      <c r="AL1178" s="591">
        <v>0</v>
      </c>
      <c r="AM1178" s="591">
        <v>1</v>
      </c>
      <c r="AN1178" s="591">
        <v>0</v>
      </c>
      <c r="AO1178" s="591">
        <v>0</v>
      </c>
    </row>
    <row r="1179" spans="1:41" hidden="1">
      <c r="A1179" s="584">
        <v>22</v>
      </c>
      <c r="B1179" s="279" t="s">
        <v>20203</v>
      </c>
      <c r="C1179" s="279">
        <v>0</v>
      </c>
      <c r="D1179" s="585" t="s">
        <v>18923</v>
      </c>
      <c r="E1179" s="279" t="s">
        <v>20203</v>
      </c>
      <c r="F1179" s="53">
        <v>44957</v>
      </c>
      <c r="G1179" s="279">
        <v>2023</v>
      </c>
      <c r="H1179" s="586" t="s">
        <v>17226</v>
      </c>
      <c r="I1179" s="279" t="s">
        <v>17227</v>
      </c>
      <c r="J1179" s="279" t="s">
        <v>3</v>
      </c>
      <c r="K1179" s="280">
        <v>126600</v>
      </c>
      <c r="L1179" s="586">
        <v>1</v>
      </c>
      <c r="M1179" s="587">
        <v>126600</v>
      </c>
      <c r="N1179" s="279" t="s">
        <v>20155</v>
      </c>
      <c r="O1179" s="279" t="s">
        <v>17689</v>
      </c>
      <c r="P1179" s="887">
        <v>44969</v>
      </c>
      <c r="Q1179" s="588">
        <v>38400</v>
      </c>
      <c r="R1179" s="588">
        <v>0</v>
      </c>
      <c r="S1179" s="588">
        <v>0</v>
      </c>
      <c r="T1179" s="588">
        <v>0</v>
      </c>
      <c r="U1179" s="588">
        <v>38400</v>
      </c>
      <c r="V1179" s="317"/>
      <c r="W1179" s="39">
        <v>126600</v>
      </c>
      <c r="X1179" s="39">
        <v>0</v>
      </c>
      <c r="Y1179" s="39">
        <v>0</v>
      </c>
      <c r="Z1179" s="39">
        <v>0</v>
      </c>
      <c r="AA1179" s="589">
        <v>3.296875</v>
      </c>
      <c r="AB1179" s="589"/>
      <c r="AC1179" s="589"/>
      <c r="AD1179" s="589"/>
      <c r="AE1179" s="39">
        <v>0</v>
      </c>
      <c r="AF1179" s="39">
        <v>0</v>
      </c>
      <c r="AG1179" s="39">
        <v>0</v>
      </c>
      <c r="AH1179" s="590">
        <v>3.296875</v>
      </c>
      <c r="AI1179" s="590"/>
      <c r="AJ1179" s="590"/>
      <c r="AK1179" s="590"/>
      <c r="AL1179" s="591">
        <v>1</v>
      </c>
      <c r="AM1179" s="591">
        <v>0</v>
      </c>
      <c r="AN1179" s="591">
        <v>0</v>
      </c>
      <c r="AO1179" s="591">
        <v>0</v>
      </c>
    </row>
    <row r="1180" spans="1:41" hidden="1">
      <c r="A1180" s="584">
        <v>23</v>
      </c>
      <c r="B1180" s="279" t="s">
        <v>20204</v>
      </c>
      <c r="C1180" s="279">
        <v>0</v>
      </c>
      <c r="D1180" s="585" t="s">
        <v>18924</v>
      </c>
      <c r="E1180" s="279" t="s">
        <v>20204</v>
      </c>
      <c r="F1180" s="53">
        <v>44959</v>
      </c>
      <c r="G1180" s="279">
        <v>2023</v>
      </c>
      <c r="H1180" s="586" t="s">
        <v>16444</v>
      </c>
      <c r="I1180" s="279" t="s">
        <v>16445</v>
      </c>
      <c r="J1180" s="279" t="s">
        <v>3</v>
      </c>
      <c r="K1180" s="280">
        <v>143690.4</v>
      </c>
      <c r="L1180" s="586">
        <v>1</v>
      </c>
      <c r="M1180" s="587">
        <v>143690.4</v>
      </c>
      <c r="N1180" s="279" t="s">
        <v>20155</v>
      </c>
      <c r="O1180" s="279" t="s">
        <v>18248</v>
      </c>
      <c r="P1180" s="887">
        <v>44967</v>
      </c>
      <c r="Q1180" s="588">
        <v>36120</v>
      </c>
      <c r="R1180" s="588">
        <v>20280</v>
      </c>
      <c r="S1180" s="588">
        <v>0</v>
      </c>
      <c r="T1180" s="588">
        <v>0</v>
      </c>
      <c r="U1180" s="588">
        <v>56400</v>
      </c>
      <c r="V1180" s="317"/>
      <c r="W1180" s="39">
        <v>95718</v>
      </c>
      <c r="X1180" s="39">
        <v>47972.4</v>
      </c>
      <c r="Y1180" s="39">
        <v>0</v>
      </c>
      <c r="Z1180" s="39">
        <v>0</v>
      </c>
      <c r="AA1180" s="589">
        <v>2.65</v>
      </c>
      <c r="AB1180" s="589">
        <v>2.3655029585798819</v>
      </c>
      <c r="AC1180" s="589"/>
      <c r="AD1180" s="589"/>
      <c r="AE1180" s="39">
        <v>0</v>
      </c>
      <c r="AF1180" s="39">
        <v>0</v>
      </c>
      <c r="AG1180" s="39">
        <v>0</v>
      </c>
      <c r="AH1180" s="590">
        <v>2.65</v>
      </c>
      <c r="AI1180" s="590">
        <v>2.3655029585798819</v>
      </c>
      <c r="AJ1180" s="590"/>
      <c r="AK1180" s="590"/>
      <c r="AL1180" s="591" t="s">
        <v>20345</v>
      </c>
      <c r="AM1180" s="591" t="s">
        <v>20346</v>
      </c>
      <c r="AN1180" s="591">
        <v>0</v>
      </c>
      <c r="AO1180" s="591">
        <v>0</v>
      </c>
    </row>
    <row r="1181" spans="1:41" hidden="1">
      <c r="A1181" s="584">
        <v>24</v>
      </c>
      <c r="B1181" s="279" t="s">
        <v>20205</v>
      </c>
      <c r="C1181" s="279">
        <v>0</v>
      </c>
      <c r="D1181" s="585" t="s">
        <v>18925</v>
      </c>
      <c r="E1181" s="279" t="s">
        <v>20205</v>
      </c>
      <c r="F1181" s="53">
        <v>44963</v>
      </c>
      <c r="G1181" s="279">
        <v>2023</v>
      </c>
      <c r="H1181" s="586" t="s">
        <v>16384</v>
      </c>
      <c r="I1181" s="279" t="s">
        <v>16385</v>
      </c>
      <c r="J1181" s="279" t="s">
        <v>3</v>
      </c>
      <c r="K1181" s="280">
        <v>152640</v>
      </c>
      <c r="L1181" s="586">
        <v>1</v>
      </c>
      <c r="M1181" s="587">
        <v>152640</v>
      </c>
      <c r="N1181" s="279" t="s">
        <v>20155</v>
      </c>
      <c r="O1181" s="279" t="s">
        <v>18248</v>
      </c>
      <c r="P1181" s="887">
        <v>44966</v>
      </c>
      <c r="Q1181" s="588">
        <v>57600</v>
      </c>
      <c r="R1181" s="588">
        <v>0</v>
      </c>
      <c r="S1181" s="588">
        <v>0</v>
      </c>
      <c r="T1181" s="588">
        <v>0</v>
      </c>
      <c r="U1181" s="588">
        <v>57600</v>
      </c>
      <c r="V1181" s="317"/>
      <c r="W1181" s="39">
        <v>152640</v>
      </c>
      <c r="X1181" s="39">
        <v>0</v>
      </c>
      <c r="Y1181" s="39">
        <v>0</v>
      </c>
      <c r="Z1181" s="39">
        <v>0</v>
      </c>
      <c r="AA1181" s="589">
        <v>2.65</v>
      </c>
      <c r="AB1181" s="589"/>
      <c r="AC1181" s="589"/>
      <c r="AD1181" s="589"/>
      <c r="AE1181" s="39">
        <v>0</v>
      </c>
      <c r="AF1181" s="39">
        <v>0</v>
      </c>
      <c r="AG1181" s="39">
        <v>0</v>
      </c>
      <c r="AH1181" s="590">
        <v>2.65</v>
      </c>
      <c r="AI1181" s="590"/>
      <c r="AJ1181" s="590"/>
      <c r="AK1181" s="590"/>
      <c r="AL1181" s="591" t="s">
        <v>20345</v>
      </c>
      <c r="AM1181" s="591">
        <v>0</v>
      </c>
      <c r="AN1181" s="591">
        <v>0</v>
      </c>
      <c r="AO1181" s="591">
        <v>0</v>
      </c>
    </row>
    <row r="1182" spans="1:41" hidden="1">
      <c r="A1182" s="584">
        <v>25</v>
      </c>
      <c r="B1182" s="279" t="s">
        <v>20206</v>
      </c>
      <c r="C1182" s="279">
        <v>0</v>
      </c>
      <c r="D1182" s="585" t="s">
        <v>18926</v>
      </c>
      <c r="E1182" s="279" t="s">
        <v>20206</v>
      </c>
      <c r="F1182" s="53">
        <v>44964</v>
      </c>
      <c r="G1182" s="279">
        <v>2023</v>
      </c>
      <c r="H1182" s="586" t="s">
        <v>16384</v>
      </c>
      <c r="I1182" s="279" t="s">
        <v>16385</v>
      </c>
      <c r="J1182" s="279" t="s">
        <v>3</v>
      </c>
      <c r="K1182" s="280">
        <v>251937.6</v>
      </c>
      <c r="L1182" s="586">
        <v>1</v>
      </c>
      <c r="M1182" s="587">
        <v>251937.6</v>
      </c>
      <c r="N1182" s="279" t="s">
        <v>20155</v>
      </c>
      <c r="O1182" s="279" t="s">
        <v>17965</v>
      </c>
      <c r="P1182" s="887">
        <v>44967</v>
      </c>
      <c r="Q1182" s="588">
        <v>76800</v>
      </c>
      <c r="R1182" s="588">
        <v>22008</v>
      </c>
      <c r="S1182" s="588">
        <v>0</v>
      </c>
      <c r="T1182" s="588">
        <v>0</v>
      </c>
      <c r="U1182" s="588">
        <v>98808</v>
      </c>
      <c r="V1182" s="317"/>
      <c r="W1182" s="39">
        <v>203520</v>
      </c>
      <c r="X1182" s="39">
        <v>48417.599999999999</v>
      </c>
      <c r="Y1182" s="39">
        <v>0</v>
      </c>
      <c r="Z1182" s="39">
        <v>0</v>
      </c>
      <c r="AA1182" s="589">
        <v>2.65</v>
      </c>
      <c r="AB1182" s="589">
        <v>2.1999999999999997</v>
      </c>
      <c r="AC1182" s="589"/>
      <c r="AD1182" s="589"/>
      <c r="AE1182" s="39">
        <v>0</v>
      </c>
      <c r="AF1182" s="39">
        <v>0</v>
      </c>
      <c r="AG1182" s="39">
        <v>0</v>
      </c>
      <c r="AH1182" s="590">
        <v>2.65</v>
      </c>
      <c r="AI1182" s="590">
        <v>2.1999999999999997</v>
      </c>
      <c r="AJ1182" s="590"/>
      <c r="AK1182" s="590"/>
      <c r="AL1182" s="591" t="s">
        <v>20345</v>
      </c>
      <c r="AM1182" s="591" t="s">
        <v>20346</v>
      </c>
      <c r="AN1182" s="591">
        <v>0</v>
      </c>
      <c r="AO1182" s="591">
        <v>0</v>
      </c>
    </row>
    <row r="1183" spans="1:41" hidden="1">
      <c r="A1183" s="584">
        <v>26</v>
      </c>
      <c r="B1183" s="279" t="s">
        <v>20207</v>
      </c>
      <c r="C1183" s="279">
        <v>0</v>
      </c>
      <c r="D1183" s="585" t="s">
        <v>18927</v>
      </c>
      <c r="E1183" s="279" t="s">
        <v>20207</v>
      </c>
      <c r="F1183" s="53">
        <v>44965</v>
      </c>
      <c r="G1183" s="279">
        <v>2023</v>
      </c>
      <c r="H1183" s="586" t="s">
        <v>17017</v>
      </c>
      <c r="I1183" s="279" t="s">
        <v>17018</v>
      </c>
      <c r="J1183" s="279" t="s">
        <v>3</v>
      </c>
      <c r="K1183" s="280">
        <v>61000</v>
      </c>
      <c r="L1183" s="586">
        <v>1</v>
      </c>
      <c r="M1183" s="587">
        <v>61000</v>
      </c>
      <c r="N1183" s="279" t="s">
        <v>20155</v>
      </c>
      <c r="O1183" s="279" t="s">
        <v>20350</v>
      </c>
      <c r="P1183" s="887">
        <v>44977</v>
      </c>
      <c r="Q1183" s="588">
        <v>0</v>
      </c>
      <c r="R1183" s="588">
        <v>20000</v>
      </c>
      <c r="S1183" s="588">
        <v>0</v>
      </c>
      <c r="T1183" s="588">
        <v>0</v>
      </c>
      <c r="U1183" s="588">
        <v>20000</v>
      </c>
      <c r="V1183" s="317"/>
      <c r="W1183" s="39">
        <v>0</v>
      </c>
      <c r="X1183" s="39">
        <v>61000</v>
      </c>
      <c r="Y1183" s="39">
        <v>0</v>
      </c>
      <c r="Z1183" s="39">
        <v>0</v>
      </c>
      <c r="AA1183" s="589"/>
      <c r="AB1183" s="589">
        <v>3.05</v>
      </c>
      <c r="AC1183" s="589"/>
      <c r="AD1183" s="589"/>
      <c r="AE1183" s="39">
        <v>0</v>
      </c>
      <c r="AF1183" s="39">
        <v>0</v>
      </c>
      <c r="AG1183" s="39">
        <v>0</v>
      </c>
      <c r="AH1183" s="590"/>
      <c r="AI1183" s="590">
        <v>3.05</v>
      </c>
      <c r="AJ1183" s="590"/>
      <c r="AK1183" s="590"/>
      <c r="AL1183" s="591">
        <v>0</v>
      </c>
      <c r="AM1183" s="591">
        <v>1</v>
      </c>
      <c r="AN1183" s="591">
        <v>0</v>
      </c>
      <c r="AO1183" s="591">
        <v>0</v>
      </c>
    </row>
    <row r="1184" spans="1:41" hidden="1">
      <c r="A1184" s="584">
        <v>27</v>
      </c>
      <c r="B1184" s="279" t="s">
        <v>20208</v>
      </c>
      <c r="C1184" s="279">
        <v>0</v>
      </c>
      <c r="D1184" s="585" t="s">
        <v>18928</v>
      </c>
      <c r="E1184" s="279" t="s">
        <v>20208</v>
      </c>
      <c r="F1184" s="53">
        <v>44965</v>
      </c>
      <c r="G1184" s="279">
        <v>2023</v>
      </c>
      <c r="H1184" s="586" t="s">
        <v>16783</v>
      </c>
      <c r="I1184" s="279" t="s">
        <v>16784</v>
      </c>
      <c r="J1184" s="279" t="s">
        <v>16401</v>
      </c>
      <c r="K1184" s="280">
        <v>502217.03579999995</v>
      </c>
      <c r="L1184" s="586">
        <v>3.0857999999999999</v>
      </c>
      <c r="M1184" s="587">
        <v>162751</v>
      </c>
      <c r="N1184" s="279" t="s">
        <v>20155</v>
      </c>
      <c r="O1184" s="279" t="s">
        <v>17939</v>
      </c>
      <c r="P1184" s="887">
        <v>44980</v>
      </c>
      <c r="Q1184" s="588">
        <v>19200</v>
      </c>
      <c r="R1184" s="588">
        <v>48000</v>
      </c>
      <c r="S1184" s="588">
        <v>0</v>
      </c>
      <c r="T1184" s="588">
        <v>44000</v>
      </c>
      <c r="U1184" s="588">
        <v>111200</v>
      </c>
      <c r="V1184" s="317"/>
      <c r="W1184" s="39">
        <v>63987.148799999995</v>
      </c>
      <c r="X1184" s="39">
        <v>48369.915000000001</v>
      </c>
      <c r="Y1184" s="39">
        <v>0</v>
      </c>
      <c r="Z1184" s="39">
        <v>389859.97200000001</v>
      </c>
      <c r="AA1184" s="589">
        <v>3.3326639999999998</v>
      </c>
      <c r="AB1184" s="589">
        <v>1.0077065625000001</v>
      </c>
      <c r="AC1184" s="589"/>
      <c r="AD1184" s="589">
        <v>8.8604539090909089</v>
      </c>
      <c r="AE1184" s="39">
        <v>0</v>
      </c>
      <c r="AF1184" s="39">
        <v>0</v>
      </c>
      <c r="AG1184" s="39">
        <v>0</v>
      </c>
      <c r="AH1184" s="590">
        <v>3.3326639999999998</v>
      </c>
      <c r="AI1184" s="590">
        <v>1.0077065625000001</v>
      </c>
      <c r="AJ1184" s="590"/>
      <c r="AK1184" s="590">
        <v>8.8604539090909089</v>
      </c>
      <c r="AL1184" s="591" t="s">
        <v>20345</v>
      </c>
      <c r="AM1184" s="591" t="s">
        <v>20345</v>
      </c>
      <c r="AN1184" s="591">
        <v>0</v>
      </c>
      <c r="AO1184" s="591">
        <v>1</v>
      </c>
    </row>
    <row r="1185" spans="1:41" hidden="1">
      <c r="A1185" s="584">
        <v>28</v>
      </c>
      <c r="B1185" s="279" t="s">
        <v>20209</v>
      </c>
      <c r="C1185" s="279">
        <v>0</v>
      </c>
      <c r="D1185" s="585" t="s">
        <v>18929</v>
      </c>
      <c r="E1185" s="279" t="s">
        <v>20209</v>
      </c>
      <c r="F1185" s="53">
        <v>44966</v>
      </c>
      <c r="G1185" s="279">
        <v>2023</v>
      </c>
      <c r="H1185" s="586" t="s">
        <v>16880</v>
      </c>
      <c r="I1185" s="279" t="s">
        <v>16881</v>
      </c>
      <c r="J1185" s="279" t="s">
        <v>16401</v>
      </c>
      <c r="K1185" s="280">
        <v>95432.2532985</v>
      </c>
      <c r="L1185" s="586">
        <v>3.0930499999999999</v>
      </c>
      <c r="M1185" s="587">
        <v>30853.77</v>
      </c>
      <c r="N1185" s="279" t="s">
        <v>20155</v>
      </c>
      <c r="O1185" s="279" t="s">
        <v>20351</v>
      </c>
      <c r="P1185" s="887">
        <v>44977</v>
      </c>
      <c r="Q1185" s="588">
        <v>5800</v>
      </c>
      <c r="R1185" s="588">
        <v>16160</v>
      </c>
      <c r="S1185" s="588">
        <v>0</v>
      </c>
      <c r="T1185" s="588">
        <v>0</v>
      </c>
      <c r="U1185" s="588">
        <v>21960</v>
      </c>
      <c r="V1185" s="317"/>
      <c r="W1185" s="39">
        <v>19359.882465800001</v>
      </c>
      <c r="X1185" s="39">
        <v>76072.271855100014</v>
      </c>
      <c r="Y1185" s="39">
        <v>0</v>
      </c>
      <c r="Z1185" s="39">
        <v>0</v>
      </c>
      <c r="AA1185" s="589">
        <v>3.3379107699655175</v>
      </c>
      <c r="AB1185" s="589">
        <v>4.707442565290842</v>
      </c>
      <c r="AC1185" s="589"/>
      <c r="AD1185" s="589"/>
      <c r="AE1185" s="39">
        <v>0</v>
      </c>
      <c r="AF1185" s="39">
        <v>3712.72</v>
      </c>
      <c r="AG1185" s="39">
        <v>0.16906739526411657</v>
      </c>
      <c r="AH1185" s="590">
        <v>3.1688433747014009</v>
      </c>
      <c r="AI1185" s="590">
        <v>4.5383751700267254</v>
      </c>
      <c r="AJ1185" s="590"/>
      <c r="AK1185" s="590"/>
      <c r="AL1185" s="591">
        <v>1</v>
      </c>
      <c r="AM1185" s="591">
        <v>1</v>
      </c>
      <c r="AN1185" s="591">
        <v>0</v>
      </c>
      <c r="AO1185" s="591">
        <v>0</v>
      </c>
    </row>
    <row r="1186" spans="1:41" hidden="1">
      <c r="A1186" s="584">
        <v>29</v>
      </c>
      <c r="B1186" s="279" t="s">
        <v>20210</v>
      </c>
      <c r="C1186" s="279">
        <v>0</v>
      </c>
      <c r="D1186" s="585" t="s">
        <v>18930</v>
      </c>
      <c r="E1186" s="279" t="s">
        <v>20210</v>
      </c>
      <c r="F1186" s="53">
        <v>44966</v>
      </c>
      <c r="G1186" s="279">
        <v>2023</v>
      </c>
      <c r="H1186" s="586" t="s">
        <v>16838</v>
      </c>
      <c r="I1186" s="279" t="s">
        <v>16839</v>
      </c>
      <c r="J1186" s="279" t="s">
        <v>3</v>
      </c>
      <c r="K1186" s="280">
        <v>387340.79999999999</v>
      </c>
      <c r="L1186" s="586">
        <v>1</v>
      </c>
      <c r="M1186" s="587">
        <v>387340.79999999999</v>
      </c>
      <c r="N1186" s="279" t="s">
        <v>20155</v>
      </c>
      <c r="O1186" s="279" t="s">
        <v>20321</v>
      </c>
      <c r="P1186" s="887">
        <v>44971</v>
      </c>
      <c r="Q1186" s="588">
        <v>0</v>
      </c>
      <c r="R1186" s="588">
        <v>176064</v>
      </c>
      <c r="S1186" s="588">
        <v>0</v>
      </c>
      <c r="T1186" s="588">
        <v>0</v>
      </c>
      <c r="U1186" s="588">
        <v>176064</v>
      </c>
      <c r="V1186" s="317"/>
      <c r="W1186" s="39">
        <v>0</v>
      </c>
      <c r="X1186" s="39">
        <v>387340.79999999999</v>
      </c>
      <c r="Y1186" s="39">
        <v>0</v>
      </c>
      <c r="Z1186" s="39">
        <v>0</v>
      </c>
      <c r="AA1186" s="589"/>
      <c r="AB1186" s="589">
        <v>2.1999999999999997</v>
      </c>
      <c r="AC1186" s="589"/>
      <c r="AD1186" s="589"/>
      <c r="AE1186" s="39">
        <v>0</v>
      </c>
      <c r="AF1186" s="39">
        <v>0</v>
      </c>
      <c r="AG1186" s="39">
        <v>0</v>
      </c>
      <c r="AH1186" s="590"/>
      <c r="AI1186" s="590">
        <v>2.1999999999999997</v>
      </c>
      <c r="AJ1186" s="590"/>
      <c r="AK1186" s="590"/>
      <c r="AL1186" s="591">
        <v>0</v>
      </c>
      <c r="AM1186" s="591" t="s">
        <v>20347</v>
      </c>
      <c r="AN1186" s="591">
        <v>0</v>
      </c>
      <c r="AO1186" s="591">
        <v>0</v>
      </c>
    </row>
    <row r="1187" spans="1:41" hidden="1">
      <c r="A1187" s="584">
        <v>30</v>
      </c>
      <c r="B1187" s="279" t="s">
        <v>20211</v>
      </c>
      <c r="C1187" s="279">
        <v>0</v>
      </c>
      <c r="D1187" s="585" t="s">
        <v>18931</v>
      </c>
      <c r="E1187" s="279" t="s">
        <v>20211</v>
      </c>
      <c r="F1187" s="53">
        <v>44967</v>
      </c>
      <c r="G1187" s="279">
        <v>2023</v>
      </c>
      <c r="H1187" s="586" t="s">
        <v>16444</v>
      </c>
      <c r="I1187" s="279" t="s">
        <v>16445</v>
      </c>
      <c r="J1187" s="279" t="s">
        <v>3</v>
      </c>
      <c r="K1187" s="280">
        <v>56460</v>
      </c>
      <c r="L1187" s="586">
        <v>1</v>
      </c>
      <c r="M1187" s="587">
        <v>56460</v>
      </c>
      <c r="N1187" s="279" t="s">
        <v>20155</v>
      </c>
      <c r="O1187" s="279" t="s">
        <v>17693</v>
      </c>
      <c r="P1187" s="887">
        <v>44972</v>
      </c>
      <c r="Q1187" s="588">
        <v>21600</v>
      </c>
      <c r="R1187" s="588">
        <v>0</v>
      </c>
      <c r="S1187" s="588">
        <v>0</v>
      </c>
      <c r="T1187" s="588">
        <v>0</v>
      </c>
      <c r="U1187" s="588">
        <v>21600</v>
      </c>
      <c r="V1187" s="317"/>
      <c r="W1187" s="39">
        <v>56460</v>
      </c>
      <c r="X1187" s="39">
        <v>0</v>
      </c>
      <c r="Y1187" s="39">
        <v>0</v>
      </c>
      <c r="Z1187" s="39">
        <v>0</v>
      </c>
      <c r="AA1187" s="589">
        <v>2.6138888888888889</v>
      </c>
      <c r="AB1187" s="589"/>
      <c r="AC1187" s="589"/>
      <c r="AD1187" s="589"/>
      <c r="AE1187" s="39">
        <v>0</v>
      </c>
      <c r="AF1187" s="39">
        <v>0</v>
      </c>
      <c r="AG1187" s="39">
        <v>0</v>
      </c>
      <c r="AH1187" s="590">
        <v>2.6138888888888889</v>
      </c>
      <c r="AI1187" s="590"/>
      <c r="AJ1187" s="590"/>
      <c r="AK1187" s="590"/>
      <c r="AL1187" s="591" t="s">
        <v>20345</v>
      </c>
      <c r="AM1187" s="591">
        <v>0</v>
      </c>
      <c r="AN1187" s="591">
        <v>0</v>
      </c>
      <c r="AO1187" s="591">
        <v>0</v>
      </c>
    </row>
    <row r="1188" spans="1:41" hidden="1">
      <c r="A1188" s="584">
        <v>31</v>
      </c>
      <c r="B1188" s="279" t="s">
        <v>20212</v>
      </c>
      <c r="C1188" s="279">
        <v>0</v>
      </c>
      <c r="D1188" s="585" t="s">
        <v>18932</v>
      </c>
      <c r="E1188" s="279" t="s">
        <v>20212</v>
      </c>
      <c r="F1188" s="53">
        <v>44967</v>
      </c>
      <c r="G1188" s="279">
        <v>2023</v>
      </c>
      <c r="H1188" s="586" t="s">
        <v>16957</v>
      </c>
      <c r="I1188" s="279" t="s">
        <v>16958</v>
      </c>
      <c r="J1188" s="279" t="s">
        <v>16401</v>
      </c>
      <c r="K1188" s="280">
        <v>54584.586875000001</v>
      </c>
      <c r="L1188" s="586">
        <v>3.0958999999999999</v>
      </c>
      <c r="M1188" s="587">
        <v>17631.25</v>
      </c>
      <c r="N1188" s="279" t="s">
        <v>20155</v>
      </c>
      <c r="O1188" s="279" t="s">
        <v>20161</v>
      </c>
      <c r="P1188" s="887">
        <v>44987</v>
      </c>
      <c r="Q1188" s="588">
        <v>20150</v>
      </c>
      <c r="R1188" s="588">
        <v>0</v>
      </c>
      <c r="S1188" s="588">
        <v>0</v>
      </c>
      <c r="T1188" s="588">
        <v>0</v>
      </c>
      <c r="U1188" s="588">
        <v>20150</v>
      </c>
      <c r="V1188" s="317"/>
      <c r="W1188" s="39">
        <v>54584.586875000001</v>
      </c>
      <c r="X1188" s="39">
        <v>0</v>
      </c>
      <c r="Y1188" s="39">
        <v>0</v>
      </c>
      <c r="Z1188" s="39">
        <v>0</v>
      </c>
      <c r="AA1188" s="589">
        <v>2.7089124999999998</v>
      </c>
      <c r="AB1188" s="589"/>
      <c r="AC1188" s="589"/>
      <c r="AD1188" s="589"/>
      <c r="AE1188" s="39">
        <v>0</v>
      </c>
      <c r="AF1188" s="39">
        <v>3364.78</v>
      </c>
      <c r="AG1188" s="39">
        <v>0.16698660049627792</v>
      </c>
      <c r="AH1188" s="590">
        <v>2.5419258995037217</v>
      </c>
      <c r="AI1188" s="590"/>
      <c r="AJ1188" s="590"/>
      <c r="AK1188" s="590"/>
      <c r="AL1188" s="591" t="s">
        <v>20345</v>
      </c>
      <c r="AM1188" s="591">
        <v>0</v>
      </c>
      <c r="AN1188" s="591">
        <v>0</v>
      </c>
      <c r="AO1188" s="591">
        <v>0</v>
      </c>
    </row>
    <row r="1189" spans="1:41" hidden="1">
      <c r="A1189" s="584">
        <v>32</v>
      </c>
      <c r="B1189" s="279" t="s">
        <v>20213</v>
      </c>
      <c r="C1189" s="279">
        <v>0</v>
      </c>
      <c r="D1189" s="585" t="s">
        <v>18933</v>
      </c>
      <c r="E1189" s="279" t="s">
        <v>20213</v>
      </c>
      <c r="F1189" s="53">
        <v>44971</v>
      </c>
      <c r="G1189" s="279">
        <v>2023</v>
      </c>
      <c r="H1189" s="586" t="s">
        <v>17209</v>
      </c>
      <c r="I1189" s="279" t="s">
        <v>17210</v>
      </c>
      <c r="J1189" s="279" t="s">
        <v>16401</v>
      </c>
      <c r="K1189" s="280">
        <v>96825.738675000001</v>
      </c>
      <c r="L1189" s="586">
        <v>3.10155</v>
      </c>
      <c r="M1189" s="587">
        <v>31218.5</v>
      </c>
      <c r="N1189" s="279" t="s">
        <v>20155</v>
      </c>
      <c r="O1189" s="279" t="s">
        <v>20168</v>
      </c>
      <c r="P1189" s="887">
        <v>44984</v>
      </c>
      <c r="Q1189" s="588">
        <v>600</v>
      </c>
      <c r="R1189" s="588">
        <v>13020</v>
      </c>
      <c r="S1189" s="588">
        <v>4800</v>
      </c>
      <c r="T1189" s="588">
        <v>4500</v>
      </c>
      <c r="U1189" s="588">
        <v>22920</v>
      </c>
      <c r="V1189" s="317"/>
      <c r="W1189" s="39">
        <v>2274.3617434554972</v>
      </c>
      <c r="X1189" s="39">
        <v>46357.552532984286</v>
      </c>
      <c r="Y1189" s="39">
        <v>17450.521947643978</v>
      </c>
      <c r="Z1189" s="39">
        <v>30743.302450916231</v>
      </c>
      <c r="AA1189" s="589">
        <v>3.7906029057591621</v>
      </c>
      <c r="AB1189" s="589">
        <v>3.5604879057591616</v>
      </c>
      <c r="AC1189" s="589">
        <v>3.6355254057591622</v>
      </c>
      <c r="AD1189" s="589">
        <v>6.8318449890924962</v>
      </c>
      <c r="AE1189" s="39">
        <v>1253.7359999999999</v>
      </c>
      <c r="AF1189" s="39">
        <v>10333.6</v>
      </c>
      <c r="AG1189" s="39">
        <v>0.45085514834205936</v>
      </c>
      <c r="AH1189" s="590">
        <v>3.3397477574171028</v>
      </c>
      <c r="AI1189" s="590">
        <v>3.1096327574171023</v>
      </c>
      <c r="AJ1189" s="590">
        <v>3.1846702574171029</v>
      </c>
      <c r="AK1189" s="590">
        <v>6.3809898407504368</v>
      </c>
      <c r="AL1189" s="591">
        <v>1</v>
      </c>
      <c r="AM1189" s="591">
        <v>1</v>
      </c>
      <c r="AN1189" s="591">
        <v>1</v>
      </c>
      <c r="AO1189" s="591">
        <v>1</v>
      </c>
    </row>
    <row r="1190" spans="1:41" hidden="1">
      <c r="A1190" s="584">
        <v>33</v>
      </c>
      <c r="B1190" s="279" t="s">
        <v>20214</v>
      </c>
      <c r="C1190" s="279">
        <v>0</v>
      </c>
      <c r="D1190" s="585" t="s">
        <v>18934</v>
      </c>
      <c r="E1190" s="279" t="s">
        <v>20214</v>
      </c>
      <c r="F1190" s="53">
        <v>44971</v>
      </c>
      <c r="G1190" s="279">
        <v>2023</v>
      </c>
      <c r="H1190" s="586" t="s">
        <v>17321</v>
      </c>
      <c r="I1190" s="279" t="s">
        <v>17322</v>
      </c>
      <c r="J1190" s="279" t="s">
        <v>16401</v>
      </c>
      <c r="K1190" s="280">
        <v>249145.17749999999</v>
      </c>
      <c r="L1190" s="586">
        <v>3.0930499999999999</v>
      </c>
      <c r="M1190" s="587">
        <v>80550</v>
      </c>
      <c r="N1190" s="279" t="s">
        <v>20155</v>
      </c>
      <c r="O1190" s="279" t="s">
        <v>17939</v>
      </c>
      <c r="P1190" s="887">
        <v>44975</v>
      </c>
      <c r="Q1190" s="588">
        <v>0</v>
      </c>
      <c r="R1190" s="588">
        <v>90000</v>
      </c>
      <c r="S1190" s="588">
        <v>0</v>
      </c>
      <c r="T1190" s="588">
        <v>0</v>
      </c>
      <c r="U1190" s="588">
        <v>90000</v>
      </c>
      <c r="V1190" s="317"/>
      <c r="W1190" s="39">
        <v>0</v>
      </c>
      <c r="X1190" s="39">
        <v>249145.17749999999</v>
      </c>
      <c r="Y1190" s="39">
        <v>0</v>
      </c>
      <c r="Z1190" s="39">
        <v>0</v>
      </c>
      <c r="AA1190" s="589"/>
      <c r="AB1190" s="589">
        <v>2.76827975</v>
      </c>
      <c r="AC1190" s="589"/>
      <c r="AD1190" s="589"/>
      <c r="AE1190" s="39">
        <v>0</v>
      </c>
      <c r="AF1190" s="39">
        <v>0</v>
      </c>
      <c r="AG1190" s="39">
        <v>0</v>
      </c>
      <c r="AH1190" s="590"/>
      <c r="AI1190" s="590">
        <v>2.76827975</v>
      </c>
      <c r="AJ1190" s="590"/>
      <c r="AK1190" s="590"/>
      <c r="AL1190" s="591">
        <v>0</v>
      </c>
      <c r="AM1190" s="591" t="s">
        <v>20345</v>
      </c>
      <c r="AN1190" s="591">
        <v>0</v>
      </c>
      <c r="AO1190" s="591">
        <v>0</v>
      </c>
    </row>
    <row r="1191" spans="1:41" hidden="1">
      <c r="A1191" s="584">
        <v>34</v>
      </c>
      <c r="B1191" s="279" t="s">
        <v>20215</v>
      </c>
      <c r="C1191" s="279">
        <v>0</v>
      </c>
      <c r="D1191" s="585" t="s">
        <v>18935</v>
      </c>
      <c r="E1191" s="279" t="s">
        <v>20215</v>
      </c>
      <c r="F1191" s="53">
        <v>44972</v>
      </c>
      <c r="G1191" s="279">
        <v>2023</v>
      </c>
      <c r="H1191" s="586" t="s">
        <v>16904</v>
      </c>
      <c r="I1191" s="279" t="s">
        <v>16905</v>
      </c>
      <c r="J1191" s="279" t="s">
        <v>16482</v>
      </c>
      <c r="K1191" s="280">
        <v>47466.662536000003</v>
      </c>
      <c r="L1191" s="586">
        <v>3.2902</v>
      </c>
      <c r="M1191" s="587">
        <v>14426.68</v>
      </c>
      <c r="N1191" s="279" t="s">
        <v>20155</v>
      </c>
      <c r="O1191" s="279" t="s">
        <v>20160</v>
      </c>
      <c r="P1191" s="887">
        <v>44980</v>
      </c>
      <c r="Q1191" s="588">
        <v>0</v>
      </c>
      <c r="R1191" s="588">
        <v>9216</v>
      </c>
      <c r="S1191" s="588">
        <v>3000</v>
      </c>
      <c r="T1191" s="588">
        <v>0</v>
      </c>
      <c r="U1191" s="588">
        <v>12216</v>
      </c>
      <c r="V1191" s="317"/>
      <c r="W1191" s="39">
        <v>0</v>
      </c>
      <c r="X1191" s="39">
        <v>35921.518801225931</v>
      </c>
      <c r="Y1191" s="39">
        <v>11545.143734774068</v>
      </c>
      <c r="Z1191" s="39">
        <v>0</v>
      </c>
      <c r="AA1191" s="589"/>
      <c r="AB1191" s="589">
        <v>3.8977342449246888</v>
      </c>
      <c r="AC1191" s="589">
        <v>3.8483812449246897</v>
      </c>
      <c r="AD1191" s="589"/>
      <c r="AE1191" s="39">
        <v>2339.5050000000001</v>
      </c>
      <c r="AF1191" s="39">
        <v>9219.94</v>
      </c>
      <c r="AG1191" s="39">
        <v>0.75474296005239039</v>
      </c>
      <c r="AH1191" s="590"/>
      <c r="AI1191" s="590">
        <v>3.1429912848722985</v>
      </c>
      <c r="AJ1191" s="590">
        <v>3.0936382848722994</v>
      </c>
      <c r="AK1191" s="590"/>
      <c r="AL1191" s="591">
        <v>0</v>
      </c>
      <c r="AM1191" s="591">
        <v>1</v>
      </c>
      <c r="AN1191" s="591">
        <v>1</v>
      </c>
      <c r="AO1191" s="591">
        <v>0</v>
      </c>
    </row>
    <row r="1192" spans="1:41" hidden="1">
      <c r="A1192" s="584">
        <v>35</v>
      </c>
      <c r="B1192" s="279" t="s">
        <v>20216</v>
      </c>
      <c r="C1192" s="279">
        <v>0</v>
      </c>
      <c r="D1192" s="585" t="s">
        <v>18936</v>
      </c>
      <c r="E1192" s="279" t="s">
        <v>20216</v>
      </c>
      <c r="F1192" s="53">
        <v>44972</v>
      </c>
      <c r="G1192" s="279">
        <v>2023</v>
      </c>
      <c r="H1192" s="586" t="s">
        <v>16904</v>
      </c>
      <c r="I1192" s="279" t="s">
        <v>16905</v>
      </c>
      <c r="J1192" s="279" t="s">
        <v>16482</v>
      </c>
      <c r="K1192" s="280">
        <v>103797.634552</v>
      </c>
      <c r="L1192" s="586">
        <v>3.2926000000000002</v>
      </c>
      <c r="M1192" s="587">
        <v>31524.52</v>
      </c>
      <c r="N1192" s="279" t="s">
        <v>20155</v>
      </c>
      <c r="O1192" s="279" t="s">
        <v>20160</v>
      </c>
      <c r="P1192" s="887">
        <v>44979</v>
      </c>
      <c r="Q1192" s="588">
        <v>0</v>
      </c>
      <c r="R1192" s="588">
        <v>19224</v>
      </c>
      <c r="S1192" s="588">
        <v>9000</v>
      </c>
      <c r="T1192" s="588">
        <v>0</v>
      </c>
      <c r="U1192" s="588">
        <v>28224</v>
      </c>
      <c r="V1192" s="317"/>
      <c r="W1192" s="39">
        <v>0</v>
      </c>
      <c r="X1192" s="39">
        <v>71001.658654040817</v>
      </c>
      <c r="Y1192" s="39">
        <v>32795.975897959186</v>
      </c>
      <c r="Z1192" s="39">
        <v>0</v>
      </c>
      <c r="AA1192" s="589"/>
      <c r="AB1192" s="589">
        <v>3.6933863219954648</v>
      </c>
      <c r="AC1192" s="589">
        <v>3.6439973219954651</v>
      </c>
      <c r="AD1192" s="589"/>
      <c r="AE1192" s="39">
        <v>3580.875</v>
      </c>
      <c r="AF1192" s="39">
        <v>13708.305</v>
      </c>
      <c r="AG1192" s="39">
        <v>0.48569674744897962</v>
      </c>
      <c r="AH1192" s="590"/>
      <c r="AI1192" s="590">
        <v>3.2076895745464853</v>
      </c>
      <c r="AJ1192" s="590">
        <v>3.1583005745464856</v>
      </c>
      <c r="AK1192" s="590"/>
      <c r="AL1192" s="591">
        <v>0</v>
      </c>
      <c r="AM1192" s="591">
        <v>1</v>
      </c>
      <c r="AN1192" s="591">
        <v>1</v>
      </c>
      <c r="AO1192" s="591">
        <v>0</v>
      </c>
    </row>
    <row r="1193" spans="1:41" hidden="1">
      <c r="A1193" s="584">
        <v>36</v>
      </c>
      <c r="B1193" s="279" t="s">
        <v>20217</v>
      </c>
      <c r="C1193" s="279">
        <v>0</v>
      </c>
      <c r="D1193" s="585" t="s">
        <v>18937</v>
      </c>
      <c r="E1193" s="279" t="s">
        <v>20217</v>
      </c>
      <c r="F1193" s="53">
        <v>44974</v>
      </c>
      <c r="G1193" s="279">
        <v>2023</v>
      </c>
      <c r="H1193" s="586" t="s">
        <v>16444</v>
      </c>
      <c r="I1193" s="279" t="s">
        <v>16445</v>
      </c>
      <c r="J1193" s="279" t="s">
        <v>3</v>
      </c>
      <c r="K1193" s="280">
        <v>143616</v>
      </c>
      <c r="L1193" s="586">
        <v>1</v>
      </c>
      <c r="M1193" s="587">
        <v>143616</v>
      </c>
      <c r="N1193" s="279" t="s">
        <v>20155</v>
      </c>
      <c r="O1193" s="279" t="s">
        <v>18248</v>
      </c>
      <c r="P1193" s="887">
        <v>44981</v>
      </c>
      <c r="Q1193" s="588">
        <v>31800</v>
      </c>
      <c r="R1193" s="588">
        <v>22200</v>
      </c>
      <c r="S1193" s="588">
        <v>2400</v>
      </c>
      <c r="T1193" s="588">
        <v>0</v>
      </c>
      <c r="U1193" s="588">
        <v>56400</v>
      </c>
      <c r="V1193" s="317"/>
      <c r="W1193" s="39">
        <v>84522</v>
      </c>
      <c r="X1193" s="39">
        <v>53502</v>
      </c>
      <c r="Y1193" s="39">
        <v>5592</v>
      </c>
      <c r="Z1193" s="39">
        <v>0</v>
      </c>
      <c r="AA1193" s="589">
        <v>2.6579245283018866</v>
      </c>
      <c r="AB1193" s="589">
        <v>2.41</v>
      </c>
      <c r="AC1193" s="589">
        <v>2.33</v>
      </c>
      <c r="AD1193" s="589"/>
      <c r="AE1193" s="39">
        <v>0</v>
      </c>
      <c r="AF1193" s="39">
        <v>0</v>
      </c>
      <c r="AG1193" s="39">
        <v>0</v>
      </c>
      <c r="AH1193" s="590">
        <v>2.6579245283018866</v>
      </c>
      <c r="AI1193" s="590">
        <v>2.41</v>
      </c>
      <c r="AJ1193" s="590">
        <v>2.33</v>
      </c>
      <c r="AK1193" s="590"/>
      <c r="AL1193" s="591" t="s">
        <v>20345</v>
      </c>
      <c r="AM1193" s="591" t="s">
        <v>20346</v>
      </c>
      <c r="AN1193" s="591" t="s">
        <v>20346</v>
      </c>
      <c r="AO1193" s="591">
        <v>0</v>
      </c>
    </row>
    <row r="1194" spans="1:41" hidden="1">
      <c r="A1194" s="584">
        <v>37</v>
      </c>
      <c r="B1194" s="279" t="s">
        <v>20218</v>
      </c>
      <c r="C1194" s="279">
        <v>0</v>
      </c>
      <c r="D1194" s="585" t="s">
        <v>18938</v>
      </c>
      <c r="E1194" s="279" t="s">
        <v>20218</v>
      </c>
      <c r="F1194" s="53">
        <v>44974</v>
      </c>
      <c r="G1194" s="279">
        <v>2023</v>
      </c>
      <c r="H1194" s="586" t="s">
        <v>17156</v>
      </c>
      <c r="I1194" s="279" t="s">
        <v>17157</v>
      </c>
      <c r="J1194" s="279" t="s">
        <v>3</v>
      </c>
      <c r="K1194" s="280">
        <v>184500</v>
      </c>
      <c r="L1194" s="586">
        <v>1</v>
      </c>
      <c r="M1194" s="587">
        <v>184500</v>
      </c>
      <c r="N1194" s="279" t="s">
        <v>20155</v>
      </c>
      <c r="O1194" s="279" t="s">
        <v>20161</v>
      </c>
      <c r="P1194" s="887">
        <v>44991</v>
      </c>
      <c r="Q1194" s="588">
        <v>0</v>
      </c>
      <c r="R1194" s="588">
        <v>61500</v>
      </c>
      <c r="S1194" s="588">
        <v>0</v>
      </c>
      <c r="T1194" s="588">
        <v>0</v>
      </c>
      <c r="U1194" s="588">
        <v>61500</v>
      </c>
      <c r="V1194" s="317"/>
      <c r="W1194" s="39">
        <v>0</v>
      </c>
      <c r="X1194" s="39">
        <v>184500</v>
      </c>
      <c r="Y1194" s="39">
        <v>0</v>
      </c>
      <c r="Z1194" s="39">
        <v>0</v>
      </c>
      <c r="AA1194" s="589"/>
      <c r="AB1194" s="589">
        <v>3</v>
      </c>
      <c r="AC1194" s="589"/>
      <c r="AD1194" s="589"/>
      <c r="AE1194" s="39">
        <v>0</v>
      </c>
      <c r="AF1194" s="39">
        <v>0</v>
      </c>
      <c r="AG1194" s="39">
        <v>0</v>
      </c>
      <c r="AH1194" s="590"/>
      <c r="AI1194" s="590">
        <v>3</v>
      </c>
      <c r="AJ1194" s="590"/>
      <c r="AK1194" s="590"/>
      <c r="AL1194" s="591">
        <v>0</v>
      </c>
      <c r="AM1194" s="591">
        <v>1</v>
      </c>
      <c r="AN1194" s="591">
        <v>0</v>
      </c>
      <c r="AO1194" s="591">
        <v>0</v>
      </c>
    </row>
    <row r="1195" spans="1:41" hidden="1">
      <c r="A1195" s="584">
        <v>38</v>
      </c>
      <c r="B1195" s="279" t="s">
        <v>20219</v>
      </c>
      <c r="C1195" s="279">
        <v>0</v>
      </c>
      <c r="D1195" s="585" t="s">
        <v>18939</v>
      </c>
      <c r="E1195" s="279" t="s">
        <v>20219</v>
      </c>
      <c r="F1195" s="53">
        <v>44974</v>
      </c>
      <c r="G1195" s="279">
        <v>2023</v>
      </c>
      <c r="H1195" s="586" t="s">
        <v>16444</v>
      </c>
      <c r="I1195" s="279" t="s">
        <v>16445</v>
      </c>
      <c r="J1195" s="279" t="s">
        <v>3</v>
      </c>
      <c r="K1195" s="280">
        <v>50880</v>
      </c>
      <c r="L1195" s="586">
        <v>1</v>
      </c>
      <c r="M1195" s="587">
        <v>50880</v>
      </c>
      <c r="N1195" s="279" t="s">
        <v>20155</v>
      </c>
      <c r="O1195" s="279" t="s">
        <v>17965</v>
      </c>
      <c r="P1195" s="887">
        <v>44984</v>
      </c>
      <c r="Q1195" s="588">
        <v>19200</v>
      </c>
      <c r="R1195" s="588">
        <v>0</v>
      </c>
      <c r="S1195" s="588">
        <v>0</v>
      </c>
      <c r="T1195" s="588">
        <v>0</v>
      </c>
      <c r="U1195" s="588">
        <v>19200</v>
      </c>
      <c r="V1195" s="317"/>
      <c r="W1195" s="39">
        <v>50880</v>
      </c>
      <c r="X1195" s="39">
        <v>0</v>
      </c>
      <c r="Y1195" s="39">
        <v>0</v>
      </c>
      <c r="Z1195" s="39">
        <v>0</v>
      </c>
      <c r="AA1195" s="589">
        <v>2.65</v>
      </c>
      <c r="AB1195" s="589"/>
      <c r="AC1195" s="589"/>
      <c r="AD1195" s="589"/>
      <c r="AE1195" s="39">
        <v>0</v>
      </c>
      <c r="AF1195" s="39">
        <v>0</v>
      </c>
      <c r="AG1195" s="39">
        <v>0</v>
      </c>
      <c r="AH1195" s="590">
        <v>2.65</v>
      </c>
      <c r="AI1195" s="590"/>
      <c r="AJ1195" s="590"/>
      <c r="AK1195" s="590"/>
      <c r="AL1195" s="591" t="s">
        <v>20345</v>
      </c>
      <c r="AM1195" s="591">
        <v>0</v>
      </c>
      <c r="AN1195" s="591">
        <v>0</v>
      </c>
      <c r="AO1195" s="591">
        <v>0</v>
      </c>
    </row>
    <row r="1196" spans="1:41" hidden="1">
      <c r="A1196" s="584">
        <v>39</v>
      </c>
      <c r="B1196" s="279" t="s">
        <v>20220</v>
      </c>
      <c r="C1196" s="279">
        <v>0</v>
      </c>
      <c r="D1196" s="585" t="s">
        <v>18940</v>
      </c>
      <c r="E1196" s="279" t="s">
        <v>20220</v>
      </c>
      <c r="F1196" s="53">
        <v>44975</v>
      </c>
      <c r="G1196" s="279">
        <v>2023</v>
      </c>
      <c r="H1196" s="586" t="s">
        <v>16783</v>
      </c>
      <c r="I1196" s="279" t="s">
        <v>16784</v>
      </c>
      <c r="J1196" s="279" t="s">
        <v>16401</v>
      </c>
      <c r="K1196" s="280">
        <v>840991.48560000001</v>
      </c>
      <c r="L1196" s="586">
        <v>3.10155</v>
      </c>
      <c r="M1196" s="587">
        <v>271152</v>
      </c>
      <c r="N1196" s="279" t="s">
        <v>20155</v>
      </c>
      <c r="O1196" s="279" t="s">
        <v>17939</v>
      </c>
      <c r="P1196" s="887">
        <v>44982</v>
      </c>
      <c r="Q1196" s="588">
        <v>30000</v>
      </c>
      <c r="R1196" s="588">
        <v>268800</v>
      </c>
      <c r="S1196" s="588">
        <v>24000</v>
      </c>
      <c r="T1196" s="588">
        <v>0</v>
      </c>
      <c r="U1196" s="588">
        <v>322800</v>
      </c>
      <c r="V1196" s="317"/>
      <c r="W1196" s="39">
        <v>78159.06</v>
      </c>
      <c r="X1196" s="39">
        <v>700305.17760000005</v>
      </c>
      <c r="Y1196" s="39">
        <v>62527.248</v>
      </c>
      <c r="Z1196" s="39">
        <v>0</v>
      </c>
      <c r="AA1196" s="589">
        <v>2.605302</v>
      </c>
      <c r="AB1196" s="589">
        <v>2.605302</v>
      </c>
      <c r="AC1196" s="589">
        <v>2.605302</v>
      </c>
      <c r="AD1196" s="589"/>
      <c r="AE1196" s="39">
        <v>0</v>
      </c>
      <c r="AF1196" s="39">
        <v>0</v>
      </c>
      <c r="AG1196" s="39">
        <v>0</v>
      </c>
      <c r="AH1196" s="590">
        <v>2.605302</v>
      </c>
      <c r="AI1196" s="590">
        <v>2.605302</v>
      </c>
      <c r="AJ1196" s="590">
        <v>2.605302</v>
      </c>
      <c r="AK1196" s="590"/>
      <c r="AL1196" s="591" t="s">
        <v>20345</v>
      </c>
      <c r="AM1196" s="591" t="s">
        <v>20345</v>
      </c>
      <c r="AN1196" s="591" t="s">
        <v>20345</v>
      </c>
      <c r="AO1196" s="591">
        <v>0</v>
      </c>
    </row>
    <row r="1197" spans="1:41" hidden="1">
      <c r="A1197" s="584">
        <v>40</v>
      </c>
      <c r="B1197" s="279" t="s">
        <v>20221</v>
      </c>
      <c r="C1197" s="279">
        <v>0</v>
      </c>
      <c r="D1197" s="585" t="s">
        <v>18941</v>
      </c>
      <c r="E1197" s="279" t="s">
        <v>20221</v>
      </c>
      <c r="F1197" s="53">
        <v>44977</v>
      </c>
      <c r="G1197" s="279">
        <v>2023</v>
      </c>
      <c r="H1197" s="586" t="s">
        <v>16838</v>
      </c>
      <c r="I1197" s="279" t="s">
        <v>16839</v>
      </c>
      <c r="J1197" s="279" t="s">
        <v>3</v>
      </c>
      <c r="K1197" s="280">
        <v>122616</v>
      </c>
      <c r="L1197" s="586">
        <v>1</v>
      </c>
      <c r="M1197" s="587">
        <v>122616</v>
      </c>
      <c r="N1197" s="279" t="s">
        <v>20155</v>
      </c>
      <c r="O1197" s="279" t="s">
        <v>17949</v>
      </c>
      <c r="P1197" s="887">
        <v>44981</v>
      </c>
      <c r="Q1197" s="588">
        <v>22800</v>
      </c>
      <c r="R1197" s="588">
        <v>22800</v>
      </c>
      <c r="S1197" s="588">
        <v>3600</v>
      </c>
      <c r="T1197" s="588">
        <v>0</v>
      </c>
      <c r="U1197" s="588">
        <v>49200</v>
      </c>
      <c r="V1197" s="317"/>
      <c r="W1197" s="39">
        <v>59280</v>
      </c>
      <c r="X1197" s="39">
        <v>54948</v>
      </c>
      <c r="Y1197" s="39">
        <v>8388</v>
      </c>
      <c r="Z1197" s="39">
        <v>0</v>
      </c>
      <c r="AA1197" s="589">
        <v>2.6</v>
      </c>
      <c r="AB1197" s="589">
        <v>2.41</v>
      </c>
      <c r="AC1197" s="589">
        <v>2.33</v>
      </c>
      <c r="AD1197" s="589"/>
      <c r="AE1197" s="39">
        <v>0</v>
      </c>
      <c r="AF1197" s="39">
        <v>0</v>
      </c>
      <c r="AG1197" s="39">
        <v>0</v>
      </c>
      <c r="AH1197" s="590">
        <v>2.6</v>
      </c>
      <c r="AI1197" s="590">
        <v>2.41</v>
      </c>
      <c r="AJ1197" s="590">
        <v>2.33</v>
      </c>
      <c r="AK1197" s="590"/>
      <c r="AL1197" s="591" t="s">
        <v>20345</v>
      </c>
      <c r="AM1197" s="591" t="s">
        <v>20346</v>
      </c>
      <c r="AN1197" s="591" t="s">
        <v>20346</v>
      </c>
      <c r="AO1197" s="591">
        <v>0</v>
      </c>
    </row>
    <row r="1198" spans="1:41" hidden="1">
      <c r="A1198" s="584">
        <v>41</v>
      </c>
      <c r="B1198" s="279" t="s">
        <v>20222</v>
      </c>
      <c r="C1198" s="279">
        <v>0</v>
      </c>
      <c r="D1198" s="585" t="s">
        <v>18942</v>
      </c>
      <c r="E1198" s="279" t="s">
        <v>20222</v>
      </c>
      <c r="F1198" s="53">
        <v>44977</v>
      </c>
      <c r="G1198" s="279">
        <v>2023</v>
      </c>
      <c r="H1198" s="586" t="s">
        <v>16838</v>
      </c>
      <c r="I1198" s="279" t="s">
        <v>16839</v>
      </c>
      <c r="J1198" s="279" t="s">
        <v>3</v>
      </c>
      <c r="K1198" s="280">
        <v>338923.2</v>
      </c>
      <c r="L1198" s="586">
        <v>1</v>
      </c>
      <c r="M1198" s="587">
        <v>338923.2</v>
      </c>
      <c r="N1198" s="279" t="s">
        <v>20155</v>
      </c>
      <c r="O1198" s="279" t="s">
        <v>20321</v>
      </c>
      <c r="P1198" s="887">
        <v>44985</v>
      </c>
      <c r="Q1198" s="588">
        <v>0</v>
      </c>
      <c r="R1198" s="588">
        <v>154056</v>
      </c>
      <c r="S1198" s="588">
        <v>0</v>
      </c>
      <c r="T1198" s="588">
        <v>0</v>
      </c>
      <c r="U1198" s="588">
        <v>154056</v>
      </c>
      <c r="V1198" s="317"/>
      <c r="W1198" s="39">
        <v>0</v>
      </c>
      <c r="X1198" s="39">
        <v>338923.2</v>
      </c>
      <c r="Y1198" s="39">
        <v>0</v>
      </c>
      <c r="Z1198" s="39">
        <v>0</v>
      </c>
      <c r="AA1198" s="589"/>
      <c r="AB1198" s="589">
        <v>2.2000000000000002</v>
      </c>
      <c r="AC1198" s="589"/>
      <c r="AD1198" s="589"/>
      <c r="AE1198" s="39">
        <v>0</v>
      </c>
      <c r="AF1198" s="39">
        <v>0</v>
      </c>
      <c r="AG1198" s="39">
        <v>0</v>
      </c>
      <c r="AH1198" s="590"/>
      <c r="AI1198" s="590">
        <v>2.2000000000000002</v>
      </c>
      <c r="AJ1198" s="590"/>
      <c r="AK1198" s="590"/>
      <c r="AL1198" s="591">
        <v>0</v>
      </c>
      <c r="AM1198" s="591" t="s">
        <v>20347</v>
      </c>
      <c r="AN1198" s="591">
        <v>0</v>
      </c>
      <c r="AO1198" s="591">
        <v>0</v>
      </c>
    </row>
    <row r="1199" spans="1:41" hidden="1">
      <c r="A1199" s="584">
        <v>42</v>
      </c>
      <c r="B1199" s="279" t="s">
        <v>20223</v>
      </c>
      <c r="C1199" s="279">
        <v>0</v>
      </c>
      <c r="D1199" s="585" t="s">
        <v>18943</v>
      </c>
      <c r="E1199" s="279" t="s">
        <v>20223</v>
      </c>
      <c r="F1199" s="53">
        <v>44978</v>
      </c>
      <c r="G1199" s="279">
        <v>2023</v>
      </c>
      <c r="H1199" s="586" t="s">
        <v>17226</v>
      </c>
      <c r="I1199" s="279" t="s">
        <v>17227</v>
      </c>
      <c r="J1199" s="279" t="s">
        <v>3</v>
      </c>
      <c r="K1199" s="280">
        <v>65466</v>
      </c>
      <c r="L1199" s="586">
        <v>1</v>
      </c>
      <c r="M1199" s="587">
        <v>65466</v>
      </c>
      <c r="N1199" s="279" t="s">
        <v>20155</v>
      </c>
      <c r="O1199" s="279" t="s">
        <v>17689</v>
      </c>
      <c r="P1199" s="887">
        <v>44992</v>
      </c>
      <c r="Q1199" s="588">
        <v>3600</v>
      </c>
      <c r="R1199" s="588">
        <v>13200</v>
      </c>
      <c r="S1199" s="588">
        <v>10200</v>
      </c>
      <c r="T1199" s="588">
        <v>0</v>
      </c>
      <c r="U1199" s="588">
        <v>27000</v>
      </c>
      <c r="V1199" s="317"/>
      <c r="W1199" s="39">
        <v>9540</v>
      </c>
      <c r="X1199" s="39">
        <v>31548</v>
      </c>
      <c r="Y1199" s="39">
        <v>24378</v>
      </c>
      <c r="Z1199" s="39">
        <v>0</v>
      </c>
      <c r="AA1199" s="589">
        <v>2.65</v>
      </c>
      <c r="AB1199" s="589">
        <v>2.39</v>
      </c>
      <c r="AC1199" s="589">
        <v>2.39</v>
      </c>
      <c r="AD1199" s="589"/>
      <c r="AE1199" s="39">
        <v>0</v>
      </c>
      <c r="AF1199" s="39">
        <v>0</v>
      </c>
      <c r="AG1199" s="39">
        <v>0</v>
      </c>
      <c r="AH1199" s="590">
        <v>2.65</v>
      </c>
      <c r="AI1199" s="590">
        <v>2.39</v>
      </c>
      <c r="AJ1199" s="590">
        <v>2.39</v>
      </c>
      <c r="AK1199" s="590"/>
      <c r="AL1199" s="591">
        <v>1</v>
      </c>
      <c r="AM1199" s="591" t="s">
        <v>20345</v>
      </c>
      <c r="AN1199" s="591" t="s">
        <v>20345</v>
      </c>
      <c r="AO1199" s="591">
        <v>0</v>
      </c>
    </row>
    <row r="1200" spans="1:41" hidden="1">
      <c r="A1200" s="584">
        <v>43</v>
      </c>
      <c r="B1200" s="279" t="s">
        <v>20224</v>
      </c>
      <c r="C1200" s="279">
        <v>0</v>
      </c>
      <c r="D1200" s="585" t="s">
        <v>18944</v>
      </c>
      <c r="E1200" s="279" t="s">
        <v>20224</v>
      </c>
      <c r="F1200" s="53">
        <v>44978</v>
      </c>
      <c r="G1200" s="279">
        <v>2023</v>
      </c>
      <c r="H1200" s="586" t="s">
        <v>17226</v>
      </c>
      <c r="I1200" s="279" t="s">
        <v>17227</v>
      </c>
      <c r="J1200" s="279" t="s">
        <v>3</v>
      </c>
      <c r="K1200" s="280">
        <v>100800</v>
      </c>
      <c r="L1200" s="586">
        <v>1</v>
      </c>
      <c r="M1200" s="587">
        <v>100800</v>
      </c>
      <c r="N1200" s="279" t="s">
        <v>20155</v>
      </c>
      <c r="O1200" s="279" t="s">
        <v>17689</v>
      </c>
      <c r="P1200" s="887">
        <v>44992</v>
      </c>
      <c r="Q1200" s="588">
        <v>0</v>
      </c>
      <c r="R1200" s="588">
        <v>21000</v>
      </c>
      <c r="S1200" s="588">
        <v>0</v>
      </c>
      <c r="T1200" s="588">
        <v>6000</v>
      </c>
      <c r="U1200" s="588">
        <v>27000</v>
      </c>
      <c r="V1200" s="317"/>
      <c r="W1200" s="39">
        <v>0</v>
      </c>
      <c r="X1200" s="39">
        <v>67200</v>
      </c>
      <c r="Y1200" s="39">
        <v>0</v>
      </c>
      <c r="Z1200" s="39">
        <v>33600</v>
      </c>
      <c r="AA1200" s="589"/>
      <c r="AB1200" s="589">
        <v>3.2</v>
      </c>
      <c r="AC1200" s="589"/>
      <c r="AD1200" s="589">
        <v>5.6</v>
      </c>
      <c r="AE1200" s="39">
        <v>0</v>
      </c>
      <c r="AF1200" s="39">
        <v>0</v>
      </c>
      <c r="AG1200" s="39">
        <v>0</v>
      </c>
      <c r="AH1200" s="590"/>
      <c r="AI1200" s="590">
        <v>3.2</v>
      </c>
      <c r="AJ1200" s="590"/>
      <c r="AK1200" s="590">
        <v>5.6</v>
      </c>
      <c r="AL1200" s="591">
        <v>0</v>
      </c>
      <c r="AM1200" s="591">
        <v>1</v>
      </c>
      <c r="AN1200" s="591">
        <v>0</v>
      </c>
      <c r="AO1200" s="591">
        <v>1</v>
      </c>
    </row>
    <row r="1201" spans="1:41" hidden="1">
      <c r="A1201" s="584">
        <v>44</v>
      </c>
      <c r="B1201" s="279" t="s">
        <v>20225</v>
      </c>
      <c r="C1201" s="279">
        <v>0</v>
      </c>
      <c r="D1201" s="585" t="s">
        <v>18945</v>
      </c>
      <c r="E1201" s="279" t="s">
        <v>20225</v>
      </c>
      <c r="F1201" s="53">
        <v>44980</v>
      </c>
      <c r="G1201" s="279">
        <v>2023</v>
      </c>
      <c r="H1201" s="586" t="s">
        <v>16444</v>
      </c>
      <c r="I1201" s="279" t="s">
        <v>16445</v>
      </c>
      <c r="J1201" s="279" t="s">
        <v>3</v>
      </c>
      <c r="K1201" s="280">
        <v>50880</v>
      </c>
      <c r="L1201" s="586">
        <v>1</v>
      </c>
      <c r="M1201" s="587">
        <v>50880</v>
      </c>
      <c r="N1201" s="279" t="s">
        <v>20155</v>
      </c>
      <c r="O1201" s="279" t="s">
        <v>18248</v>
      </c>
      <c r="P1201" s="887">
        <v>44986</v>
      </c>
      <c r="Q1201" s="588">
        <v>19200</v>
      </c>
      <c r="R1201" s="588">
        <v>0</v>
      </c>
      <c r="S1201" s="588">
        <v>0</v>
      </c>
      <c r="T1201" s="588">
        <v>0</v>
      </c>
      <c r="U1201" s="588">
        <v>19200</v>
      </c>
      <c r="V1201" s="317"/>
      <c r="W1201" s="39">
        <v>50880</v>
      </c>
      <c r="X1201" s="39">
        <v>0</v>
      </c>
      <c r="Y1201" s="39">
        <v>0</v>
      </c>
      <c r="Z1201" s="39">
        <v>0</v>
      </c>
      <c r="AA1201" s="589">
        <v>2.65</v>
      </c>
      <c r="AB1201" s="589"/>
      <c r="AC1201" s="589"/>
      <c r="AD1201" s="589"/>
      <c r="AE1201" s="39">
        <v>0</v>
      </c>
      <c r="AF1201" s="39">
        <v>0</v>
      </c>
      <c r="AG1201" s="39">
        <v>0</v>
      </c>
      <c r="AH1201" s="590">
        <v>2.65</v>
      </c>
      <c r="AI1201" s="590"/>
      <c r="AJ1201" s="590"/>
      <c r="AK1201" s="590"/>
      <c r="AL1201" s="591" t="s">
        <v>20345</v>
      </c>
      <c r="AM1201" s="591">
        <v>0</v>
      </c>
      <c r="AN1201" s="591">
        <v>0</v>
      </c>
      <c r="AO1201" s="591">
        <v>0</v>
      </c>
    </row>
    <row r="1202" spans="1:41" hidden="1">
      <c r="A1202" s="584">
        <v>45</v>
      </c>
      <c r="B1202" s="279" t="s">
        <v>20226</v>
      </c>
      <c r="C1202" s="279">
        <v>0</v>
      </c>
      <c r="D1202" s="585" t="s">
        <v>18946</v>
      </c>
      <c r="E1202" s="279" t="s">
        <v>20226</v>
      </c>
      <c r="F1202" s="53">
        <v>44982</v>
      </c>
      <c r="G1202" s="279">
        <v>2023</v>
      </c>
      <c r="H1202" s="586" t="s">
        <v>17342</v>
      </c>
      <c r="I1202" s="279" t="s">
        <v>17343</v>
      </c>
      <c r="J1202" s="279" t="s">
        <v>16482</v>
      </c>
      <c r="K1202" s="280">
        <v>86481.424593999996</v>
      </c>
      <c r="L1202" s="586">
        <v>3.2890999999999999</v>
      </c>
      <c r="M1202" s="587">
        <v>26293.34</v>
      </c>
      <c r="N1202" s="279" t="s">
        <v>20155</v>
      </c>
      <c r="O1202" s="279" t="s">
        <v>16394</v>
      </c>
      <c r="P1202" s="887">
        <v>44992</v>
      </c>
      <c r="Q1202" s="588">
        <v>2880</v>
      </c>
      <c r="R1202" s="588">
        <v>43344</v>
      </c>
      <c r="S1202" s="588">
        <v>20400</v>
      </c>
      <c r="T1202" s="588">
        <v>4480</v>
      </c>
      <c r="U1202" s="588">
        <v>71104</v>
      </c>
      <c r="V1202" s="317"/>
      <c r="W1202" s="39">
        <v>3047.6602839531952</v>
      </c>
      <c r="X1202" s="39">
        <v>46458.69376629559</v>
      </c>
      <c r="Y1202" s="39">
        <v>21587.593678001802</v>
      </c>
      <c r="Z1202" s="39">
        <v>15387.490022149415</v>
      </c>
      <c r="AA1202" s="589">
        <v>1.0582153763726372</v>
      </c>
      <c r="AB1202" s="589">
        <v>1.0718598598720837</v>
      </c>
      <c r="AC1202" s="589">
        <v>1.0582153763726374</v>
      </c>
      <c r="AD1202" s="589">
        <v>3.43470759422978</v>
      </c>
      <c r="AE1202" s="39">
        <v>4894.3440000000001</v>
      </c>
      <c r="AF1202" s="39">
        <v>42575.360000000001</v>
      </c>
      <c r="AG1202" s="39">
        <v>0.59877587758775874</v>
      </c>
      <c r="AH1202" s="590">
        <v>0.45943949878487844</v>
      </c>
      <c r="AI1202" s="590">
        <v>0.47308398228432491</v>
      </c>
      <c r="AJ1202" s="590">
        <v>0.45943949878487866</v>
      </c>
      <c r="AK1202" s="590">
        <v>2.8359317166420213</v>
      </c>
      <c r="AL1202" s="591">
        <v>1</v>
      </c>
      <c r="AM1202" s="591">
        <v>1</v>
      </c>
      <c r="AN1202" s="591">
        <v>1</v>
      </c>
      <c r="AO1202" s="591">
        <v>1</v>
      </c>
    </row>
    <row r="1203" spans="1:41" hidden="1">
      <c r="A1203" s="584">
        <v>46</v>
      </c>
      <c r="B1203" s="279" t="s">
        <v>20227</v>
      </c>
      <c r="C1203" s="279">
        <v>0</v>
      </c>
      <c r="D1203" s="585" t="s">
        <v>18947</v>
      </c>
      <c r="E1203" s="279" t="s">
        <v>20227</v>
      </c>
      <c r="F1203" s="53">
        <v>44982</v>
      </c>
      <c r="G1203" s="279">
        <v>2023</v>
      </c>
      <c r="H1203" s="586" t="s">
        <v>16444</v>
      </c>
      <c r="I1203" s="279" t="s">
        <v>16445</v>
      </c>
      <c r="J1203" s="279" t="s">
        <v>3</v>
      </c>
      <c r="K1203" s="280">
        <v>57220.800000000003</v>
      </c>
      <c r="L1203" s="586">
        <v>1</v>
      </c>
      <c r="M1203" s="587">
        <v>57220.800000000003</v>
      </c>
      <c r="N1203" s="279" t="s">
        <v>20155</v>
      </c>
      <c r="O1203" s="279" t="s">
        <v>17693</v>
      </c>
      <c r="P1203" s="887">
        <v>44986</v>
      </c>
      <c r="Q1203" s="588">
        <v>22008</v>
      </c>
      <c r="R1203" s="588">
        <v>0</v>
      </c>
      <c r="S1203" s="588">
        <v>0</v>
      </c>
      <c r="T1203" s="588">
        <v>0</v>
      </c>
      <c r="U1203" s="588">
        <v>22008</v>
      </c>
      <c r="V1203" s="317"/>
      <c r="W1203" s="39">
        <v>57220.800000000003</v>
      </c>
      <c r="X1203" s="39">
        <v>0</v>
      </c>
      <c r="Y1203" s="39">
        <v>0</v>
      </c>
      <c r="Z1203" s="39">
        <v>0</v>
      </c>
      <c r="AA1203" s="589">
        <v>2.6</v>
      </c>
      <c r="AB1203" s="589"/>
      <c r="AC1203" s="589"/>
      <c r="AD1203" s="589"/>
      <c r="AE1203" s="39">
        <v>0</v>
      </c>
      <c r="AF1203" s="39">
        <v>0</v>
      </c>
      <c r="AG1203" s="39">
        <v>0</v>
      </c>
      <c r="AH1203" s="590">
        <v>2.6</v>
      </c>
      <c r="AI1203" s="590"/>
      <c r="AJ1203" s="590"/>
      <c r="AK1203" s="590"/>
      <c r="AL1203" s="591" t="s">
        <v>20345</v>
      </c>
      <c r="AM1203" s="591">
        <v>0</v>
      </c>
      <c r="AN1203" s="591">
        <v>0</v>
      </c>
      <c r="AO1203" s="591">
        <v>0</v>
      </c>
    </row>
    <row r="1204" spans="1:41" hidden="1">
      <c r="A1204" s="584">
        <v>47</v>
      </c>
      <c r="B1204" s="279" t="s">
        <v>20228</v>
      </c>
      <c r="C1204" s="279">
        <v>0</v>
      </c>
      <c r="D1204" s="585" t="s">
        <v>18948</v>
      </c>
      <c r="E1204" s="279" t="s">
        <v>20228</v>
      </c>
      <c r="F1204" s="53">
        <v>44982</v>
      </c>
      <c r="G1204" s="279">
        <v>2023</v>
      </c>
      <c r="H1204" s="586" t="s">
        <v>17304</v>
      </c>
      <c r="I1204" s="279" t="s">
        <v>17305</v>
      </c>
      <c r="J1204" s="279" t="s">
        <v>17306</v>
      </c>
      <c r="K1204" s="280">
        <v>103419.617792</v>
      </c>
      <c r="L1204" s="586">
        <v>2.2441</v>
      </c>
      <c r="M1204" s="587">
        <v>46085.120000000003</v>
      </c>
      <c r="N1204" s="279" t="s">
        <v>20155</v>
      </c>
      <c r="O1204" s="279" t="s">
        <v>17238</v>
      </c>
      <c r="P1204" s="887">
        <v>45013</v>
      </c>
      <c r="Q1204" s="588">
        <v>0</v>
      </c>
      <c r="R1204" s="588">
        <v>25424</v>
      </c>
      <c r="S1204" s="588">
        <v>0</v>
      </c>
      <c r="T1204" s="588">
        <v>0</v>
      </c>
      <c r="U1204" s="588">
        <v>25424</v>
      </c>
      <c r="V1204" s="317"/>
      <c r="W1204" s="39">
        <v>0</v>
      </c>
      <c r="X1204" s="39">
        <v>103419.617792</v>
      </c>
      <c r="Y1204" s="39">
        <v>0</v>
      </c>
      <c r="Z1204" s="39">
        <v>0</v>
      </c>
      <c r="AA1204" s="589"/>
      <c r="AB1204" s="589">
        <v>4.0677949100062936</v>
      </c>
      <c r="AC1204" s="589"/>
      <c r="AD1204" s="589"/>
      <c r="AE1204" s="39">
        <v>4464.72</v>
      </c>
      <c r="AF1204" s="39">
        <v>26524.7</v>
      </c>
      <c r="AG1204" s="39">
        <v>1.0432937382001259</v>
      </c>
      <c r="AH1204" s="590"/>
      <c r="AI1204" s="590">
        <v>3.0245011718061674</v>
      </c>
      <c r="AJ1204" s="590"/>
      <c r="AK1204" s="590"/>
      <c r="AL1204" s="591">
        <v>0</v>
      </c>
      <c r="AM1204" s="591">
        <v>1</v>
      </c>
      <c r="AN1204" s="591">
        <v>0</v>
      </c>
      <c r="AO1204" s="591">
        <v>0</v>
      </c>
    </row>
    <row r="1205" spans="1:41" hidden="1">
      <c r="A1205" s="584">
        <v>48</v>
      </c>
      <c r="B1205" s="279" t="s">
        <v>20229</v>
      </c>
      <c r="C1205" s="279">
        <v>0</v>
      </c>
      <c r="D1205" s="585" t="s">
        <v>18949</v>
      </c>
      <c r="E1205" s="279" t="s">
        <v>20229</v>
      </c>
      <c r="F1205" s="53">
        <v>44982</v>
      </c>
      <c r="G1205" s="279">
        <v>2023</v>
      </c>
      <c r="H1205" s="586" t="s">
        <v>17332</v>
      </c>
      <c r="I1205" s="279" t="s">
        <v>17333</v>
      </c>
      <c r="J1205" s="279" t="s">
        <v>3</v>
      </c>
      <c r="K1205" s="280">
        <v>285000</v>
      </c>
      <c r="L1205" s="586">
        <v>1</v>
      </c>
      <c r="M1205" s="587">
        <v>285000</v>
      </c>
      <c r="N1205" s="279" t="s">
        <v>20155</v>
      </c>
      <c r="O1205" s="279" t="s">
        <v>17939</v>
      </c>
      <c r="P1205" s="887">
        <v>44985</v>
      </c>
      <c r="Q1205" s="588">
        <v>0</v>
      </c>
      <c r="R1205" s="588">
        <v>150000</v>
      </c>
      <c r="S1205" s="588">
        <v>0</v>
      </c>
      <c r="T1205" s="588">
        <v>0</v>
      </c>
      <c r="U1205" s="588">
        <v>150000</v>
      </c>
      <c r="V1205" s="317"/>
      <c r="W1205" s="39">
        <v>0</v>
      </c>
      <c r="X1205" s="39">
        <v>285000</v>
      </c>
      <c r="Y1205" s="39">
        <v>0</v>
      </c>
      <c r="Z1205" s="39">
        <v>0</v>
      </c>
      <c r="AA1205" s="589"/>
      <c r="AB1205" s="589">
        <v>1.9</v>
      </c>
      <c r="AC1205" s="589"/>
      <c r="AD1205" s="589"/>
      <c r="AE1205" s="39">
        <v>0</v>
      </c>
      <c r="AF1205" s="39">
        <v>0</v>
      </c>
      <c r="AG1205" s="39">
        <v>0</v>
      </c>
      <c r="AH1205" s="590"/>
      <c r="AI1205" s="590">
        <v>1.9</v>
      </c>
      <c r="AJ1205" s="590"/>
      <c r="AK1205" s="590"/>
      <c r="AL1205" s="591">
        <v>0</v>
      </c>
      <c r="AM1205" s="591" t="s">
        <v>20347</v>
      </c>
      <c r="AN1205" s="591">
        <v>0</v>
      </c>
      <c r="AO1205" s="591">
        <v>0</v>
      </c>
    </row>
    <row r="1206" spans="1:41" hidden="1">
      <c r="A1206" s="584">
        <v>49</v>
      </c>
      <c r="B1206" s="279" t="s">
        <v>20230</v>
      </c>
      <c r="C1206" s="279">
        <v>0</v>
      </c>
      <c r="D1206" s="585" t="s">
        <v>18950</v>
      </c>
      <c r="E1206" s="279" t="s">
        <v>20230</v>
      </c>
      <c r="F1206" s="53">
        <v>44982</v>
      </c>
      <c r="G1206" s="279">
        <v>2023</v>
      </c>
      <c r="H1206" s="586" t="s">
        <v>17332</v>
      </c>
      <c r="I1206" s="279" t="s">
        <v>17333</v>
      </c>
      <c r="J1206" s="279" t="s">
        <v>3</v>
      </c>
      <c r="K1206" s="280">
        <v>43392</v>
      </c>
      <c r="L1206" s="586">
        <v>1</v>
      </c>
      <c r="M1206" s="587">
        <v>43392</v>
      </c>
      <c r="N1206" s="279" t="s">
        <v>20155</v>
      </c>
      <c r="O1206" s="279" t="s">
        <v>18248</v>
      </c>
      <c r="P1206" s="887">
        <v>44987</v>
      </c>
      <c r="Q1206" s="588">
        <v>19200</v>
      </c>
      <c r="R1206" s="588">
        <v>0</v>
      </c>
      <c r="S1206" s="588">
        <v>0</v>
      </c>
      <c r="T1206" s="588">
        <v>0</v>
      </c>
      <c r="U1206" s="588">
        <v>19200</v>
      </c>
      <c r="V1206" s="317"/>
      <c r="W1206" s="39">
        <v>43392</v>
      </c>
      <c r="X1206" s="39">
        <v>0</v>
      </c>
      <c r="Y1206" s="39">
        <v>0</v>
      </c>
      <c r="Z1206" s="39">
        <v>0</v>
      </c>
      <c r="AA1206" s="589">
        <v>2.2599999999999998</v>
      </c>
      <c r="AB1206" s="589"/>
      <c r="AC1206" s="589"/>
      <c r="AD1206" s="589"/>
      <c r="AE1206" s="39">
        <v>0</v>
      </c>
      <c r="AF1206" s="39">
        <v>0</v>
      </c>
      <c r="AG1206" s="39">
        <v>0</v>
      </c>
      <c r="AH1206" s="590">
        <v>2.2599999999999998</v>
      </c>
      <c r="AI1206" s="590"/>
      <c r="AJ1206" s="590"/>
      <c r="AK1206" s="590"/>
      <c r="AL1206" s="591" t="s">
        <v>20345</v>
      </c>
      <c r="AM1206" s="591">
        <v>0</v>
      </c>
      <c r="AN1206" s="591">
        <v>0</v>
      </c>
      <c r="AO1206" s="591">
        <v>0</v>
      </c>
    </row>
    <row r="1207" spans="1:41" hidden="1">
      <c r="A1207" s="584">
        <v>50</v>
      </c>
      <c r="B1207" s="279" t="s">
        <v>20232</v>
      </c>
      <c r="C1207" s="279">
        <v>0</v>
      </c>
      <c r="D1207" s="585" t="s">
        <v>18951</v>
      </c>
      <c r="E1207" s="279" t="s">
        <v>20232</v>
      </c>
      <c r="F1207" s="53">
        <v>44987</v>
      </c>
      <c r="G1207" s="279">
        <v>2023</v>
      </c>
      <c r="H1207" s="586" t="s">
        <v>17342</v>
      </c>
      <c r="I1207" s="279" t="s">
        <v>17343</v>
      </c>
      <c r="J1207" s="279" t="s">
        <v>16482</v>
      </c>
      <c r="K1207" s="280">
        <v>121355.94924</v>
      </c>
      <c r="L1207" s="586">
        <v>3.2890999999999999</v>
      </c>
      <c r="M1207" s="587">
        <v>36896.400000000001</v>
      </c>
      <c r="N1207" s="279" t="s">
        <v>20155</v>
      </c>
      <c r="O1207" s="279" t="s">
        <v>16394</v>
      </c>
      <c r="P1207" s="887">
        <v>44991</v>
      </c>
      <c r="Q1207" s="588">
        <v>2805</v>
      </c>
      <c r="R1207" s="588">
        <v>70536</v>
      </c>
      <c r="S1207" s="588">
        <v>15600</v>
      </c>
      <c r="T1207" s="588">
        <v>5040</v>
      </c>
      <c r="U1207" s="588">
        <v>93981</v>
      </c>
      <c r="V1207" s="317"/>
      <c r="W1207" s="39">
        <v>3338.688828471606</v>
      </c>
      <c r="X1207" s="39">
        <v>85524.751058182243</v>
      </c>
      <c r="Y1207" s="39">
        <v>16576.898405831391</v>
      </c>
      <c r="Z1207" s="39">
        <v>18373.344875114759</v>
      </c>
      <c r="AA1207" s="589">
        <v>1.1902633969595744</v>
      </c>
      <c r="AB1207" s="589">
        <v>1.2124978884283522</v>
      </c>
      <c r="AC1207" s="589">
        <v>1.0626216926814993</v>
      </c>
      <c r="AD1207" s="589">
        <v>3.6455049355386429</v>
      </c>
      <c r="AE1207" s="39">
        <v>6545.4479999999994</v>
      </c>
      <c r="AF1207" s="39">
        <v>47956</v>
      </c>
      <c r="AG1207" s="39">
        <v>0.51027335312456779</v>
      </c>
      <c r="AH1207" s="590">
        <v>0.67999004383500661</v>
      </c>
      <c r="AI1207" s="590">
        <v>0.70222453530378437</v>
      </c>
      <c r="AJ1207" s="590">
        <v>0.55234833955693152</v>
      </c>
      <c r="AK1207" s="590">
        <v>3.1352315824140753</v>
      </c>
      <c r="AL1207" s="591">
        <v>1</v>
      </c>
      <c r="AM1207" s="591">
        <v>1</v>
      </c>
      <c r="AN1207" s="591">
        <v>1</v>
      </c>
      <c r="AO1207" s="591">
        <v>1</v>
      </c>
    </row>
    <row r="1208" spans="1:41" hidden="1">
      <c r="A1208" s="584">
        <v>51</v>
      </c>
      <c r="B1208" s="279" t="s">
        <v>20233</v>
      </c>
      <c r="C1208" s="279">
        <v>0</v>
      </c>
      <c r="D1208" s="585" t="s">
        <v>18952</v>
      </c>
      <c r="E1208" s="279" t="s">
        <v>20233</v>
      </c>
      <c r="F1208" s="53">
        <v>44988</v>
      </c>
      <c r="G1208" s="279">
        <v>2023</v>
      </c>
      <c r="H1208" s="586" t="s">
        <v>16384</v>
      </c>
      <c r="I1208" s="279" t="s">
        <v>16385</v>
      </c>
      <c r="J1208" s="279" t="s">
        <v>3</v>
      </c>
      <c r="K1208" s="280">
        <v>100959</v>
      </c>
      <c r="L1208" s="586">
        <v>1</v>
      </c>
      <c r="M1208" s="587">
        <v>100959</v>
      </c>
      <c r="N1208" s="279" t="s">
        <v>20155</v>
      </c>
      <c r="O1208" s="279" t="s">
        <v>18094</v>
      </c>
      <c r="P1208" s="887">
        <v>44998</v>
      </c>
      <c r="Q1208" s="588">
        <v>19200</v>
      </c>
      <c r="R1208" s="588">
        <v>20700</v>
      </c>
      <c r="S1208" s="588">
        <v>0</v>
      </c>
      <c r="T1208" s="588">
        <v>0</v>
      </c>
      <c r="U1208" s="588">
        <v>39900</v>
      </c>
      <c r="V1208" s="317"/>
      <c r="W1208" s="39">
        <v>51072</v>
      </c>
      <c r="X1208" s="39">
        <v>49887</v>
      </c>
      <c r="Y1208" s="39">
        <v>0</v>
      </c>
      <c r="Z1208" s="39">
        <v>0</v>
      </c>
      <c r="AA1208" s="589">
        <v>2.66</v>
      </c>
      <c r="AB1208" s="589">
        <v>2.41</v>
      </c>
      <c r="AC1208" s="589"/>
      <c r="AD1208" s="589"/>
      <c r="AE1208" s="39">
        <v>0</v>
      </c>
      <c r="AF1208" s="39">
        <v>0</v>
      </c>
      <c r="AG1208" s="39">
        <v>0</v>
      </c>
      <c r="AH1208" s="590">
        <v>2.66</v>
      </c>
      <c r="AI1208" s="590">
        <v>2.41</v>
      </c>
      <c r="AJ1208" s="590"/>
      <c r="AK1208" s="590"/>
      <c r="AL1208" s="591" t="s">
        <v>20345</v>
      </c>
      <c r="AM1208" s="591" t="s">
        <v>20346</v>
      </c>
      <c r="AN1208" s="591">
        <v>0</v>
      </c>
      <c r="AO1208" s="591">
        <v>0</v>
      </c>
    </row>
    <row r="1209" spans="1:41" hidden="1">
      <c r="A1209" s="584">
        <v>52</v>
      </c>
      <c r="B1209" s="279" t="s">
        <v>20234</v>
      </c>
      <c r="C1209" s="279">
        <v>0</v>
      </c>
      <c r="D1209" s="585" t="s">
        <v>18953</v>
      </c>
      <c r="E1209" s="279" t="s">
        <v>20234</v>
      </c>
      <c r="F1209" s="53">
        <v>44989</v>
      </c>
      <c r="G1209" s="279">
        <v>2023</v>
      </c>
      <c r="H1209" s="586" t="s">
        <v>16957</v>
      </c>
      <c r="I1209" s="279" t="s">
        <v>16958</v>
      </c>
      <c r="J1209" s="279" t="s">
        <v>16401</v>
      </c>
      <c r="K1209" s="280">
        <v>61418.862374999997</v>
      </c>
      <c r="L1209" s="586">
        <v>3.0945</v>
      </c>
      <c r="M1209" s="587">
        <v>19847.75</v>
      </c>
      <c r="N1209" s="279" t="s">
        <v>20155</v>
      </c>
      <c r="O1209" s="279" t="s">
        <v>20161</v>
      </c>
      <c r="P1209" s="887">
        <v>45006</v>
      </c>
      <c r="Q1209" s="588">
        <v>20150</v>
      </c>
      <c r="R1209" s="588">
        <v>0</v>
      </c>
      <c r="S1209" s="588">
        <v>0</v>
      </c>
      <c r="T1209" s="588">
        <v>0</v>
      </c>
      <c r="U1209" s="588">
        <v>20150</v>
      </c>
      <c r="V1209" s="317"/>
      <c r="W1209" s="39">
        <v>61418.862374999997</v>
      </c>
      <c r="X1209" s="39">
        <v>0</v>
      </c>
      <c r="Y1209" s="39">
        <v>0</v>
      </c>
      <c r="Z1209" s="39">
        <v>0</v>
      </c>
      <c r="AA1209" s="589">
        <v>3.0480825</v>
      </c>
      <c r="AB1209" s="589"/>
      <c r="AC1209" s="589"/>
      <c r="AD1209" s="589"/>
      <c r="AE1209" s="39">
        <v>0</v>
      </c>
      <c r="AF1209" s="39">
        <v>3409.78</v>
      </c>
      <c r="AG1209" s="39">
        <v>0.16921985111662532</v>
      </c>
      <c r="AH1209" s="590">
        <v>2.8788626488833748</v>
      </c>
      <c r="AI1209" s="590"/>
      <c r="AJ1209" s="590"/>
      <c r="AK1209" s="590"/>
      <c r="AL1209" s="591">
        <v>1</v>
      </c>
      <c r="AM1209" s="591">
        <v>0</v>
      </c>
      <c r="AN1209" s="591">
        <v>0</v>
      </c>
      <c r="AO1209" s="591">
        <v>0</v>
      </c>
    </row>
    <row r="1210" spans="1:41" hidden="1">
      <c r="A1210" s="584">
        <v>53</v>
      </c>
      <c r="B1210" s="279" t="s">
        <v>20235</v>
      </c>
      <c r="C1210" s="279">
        <v>0</v>
      </c>
      <c r="D1210" s="585" t="s">
        <v>18954</v>
      </c>
      <c r="E1210" s="279" t="s">
        <v>20235</v>
      </c>
      <c r="F1210" s="53">
        <v>44992</v>
      </c>
      <c r="G1210" s="279">
        <v>2023</v>
      </c>
      <c r="H1210" s="586" t="s">
        <v>16880</v>
      </c>
      <c r="I1210" s="279" t="s">
        <v>16881</v>
      </c>
      <c r="J1210" s="279" t="s">
        <v>16401</v>
      </c>
      <c r="K1210" s="280">
        <v>85858.636291000003</v>
      </c>
      <c r="L1210" s="586">
        <v>3.1049500000000001</v>
      </c>
      <c r="M1210" s="587">
        <v>27652.18</v>
      </c>
      <c r="N1210" s="279" t="s">
        <v>20155</v>
      </c>
      <c r="O1210" s="279" t="s">
        <v>20351</v>
      </c>
      <c r="P1210" s="887">
        <v>44998</v>
      </c>
      <c r="Q1210" s="588">
        <v>7000</v>
      </c>
      <c r="R1210" s="588">
        <v>13700</v>
      </c>
      <c r="S1210" s="588">
        <v>0</v>
      </c>
      <c r="T1210" s="588">
        <v>0</v>
      </c>
      <c r="U1210" s="588">
        <v>20700</v>
      </c>
      <c r="V1210" s="317"/>
      <c r="W1210" s="39">
        <v>23174.353216</v>
      </c>
      <c r="X1210" s="39">
        <v>62684.301704700003</v>
      </c>
      <c r="Y1210" s="39">
        <v>0</v>
      </c>
      <c r="Z1210" s="39">
        <v>0</v>
      </c>
      <c r="AA1210" s="589">
        <v>3.310621888</v>
      </c>
      <c r="AB1210" s="589">
        <v>4.5754964747956208</v>
      </c>
      <c r="AC1210" s="589"/>
      <c r="AD1210" s="589"/>
      <c r="AE1210" s="39">
        <v>0</v>
      </c>
      <c r="AF1210" s="39">
        <v>2098.6999999999998</v>
      </c>
      <c r="AG1210" s="39">
        <v>0.10138647342995168</v>
      </c>
      <c r="AH1210" s="590">
        <v>3.2092354145700481</v>
      </c>
      <c r="AI1210" s="590">
        <v>4.4741100013656689</v>
      </c>
      <c r="AJ1210" s="590"/>
      <c r="AK1210" s="590"/>
      <c r="AL1210" s="591">
        <v>1</v>
      </c>
      <c r="AM1210" s="591">
        <v>1</v>
      </c>
      <c r="AN1210" s="591">
        <v>0</v>
      </c>
      <c r="AO1210" s="591">
        <v>0</v>
      </c>
    </row>
    <row r="1211" spans="1:41" hidden="1">
      <c r="A1211" s="584">
        <v>54</v>
      </c>
      <c r="B1211" s="279" t="s">
        <v>20236</v>
      </c>
      <c r="C1211" s="279">
        <v>0</v>
      </c>
      <c r="D1211" s="585" t="s">
        <v>18955</v>
      </c>
      <c r="E1211" s="279" t="s">
        <v>20236</v>
      </c>
      <c r="F1211" s="53">
        <v>44992</v>
      </c>
      <c r="G1211" s="279">
        <v>2023</v>
      </c>
      <c r="H1211" s="586" t="s">
        <v>17278</v>
      </c>
      <c r="I1211" s="279" t="s">
        <v>17279</v>
      </c>
      <c r="J1211" s="279" t="s">
        <v>16482</v>
      </c>
      <c r="K1211" s="280">
        <v>749859.56812800001</v>
      </c>
      <c r="L1211" s="586">
        <v>3.2978000000000001</v>
      </c>
      <c r="M1211" s="587">
        <v>227381.76000000001</v>
      </c>
      <c r="N1211" s="279" t="s">
        <v>20155</v>
      </c>
      <c r="O1211" s="279" t="s">
        <v>20173</v>
      </c>
      <c r="P1211" s="887">
        <v>45002</v>
      </c>
      <c r="Q1211" s="588">
        <v>100080</v>
      </c>
      <c r="R1211" s="588">
        <v>180144</v>
      </c>
      <c r="S1211" s="588">
        <v>0</v>
      </c>
      <c r="T1211" s="588">
        <v>0</v>
      </c>
      <c r="U1211" s="588">
        <v>280224</v>
      </c>
      <c r="V1211" s="317"/>
      <c r="W1211" s="39">
        <v>280537.25040000002</v>
      </c>
      <c r="X1211" s="39">
        <v>469322.31772799999</v>
      </c>
      <c r="Y1211" s="39">
        <v>0</v>
      </c>
      <c r="Z1211" s="39">
        <v>0</v>
      </c>
      <c r="AA1211" s="589">
        <v>2.8031300000000003</v>
      </c>
      <c r="AB1211" s="589">
        <v>2.6052620000000002</v>
      </c>
      <c r="AC1211" s="589"/>
      <c r="AD1211" s="589"/>
      <c r="AE1211" s="39">
        <v>25806.430199999999</v>
      </c>
      <c r="AF1211" s="39">
        <v>100832.284</v>
      </c>
      <c r="AG1211" s="39">
        <v>0.35982743804956036</v>
      </c>
      <c r="AH1211" s="590">
        <v>2.44330256195044</v>
      </c>
      <c r="AI1211" s="590">
        <v>2.2454345619504399</v>
      </c>
      <c r="AJ1211" s="590"/>
      <c r="AK1211" s="590"/>
      <c r="AL1211" s="591" t="s">
        <v>20345</v>
      </c>
      <c r="AM1211" s="591" t="s">
        <v>20347</v>
      </c>
      <c r="AN1211" s="591">
        <v>0</v>
      </c>
      <c r="AO1211" s="591">
        <v>0</v>
      </c>
    </row>
    <row r="1212" spans="1:41" hidden="1">
      <c r="A1212" s="584">
        <v>55</v>
      </c>
      <c r="B1212" s="279" t="s">
        <v>20237</v>
      </c>
      <c r="C1212" s="279">
        <v>0</v>
      </c>
      <c r="D1212" s="585" t="s">
        <v>18956</v>
      </c>
      <c r="E1212" s="279" t="s">
        <v>20237</v>
      </c>
      <c r="F1212" s="53">
        <v>44992</v>
      </c>
      <c r="G1212" s="279">
        <v>2023</v>
      </c>
      <c r="H1212" s="586" t="s">
        <v>17319</v>
      </c>
      <c r="I1212" s="279" t="s">
        <v>17320</v>
      </c>
      <c r="J1212" s="279" t="s">
        <v>16401</v>
      </c>
      <c r="K1212" s="280">
        <v>178427.81471999999</v>
      </c>
      <c r="L1212" s="586">
        <v>3.1049500000000001</v>
      </c>
      <c r="M1212" s="587">
        <v>57465.599999999999</v>
      </c>
      <c r="N1212" s="279" t="s">
        <v>20155</v>
      </c>
      <c r="O1212" s="279" t="s">
        <v>17939</v>
      </c>
      <c r="P1212" s="887">
        <v>44999</v>
      </c>
      <c r="Q1212" s="588">
        <v>70080</v>
      </c>
      <c r="R1212" s="588">
        <v>0</v>
      </c>
      <c r="S1212" s="588">
        <v>0</v>
      </c>
      <c r="T1212" s="588">
        <v>0</v>
      </c>
      <c r="U1212" s="588">
        <v>70080</v>
      </c>
      <c r="V1212" s="317"/>
      <c r="W1212" s="39">
        <v>178427.81471999999</v>
      </c>
      <c r="X1212" s="39">
        <v>0</v>
      </c>
      <c r="Y1212" s="39">
        <v>0</v>
      </c>
      <c r="Z1212" s="39">
        <v>0</v>
      </c>
      <c r="AA1212" s="589">
        <v>2.5460590000000001</v>
      </c>
      <c r="AB1212" s="589"/>
      <c r="AC1212" s="589"/>
      <c r="AD1212" s="589"/>
      <c r="AE1212" s="39">
        <v>0</v>
      </c>
      <c r="AF1212" s="39">
        <v>0</v>
      </c>
      <c r="AG1212" s="39">
        <v>0</v>
      </c>
      <c r="AH1212" s="590">
        <v>2.5460590000000001</v>
      </c>
      <c r="AI1212" s="590"/>
      <c r="AJ1212" s="590"/>
      <c r="AK1212" s="590"/>
      <c r="AL1212" s="591" t="s">
        <v>20345</v>
      </c>
      <c r="AM1212" s="591">
        <v>0</v>
      </c>
      <c r="AN1212" s="591">
        <v>0</v>
      </c>
      <c r="AO1212" s="591">
        <v>0</v>
      </c>
    </row>
    <row r="1213" spans="1:41" hidden="1">
      <c r="A1213" s="584">
        <v>56</v>
      </c>
      <c r="B1213" s="279" t="s">
        <v>20238</v>
      </c>
      <c r="C1213" s="279">
        <v>0</v>
      </c>
      <c r="D1213" s="585" t="s">
        <v>18957</v>
      </c>
      <c r="E1213" s="279" t="s">
        <v>20238</v>
      </c>
      <c r="F1213" s="53">
        <v>44992</v>
      </c>
      <c r="G1213" s="279">
        <v>2023</v>
      </c>
      <c r="H1213" s="586" t="s">
        <v>17336</v>
      </c>
      <c r="I1213" s="279" t="s">
        <v>17337</v>
      </c>
      <c r="J1213" s="279" t="s">
        <v>16401</v>
      </c>
      <c r="K1213" s="280">
        <v>92160.499199999991</v>
      </c>
      <c r="L1213" s="586">
        <v>3.1168999999999998</v>
      </c>
      <c r="M1213" s="587">
        <v>29568</v>
      </c>
      <c r="N1213" s="279" t="s">
        <v>20155</v>
      </c>
      <c r="O1213" s="279" t="s">
        <v>17939</v>
      </c>
      <c r="P1213" s="887">
        <v>44998</v>
      </c>
      <c r="Q1213" s="588">
        <v>0</v>
      </c>
      <c r="R1213" s="588">
        <v>33600</v>
      </c>
      <c r="S1213" s="588">
        <v>0</v>
      </c>
      <c r="T1213" s="588">
        <v>0</v>
      </c>
      <c r="U1213" s="588">
        <v>33600</v>
      </c>
      <c r="V1213" s="317"/>
      <c r="W1213" s="39">
        <v>0</v>
      </c>
      <c r="X1213" s="39">
        <v>92160.499200000006</v>
      </c>
      <c r="Y1213" s="39">
        <v>0</v>
      </c>
      <c r="Z1213" s="39">
        <v>0</v>
      </c>
      <c r="AA1213" s="589"/>
      <c r="AB1213" s="589">
        <v>2.7428720000000002</v>
      </c>
      <c r="AC1213" s="589"/>
      <c r="AD1213" s="589"/>
      <c r="AE1213" s="39">
        <v>0</v>
      </c>
      <c r="AF1213" s="39">
        <v>0</v>
      </c>
      <c r="AG1213" s="39">
        <v>0</v>
      </c>
      <c r="AH1213" s="590"/>
      <c r="AI1213" s="590">
        <v>2.7428720000000002</v>
      </c>
      <c r="AJ1213" s="590"/>
      <c r="AK1213" s="590"/>
      <c r="AL1213" s="591">
        <v>0</v>
      </c>
      <c r="AM1213" s="591" t="s">
        <v>20347</v>
      </c>
      <c r="AN1213" s="591">
        <v>0</v>
      </c>
      <c r="AO1213" s="591">
        <v>0</v>
      </c>
    </row>
    <row r="1214" spans="1:41" hidden="1">
      <c r="A1214" s="584">
        <v>57</v>
      </c>
      <c r="B1214" s="279" t="s">
        <v>20239</v>
      </c>
      <c r="C1214" s="279">
        <v>0</v>
      </c>
      <c r="D1214" s="585" t="s">
        <v>18958</v>
      </c>
      <c r="E1214" s="279" t="s">
        <v>20239</v>
      </c>
      <c r="F1214" s="53">
        <v>44995</v>
      </c>
      <c r="G1214" s="279">
        <v>2023</v>
      </c>
      <c r="H1214" s="586" t="s">
        <v>16783</v>
      </c>
      <c r="I1214" s="279" t="s">
        <v>16784</v>
      </c>
      <c r="J1214" s="279" t="s">
        <v>16401</v>
      </c>
      <c r="K1214" s="280">
        <v>216599.66399999999</v>
      </c>
      <c r="L1214" s="586">
        <v>3.0802</v>
      </c>
      <c r="M1214" s="587">
        <v>70320</v>
      </c>
      <c r="N1214" s="279" t="s">
        <v>20155</v>
      </c>
      <c r="O1214" s="279" t="s">
        <v>17939</v>
      </c>
      <c r="P1214" s="887">
        <v>45002</v>
      </c>
      <c r="Q1214" s="588">
        <v>0</v>
      </c>
      <c r="R1214" s="588">
        <v>24000</v>
      </c>
      <c r="S1214" s="588">
        <v>24000</v>
      </c>
      <c r="T1214" s="588">
        <v>0</v>
      </c>
      <c r="U1214" s="588">
        <v>48000</v>
      </c>
      <c r="V1214" s="317"/>
      <c r="W1214" s="39">
        <v>0</v>
      </c>
      <c r="X1214" s="39">
        <v>0</v>
      </c>
      <c r="Y1214" s="39">
        <v>0</v>
      </c>
      <c r="Z1214" s="39">
        <v>216599.66399999999</v>
      </c>
      <c r="AA1214" s="589"/>
      <c r="AB1214" s="589">
        <v>0</v>
      </c>
      <c r="AC1214" s="589">
        <v>0</v>
      </c>
      <c r="AD1214" s="589"/>
      <c r="AE1214" s="39">
        <v>0</v>
      </c>
      <c r="AF1214" s="39">
        <v>0</v>
      </c>
      <c r="AG1214" s="39">
        <v>0</v>
      </c>
      <c r="AH1214" s="590"/>
      <c r="AI1214" s="590"/>
      <c r="AJ1214" s="590"/>
      <c r="AK1214" s="590"/>
      <c r="AL1214" s="591">
        <v>0</v>
      </c>
      <c r="AM1214" s="591" t="s">
        <v>20345</v>
      </c>
      <c r="AN1214" s="591" t="s">
        <v>20345</v>
      </c>
      <c r="AO1214" s="591">
        <v>0</v>
      </c>
    </row>
    <row r="1215" spans="1:41" hidden="1">
      <c r="A1215" s="584">
        <v>58</v>
      </c>
      <c r="B1215" s="279" t="s">
        <v>20240</v>
      </c>
      <c r="C1215" s="279">
        <v>0</v>
      </c>
      <c r="D1215" s="585" t="s">
        <v>18959</v>
      </c>
      <c r="E1215" s="279" t="s">
        <v>20240</v>
      </c>
      <c r="F1215" s="53">
        <v>44995</v>
      </c>
      <c r="G1215" s="279">
        <v>2023</v>
      </c>
      <c r="H1215" s="586" t="s">
        <v>16904</v>
      </c>
      <c r="I1215" s="279" t="s">
        <v>16905</v>
      </c>
      <c r="J1215" s="279" t="s">
        <v>16482</v>
      </c>
      <c r="K1215" s="280">
        <v>100975.3382</v>
      </c>
      <c r="L1215" s="586">
        <v>3.2978000000000001</v>
      </c>
      <c r="M1215" s="587">
        <v>30619</v>
      </c>
      <c r="N1215" s="279" t="s">
        <v>20155</v>
      </c>
      <c r="O1215" s="279" t="s">
        <v>20160</v>
      </c>
      <c r="P1215" s="887">
        <v>45001</v>
      </c>
      <c r="Q1215" s="588">
        <v>0</v>
      </c>
      <c r="R1215" s="588">
        <v>19800</v>
      </c>
      <c r="S1215" s="588">
        <v>7500</v>
      </c>
      <c r="T1215" s="588">
        <v>0</v>
      </c>
      <c r="U1215" s="588">
        <v>27300</v>
      </c>
      <c r="V1215" s="317"/>
      <c r="W1215" s="39">
        <v>0</v>
      </c>
      <c r="X1215" s="39">
        <v>73557.755156043946</v>
      </c>
      <c r="Y1215" s="39">
        <v>27417.583043956041</v>
      </c>
      <c r="Z1215" s="39">
        <v>0</v>
      </c>
      <c r="AA1215" s="589"/>
      <c r="AB1215" s="589">
        <v>3.7150381391941387</v>
      </c>
      <c r="AC1215" s="589">
        <v>3.6556777391941386</v>
      </c>
      <c r="AD1215" s="589"/>
      <c r="AE1215" s="39">
        <v>3552.75</v>
      </c>
      <c r="AF1215" s="39">
        <v>13462.13</v>
      </c>
      <c r="AG1215" s="39">
        <v>0.49311831501831499</v>
      </c>
      <c r="AH1215" s="590"/>
      <c r="AI1215" s="590">
        <v>3.2219198241758238</v>
      </c>
      <c r="AJ1215" s="590">
        <v>3.1625594241758237</v>
      </c>
      <c r="AK1215" s="590"/>
      <c r="AL1215" s="591">
        <v>0</v>
      </c>
      <c r="AM1215" s="591">
        <v>1</v>
      </c>
      <c r="AN1215" s="591">
        <v>1</v>
      </c>
      <c r="AO1215" s="591">
        <v>0</v>
      </c>
    </row>
    <row r="1216" spans="1:41" hidden="1">
      <c r="A1216" s="584">
        <v>59</v>
      </c>
      <c r="B1216" s="279" t="s">
        <v>20241</v>
      </c>
      <c r="C1216" s="279">
        <v>0</v>
      </c>
      <c r="D1216" s="585" t="s">
        <v>18960</v>
      </c>
      <c r="E1216" s="279" t="s">
        <v>20241</v>
      </c>
      <c r="F1216" s="53">
        <v>44995</v>
      </c>
      <c r="G1216" s="279">
        <v>2023</v>
      </c>
      <c r="H1216" s="586" t="s">
        <v>16904</v>
      </c>
      <c r="I1216" s="279" t="s">
        <v>16905</v>
      </c>
      <c r="J1216" s="279" t="s">
        <v>16482</v>
      </c>
      <c r="K1216" s="280">
        <v>100742.645432</v>
      </c>
      <c r="L1216" s="586">
        <v>3.2978000000000001</v>
      </c>
      <c r="M1216" s="587">
        <v>30548.44</v>
      </c>
      <c r="N1216" s="279" t="s">
        <v>20155</v>
      </c>
      <c r="O1216" s="279" t="s">
        <v>20160</v>
      </c>
      <c r="P1216" s="887">
        <v>45001</v>
      </c>
      <c r="Q1216" s="588">
        <v>0</v>
      </c>
      <c r="R1216" s="588">
        <v>19728</v>
      </c>
      <c r="S1216" s="588">
        <v>7500</v>
      </c>
      <c r="T1216" s="588">
        <v>0</v>
      </c>
      <c r="U1216" s="588">
        <v>27228</v>
      </c>
      <c r="V1216" s="317"/>
      <c r="W1216" s="39">
        <v>0</v>
      </c>
      <c r="X1216" s="39">
        <v>73315.47942803349</v>
      </c>
      <c r="Y1216" s="39">
        <v>27427.1660039665</v>
      </c>
      <c r="Z1216" s="39">
        <v>0</v>
      </c>
      <c r="AA1216" s="589"/>
      <c r="AB1216" s="589">
        <v>3.7163158671955339</v>
      </c>
      <c r="AC1216" s="589">
        <v>3.6569554671955333</v>
      </c>
      <c r="AD1216" s="589"/>
      <c r="AE1216" s="39">
        <v>3552.75</v>
      </c>
      <c r="AF1216" s="39">
        <v>13463.43</v>
      </c>
      <c r="AG1216" s="39">
        <v>0.49447003085059499</v>
      </c>
      <c r="AH1216" s="590"/>
      <c r="AI1216" s="590">
        <v>3.2218458363449387</v>
      </c>
      <c r="AJ1216" s="590">
        <v>3.1624854363449382</v>
      </c>
      <c r="AK1216" s="590"/>
      <c r="AL1216" s="591">
        <v>0</v>
      </c>
      <c r="AM1216" s="591">
        <v>1</v>
      </c>
      <c r="AN1216" s="591">
        <v>1</v>
      </c>
      <c r="AO1216" s="591">
        <v>0</v>
      </c>
    </row>
    <row r="1217" spans="1:41" hidden="1">
      <c r="A1217" s="584">
        <v>60</v>
      </c>
      <c r="B1217" s="279" t="s">
        <v>20242</v>
      </c>
      <c r="C1217" s="279">
        <v>0</v>
      </c>
      <c r="D1217" s="585" t="s">
        <v>18961</v>
      </c>
      <c r="E1217" s="279" t="s">
        <v>20242</v>
      </c>
      <c r="F1217" s="53">
        <v>44996</v>
      </c>
      <c r="G1217" s="279">
        <v>2023</v>
      </c>
      <c r="H1217" s="586" t="s">
        <v>16470</v>
      </c>
      <c r="I1217" s="279" t="s">
        <v>16471</v>
      </c>
      <c r="J1217" s="279" t="s">
        <v>16401</v>
      </c>
      <c r="K1217" s="280">
        <v>751771.70650800003</v>
      </c>
      <c r="L1217" s="586">
        <v>3.0588000000000002</v>
      </c>
      <c r="M1217" s="587">
        <v>245773.41</v>
      </c>
      <c r="N1217" s="279" t="s">
        <v>20155</v>
      </c>
      <c r="O1217" s="279" t="s">
        <v>20352</v>
      </c>
      <c r="P1217" s="887">
        <v>45014</v>
      </c>
      <c r="Q1217" s="588">
        <v>37356</v>
      </c>
      <c r="R1217" s="588">
        <v>267839</v>
      </c>
      <c r="S1217" s="588">
        <v>0</v>
      </c>
      <c r="T1217" s="588">
        <v>0</v>
      </c>
      <c r="U1217" s="588">
        <v>305195</v>
      </c>
      <c r="V1217" s="317"/>
      <c r="W1217" s="39">
        <v>102428.50482852869</v>
      </c>
      <c r="X1217" s="39">
        <v>648389.14972427138</v>
      </c>
      <c r="Y1217" s="39">
        <v>0</v>
      </c>
      <c r="Z1217" s="39">
        <v>0</v>
      </c>
      <c r="AA1217" s="589">
        <v>2.7419559061068823</v>
      </c>
      <c r="AB1217" s="589">
        <v>2.4208167956282369</v>
      </c>
      <c r="AC1217" s="589"/>
      <c r="AD1217" s="589"/>
      <c r="AE1217" s="39">
        <v>26081.088</v>
      </c>
      <c r="AF1217" s="39">
        <v>104261.75999999999</v>
      </c>
      <c r="AG1217" s="39">
        <v>0.34162342109143334</v>
      </c>
      <c r="AH1217" s="590">
        <v>2.4003324850154488</v>
      </c>
      <c r="AI1217" s="590">
        <v>2.0791933745368034</v>
      </c>
      <c r="AJ1217" s="590"/>
      <c r="AK1217" s="590"/>
      <c r="AL1217" s="591" t="s">
        <v>20345</v>
      </c>
      <c r="AM1217" s="591" t="s">
        <v>20348</v>
      </c>
      <c r="AN1217" s="591">
        <v>0</v>
      </c>
      <c r="AO1217" s="591">
        <v>0</v>
      </c>
    </row>
    <row r="1218" spans="1:41" hidden="1">
      <c r="A1218" s="584">
        <v>61</v>
      </c>
      <c r="B1218" s="279" t="s">
        <v>20243</v>
      </c>
      <c r="C1218" s="279">
        <v>0</v>
      </c>
      <c r="D1218" s="585" t="s">
        <v>18962</v>
      </c>
      <c r="E1218" s="279" t="s">
        <v>20243</v>
      </c>
      <c r="F1218" s="53">
        <v>44996</v>
      </c>
      <c r="G1218" s="279">
        <v>2023</v>
      </c>
      <c r="H1218" s="586" t="s">
        <v>16384</v>
      </c>
      <c r="I1218" s="279" t="s">
        <v>16385</v>
      </c>
      <c r="J1218" s="279" t="s">
        <v>3</v>
      </c>
      <c r="K1218" s="280">
        <v>254400</v>
      </c>
      <c r="L1218" s="586">
        <v>1</v>
      </c>
      <c r="M1218" s="587">
        <v>254400</v>
      </c>
      <c r="N1218" s="279" t="s">
        <v>20155</v>
      </c>
      <c r="O1218" s="279" t="s">
        <v>17965</v>
      </c>
      <c r="P1218" s="887">
        <v>45003</v>
      </c>
      <c r="Q1218" s="588">
        <v>96000</v>
      </c>
      <c r="R1218" s="588">
        <v>0</v>
      </c>
      <c r="S1218" s="588">
        <v>0</v>
      </c>
      <c r="T1218" s="588">
        <v>0</v>
      </c>
      <c r="U1218" s="588">
        <v>96000</v>
      </c>
      <c r="V1218" s="317"/>
      <c r="W1218" s="39">
        <v>254400</v>
      </c>
      <c r="X1218" s="39">
        <v>0</v>
      </c>
      <c r="Y1218" s="39">
        <v>0</v>
      </c>
      <c r="Z1218" s="39">
        <v>0</v>
      </c>
      <c r="AA1218" s="589">
        <v>2.65</v>
      </c>
      <c r="AB1218" s="589"/>
      <c r="AC1218" s="589"/>
      <c r="AD1218" s="589"/>
      <c r="AE1218" s="39">
        <v>0</v>
      </c>
      <c r="AF1218" s="39">
        <v>0</v>
      </c>
      <c r="AG1218" s="39">
        <v>0</v>
      </c>
      <c r="AH1218" s="590">
        <v>2.65</v>
      </c>
      <c r="AI1218" s="590"/>
      <c r="AJ1218" s="590"/>
      <c r="AK1218" s="590"/>
      <c r="AL1218" s="591" t="s">
        <v>20345</v>
      </c>
      <c r="AM1218" s="591">
        <v>0</v>
      </c>
      <c r="AN1218" s="591">
        <v>0</v>
      </c>
      <c r="AO1218" s="591">
        <v>0</v>
      </c>
    </row>
    <row r="1219" spans="1:41" hidden="1">
      <c r="A1219" s="584">
        <v>62</v>
      </c>
      <c r="B1219" s="279" t="s">
        <v>20244</v>
      </c>
      <c r="C1219" s="279">
        <v>0</v>
      </c>
      <c r="D1219" s="585" t="s">
        <v>18963</v>
      </c>
      <c r="E1219" s="279" t="s">
        <v>20244</v>
      </c>
      <c r="F1219" s="53">
        <v>45002</v>
      </c>
      <c r="G1219" s="279">
        <v>2023</v>
      </c>
      <c r="H1219" s="586" t="s">
        <v>16823</v>
      </c>
      <c r="I1219" s="279" t="s">
        <v>16824</v>
      </c>
      <c r="J1219" s="279" t="s">
        <v>16401</v>
      </c>
      <c r="K1219" s="280">
        <v>159306.34922999999</v>
      </c>
      <c r="L1219" s="586">
        <v>3.0470999999999999</v>
      </c>
      <c r="M1219" s="587">
        <v>52281.3</v>
      </c>
      <c r="N1219" s="279" t="s">
        <v>20155</v>
      </c>
      <c r="O1219" s="279" t="s">
        <v>17965</v>
      </c>
      <c r="P1219" s="887">
        <v>45023</v>
      </c>
      <c r="Q1219" s="588">
        <v>15180</v>
      </c>
      <c r="R1219" s="588">
        <v>40860</v>
      </c>
      <c r="S1219" s="588">
        <v>0</v>
      </c>
      <c r="T1219" s="588">
        <v>0</v>
      </c>
      <c r="U1219" s="588">
        <v>56040</v>
      </c>
      <c r="V1219" s="317"/>
      <c r="W1219" s="39">
        <v>46019.245992205571</v>
      </c>
      <c r="X1219" s="39">
        <v>113287.10323779444</v>
      </c>
      <c r="Y1219" s="39">
        <v>0</v>
      </c>
      <c r="Z1219" s="39">
        <v>0</v>
      </c>
      <c r="AA1219" s="589">
        <v>3.0315708822269811</v>
      </c>
      <c r="AB1219" s="589">
        <v>2.7725673822269807</v>
      </c>
      <c r="AC1219" s="589"/>
      <c r="AD1219" s="589"/>
      <c r="AE1219" s="39">
        <v>2978.7</v>
      </c>
      <c r="AF1219" s="39">
        <v>12221.6</v>
      </c>
      <c r="AG1219" s="39">
        <v>0.21808708065667382</v>
      </c>
      <c r="AH1219" s="590">
        <v>2.8134838015703072</v>
      </c>
      <c r="AI1219" s="590">
        <v>2.5544803015703068</v>
      </c>
      <c r="AJ1219" s="590"/>
      <c r="AK1219" s="590"/>
      <c r="AL1219" s="591" t="s">
        <v>20345</v>
      </c>
      <c r="AM1219" s="591" t="s">
        <v>20348</v>
      </c>
      <c r="AN1219" s="591">
        <v>0</v>
      </c>
      <c r="AO1219" s="591">
        <v>0</v>
      </c>
    </row>
    <row r="1220" spans="1:41" hidden="1">
      <c r="A1220" s="584">
        <v>63</v>
      </c>
      <c r="B1220" s="279" t="s">
        <v>20245</v>
      </c>
      <c r="C1220" s="279">
        <v>0</v>
      </c>
      <c r="D1220" s="585" t="s">
        <v>18964</v>
      </c>
      <c r="E1220" s="279" t="s">
        <v>20245</v>
      </c>
      <c r="F1220" s="53">
        <v>45007</v>
      </c>
      <c r="G1220" s="279">
        <v>2023</v>
      </c>
      <c r="H1220" s="586" t="s">
        <v>17299</v>
      </c>
      <c r="I1220" s="279" t="s">
        <v>17300</v>
      </c>
      <c r="J1220" s="279" t="s">
        <v>16482</v>
      </c>
      <c r="K1220" s="280">
        <v>273124.78200000001</v>
      </c>
      <c r="L1220" s="586">
        <v>3.3094000000000001</v>
      </c>
      <c r="M1220" s="587">
        <v>82530</v>
      </c>
      <c r="N1220" s="279" t="s">
        <v>20155</v>
      </c>
      <c r="O1220" s="279" t="s">
        <v>20321</v>
      </c>
      <c r="P1220" s="887">
        <v>45016</v>
      </c>
      <c r="Q1220" s="588">
        <v>96000</v>
      </c>
      <c r="R1220" s="588">
        <v>0</v>
      </c>
      <c r="S1220" s="588">
        <v>0</v>
      </c>
      <c r="T1220" s="588">
        <v>0</v>
      </c>
      <c r="U1220" s="588">
        <v>96000</v>
      </c>
      <c r="V1220" s="317"/>
      <c r="W1220" s="39">
        <v>275110.42200000002</v>
      </c>
      <c r="X1220" s="39">
        <v>0</v>
      </c>
      <c r="Y1220" s="39">
        <v>0</v>
      </c>
      <c r="Z1220" s="39">
        <v>0</v>
      </c>
      <c r="AA1220" s="589">
        <v>2.8657335625</v>
      </c>
      <c r="AB1220" s="589"/>
      <c r="AC1220" s="589"/>
      <c r="AD1220" s="589"/>
      <c r="AE1220" s="39">
        <v>6763.4624999999996</v>
      </c>
      <c r="AF1220" s="39">
        <v>29950.665000000001</v>
      </c>
      <c r="AG1220" s="39">
        <v>0.31198609375000003</v>
      </c>
      <c r="AH1220" s="590">
        <v>2.5537474687500001</v>
      </c>
      <c r="AI1220" s="590"/>
      <c r="AJ1220" s="590"/>
      <c r="AK1220" s="590"/>
      <c r="AL1220" s="591" t="s">
        <v>20345</v>
      </c>
      <c r="AM1220" s="591">
        <v>0</v>
      </c>
      <c r="AN1220" s="591">
        <v>0</v>
      </c>
      <c r="AO1220" s="591">
        <v>0</v>
      </c>
    </row>
    <row r="1221" spans="1:41" hidden="1">
      <c r="A1221" s="584">
        <v>64</v>
      </c>
      <c r="B1221" s="279" t="s">
        <v>20246</v>
      </c>
      <c r="C1221" s="279">
        <v>0</v>
      </c>
      <c r="D1221" s="585" t="s">
        <v>18965</v>
      </c>
      <c r="E1221" s="279" t="s">
        <v>20246</v>
      </c>
      <c r="F1221" s="53">
        <v>45007</v>
      </c>
      <c r="G1221" s="279">
        <v>2023</v>
      </c>
      <c r="H1221" s="586" t="s">
        <v>17233</v>
      </c>
      <c r="I1221" s="279" t="s">
        <v>17234</v>
      </c>
      <c r="J1221" s="279" t="s">
        <v>16401</v>
      </c>
      <c r="K1221" s="280">
        <v>1583608.32</v>
      </c>
      <c r="L1221" s="586">
        <v>3.0548000000000002</v>
      </c>
      <c r="M1221" s="587">
        <v>518400</v>
      </c>
      <c r="N1221" s="279" t="s">
        <v>20155</v>
      </c>
      <c r="O1221" s="279" t="s">
        <v>17939</v>
      </c>
      <c r="P1221" s="887" t="s">
        <v>20353</v>
      </c>
      <c r="Q1221" s="588">
        <v>0</v>
      </c>
      <c r="R1221" s="588">
        <v>478080</v>
      </c>
      <c r="S1221" s="588">
        <v>169920</v>
      </c>
      <c r="T1221" s="588">
        <v>0</v>
      </c>
      <c r="U1221" s="588">
        <v>648000</v>
      </c>
      <c r="V1221" s="317"/>
      <c r="W1221" s="39">
        <v>0</v>
      </c>
      <c r="X1221" s="39">
        <v>1168351.0272000004</v>
      </c>
      <c r="Y1221" s="39">
        <v>415257.29279999994</v>
      </c>
      <c r="Z1221" s="39">
        <v>0</v>
      </c>
      <c r="AA1221" s="589"/>
      <c r="AB1221" s="589">
        <v>2.4438400000000007</v>
      </c>
      <c r="AC1221" s="589">
        <v>2.4438399999999998</v>
      </c>
      <c r="AD1221" s="589"/>
      <c r="AE1221" s="39">
        <v>0</v>
      </c>
      <c r="AF1221" s="39">
        <v>0</v>
      </c>
      <c r="AG1221" s="39">
        <v>0</v>
      </c>
      <c r="AH1221" s="590"/>
      <c r="AI1221" s="590">
        <v>2.4438400000000007</v>
      </c>
      <c r="AJ1221" s="590">
        <v>2.4438399999999998</v>
      </c>
      <c r="AK1221" s="590"/>
      <c r="AL1221" s="591">
        <v>0</v>
      </c>
      <c r="AM1221" s="591" t="s">
        <v>20345</v>
      </c>
      <c r="AN1221" s="591" t="s">
        <v>20345</v>
      </c>
      <c r="AO1221" s="591">
        <v>0</v>
      </c>
    </row>
    <row r="1222" spans="1:41" hidden="1">
      <c r="A1222" s="584">
        <v>65</v>
      </c>
      <c r="B1222" s="279" t="s">
        <v>20247</v>
      </c>
      <c r="C1222" s="279">
        <v>0</v>
      </c>
      <c r="D1222" s="585" t="s">
        <v>18966</v>
      </c>
      <c r="E1222" s="279" t="s">
        <v>20247</v>
      </c>
      <c r="F1222" s="53">
        <v>45013</v>
      </c>
      <c r="G1222" s="279">
        <v>2023</v>
      </c>
      <c r="H1222" s="586" t="s">
        <v>16444</v>
      </c>
      <c r="I1222" s="279" t="s">
        <v>16445</v>
      </c>
      <c r="J1222" s="279" t="s">
        <v>3</v>
      </c>
      <c r="K1222" s="280">
        <v>52704</v>
      </c>
      <c r="L1222" s="586">
        <v>1</v>
      </c>
      <c r="M1222" s="587">
        <v>52704</v>
      </c>
      <c r="N1222" s="279" t="s">
        <v>20155</v>
      </c>
      <c r="O1222" s="279" t="s">
        <v>17693</v>
      </c>
      <c r="P1222" s="887">
        <v>45026</v>
      </c>
      <c r="Q1222" s="588">
        <v>21600</v>
      </c>
      <c r="R1222" s="588">
        <v>0</v>
      </c>
      <c r="S1222" s="588">
        <v>0</v>
      </c>
      <c r="T1222" s="588">
        <v>0</v>
      </c>
      <c r="U1222" s="588">
        <v>21600</v>
      </c>
      <c r="V1222" s="317"/>
      <c r="W1222" s="39">
        <v>52704</v>
      </c>
      <c r="X1222" s="39">
        <v>0</v>
      </c>
      <c r="Y1222" s="39">
        <v>0</v>
      </c>
      <c r="Z1222" s="39">
        <v>0</v>
      </c>
      <c r="AA1222" s="589">
        <v>2.44</v>
      </c>
      <c r="AB1222" s="589"/>
      <c r="AC1222" s="589"/>
      <c r="AD1222" s="589"/>
      <c r="AE1222" s="39">
        <v>0</v>
      </c>
      <c r="AF1222" s="39">
        <v>0</v>
      </c>
      <c r="AG1222" s="39">
        <v>0</v>
      </c>
      <c r="AH1222" s="590">
        <v>2.44</v>
      </c>
      <c r="AI1222" s="590"/>
      <c r="AJ1222" s="590"/>
      <c r="AK1222" s="590"/>
      <c r="AL1222" s="591" t="s">
        <v>20345</v>
      </c>
      <c r="AM1222" s="591">
        <v>0</v>
      </c>
      <c r="AN1222" s="591">
        <v>0</v>
      </c>
      <c r="AO1222" s="591">
        <v>0</v>
      </c>
    </row>
    <row r="1223" spans="1:41" hidden="1">
      <c r="A1223" s="584">
        <v>66</v>
      </c>
      <c r="B1223" s="279" t="s">
        <v>20248</v>
      </c>
      <c r="C1223" s="279">
        <v>0</v>
      </c>
      <c r="D1223" s="585" t="s">
        <v>18967</v>
      </c>
      <c r="E1223" s="279" t="s">
        <v>20248</v>
      </c>
      <c r="F1223" s="53">
        <v>45017</v>
      </c>
      <c r="G1223" s="279">
        <v>2023</v>
      </c>
      <c r="H1223" s="586" t="s">
        <v>17017</v>
      </c>
      <c r="I1223" s="279" t="s">
        <v>17018</v>
      </c>
      <c r="J1223" s="279" t="s">
        <v>3</v>
      </c>
      <c r="K1223" s="280">
        <v>61000</v>
      </c>
      <c r="L1223" s="586">
        <v>1</v>
      </c>
      <c r="M1223" s="587">
        <v>61000</v>
      </c>
      <c r="N1223" s="279" t="s">
        <v>20155</v>
      </c>
      <c r="O1223" s="279" t="s">
        <v>20350</v>
      </c>
      <c r="P1223" s="887">
        <v>45020</v>
      </c>
      <c r="Q1223" s="588">
        <v>0</v>
      </c>
      <c r="R1223" s="588">
        <v>20000</v>
      </c>
      <c r="S1223" s="588">
        <v>0</v>
      </c>
      <c r="T1223" s="588">
        <v>0</v>
      </c>
      <c r="U1223" s="588">
        <v>20000</v>
      </c>
      <c r="V1223" s="317"/>
      <c r="W1223" s="39">
        <v>0</v>
      </c>
      <c r="X1223" s="39">
        <v>61000</v>
      </c>
      <c r="Y1223" s="39">
        <v>0</v>
      </c>
      <c r="Z1223" s="39">
        <v>0</v>
      </c>
      <c r="AA1223" s="589"/>
      <c r="AB1223" s="589">
        <v>3.05</v>
      </c>
      <c r="AC1223" s="589"/>
      <c r="AD1223" s="589"/>
      <c r="AE1223" s="39">
        <v>0</v>
      </c>
      <c r="AF1223" s="39">
        <v>0</v>
      </c>
      <c r="AG1223" s="39">
        <v>0</v>
      </c>
      <c r="AH1223" s="590"/>
      <c r="AI1223" s="590">
        <v>3.05</v>
      </c>
      <c r="AJ1223" s="590"/>
      <c r="AK1223" s="590"/>
      <c r="AL1223" s="591">
        <v>0</v>
      </c>
      <c r="AM1223" s="591">
        <v>1</v>
      </c>
      <c r="AN1223" s="591">
        <v>0</v>
      </c>
      <c r="AO1223" s="591">
        <v>0</v>
      </c>
    </row>
    <row r="1224" spans="1:41" hidden="1">
      <c r="A1224" s="584">
        <v>67</v>
      </c>
      <c r="B1224" s="279" t="s">
        <v>20249</v>
      </c>
      <c r="C1224" s="279">
        <v>0</v>
      </c>
      <c r="D1224" s="585" t="s">
        <v>18968</v>
      </c>
      <c r="E1224" s="279" t="s">
        <v>20249</v>
      </c>
      <c r="F1224" s="53">
        <v>45019</v>
      </c>
      <c r="G1224" s="279">
        <v>2023</v>
      </c>
      <c r="H1224" s="586" t="s">
        <v>16384</v>
      </c>
      <c r="I1224" s="279" t="s">
        <v>16385</v>
      </c>
      <c r="J1224" s="279" t="s">
        <v>3</v>
      </c>
      <c r="K1224" s="280">
        <v>419197.44</v>
      </c>
      <c r="L1224" s="586">
        <v>1</v>
      </c>
      <c r="M1224" s="587">
        <v>419197.44</v>
      </c>
      <c r="N1224" s="279" t="s">
        <v>20155</v>
      </c>
      <c r="O1224" s="279" t="s">
        <v>17949</v>
      </c>
      <c r="P1224" s="887">
        <v>45031</v>
      </c>
      <c r="Q1224" s="588">
        <v>173032</v>
      </c>
      <c r="R1224" s="588">
        <v>0</v>
      </c>
      <c r="S1224" s="588">
        <v>0</v>
      </c>
      <c r="T1224" s="588">
        <v>0</v>
      </c>
      <c r="U1224" s="588">
        <v>173032</v>
      </c>
      <c r="V1224" s="317"/>
      <c r="W1224" s="39">
        <v>419197.44</v>
      </c>
      <c r="X1224" s="39">
        <v>0</v>
      </c>
      <c r="Y1224" s="39">
        <v>0</v>
      </c>
      <c r="Z1224" s="39">
        <v>0</v>
      </c>
      <c r="AA1224" s="589">
        <v>2.4226584677978642</v>
      </c>
      <c r="AB1224" s="589"/>
      <c r="AC1224" s="589"/>
      <c r="AD1224" s="589"/>
      <c r="AE1224" s="39">
        <v>0</v>
      </c>
      <c r="AF1224" s="39">
        <v>0</v>
      </c>
      <c r="AG1224" s="39">
        <v>0</v>
      </c>
      <c r="AH1224" s="590">
        <v>2.4226584677978642</v>
      </c>
      <c r="AI1224" s="590"/>
      <c r="AJ1224" s="590"/>
      <c r="AK1224" s="590"/>
      <c r="AL1224" s="591" t="s">
        <v>20345</v>
      </c>
      <c r="AM1224" s="591">
        <v>0</v>
      </c>
      <c r="AN1224" s="591">
        <v>0</v>
      </c>
      <c r="AO1224" s="591">
        <v>0</v>
      </c>
    </row>
    <row r="1225" spans="1:41" hidden="1">
      <c r="A1225" s="584">
        <v>68</v>
      </c>
      <c r="B1225" s="279" t="s">
        <v>20250</v>
      </c>
      <c r="C1225" s="279">
        <v>0</v>
      </c>
      <c r="D1225" s="585" t="s">
        <v>18969</v>
      </c>
      <c r="E1225" s="279" t="s">
        <v>20250</v>
      </c>
      <c r="F1225" s="53">
        <v>45019</v>
      </c>
      <c r="G1225" s="279">
        <v>2023</v>
      </c>
      <c r="H1225" s="586" t="s">
        <v>17342</v>
      </c>
      <c r="I1225" s="279" t="s">
        <v>17343</v>
      </c>
      <c r="J1225" s="279" t="s">
        <v>16482</v>
      </c>
      <c r="K1225" s="280">
        <v>30339.293122999999</v>
      </c>
      <c r="L1225" s="586">
        <v>3.33155</v>
      </c>
      <c r="M1225" s="587">
        <v>9106.66</v>
      </c>
      <c r="N1225" s="279" t="s">
        <v>20155</v>
      </c>
      <c r="O1225" s="279" t="s">
        <v>16394</v>
      </c>
      <c r="P1225" s="887">
        <v>45030</v>
      </c>
      <c r="Q1225" s="588">
        <v>1920</v>
      </c>
      <c r="R1225" s="588">
        <v>13440</v>
      </c>
      <c r="S1225" s="588">
        <v>3600</v>
      </c>
      <c r="T1225" s="588">
        <v>1120</v>
      </c>
      <c r="U1225" s="588">
        <v>20080</v>
      </c>
      <c r="V1225" s="317"/>
      <c r="W1225" s="39">
        <v>1873.9036977848605</v>
      </c>
      <c r="X1225" s="39">
        <v>19765.447235694024</v>
      </c>
      <c r="Y1225" s="39">
        <v>3513.5694333466131</v>
      </c>
      <c r="Z1225" s="39">
        <v>4511.5473143745012</v>
      </c>
      <c r="AA1225" s="589">
        <v>0.9759915092629482</v>
      </c>
      <c r="AB1225" s="589">
        <v>1.4706433955129483</v>
      </c>
      <c r="AC1225" s="589">
        <v>0.97599150926294809</v>
      </c>
      <c r="AD1225" s="589">
        <v>4.028167244977233</v>
      </c>
      <c r="AE1225" s="39">
        <v>2182.8243600000001</v>
      </c>
      <c r="AF1225" s="39">
        <v>12849.347</v>
      </c>
      <c r="AG1225" s="39">
        <v>0.63990771912350597</v>
      </c>
      <c r="AH1225" s="590">
        <v>0.33608379013944223</v>
      </c>
      <c r="AI1225" s="590">
        <v>0.83073567638944235</v>
      </c>
      <c r="AJ1225" s="590">
        <v>0.33608379013944212</v>
      </c>
      <c r="AK1225" s="590">
        <v>3.3882595258537269</v>
      </c>
      <c r="AL1225" s="591">
        <v>1</v>
      </c>
      <c r="AM1225" s="591">
        <v>1</v>
      </c>
      <c r="AN1225" s="591">
        <v>1</v>
      </c>
      <c r="AO1225" s="591">
        <v>1</v>
      </c>
    </row>
    <row r="1226" spans="1:41" hidden="1">
      <c r="A1226" s="584">
        <v>69</v>
      </c>
      <c r="B1226" s="279" t="s">
        <v>20251</v>
      </c>
      <c r="C1226" s="279">
        <v>0</v>
      </c>
      <c r="D1226" s="585" t="s">
        <v>18970</v>
      </c>
      <c r="E1226" s="279" t="s">
        <v>20251</v>
      </c>
      <c r="F1226" s="53">
        <v>45019</v>
      </c>
      <c r="G1226" s="279">
        <v>2023</v>
      </c>
      <c r="H1226" s="586" t="s">
        <v>17017</v>
      </c>
      <c r="I1226" s="279" t="s">
        <v>17018</v>
      </c>
      <c r="J1226" s="279" t="s">
        <v>3</v>
      </c>
      <c r="K1226" s="280">
        <v>61000</v>
      </c>
      <c r="L1226" s="586">
        <v>1</v>
      </c>
      <c r="M1226" s="587">
        <v>61000</v>
      </c>
      <c r="N1226" s="279" t="s">
        <v>20155</v>
      </c>
      <c r="O1226" s="279" t="s">
        <v>20350</v>
      </c>
      <c r="P1226" s="887">
        <v>45026</v>
      </c>
      <c r="Q1226" s="588">
        <v>0</v>
      </c>
      <c r="R1226" s="588">
        <v>20000</v>
      </c>
      <c r="S1226" s="588">
        <v>0</v>
      </c>
      <c r="T1226" s="588">
        <v>0</v>
      </c>
      <c r="U1226" s="588">
        <v>20000</v>
      </c>
      <c r="V1226" s="317"/>
      <c r="W1226" s="39">
        <v>0</v>
      </c>
      <c r="X1226" s="39">
        <v>61000</v>
      </c>
      <c r="Y1226" s="39">
        <v>0</v>
      </c>
      <c r="Z1226" s="39">
        <v>0</v>
      </c>
      <c r="AA1226" s="589"/>
      <c r="AB1226" s="589">
        <v>3.05</v>
      </c>
      <c r="AC1226" s="589"/>
      <c r="AD1226" s="589"/>
      <c r="AE1226" s="39">
        <v>0</v>
      </c>
      <c r="AF1226" s="39">
        <v>0</v>
      </c>
      <c r="AG1226" s="39">
        <v>0</v>
      </c>
      <c r="AH1226" s="590"/>
      <c r="AI1226" s="590">
        <v>3.05</v>
      </c>
      <c r="AJ1226" s="590"/>
      <c r="AK1226" s="590"/>
      <c r="AL1226" s="591">
        <v>0</v>
      </c>
      <c r="AM1226" s="591">
        <v>1</v>
      </c>
      <c r="AN1226" s="591">
        <v>0</v>
      </c>
      <c r="AO1226" s="591">
        <v>0</v>
      </c>
    </row>
    <row r="1227" spans="1:41" hidden="1">
      <c r="A1227" s="584">
        <v>70</v>
      </c>
      <c r="B1227" s="279" t="s">
        <v>20252</v>
      </c>
      <c r="C1227" s="279">
        <v>0</v>
      </c>
      <c r="D1227" s="585" t="s">
        <v>18971</v>
      </c>
      <c r="E1227" s="279" t="s">
        <v>20252</v>
      </c>
      <c r="F1227" s="53">
        <v>45021</v>
      </c>
      <c r="G1227" s="279">
        <v>2023</v>
      </c>
      <c r="H1227" s="586" t="s">
        <v>17017</v>
      </c>
      <c r="I1227" s="279" t="s">
        <v>17018</v>
      </c>
      <c r="J1227" s="279" t="s">
        <v>3</v>
      </c>
      <c r="K1227" s="280">
        <v>52000</v>
      </c>
      <c r="L1227" s="586">
        <v>1</v>
      </c>
      <c r="M1227" s="587">
        <v>52000</v>
      </c>
      <c r="N1227" s="279" t="s">
        <v>20155</v>
      </c>
      <c r="O1227" s="279" t="s">
        <v>20307</v>
      </c>
      <c r="P1227" s="887">
        <v>45040</v>
      </c>
      <c r="Q1227" s="588">
        <v>0</v>
      </c>
      <c r="R1227" s="588">
        <v>20000</v>
      </c>
      <c r="S1227" s="588">
        <v>0</v>
      </c>
      <c r="T1227" s="588">
        <v>0</v>
      </c>
      <c r="U1227" s="588">
        <v>20000</v>
      </c>
      <c r="V1227" s="317"/>
      <c r="W1227" s="39">
        <v>0</v>
      </c>
      <c r="X1227" s="39">
        <v>52000</v>
      </c>
      <c r="Y1227" s="39">
        <v>0</v>
      </c>
      <c r="Z1227" s="39">
        <v>0</v>
      </c>
      <c r="AA1227" s="589"/>
      <c r="AB1227" s="589">
        <v>2.6</v>
      </c>
      <c r="AC1227" s="589"/>
      <c r="AD1227" s="589"/>
      <c r="AE1227" s="39">
        <v>0</v>
      </c>
      <c r="AF1227" s="39">
        <v>0</v>
      </c>
      <c r="AG1227" s="39">
        <v>0</v>
      </c>
      <c r="AH1227" s="590"/>
      <c r="AI1227" s="590">
        <v>2.6</v>
      </c>
      <c r="AJ1227" s="590"/>
      <c r="AK1227" s="590"/>
      <c r="AL1227" s="591">
        <v>0</v>
      </c>
      <c r="AM1227" s="591">
        <v>1</v>
      </c>
      <c r="AN1227" s="591">
        <v>0</v>
      </c>
      <c r="AO1227" s="591">
        <v>0</v>
      </c>
    </row>
    <row r="1228" spans="1:41" hidden="1">
      <c r="A1228" s="584">
        <v>71</v>
      </c>
      <c r="B1228" s="279" t="s">
        <v>20253</v>
      </c>
      <c r="C1228" s="279">
        <v>0</v>
      </c>
      <c r="D1228" s="585" t="s">
        <v>18972</v>
      </c>
      <c r="E1228" s="279" t="s">
        <v>20253</v>
      </c>
      <c r="F1228" s="53">
        <v>45021</v>
      </c>
      <c r="G1228" s="279">
        <v>2023</v>
      </c>
      <c r="H1228" s="586" t="s">
        <v>17017</v>
      </c>
      <c r="I1228" s="279" t="s">
        <v>17018</v>
      </c>
      <c r="J1228" s="279" t="s">
        <v>3</v>
      </c>
      <c r="K1228" s="280">
        <v>49000</v>
      </c>
      <c r="L1228" s="586">
        <v>1</v>
      </c>
      <c r="M1228" s="587">
        <v>49000</v>
      </c>
      <c r="N1228" s="279" t="s">
        <v>20155</v>
      </c>
      <c r="O1228" s="279" t="s">
        <v>20307</v>
      </c>
      <c r="P1228" s="887">
        <v>45028</v>
      </c>
      <c r="Q1228" s="588">
        <v>20000</v>
      </c>
      <c r="R1228" s="588">
        <v>0</v>
      </c>
      <c r="S1228" s="588">
        <v>0</v>
      </c>
      <c r="T1228" s="588">
        <v>0</v>
      </c>
      <c r="U1228" s="588">
        <v>20000</v>
      </c>
      <c r="V1228" s="317"/>
      <c r="W1228" s="39">
        <v>49000</v>
      </c>
      <c r="X1228" s="39">
        <v>0</v>
      </c>
      <c r="Y1228" s="39">
        <v>0</v>
      </c>
      <c r="Z1228" s="39">
        <v>0</v>
      </c>
      <c r="AA1228" s="589">
        <v>2.4500000000000002</v>
      </c>
      <c r="AB1228" s="589"/>
      <c r="AC1228" s="589"/>
      <c r="AD1228" s="589"/>
      <c r="AE1228" s="39">
        <v>0</v>
      </c>
      <c r="AF1228" s="39">
        <v>0</v>
      </c>
      <c r="AG1228" s="39">
        <v>0</v>
      </c>
      <c r="AH1228" s="590">
        <v>2.4500000000000002</v>
      </c>
      <c r="AI1228" s="590"/>
      <c r="AJ1228" s="590"/>
      <c r="AK1228" s="590"/>
      <c r="AL1228" s="591">
        <v>1</v>
      </c>
      <c r="AM1228" s="591">
        <v>0</v>
      </c>
      <c r="AN1228" s="591">
        <v>0</v>
      </c>
      <c r="AO1228" s="591">
        <v>0</v>
      </c>
    </row>
    <row r="1229" spans="1:41" hidden="1">
      <c r="A1229" s="584">
        <v>72</v>
      </c>
      <c r="B1229" s="279" t="s">
        <v>20254</v>
      </c>
      <c r="C1229" s="279">
        <v>0</v>
      </c>
      <c r="D1229" s="585" t="s">
        <v>18973</v>
      </c>
      <c r="E1229" s="279" t="s">
        <v>20254</v>
      </c>
      <c r="F1229" s="53">
        <v>45021</v>
      </c>
      <c r="G1229" s="279">
        <v>2023</v>
      </c>
      <c r="H1229" s="586" t="s">
        <v>17017</v>
      </c>
      <c r="I1229" s="279" t="s">
        <v>17018</v>
      </c>
      <c r="J1229" s="279" t="s">
        <v>3</v>
      </c>
      <c r="K1229" s="280">
        <v>49000</v>
      </c>
      <c r="L1229" s="586">
        <v>1</v>
      </c>
      <c r="M1229" s="587">
        <v>49000</v>
      </c>
      <c r="N1229" s="279" t="s">
        <v>20155</v>
      </c>
      <c r="O1229" s="279" t="s">
        <v>20307</v>
      </c>
      <c r="P1229" s="887">
        <v>45028</v>
      </c>
      <c r="Q1229" s="588">
        <v>20000</v>
      </c>
      <c r="R1229" s="588">
        <v>0</v>
      </c>
      <c r="S1229" s="588">
        <v>0</v>
      </c>
      <c r="T1229" s="588">
        <v>0</v>
      </c>
      <c r="U1229" s="588">
        <v>20000</v>
      </c>
      <c r="V1229" s="317"/>
      <c r="W1229" s="39">
        <v>49000</v>
      </c>
      <c r="X1229" s="39">
        <v>0</v>
      </c>
      <c r="Y1229" s="39">
        <v>0</v>
      </c>
      <c r="Z1229" s="39">
        <v>0</v>
      </c>
      <c r="AA1229" s="589">
        <v>2.4500000000000002</v>
      </c>
      <c r="AB1229" s="589"/>
      <c r="AC1229" s="589"/>
      <c r="AD1229" s="589"/>
      <c r="AE1229" s="39">
        <v>0</v>
      </c>
      <c r="AF1229" s="39">
        <v>0</v>
      </c>
      <c r="AG1229" s="39">
        <v>0</v>
      </c>
      <c r="AH1229" s="590">
        <v>2.4500000000000002</v>
      </c>
      <c r="AI1229" s="590"/>
      <c r="AJ1229" s="590"/>
      <c r="AK1229" s="590"/>
      <c r="AL1229" s="591">
        <v>1</v>
      </c>
      <c r="AM1229" s="591">
        <v>0</v>
      </c>
      <c r="AN1229" s="591">
        <v>0</v>
      </c>
      <c r="AO1229" s="591">
        <v>0</v>
      </c>
    </row>
    <row r="1230" spans="1:41" hidden="1">
      <c r="A1230" s="584">
        <v>73</v>
      </c>
      <c r="B1230" s="279" t="s">
        <v>20256</v>
      </c>
      <c r="C1230" s="279">
        <v>0</v>
      </c>
      <c r="D1230" s="585" t="s">
        <v>18974</v>
      </c>
      <c r="E1230" s="279" t="s">
        <v>20256</v>
      </c>
      <c r="F1230" s="53">
        <v>45026</v>
      </c>
      <c r="G1230" s="279">
        <v>2023</v>
      </c>
      <c r="H1230" s="586" t="s">
        <v>16880</v>
      </c>
      <c r="I1230" s="279" t="s">
        <v>16881</v>
      </c>
      <c r="J1230" s="279" t="s">
        <v>16401</v>
      </c>
      <c r="K1230" s="280">
        <v>85907.847436999989</v>
      </c>
      <c r="L1230" s="586">
        <v>3.0263499999999999</v>
      </c>
      <c r="M1230" s="587">
        <v>28386.62</v>
      </c>
      <c r="N1230" s="279" t="s">
        <v>20155</v>
      </c>
      <c r="O1230" s="279" t="s">
        <v>20351</v>
      </c>
      <c r="P1230" s="887">
        <v>45033</v>
      </c>
      <c r="Q1230" s="588">
        <v>6900</v>
      </c>
      <c r="R1230" s="588">
        <v>14300</v>
      </c>
      <c r="S1230" s="588">
        <v>0</v>
      </c>
      <c r="T1230" s="588">
        <v>0</v>
      </c>
      <c r="U1230" s="588">
        <v>21200</v>
      </c>
      <c r="V1230" s="317"/>
      <c r="W1230" s="39">
        <v>22378.478234399998</v>
      </c>
      <c r="X1230" s="39">
        <v>63529.381308000004</v>
      </c>
      <c r="Y1230" s="39">
        <v>0</v>
      </c>
      <c r="Z1230" s="39">
        <v>0</v>
      </c>
      <c r="AA1230" s="589">
        <v>3.2432577151304343</v>
      </c>
      <c r="AB1230" s="589">
        <v>4.442614077482518</v>
      </c>
      <c r="AC1230" s="589"/>
      <c r="AD1230" s="589"/>
      <c r="AE1230" s="39">
        <v>0</v>
      </c>
      <c r="AF1230" s="39">
        <v>2157.2199999999998</v>
      </c>
      <c r="AG1230" s="39">
        <v>0.10175566037735848</v>
      </c>
      <c r="AH1230" s="590">
        <v>3.1415020547530759</v>
      </c>
      <c r="AI1230" s="590">
        <v>4.3408584171051592</v>
      </c>
      <c r="AJ1230" s="590"/>
      <c r="AK1230" s="590"/>
      <c r="AL1230" s="591">
        <v>1</v>
      </c>
      <c r="AM1230" s="591">
        <v>1</v>
      </c>
      <c r="AN1230" s="591">
        <v>0</v>
      </c>
      <c r="AO1230" s="591">
        <v>0</v>
      </c>
    </row>
    <row r="1231" spans="1:41" hidden="1">
      <c r="A1231" s="584">
        <v>74</v>
      </c>
      <c r="B1231" s="279" t="s">
        <v>20257</v>
      </c>
      <c r="C1231" s="279">
        <v>0</v>
      </c>
      <c r="D1231" s="585" t="s">
        <v>18975</v>
      </c>
      <c r="E1231" s="279" t="s">
        <v>20257</v>
      </c>
      <c r="F1231" s="53">
        <v>45026</v>
      </c>
      <c r="G1231" s="279">
        <v>2023</v>
      </c>
      <c r="H1231" s="586" t="s">
        <v>17156</v>
      </c>
      <c r="I1231" s="279" t="s">
        <v>17157</v>
      </c>
      <c r="J1231" s="279" t="s">
        <v>3</v>
      </c>
      <c r="K1231" s="280">
        <v>180810</v>
      </c>
      <c r="L1231" s="586">
        <v>1</v>
      </c>
      <c r="M1231" s="587">
        <v>180810</v>
      </c>
      <c r="N1231" s="279" t="s">
        <v>20155</v>
      </c>
      <c r="O1231" s="279" t="s">
        <v>20161</v>
      </c>
      <c r="P1231" s="887">
        <v>45041</v>
      </c>
      <c r="Q1231" s="588">
        <v>0</v>
      </c>
      <c r="R1231" s="588">
        <v>61500</v>
      </c>
      <c r="S1231" s="588">
        <v>0</v>
      </c>
      <c r="T1231" s="588">
        <v>0</v>
      </c>
      <c r="U1231" s="588">
        <v>61500</v>
      </c>
      <c r="V1231" s="317"/>
      <c r="W1231" s="39">
        <v>0</v>
      </c>
      <c r="X1231" s="39">
        <v>180810</v>
      </c>
      <c r="Y1231" s="39">
        <v>0</v>
      </c>
      <c r="Z1231" s="39">
        <v>0</v>
      </c>
      <c r="AA1231" s="589"/>
      <c r="AB1231" s="589">
        <v>2.94</v>
      </c>
      <c r="AC1231" s="589"/>
      <c r="AD1231" s="589"/>
      <c r="AE1231" s="39">
        <v>0</v>
      </c>
      <c r="AF1231" s="39">
        <v>0</v>
      </c>
      <c r="AG1231" s="39">
        <v>0</v>
      </c>
      <c r="AH1231" s="590"/>
      <c r="AI1231" s="590">
        <v>2.94</v>
      </c>
      <c r="AJ1231" s="590"/>
      <c r="AK1231" s="590"/>
      <c r="AL1231" s="591">
        <v>0</v>
      </c>
      <c r="AM1231" s="591">
        <v>1</v>
      </c>
      <c r="AN1231" s="591">
        <v>0</v>
      </c>
      <c r="AO1231" s="591">
        <v>0</v>
      </c>
    </row>
    <row r="1232" spans="1:41" hidden="1">
      <c r="A1232" s="584">
        <v>75</v>
      </c>
      <c r="B1232" s="279" t="s">
        <v>20259</v>
      </c>
      <c r="C1232" s="279">
        <v>0</v>
      </c>
      <c r="D1232" s="585" t="s">
        <v>18976</v>
      </c>
      <c r="E1232" s="279" t="s">
        <v>20259</v>
      </c>
      <c r="F1232" s="53">
        <v>45027</v>
      </c>
      <c r="G1232" s="279">
        <v>2023</v>
      </c>
      <c r="H1232" s="586" t="s">
        <v>17259</v>
      </c>
      <c r="I1232" s="279" t="s">
        <v>17260</v>
      </c>
      <c r="J1232" s="279" t="s">
        <v>16401</v>
      </c>
      <c r="K1232" s="280">
        <v>107914.68119999999</v>
      </c>
      <c r="L1232" s="586">
        <v>3.0461999999999998</v>
      </c>
      <c r="M1232" s="587">
        <v>35426</v>
      </c>
      <c r="N1232" s="279" t="s">
        <v>20155</v>
      </c>
      <c r="O1232" s="279" t="s">
        <v>17261</v>
      </c>
      <c r="P1232" s="887">
        <v>45035</v>
      </c>
      <c r="Q1232" s="588">
        <v>2400</v>
      </c>
      <c r="R1232" s="588">
        <v>31680</v>
      </c>
      <c r="S1232" s="588">
        <v>0</v>
      </c>
      <c r="T1232" s="588">
        <v>2000</v>
      </c>
      <c r="U1232" s="588">
        <v>36080</v>
      </c>
      <c r="V1232" s="317"/>
      <c r="W1232" s="39">
        <v>7210.6998705099777</v>
      </c>
      <c r="X1232" s="39">
        <v>86013.394770731698</v>
      </c>
      <c r="Y1232" s="39">
        <v>0</v>
      </c>
      <c r="Z1232" s="39">
        <v>14690.586558758314</v>
      </c>
      <c r="AA1232" s="589">
        <v>3.0044582793791572</v>
      </c>
      <c r="AB1232" s="589">
        <v>2.7150692793791573</v>
      </c>
      <c r="AC1232" s="589"/>
      <c r="AD1232" s="589">
        <v>7.345293279379157</v>
      </c>
      <c r="AE1232" s="39">
        <v>5795.76</v>
      </c>
      <c r="AF1232" s="39">
        <v>22249.119999999999</v>
      </c>
      <c r="AG1232" s="39">
        <v>0.61666075388026609</v>
      </c>
      <c r="AH1232" s="590">
        <v>2.387797525498891</v>
      </c>
      <c r="AI1232" s="590">
        <v>2.0984085254988911</v>
      </c>
      <c r="AJ1232" s="590"/>
      <c r="AK1232" s="590">
        <v>6.7286325254988908</v>
      </c>
      <c r="AL1232" s="591" t="s">
        <v>20345</v>
      </c>
      <c r="AM1232" s="591" t="s">
        <v>20348</v>
      </c>
      <c r="AN1232" s="591">
        <v>0</v>
      </c>
      <c r="AO1232" s="591">
        <v>0</v>
      </c>
    </row>
    <row r="1233" spans="1:41" hidden="1">
      <c r="A1233" s="584">
        <v>76</v>
      </c>
      <c r="B1233" s="279" t="s">
        <v>20260</v>
      </c>
      <c r="C1233" s="279">
        <v>0</v>
      </c>
      <c r="D1233" s="585" t="s">
        <v>18977</v>
      </c>
      <c r="E1233" s="279" t="s">
        <v>20260</v>
      </c>
      <c r="F1233" s="53">
        <v>45027</v>
      </c>
      <c r="G1233" s="279">
        <v>2023</v>
      </c>
      <c r="H1233" s="586" t="s">
        <v>17309</v>
      </c>
      <c r="I1233" s="279" t="s">
        <v>17310</v>
      </c>
      <c r="J1233" s="279" t="s">
        <v>3</v>
      </c>
      <c r="K1233" s="280">
        <v>188160</v>
      </c>
      <c r="L1233" s="586">
        <v>1</v>
      </c>
      <c r="M1233" s="587">
        <v>188160</v>
      </c>
      <c r="N1233" s="279" t="s">
        <v>20155</v>
      </c>
      <c r="O1233" s="279" t="s">
        <v>20321</v>
      </c>
      <c r="P1233" s="887">
        <v>45044</v>
      </c>
      <c r="Q1233" s="588">
        <v>57600</v>
      </c>
      <c r="R1233" s="588">
        <v>19200</v>
      </c>
      <c r="S1233" s="588">
        <v>0</v>
      </c>
      <c r="T1233" s="588">
        <v>0</v>
      </c>
      <c r="U1233" s="588">
        <v>76800</v>
      </c>
      <c r="V1233" s="317"/>
      <c r="W1233" s="39">
        <v>144000</v>
      </c>
      <c r="X1233" s="39">
        <v>44160</v>
      </c>
      <c r="Y1233" s="39">
        <v>0</v>
      </c>
      <c r="Z1233" s="39">
        <v>0</v>
      </c>
      <c r="AA1233" s="589">
        <v>2.5</v>
      </c>
      <c r="AB1233" s="589">
        <v>2.2999999999999998</v>
      </c>
      <c r="AC1233" s="589"/>
      <c r="AD1233" s="589"/>
      <c r="AE1233" s="39">
        <v>0</v>
      </c>
      <c r="AF1233" s="39">
        <v>0</v>
      </c>
      <c r="AG1233" s="39">
        <v>0</v>
      </c>
      <c r="AH1233" s="590">
        <v>2.5</v>
      </c>
      <c r="AI1233" s="590">
        <v>2.2999999999999998</v>
      </c>
      <c r="AJ1233" s="590"/>
      <c r="AK1233" s="590"/>
      <c r="AL1233" s="591" t="s">
        <v>20345</v>
      </c>
      <c r="AM1233" s="591" t="s">
        <v>20347</v>
      </c>
      <c r="AN1233" s="591">
        <v>0</v>
      </c>
      <c r="AO1233" s="591">
        <v>0</v>
      </c>
    </row>
    <row r="1234" spans="1:41" hidden="1">
      <c r="A1234" s="584">
        <v>77</v>
      </c>
      <c r="B1234" s="279" t="s">
        <v>20261</v>
      </c>
      <c r="C1234" s="279">
        <v>0</v>
      </c>
      <c r="D1234" s="585" t="s">
        <v>18978</v>
      </c>
      <c r="E1234" s="279" t="s">
        <v>20261</v>
      </c>
      <c r="F1234" s="53">
        <v>45027</v>
      </c>
      <c r="G1234" s="279">
        <v>2023</v>
      </c>
      <c r="H1234" s="586" t="s">
        <v>17309</v>
      </c>
      <c r="I1234" s="279" t="s">
        <v>17310</v>
      </c>
      <c r="J1234" s="279" t="s">
        <v>3</v>
      </c>
      <c r="K1234" s="280">
        <v>144000</v>
      </c>
      <c r="L1234" s="586">
        <v>1</v>
      </c>
      <c r="M1234" s="587">
        <v>144000</v>
      </c>
      <c r="N1234" s="279" t="s">
        <v>20155</v>
      </c>
      <c r="O1234" s="279" t="s">
        <v>20321</v>
      </c>
      <c r="P1234" s="887">
        <v>45045</v>
      </c>
      <c r="Q1234" s="588">
        <v>57600</v>
      </c>
      <c r="R1234" s="588">
        <v>0</v>
      </c>
      <c r="S1234" s="588">
        <v>0</v>
      </c>
      <c r="T1234" s="588">
        <v>0</v>
      </c>
      <c r="U1234" s="588">
        <v>57600</v>
      </c>
      <c r="V1234" s="317"/>
      <c r="W1234" s="39">
        <v>144000</v>
      </c>
      <c r="X1234" s="39">
        <v>0</v>
      </c>
      <c r="Y1234" s="39">
        <v>0</v>
      </c>
      <c r="Z1234" s="39">
        <v>0</v>
      </c>
      <c r="AA1234" s="589">
        <v>2.5</v>
      </c>
      <c r="AB1234" s="589"/>
      <c r="AC1234" s="589"/>
      <c r="AD1234" s="589"/>
      <c r="AE1234" s="39">
        <v>0</v>
      </c>
      <c r="AF1234" s="39">
        <v>0</v>
      </c>
      <c r="AG1234" s="39">
        <v>0</v>
      </c>
      <c r="AH1234" s="590">
        <v>2.5</v>
      </c>
      <c r="AI1234" s="590"/>
      <c r="AJ1234" s="590"/>
      <c r="AK1234" s="590"/>
      <c r="AL1234" s="591" t="s">
        <v>20345</v>
      </c>
      <c r="AM1234" s="591">
        <v>0</v>
      </c>
      <c r="AN1234" s="591">
        <v>0</v>
      </c>
      <c r="AO1234" s="591">
        <v>0</v>
      </c>
    </row>
    <row r="1235" spans="1:41" hidden="1">
      <c r="A1235" s="584">
        <v>78</v>
      </c>
      <c r="B1235" s="279" t="s">
        <v>20262</v>
      </c>
      <c r="C1235" s="279">
        <v>0</v>
      </c>
      <c r="D1235" s="585" t="s">
        <v>18979</v>
      </c>
      <c r="E1235" s="279" t="s">
        <v>20262</v>
      </c>
      <c r="F1235" s="53">
        <v>45028</v>
      </c>
      <c r="G1235" s="279">
        <v>2023</v>
      </c>
      <c r="H1235" s="586" t="s">
        <v>17017</v>
      </c>
      <c r="I1235" s="279" t="s">
        <v>17018</v>
      </c>
      <c r="J1235" s="279" t="s">
        <v>3</v>
      </c>
      <c r="K1235" s="280">
        <v>61000</v>
      </c>
      <c r="L1235" s="586">
        <v>1</v>
      </c>
      <c r="M1235" s="587">
        <v>61000</v>
      </c>
      <c r="N1235" s="279" t="s">
        <v>20155</v>
      </c>
      <c r="O1235" s="279" t="s">
        <v>20350</v>
      </c>
      <c r="P1235" s="887">
        <v>45033</v>
      </c>
      <c r="Q1235" s="588">
        <v>0</v>
      </c>
      <c r="R1235" s="588">
        <v>20000</v>
      </c>
      <c r="S1235" s="588">
        <v>0</v>
      </c>
      <c r="T1235" s="588">
        <v>0</v>
      </c>
      <c r="U1235" s="588">
        <v>20000</v>
      </c>
      <c r="V1235" s="317"/>
      <c r="W1235" s="39">
        <v>0</v>
      </c>
      <c r="X1235" s="39">
        <v>61000</v>
      </c>
      <c r="Y1235" s="39">
        <v>0</v>
      </c>
      <c r="Z1235" s="39">
        <v>0</v>
      </c>
      <c r="AA1235" s="589"/>
      <c r="AB1235" s="589">
        <v>3.05</v>
      </c>
      <c r="AC1235" s="589"/>
      <c r="AD1235" s="589"/>
      <c r="AE1235" s="39">
        <v>0</v>
      </c>
      <c r="AF1235" s="39">
        <v>0</v>
      </c>
      <c r="AG1235" s="39">
        <v>0</v>
      </c>
      <c r="AH1235" s="590"/>
      <c r="AI1235" s="590">
        <v>3.05</v>
      </c>
      <c r="AJ1235" s="590"/>
      <c r="AK1235" s="590"/>
      <c r="AL1235" s="591">
        <v>0</v>
      </c>
      <c r="AM1235" s="591">
        <v>1</v>
      </c>
      <c r="AN1235" s="591">
        <v>0</v>
      </c>
      <c r="AO1235" s="591">
        <v>0</v>
      </c>
    </row>
    <row r="1236" spans="1:41" hidden="1">
      <c r="A1236" s="584">
        <v>79</v>
      </c>
      <c r="B1236" s="279" t="s">
        <v>20263</v>
      </c>
      <c r="C1236" s="279">
        <v>0</v>
      </c>
      <c r="D1236" s="585" t="s">
        <v>18980</v>
      </c>
      <c r="E1236" s="279" t="s">
        <v>20263</v>
      </c>
      <c r="F1236" s="53">
        <v>45029</v>
      </c>
      <c r="G1236" s="279">
        <v>2023</v>
      </c>
      <c r="H1236" s="586" t="s">
        <v>16444</v>
      </c>
      <c r="I1236" s="279" t="s">
        <v>16445</v>
      </c>
      <c r="J1236" s="279" t="s">
        <v>3</v>
      </c>
      <c r="K1236" s="280">
        <v>52704</v>
      </c>
      <c r="L1236" s="586">
        <v>1</v>
      </c>
      <c r="M1236" s="587">
        <v>52704</v>
      </c>
      <c r="N1236" s="279" t="s">
        <v>20155</v>
      </c>
      <c r="O1236" s="279" t="s">
        <v>17949</v>
      </c>
      <c r="P1236" s="887">
        <v>45033</v>
      </c>
      <c r="Q1236" s="588">
        <v>21600</v>
      </c>
      <c r="R1236" s="588">
        <v>0</v>
      </c>
      <c r="S1236" s="588">
        <v>0</v>
      </c>
      <c r="T1236" s="588">
        <v>0</v>
      </c>
      <c r="U1236" s="588">
        <v>21600</v>
      </c>
      <c r="V1236" s="317"/>
      <c r="W1236" s="39">
        <v>52704</v>
      </c>
      <c r="X1236" s="39">
        <v>0</v>
      </c>
      <c r="Y1236" s="39">
        <v>0</v>
      </c>
      <c r="Z1236" s="39">
        <v>0</v>
      </c>
      <c r="AA1236" s="589">
        <v>2.44</v>
      </c>
      <c r="AB1236" s="589"/>
      <c r="AC1236" s="589"/>
      <c r="AD1236" s="589"/>
      <c r="AE1236" s="39">
        <v>0</v>
      </c>
      <c r="AF1236" s="39">
        <v>0</v>
      </c>
      <c r="AG1236" s="39">
        <v>0</v>
      </c>
      <c r="AH1236" s="590">
        <v>2.44</v>
      </c>
      <c r="AI1236" s="590"/>
      <c r="AJ1236" s="590"/>
      <c r="AK1236" s="590"/>
      <c r="AL1236" s="591" t="s">
        <v>20345</v>
      </c>
      <c r="AM1236" s="591">
        <v>0</v>
      </c>
      <c r="AN1236" s="591">
        <v>0</v>
      </c>
      <c r="AO1236" s="591">
        <v>0</v>
      </c>
    </row>
    <row r="1237" spans="1:41" hidden="1">
      <c r="A1237" s="584">
        <v>80</v>
      </c>
      <c r="B1237" s="279" t="s">
        <v>20264</v>
      </c>
      <c r="C1237" s="279">
        <v>0</v>
      </c>
      <c r="D1237" s="585" t="s">
        <v>18981</v>
      </c>
      <c r="E1237" s="279" t="s">
        <v>20264</v>
      </c>
      <c r="F1237" s="53">
        <v>45029</v>
      </c>
      <c r="G1237" s="279">
        <v>2023</v>
      </c>
      <c r="H1237" s="586" t="s">
        <v>16444</v>
      </c>
      <c r="I1237" s="279" t="s">
        <v>16445</v>
      </c>
      <c r="J1237" s="279" t="s">
        <v>3</v>
      </c>
      <c r="K1237" s="280">
        <v>106518.72</v>
      </c>
      <c r="L1237" s="586">
        <v>1</v>
      </c>
      <c r="M1237" s="587">
        <v>106518.72</v>
      </c>
      <c r="N1237" s="279" t="s">
        <v>20155</v>
      </c>
      <c r="O1237" s="279" t="s">
        <v>17949</v>
      </c>
      <c r="P1237" s="887">
        <v>45033</v>
      </c>
      <c r="Q1237" s="588">
        <v>44016</v>
      </c>
      <c r="R1237" s="588">
        <v>0</v>
      </c>
      <c r="S1237" s="588">
        <v>0</v>
      </c>
      <c r="T1237" s="588">
        <v>0</v>
      </c>
      <c r="U1237" s="588">
        <v>44016</v>
      </c>
      <c r="V1237" s="317"/>
      <c r="W1237" s="39">
        <v>106518.72</v>
      </c>
      <c r="X1237" s="39">
        <v>0</v>
      </c>
      <c r="Y1237" s="39">
        <v>0</v>
      </c>
      <c r="Z1237" s="39">
        <v>0</v>
      </c>
      <c r="AA1237" s="589">
        <v>2.42</v>
      </c>
      <c r="AB1237" s="589"/>
      <c r="AC1237" s="589"/>
      <c r="AD1237" s="589"/>
      <c r="AE1237" s="39">
        <v>0</v>
      </c>
      <c r="AF1237" s="39">
        <v>0</v>
      </c>
      <c r="AG1237" s="39">
        <v>0</v>
      </c>
      <c r="AH1237" s="590">
        <v>2.42</v>
      </c>
      <c r="AI1237" s="590"/>
      <c r="AJ1237" s="590"/>
      <c r="AK1237" s="590"/>
      <c r="AL1237" s="591" t="s">
        <v>20345</v>
      </c>
      <c r="AM1237" s="591">
        <v>0</v>
      </c>
      <c r="AN1237" s="591">
        <v>0</v>
      </c>
      <c r="AO1237" s="591">
        <v>0</v>
      </c>
    </row>
    <row r="1238" spans="1:41" hidden="1">
      <c r="A1238" s="584">
        <v>81</v>
      </c>
      <c r="B1238" s="279" t="s">
        <v>20265</v>
      </c>
      <c r="C1238" s="279">
        <v>0</v>
      </c>
      <c r="D1238" s="585" t="s">
        <v>18982</v>
      </c>
      <c r="E1238" s="279" t="s">
        <v>20265</v>
      </c>
      <c r="F1238" s="53">
        <v>45031</v>
      </c>
      <c r="G1238" s="279">
        <v>2023</v>
      </c>
      <c r="H1238" s="586" t="s">
        <v>16957</v>
      </c>
      <c r="I1238" s="279" t="s">
        <v>16958</v>
      </c>
      <c r="J1238" s="279" t="s">
        <v>16401</v>
      </c>
      <c r="K1238" s="280">
        <v>59915.375162499993</v>
      </c>
      <c r="L1238" s="586">
        <v>3.0372499999999998</v>
      </c>
      <c r="M1238" s="587">
        <v>19726.849999999999</v>
      </c>
      <c r="N1238" s="279" t="s">
        <v>20155</v>
      </c>
      <c r="O1238" s="279" t="s">
        <v>20161</v>
      </c>
      <c r="P1238" s="887">
        <v>45043</v>
      </c>
      <c r="Q1238" s="588">
        <v>20150</v>
      </c>
      <c r="R1238" s="588">
        <v>0</v>
      </c>
      <c r="S1238" s="588">
        <v>0</v>
      </c>
      <c r="T1238" s="588">
        <v>0</v>
      </c>
      <c r="U1238" s="588">
        <v>20150</v>
      </c>
      <c r="V1238" s="317"/>
      <c r="W1238" s="39">
        <v>59915.3751625</v>
      </c>
      <c r="X1238" s="39">
        <v>0</v>
      </c>
      <c r="Y1238" s="39">
        <v>0</v>
      </c>
      <c r="Z1238" s="39">
        <v>0</v>
      </c>
      <c r="AA1238" s="589">
        <v>2.9734677500000002</v>
      </c>
      <c r="AB1238" s="589"/>
      <c r="AC1238" s="589"/>
      <c r="AD1238" s="589"/>
      <c r="AE1238" s="39">
        <v>0</v>
      </c>
      <c r="AF1238" s="39">
        <v>1838.9649999999999</v>
      </c>
      <c r="AG1238" s="39">
        <v>9.1263771712158812E-2</v>
      </c>
      <c r="AH1238" s="590">
        <v>2.8822039782878415</v>
      </c>
      <c r="AI1238" s="590"/>
      <c r="AJ1238" s="590"/>
      <c r="AK1238" s="590"/>
      <c r="AL1238" s="591">
        <v>1</v>
      </c>
      <c r="AM1238" s="591">
        <v>0</v>
      </c>
      <c r="AN1238" s="591">
        <v>0</v>
      </c>
      <c r="AO1238" s="591">
        <v>0</v>
      </c>
    </row>
    <row r="1239" spans="1:41" hidden="1">
      <c r="A1239" s="584">
        <v>82</v>
      </c>
      <c r="B1239" s="279" t="s">
        <v>20267</v>
      </c>
      <c r="C1239" s="279">
        <v>0</v>
      </c>
      <c r="D1239" s="585" t="s">
        <v>18983</v>
      </c>
      <c r="E1239" s="279" t="s">
        <v>20267</v>
      </c>
      <c r="F1239" s="53">
        <v>45036</v>
      </c>
      <c r="G1239" s="279">
        <v>2023</v>
      </c>
      <c r="H1239" s="586" t="s">
        <v>16783</v>
      </c>
      <c r="I1239" s="279" t="s">
        <v>16784</v>
      </c>
      <c r="J1239" s="279" t="s">
        <v>16401</v>
      </c>
      <c r="K1239" s="280">
        <v>812784.13668</v>
      </c>
      <c r="L1239" s="586">
        <v>3.0372499999999998</v>
      </c>
      <c r="M1239" s="587">
        <v>267605.28000000003</v>
      </c>
      <c r="N1239" s="279" t="s">
        <v>20155</v>
      </c>
      <c r="O1239" s="279" t="s">
        <v>17939</v>
      </c>
      <c r="P1239" s="887">
        <v>45043</v>
      </c>
      <c r="Q1239" s="588">
        <v>0</v>
      </c>
      <c r="R1239" s="588">
        <v>308016</v>
      </c>
      <c r="S1239" s="588">
        <v>14400</v>
      </c>
      <c r="T1239" s="588">
        <v>0</v>
      </c>
      <c r="U1239" s="588">
        <v>322416</v>
      </c>
      <c r="V1239" s="317"/>
      <c r="W1239" s="39">
        <v>0</v>
      </c>
      <c r="X1239" s="39">
        <v>776482.92467999994</v>
      </c>
      <c r="Y1239" s="39">
        <v>36301.212</v>
      </c>
      <c r="Z1239" s="39">
        <v>0</v>
      </c>
      <c r="AA1239" s="589"/>
      <c r="AB1239" s="589">
        <v>2.5209174999999999</v>
      </c>
      <c r="AC1239" s="589">
        <v>2.5209174999999999</v>
      </c>
      <c r="AD1239" s="589"/>
      <c r="AE1239" s="39">
        <v>0</v>
      </c>
      <c r="AF1239" s="39">
        <v>0</v>
      </c>
      <c r="AG1239" s="39">
        <v>0</v>
      </c>
      <c r="AH1239" s="590"/>
      <c r="AI1239" s="590">
        <v>2.5209174999999999</v>
      </c>
      <c r="AJ1239" s="590">
        <v>2.5209174999999999</v>
      </c>
      <c r="AK1239" s="590"/>
      <c r="AL1239" s="591">
        <v>0</v>
      </c>
      <c r="AM1239" s="591" t="s">
        <v>20345</v>
      </c>
      <c r="AN1239" s="591" t="s">
        <v>20345</v>
      </c>
      <c r="AO1239" s="591">
        <v>0</v>
      </c>
    </row>
    <row r="1240" spans="1:41" hidden="1">
      <c r="A1240" s="584">
        <v>83</v>
      </c>
      <c r="B1240" s="279" t="s">
        <v>20268</v>
      </c>
      <c r="C1240" s="279">
        <v>0</v>
      </c>
      <c r="D1240" s="585" t="s">
        <v>18984</v>
      </c>
      <c r="E1240" s="279" t="s">
        <v>20268</v>
      </c>
      <c r="F1240" s="53">
        <v>45040</v>
      </c>
      <c r="G1240" s="279">
        <v>2023</v>
      </c>
      <c r="H1240" s="586" t="s">
        <v>17299</v>
      </c>
      <c r="I1240" s="279" t="s">
        <v>17300</v>
      </c>
      <c r="J1240" s="279" t="s">
        <v>16482</v>
      </c>
      <c r="K1240" s="280">
        <v>166709.96580000001</v>
      </c>
      <c r="L1240" s="586">
        <v>3.3505500000000001</v>
      </c>
      <c r="M1240" s="587">
        <v>49756</v>
      </c>
      <c r="N1240" s="279" t="s">
        <v>20155</v>
      </c>
      <c r="O1240" s="279" t="s">
        <v>20321</v>
      </c>
      <c r="P1240" s="887">
        <v>45044</v>
      </c>
      <c r="Q1240" s="588">
        <v>57600</v>
      </c>
      <c r="R1240" s="588">
        <v>0</v>
      </c>
      <c r="S1240" s="588">
        <v>0</v>
      </c>
      <c r="T1240" s="588">
        <v>0</v>
      </c>
      <c r="U1240" s="588">
        <v>57600</v>
      </c>
      <c r="V1240" s="317"/>
      <c r="W1240" s="39">
        <v>166709.96580000001</v>
      </c>
      <c r="X1240" s="39">
        <v>0</v>
      </c>
      <c r="Y1240" s="39">
        <v>0</v>
      </c>
      <c r="Z1240" s="39">
        <v>0</v>
      </c>
      <c r="AA1240" s="589">
        <v>2.8942702395833333</v>
      </c>
      <c r="AB1240" s="589"/>
      <c r="AC1240" s="589"/>
      <c r="AD1240" s="589"/>
      <c r="AE1240" s="39">
        <v>4158.2460000000001</v>
      </c>
      <c r="AF1240" s="39">
        <v>18691.134999999998</v>
      </c>
      <c r="AG1240" s="39">
        <v>0.32449887152777773</v>
      </c>
      <c r="AH1240" s="590">
        <v>2.5697713680555556</v>
      </c>
      <c r="AI1240" s="590"/>
      <c r="AJ1240" s="590"/>
      <c r="AK1240" s="590"/>
      <c r="AL1240" s="591" t="s">
        <v>20345</v>
      </c>
      <c r="AM1240" s="591">
        <v>0</v>
      </c>
      <c r="AN1240" s="591">
        <v>0</v>
      </c>
      <c r="AO1240" s="591">
        <v>0</v>
      </c>
    </row>
    <row r="1241" spans="1:41" hidden="1">
      <c r="A1241" s="584">
        <v>84</v>
      </c>
      <c r="B1241" s="279" t="s">
        <v>20269</v>
      </c>
      <c r="C1241" s="279">
        <v>0</v>
      </c>
      <c r="D1241" s="585" t="s">
        <v>18985</v>
      </c>
      <c r="E1241" s="279" t="s">
        <v>20269</v>
      </c>
      <c r="F1241" s="53">
        <v>45040</v>
      </c>
      <c r="G1241" s="279">
        <v>2023</v>
      </c>
      <c r="H1241" s="586" t="s">
        <v>16470</v>
      </c>
      <c r="I1241" s="279" t="s">
        <v>16471</v>
      </c>
      <c r="J1241" s="279" t="s">
        <v>16401</v>
      </c>
      <c r="K1241" s="280">
        <v>667617.86877599999</v>
      </c>
      <c r="L1241" s="586">
        <v>3.0356000000000001</v>
      </c>
      <c r="M1241" s="587">
        <v>219929.46</v>
      </c>
      <c r="N1241" s="279" t="s">
        <v>20155</v>
      </c>
      <c r="O1241" s="279" t="s">
        <v>20352</v>
      </c>
      <c r="P1241" s="887">
        <v>45045</v>
      </c>
      <c r="Q1241" s="588">
        <v>34872</v>
      </c>
      <c r="R1241" s="588">
        <v>232618</v>
      </c>
      <c r="S1241" s="588">
        <v>0</v>
      </c>
      <c r="T1241" s="588">
        <v>0</v>
      </c>
      <c r="U1241" s="588">
        <v>267490</v>
      </c>
      <c r="V1241" s="317"/>
      <c r="W1241" s="39">
        <v>91752.992204016307</v>
      </c>
      <c r="X1241" s="39">
        <v>575864.87657198356</v>
      </c>
      <c r="Y1241" s="39">
        <v>0</v>
      </c>
      <c r="Z1241" s="39">
        <v>0</v>
      </c>
      <c r="AA1241" s="589">
        <v>2.6311365050474969</v>
      </c>
      <c r="AB1241" s="589">
        <v>2.4755817545159169</v>
      </c>
      <c r="AC1241" s="589"/>
      <c r="AD1241" s="589"/>
      <c r="AE1241" s="39">
        <v>20331.899999999998</v>
      </c>
      <c r="AF1241" s="39">
        <v>82369.5</v>
      </c>
      <c r="AG1241" s="39">
        <v>0.30793487607013348</v>
      </c>
      <c r="AH1241" s="590">
        <v>2.3232016289773636</v>
      </c>
      <c r="AI1241" s="590">
        <v>2.1676468784457832</v>
      </c>
      <c r="AJ1241" s="590"/>
      <c r="AK1241" s="590"/>
      <c r="AL1241" s="591" t="s">
        <v>20345</v>
      </c>
      <c r="AM1241" s="591" t="s">
        <v>20348</v>
      </c>
      <c r="AN1241" s="591">
        <v>0</v>
      </c>
      <c r="AO1241" s="591">
        <v>0</v>
      </c>
    </row>
    <row r="1242" spans="1:41" hidden="1">
      <c r="A1242" s="584">
        <v>85</v>
      </c>
      <c r="B1242" s="279" t="s">
        <v>20270</v>
      </c>
      <c r="C1242" s="279">
        <v>0</v>
      </c>
      <c r="D1242" s="585" t="s">
        <v>18986</v>
      </c>
      <c r="E1242" s="279" t="s">
        <v>20270</v>
      </c>
      <c r="F1242" s="53">
        <v>45040</v>
      </c>
      <c r="G1242" s="279">
        <v>2023</v>
      </c>
      <c r="H1242" s="586" t="s">
        <v>16880</v>
      </c>
      <c r="I1242" s="279" t="s">
        <v>16881</v>
      </c>
      <c r="J1242" s="279" t="s">
        <v>16401</v>
      </c>
      <c r="K1242" s="280">
        <v>88103.068767999997</v>
      </c>
      <c r="L1242" s="586">
        <v>3.0356000000000001</v>
      </c>
      <c r="M1242" s="587">
        <v>29023.279999999999</v>
      </c>
      <c r="N1242" s="279" t="s">
        <v>20155</v>
      </c>
      <c r="O1242" s="279" t="s">
        <v>20351</v>
      </c>
      <c r="P1242" s="887">
        <v>45045</v>
      </c>
      <c r="Q1242" s="588">
        <v>5000</v>
      </c>
      <c r="R1242" s="588">
        <v>16100</v>
      </c>
      <c r="S1242" s="588">
        <v>0</v>
      </c>
      <c r="T1242" s="588">
        <v>0</v>
      </c>
      <c r="U1242" s="588">
        <v>21100</v>
      </c>
      <c r="V1242" s="317"/>
      <c r="W1242" s="39">
        <v>16183.390719999999</v>
      </c>
      <c r="X1242" s="39">
        <v>71919.678048000016</v>
      </c>
      <c r="Y1242" s="39">
        <v>0</v>
      </c>
      <c r="Z1242" s="39">
        <v>0</v>
      </c>
      <c r="AA1242" s="589">
        <v>3.2366781439999999</v>
      </c>
      <c r="AB1242" s="589">
        <v>4.4670607483229823</v>
      </c>
      <c r="AC1242" s="589"/>
      <c r="AD1242" s="589"/>
      <c r="AE1242" s="39">
        <v>0</v>
      </c>
      <c r="AF1242" s="39">
        <v>2318.2199999999998</v>
      </c>
      <c r="AG1242" s="39">
        <v>0.10986824644549763</v>
      </c>
      <c r="AH1242" s="590">
        <v>3.1268098975545024</v>
      </c>
      <c r="AI1242" s="590">
        <v>4.3571925018774849</v>
      </c>
      <c r="AJ1242" s="590"/>
      <c r="AK1242" s="590"/>
      <c r="AL1242" s="591">
        <v>1</v>
      </c>
      <c r="AM1242" s="591">
        <v>1</v>
      </c>
      <c r="AN1242" s="591">
        <v>0</v>
      </c>
      <c r="AO1242" s="591">
        <v>0</v>
      </c>
    </row>
    <row r="1243" spans="1:41" hidden="1">
      <c r="A1243" s="584">
        <v>86</v>
      </c>
      <c r="B1243" s="279" t="s">
        <v>20271</v>
      </c>
      <c r="C1243" s="279">
        <v>0</v>
      </c>
      <c r="D1243" s="585" t="s">
        <v>18987</v>
      </c>
      <c r="E1243" s="279" t="s">
        <v>20271</v>
      </c>
      <c r="F1243" s="53">
        <v>45040</v>
      </c>
      <c r="G1243" s="279">
        <v>2023</v>
      </c>
      <c r="H1243" s="586" t="s">
        <v>16444</v>
      </c>
      <c r="I1243" s="279" t="s">
        <v>16445</v>
      </c>
      <c r="J1243" s="279" t="s">
        <v>3</v>
      </c>
      <c r="K1243" s="280">
        <v>47424</v>
      </c>
      <c r="L1243" s="586">
        <v>1</v>
      </c>
      <c r="M1243" s="587">
        <v>47424</v>
      </c>
      <c r="N1243" s="279" t="s">
        <v>20155</v>
      </c>
      <c r="O1243" s="279" t="s">
        <v>17965</v>
      </c>
      <c r="P1243" s="887">
        <v>45049</v>
      </c>
      <c r="Q1243" s="588">
        <v>19200</v>
      </c>
      <c r="R1243" s="588">
        <v>0</v>
      </c>
      <c r="S1243" s="588">
        <v>0</v>
      </c>
      <c r="T1243" s="588">
        <v>0</v>
      </c>
      <c r="U1243" s="588">
        <v>19200</v>
      </c>
      <c r="V1243" s="317"/>
      <c r="W1243" s="39">
        <v>47424</v>
      </c>
      <c r="X1243" s="39">
        <v>0</v>
      </c>
      <c r="Y1243" s="39">
        <v>0</v>
      </c>
      <c r="Z1243" s="39">
        <v>0</v>
      </c>
      <c r="AA1243" s="589">
        <v>2.4700000000000002</v>
      </c>
      <c r="AB1243" s="589"/>
      <c r="AC1243" s="589"/>
      <c r="AD1243" s="589"/>
      <c r="AE1243" s="39">
        <v>0</v>
      </c>
      <c r="AF1243" s="39">
        <v>0</v>
      </c>
      <c r="AG1243" s="39">
        <v>0</v>
      </c>
      <c r="AH1243" s="590">
        <v>2.4700000000000002</v>
      </c>
      <c r="AI1243" s="590"/>
      <c r="AJ1243" s="590"/>
      <c r="AK1243" s="590"/>
      <c r="AL1243" s="591" t="s">
        <v>20345</v>
      </c>
      <c r="AM1243" s="591">
        <v>0</v>
      </c>
      <c r="AN1243" s="591">
        <v>0</v>
      </c>
      <c r="AO1243" s="591">
        <v>0</v>
      </c>
    </row>
    <row r="1244" spans="1:41" hidden="1">
      <c r="A1244" s="584">
        <v>87</v>
      </c>
      <c r="B1244" s="279" t="s">
        <v>20272</v>
      </c>
      <c r="C1244" s="279">
        <v>0</v>
      </c>
      <c r="D1244" s="585" t="s">
        <v>18988</v>
      </c>
      <c r="E1244" s="279" t="s">
        <v>20272</v>
      </c>
      <c r="F1244" s="53">
        <v>45040</v>
      </c>
      <c r="G1244" s="279">
        <v>2023</v>
      </c>
      <c r="H1244" s="586" t="s">
        <v>16444</v>
      </c>
      <c r="I1244" s="279" t="s">
        <v>16445</v>
      </c>
      <c r="J1244" s="279" t="s">
        <v>3</v>
      </c>
      <c r="K1244" s="280">
        <v>49800</v>
      </c>
      <c r="L1244" s="586">
        <v>1</v>
      </c>
      <c r="M1244" s="587">
        <v>49800</v>
      </c>
      <c r="N1244" s="279" t="s">
        <v>20155</v>
      </c>
      <c r="O1244" s="279" t="s">
        <v>17693</v>
      </c>
      <c r="P1244" s="887">
        <v>45048</v>
      </c>
      <c r="Q1244" s="588">
        <v>20750</v>
      </c>
      <c r="R1244" s="588">
        <v>0</v>
      </c>
      <c r="S1244" s="588">
        <v>0</v>
      </c>
      <c r="T1244" s="588">
        <v>0</v>
      </c>
      <c r="U1244" s="588">
        <v>20750</v>
      </c>
      <c r="V1244" s="317"/>
      <c r="W1244" s="39">
        <v>49800</v>
      </c>
      <c r="X1244" s="39">
        <v>0</v>
      </c>
      <c r="Y1244" s="39">
        <v>0</v>
      </c>
      <c r="Z1244" s="39">
        <v>0</v>
      </c>
      <c r="AA1244" s="589">
        <v>2.4</v>
      </c>
      <c r="AB1244" s="589"/>
      <c r="AC1244" s="589"/>
      <c r="AD1244" s="589"/>
      <c r="AE1244" s="39">
        <v>0</v>
      </c>
      <c r="AF1244" s="39">
        <v>0</v>
      </c>
      <c r="AG1244" s="39">
        <v>0</v>
      </c>
      <c r="AH1244" s="590">
        <v>2.4</v>
      </c>
      <c r="AI1244" s="590"/>
      <c r="AJ1244" s="590"/>
      <c r="AK1244" s="590"/>
      <c r="AL1244" s="591" t="s">
        <v>20345</v>
      </c>
      <c r="AM1244" s="591">
        <v>0</v>
      </c>
      <c r="AN1244" s="591">
        <v>0</v>
      </c>
      <c r="AO1244" s="591">
        <v>0</v>
      </c>
    </row>
    <row r="1245" spans="1:41" hidden="1">
      <c r="A1245" s="584">
        <v>88</v>
      </c>
      <c r="B1245" s="279" t="s">
        <v>20273</v>
      </c>
      <c r="C1245" s="279">
        <v>0</v>
      </c>
      <c r="D1245" s="585" t="s">
        <v>18989</v>
      </c>
      <c r="E1245" s="279" t="s">
        <v>20273</v>
      </c>
      <c r="F1245" s="53">
        <v>45040</v>
      </c>
      <c r="G1245" s="279">
        <v>2023</v>
      </c>
      <c r="H1245" s="586" t="s">
        <v>16444</v>
      </c>
      <c r="I1245" s="279" t="s">
        <v>16445</v>
      </c>
      <c r="J1245" s="279" t="s">
        <v>3</v>
      </c>
      <c r="K1245" s="280">
        <v>113616</v>
      </c>
      <c r="L1245" s="586">
        <v>1</v>
      </c>
      <c r="M1245" s="587">
        <v>113616</v>
      </c>
      <c r="N1245" s="279" t="s">
        <v>20155</v>
      </c>
      <c r="O1245" s="279" t="s">
        <v>20173</v>
      </c>
      <c r="P1245" s="887">
        <v>45049</v>
      </c>
      <c r="Q1245" s="588">
        <v>0</v>
      </c>
      <c r="R1245" s="588">
        <v>51840</v>
      </c>
      <c r="S1245" s="588">
        <v>0</v>
      </c>
      <c r="T1245" s="588">
        <v>0</v>
      </c>
      <c r="U1245" s="588">
        <v>51840</v>
      </c>
      <c r="V1245" s="317"/>
      <c r="W1245" s="39">
        <v>0</v>
      </c>
      <c r="X1245" s="39">
        <v>113616</v>
      </c>
      <c r="Y1245" s="39">
        <v>0</v>
      </c>
      <c r="Z1245" s="39">
        <v>0</v>
      </c>
      <c r="AA1245" s="589"/>
      <c r="AB1245" s="589">
        <v>2.1916666666666669</v>
      </c>
      <c r="AC1245" s="589"/>
      <c r="AD1245" s="589"/>
      <c r="AE1245" s="39">
        <v>0</v>
      </c>
      <c r="AF1245" s="39">
        <v>0</v>
      </c>
      <c r="AG1245" s="39">
        <v>0</v>
      </c>
      <c r="AH1245" s="590"/>
      <c r="AI1245" s="590">
        <v>2.1916666666666669</v>
      </c>
      <c r="AJ1245" s="590"/>
      <c r="AK1245" s="590"/>
      <c r="AL1245" s="591">
        <v>0</v>
      </c>
      <c r="AM1245" s="591" t="s">
        <v>20347</v>
      </c>
      <c r="AN1245" s="591">
        <v>0</v>
      </c>
      <c r="AO1245" s="591">
        <v>0</v>
      </c>
    </row>
    <row r="1246" spans="1:41" hidden="1">
      <c r="A1246" s="584">
        <v>89</v>
      </c>
      <c r="B1246" s="279" t="s">
        <v>20274</v>
      </c>
      <c r="C1246" s="279">
        <v>0</v>
      </c>
      <c r="D1246" s="585" t="s">
        <v>18990</v>
      </c>
      <c r="E1246" s="279" t="s">
        <v>20274</v>
      </c>
      <c r="F1246" s="53">
        <v>45040</v>
      </c>
      <c r="G1246" s="279">
        <v>2023</v>
      </c>
      <c r="H1246" s="586" t="s">
        <v>16838</v>
      </c>
      <c r="I1246" s="279" t="s">
        <v>16839</v>
      </c>
      <c r="J1246" s="279" t="s">
        <v>3</v>
      </c>
      <c r="K1246" s="280">
        <v>225705</v>
      </c>
      <c r="L1246" s="586">
        <v>1</v>
      </c>
      <c r="M1246" s="587">
        <v>225705</v>
      </c>
      <c r="N1246" s="279" t="s">
        <v>20155</v>
      </c>
      <c r="O1246" s="279" t="s">
        <v>17771</v>
      </c>
      <c r="P1246" s="887">
        <v>45043</v>
      </c>
      <c r="Q1246" s="588">
        <v>0</v>
      </c>
      <c r="R1246" s="588">
        <v>21000</v>
      </c>
      <c r="S1246" s="588">
        <v>84000</v>
      </c>
      <c r="T1246" s="588">
        <v>750</v>
      </c>
      <c r="U1246" s="588">
        <v>105750</v>
      </c>
      <c r="V1246" s="317"/>
      <c r="W1246" s="39">
        <v>0</v>
      </c>
      <c r="X1246" s="39">
        <v>48510</v>
      </c>
      <c r="Y1246" s="39">
        <v>171920</v>
      </c>
      <c r="Z1246" s="39">
        <v>5275</v>
      </c>
      <c r="AA1246" s="589"/>
      <c r="AB1246" s="589">
        <v>2.31</v>
      </c>
      <c r="AC1246" s="589">
        <v>2.0466666666666669</v>
      </c>
      <c r="AD1246" s="589">
        <v>7.0333333333333332</v>
      </c>
      <c r="AE1246" s="39">
        <v>0</v>
      </c>
      <c r="AF1246" s="39">
        <v>0</v>
      </c>
      <c r="AG1246" s="39">
        <v>0</v>
      </c>
      <c r="AH1246" s="590"/>
      <c r="AI1246" s="590">
        <v>2.31</v>
      </c>
      <c r="AJ1246" s="590">
        <v>2.0466666666666669</v>
      </c>
      <c r="AK1246" s="590">
        <v>7.0333333333333332</v>
      </c>
      <c r="AL1246" s="591">
        <v>0</v>
      </c>
      <c r="AM1246" s="591" t="s">
        <v>20348</v>
      </c>
      <c r="AN1246" s="591" t="s">
        <v>20347</v>
      </c>
      <c r="AO1246" s="591">
        <v>1</v>
      </c>
    </row>
    <row r="1247" spans="1:41" hidden="1">
      <c r="A1247" s="584">
        <v>90</v>
      </c>
      <c r="B1247" s="279" t="s">
        <v>20275</v>
      </c>
      <c r="C1247" s="279">
        <v>0</v>
      </c>
      <c r="D1247" s="585" t="s">
        <v>18991</v>
      </c>
      <c r="E1247" s="279" t="s">
        <v>20275</v>
      </c>
      <c r="F1247" s="53">
        <v>45009</v>
      </c>
      <c r="G1247" s="279">
        <v>2023</v>
      </c>
      <c r="H1247" s="586" t="s">
        <v>16838</v>
      </c>
      <c r="I1247" s="279" t="s">
        <v>16839</v>
      </c>
      <c r="J1247" s="279" t="s">
        <v>3</v>
      </c>
      <c r="K1247" s="280">
        <v>168648.72</v>
      </c>
      <c r="L1247" s="586">
        <v>1</v>
      </c>
      <c r="M1247" s="587">
        <v>168648.72</v>
      </c>
      <c r="N1247" s="279" t="s">
        <v>20155</v>
      </c>
      <c r="O1247" s="279" t="s">
        <v>17949</v>
      </c>
      <c r="P1247" s="887">
        <v>45058</v>
      </c>
      <c r="Q1247" s="588">
        <v>44016</v>
      </c>
      <c r="R1247" s="588">
        <v>24000</v>
      </c>
      <c r="S1247" s="588">
        <v>3000</v>
      </c>
      <c r="T1247" s="588">
        <v>0</v>
      </c>
      <c r="U1247" s="588">
        <v>71016</v>
      </c>
      <c r="V1247" s="317"/>
      <c r="W1247" s="39">
        <v>106518.72</v>
      </c>
      <c r="X1247" s="39">
        <v>55440</v>
      </c>
      <c r="Y1247" s="39">
        <v>6690</v>
      </c>
      <c r="Z1247" s="39">
        <v>0</v>
      </c>
      <c r="AA1247" s="589">
        <v>2.42</v>
      </c>
      <c r="AB1247" s="589">
        <v>2.31</v>
      </c>
      <c r="AC1247" s="589">
        <v>2.23</v>
      </c>
      <c r="AD1247" s="589"/>
      <c r="AE1247" s="39">
        <v>0</v>
      </c>
      <c r="AF1247" s="39">
        <v>0</v>
      </c>
      <c r="AG1247" s="39">
        <v>0</v>
      </c>
      <c r="AH1247" s="590">
        <v>2.42</v>
      </c>
      <c r="AI1247" s="590">
        <v>2.31</v>
      </c>
      <c r="AJ1247" s="590">
        <v>2.23</v>
      </c>
      <c r="AK1247" s="590"/>
      <c r="AL1247" s="591" t="s">
        <v>20345</v>
      </c>
      <c r="AM1247" s="591" t="s">
        <v>20346</v>
      </c>
      <c r="AN1247" s="591" t="s">
        <v>20346</v>
      </c>
      <c r="AO1247" s="591">
        <v>0</v>
      </c>
    </row>
    <row r="1248" spans="1:41" hidden="1">
      <c r="A1248" s="584">
        <v>91</v>
      </c>
      <c r="B1248" s="279" t="s">
        <v>20276</v>
      </c>
      <c r="C1248" s="279">
        <v>0</v>
      </c>
      <c r="D1248" s="585" t="s">
        <v>18992</v>
      </c>
      <c r="E1248" s="279" t="s">
        <v>20276</v>
      </c>
      <c r="F1248" s="53">
        <v>45009</v>
      </c>
      <c r="G1248" s="279">
        <v>2023</v>
      </c>
      <c r="H1248" s="586" t="s">
        <v>16838</v>
      </c>
      <c r="I1248" s="279" t="s">
        <v>16839</v>
      </c>
      <c r="J1248" s="279" t="s">
        <v>3</v>
      </c>
      <c r="K1248" s="280">
        <v>90232.8</v>
      </c>
      <c r="L1248" s="586">
        <v>1</v>
      </c>
      <c r="M1248" s="587">
        <v>90232.8</v>
      </c>
      <c r="N1248" s="279" t="s">
        <v>20155</v>
      </c>
      <c r="O1248" s="279" t="s">
        <v>20321</v>
      </c>
      <c r="P1248" s="887">
        <v>45045</v>
      </c>
      <c r="Q1248" s="588">
        <v>0</v>
      </c>
      <c r="R1248" s="588">
        <v>44016</v>
      </c>
      <c r="S1248" s="588">
        <v>0</v>
      </c>
      <c r="T1248" s="588">
        <v>0</v>
      </c>
      <c r="U1248" s="588">
        <v>44016</v>
      </c>
      <c r="V1248" s="317"/>
      <c r="W1248" s="39">
        <v>0</v>
      </c>
      <c r="X1248" s="39">
        <v>90232.8</v>
      </c>
      <c r="Y1248" s="39">
        <v>0</v>
      </c>
      <c r="Z1248" s="39">
        <v>0</v>
      </c>
      <c r="AA1248" s="589"/>
      <c r="AB1248" s="589">
        <v>2.0500000000000003</v>
      </c>
      <c r="AC1248" s="589"/>
      <c r="AD1248" s="589"/>
      <c r="AE1248" s="39">
        <v>0</v>
      </c>
      <c r="AF1248" s="39">
        <v>0</v>
      </c>
      <c r="AG1248" s="39">
        <v>0</v>
      </c>
      <c r="AH1248" s="590"/>
      <c r="AI1248" s="590">
        <v>2.0500000000000003</v>
      </c>
      <c r="AJ1248" s="590"/>
      <c r="AK1248" s="590"/>
      <c r="AL1248" s="591">
        <v>0</v>
      </c>
      <c r="AM1248" s="591" t="s">
        <v>20347</v>
      </c>
      <c r="AN1248" s="591">
        <v>0</v>
      </c>
      <c r="AO1248" s="591">
        <v>0</v>
      </c>
    </row>
    <row r="1249" spans="1:41" hidden="1">
      <c r="A1249" s="584">
        <v>92</v>
      </c>
      <c r="B1249" s="279" t="s">
        <v>20277</v>
      </c>
      <c r="C1249" s="279">
        <v>0</v>
      </c>
      <c r="D1249" s="585" t="s">
        <v>18993</v>
      </c>
      <c r="E1249" s="279" t="s">
        <v>20277</v>
      </c>
      <c r="F1249" s="53">
        <v>45044</v>
      </c>
      <c r="G1249" s="279">
        <v>2023</v>
      </c>
      <c r="H1249" s="586" t="s">
        <v>16838</v>
      </c>
      <c r="I1249" s="279" t="s">
        <v>16839</v>
      </c>
      <c r="J1249" s="279" t="s">
        <v>3</v>
      </c>
      <c r="K1249" s="280">
        <v>4657.5</v>
      </c>
      <c r="L1249" s="586">
        <v>1</v>
      </c>
      <c r="M1249" s="587">
        <v>4657.5</v>
      </c>
      <c r="N1249" s="279" t="s">
        <v>20155</v>
      </c>
      <c r="O1249" s="279" t="s">
        <v>17771</v>
      </c>
      <c r="P1249" s="887">
        <v>45045</v>
      </c>
      <c r="Q1249" s="588">
        <v>0</v>
      </c>
      <c r="R1249" s="588">
        <v>0</v>
      </c>
      <c r="S1249" s="588">
        <v>0</v>
      </c>
      <c r="T1249" s="588">
        <v>675</v>
      </c>
      <c r="U1249" s="588">
        <v>675</v>
      </c>
      <c r="V1249" s="317"/>
      <c r="W1249" s="39">
        <v>0</v>
      </c>
      <c r="X1249" s="39">
        <v>0</v>
      </c>
      <c r="Y1249" s="39">
        <v>0</v>
      </c>
      <c r="Z1249" s="39">
        <v>4657.5</v>
      </c>
      <c r="AA1249" s="589"/>
      <c r="AB1249" s="589"/>
      <c r="AC1249" s="589"/>
      <c r="AD1249" s="589">
        <v>6.9</v>
      </c>
      <c r="AE1249" s="39">
        <v>0</v>
      </c>
      <c r="AF1249" s="39">
        <v>0</v>
      </c>
      <c r="AG1249" s="39">
        <v>0</v>
      </c>
      <c r="AH1249" s="590"/>
      <c r="AI1249" s="590"/>
      <c r="AJ1249" s="590"/>
      <c r="AK1249" s="590">
        <v>6.9</v>
      </c>
      <c r="AL1249" s="591">
        <v>0</v>
      </c>
      <c r="AM1249" s="591">
        <v>0</v>
      </c>
      <c r="AN1249" s="591">
        <v>0</v>
      </c>
      <c r="AO1249" s="591">
        <v>1</v>
      </c>
    </row>
    <row r="1250" spans="1:41" hidden="1">
      <c r="A1250" s="584">
        <v>93</v>
      </c>
      <c r="B1250" s="279" t="s">
        <v>20278</v>
      </c>
      <c r="C1250" s="279">
        <v>0</v>
      </c>
      <c r="D1250" s="585" t="s">
        <v>18994</v>
      </c>
      <c r="E1250" s="279" t="s">
        <v>20278</v>
      </c>
      <c r="F1250" s="53">
        <v>45048</v>
      </c>
      <c r="G1250" s="279">
        <v>2023</v>
      </c>
      <c r="H1250" s="586" t="s">
        <v>17332</v>
      </c>
      <c r="I1250" s="279" t="s">
        <v>17333</v>
      </c>
      <c r="J1250" s="279" t="s">
        <v>3</v>
      </c>
      <c r="K1250" s="280">
        <v>226007.23199999999</v>
      </c>
      <c r="L1250" s="586">
        <v>1</v>
      </c>
      <c r="M1250" s="587">
        <v>226007.23199999999</v>
      </c>
      <c r="N1250" s="279" t="s">
        <v>20155</v>
      </c>
      <c r="O1250" s="279" t="s">
        <v>17939</v>
      </c>
      <c r="P1250" s="887">
        <v>45051</v>
      </c>
      <c r="Q1250" s="588">
        <v>100003</v>
      </c>
      <c r="R1250" s="588">
        <v>0</v>
      </c>
      <c r="S1250" s="588">
        <v>0</v>
      </c>
      <c r="T1250" s="588">
        <v>0</v>
      </c>
      <c r="U1250" s="588">
        <v>100003</v>
      </c>
      <c r="V1250" s="317"/>
      <c r="W1250" s="39">
        <v>226007.23199999999</v>
      </c>
      <c r="X1250" s="39">
        <v>0</v>
      </c>
      <c r="Y1250" s="39">
        <v>0</v>
      </c>
      <c r="Z1250" s="39">
        <v>0</v>
      </c>
      <c r="AA1250" s="589">
        <v>2.2600045198644039</v>
      </c>
      <c r="AB1250" s="589"/>
      <c r="AC1250" s="589"/>
      <c r="AD1250" s="589"/>
      <c r="AE1250" s="39">
        <v>0</v>
      </c>
      <c r="AF1250" s="39">
        <v>0</v>
      </c>
      <c r="AG1250" s="39">
        <v>0</v>
      </c>
      <c r="AH1250" s="590">
        <v>2.2600045198644039</v>
      </c>
      <c r="AI1250" s="590"/>
      <c r="AJ1250" s="590"/>
      <c r="AK1250" s="590"/>
      <c r="AL1250" s="591" t="s">
        <v>20345</v>
      </c>
      <c r="AM1250" s="591">
        <v>0</v>
      </c>
      <c r="AN1250" s="591">
        <v>0</v>
      </c>
      <c r="AO1250" s="591">
        <v>0</v>
      </c>
    </row>
    <row r="1251" spans="1:41" hidden="1">
      <c r="A1251" s="584">
        <v>94</v>
      </c>
      <c r="B1251" s="279" t="s">
        <v>20279</v>
      </c>
      <c r="C1251" s="279">
        <v>0</v>
      </c>
      <c r="D1251" s="585" t="s">
        <v>18995</v>
      </c>
      <c r="E1251" s="279" t="s">
        <v>20279</v>
      </c>
      <c r="F1251" s="53">
        <v>45049</v>
      </c>
      <c r="G1251" s="279">
        <v>2023</v>
      </c>
      <c r="H1251" s="586" t="s">
        <v>16444</v>
      </c>
      <c r="I1251" s="279" t="s">
        <v>16445</v>
      </c>
      <c r="J1251" s="279" t="s">
        <v>3</v>
      </c>
      <c r="K1251" s="280">
        <v>47424</v>
      </c>
      <c r="L1251" s="586">
        <v>1</v>
      </c>
      <c r="M1251" s="587">
        <v>47424</v>
      </c>
      <c r="N1251" s="279" t="s">
        <v>20155</v>
      </c>
      <c r="O1251" s="279" t="s">
        <v>18248</v>
      </c>
      <c r="P1251" s="887">
        <v>45054</v>
      </c>
      <c r="Q1251" s="588">
        <v>19200</v>
      </c>
      <c r="R1251" s="588">
        <v>0</v>
      </c>
      <c r="S1251" s="588">
        <v>0</v>
      </c>
      <c r="T1251" s="588">
        <v>0</v>
      </c>
      <c r="U1251" s="588">
        <v>19200</v>
      </c>
      <c r="V1251" s="317"/>
      <c r="W1251" s="39">
        <v>47424</v>
      </c>
      <c r="X1251" s="39">
        <v>0</v>
      </c>
      <c r="Y1251" s="39">
        <v>0</v>
      </c>
      <c r="Z1251" s="39">
        <v>0</v>
      </c>
      <c r="AA1251" s="589">
        <v>2.4700000000000002</v>
      </c>
      <c r="AB1251" s="589"/>
      <c r="AC1251" s="589"/>
      <c r="AD1251" s="589"/>
      <c r="AE1251" s="39">
        <v>0</v>
      </c>
      <c r="AF1251" s="39">
        <v>0</v>
      </c>
      <c r="AG1251" s="39">
        <v>0</v>
      </c>
      <c r="AH1251" s="590">
        <v>2.4700000000000002</v>
      </c>
      <c r="AI1251" s="590"/>
      <c r="AJ1251" s="590"/>
      <c r="AK1251" s="590"/>
      <c r="AL1251" s="591" t="s">
        <v>20345</v>
      </c>
      <c r="AM1251" s="591">
        <v>0</v>
      </c>
      <c r="AN1251" s="591">
        <v>0</v>
      </c>
      <c r="AO1251" s="591">
        <v>0</v>
      </c>
    </row>
    <row r="1252" spans="1:41" hidden="1">
      <c r="A1252" s="584">
        <v>95</v>
      </c>
      <c r="B1252" s="279" t="s">
        <v>20280</v>
      </c>
      <c r="C1252" s="279">
        <v>0</v>
      </c>
      <c r="D1252" s="585" t="s">
        <v>18996</v>
      </c>
      <c r="E1252" s="279" t="s">
        <v>20280</v>
      </c>
      <c r="F1252" s="53">
        <v>45049</v>
      </c>
      <c r="G1252" s="279">
        <v>2023</v>
      </c>
      <c r="H1252" s="586" t="s">
        <v>16444</v>
      </c>
      <c r="I1252" s="279" t="s">
        <v>16445</v>
      </c>
      <c r="J1252" s="279" t="s">
        <v>3</v>
      </c>
      <c r="K1252" s="280">
        <v>61815.6</v>
      </c>
      <c r="L1252" s="586">
        <v>1</v>
      </c>
      <c r="M1252" s="587">
        <v>61815.6</v>
      </c>
      <c r="N1252" s="279" t="s">
        <v>20155</v>
      </c>
      <c r="O1252" s="279" t="s">
        <v>17693</v>
      </c>
      <c r="P1252" s="887">
        <v>45054</v>
      </c>
      <c r="Q1252" s="588">
        <v>0</v>
      </c>
      <c r="R1252" s="588">
        <v>0</v>
      </c>
      <c r="S1252" s="588">
        <v>27720</v>
      </c>
      <c r="T1252" s="588">
        <v>0</v>
      </c>
      <c r="U1252" s="588">
        <v>27720</v>
      </c>
      <c r="V1252" s="317"/>
      <c r="W1252" s="39">
        <v>0</v>
      </c>
      <c r="X1252" s="39">
        <v>0</v>
      </c>
      <c r="Y1252" s="39">
        <v>61815.6</v>
      </c>
      <c r="Z1252" s="39">
        <v>0</v>
      </c>
      <c r="AA1252" s="589"/>
      <c r="AB1252" s="589"/>
      <c r="AC1252" s="589">
        <v>2.23</v>
      </c>
      <c r="AD1252" s="589"/>
      <c r="AE1252" s="39">
        <v>0</v>
      </c>
      <c r="AF1252" s="39">
        <v>0</v>
      </c>
      <c r="AG1252" s="39">
        <v>0</v>
      </c>
      <c r="AH1252" s="590"/>
      <c r="AI1252" s="590"/>
      <c r="AJ1252" s="590">
        <v>2.23</v>
      </c>
      <c r="AK1252" s="590"/>
      <c r="AL1252" s="591">
        <v>0</v>
      </c>
      <c r="AM1252" s="591">
        <v>0</v>
      </c>
      <c r="AN1252" s="591" t="s">
        <v>20346</v>
      </c>
      <c r="AO1252" s="591">
        <v>0</v>
      </c>
    </row>
    <row r="1253" spans="1:41" hidden="1">
      <c r="A1253" s="584">
        <v>96</v>
      </c>
      <c r="B1253" s="279" t="s">
        <v>20281</v>
      </c>
      <c r="C1253" s="279">
        <v>0</v>
      </c>
      <c r="D1253" s="585" t="s">
        <v>18997</v>
      </c>
      <c r="E1253" s="279" t="s">
        <v>20281</v>
      </c>
      <c r="F1253" s="53">
        <v>45051</v>
      </c>
      <c r="G1253" s="279">
        <v>2023</v>
      </c>
      <c r="H1253" s="586" t="s">
        <v>16444</v>
      </c>
      <c r="I1253" s="279" t="s">
        <v>16445</v>
      </c>
      <c r="J1253" s="279" t="s">
        <v>3</v>
      </c>
      <c r="K1253" s="280">
        <v>131382</v>
      </c>
      <c r="L1253" s="586">
        <v>1</v>
      </c>
      <c r="M1253" s="587">
        <v>131382</v>
      </c>
      <c r="N1253" s="279" t="s">
        <v>20155</v>
      </c>
      <c r="O1253" s="279" t="s">
        <v>18248</v>
      </c>
      <c r="P1253" s="887">
        <v>45064</v>
      </c>
      <c r="Q1253" s="588">
        <v>15600</v>
      </c>
      <c r="R1253" s="588">
        <v>38100</v>
      </c>
      <c r="S1253" s="588">
        <v>2100</v>
      </c>
      <c r="T1253" s="588">
        <v>0</v>
      </c>
      <c r="U1253" s="588">
        <v>55800</v>
      </c>
      <c r="V1253" s="317"/>
      <c r="W1253" s="39">
        <v>38688</v>
      </c>
      <c r="X1253" s="39">
        <v>88011</v>
      </c>
      <c r="Y1253" s="39">
        <v>4683</v>
      </c>
      <c r="Z1253" s="39">
        <v>0</v>
      </c>
      <c r="AA1253" s="589">
        <v>2.48</v>
      </c>
      <c r="AB1253" s="589">
        <v>2.31</v>
      </c>
      <c r="AC1253" s="589">
        <v>2.23</v>
      </c>
      <c r="AD1253" s="589"/>
      <c r="AE1253" s="39">
        <v>0</v>
      </c>
      <c r="AF1253" s="39">
        <v>0</v>
      </c>
      <c r="AG1253" s="39">
        <v>0</v>
      </c>
      <c r="AH1253" s="590">
        <v>2.48</v>
      </c>
      <c r="AI1253" s="590">
        <v>2.31</v>
      </c>
      <c r="AJ1253" s="590">
        <v>2.23</v>
      </c>
      <c r="AK1253" s="590"/>
      <c r="AL1253" s="591" t="s">
        <v>20345</v>
      </c>
      <c r="AM1253" s="591" t="s">
        <v>20346</v>
      </c>
      <c r="AN1253" s="591" t="s">
        <v>20346</v>
      </c>
      <c r="AO1253" s="591">
        <v>0</v>
      </c>
    </row>
    <row r="1254" spans="1:41" hidden="1">
      <c r="A1254" s="584">
        <v>97</v>
      </c>
      <c r="B1254" s="279" t="s">
        <v>20282</v>
      </c>
      <c r="C1254" s="279">
        <v>0</v>
      </c>
      <c r="D1254" s="585" t="s">
        <v>18998</v>
      </c>
      <c r="E1254" s="279" t="s">
        <v>20282</v>
      </c>
      <c r="F1254" s="53">
        <v>45055</v>
      </c>
      <c r="G1254" s="279">
        <v>2023</v>
      </c>
      <c r="H1254" s="586" t="s">
        <v>17156</v>
      </c>
      <c r="I1254" s="279" t="s">
        <v>17157</v>
      </c>
      <c r="J1254" s="279" t="s">
        <v>3</v>
      </c>
      <c r="K1254" s="280">
        <v>209100</v>
      </c>
      <c r="L1254" s="586">
        <v>1</v>
      </c>
      <c r="M1254" s="587">
        <v>209100</v>
      </c>
      <c r="N1254" s="279" t="s">
        <v>20155</v>
      </c>
      <c r="O1254" s="279" t="s">
        <v>20161</v>
      </c>
      <c r="P1254" s="887">
        <v>45072</v>
      </c>
      <c r="Q1254" s="588">
        <v>0</v>
      </c>
      <c r="R1254" s="588">
        <v>82000</v>
      </c>
      <c r="S1254" s="588">
        <v>0</v>
      </c>
      <c r="T1254" s="588">
        <v>0</v>
      </c>
      <c r="U1254" s="588">
        <v>82000</v>
      </c>
      <c r="V1254" s="317"/>
      <c r="W1254" s="39">
        <v>0</v>
      </c>
      <c r="X1254" s="39">
        <v>209100</v>
      </c>
      <c r="Y1254" s="39">
        <v>0</v>
      </c>
      <c r="Z1254" s="39">
        <v>0</v>
      </c>
      <c r="AA1254" s="589"/>
      <c r="AB1254" s="589">
        <v>2.5499999999999998</v>
      </c>
      <c r="AC1254" s="589"/>
      <c r="AD1254" s="589"/>
      <c r="AE1254" s="39">
        <v>0</v>
      </c>
      <c r="AF1254" s="39">
        <v>0</v>
      </c>
      <c r="AG1254" s="39">
        <v>0</v>
      </c>
      <c r="AH1254" s="590"/>
      <c r="AI1254" s="590">
        <v>2.5499999999999998</v>
      </c>
      <c r="AJ1254" s="590"/>
      <c r="AK1254" s="590"/>
      <c r="AL1254" s="591">
        <v>0</v>
      </c>
      <c r="AM1254" s="591">
        <v>1</v>
      </c>
      <c r="AN1254" s="591">
        <v>0</v>
      </c>
      <c r="AO1254" s="591">
        <v>0</v>
      </c>
    </row>
    <row r="1255" spans="1:41" hidden="1">
      <c r="A1255" s="584">
        <v>98</v>
      </c>
      <c r="B1255" s="279" t="s">
        <v>20283</v>
      </c>
      <c r="C1255" s="279">
        <v>0</v>
      </c>
      <c r="D1255" s="585" t="s">
        <v>18999</v>
      </c>
      <c r="E1255" s="279" t="s">
        <v>20283</v>
      </c>
      <c r="F1255" s="53">
        <v>45055</v>
      </c>
      <c r="G1255" s="279">
        <v>2023</v>
      </c>
      <c r="H1255" s="586" t="s">
        <v>16444</v>
      </c>
      <c r="I1255" s="279" t="s">
        <v>16445</v>
      </c>
      <c r="J1255" s="279" t="s">
        <v>3</v>
      </c>
      <c r="K1255" s="280">
        <v>131382</v>
      </c>
      <c r="L1255" s="586">
        <v>1</v>
      </c>
      <c r="M1255" s="587">
        <v>131382</v>
      </c>
      <c r="N1255" s="279" t="s">
        <v>20155</v>
      </c>
      <c r="O1255" s="279" t="s">
        <v>18248</v>
      </c>
      <c r="P1255" s="887">
        <v>45064</v>
      </c>
      <c r="Q1255" s="588">
        <v>15600</v>
      </c>
      <c r="R1255" s="588">
        <v>38100</v>
      </c>
      <c r="S1255" s="588">
        <v>2100</v>
      </c>
      <c r="T1255" s="588">
        <v>0</v>
      </c>
      <c r="U1255" s="588">
        <v>55800</v>
      </c>
      <c r="V1255" s="317"/>
      <c r="W1255" s="39">
        <v>38688</v>
      </c>
      <c r="X1255" s="39">
        <v>87900.12</v>
      </c>
      <c r="Y1255" s="39">
        <v>4793.88</v>
      </c>
      <c r="Z1255" s="39">
        <v>0</v>
      </c>
      <c r="AA1255" s="589">
        <v>2.48</v>
      </c>
      <c r="AB1255" s="589">
        <v>2.3070897637795276</v>
      </c>
      <c r="AC1255" s="589">
        <v>2.2827999999999999</v>
      </c>
      <c r="AD1255" s="589"/>
      <c r="AE1255" s="39">
        <v>0</v>
      </c>
      <c r="AF1255" s="39">
        <v>0</v>
      </c>
      <c r="AG1255" s="39">
        <v>0</v>
      </c>
      <c r="AH1255" s="590">
        <v>2.48</v>
      </c>
      <c r="AI1255" s="590">
        <v>2.3070897637795276</v>
      </c>
      <c r="AJ1255" s="590">
        <v>2.2827999999999999</v>
      </c>
      <c r="AK1255" s="590"/>
      <c r="AL1255" s="591" t="s">
        <v>20345</v>
      </c>
      <c r="AM1255" s="591" t="s">
        <v>20346</v>
      </c>
      <c r="AN1255" s="591" t="s">
        <v>20346</v>
      </c>
      <c r="AO1255" s="591">
        <v>0</v>
      </c>
    </row>
    <row r="1256" spans="1:41" hidden="1">
      <c r="A1256" s="584">
        <v>99</v>
      </c>
      <c r="B1256" s="279" t="s">
        <v>20284</v>
      </c>
      <c r="C1256" s="279">
        <v>0</v>
      </c>
      <c r="D1256" s="585" t="s">
        <v>19000</v>
      </c>
      <c r="E1256" s="279" t="s">
        <v>20284</v>
      </c>
      <c r="F1256" s="53">
        <v>45055</v>
      </c>
      <c r="G1256" s="279">
        <v>2023</v>
      </c>
      <c r="H1256" s="586" t="s">
        <v>16904</v>
      </c>
      <c r="I1256" s="279" t="s">
        <v>16905</v>
      </c>
      <c r="J1256" s="279" t="s">
        <v>16482</v>
      </c>
      <c r="K1256" s="280">
        <v>94274.832456000004</v>
      </c>
      <c r="L1256" s="586">
        <v>3.3421500000000002</v>
      </c>
      <c r="M1256" s="587">
        <v>28207.84</v>
      </c>
      <c r="N1256" s="279" t="s">
        <v>20155</v>
      </c>
      <c r="O1256" s="279" t="s">
        <v>20160</v>
      </c>
      <c r="P1256" s="887">
        <v>45062</v>
      </c>
      <c r="Q1256" s="588">
        <v>0</v>
      </c>
      <c r="R1256" s="588">
        <v>17532</v>
      </c>
      <c r="S1256" s="588">
        <v>10500</v>
      </c>
      <c r="T1256" s="588">
        <v>0</v>
      </c>
      <c r="U1256" s="588">
        <v>28032</v>
      </c>
      <c r="V1256" s="317"/>
      <c r="W1256" s="39">
        <v>0</v>
      </c>
      <c r="X1256" s="39">
        <v>59338.377065589033</v>
      </c>
      <c r="Y1256" s="39">
        <v>34936.455390410963</v>
      </c>
      <c r="Z1256" s="39">
        <v>0</v>
      </c>
      <c r="AA1256" s="589"/>
      <c r="AB1256" s="589">
        <v>3.3845754657534242</v>
      </c>
      <c r="AC1256" s="589">
        <v>3.3272814657534249</v>
      </c>
      <c r="AD1256" s="589"/>
      <c r="AE1256" s="39">
        <v>3421.8449999999998</v>
      </c>
      <c r="AF1256" s="39">
        <v>13279.955</v>
      </c>
      <c r="AG1256" s="39">
        <v>0.47374268692922372</v>
      </c>
      <c r="AH1256" s="590"/>
      <c r="AI1256" s="590">
        <v>2.9108327788242003</v>
      </c>
      <c r="AJ1256" s="590">
        <v>2.853538778824201</v>
      </c>
      <c r="AK1256" s="590"/>
      <c r="AL1256" s="591">
        <v>0</v>
      </c>
      <c r="AM1256" s="591">
        <v>1</v>
      </c>
      <c r="AN1256" s="591">
        <v>1</v>
      </c>
      <c r="AO1256" s="591">
        <v>0</v>
      </c>
    </row>
    <row r="1257" spans="1:41" hidden="1">
      <c r="A1257" s="584">
        <v>100</v>
      </c>
      <c r="B1257" s="279" t="s">
        <v>112</v>
      </c>
      <c r="C1257" s="279">
        <v>0</v>
      </c>
      <c r="D1257" s="585" t="s">
        <v>19001</v>
      </c>
      <c r="E1257" s="279" t="s">
        <v>112</v>
      </c>
      <c r="F1257" s="53">
        <v>45055</v>
      </c>
      <c r="G1257" s="279">
        <v>2023</v>
      </c>
      <c r="H1257" s="586" t="s">
        <v>16904</v>
      </c>
      <c r="I1257" s="279" t="s">
        <v>16905</v>
      </c>
      <c r="J1257" s="279" t="s">
        <v>16482</v>
      </c>
      <c r="K1257" s="280">
        <v>94100.372226000007</v>
      </c>
      <c r="L1257" s="586">
        <v>3.3421500000000002</v>
      </c>
      <c r="M1257" s="587">
        <v>28155.64</v>
      </c>
      <c r="N1257" s="279" t="s">
        <v>20155</v>
      </c>
      <c r="O1257" s="279" t="s">
        <v>20160</v>
      </c>
      <c r="P1257" s="887">
        <v>45062</v>
      </c>
      <c r="Q1257" s="588">
        <v>0</v>
      </c>
      <c r="R1257" s="588">
        <v>17472</v>
      </c>
      <c r="S1257" s="588">
        <v>10500</v>
      </c>
      <c r="T1257" s="588">
        <v>0</v>
      </c>
      <c r="U1257" s="588">
        <v>27972</v>
      </c>
      <c r="V1257" s="317"/>
      <c r="W1257" s="39">
        <v>0</v>
      </c>
      <c r="X1257" s="39">
        <v>59153.175732756747</v>
      </c>
      <c r="Y1257" s="39">
        <v>34947.196493243246</v>
      </c>
      <c r="Z1257" s="39">
        <v>0</v>
      </c>
      <c r="AA1257" s="589"/>
      <c r="AB1257" s="589">
        <v>3.3855984279279272</v>
      </c>
      <c r="AC1257" s="589">
        <v>3.3283044279279284</v>
      </c>
      <c r="AD1257" s="589"/>
      <c r="AE1257" s="39">
        <v>3421.8449999999998</v>
      </c>
      <c r="AF1257" s="39">
        <v>13279.955</v>
      </c>
      <c r="AG1257" s="39">
        <v>0.47475886600886602</v>
      </c>
      <c r="AH1257" s="590"/>
      <c r="AI1257" s="590">
        <v>2.9108395619190612</v>
      </c>
      <c r="AJ1257" s="590">
        <v>2.8535455619190624</v>
      </c>
      <c r="AK1257" s="590"/>
      <c r="AL1257" s="591">
        <v>0</v>
      </c>
      <c r="AM1257" s="591">
        <v>1</v>
      </c>
      <c r="AN1257" s="591">
        <v>1</v>
      </c>
      <c r="AO1257" s="591">
        <v>0</v>
      </c>
    </row>
    <row r="1258" spans="1:41" hidden="1">
      <c r="A1258" s="584">
        <v>101</v>
      </c>
      <c r="B1258" s="279" t="s">
        <v>113</v>
      </c>
      <c r="C1258" s="279">
        <v>0</v>
      </c>
      <c r="D1258" s="585" t="s">
        <v>19002</v>
      </c>
      <c r="E1258" s="279" t="s">
        <v>113</v>
      </c>
      <c r="F1258" s="53">
        <v>45055</v>
      </c>
      <c r="G1258" s="279">
        <v>2023</v>
      </c>
      <c r="H1258" s="586" t="s">
        <v>16904</v>
      </c>
      <c r="I1258" s="279" t="s">
        <v>16905</v>
      </c>
      <c r="J1258" s="279" t="s">
        <v>16482</v>
      </c>
      <c r="K1258" s="280">
        <v>94135.264272000015</v>
      </c>
      <c r="L1258" s="586">
        <v>3.3421500000000002</v>
      </c>
      <c r="M1258" s="587">
        <v>28166.080000000002</v>
      </c>
      <c r="N1258" s="279" t="s">
        <v>20155</v>
      </c>
      <c r="O1258" s="279" t="s">
        <v>20160</v>
      </c>
      <c r="P1258" s="887">
        <v>45062</v>
      </c>
      <c r="Q1258" s="588">
        <v>0</v>
      </c>
      <c r="R1258" s="588">
        <v>17484</v>
      </c>
      <c r="S1258" s="588">
        <v>10500</v>
      </c>
      <c r="T1258" s="588">
        <v>0</v>
      </c>
      <c r="U1258" s="588">
        <v>27984</v>
      </c>
      <c r="V1258" s="317"/>
      <c r="W1258" s="39">
        <v>0</v>
      </c>
      <c r="X1258" s="39">
        <v>59190.219684092619</v>
      </c>
      <c r="Y1258" s="39">
        <v>34945.044587907381</v>
      </c>
      <c r="Z1258" s="39">
        <v>0</v>
      </c>
      <c r="AA1258" s="589"/>
      <c r="AB1258" s="589">
        <v>3.385393484562607</v>
      </c>
      <c r="AC1258" s="589">
        <v>3.3280994845626077</v>
      </c>
      <c r="AD1258" s="589"/>
      <c r="AE1258" s="39">
        <v>3421.8449999999998</v>
      </c>
      <c r="AF1258" s="39">
        <v>13285.955</v>
      </c>
      <c r="AG1258" s="39">
        <v>0.47476968982275586</v>
      </c>
      <c r="AH1258" s="590"/>
      <c r="AI1258" s="590">
        <v>2.910623794739851</v>
      </c>
      <c r="AJ1258" s="590">
        <v>2.8533297947398517</v>
      </c>
      <c r="AK1258" s="590"/>
      <c r="AL1258" s="591">
        <v>0</v>
      </c>
      <c r="AM1258" s="591">
        <v>1</v>
      </c>
      <c r="AN1258" s="591">
        <v>1</v>
      </c>
      <c r="AO1258" s="591">
        <v>0</v>
      </c>
    </row>
    <row r="1259" spans="1:41" hidden="1">
      <c r="A1259" s="584">
        <v>102</v>
      </c>
      <c r="B1259" s="279" t="s">
        <v>114</v>
      </c>
      <c r="C1259" s="279">
        <v>0</v>
      </c>
      <c r="D1259" s="585" t="s">
        <v>19003</v>
      </c>
      <c r="E1259" s="279" t="s">
        <v>114</v>
      </c>
      <c r="F1259" s="53">
        <v>45065</v>
      </c>
      <c r="G1259" s="279">
        <v>2023</v>
      </c>
      <c r="H1259" s="586" t="s">
        <v>17297</v>
      </c>
      <c r="I1259" s="279" t="s">
        <v>17298</v>
      </c>
      <c r="J1259" s="279" t="s">
        <v>3</v>
      </c>
      <c r="K1259" s="280">
        <v>53160</v>
      </c>
      <c r="L1259" s="586">
        <v>1</v>
      </c>
      <c r="M1259" s="587">
        <v>53160</v>
      </c>
      <c r="N1259" s="279" t="s">
        <v>20155</v>
      </c>
      <c r="O1259" s="279" t="s">
        <v>20319</v>
      </c>
      <c r="P1259" s="887">
        <v>45077</v>
      </c>
      <c r="Q1259" s="588">
        <v>6000</v>
      </c>
      <c r="R1259" s="588">
        <v>19200</v>
      </c>
      <c r="S1259" s="588">
        <v>0</v>
      </c>
      <c r="T1259" s="588">
        <v>0</v>
      </c>
      <c r="U1259" s="588">
        <v>25200</v>
      </c>
      <c r="V1259" s="317"/>
      <c r="W1259" s="39">
        <v>13800</v>
      </c>
      <c r="X1259" s="39">
        <v>39360</v>
      </c>
      <c r="Y1259" s="39">
        <v>0</v>
      </c>
      <c r="Z1259" s="39">
        <v>0</v>
      </c>
      <c r="AA1259" s="589">
        <v>2.2999999999999998</v>
      </c>
      <c r="AB1259" s="589">
        <v>2.0499999999999998</v>
      </c>
      <c r="AC1259" s="589"/>
      <c r="AD1259" s="589"/>
      <c r="AE1259" s="39">
        <v>0</v>
      </c>
      <c r="AF1259" s="39">
        <v>0</v>
      </c>
      <c r="AG1259" s="39">
        <v>0</v>
      </c>
      <c r="AH1259" s="590">
        <v>2.2999999999999998</v>
      </c>
      <c r="AI1259" s="590">
        <v>2.0499999999999998</v>
      </c>
      <c r="AJ1259" s="590"/>
      <c r="AK1259" s="590"/>
      <c r="AL1259" s="591" t="s">
        <v>20345</v>
      </c>
      <c r="AM1259" s="591" t="s">
        <v>20348</v>
      </c>
      <c r="AN1259" s="591">
        <v>0</v>
      </c>
      <c r="AO1259" s="591">
        <v>0</v>
      </c>
    </row>
    <row r="1260" spans="1:41" hidden="1">
      <c r="A1260" s="584">
        <v>103</v>
      </c>
      <c r="B1260" s="279" t="s">
        <v>115</v>
      </c>
      <c r="C1260" s="279">
        <v>0</v>
      </c>
      <c r="D1260" s="585" t="s">
        <v>19004</v>
      </c>
      <c r="E1260" s="279" t="s">
        <v>115</v>
      </c>
      <c r="F1260" s="53">
        <v>45065</v>
      </c>
      <c r="G1260" s="279">
        <v>2023</v>
      </c>
      <c r="H1260" s="586" t="s">
        <v>17299</v>
      </c>
      <c r="I1260" s="279" t="s">
        <v>17300</v>
      </c>
      <c r="J1260" s="279" t="s">
        <v>16482</v>
      </c>
      <c r="K1260" s="280">
        <v>103733.87199999999</v>
      </c>
      <c r="L1260" s="586">
        <v>3.3384999999999998</v>
      </c>
      <c r="M1260" s="587">
        <v>31072</v>
      </c>
      <c r="N1260" s="279" t="s">
        <v>20155</v>
      </c>
      <c r="O1260" s="279" t="s">
        <v>20321</v>
      </c>
      <c r="P1260" s="887">
        <v>45071</v>
      </c>
      <c r="Q1260" s="588">
        <v>38400</v>
      </c>
      <c r="R1260" s="588">
        <v>0</v>
      </c>
      <c r="S1260" s="588">
        <v>0</v>
      </c>
      <c r="T1260" s="588">
        <v>0</v>
      </c>
      <c r="U1260" s="588">
        <v>38400</v>
      </c>
      <c r="V1260" s="317"/>
      <c r="W1260" s="39">
        <v>103733.872</v>
      </c>
      <c r="X1260" s="39">
        <v>0</v>
      </c>
      <c r="Y1260" s="39">
        <v>0</v>
      </c>
      <c r="Z1260" s="39">
        <v>0</v>
      </c>
      <c r="AA1260" s="589">
        <v>2.7014029166666669</v>
      </c>
      <c r="AB1260" s="589"/>
      <c r="AC1260" s="589"/>
      <c r="AD1260" s="589"/>
      <c r="AE1260" s="39">
        <v>2606.7509999999997</v>
      </c>
      <c r="AF1260" s="39">
        <v>11800.105</v>
      </c>
      <c r="AG1260" s="39">
        <v>0.30729440104166666</v>
      </c>
      <c r="AH1260" s="590">
        <v>2.3941085156250002</v>
      </c>
      <c r="AI1260" s="590"/>
      <c r="AJ1260" s="590"/>
      <c r="AK1260" s="590"/>
      <c r="AL1260" s="591" t="s">
        <v>20345</v>
      </c>
      <c r="AM1260" s="591">
        <v>0</v>
      </c>
      <c r="AN1260" s="591">
        <v>0</v>
      </c>
      <c r="AO1260" s="591">
        <v>0</v>
      </c>
    </row>
    <row r="1261" spans="1:41" hidden="1">
      <c r="A1261" s="584">
        <v>104</v>
      </c>
      <c r="B1261" s="279" t="s">
        <v>116</v>
      </c>
      <c r="C1261" s="279">
        <v>0</v>
      </c>
      <c r="D1261" s="585" t="s">
        <v>19005</v>
      </c>
      <c r="E1261" s="279" t="s">
        <v>116</v>
      </c>
      <c r="F1261" s="53">
        <v>45066</v>
      </c>
      <c r="G1261" s="279">
        <v>2023</v>
      </c>
      <c r="H1261" s="586" t="s">
        <v>16643</v>
      </c>
      <c r="I1261" s="279" t="s">
        <v>16644</v>
      </c>
      <c r="J1261" s="279" t="s">
        <v>16482</v>
      </c>
      <c r="K1261" s="280">
        <v>117755.572</v>
      </c>
      <c r="L1261" s="586">
        <v>3.3384999999999998</v>
      </c>
      <c r="M1261" s="587">
        <v>35272</v>
      </c>
      <c r="N1261" s="279" t="s">
        <v>20155</v>
      </c>
      <c r="O1261" s="279" t="s">
        <v>20352</v>
      </c>
      <c r="P1261" s="887">
        <v>45077</v>
      </c>
      <c r="Q1261" s="588">
        <v>0</v>
      </c>
      <c r="R1261" s="588">
        <v>44400</v>
      </c>
      <c r="S1261" s="588">
        <v>0</v>
      </c>
      <c r="T1261" s="588">
        <v>0</v>
      </c>
      <c r="U1261" s="588">
        <v>44400</v>
      </c>
      <c r="V1261" s="317"/>
      <c r="W1261" s="39">
        <v>0</v>
      </c>
      <c r="X1261" s="39">
        <v>117755.57199999999</v>
      </c>
      <c r="Y1261" s="39">
        <v>0</v>
      </c>
      <c r="Z1261" s="39">
        <v>0</v>
      </c>
      <c r="AA1261" s="589"/>
      <c r="AB1261" s="589">
        <v>2.6521525225225222</v>
      </c>
      <c r="AC1261" s="589"/>
      <c r="AD1261" s="589"/>
      <c r="AE1261" s="39">
        <v>4384.8</v>
      </c>
      <c r="AF1261" s="39">
        <v>17795.48</v>
      </c>
      <c r="AG1261" s="39">
        <v>0.40079909909909911</v>
      </c>
      <c r="AH1261" s="590"/>
      <c r="AI1261" s="590">
        <v>2.2513534234234229</v>
      </c>
      <c r="AJ1261" s="590"/>
      <c r="AK1261" s="590"/>
      <c r="AL1261" s="591">
        <v>0</v>
      </c>
      <c r="AM1261" s="591" t="s">
        <v>20348</v>
      </c>
      <c r="AN1261" s="591">
        <v>0</v>
      </c>
      <c r="AO1261" s="591">
        <v>0</v>
      </c>
    </row>
    <row r="1262" spans="1:41" hidden="1">
      <c r="A1262" s="584">
        <v>105</v>
      </c>
      <c r="B1262" s="279" t="s">
        <v>117</v>
      </c>
      <c r="C1262" s="279">
        <v>0</v>
      </c>
      <c r="D1262" s="585" t="s">
        <v>20354</v>
      </c>
      <c r="E1262" s="279" t="s">
        <v>117</v>
      </c>
      <c r="F1262" s="53">
        <v>45066</v>
      </c>
      <c r="G1262" s="279">
        <v>2023</v>
      </c>
      <c r="H1262" s="586" t="s">
        <v>17119</v>
      </c>
      <c r="I1262" s="279" t="s">
        <v>17120</v>
      </c>
      <c r="J1262" s="279" t="s">
        <v>16401</v>
      </c>
      <c r="K1262" s="280">
        <v>0</v>
      </c>
      <c r="L1262" s="586"/>
      <c r="M1262" s="587">
        <v>105864</v>
      </c>
      <c r="N1262" s="279" t="s">
        <v>20164</v>
      </c>
      <c r="O1262" s="279" t="s">
        <v>17965</v>
      </c>
      <c r="P1262" s="887">
        <v>0</v>
      </c>
      <c r="Q1262" s="588">
        <v>38400</v>
      </c>
      <c r="R1262" s="588">
        <v>85200</v>
      </c>
      <c r="S1262" s="588">
        <v>0</v>
      </c>
      <c r="T1262" s="588">
        <v>0</v>
      </c>
      <c r="U1262" s="588">
        <v>123600</v>
      </c>
      <c r="V1262" s="317"/>
      <c r="W1262" s="39" t="e">
        <v>#N/A</v>
      </c>
      <c r="X1262" s="39" t="e">
        <v>#N/A</v>
      </c>
      <c r="Y1262" s="39" t="e">
        <v>#N/A</v>
      </c>
      <c r="Z1262" s="39" t="e">
        <v>#N/A</v>
      </c>
      <c r="AA1262" s="589" t="e">
        <v>#N/A</v>
      </c>
      <c r="AB1262" s="589" t="e">
        <v>#N/A</v>
      </c>
      <c r="AC1262" s="589" t="e">
        <v>#N/A</v>
      </c>
      <c r="AD1262" s="589" t="e">
        <v>#N/A</v>
      </c>
      <c r="AE1262" s="39" t="e">
        <v>#N/A</v>
      </c>
      <c r="AF1262" s="39" t="e">
        <v>#N/A</v>
      </c>
      <c r="AG1262" s="39" t="e">
        <v>#N/A</v>
      </c>
      <c r="AH1262" s="590" t="e">
        <v>#N/A</v>
      </c>
      <c r="AI1262" s="590" t="e">
        <v>#N/A</v>
      </c>
      <c r="AJ1262" s="590" t="e">
        <v>#N/A</v>
      </c>
      <c r="AK1262" s="590" t="e">
        <v>#N/A</v>
      </c>
      <c r="AL1262" s="591" t="s">
        <v>20345</v>
      </c>
      <c r="AM1262" s="591" t="s">
        <v>20348</v>
      </c>
      <c r="AN1262" s="591">
        <v>0</v>
      </c>
      <c r="AO1262" s="591">
        <v>0</v>
      </c>
    </row>
    <row r="1263" spans="1:41" hidden="1">
      <c r="A1263" s="584">
        <v>106</v>
      </c>
      <c r="B1263" s="279" t="s">
        <v>118</v>
      </c>
      <c r="C1263" s="279">
        <v>0</v>
      </c>
      <c r="D1263" s="585" t="s">
        <v>19006</v>
      </c>
      <c r="E1263" s="279" t="s">
        <v>118</v>
      </c>
      <c r="F1263" s="53">
        <v>45068</v>
      </c>
      <c r="G1263" s="279">
        <v>2023</v>
      </c>
      <c r="H1263" s="586" t="s">
        <v>17329</v>
      </c>
      <c r="I1263" s="279" t="s">
        <v>17330</v>
      </c>
      <c r="J1263" s="279" t="s">
        <v>16401</v>
      </c>
      <c r="K1263" s="280">
        <v>57412.931250000001</v>
      </c>
      <c r="L1263" s="586">
        <v>3.1055000000000001</v>
      </c>
      <c r="M1263" s="587">
        <v>18487.5</v>
      </c>
      <c r="N1263" s="279" t="s">
        <v>20155</v>
      </c>
      <c r="O1263" s="279" t="s">
        <v>20335</v>
      </c>
      <c r="P1263" s="887">
        <v>45072</v>
      </c>
      <c r="Q1263" s="588">
        <v>3600</v>
      </c>
      <c r="R1263" s="588">
        <v>2500</v>
      </c>
      <c r="S1263" s="588">
        <v>4000</v>
      </c>
      <c r="T1263" s="588">
        <v>5000</v>
      </c>
      <c r="U1263" s="588">
        <v>15100</v>
      </c>
      <c r="V1263" s="317"/>
      <c r="W1263" s="39">
        <v>10407.949569536424</v>
      </c>
      <c r="X1263" s="39">
        <v>7150.1052566225171</v>
      </c>
      <c r="Y1263" s="39">
        <v>10260.078410596027</v>
      </c>
      <c r="Z1263" s="39">
        <v>29594.798013245032</v>
      </c>
      <c r="AA1263" s="589">
        <v>2.8910971026490064</v>
      </c>
      <c r="AB1263" s="589">
        <v>2.860042102649007</v>
      </c>
      <c r="AC1263" s="589">
        <v>2.5650196026490066</v>
      </c>
      <c r="AD1263" s="589">
        <v>5.9189596026490063</v>
      </c>
      <c r="AE1263" s="39">
        <v>1524</v>
      </c>
      <c r="AF1263" s="39">
        <v>6576.6</v>
      </c>
      <c r="AG1263" s="39">
        <v>0.43553642384105962</v>
      </c>
      <c r="AH1263" s="590">
        <v>2.4555606788079469</v>
      </c>
      <c r="AI1263" s="590">
        <v>2.4245056788079475</v>
      </c>
      <c r="AJ1263" s="590">
        <v>2.1294831788079471</v>
      </c>
      <c r="AK1263" s="590">
        <v>5.4834231788079464</v>
      </c>
      <c r="AL1263" s="591" t="s">
        <v>20345</v>
      </c>
      <c r="AM1263" s="591" t="s">
        <v>20346</v>
      </c>
      <c r="AN1263" s="591" t="s">
        <v>20346</v>
      </c>
      <c r="AO1263" s="591">
        <v>1</v>
      </c>
    </row>
    <row r="1264" spans="1:41" hidden="1">
      <c r="A1264" s="584">
        <v>107</v>
      </c>
      <c r="B1264" s="279" t="s">
        <v>119</v>
      </c>
      <c r="C1264" s="279">
        <v>0</v>
      </c>
      <c r="D1264" s="585" t="s">
        <v>19007</v>
      </c>
      <c r="E1264" s="279" t="s">
        <v>119</v>
      </c>
      <c r="F1264" s="53">
        <v>45068</v>
      </c>
      <c r="G1264" s="279">
        <v>2023</v>
      </c>
      <c r="H1264" s="586" t="s">
        <v>17329</v>
      </c>
      <c r="I1264" s="279" t="s">
        <v>17330</v>
      </c>
      <c r="J1264" s="279" t="s">
        <v>16401</v>
      </c>
      <c r="K1264" s="280">
        <v>113269.60799999999</v>
      </c>
      <c r="L1264" s="586">
        <v>3.1059999999999999</v>
      </c>
      <c r="M1264" s="587">
        <v>36468</v>
      </c>
      <c r="N1264" s="279" t="s">
        <v>20155</v>
      </c>
      <c r="O1264" s="279" t="s">
        <v>20335</v>
      </c>
      <c r="P1264" s="887">
        <v>45077</v>
      </c>
      <c r="Q1264" s="588">
        <v>0</v>
      </c>
      <c r="R1264" s="588">
        <v>41280</v>
      </c>
      <c r="S1264" s="588">
        <v>0</v>
      </c>
      <c r="T1264" s="588">
        <v>0</v>
      </c>
      <c r="U1264" s="588">
        <v>41280</v>
      </c>
      <c r="V1264" s="317"/>
      <c r="W1264" s="39">
        <v>0</v>
      </c>
      <c r="X1264" s="39">
        <v>113269.60800000001</v>
      </c>
      <c r="Y1264" s="39">
        <v>0</v>
      </c>
      <c r="Z1264" s="39">
        <v>0</v>
      </c>
      <c r="AA1264" s="589"/>
      <c r="AB1264" s="589">
        <v>2.7439343023255818</v>
      </c>
      <c r="AC1264" s="589"/>
      <c r="AD1264" s="589"/>
      <c r="AE1264" s="39">
        <v>3992.9399999999996</v>
      </c>
      <c r="AF1264" s="39">
        <v>16772.3</v>
      </c>
      <c r="AG1264" s="39">
        <v>0.40630571705426355</v>
      </c>
      <c r="AH1264" s="590"/>
      <c r="AI1264" s="590">
        <v>2.3376285852713181</v>
      </c>
      <c r="AJ1264" s="590"/>
      <c r="AK1264" s="590"/>
      <c r="AL1264" s="591">
        <v>0</v>
      </c>
      <c r="AM1264" s="591" t="s">
        <v>20346</v>
      </c>
      <c r="AN1264" s="591">
        <v>0</v>
      </c>
      <c r="AO1264" s="591">
        <v>0</v>
      </c>
    </row>
    <row r="1265" spans="1:41" hidden="1">
      <c r="A1265" s="584">
        <v>108</v>
      </c>
      <c r="B1265" s="279" t="s">
        <v>120</v>
      </c>
      <c r="C1265" s="279">
        <v>0</v>
      </c>
      <c r="D1265" s="585" t="s">
        <v>19008</v>
      </c>
      <c r="E1265" s="279" t="s">
        <v>120</v>
      </c>
      <c r="F1265" s="53">
        <v>45068</v>
      </c>
      <c r="G1265" s="279">
        <v>2023</v>
      </c>
      <c r="H1265" s="586" t="s">
        <v>17346</v>
      </c>
      <c r="I1265" s="279" t="s">
        <v>17347</v>
      </c>
      <c r="J1265" s="279" t="s">
        <v>16401</v>
      </c>
      <c r="K1265" s="280">
        <v>103436.03423999999</v>
      </c>
      <c r="L1265" s="586">
        <v>3.0912000000000002</v>
      </c>
      <c r="M1265" s="587">
        <v>33461.449999999997</v>
      </c>
      <c r="N1265" s="279" t="s">
        <v>20155</v>
      </c>
      <c r="O1265" s="279" t="s">
        <v>20355</v>
      </c>
      <c r="P1265" s="887">
        <v>45076</v>
      </c>
      <c r="Q1265" s="588">
        <v>41500</v>
      </c>
      <c r="R1265" s="588">
        <v>0</v>
      </c>
      <c r="S1265" s="588">
        <v>0</v>
      </c>
      <c r="T1265" s="588">
        <v>0</v>
      </c>
      <c r="U1265" s="588">
        <v>41500</v>
      </c>
      <c r="V1265" s="317"/>
      <c r="W1265" s="39">
        <v>103436.03424000001</v>
      </c>
      <c r="X1265" s="39">
        <v>0</v>
      </c>
      <c r="Y1265" s="39">
        <v>0</v>
      </c>
      <c r="Z1265" s="39">
        <v>0</v>
      </c>
      <c r="AA1265" s="589">
        <v>2.4924345600000004</v>
      </c>
      <c r="AB1265" s="589"/>
      <c r="AC1265" s="589"/>
      <c r="AD1265" s="589"/>
      <c r="AE1265" s="39">
        <v>1470.4156799999998</v>
      </c>
      <c r="AF1265" s="39">
        <v>11105.376</v>
      </c>
      <c r="AG1265" s="39">
        <v>0.267599421686747</v>
      </c>
      <c r="AH1265" s="590">
        <v>2.2248351383132534</v>
      </c>
      <c r="AI1265" s="590"/>
      <c r="AJ1265" s="590"/>
      <c r="AK1265" s="590"/>
      <c r="AL1265" s="591" t="s">
        <v>20345</v>
      </c>
      <c r="AM1265" s="591">
        <v>0</v>
      </c>
      <c r="AN1265" s="591">
        <v>0</v>
      </c>
      <c r="AO1265" s="591">
        <v>0</v>
      </c>
    </row>
    <row r="1266" spans="1:41" hidden="1">
      <c r="A1266" s="584">
        <v>109</v>
      </c>
      <c r="B1266" s="279" t="s">
        <v>121</v>
      </c>
      <c r="C1266" s="279">
        <v>0</v>
      </c>
      <c r="D1266" s="585" t="s">
        <v>19010</v>
      </c>
      <c r="E1266" s="279" t="s">
        <v>121</v>
      </c>
      <c r="F1266" s="53">
        <v>45069</v>
      </c>
      <c r="G1266" s="279">
        <v>2023</v>
      </c>
      <c r="H1266" s="586" t="s">
        <v>16384</v>
      </c>
      <c r="I1266" s="279" t="s">
        <v>16385</v>
      </c>
      <c r="J1266" s="279" t="s">
        <v>3</v>
      </c>
      <c r="K1266" s="280">
        <v>178944</v>
      </c>
      <c r="L1266" s="586">
        <v>1</v>
      </c>
      <c r="M1266" s="587">
        <v>178944</v>
      </c>
      <c r="N1266" s="279" t="s">
        <v>20155</v>
      </c>
      <c r="O1266" s="279" t="s">
        <v>17965</v>
      </c>
      <c r="P1266" s="887">
        <v>45083</v>
      </c>
      <c r="Q1266" s="588">
        <v>76800</v>
      </c>
      <c r="R1266" s="588">
        <v>0</v>
      </c>
      <c r="S1266" s="588">
        <v>0</v>
      </c>
      <c r="T1266" s="588">
        <v>0</v>
      </c>
      <c r="U1266" s="588">
        <v>76800</v>
      </c>
      <c r="V1266" s="317"/>
      <c r="W1266" s="39">
        <v>178944</v>
      </c>
      <c r="X1266" s="39">
        <v>0</v>
      </c>
      <c r="Y1266" s="39">
        <v>0</v>
      </c>
      <c r="Z1266" s="39">
        <v>0</v>
      </c>
      <c r="AA1266" s="589">
        <v>2.33</v>
      </c>
      <c r="AB1266" s="589"/>
      <c r="AC1266" s="589"/>
      <c r="AD1266" s="589"/>
      <c r="AE1266" s="39">
        <v>0</v>
      </c>
      <c r="AF1266" s="39">
        <v>0</v>
      </c>
      <c r="AG1266" s="39">
        <v>0</v>
      </c>
      <c r="AH1266" s="590">
        <v>2.33</v>
      </c>
      <c r="AI1266" s="590"/>
      <c r="AJ1266" s="590"/>
      <c r="AK1266" s="590"/>
      <c r="AL1266" s="591" t="s">
        <v>20345</v>
      </c>
      <c r="AM1266" s="591">
        <v>0</v>
      </c>
      <c r="AN1266" s="591">
        <v>0</v>
      </c>
      <c r="AO1266" s="591">
        <v>0</v>
      </c>
    </row>
    <row r="1267" spans="1:41" hidden="1">
      <c r="A1267" s="584">
        <v>110</v>
      </c>
      <c r="B1267" s="279" t="s">
        <v>122</v>
      </c>
      <c r="C1267" s="279">
        <v>0</v>
      </c>
      <c r="D1267" s="585" t="s">
        <v>19011</v>
      </c>
      <c r="E1267" s="279" t="s">
        <v>122</v>
      </c>
      <c r="F1267" s="53">
        <v>45069</v>
      </c>
      <c r="G1267" s="279">
        <v>2023</v>
      </c>
      <c r="H1267" s="586" t="s">
        <v>16384</v>
      </c>
      <c r="I1267" s="279" t="s">
        <v>16385</v>
      </c>
      <c r="J1267" s="279" t="s">
        <v>3</v>
      </c>
      <c r="K1267" s="280">
        <v>334902.21999999997</v>
      </c>
      <c r="L1267" s="586">
        <v>1</v>
      </c>
      <c r="M1267" s="587">
        <v>334902.21999999997</v>
      </c>
      <c r="N1267" s="279" t="s">
        <v>20155</v>
      </c>
      <c r="O1267" s="279" t="s">
        <v>17949</v>
      </c>
      <c r="P1267" s="887">
        <v>45076</v>
      </c>
      <c r="Q1267" s="588">
        <v>133099</v>
      </c>
      <c r="R1267" s="588">
        <v>13800</v>
      </c>
      <c r="S1267" s="588">
        <v>0</v>
      </c>
      <c r="T1267" s="588">
        <v>0</v>
      </c>
      <c r="U1267" s="588">
        <v>146899</v>
      </c>
      <c r="V1267" s="317"/>
      <c r="W1267" s="39">
        <v>303852.21999999997</v>
      </c>
      <c r="X1267" s="39">
        <v>31050</v>
      </c>
      <c r="Y1267" s="39">
        <v>0</v>
      </c>
      <c r="Z1267" s="39">
        <v>0</v>
      </c>
      <c r="AA1267" s="589">
        <v>2.2829038535225656</v>
      </c>
      <c r="AB1267" s="589">
        <v>2.25</v>
      </c>
      <c r="AC1267" s="589"/>
      <c r="AD1267" s="589"/>
      <c r="AE1267" s="39">
        <v>0</v>
      </c>
      <c r="AF1267" s="39">
        <v>0</v>
      </c>
      <c r="AG1267" s="39">
        <v>0</v>
      </c>
      <c r="AH1267" s="590">
        <v>2.2829038535225656</v>
      </c>
      <c r="AI1267" s="590">
        <v>2.25</v>
      </c>
      <c r="AJ1267" s="590"/>
      <c r="AK1267" s="590"/>
      <c r="AL1267" s="591" t="s">
        <v>20345</v>
      </c>
      <c r="AM1267" s="591" t="s">
        <v>20346</v>
      </c>
      <c r="AN1267" s="591">
        <v>0</v>
      </c>
      <c r="AO1267" s="591">
        <v>0</v>
      </c>
    </row>
    <row r="1268" spans="1:41" hidden="1">
      <c r="A1268" s="584">
        <v>111</v>
      </c>
      <c r="B1268" s="279" t="s">
        <v>123</v>
      </c>
      <c r="C1268" s="279">
        <v>0</v>
      </c>
      <c r="D1268" s="585" t="s">
        <v>19012</v>
      </c>
      <c r="E1268" s="279" t="s">
        <v>123</v>
      </c>
      <c r="F1268" s="53">
        <v>45069</v>
      </c>
      <c r="G1268" s="279">
        <v>2023</v>
      </c>
      <c r="H1268" s="586" t="s">
        <v>16444</v>
      </c>
      <c r="I1268" s="279" t="s">
        <v>16445</v>
      </c>
      <c r="J1268" s="279" t="s">
        <v>3</v>
      </c>
      <c r="K1268" s="280">
        <v>49488</v>
      </c>
      <c r="L1268" s="586">
        <v>1</v>
      </c>
      <c r="M1268" s="587">
        <v>49488</v>
      </c>
      <c r="N1268" s="279" t="s">
        <v>20155</v>
      </c>
      <c r="O1268" s="279" t="s">
        <v>17693</v>
      </c>
      <c r="P1268" s="887">
        <v>45075</v>
      </c>
      <c r="Q1268" s="588">
        <v>21600</v>
      </c>
      <c r="R1268" s="588">
        <v>0</v>
      </c>
      <c r="S1268" s="588">
        <v>0</v>
      </c>
      <c r="T1268" s="588">
        <v>0</v>
      </c>
      <c r="U1268" s="588">
        <v>21600</v>
      </c>
      <c r="V1268" s="317"/>
      <c r="W1268" s="39">
        <v>49488</v>
      </c>
      <c r="X1268" s="39">
        <v>0</v>
      </c>
      <c r="Y1268" s="39">
        <v>0</v>
      </c>
      <c r="Z1268" s="39">
        <v>0</v>
      </c>
      <c r="AA1268" s="589">
        <v>2.2911111111111113</v>
      </c>
      <c r="AB1268" s="589"/>
      <c r="AC1268" s="589"/>
      <c r="AD1268" s="589"/>
      <c r="AE1268" s="39">
        <v>0</v>
      </c>
      <c r="AF1268" s="39">
        <v>0</v>
      </c>
      <c r="AG1268" s="39">
        <v>0</v>
      </c>
      <c r="AH1268" s="590">
        <v>2.2911111111111113</v>
      </c>
      <c r="AI1268" s="590"/>
      <c r="AJ1268" s="590"/>
      <c r="AK1268" s="590"/>
      <c r="AL1268" s="591" t="s">
        <v>20345</v>
      </c>
      <c r="AM1268" s="591">
        <v>0</v>
      </c>
      <c r="AN1268" s="591">
        <v>0</v>
      </c>
      <c r="AO1268" s="591">
        <v>0</v>
      </c>
    </row>
    <row r="1269" spans="1:41" hidden="1">
      <c r="A1269" s="584">
        <v>112</v>
      </c>
      <c r="B1269" s="279" t="s">
        <v>124</v>
      </c>
      <c r="C1269" s="279">
        <v>0</v>
      </c>
      <c r="D1269" s="585" t="s">
        <v>19013</v>
      </c>
      <c r="E1269" s="279" t="s">
        <v>124</v>
      </c>
      <c r="F1269" s="53">
        <v>45069</v>
      </c>
      <c r="G1269" s="279">
        <v>2023</v>
      </c>
      <c r="H1269" s="586" t="s">
        <v>16444</v>
      </c>
      <c r="I1269" s="279" t="s">
        <v>16445</v>
      </c>
      <c r="J1269" s="279" t="s">
        <v>3</v>
      </c>
      <c r="K1269" s="280">
        <v>89472</v>
      </c>
      <c r="L1269" s="586">
        <v>1</v>
      </c>
      <c r="M1269" s="587">
        <v>89472</v>
      </c>
      <c r="N1269" s="279" t="s">
        <v>20155</v>
      </c>
      <c r="O1269" s="279" t="s">
        <v>20321</v>
      </c>
      <c r="P1269" s="887">
        <v>45075</v>
      </c>
      <c r="Q1269" s="588">
        <v>38400</v>
      </c>
      <c r="R1269" s="588">
        <v>0</v>
      </c>
      <c r="S1269" s="588">
        <v>0</v>
      </c>
      <c r="T1269" s="588">
        <v>0</v>
      </c>
      <c r="U1269" s="588">
        <v>38400</v>
      </c>
      <c r="V1269" s="317"/>
      <c r="W1269" s="39">
        <v>89472</v>
      </c>
      <c r="X1269" s="39">
        <v>0</v>
      </c>
      <c r="Y1269" s="39">
        <v>0</v>
      </c>
      <c r="Z1269" s="39">
        <v>0</v>
      </c>
      <c r="AA1269" s="589">
        <v>2.33</v>
      </c>
      <c r="AB1269" s="589"/>
      <c r="AC1269" s="589"/>
      <c r="AD1269" s="589"/>
      <c r="AE1269" s="39">
        <v>0</v>
      </c>
      <c r="AF1269" s="39">
        <v>0</v>
      </c>
      <c r="AG1269" s="39">
        <v>0</v>
      </c>
      <c r="AH1269" s="590">
        <v>2.33</v>
      </c>
      <c r="AI1269" s="590"/>
      <c r="AJ1269" s="590"/>
      <c r="AK1269" s="590"/>
      <c r="AL1269" s="591" t="s">
        <v>20345</v>
      </c>
      <c r="AM1269" s="591">
        <v>0</v>
      </c>
      <c r="AN1269" s="591">
        <v>0</v>
      </c>
      <c r="AO1269" s="591">
        <v>0</v>
      </c>
    </row>
    <row r="1270" spans="1:41" hidden="1">
      <c r="A1270" s="584">
        <v>113</v>
      </c>
      <c r="B1270" s="279" t="s">
        <v>125</v>
      </c>
      <c r="C1270" s="279">
        <v>0</v>
      </c>
      <c r="D1270" s="585" t="s">
        <v>19014</v>
      </c>
      <c r="E1270" s="279" t="s">
        <v>125</v>
      </c>
      <c r="F1270" s="53">
        <v>45070</v>
      </c>
      <c r="G1270" s="279">
        <v>2023</v>
      </c>
      <c r="H1270" s="586" t="s">
        <v>16957</v>
      </c>
      <c r="I1270" s="279" t="s">
        <v>16958</v>
      </c>
      <c r="J1270" s="279" t="s">
        <v>16401</v>
      </c>
      <c r="K1270" s="280">
        <v>53802.958299999998</v>
      </c>
      <c r="L1270" s="586">
        <v>3.0939999999999999</v>
      </c>
      <c r="M1270" s="587">
        <v>17389.45</v>
      </c>
      <c r="N1270" s="279" t="s">
        <v>20155</v>
      </c>
      <c r="O1270" s="279" t="s">
        <v>20161</v>
      </c>
      <c r="P1270" s="887">
        <v>45075</v>
      </c>
      <c r="Q1270" s="588">
        <v>20150</v>
      </c>
      <c r="R1270" s="588">
        <v>0</v>
      </c>
      <c r="S1270" s="588">
        <v>0</v>
      </c>
      <c r="T1270" s="588">
        <v>0</v>
      </c>
      <c r="U1270" s="588">
        <v>20150</v>
      </c>
      <c r="V1270" s="317"/>
      <c r="W1270" s="39">
        <v>53802.958299999998</v>
      </c>
      <c r="X1270" s="39">
        <v>0</v>
      </c>
      <c r="Y1270" s="39">
        <v>0</v>
      </c>
      <c r="Z1270" s="39">
        <v>0</v>
      </c>
      <c r="AA1270" s="589">
        <v>2.6701220000000001</v>
      </c>
      <c r="AB1270" s="589"/>
      <c r="AC1270" s="589"/>
      <c r="AD1270" s="589"/>
      <c r="AE1270" s="39">
        <v>0</v>
      </c>
      <c r="AF1270" s="39">
        <v>1988.9649999999999</v>
      </c>
      <c r="AG1270" s="39">
        <v>9.8707940446650114E-2</v>
      </c>
      <c r="AH1270" s="590">
        <v>2.5714140595533501</v>
      </c>
      <c r="AI1270" s="590"/>
      <c r="AJ1270" s="590"/>
      <c r="AK1270" s="590"/>
      <c r="AL1270" s="591" t="s">
        <v>20345</v>
      </c>
      <c r="AM1270" s="591">
        <v>0</v>
      </c>
      <c r="AN1270" s="591">
        <v>0</v>
      </c>
      <c r="AO1270" s="591">
        <v>0</v>
      </c>
    </row>
    <row r="1271" spans="1:41" hidden="1">
      <c r="A1271" s="584">
        <v>114</v>
      </c>
      <c r="B1271" s="279" t="s">
        <v>126</v>
      </c>
      <c r="C1271" s="279">
        <v>0</v>
      </c>
      <c r="D1271" s="585" t="s">
        <v>19015</v>
      </c>
      <c r="E1271" s="279" t="s">
        <v>126</v>
      </c>
      <c r="F1271" s="53">
        <v>45070</v>
      </c>
      <c r="G1271" s="279">
        <v>2023</v>
      </c>
      <c r="H1271" s="586" t="s">
        <v>16957</v>
      </c>
      <c r="I1271" s="279" t="s">
        <v>16958</v>
      </c>
      <c r="J1271" s="279" t="s">
        <v>16401</v>
      </c>
      <c r="K1271" s="280">
        <v>48566.053899999999</v>
      </c>
      <c r="L1271" s="586">
        <v>3.0939999999999999</v>
      </c>
      <c r="M1271" s="587">
        <v>15696.85</v>
      </c>
      <c r="N1271" s="279" t="s">
        <v>20155</v>
      </c>
      <c r="O1271" s="279" t="s">
        <v>20161</v>
      </c>
      <c r="P1271" s="887">
        <v>45099</v>
      </c>
      <c r="Q1271" s="588">
        <v>20150</v>
      </c>
      <c r="R1271" s="588">
        <v>0</v>
      </c>
      <c r="S1271" s="588">
        <v>0</v>
      </c>
      <c r="T1271" s="588">
        <v>0</v>
      </c>
      <c r="U1271" s="588">
        <v>20150</v>
      </c>
      <c r="V1271" s="317"/>
      <c r="W1271" s="39">
        <v>48566.053899999999</v>
      </c>
      <c r="X1271" s="39">
        <v>0</v>
      </c>
      <c r="Y1271" s="39">
        <v>0</v>
      </c>
      <c r="Z1271" s="39">
        <v>0</v>
      </c>
      <c r="AA1271" s="589">
        <v>2.4102259999999998</v>
      </c>
      <c r="AB1271" s="589"/>
      <c r="AC1271" s="589"/>
      <c r="AD1271" s="589"/>
      <c r="AE1271" s="39">
        <v>0</v>
      </c>
      <c r="AF1271" s="39">
        <v>1838.9649999999999</v>
      </c>
      <c r="AG1271" s="39">
        <v>9.1263771712158812E-2</v>
      </c>
      <c r="AH1271" s="590">
        <v>2.318962228287841</v>
      </c>
      <c r="AI1271" s="590"/>
      <c r="AJ1271" s="590"/>
      <c r="AK1271" s="590"/>
      <c r="AL1271" s="591" t="s">
        <v>20345</v>
      </c>
      <c r="AM1271" s="591">
        <v>0</v>
      </c>
      <c r="AN1271" s="591">
        <v>0</v>
      </c>
      <c r="AO1271" s="591">
        <v>0</v>
      </c>
    </row>
    <row r="1272" spans="1:41" hidden="1">
      <c r="A1272" s="584">
        <v>115</v>
      </c>
      <c r="B1272" s="279" t="s">
        <v>127</v>
      </c>
      <c r="C1272" s="279">
        <v>0</v>
      </c>
      <c r="D1272" s="585" t="s">
        <v>19016</v>
      </c>
      <c r="E1272" s="279" t="s">
        <v>127</v>
      </c>
      <c r="F1272" s="53">
        <v>45070</v>
      </c>
      <c r="G1272" s="279">
        <v>2023</v>
      </c>
      <c r="H1272" s="586" t="s">
        <v>17276</v>
      </c>
      <c r="I1272" s="279" t="s">
        <v>17277</v>
      </c>
      <c r="J1272" s="279" t="s">
        <v>16482</v>
      </c>
      <c r="K1272" s="280">
        <v>98185.544000000009</v>
      </c>
      <c r="L1272" s="586">
        <v>3.3515000000000001</v>
      </c>
      <c r="M1272" s="587">
        <v>29296</v>
      </c>
      <c r="N1272" s="279" t="s">
        <v>20155</v>
      </c>
      <c r="O1272" s="279" t="s">
        <v>20297</v>
      </c>
      <c r="P1272" s="887">
        <v>45092</v>
      </c>
      <c r="Q1272" s="588">
        <v>38400</v>
      </c>
      <c r="R1272" s="588">
        <v>0</v>
      </c>
      <c r="S1272" s="588">
        <v>0</v>
      </c>
      <c r="T1272" s="588">
        <v>0</v>
      </c>
      <c r="U1272" s="588">
        <v>38400</v>
      </c>
      <c r="V1272" s="317"/>
      <c r="W1272" s="39">
        <v>98185.54399999998</v>
      </c>
      <c r="X1272" s="39">
        <v>0</v>
      </c>
      <c r="Y1272" s="39">
        <v>0</v>
      </c>
      <c r="Z1272" s="39">
        <v>0</v>
      </c>
      <c r="AA1272" s="589">
        <v>2.5569152083333329</v>
      </c>
      <c r="AB1272" s="589"/>
      <c r="AC1272" s="589"/>
      <c r="AD1272" s="589"/>
      <c r="AE1272" s="39">
        <v>2804.01</v>
      </c>
      <c r="AF1272" s="39">
        <v>12597.39</v>
      </c>
      <c r="AG1272" s="39">
        <v>0.32805703124999996</v>
      </c>
      <c r="AH1272" s="590">
        <v>2.2288581770833327</v>
      </c>
      <c r="AI1272" s="590"/>
      <c r="AJ1272" s="590"/>
      <c r="AK1272" s="590"/>
      <c r="AL1272" s="591" t="s">
        <v>20345</v>
      </c>
      <c r="AM1272" s="591">
        <v>0</v>
      </c>
      <c r="AN1272" s="591">
        <v>0</v>
      </c>
      <c r="AO1272" s="591">
        <v>0</v>
      </c>
    </row>
    <row r="1273" spans="1:41" hidden="1">
      <c r="A1273" s="584">
        <v>116</v>
      </c>
      <c r="B1273" s="279" t="s">
        <v>128</v>
      </c>
      <c r="C1273" s="279">
        <v>0</v>
      </c>
      <c r="D1273" s="585" t="s">
        <v>19017</v>
      </c>
      <c r="E1273" s="279" t="s">
        <v>128</v>
      </c>
      <c r="F1273" s="53">
        <v>45077</v>
      </c>
      <c r="G1273" s="279">
        <v>2023</v>
      </c>
      <c r="H1273" s="586" t="s">
        <v>16444</v>
      </c>
      <c r="I1273" s="279" t="s">
        <v>16445</v>
      </c>
      <c r="J1273" s="279" t="s">
        <v>3</v>
      </c>
      <c r="K1273" s="280">
        <v>46895</v>
      </c>
      <c r="L1273" s="586">
        <v>1</v>
      </c>
      <c r="M1273" s="587">
        <v>46895</v>
      </c>
      <c r="N1273" s="279" t="s">
        <v>20155</v>
      </c>
      <c r="O1273" s="279" t="s">
        <v>17693</v>
      </c>
      <c r="P1273" s="887">
        <v>45082</v>
      </c>
      <c r="Q1273" s="588">
        <v>20750</v>
      </c>
      <c r="R1273" s="588">
        <v>0</v>
      </c>
      <c r="S1273" s="588">
        <v>0</v>
      </c>
      <c r="T1273" s="588">
        <v>0</v>
      </c>
      <c r="U1273" s="588">
        <v>20750</v>
      </c>
      <c r="V1273" s="317"/>
      <c r="W1273" s="39">
        <v>46895</v>
      </c>
      <c r="X1273" s="39">
        <v>0</v>
      </c>
      <c r="Y1273" s="39">
        <v>0</v>
      </c>
      <c r="Z1273" s="39">
        <v>0</v>
      </c>
      <c r="AA1273" s="589">
        <v>2.2599999999999998</v>
      </c>
      <c r="AB1273" s="589"/>
      <c r="AC1273" s="589"/>
      <c r="AD1273" s="589"/>
      <c r="AE1273" s="39">
        <v>0</v>
      </c>
      <c r="AF1273" s="39">
        <v>0</v>
      </c>
      <c r="AG1273" s="39">
        <v>0</v>
      </c>
      <c r="AH1273" s="590">
        <v>2.2599999999999998</v>
      </c>
      <c r="AI1273" s="590"/>
      <c r="AJ1273" s="590"/>
      <c r="AK1273" s="590"/>
      <c r="AL1273" s="591" t="s">
        <v>20345</v>
      </c>
      <c r="AM1273" s="591">
        <v>0</v>
      </c>
      <c r="AN1273" s="591">
        <v>0</v>
      </c>
      <c r="AO1273" s="591">
        <v>0</v>
      </c>
    </row>
    <row r="1274" spans="1:41" hidden="1">
      <c r="A1274" s="584">
        <v>117</v>
      </c>
      <c r="B1274" s="279" t="s">
        <v>129</v>
      </c>
      <c r="C1274" s="279">
        <v>0</v>
      </c>
      <c r="D1274" s="585" t="s">
        <v>19018</v>
      </c>
      <c r="E1274" s="279" t="s">
        <v>129</v>
      </c>
      <c r="F1274" s="53">
        <v>45077</v>
      </c>
      <c r="G1274" s="279">
        <v>2023</v>
      </c>
      <c r="H1274" s="586" t="s">
        <v>16444</v>
      </c>
      <c r="I1274" s="279" t="s">
        <v>16445</v>
      </c>
      <c r="J1274" s="279" t="s">
        <v>3</v>
      </c>
      <c r="K1274" s="280">
        <v>49579.92</v>
      </c>
      <c r="L1274" s="586">
        <v>1</v>
      </c>
      <c r="M1274" s="587">
        <v>49579.92</v>
      </c>
      <c r="N1274" s="279" t="s">
        <v>20155</v>
      </c>
      <c r="O1274" s="279" t="s">
        <v>20173</v>
      </c>
      <c r="P1274" s="887">
        <v>45082</v>
      </c>
      <c r="Q1274" s="588">
        <v>21600</v>
      </c>
      <c r="R1274" s="588">
        <v>0</v>
      </c>
      <c r="S1274" s="588">
        <v>0</v>
      </c>
      <c r="T1274" s="588">
        <v>0</v>
      </c>
      <c r="U1274" s="588">
        <v>21600</v>
      </c>
      <c r="V1274" s="317"/>
      <c r="W1274" s="39">
        <v>49579.92</v>
      </c>
      <c r="X1274" s="39">
        <v>0</v>
      </c>
      <c r="Y1274" s="39">
        <v>0</v>
      </c>
      <c r="Z1274" s="39">
        <v>0</v>
      </c>
      <c r="AA1274" s="589">
        <v>2.2953666666666668</v>
      </c>
      <c r="AB1274" s="589"/>
      <c r="AC1274" s="589"/>
      <c r="AD1274" s="589"/>
      <c r="AE1274" s="39">
        <v>0</v>
      </c>
      <c r="AF1274" s="39">
        <v>0</v>
      </c>
      <c r="AG1274" s="39">
        <v>0</v>
      </c>
      <c r="AH1274" s="590">
        <v>2.2953666666666668</v>
      </c>
      <c r="AI1274" s="590"/>
      <c r="AJ1274" s="590"/>
      <c r="AK1274" s="590"/>
      <c r="AL1274" s="591" t="s">
        <v>20345</v>
      </c>
      <c r="AM1274" s="591">
        <v>0</v>
      </c>
      <c r="AN1274" s="591">
        <v>0</v>
      </c>
      <c r="AO1274" s="591">
        <v>0</v>
      </c>
    </row>
    <row r="1275" spans="1:41" hidden="1">
      <c r="A1275" s="584">
        <v>118</v>
      </c>
      <c r="B1275" s="279" t="s">
        <v>130</v>
      </c>
      <c r="C1275" s="279">
        <v>0</v>
      </c>
      <c r="D1275" s="585" t="s">
        <v>19019</v>
      </c>
      <c r="E1275" s="279" t="s">
        <v>130</v>
      </c>
      <c r="F1275" s="53">
        <v>45078</v>
      </c>
      <c r="G1275" s="279">
        <v>2023</v>
      </c>
      <c r="H1275" s="586" t="s">
        <v>17344</v>
      </c>
      <c r="I1275" s="279" t="s">
        <v>17345</v>
      </c>
      <c r="J1275" s="279" t="s">
        <v>16401</v>
      </c>
      <c r="K1275" s="280">
        <v>198858.03750000001</v>
      </c>
      <c r="L1275" s="586">
        <v>3.1011000000000002</v>
      </c>
      <c r="M1275" s="587">
        <v>64125</v>
      </c>
      <c r="N1275" s="279" t="s">
        <v>20155</v>
      </c>
      <c r="O1275" s="279" t="s">
        <v>17689</v>
      </c>
      <c r="P1275" s="887">
        <v>45107</v>
      </c>
      <c r="Q1275" s="588">
        <v>0</v>
      </c>
      <c r="R1275" s="588">
        <v>48000</v>
      </c>
      <c r="S1275" s="588">
        <v>19500</v>
      </c>
      <c r="T1275" s="588">
        <v>0</v>
      </c>
      <c r="U1275" s="588">
        <v>67500</v>
      </c>
      <c r="V1275" s="317"/>
      <c r="W1275" s="39">
        <v>0</v>
      </c>
      <c r="X1275" s="39">
        <v>141410.16</v>
      </c>
      <c r="Y1275" s="39">
        <v>57447.877500000002</v>
      </c>
      <c r="Z1275" s="39">
        <v>0</v>
      </c>
      <c r="AA1275" s="589"/>
      <c r="AB1275" s="589">
        <v>2.9460450000000002</v>
      </c>
      <c r="AC1275" s="589">
        <v>2.9460450000000002</v>
      </c>
      <c r="AD1275" s="589"/>
      <c r="AE1275" s="39">
        <v>0</v>
      </c>
      <c r="AF1275" s="39">
        <v>3525.1</v>
      </c>
      <c r="AG1275" s="39">
        <v>5.2223703703703703E-2</v>
      </c>
      <c r="AH1275" s="590"/>
      <c r="AI1275" s="590">
        <v>2.8938212962962964</v>
      </c>
      <c r="AJ1275" s="590">
        <v>2.8938212962962964</v>
      </c>
      <c r="AK1275" s="590"/>
      <c r="AL1275" s="591">
        <v>0</v>
      </c>
      <c r="AM1275" s="591">
        <v>1</v>
      </c>
      <c r="AN1275" s="591">
        <v>1</v>
      </c>
      <c r="AO1275" s="591">
        <v>0</v>
      </c>
    </row>
    <row r="1276" spans="1:41" hidden="1">
      <c r="A1276" s="584">
        <v>119</v>
      </c>
      <c r="B1276" s="279" t="s">
        <v>131</v>
      </c>
      <c r="C1276" s="279">
        <v>0</v>
      </c>
      <c r="D1276" s="585" t="s">
        <v>19021</v>
      </c>
      <c r="E1276" s="279" t="s">
        <v>131</v>
      </c>
      <c r="F1276" s="53">
        <v>45083</v>
      </c>
      <c r="G1276" s="279">
        <v>2023</v>
      </c>
      <c r="H1276" s="586" t="s">
        <v>16560</v>
      </c>
      <c r="I1276" s="279" t="s">
        <v>16561</v>
      </c>
      <c r="J1276" s="279" t="s">
        <v>16482</v>
      </c>
      <c r="K1276" s="280">
        <v>206079.72</v>
      </c>
      <c r="L1276" s="586">
        <v>3.34545</v>
      </c>
      <c r="M1276" s="587">
        <v>61600</v>
      </c>
      <c r="N1276" s="279" t="s">
        <v>20155</v>
      </c>
      <c r="O1276" s="279" t="s">
        <v>17801</v>
      </c>
      <c r="P1276" s="887">
        <v>45091</v>
      </c>
      <c r="Q1276" s="588">
        <v>0</v>
      </c>
      <c r="R1276" s="588">
        <v>0</v>
      </c>
      <c r="S1276" s="588">
        <v>110000</v>
      </c>
      <c r="T1276" s="588">
        <v>0</v>
      </c>
      <c r="U1276" s="588">
        <v>110000</v>
      </c>
      <c r="V1276" s="317"/>
      <c r="W1276" s="39">
        <v>0</v>
      </c>
      <c r="X1276" s="39">
        <v>0</v>
      </c>
      <c r="Y1276" s="39">
        <v>206079.72</v>
      </c>
      <c r="Z1276" s="39">
        <v>0</v>
      </c>
      <c r="AA1276" s="589"/>
      <c r="AB1276" s="589"/>
      <c r="AC1276" s="589">
        <v>1.8734520000000001</v>
      </c>
      <c r="AD1276" s="589"/>
      <c r="AE1276" s="39">
        <v>5481.3275999999996</v>
      </c>
      <c r="AF1276" s="39">
        <v>23830.092000000001</v>
      </c>
      <c r="AG1276" s="39">
        <v>0.2166372</v>
      </c>
      <c r="AH1276" s="590"/>
      <c r="AI1276" s="590"/>
      <c r="AJ1276" s="590">
        <v>1.6568148</v>
      </c>
      <c r="AK1276" s="590"/>
      <c r="AL1276" s="591">
        <v>0</v>
      </c>
      <c r="AM1276" s="591">
        <v>0</v>
      </c>
      <c r="AN1276" s="591" t="s">
        <v>20347</v>
      </c>
      <c r="AO1276" s="591">
        <v>0</v>
      </c>
    </row>
    <row r="1277" spans="1:41" hidden="1">
      <c r="A1277" s="584">
        <v>120</v>
      </c>
      <c r="B1277" s="279" t="s">
        <v>132</v>
      </c>
      <c r="C1277" s="279">
        <v>0</v>
      </c>
      <c r="D1277" s="585" t="s">
        <v>19022</v>
      </c>
      <c r="E1277" s="279" t="s">
        <v>132</v>
      </c>
      <c r="F1277" s="53">
        <v>45083</v>
      </c>
      <c r="G1277" s="279">
        <v>2023</v>
      </c>
      <c r="H1277" s="586" t="s">
        <v>16560</v>
      </c>
      <c r="I1277" s="279" t="s">
        <v>16561</v>
      </c>
      <c r="J1277" s="279" t="s">
        <v>16482</v>
      </c>
      <c r="K1277" s="280">
        <v>206147.48</v>
      </c>
      <c r="L1277" s="586">
        <v>3.3465500000000001</v>
      </c>
      <c r="M1277" s="587">
        <v>61600</v>
      </c>
      <c r="N1277" s="279" t="s">
        <v>20155</v>
      </c>
      <c r="O1277" s="279" t="s">
        <v>17801</v>
      </c>
      <c r="P1277" s="887">
        <v>45092</v>
      </c>
      <c r="Q1277" s="588">
        <v>0</v>
      </c>
      <c r="R1277" s="588">
        <v>0</v>
      </c>
      <c r="S1277" s="588">
        <v>110000</v>
      </c>
      <c r="T1277" s="588">
        <v>0</v>
      </c>
      <c r="U1277" s="588">
        <v>110000</v>
      </c>
      <c r="V1277" s="317"/>
      <c r="W1277" s="39">
        <v>0</v>
      </c>
      <c r="X1277" s="39">
        <v>0</v>
      </c>
      <c r="Y1277" s="39">
        <v>206147.47999999995</v>
      </c>
      <c r="Z1277" s="39">
        <v>0</v>
      </c>
      <c r="AA1277" s="589"/>
      <c r="AB1277" s="589"/>
      <c r="AC1277" s="589">
        <v>1.8740679999999996</v>
      </c>
      <c r="AD1277" s="589"/>
      <c r="AE1277" s="39">
        <v>5481.3275999999996</v>
      </c>
      <c r="AF1277" s="39">
        <v>23754.912</v>
      </c>
      <c r="AG1277" s="39">
        <v>0.21595374545454546</v>
      </c>
      <c r="AH1277" s="590"/>
      <c r="AI1277" s="590"/>
      <c r="AJ1277" s="590">
        <v>1.6581142545454541</v>
      </c>
      <c r="AK1277" s="590"/>
      <c r="AL1277" s="591">
        <v>0</v>
      </c>
      <c r="AM1277" s="591">
        <v>0</v>
      </c>
      <c r="AN1277" s="591" t="s">
        <v>20347</v>
      </c>
      <c r="AO1277" s="591">
        <v>0</v>
      </c>
    </row>
    <row r="1278" spans="1:41" hidden="1">
      <c r="A1278" s="584">
        <v>121</v>
      </c>
      <c r="B1278" s="279" t="s">
        <v>133</v>
      </c>
      <c r="C1278" s="279">
        <v>0</v>
      </c>
      <c r="D1278" s="585" t="s">
        <v>19023</v>
      </c>
      <c r="E1278" s="279" t="s">
        <v>133</v>
      </c>
      <c r="F1278" s="53">
        <v>45083</v>
      </c>
      <c r="G1278" s="279">
        <v>2023</v>
      </c>
      <c r="H1278" s="586" t="s">
        <v>16560</v>
      </c>
      <c r="I1278" s="279" t="s">
        <v>16561</v>
      </c>
      <c r="J1278" s="279" t="s">
        <v>16482</v>
      </c>
      <c r="K1278" s="280">
        <v>206147.48</v>
      </c>
      <c r="L1278" s="586">
        <v>3.3465500000000001</v>
      </c>
      <c r="M1278" s="587">
        <v>61600</v>
      </c>
      <c r="N1278" s="279" t="s">
        <v>20155</v>
      </c>
      <c r="O1278" s="279" t="s">
        <v>17801</v>
      </c>
      <c r="P1278" s="887">
        <v>45093</v>
      </c>
      <c r="Q1278" s="588">
        <v>0</v>
      </c>
      <c r="R1278" s="588">
        <v>0</v>
      </c>
      <c r="S1278" s="588">
        <v>110000</v>
      </c>
      <c r="T1278" s="588">
        <v>0</v>
      </c>
      <c r="U1278" s="588">
        <v>110000</v>
      </c>
      <c r="V1278" s="317"/>
      <c r="W1278" s="39">
        <v>0</v>
      </c>
      <c r="X1278" s="39">
        <v>0</v>
      </c>
      <c r="Y1278" s="39">
        <v>206147.47999999995</v>
      </c>
      <c r="Z1278" s="39">
        <v>0</v>
      </c>
      <c r="AA1278" s="589"/>
      <c r="AB1278" s="589"/>
      <c r="AC1278" s="589">
        <v>1.8740679999999996</v>
      </c>
      <c r="AD1278" s="589"/>
      <c r="AE1278" s="39">
        <v>5481.3275999999996</v>
      </c>
      <c r="AF1278" s="39">
        <v>23800.691999999999</v>
      </c>
      <c r="AG1278" s="39">
        <v>0.21636992727272727</v>
      </c>
      <c r="AH1278" s="590"/>
      <c r="AI1278" s="590"/>
      <c r="AJ1278" s="590">
        <v>1.6576980727272723</v>
      </c>
      <c r="AK1278" s="590"/>
      <c r="AL1278" s="591">
        <v>0</v>
      </c>
      <c r="AM1278" s="591">
        <v>0</v>
      </c>
      <c r="AN1278" s="591" t="s">
        <v>20347</v>
      </c>
      <c r="AO1278" s="591">
        <v>0</v>
      </c>
    </row>
    <row r="1279" spans="1:41" hidden="1">
      <c r="A1279" s="584">
        <v>122</v>
      </c>
      <c r="B1279" s="279" t="s">
        <v>134</v>
      </c>
      <c r="C1279" s="279">
        <v>0</v>
      </c>
      <c r="D1279" s="585" t="s">
        <v>19024</v>
      </c>
      <c r="E1279" s="279" t="s">
        <v>134</v>
      </c>
      <c r="F1279" s="53">
        <v>45083</v>
      </c>
      <c r="G1279" s="279">
        <v>2023</v>
      </c>
      <c r="H1279" s="586" t="s">
        <v>17342</v>
      </c>
      <c r="I1279" s="279" t="s">
        <v>17343</v>
      </c>
      <c r="J1279" s="279" t="s">
        <v>16482</v>
      </c>
      <c r="K1279" s="280">
        <v>20823.206399999999</v>
      </c>
      <c r="L1279" s="586">
        <v>3.335</v>
      </c>
      <c r="M1279" s="587">
        <v>6243.84</v>
      </c>
      <c r="N1279" s="279" t="s">
        <v>20155</v>
      </c>
      <c r="O1279" s="279" t="s">
        <v>16394</v>
      </c>
      <c r="P1279" s="887">
        <v>45086</v>
      </c>
      <c r="Q1279" s="588">
        <v>0</v>
      </c>
      <c r="R1279" s="588">
        <v>15696</v>
      </c>
      <c r="S1279" s="588">
        <v>1200</v>
      </c>
      <c r="T1279" s="588">
        <v>0</v>
      </c>
      <c r="U1279" s="588">
        <v>16896</v>
      </c>
      <c r="V1279" s="317"/>
      <c r="W1279" s="39">
        <v>0</v>
      </c>
      <c r="X1279" s="39">
        <v>19360.657309090908</v>
      </c>
      <c r="Y1279" s="39">
        <v>1462.5490909090909</v>
      </c>
      <c r="Z1279" s="39">
        <v>0</v>
      </c>
      <c r="AA1279" s="589"/>
      <c r="AB1279" s="589">
        <v>1.2334771476230191</v>
      </c>
      <c r="AC1279" s="589">
        <v>1.218790909090909</v>
      </c>
      <c r="AD1279" s="589"/>
      <c r="AE1279" s="39">
        <v>1245.1949999999999</v>
      </c>
      <c r="AF1279" s="39">
        <v>9716</v>
      </c>
      <c r="AG1279" s="39">
        <v>0.57504734848484851</v>
      </c>
      <c r="AH1279" s="590"/>
      <c r="AI1279" s="590">
        <v>0.65842979913817057</v>
      </c>
      <c r="AJ1279" s="590">
        <v>0.64374356060606053</v>
      </c>
      <c r="AK1279" s="590"/>
      <c r="AL1279" s="591">
        <v>0</v>
      </c>
      <c r="AM1279" s="591">
        <v>1</v>
      </c>
      <c r="AN1279" s="591">
        <v>1</v>
      </c>
      <c r="AO1279" s="591">
        <v>0</v>
      </c>
    </row>
    <row r="1280" spans="1:41" hidden="1">
      <c r="A1280" s="584">
        <v>123</v>
      </c>
      <c r="B1280" s="279" t="s">
        <v>135</v>
      </c>
      <c r="C1280" s="279">
        <v>0</v>
      </c>
      <c r="D1280" s="585" t="s">
        <v>19025</v>
      </c>
      <c r="E1280" s="279" t="s">
        <v>135</v>
      </c>
      <c r="F1280" s="53">
        <v>45085</v>
      </c>
      <c r="G1280" s="279">
        <v>2023</v>
      </c>
      <c r="H1280" s="586" t="s">
        <v>16560</v>
      </c>
      <c r="I1280" s="279" t="s">
        <v>16561</v>
      </c>
      <c r="J1280" s="279" t="s">
        <v>16482</v>
      </c>
      <c r="K1280" s="280">
        <v>199850.304</v>
      </c>
      <c r="L1280" s="586">
        <v>3.3576999999999999</v>
      </c>
      <c r="M1280" s="587">
        <v>59520</v>
      </c>
      <c r="N1280" s="279" t="s">
        <v>20155</v>
      </c>
      <c r="O1280" s="279" t="s">
        <v>17801</v>
      </c>
      <c r="P1280" s="887">
        <v>45090</v>
      </c>
      <c r="Q1280" s="588">
        <v>0</v>
      </c>
      <c r="R1280" s="588">
        <v>99200</v>
      </c>
      <c r="S1280" s="588">
        <v>0</v>
      </c>
      <c r="T1280" s="588">
        <v>0</v>
      </c>
      <c r="U1280" s="588">
        <v>99200</v>
      </c>
      <c r="V1280" s="317"/>
      <c r="W1280" s="39">
        <v>0</v>
      </c>
      <c r="X1280" s="39">
        <v>199850.30399999997</v>
      </c>
      <c r="Y1280" s="39">
        <v>0</v>
      </c>
      <c r="Z1280" s="39">
        <v>0</v>
      </c>
      <c r="AA1280" s="589"/>
      <c r="AB1280" s="589">
        <v>2.0146199999999999</v>
      </c>
      <c r="AC1280" s="589"/>
      <c r="AD1280" s="589"/>
      <c r="AE1280" s="39">
        <v>8347.7855999999992</v>
      </c>
      <c r="AF1280" s="39">
        <v>33674.951999999997</v>
      </c>
      <c r="AG1280" s="39">
        <v>0.33946524193548383</v>
      </c>
      <c r="AH1280" s="590"/>
      <c r="AI1280" s="590">
        <v>1.6751547580645161</v>
      </c>
      <c r="AJ1280" s="590"/>
      <c r="AK1280" s="590"/>
      <c r="AL1280" s="591">
        <v>0</v>
      </c>
      <c r="AM1280" s="591" t="s">
        <v>20347</v>
      </c>
      <c r="AN1280" s="591">
        <v>0</v>
      </c>
      <c r="AO1280" s="591">
        <v>0</v>
      </c>
    </row>
    <row r="1281" spans="1:41" hidden="1">
      <c r="A1281" s="584">
        <v>124</v>
      </c>
      <c r="B1281" s="279" t="s">
        <v>136</v>
      </c>
      <c r="C1281" s="279">
        <v>0</v>
      </c>
      <c r="D1281" s="585" t="s">
        <v>19026</v>
      </c>
      <c r="E1281" s="279" t="s">
        <v>136</v>
      </c>
      <c r="F1281" s="53">
        <v>45086</v>
      </c>
      <c r="G1281" s="279">
        <v>2023</v>
      </c>
      <c r="H1281" s="586" t="s">
        <v>16444</v>
      </c>
      <c r="I1281" s="279" t="s">
        <v>16445</v>
      </c>
      <c r="J1281" s="279" t="s">
        <v>3</v>
      </c>
      <c r="K1281" s="280">
        <v>42240</v>
      </c>
      <c r="L1281" s="586">
        <v>1</v>
      </c>
      <c r="M1281" s="587">
        <v>42240</v>
      </c>
      <c r="N1281" s="279" t="s">
        <v>20155</v>
      </c>
      <c r="O1281" s="279" t="s">
        <v>17965</v>
      </c>
      <c r="P1281" s="887">
        <v>45100</v>
      </c>
      <c r="Q1281" s="588">
        <v>19200</v>
      </c>
      <c r="R1281" s="588">
        <v>0</v>
      </c>
      <c r="S1281" s="588">
        <v>0</v>
      </c>
      <c r="T1281" s="588">
        <v>0</v>
      </c>
      <c r="U1281" s="588">
        <v>19200</v>
      </c>
      <c r="V1281" s="317"/>
      <c r="W1281" s="39">
        <v>42240</v>
      </c>
      <c r="X1281" s="39">
        <v>0</v>
      </c>
      <c r="Y1281" s="39">
        <v>0</v>
      </c>
      <c r="Z1281" s="39">
        <v>0</v>
      </c>
      <c r="AA1281" s="589">
        <v>2.2000000000000002</v>
      </c>
      <c r="AB1281" s="589"/>
      <c r="AC1281" s="589"/>
      <c r="AD1281" s="589"/>
      <c r="AE1281" s="39">
        <v>0</v>
      </c>
      <c r="AF1281" s="39">
        <v>0</v>
      </c>
      <c r="AG1281" s="39">
        <v>0</v>
      </c>
      <c r="AH1281" s="590">
        <v>2.2000000000000002</v>
      </c>
      <c r="AI1281" s="590"/>
      <c r="AJ1281" s="590"/>
      <c r="AK1281" s="590"/>
      <c r="AL1281" s="591" t="s">
        <v>20345</v>
      </c>
      <c r="AM1281" s="591">
        <v>0</v>
      </c>
      <c r="AN1281" s="591">
        <v>0</v>
      </c>
      <c r="AO1281" s="591">
        <v>0</v>
      </c>
    </row>
    <row r="1282" spans="1:41" hidden="1">
      <c r="A1282" s="584">
        <v>125</v>
      </c>
      <c r="B1282" s="279" t="s">
        <v>137</v>
      </c>
      <c r="C1282" s="279">
        <v>0</v>
      </c>
      <c r="D1282" s="585" t="s">
        <v>19027</v>
      </c>
      <c r="E1282" s="279" t="s">
        <v>137</v>
      </c>
      <c r="F1282" s="53">
        <v>45087</v>
      </c>
      <c r="G1282" s="279">
        <v>2023</v>
      </c>
      <c r="H1282" s="586" t="s">
        <v>16444</v>
      </c>
      <c r="I1282" s="279" t="s">
        <v>16445</v>
      </c>
      <c r="J1282" s="279" t="s">
        <v>3</v>
      </c>
      <c r="K1282" s="280">
        <v>47317.2</v>
      </c>
      <c r="L1282" s="586">
        <v>1</v>
      </c>
      <c r="M1282" s="587">
        <v>47317.2</v>
      </c>
      <c r="N1282" s="279" t="s">
        <v>20155</v>
      </c>
      <c r="O1282" s="279" t="s">
        <v>17949</v>
      </c>
      <c r="P1282" s="887">
        <v>45096</v>
      </c>
      <c r="Q1282" s="588">
        <v>22008</v>
      </c>
      <c r="R1282" s="588">
        <v>0</v>
      </c>
      <c r="S1282" s="588">
        <v>0</v>
      </c>
      <c r="T1282" s="588">
        <v>0</v>
      </c>
      <c r="U1282" s="588">
        <v>22008</v>
      </c>
      <c r="V1282" s="317"/>
      <c r="W1282" s="39">
        <v>47317.2</v>
      </c>
      <c r="X1282" s="39">
        <v>0</v>
      </c>
      <c r="Y1282" s="39">
        <v>0</v>
      </c>
      <c r="Z1282" s="39">
        <v>0</v>
      </c>
      <c r="AA1282" s="589">
        <v>2.15</v>
      </c>
      <c r="AB1282" s="589"/>
      <c r="AC1282" s="589"/>
      <c r="AD1282" s="589"/>
      <c r="AE1282" s="39">
        <v>0</v>
      </c>
      <c r="AF1282" s="39">
        <v>0</v>
      </c>
      <c r="AG1282" s="39">
        <v>0</v>
      </c>
      <c r="AH1282" s="590">
        <v>2.15</v>
      </c>
      <c r="AI1282" s="590"/>
      <c r="AJ1282" s="590"/>
      <c r="AK1282" s="590"/>
      <c r="AL1282" s="591" t="s">
        <v>20345</v>
      </c>
      <c r="AM1282" s="591">
        <v>0</v>
      </c>
      <c r="AN1282" s="591">
        <v>0</v>
      </c>
      <c r="AO1282" s="591">
        <v>0</v>
      </c>
    </row>
    <row r="1283" spans="1:41" hidden="1">
      <c r="A1283" s="584">
        <v>126</v>
      </c>
      <c r="B1283" s="279" t="s">
        <v>138</v>
      </c>
      <c r="C1283" s="279">
        <v>0</v>
      </c>
      <c r="D1283" s="585" t="s">
        <v>19028</v>
      </c>
      <c r="E1283" s="279" t="s">
        <v>138</v>
      </c>
      <c r="F1283" s="53">
        <v>45089</v>
      </c>
      <c r="G1283" s="279">
        <v>2023</v>
      </c>
      <c r="H1283" s="586" t="s">
        <v>17248</v>
      </c>
      <c r="I1283" s="279" t="s">
        <v>17249</v>
      </c>
      <c r="J1283" s="279" t="s">
        <v>16401</v>
      </c>
      <c r="K1283" s="280">
        <v>179908.641906</v>
      </c>
      <c r="L1283" s="586">
        <v>3.1011000000000002</v>
      </c>
      <c r="M1283" s="587">
        <v>58014.46</v>
      </c>
      <c r="N1283" s="279" t="s">
        <v>20155</v>
      </c>
      <c r="O1283" s="279" t="s">
        <v>17954</v>
      </c>
      <c r="P1283" s="887">
        <v>45101</v>
      </c>
      <c r="Q1283" s="588">
        <v>6000</v>
      </c>
      <c r="R1283" s="588">
        <v>46867</v>
      </c>
      <c r="S1283" s="588">
        <v>0</v>
      </c>
      <c r="T1283" s="588">
        <v>0</v>
      </c>
      <c r="U1283" s="588">
        <v>52867</v>
      </c>
      <c r="V1283" s="317"/>
      <c r="W1283" s="39">
        <v>20828.5730224904</v>
      </c>
      <c r="X1283" s="39">
        <v>159100.35007750962</v>
      </c>
      <c r="Y1283" s="39">
        <v>0</v>
      </c>
      <c r="Z1283" s="39">
        <v>0</v>
      </c>
      <c r="AA1283" s="589">
        <v>3.4714288370817332</v>
      </c>
      <c r="AB1283" s="589">
        <v>3.3947201672287455</v>
      </c>
      <c r="AC1283" s="589"/>
      <c r="AD1283" s="589"/>
      <c r="AE1283" s="39">
        <v>6731.7120000000004</v>
      </c>
      <c r="AF1283" s="39">
        <v>42099.040000000001</v>
      </c>
      <c r="AG1283" s="39">
        <v>0.79631982143870472</v>
      </c>
      <c r="AH1283" s="590">
        <v>2.6751090156430286</v>
      </c>
      <c r="AI1283" s="590">
        <v>2.5984003457900409</v>
      </c>
      <c r="AJ1283" s="590"/>
      <c r="AK1283" s="590"/>
      <c r="AL1283" s="591">
        <v>1</v>
      </c>
      <c r="AM1283" s="591" t="s">
        <v>20356</v>
      </c>
      <c r="AN1283" s="591">
        <v>0</v>
      </c>
      <c r="AO1283" s="591">
        <v>0</v>
      </c>
    </row>
    <row r="1284" spans="1:41" hidden="1">
      <c r="A1284" s="584">
        <v>127</v>
      </c>
      <c r="B1284" s="279" t="s">
        <v>139</v>
      </c>
      <c r="C1284" s="279">
        <v>0</v>
      </c>
      <c r="D1284" s="585" t="s">
        <v>19029</v>
      </c>
      <c r="E1284" s="279" t="s">
        <v>139</v>
      </c>
      <c r="F1284" s="53">
        <v>45089</v>
      </c>
      <c r="G1284" s="279">
        <v>2023</v>
      </c>
      <c r="H1284" s="586" t="s">
        <v>17209</v>
      </c>
      <c r="I1284" s="279" t="s">
        <v>17210</v>
      </c>
      <c r="J1284" s="279" t="s">
        <v>16401</v>
      </c>
      <c r="K1284" s="280">
        <v>56062.70304</v>
      </c>
      <c r="L1284" s="586">
        <v>3.0833499999999998</v>
      </c>
      <c r="M1284" s="587">
        <v>18182.400000000001</v>
      </c>
      <c r="N1284" s="279" t="s">
        <v>20155</v>
      </c>
      <c r="O1284" s="279" t="s">
        <v>20168</v>
      </c>
      <c r="P1284" s="887">
        <v>45099</v>
      </c>
      <c r="Q1284" s="588">
        <v>7800</v>
      </c>
      <c r="R1284" s="588">
        <v>7200</v>
      </c>
      <c r="S1284" s="588">
        <v>3360</v>
      </c>
      <c r="T1284" s="588">
        <v>0</v>
      </c>
      <c r="U1284" s="588">
        <v>18360</v>
      </c>
      <c r="V1284" s="317"/>
      <c r="W1284" s="39">
        <v>21946.922552941174</v>
      </c>
      <c r="X1284" s="39">
        <v>23366.714541176465</v>
      </c>
      <c r="Y1284" s="39">
        <v>10749.065945882352</v>
      </c>
      <c r="Z1284" s="39">
        <v>0</v>
      </c>
      <c r="AA1284" s="589">
        <v>2.813708019607843</v>
      </c>
      <c r="AB1284" s="589">
        <v>3.2453770196078424</v>
      </c>
      <c r="AC1284" s="589">
        <v>3.1991267696078429</v>
      </c>
      <c r="AD1284" s="589"/>
      <c r="AE1284" s="39">
        <v>1169.73</v>
      </c>
      <c r="AF1284" s="39">
        <v>8183.45</v>
      </c>
      <c r="AG1284" s="39">
        <v>0.44572167755991282</v>
      </c>
      <c r="AH1284" s="590">
        <v>2.3679863420479301</v>
      </c>
      <c r="AI1284" s="590">
        <v>2.7996553420479295</v>
      </c>
      <c r="AJ1284" s="590">
        <v>2.75340509204793</v>
      </c>
      <c r="AK1284" s="590"/>
      <c r="AL1284" s="591">
        <v>1</v>
      </c>
      <c r="AM1284" s="591">
        <v>1</v>
      </c>
      <c r="AN1284" s="591">
        <v>1</v>
      </c>
      <c r="AO1284" s="591">
        <v>0</v>
      </c>
    </row>
    <row r="1285" spans="1:41" hidden="1">
      <c r="A1285" s="584">
        <v>128</v>
      </c>
      <c r="B1285" s="279" t="s">
        <v>140</v>
      </c>
      <c r="C1285" s="279">
        <v>0</v>
      </c>
      <c r="D1285" s="585" t="s">
        <v>19030</v>
      </c>
      <c r="E1285" s="279" t="s">
        <v>140</v>
      </c>
      <c r="F1285" s="53">
        <v>45089</v>
      </c>
      <c r="G1285" s="279">
        <v>2023</v>
      </c>
      <c r="H1285" s="586" t="s">
        <v>16823</v>
      </c>
      <c r="I1285" s="279" t="s">
        <v>16824</v>
      </c>
      <c r="J1285" s="279" t="s">
        <v>16401</v>
      </c>
      <c r="K1285" s="280">
        <v>123503.16816</v>
      </c>
      <c r="L1285" s="586">
        <v>3.1011000000000002</v>
      </c>
      <c r="M1285" s="587">
        <v>39825.599999999999</v>
      </c>
      <c r="N1285" s="279" t="s">
        <v>20155</v>
      </c>
      <c r="O1285" s="279" t="s">
        <v>17965</v>
      </c>
      <c r="P1285" s="887">
        <v>45107</v>
      </c>
      <c r="Q1285" s="588">
        <v>8160</v>
      </c>
      <c r="R1285" s="588">
        <v>41280</v>
      </c>
      <c r="S1285" s="588">
        <v>0</v>
      </c>
      <c r="T1285" s="588">
        <v>0</v>
      </c>
      <c r="U1285" s="588">
        <v>49440</v>
      </c>
      <c r="V1285" s="317"/>
      <c r="W1285" s="39">
        <v>22285.576436504856</v>
      </c>
      <c r="X1285" s="39">
        <v>101217.59172349515</v>
      </c>
      <c r="Y1285" s="39">
        <v>0</v>
      </c>
      <c r="Z1285" s="39">
        <v>0</v>
      </c>
      <c r="AA1285" s="589">
        <v>2.7310755436893208</v>
      </c>
      <c r="AB1285" s="589">
        <v>2.4519765436893204</v>
      </c>
      <c r="AC1285" s="589"/>
      <c r="AD1285" s="589"/>
      <c r="AE1285" s="39">
        <v>3065.7384000000002</v>
      </c>
      <c r="AF1285" s="39">
        <v>12984.503000000001</v>
      </c>
      <c r="AG1285" s="39">
        <v>0.26263153317152105</v>
      </c>
      <c r="AH1285" s="590">
        <v>2.4684440105177998</v>
      </c>
      <c r="AI1285" s="590">
        <v>2.1893450105177994</v>
      </c>
      <c r="AJ1285" s="590"/>
      <c r="AK1285" s="590"/>
      <c r="AL1285" s="591" t="s">
        <v>20345</v>
      </c>
      <c r="AM1285" s="591" t="s">
        <v>20348</v>
      </c>
      <c r="AN1285" s="591">
        <v>0</v>
      </c>
      <c r="AO1285" s="591">
        <v>0</v>
      </c>
    </row>
    <row r="1286" spans="1:41" hidden="1">
      <c r="A1286" s="584">
        <v>129</v>
      </c>
      <c r="B1286" s="279" t="s">
        <v>141</v>
      </c>
      <c r="C1286" s="279">
        <v>0</v>
      </c>
      <c r="D1286" s="585" t="s">
        <v>19031</v>
      </c>
      <c r="E1286" s="279" t="s">
        <v>141</v>
      </c>
      <c r="F1286" s="53">
        <v>45089</v>
      </c>
      <c r="G1286" s="279">
        <v>2023</v>
      </c>
      <c r="H1286" s="586" t="s">
        <v>16560</v>
      </c>
      <c r="I1286" s="279" t="s">
        <v>16561</v>
      </c>
      <c r="J1286" s="279" t="s">
        <v>16482</v>
      </c>
      <c r="K1286" s="280">
        <v>206834.32</v>
      </c>
      <c r="L1286" s="586">
        <v>3.3576999999999999</v>
      </c>
      <c r="M1286" s="587">
        <v>61600</v>
      </c>
      <c r="N1286" s="279" t="s">
        <v>20155</v>
      </c>
      <c r="O1286" s="279" t="s">
        <v>17801</v>
      </c>
      <c r="P1286" s="887">
        <v>45097</v>
      </c>
      <c r="Q1286" s="588">
        <v>0</v>
      </c>
      <c r="R1286" s="588">
        <v>0</v>
      </c>
      <c r="S1286" s="588">
        <v>110000</v>
      </c>
      <c r="T1286" s="588">
        <v>0</v>
      </c>
      <c r="U1286" s="588">
        <v>110000</v>
      </c>
      <c r="V1286" s="317"/>
      <c r="W1286" s="39">
        <v>0</v>
      </c>
      <c r="X1286" s="39">
        <v>0</v>
      </c>
      <c r="Y1286" s="39">
        <v>206834.32</v>
      </c>
      <c r="Z1286" s="39">
        <v>0</v>
      </c>
      <c r="AA1286" s="589"/>
      <c r="AB1286" s="589"/>
      <c r="AC1286" s="589">
        <v>1.880312</v>
      </c>
      <c r="AD1286" s="589"/>
      <c r="AE1286" s="39">
        <v>5490.8964000000005</v>
      </c>
      <c r="AF1286" s="39">
        <v>24396.974999999999</v>
      </c>
      <c r="AG1286" s="39">
        <v>0.22179068181818182</v>
      </c>
      <c r="AH1286" s="590"/>
      <c r="AI1286" s="590"/>
      <c r="AJ1286" s="590">
        <v>1.6585213181818181</v>
      </c>
      <c r="AK1286" s="590"/>
      <c r="AL1286" s="591">
        <v>0</v>
      </c>
      <c r="AM1286" s="591">
        <v>0</v>
      </c>
      <c r="AN1286" s="591" t="s">
        <v>20347</v>
      </c>
      <c r="AO1286" s="591">
        <v>0</v>
      </c>
    </row>
    <row r="1287" spans="1:41" hidden="1">
      <c r="A1287" s="584">
        <v>130</v>
      </c>
      <c r="B1287" s="279" t="s">
        <v>142</v>
      </c>
      <c r="C1287" s="279">
        <v>0</v>
      </c>
      <c r="D1287" s="585" t="s">
        <v>19032</v>
      </c>
      <c r="E1287" s="279" t="s">
        <v>142</v>
      </c>
      <c r="F1287" s="53">
        <v>45089</v>
      </c>
      <c r="G1287" s="279">
        <v>2023</v>
      </c>
      <c r="H1287" s="586" t="s">
        <v>16560</v>
      </c>
      <c r="I1287" s="279" t="s">
        <v>16561</v>
      </c>
      <c r="J1287" s="279" t="s">
        <v>16482</v>
      </c>
      <c r="K1287" s="280">
        <v>207662.84</v>
      </c>
      <c r="L1287" s="586">
        <v>3.3711500000000001</v>
      </c>
      <c r="M1287" s="587">
        <v>61600</v>
      </c>
      <c r="N1287" s="279" t="s">
        <v>20155</v>
      </c>
      <c r="O1287" s="279" t="s">
        <v>17801</v>
      </c>
      <c r="P1287" s="887">
        <v>45098</v>
      </c>
      <c r="Q1287" s="588">
        <v>0</v>
      </c>
      <c r="R1287" s="588">
        <v>0</v>
      </c>
      <c r="S1287" s="588">
        <v>110000</v>
      </c>
      <c r="T1287" s="588">
        <v>0</v>
      </c>
      <c r="U1287" s="588">
        <v>110000</v>
      </c>
      <c r="V1287" s="317"/>
      <c r="W1287" s="39">
        <v>0</v>
      </c>
      <c r="X1287" s="39">
        <v>0</v>
      </c>
      <c r="Y1287" s="39">
        <v>207662.84</v>
      </c>
      <c r="Z1287" s="39">
        <v>0</v>
      </c>
      <c r="AA1287" s="589"/>
      <c r="AB1287" s="589"/>
      <c r="AC1287" s="589">
        <v>1.8878440000000001</v>
      </c>
      <c r="AD1287" s="589"/>
      <c r="AE1287" s="39">
        <v>5490.8964000000005</v>
      </c>
      <c r="AF1287" s="39">
        <v>24434.315999999999</v>
      </c>
      <c r="AG1287" s="39">
        <v>0.22213014545454546</v>
      </c>
      <c r="AH1287" s="590"/>
      <c r="AI1287" s="590"/>
      <c r="AJ1287" s="590">
        <v>1.6657138545454546</v>
      </c>
      <c r="AK1287" s="590"/>
      <c r="AL1287" s="591">
        <v>0</v>
      </c>
      <c r="AM1287" s="591">
        <v>0</v>
      </c>
      <c r="AN1287" s="591" t="s">
        <v>20347</v>
      </c>
      <c r="AO1287" s="591">
        <v>0</v>
      </c>
    </row>
    <row r="1288" spans="1:41" hidden="1">
      <c r="A1288" s="584">
        <v>131</v>
      </c>
      <c r="B1288" s="279" t="s">
        <v>143</v>
      </c>
      <c r="C1288" s="279">
        <v>0</v>
      </c>
      <c r="D1288" s="585" t="s">
        <v>19033</v>
      </c>
      <c r="E1288" s="279" t="s">
        <v>143</v>
      </c>
      <c r="F1288" s="53">
        <v>45089</v>
      </c>
      <c r="G1288" s="279">
        <v>2023</v>
      </c>
      <c r="H1288" s="586" t="s">
        <v>16560</v>
      </c>
      <c r="I1288" s="279" t="s">
        <v>16561</v>
      </c>
      <c r="J1288" s="279" t="s">
        <v>16482</v>
      </c>
      <c r="K1288" s="280">
        <v>207610.47999999998</v>
      </c>
      <c r="L1288" s="586">
        <v>3.3702999999999999</v>
      </c>
      <c r="M1288" s="587">
        <v>61600</v>
      </c>
      <c r="N1288" s="279" t="s">
        <v>20155</v>
      </c>
      <c r="O1288" s="279" t="s">
        <v>17801</v>
      </c>
      <c r="P1288" s="887">
        <v>45099</v>
      </c>
      <c r="Q1288" s="588">
        <v>0</v>
      </c>
      <c r="R1288" s="588">
        <v>0</v>
      </c>
      <c r="S1288" s="588">
        <v>110000</v>
      </c>
      <c r="T1288" s="588">
        <v>0</v>
      </c>
      <c r="U1288" s="588">
        <v>110000</v>
      </c>
      <c r="V1288" s="317"/>
      <c r="W1288" s="39">
        <v>0</v>
      </c>
      <c r="X1288" s="39">
        <v>0</v>
      </c>
      <c r="Y1288" s="39">
        <v>207610.47999999995</v>
      </c>
      <c r="Z1288" s="39">
        <v>0</v>
      </c>
      <c r="AA1288" s="589"/>
      <c r="AB1288" s="589"/>
      <c r="AC1288" s="589">
        <v>1.8873679999999995</v>
      </c>
      <c r="AD1288" s="589"/>
      <c r="AE1288" s="39">
        <v>5490.8964000000005</v>
      </c>
      <c r="AF1288" s="39">
        <v>24361.536</v>
      </c>
      <c r="AG1288" s="39">
        <v>0.22146850909090909</v>
      </c>
      <c r="AH1288" s="590"/>
      <c r="AI1288" s="590"/>
      <c r="AJ1288" s="590">
        <v>1.6658994909090903</v>
      </c>
      <c r="AK1288" s="590"/>
      <c r="AL1288" s="591">
        <v>0</v>
      </c>
      <c r="AM1288" s="591">
        <v>0</v>
      </c>
      <c r="AN1288" s="591" t="s">
        <v>20347</v>
      </c>
      <c r="AO1288" s="591">
        <v>0</v>
      </c>
    </row>
    <row r="1289" spans="1:41" hidden="1">
      <c r="A1289" s="584">
        <v>132</v>
      </c>
      <c r="B1289" s="279" t="s">
        <v>144</v>
      </c>
      <c r="C1289" s="279">
        <v>0</v>
      </c>
      <c r="D1289" s="585" t="s">
        <v>19034</v>
      </c>
      <c r="E1289" s="279" t="s">
        <v>144</v>
      </c>
      <c r="F1289" s="53">
        <v>45089</v>
      </c>
      <c r="G1289" s="279">
        <v>2023</v>
      </c>
      <c r="H1289" s="586" t="s">
        <v>16560</v>
      </c>
      <c r="I1289" s="279" t="s">
        <v>16561</v>
      </c>
      <c r="J1289" s="279" t="s">
        <v>16482</v>
      </c>
      <c r="K1289" s="280">
        <v>199850.304</v>
      </c>
      <c r="L1289" s="586">
        <v>3.3576999999999999</v>
      </c>
      <c r="M1289" s="587">
        <v>59520</v>
      </c>
      <c r="N1289" s="279" t="s">
        <v>20155</v>
      </c>
      <c r="O1289" s="279" t="s">
        <v>17801</v>
      </c>
      <c r="P1289" s="887">
        <v>45094</v>
      </c>
      <c r="Q1289" s="588">
        <v>0</v>
      </c>
      <c r="R1289" s="588">
        <v>99200</v>
      </c>
      <c r="S1289" s="588">
        <v>0</v>
      </c>
      <c r="T1289" s="588">
        <v>0</v>
      </c>
      <c r="U1289" s="588">
        <v>99200</v>
      </c>
      <c r="V1289" s="317"/>
      <c r="W1289" s="39">
        <v>0</v>
      </c>
      <c r="X1289" s="39">
        <v>199850.30399999997</v>
      </c>
      <c r="Y1289" s="39">
        <v>0</v>
      </c>
      <c r="Z1289" s="39">
        <v>0</v>
      </c>
      <c r="AA1289" s="589"/>
      <c r="AB1289" s="589">
        <v>2.0146199999999999</v>
      </c>
      <c r="AC1289" s="589"/>
      <c r="AD1289" s="589"/>
      <c r="AE1289" s="39">
        <v>8362.3583999999992</v>
      </c>
      <c r="AF1289" s="39">
        <v>34223.008000000002</v>
      </c>
      <c r="AG1289" s="39">
        <v>0.34499000000000002</v>
      </c>
      <c r="AH1289" s="590"/>
      <c r="AI1289" s="590">
        <v>1.6696299999999997</v>
      </c>
      <c r="AJ1289" s="590"/>
      <c r="AK1289" s="590"/>
      <c r="AL1289" s="591">
        <v>0</v>
      </c>
      <c r="AM1289" s="591">
        <v>0</v>
      </c>
      <c r="AN1289" s="591">
        <v>0</v>
      </c>
      <c r="AO1289" s="591">
        <v>0</v>
      </c>
    </row>
    <row r="1290" spans="1:41" hidden="1">
      <c r="A1290" s="584">
        <v>133</v>
      </c>
      <c r="B1290" s="279" t="s">
        <v>145</v>
      </c>
      <c r="C1290" s="279">
        <v>0</v>
      </c>
      <c r="D1290" s="585" t="s">
        <v>19035</v>
      </c>
      <c r="E1290" s="279" t="s">
        <v>145</v>
      </c>
      <c r="F1290" s="53">
        <v>45089</v>
      </c>
      <c r="G1290" s="279">
        <v>2023</v>
      </c>
      <c r="H1290" s="586" t="s">
        <v>17226</v>
      </c>
      <c r="I1290" s="279" t="s">
        <v>17227</v>
      </c>
      <c r="J1290" s="279" t="s">
        <v>3</v>
      </c>
      <c r="K1290" s="280">
        <v>149967</v>
      </c>
      <c r="L1290" s="586">
        <v>1</v>
      </c>
      <c r="M1290" s="587">
        <v>149967</v>
      </c>
      <c r="N1290" s="279" t="s">
        <v>20155</v>
      </c>
      <c r="O1290" s="279" t="s">
        <v>17689</v>
      </c>
      <c r="P1290" s="887">
        <v>45103</v>
      </c>
      <c r="Q1290" s="588">
        <v>19200</v>
      </c>
      <c r="R1290" s="588">
        <v>17200</v>
      </c>
      <c r="S1290" s="588">
        <v>0</v>
      </c>
      <c r="T1290" s="588">
        <v>7800</v>
      </c>
      <c r="U1290" s="588">
        <v>44200</v>
      </c>
      <c r="V1290" s="317"/>
      <c r="W1290" s="39">
        <v>51480</v>
      </c>
      <c r="X1290" s="39">
        <v>37560</v>
      </c>
      <c r="Y1290" s="39">
        <v>0</v>
      </c>
      <c r="Z1290" s="39">
        <v>60927</v>
      </c>
      <c r="AA1290" s="589">
        <v>2.6812499999999999</v>
      </c>
      <c r="AB1290" s="589">
        <v>2.1837209302325582</v>
      </c>
      <c r="AC1290" s="589"/>
      <c r="AD1290" s="589">
        <v>7.8111538461538466</v>
      </c>
      <c r="AE1290" s="39">
        <v>0</v>
      </c>
      <c r="AF1290" s="39">
        <v>0</v>
      </c>
      <c r="AG1290" s="39">
        <v>0</v>
      </c>
      <c r="AH1290" s="590">
        <v>2.6812499999999999</v>
      </c>
      <c r="AI1290" s="590">
        <v>2.1837209302325582</v>
      </c>
      <c r="AJ1290" s="590"/>
      <c r="AK1290" s="590">
        <v>7.8111538461538466</v>
      </c>
      <c r="AL1290" s="591">
        <v>1</v>
      </c>
      <c r="AM1290" s="591">
        <v>1</v>
      </c>
      <c r="AN1290" s="591">
        <v>0</v>
      </c>
      <c r="AO1290" s="591">
        <v>1</v>
      </c>
    </row>
    <row r="1291" spans="1:41" hidden="1">
      <c r="A1291" s="584">
        <v>134</v>
      </c>
      <c r="B1291" s="279" t="s">
        <v>146</v>
      </c>
      <c r="C1291" s="279">
        <v>0</v>
      </c>
      <c r="D1291" s="585" t="s">
        <v>19036</v>
      </c>
      <c r="E1291" s="279" t="s">
        <v>146</v>
      </c>
      <c r="F1291" s="53">
        <v>45090</v>
      </c>
      <c r="G1291" s="279">
        <v>2023</v>
      </c>
      <c r="H1291" s="586" t="s">
        <v>16700</v>
      </c>
      <c r="I1291" s="279" t="s">
        <v>16701</v>
      </c>
      <c r="J1291" s="279" t="s">
        <v>16401</v>
      </c>
      <c r="K1291" s="280">
        <v>169638.43203199998</v>
      </c>
      <c r="L1291" s="586">
        <v>3.3700999999999999</v>
      </c>
      <c r="M1291" s="587">
        <v>50336.32</v>
      </c>
      <c r="N1291" s="279" t="s">
        <v>20155</v>
      </c>
      <c r="O1291" s="279" t="s">
        <v>17949</v>
      </c>
      <c r="P1291" s="887">
        <v>45101</v>
      </c>
      <c r="Q1291" s="588">
        <v>66024</v>
      </c>
      <c r="R1291" s="588">
        <v>0</v>
      </c>
      <c r="S1291" s="588">
        <v>0</v>
      </c>
      <c r="T1291" s="588">
        <v>0</v>
      </c>
      <c r="U1291" s="588">
        <v>66024</v>
      </c>
      <c r="V1291" s="317"/>
      <c r="W1291" s="39">
        <v>169638.43203200001</v>
      </c>
      <c r="X1291" s="39">
        <v>0</v>
      </c>
      <c r="Y1291" s="39">
        <v>0</v>
      </c>
      <c r="Z1291" s="39">
        <v>0</v>
      </c>
      <c r="AA1291" s="589">
        <v>2.5693449659517751</v>
      </c>
      <c r="AB1291" s="589"/>
      <c r="AC1291" s="589"/>
      <c r="AD1291" s="589"/>
      <c r="AE1291" s="39">
        <v>5563.3499999999995</v>
      </c>
      <c r="AF1291" s="39">
        <v>22958.13</v>
      </c>
      <c r="AG1291" s="39">
        <v>0.34772400945110871</v>
      </c>
      <c r="AH1291" s="590">
        <v>2.2216209565006664</v>
      </c>
      <c r="AI1291" s="590"/>
      <c r="AJ1291" s="590"/>
      <c r="AK1291" s="590"/>
      <c r="AL1291" s="591" t="s">
        <v>20345</v>
      </c>
      <c r="AM1291" s="591">
        <v>0</v>
      </c>
      <c r="AN1291" s="591">
        <v>0</v>
      </c>
      <c r="AO1291" s="591">
        <v>0</v>
      </c>
    </row>
    <row r="1292" spans="1:41" hidden="1">
      <c r="A1292" s="584">
        <v>135</v>
      </c>
      <c r="B1292" s="279" t="s">
        <v>147</v>
      </c>
      <c r="C1292" s="279">
        <v>0</v>
      </c>
      <c r="D1292" s="585" t="s">
        <v>19037</v>
      </c>
      <c r="E1292" s="279" t="s">
        <v>147</v>
      </c>
      <c r="F1292" s="53">
        <v>45090</v>
      </c>
      <c r="G1292" s="279">
        <v>2023</v>
      </c>
      <c r="H1292" s="586" t="s">
        <v>17342</v>
      </c>
      <c r="I1292" s="279" t="s">
        <v>17343</v>
      </c>
      <c r="J1292" s="279" t="s">
        <v>16482</v>
      </c>
      <c r="K1292" s="280">
        <v>55442.863140000001</v>
      </c>
      <c r="L1292" s="586">
        <v>3.3700999999999999</v>
      </c>
      <c r="M1292" s="587">
        <v>16451.400000000001</v>
      </c>
      <c r="N1292" s="279" t="s">
        <v>20155</v>
      </c>
      <c r="O1292" s="279" t="s">
        <v>16394</v>
      </c>
      <c r="P1292" s="887">
        <v>45104</v>
      </c>
      <c r="Q1292" s="588">
        <v>0</v>
      </c>
      <c r="R1292" s="588">
        <v>39264</v>
      </c>
      <c r="S1292" s="588">
        <v>2400</v>
      </c>
      <c r="T1292" s="588">
        <v>1000</v>
      </c>
      <c r="U1292" s="588">
        <v>42664</v>
      </c>
      <c r="V1292" s="317"/>
      <c r="W1292" s="39">
        <v>0</v>
      </c>
      <c r="X1292" s="39">
        <v>48037.04863576674</v>
      </c>
      <c r="Y1292" s="39">
        <v>2942.1826109881868</v>
      </c>
      <c r="Z1292" s="39">
        <v>4463.6318932450777</v>
      </c>
      <c r="AA1292" s="589"/>
      <c r="AB1292" s="589">
        <v>1.2234374652548579</v>
      </c>
      <c r="AC1292" s="589">
        <v>1.2259094212450778</v>
      </c>
      <c r="AD1292" s="589">
        <v>4.4636318932450774</v>
      </c>
      <c r="AE1292" s="39">
        <v>4383.54</v>
      </c>
      <c r="AF1292" s="39">
        <v>25803.004000000001</v>
      </c>
      <c r="AG1292" s="39">
        <v>0.60479570598162391</v>
      </c>
      <c r="AH1292" s="590"/>
      <c r="AI1292" s="590">
        <v>0.61864175927323395</v>
      </c>
      <c r="AJ1292" s="590">
        <v>0.62111371526345394</v>
      </c>
      <c r="AK1292" s="590">
        <v>3.8588361872634533</v>
      </c>
      <c r="AL1292" s="591">
        <v>0</v>
      </c>
      <c r="AM1292" s="591">
        <v>1</v>
      </c>
      <c r="AN1292" s="591">
        <v>1</v>
      </c>
      <c r="AO1292" s="591">
        <v>1</v>
      </c>
    </row>
    <row r="1293" spans="1:41" hidden="1">
      <c r="A1293" s="584">
        <v>136</v>
      </c>
      <c r="B1293" s="279" t="s">
        <v>148</v>
      </c>
      <c r="C1293" s="279">
        <v>0</v>
      </c>
      <c r="D1293" s="585" t="s">
        <v>19038</v>
      </c>
      <c r="E1293" s="279" t="s">
        <v>148</v>
      </c>
      <c r="F1293" s="53">
        <v>45091</v>
      </c>
      <c r="G1293" s="279">
        <v>2023</v>
      </c>
      <c r="H1293" s="586" t="s">
        <v>16838</v>
      </c>
      <c r="I1293" s="279" t="s">
        <v>16839</v>
      </c>
      <c r="J1293" s="279" t="s">
        <v>3</v>
      </c>
      <c r="K1293" s="280">
        <v>407148</v>
      </c>
      <c r="L1293" s="586">
        <v>1</v>
      </c>
      <c r="M1293" s="587">
        <v>407148</v>
      </c>
      <c r="N1293" s="279" t="s">
        <v>20155</v>
      </c>
      <c r="O1293" s="279" t="s">
        <v>20321</v>
      </c>
      <c r="P1293" s="887">
        <v>45097</v>
      </c>
      <c r="Q1293" s="588">
        <v>0</v>
      </c>
      <c r="R1293" s="588">
        <v>220080</v>
      </c>
      <c r="S1293" s="588">
        <v>0</v>
      </c>
      <c r="T1293" s="588">
        <v>0</v>
      </c>
      <c r="U1293" s="588">
        <v>220080</v>
      </c>
      <c r="V1293" s="317"/>
      <c r="W1293" s="39">
        <v>0</v>
      </c>
      <c r="X1293" s="39">
        <v>407148</v>
      </c>
      <c r="Y1293" s="39">
        <v>0</v>
      </c>
      <c r="Z1293" s="39">
        <v>0</v>
      </c>
      <c r="AA1293" s="589"/>
      <c r="AB1293" s="589">
        <v>1.85</v>
      </c>
      <c r="AC1293" s="589"/>
      <c r="AD1293" s="589"/>
      <c r="AE1293" s="39">
        <v>0</v>
      </c>
      <c r="AF1293" s="39">
        <v>0</v>
      </c>
      <c r="AG1293" s="39">
        <v>0</v>
      </c>
      <c r="AH1293" s="590"/>
      <c r="AI1293" s="590">
        <v>1.85</v>
      </c>
      <c r="AJ1293" s="590"/>
      <c r="AK1293" s="590"/>
      <c r="AL1293" s="591">
        <v>0</v>
      </c>
      <c r="AM1293" s="591" t="s">
        <v>20347</v>
      </c>
      <c r="AN1293" s="591">
        <v>0</v>
      </c>
      <c r="AO1293" s="591">
        <v>0</v>
      </c>
    </row>
    <row r="1294" spans="1:41" hidden="1">
      <c r="A1294" s="584">
        <v>137</v>
      </c>
      <c r="B1294" s="279" t="s">
        <v>149</v>
      </c>
      <c r="C1294" s="279">
        <v>0</v>
      </c>
      <c r="D1294" s="585" t="s">
        <v>19039</v>
      </c>
      <c r="E1294" s="279" t="s">
        <v>149</v>
      </c>
      <c r="F1294" s="53">
        <v>45091</v>
      </c>
      <c r="G1294" s="279">
        <v>2023</v>
      </c>
      <c r="H1294" s="586" t="s">
        <v>16838</v>
      </c>
      <c r="I1294" s="279" t="s">
        <v>16839</v>
      </c>
      <c r="J1294" s="279" t="s">
        <v>3</v>
      </c>
      <c r="K1294" s="280">
        <v>213458</v>
      </c>
      <c r="L1294" s="586">
        <v>1</v>
      </c>
      <c r="M1294" s="587">
        <v>213458</v>
      </c>
      <c r="N1294" s="279" t="s">
        <v>20155</v>
      </c>
      <c r="O1294" s="279" t="s">
        <v>17771</v>
      </c>
      <c r="P1294" s="887">
        <v>45100</v>
      </c>
      <c r="Q1294" s="588">
        <v>0</v>
      </c>
      <c r="R1294" s="588">
        <v>12900</v>
      </c>
      <c r="S1294" s="588">
        <v>84000</v>
      </c>
      <c r="T1294" s="588">
        <v>3606</v>
      </c>
      <c r="U1294" s="588">
        <v>100506</v>
      </c>
      <c r="V1294" s="317"/>
      <c r="W1294" s="39">
        <v>0</v>
      </c>
      <c r="X1294" s="39">
        <v>27675</v>
      </c>
      <c r="Y1294" s="39">
        <v>163520</v>
      </c>
      <c r="Z1294" s="39">
        <v>22263</v>
      </c>
      <c r="AA1294" s="589"/>
      <c r="AB1294" s="589">
        <v>2.1453488372093021</v>
      </c>
      <c r="AC1294" s="589">
        <v>1.9466666666666668</v>
      </c>
      <c r="AD1294" s="589">
        <v>6.1738768718802</v>
      </c>
      <c r="AE1294" s="39">
        <v>0</v>
      </c>
      <c r="AF1294" s="39">
        <v>0</v>
      </c>
      <c r="AG1294" s="39">
        <v>0</v>
      </c>
      <c r="AH1294" s="590"/>
      <c r="AI1294" s="590">
        <v>2.1453488372093021</v>
      </c>
      <c r="AJ1294" s="590">
        <v>1.9466666666666668</v>
      </c>
      <c r="AK1294" s="590">
        <v>6.1738768718802</v>
      </c>
      <c r="AL1294" s="591">
        <v>0</v>
      </c>
      <c r="AM1294" s="591" t="s">
        <v>20348</v>
      </c>
      <c r="AN1294" s="591" t="s">
        <v>20347</v>
      </c>
      <c r="AO1294" s="591">
        <v>1</v>
      </c>
    </row>
    <row r="1295" spans="1:41" hidden="1">
      <c r="A1295" s="402" t="s">
        <v>150</v>
      </c>
      <c r="B1295" s="1" t="s">
        <v>150</v>
      </c>
      <c r="C1295" s="1">
        <v>0</v>
      </c>
      <c r="D1295" s="464" t="s">
        <v>19040</v>
      </c>
      <c r="E1295" s="1" t="s">
        <v>150</v>
      </c>
      <c r="F1295" s="53">
        <v>45092</v>
      </c>
      <c r="G1295" s="1">
        <v>2023</v>
      </c>
      <c r="H1295" s="4" t="s">
        <v>16470</v>
      </c>
      <c r="I1295" s="1" t="s">
        <v>16471</v>
      </c>
      <c r="J1295" s="1" t="s">
        <v>16401</v>
      </c>
      <c r="K1295" s="36">
        <v>643495.83558000007</v>
      </c>
      <c r="L1295" s="4">
        <v>3.0783</v>
      </c>
      <c r="M1295" s="55">
        <v>209042.6</v>
      </c>
      <c r="N1295" s="1" t="s">
        <v>20155</v>
      </c>
      <c r="O1295" s="1" t="s">
        <v>20352</v>
      </c>
      <c r="P1295" s="876">
        <v>45103</v>
      </c>
      <c r="Q1295" s="50">
        <v>18960</v>
      </c>
      <c r="R1295" s="50">
        <v>242770</v>
      </c>
      <c r="S1295" s="50">
        <v>16000</v>
      </c>
      <c r="T1295" s="50">
        <v>0</v>
      </c>
      <c r="U1295" s="50">
        <v>277730</v>
      </c>
      <c r="V1295" s="11"/>
      <c r="W1295" s="17">
        <v>49228.555813290615</v>
      </c>
      <c r="X1295" s="17">
        <v>559325.31679853168</v>
      </c>
      <c r="Y1295" s="17">
        <v>34941.962968177722</v>
      </c>
      <c r="Z1295" s="17">
        <v>0</v>
      </c>
      <c r="AA1295" s="24">
        <v>2.596442817156678</v>
      </c>
      <c r="AB1295" s="24">
        <v>2.3039309502761118</v>
      </c>
      <c r="AC1295" s="24">
        <v>2.1838726855111075</v>
      </c>
      <c r="AD1295" s="24"/>
      <c r="AE1295" s="17">
        <v>17711.43</v>
      </c>
      <c r="AF1295" s="17">
        <v>75089.100000000006</v>
      </c>
      <c r="AG1295" s="17">
        <v>0.27036726316926513</v>
      </c>
      <c r="AH1295" s="590">
        <v>2.3260755539874127</v>
      </c>
      <c r="AI1295" s="590">
        <v>2.0335636871068465</v>
      </c>
      <c r="AJ1295" s="590">
        <v>1.9135054223418424</v>
      </c>
      <c r="AK1295" s="590"/>
      <c r="AL1295" s="579" t="s">
        <v>20345</v>
      </c>
      <c r="AM1295" s="579" t="s">
        <v>20346</v>
      </c>
      <c r="AN1295" s="579" t="s">
        <v>20347</v>
      </c>
      <c r="AO1295" s="579">
        <v>0</v>
      </c>
    </row>
    <row r="1296" spans="1:41" hidden="1">
      <c r="A1296" s="402" t="s">
        <v>151</v>
      </c>
      <c r="B1296" s="1" t="s">
        <v>151</v>
      </c>
      <c r="C1296" s="1">
        <v>0</v>
      </c>
      <c r="D1296" s="464" t="s">
        <v>19041</v>
      </c>
      <c r="E1296" s="1" t="s">
        <v>151</v>
      </c>
      <c r="F1296" s="53">
        <v>45096</v>
      </c>
      <c r="G1296" s="1">
        <v>2023</v>
      </c>
      <c r="H1296" s="4" t="s">
        <v>17297</v>
      </c>
      <c r="I1296" s="1" t="s">
        <v>17298</v>
      </c>
      <c r="J1296" s="1" t="s">
        <v>3</v>
      </c>
      <c r="K1296" s="36">
        <v>57450</v>
      </c>
      <c r="L1296" s="4">
        <v>1</v>
      </c>
      <c r="M1296" s="55">
        <v>57450</v>
      </c>
      <c r="N1296" s="1" t="s">
        <v>20155</v>
      </c>
      <c r="O1296" s="1" t="s">
        <v>20319</v>
      </c>
      <c r="P1296" s="876">
        <v>45103</v>
      </c>
      <c r="Q1296" s="50">
        <v>8400</v>
      </c>
      <c r="R1296" s="50">
        <v>18600</v>
      </c>
      <c r="S1296" s="50">
        <v>0</v>
      </c>
      <c r="T1296" s="50">
        <v>0</v>
      </c>
      <c r="U1296" s="50">
        <v>27000</v>
      </c>
      <c r="V1296" s="11"/>
      <c r="W1296" s="17">
        <v>19320</v>
      </c>
      <c r="X1296" s="17">
        <v>38130</v>
      </c>
      <c r="Y1296" s="17">
        <v>0</v>
      </c>
      <c r="Z1296" s="17">
        <v>0</v>
      </c>
      <c r="AA1296" s="24">
        <v>2.2999999999999998</v>
      </c>
      <c r="AB1296" s="24">
        <v>2.0499999999999998</v>
      </c>
      <c r="AC1296" s="24"/>
      <c r="AD1296" s="24"/>
      <c r="AE1296" s="17">
        <v>0</v>
      </c>
      <c r="AF1296" s="17">
        <v>0</v>
      </c>
      <c r="AG1296" s="17">
        <v>0</v>
      </c>
      <c r="AH1296" s="590">
        <v>2.2999999999999998</v>
      </c>
      <c r="AI1296" s="590">
        <v>2.0499999999999998</v>
      </c>
      <c r="AJ1296" s="590"/>
      <c r="AK1296" s="590"/>
      <c r="AL1296" s="579" t="s">
        <v>20345</v>
      </c>
      <c r="AM1296" s="579" t="s">
        <v>20347</v>
      </c>
      <c r="AN1296" s="579">
        <v>0</v>
      </c>
      <c r="AO1296" s="579">
        <v>0</v>
      </c>
    </row>
    <row r="1297" spans="1:41" hidden="1">
      <c r="A1297" s="402" t="s">
        <v>152</v>
      </c>
      <c r="B1297" s="1" t="s">
        <v>152</v>
      </c>
      <c r="C1297" s="1">
        <v>0</v>
      </c>
      <c r="D1297" s="464" t="s">
        <v>19042</v>
      </c>
      <c r="E1297" s="1" t="s">
        <v>152</v>
      </c>
      <c r="F1297" s="53">
        <v>45096</v>
      </c>
      <c r="G1297" s="1">
        <v>2023</v>
      </c>
      <c r="H1297" s="4" t="s">
        <v>17309</v>
      </c>
      <c r="I1297" s="1" t="s">
        <v>17310</v>
      </c>
      <c r="J1297" s="1" t="s">
        <v>3</v>
      </c>
      <c r="K1297" s="36">
        <v>126720</v>
      </c>
      <c r="L1297" s="4">
        <v>1</v>
      </c>
      <c r="M1297" s="55">
        <v>126720</v>
      </c>
      <c r="N1297" s="1" t="s">
        <v>20155</v>
      </c>
      <c r="O1297" s="1" t="s">
        <v>20357</v>
      </c>
      <c r="P1297" s="876">
        <v>45110</v>
      </c>
      <c r="Q1297" s="50">
        <v>57600</v>
      </c>
      <c r="R1297" s="50">
        <v>0</v>
      </c>
      <c r="S1297" s="50">
        <v>0</v>
      </c>
      <c r="T1297" s="50">
        <v>0</v>
      </c>
      <c r="U1297" s="50">
        <v>57600</v>
      </c>
      <c r="V1297" s="11"/>
      <c r="W1297" s="17">
        <v>126720</v>
      </c>
      <c r="X1297" s="17">
        <v>0</v>
      </c>
      <c r="Y1297" s="17">
        <v>0</v>
      </c>
      <c r="Z1297" s="17">
        <v>0</v>
      </c>
      <c r="AA1297" s="24">
        <v>2.2000000000000002</v>
      </c>
      <c r="AB1297" s="24"/>
      <c r="AC1297" s="24"/>
      <c r="AD1297" s="24"/>
      <c r="AE1297" s="17">
        <v>0</v>
      </c>
      <c r="AF1297" s="17">
        <v>0</v>
      </c>
      <c r="AG1297" s="17">
        <v>0</v>
      </c>
      <c r="AH1297" s="590">
        <v>2.2000000000000002</v>
      </c>
      <c r="AI1297" s="590"/>
      <c r="AJ1297" s="590"/>
      <c r="AK1297" s="590"/>
      <c r="AL1297" s="579" t="s">
        <v>20345</v>
      </c>
      <c r="AM1297" s="579">
        <v>0</v>
      </c>
      <c r="AN1297" s="579">
        <v>0</v>
      </c>
      <c r="AO1297" s="579">
        <v>0</v>
      </c>
    </row>
    <row r="1298" spans="1:41" hidden="1">
      <c r="A1298" s="402" t="s">
        <v>153</v>
      </c>
      <c r="B1298" s="1" t="s">
        <v>153</v>
      </c>
      <c r="C1298" s="1">
        <v>0</v>
      </c>
      <c r="D1298" s="464" t="s">
        <v>19043</v>
      </c>
      <c r="E1298" s="1" t="s">
        <v>153</v>
      </c>
      <c r="F1298" s="53">
        <v>45097</v>
      </c>
      <c r="G1298" s="1">
        <v>2023</v>
      </c>
      <c r="H1298" s="4" t="s">
        <v>16957</v>
      </c>
      <c r="I1298" s="1" t="s">
        <v>16958</v>
      </c>
      <c r="J1298" s="1" t="s">
        <v>16401</v>
      </c>
      <c r="K1298" s="36">
        <v>49703.601999999999</v>
      </c>
      <c r="L1298" s="4">
        <v>3.0833499999999998</v>
      </c>
      <c r="M1298" s="55">
        <v>16120</v>
      </c>
      <c r="N1298" s="1" t="s">
        <v>20155</v>
      </c>
      <c r="O1298" s="1" t="s">
        <v>20161</v>
      </c>
      <c r="P1298" s="876">
        <v>45099</v>
      </c>
      <c r="Q1298" s="50">
        <v>20150</v>
      </c>
      <c r="R1298" s="50">
        <v>0</v>
      </c>
      <c r="S1298" s="50">
        <v>0</v>
      </c>
      <c r="T1298" s="50">
        <v>0</v>
      </c>
      <c r="U1298" s="50">
        <v>20150</v>
      </c>
      <c r="V1298" s="11"/>
      <c r="W1298" s="17">
        <v>49703.601999999992</v>
      </c>
      <c r="X1298" s="17">
        <v>0</v>
      </c>
      <c r="Y1298" s="17">
        <v>0</v>
      </c>
      <c r="Z1298" s="17">
        <v>0</v>
      </c>
      <c r="AA1298" s="24">
        <v>2.4666799999999998</v>
      </c>
      <c r="AB1298" s="24"/>
      <c r="AC1298" s="24"/>
      <c r="AD1298" s="24"/>
      <c r="AE1298" s="17">
        <v>0</v>
      </c>
      <c r="AF1298" s="17">
        <v>1929.645</v>
      </c>
      <c r="AG1298" s="17">
        <v>9.5764019851116627E-2</v>
      </c>
      <c r="AH1298" s="590">
        <v>2.3709159801488831</v>
      </c>
      <c r="AI1298" s="590"/>
      <c r="AJ1298" s="590"/>
      <c r="AK1298" s="590"/>
      <c r="AL1298" s="579" t="s">
        <v>20345</v>
      </c>
      <c r="AM1298" s="579">
        <v>0</v>
      </c>
      <c r="AN1298" s="579">
        <v>0</v>
      </c>
      <c r="AO1298" s="579">
        <v>0</v>
      </c>
    </row>
    <row r="1299" spans="1:41" hidden="1">
      <c r="A1299" s="402" t="s">
        <v>154</v>
      </c>
      <c r="B1299" s="1" t="s">
        <v>154</v>
      </c>
      <c r="C1299" s="1">
        <v>0</v>
      </c>
      <c r="D1299" s="464" t="s">
        <v>19044</v>
      </c>
      <c r="E1299" s="1" t="s">
        <v>154</v>
      </c>
      <c r="F1299" s="53">
        <v>45098</v>
      </c>
      <c r="G1299" s="1">
        <v>2023</v>
      </c>
      <c r="H1299" s="4" t="s">
        <v>16823</v>
      </c>
      <c r="I1299" s="1" t="s">
        <v>16824</v>
      </c>
      <c r="J1299" s="1" t="s">
        <v>16401</v>
      </c>
      <c r="K1299" s="36">
        <v>142578.65448000003</v>
      </c>
      <c r="L1299" s="4">
        <v>3.1011000000000002</v>
      </c>
      <c r="M1299" s="55">
        <v>45976.800000000003</v>
      </c>
      <c r="N1299" s="1" t="s">
        <v>20155</v>
      </c>
      <c r="O1299" s="1" t="s">
        <v>17965</v>
      </c>
      <c r="P1299" s="876">
        <v>45107</v>
      </c>
      <c r="Q1299" s="50">
        <v>18960</v>
      </c>
      <c r="R1299" s="50">
        <v>35520</v>
      </c>
      <c r="S1299" s="50">
        <v>0</v>
      </c>
      <c r="T1299" s="50">
        <v>0</v>
      </c>
      <c r="U1299" s="50">
        <v>54480</v>
      </c>
      <c r="V1299" s="11"/>
      <c r="W1299" s="17">
        <v>53069.990422202653</v>
      </c>
      <c r="X1299" s="17">
        <v>89508.664057797359</v>
      </c>
      <c r="Y1299" s="17">
        <v>0</v>
      </c>
      <c r="Z1299" s="17">
        <v>0</v>
      </c>
      <c r="AA1299" s="24">
        <v>2.7990501277533046</v>
      </c>
      <c r="AB1299" s="24">
        <v>2.5199511277533042</v>
      </c>
      <c r="AC1299" s="24"/>
      <c r="AD1299" s="24"/>
      <c r="AE1299" s="17">
        <v>3141.4823999999999</v>
      </c>
      <c r="AF1299" s="17">
        <v>13222.298000000001</v>
      </c>
      <c r="AG1299" s="17">
        <v>0.24270003671071955</v>
      </c>
      <c r="AH1299" s="590">
        <v>2.5563500910425851</v>
      </c>
      <c r="AI1299" s="590">
        <v>2.2772510910425847</v>
      </c>
      <c r="AJ1299" s="590"/>
      <c r="AK1299" s="590"/>
      <c r="AL1299" s="579" t="s">
        <v>20345</v>
      </c>
      <c r="AM1299" s="579" t="s">
        <v>20346</v>
      </c>
      <c r="AN1299" s="579">
        <v>0</v>
      </c>
      <c r="AO1299" s="579">
        <v>0</v>
      </c>
    </row>
    <row r="1300" spans="1:41" hidden="1">
      <c r="A1300" s="402" t="s">
        <v>155</v>
      </c>
      <c r="B1300" s="1" t="s">
        <v>155</v>
      </c>
      <c r="C1300" s="1">
        <v>0</v>
      </c>
      <c r="D1300" s="464" t="s">
        <v>19045</v>
      </c>
      <c r="E1300" s="1" t="s">
        <v>155</v>
      </c>
      <c r="F1300" s="53">
        <v>45098</v>
      </c>
      <c r="G1300" s="1">
        <v>2023</v>
      </c>
      <c r="H1300" s="4" t="s">
        <v>17332</v>
      </c>
      <c r="I1300" s="1" t="s">
        <v>17333</v>
      </c>
      <c r="J1300" s="1" t="s">
        <v>3</v>
      </c>
      <c r="K1300" s="36">
        <v>209664</v>
      </c>
      <c r="L1300" s="4">
        <v>1</v>
      </c>
      <c r="M1300" s="55">
        <v>209664</v>
      </c>
      <c r="N1300" s="1" t="s">
        <v>20155</v>
      </c>
      <c r="O1300" s="1" t="s">
        <v>17939</v>
      </c>
      <c r="P1300" s="876">
        <v>45120</v>
      </c>
      <c r="Q1300" s="50">
        <v>99840</v>
      </c>
      <c r="R1300" s="50">
        <v>0</v>
      </c>
      <c r="S1300" s="50">
        <v>0</v>
      </c>
      <c r="T1300" s="50">
        <v>0</v>
      </c>
      <c r="U1300" s="50">
        <v>99840</v>
      </c>
      <c r="V1300" s="11"/>
      <c r="W1300" s="17">
        <v>209664</v>
      </c>
      <c r="X1300" s="17">
        <v>0</v>
      </c>
      <c r="Y1300" s="17">
        <v>0</v>
      </c>
      <c r="Z1300" s="17">
        <v>0</v>
      </c>
      <c r="AA1300" s="24">
        <v>2.1</v>
      </c>
      <c r="AB1300" s="24"/>
      <c r="AC1300" s="24"/>
      <c r="AD1300" s="24"/>
      <c r="AE1300" s="17">
        <v>0</v>
      </c>
      <c r="AF1300" s="17">
        <v>0</v>
      </c>
      <c r="AG1300" s="17">
        <v>0</v>
      </c>
      <c r="AH1300" s="590">
        <v>2.1</v>
      </c>
      <c r="AI1300" s="590"/>
      <c r="AJ1300" s="590"/>
      <c r="AK1300" s="590"/>
      <c r="AL1300" s="579" t="s">
        <v>20345</v>
      </c>
      <c r="AM1300" s="579">
        <v>0</v>
      </c>
      <c r="AN1300" s="579">
        <v>0</v>
      </c>
      <c r="AO1300" s="579">
        <v>0</v>
      </c>
    </row>
    <row r="1301" spans="1:41" hidden="1">
      <c r="A1301" s="402" t="s">
        <v>156</v>
      </c>
      <c r="B1301" s="1" t="s">
        <v>156</v>
      </c>
      <c r="C1301" s="1">
        <v>0</v>
      </c>
      <c r="D1301" s="464" t="s">
        <v>19046</v>
      </c>
      <c r="E1301" s="1" t="s">
        <v>156</v>
      </c>
      <c r="F1301" s="53">
        <v>45108</v>
      </c>
      <c r="G1301" s="1">
        <v>2023</v>
      </c>
      <c r="H1301" s="4" t="s">
        <v>17304</v>
      </c>
      <c r="I1301" s="1" t="s">
        <v>17305</v>
      </c>
      <c r="J1301" s="1" t="s">
        <v>17306</v>
      </c>
      <c r="K1301" s="36">
        <v>100586.905314</v>
      </c>
      <c r="L1301" s="4">
        <v>2.3226</v>
      </c>
      <c r="M1301" s="55">
        <v>43307.89</v>
      </c>
      <c r="N1301" s="1" t="s">
        <v>20155</v>
      </c>
      <c r="O1301" s="1" t="s">
        <v>17954</v>
      </c>
      <c r="P1301" s="876">
        <v>45120</v>
      </c>
      <c r="Q1301" s="50">
        <v>0</v>
      </c>
      <c r="R1301" s="50">
        <v>23233.759999999998</v>
      </c>
      <c r="S1301" s="50">
        <v>1700</v>
      </c>
      <c r="T1301" s="50">
        <v>400</v>
      </c>
      <c r="U1301" s="50">
        <v>25333.759999999998</v>
      </c>
      <c r="V1301" s="11"/>
      <c r="W1301" s="17">
        <v>0</v>
      </c>
      <c r="X1301" s="17">
        <v>90329.592853824244</v>
      </c>
      <c r="Y1301" s="17">
        <v>6244.7158978375101</v>
      </c>
      <c r="Z1301" s="17">
        <v>4012.5919171382375</v>
      </c>
      <c r="AA1301" s="24"/>
      <c r="AB1301" s="24">
        <v>3.8878594275667928</v>
      </c>
      <c r="AC1301" s="24">
        <v>3.673362292845594</v>
      </c>
      <c r="AD1301" s="24">
        <v>10.031479792845595</v>
      </c>
      <c r="AE1301" s="17">
        <v>3324.096</v>
      </c>
      <c r="AF1301" s="17">
        <v>20069.14</v>
      </c>
      <c r="AG1301" s="17">
        <v>0.79218955259700896</v>
      </c>
      <c r="AH1301" s="590"/>
      <c r="AI1301" s="590">
        <v>3.0956698749697837</v>
      </c>
      <c r="AJ1301" s="590">
        <v>2.8811727402485849</v>
      </c>
      <c r="AK1301" s="590">
        <v>9.2392902402485859</v>
      </c>
      <c r="AL1301" s="579">
        <v>0</v>
      </c>
      <c r="AM1301" s="579">
        <v>1</v>
      </c>
      <c r="AN1301" s="579">
        <v>1</v>
      </c>
      <c r="AO1301" s="579">
        <v>1</v>
      </c>
    </row>
    <row r="1302" spans="1:41" hidden="1">
      <c r="A1302" s="402" t="s">
        <v>157</v>
      </c>
      <c r="B1302" s="1" t="s">
        <v>157</v>
      </c>
      <c r="C1302" s="1">
        <v>0</v>
      </c>
      <c r="D1302" s="464" t="s">
        <v>19047</v>
      </c>
      <c r="E1302" s="1" t="s">
        <v>157</v>
      </c>
      <c r="F1302" s="53">
        <v>45111</v>
      </c>
      <c r="G1302" s="1">
        <v>2023</v>
      </c>
      <c r="H1302" s="4" t="s">
        <v>16444</v>
      </c>
      <c r="I1302" s="1" t="s">
        <v>16445</v>
      </c>
      <c r="J1302" s="1" t="s">
        <v>3</v>
      </c>
      <c r="K1302" s="36">
        <v>46812</v>
      </c>
      <c r="L1302" s="4">
        <v>1</v>
      </c>
      <c r="M1302" s="55">
        <v>46812</v>
      </c>
      <c r="N1302" s="1" t="s">
        <v>20155</v>
      </c>
      <c r="O1302" s="1" t="s">
        <v>20173</v>
      </c>
      <c r="P1302" s="876">
        <v>45119</v>
      </c>
      <c r="Q1302" s="50">
        <v>21600</v>
      </c>
      <c r="R1302" s="50">
        <v>0</v>
      </c>
      <c r="S1302" s="50">
        <v>0</v>
      </c>
      <c r="T1302" s="50">
        <v>0</v>
      </c>
      <c r="U1302" s="50">
        <v>21600</v>
      </c>
      <c r="V1302" s="11"/>
      <c r="W1302" s="17">
        <v>46812</v>
      </c>
      <c r="X1302" s="17">
        <v>0</v>
      </c>
      <c r="Y1302" s="17">
        <v>0</v>
      </c>
      <c r="Z1302" s="17">
        <v>0</v>
      </c>
      <c r="AA1302" s="24">
        <v>2.1672222222222222</v>
      </c>
      <c r="AB1302" s="24"/>
      <c r="AC1302" s="24"/>
      <c r="AD1302" s="24"/>
      <c r="AE1302" s="17">
        <v>0</v>
      </c>
      <c r="AF1302" s="17">
        <v>0</v>
      </c>
      <c r="AG1302" s="17">
        <v>0</v>
      </c>
      <c r="AH1302" s="590">
        <v>2.1672222222222222</v>
      </c>
      <c r="AI1302" s="590"/>
      <c r="AJ1302" s="590"/>
      <c r="AK1302" s="590"/>
      <c r="AL1302" s="579" t="s">
        <v>20345</v>
      </c>
      <c r="AM1302" s="579">
        <v>0</v>
      </c>
      <c r="AN1302" s="579">
        <v>0</v>
      </c>
      <c r="AO1302" s="579">
        <v>0</v>
      </c>
    </row>
    <row r="1303" spans="1:41" hidden="1">
      <c r="A1303" s="402" t="s">
        <v>158</v>
      </c>
      <c r="B1303" s="1" t="s">
        <v>158</v>
      </c>
      <c r="C1303" s="1">
        <v>0</v>
      </c>
      <c r="D1303" s="464" t="s">
        <v>19048</v>
      </c>
      <c r="E1303" s="1" t="s">
        <v>158</v>
      </c>
      <c r="F1303" s="53">
        <v>45111</v>
      </c>
      <c r="G1303" s="1">
        <v>2023</v>
      </c>
      <c r="H1303" s="4" t="s">
        <v>16444</v>
      </c>
      <c r="I1303" s="1" t="s">
        <v>16445</v>
      </c>
      <c r="J1303" s="1" t="s">
        <v>3</v>
      </c>
      <c r="K1303" s="36">
        <v>42240</v>
      </c>
      <c r="L1303" s="4">
        <v>1</v>
      </c>
      <c r="M1303" s="55">
        <v>42240</v>
      </c>
      <c r="N1303" s="1" t="s">
        <v>20155</v>
      </c>
      <c r="O1303" s="1" t="s">
        <v>20357</v>
      </c>
      <c r="P1303" s="876">
        <v>45119</v>
      </c>
      <c r="Q1303" s="50">
        <v>19200</v>
      </c>
      <c r="R1303" s="50">
        <v>0</v>
      </c>
      <c r="S1303" s="50">
        <v>0</v>
      </c>
      <c r="T1303" s="50">
        <v>0</v>
      </c>
      <c r="U1303" s="50">
        <v>19200</v>
      </c>
      <c r="V1303" s="11"/>
      <c r="W1303" s="17">
        <v>42240</v>
      </c>
      <c r="X1303" s="17">
        <v>0</v>
      </c>
      <c r="Y1303" s="17">
        <v>0</v>
      </c>
      <c r="Z1303" s="17">
        <v>0</v>
      </c>
      <c r="AA1303" s="24">
        <v>2.2000000000000002</v>
      </c>
      <c r="AB1303" s="24"/>
      <c r="AC1303" s="24"/>
      <c r="AD1303" s="24"/>
      <c r="AE1303" s="17">
        <v>0</v>
      </c>
      <c r="AF1303" s="17">
        <v>0</v>
      </c>
      <c r="AG1303" s="17">
        <v>0</v>
      </c>
      <c r="AH1303" s="590">
        <v>2.2000000000000002</v>
      </c>
      <c r="AI1303" s="590"/>
      <c r="AJ1303" s="590"/>
      <c r="AK1303" s="590"/>
      <c r="AL1303" s="579" t="s">
        <v>20345</v>
      </c>
      <c r="AM1303" s="579">
        <v>0</v>
      </c>
      <c r="AN1303" s="579">
        <v>0</v>
      </c>
      <c r="AO1303" s="579">
        <v>0</v>
      </c>
    </row>
    <row r="1304" spans="1:41" hidden="1">
      <c r="A1304" s="402" t="s">
        <v>159</v>
      </c>
      <c r="B1304" s="1" t="s">
        <v>159</v>
      </c>
      <c r="C1304" s="1">
        <v>0</v>
      </c>
      <c r="D1304" s="464" t="s">
        <v>19049</v>
      </c>
      <c r="E1304" s="1" t="s">
        <v>159</v>
      </c>
      <c r="F1304" s="53">
        <v>45112</v>
      </c>
      <c r="G1304" s="1">
        <v>2023</v>
      </c>
      <c r="H1304" s="4" t="s">
        <v>16783</v>
      </c>
      <c r="I1304" s="1" t="s">
        <v>16784</v>
      </c>
      <c r="J1304" s="1" t="s">
        <v>16401</v>
      </c>
      <c r="K1304" s="36">
        <v>733462.54800000007</v>
      </c>
      <c r="L1304" s="4">
        <v>3.03485</v>
      </c>
      <c r="M1304" s="55">
        <v>241680</v>
      </c>
      <c r="N1304" s="1" t="s">
        <v>20155</v>
      </c>
      <c r="O1304" s="1" t="s">
        <v>17235</v>
      </c>
      <c r="P1304" s="876">
        <v>45125</v>
      </c>
      <c r="Q1304" s="50">
        <v>24000</v>
      </c>
      <c r="R1304" s="50">
        <v>284400</v>
      </c>
      <c r="S1304" s="50">
        <v>9600</v>
      </c>
      <c r="T1304" s="50">
        <v>0</v>
      </c>
      <c r="U1304" s="50">
        <v>318000</v>
      </c>
      <c r="V1304" s="11"/>
      <c r="W1304" s="17">
        <v>55355.663999999997</v>
      </c>
      <c r="X1304" s="17">
        <v>655964.61839999992</v>
      </c>
      <c r="Y1304" s="17">
        <v>22142.265599999999</v>
      </c>
      <c r="Z1304" s="17">
        <v>0</v>
      </c>
      <c r="AA1304" s="24">
        <v>2.306486</v>
      </c>
      <c r="AB1304" s="24">
        <v>2.3064859999999996</v>
      </c>
      <c r="AC1304" s="24">
        <v>2.306486</v>
      </c>
      <c r="AD1304" s="24"/>
      <c r="AE1304" s="17">
        <v>0</v>
      </c>
      <c r="AF1304" s="17">
        <v>0</v>
      </c>
      <c r="AG1304" s="17">
        <v>0</v>
      </c>
      <c r="AH1304" s="590">
        <v>2.306486</v>
      </c>
      <c r="AI1304" s="590">
        <v>2.3064859999999996</v>
      </c>
      <c r="AJ1304" s="590">
        <v>2.306486</v>
      </c>
      <c r="AK1304" s="590"/>
      <c r="AL1304" s="579" t="s">
        <v>20345</v>
      </c>
      <c r="AM1304" s="579" t="s">
        <v>20356</v>
      </c>
      <c r="AN1304" s="579" t="s">
        <v>20356</v>
      </c>
      <c r="AO1304" s="579">
        <v>0</v>
      </c>
    </row>
    <row r="1305" spans="1:41" hidden="1">
      <c r="A1305" s="402" t="s">
        <v>160</v>
      </c>
      <c r="B1305" s="1" t="s">
        <v>160</v>
      </c>
      <c r="C1305" s="1">
        <v>0</v>
      </c>
      <c r="D1305" s="464" t="s">
        <v>19050</v>
      </c>
      <c r="E1305" s="1" t="s">
        <v>160</v>
      </c>
      <c r="F1305" s="53">
        <v>45114</v>
      </c>
      <c r="G1305" s="1">
        <v>2023</v>
      </c>
      <c r="H1305" s="4" t="s">
        <v>16700</v>
      </c>
      <c r="I1305" s="1" t="s">
        <v>16701</v>
      </c>
      <c r="J1305" s="1" t="s">
        <v>16401</v>
      </c>
      <c r="K1305" s="36">
        <v>170350.69096000001</v>
      </c>
      <c r="L1305" s="4">
        <v>3.3842500000000002</v>
      </c>
      <c r="M1305" s="55">
        <v>50336.32</v>
      </c>
      <c r="N1305" s="1" t="s">
        <v>20155</v>
      </c>
      <c r="O1305" s="1" t="s">
        <v>17949</v>
      </c>
      <c r="P1305" s="876">
        <v>45121</v>
      </c>
      <c r="Q1305" s="50">
        <v>66024</v>
      </c>
      <c r="R1305" s="50">
        <v>0</v>
      </c>
      <c r="S1305" s="50">
        <v>0</v>
      </c>
      <c r="T1305" s="50">
        <v>0</v>
      </c>
      <c r="U1305" s="50">
        <v>66024</v>
      </c>
      <c r="V1305" s="11"/>
      <c r="W1305" s="17">
        <v>170350.69096000001</v>
      </c>
      <c r="X1305" s="17">
        <v>0</v>
      </c>
      <c r="Y1305" s="17">
        <v>0</v>
      </c>
      <c r="Z1305" s="17">
        <v>0</v>
      </c>
      <c r="AA1305" s="24">
        <v>2.5801328450260512</v>
      </c>
      <c r="AB1305" s="24"/>
      <c r="AC1305" s="24"/>
      <c r="AD1305" s="24"/>
      <c r="AE1305" s="17">
        <v>5468.579999999999</v>
      </c>
      <c r="AF1305" s="17">
        <v>22492.026000000002</v>
      </c>
      <c r="AG1305" s="17">
        <v>0.34066439476553984</v>
      </c>
      <c r="AH1305" s="590">
        <v>2.2394684502605116</v>
      </c>
      <c r="AI1305" s="590"/>
      <c r="AJ1305" s="590"/>
      <c r="AK1305" s="590"/>
      <c r="AL1305" s="579" t="s">
        <v>20345</v>
      </c>
      <c r="AM1305" s="579">
        <v>0</v>
      </c>
      <c r="AN1305" s="579">
        <v>0</v>
      </c>
      <c r="AO1305" s="579">
        <v>0</v>
      </c>
    </row>
    <row r="1306" spans="1:41" hidden="1">
      <c r="A1306" s="402" t="s">
        <v>161</v>
      </c>
      <c r="B1306" s="1" t="s">
        <v>161</v>
      </c>
      <c r="C1306" s="1">
        <v>0</v>
      </c>
      <c r="D1306" s="464" t="s">
        <v>19051</v>
      </c>
      <c r="E1306" s="1" t="s">
        <v>161</v>
      </c>
      <c r="F1306" s="53">
        <v>45115</v>
      </c>
      <c r="G1306" s="1">
        <v>2023</v>
      </c>
      <c r="H1306" s="4" t="s">
        <v>16560</v>
      </c>
      <c r="I1306" s="1" t="s">
        <v>16561</v>
      </c>
      <c r="J1306" s="1" t="s">
        <v>16482</v>
      </c>
      <c r="K1306" s="36">
        <v>209375.32</v>
      </c>
      <c r="L1306" s="4">
        <v>3.3989500000000001</v>
      </c>
      <c r="M1306" s="55">
        <v>61600</v>
      </c>
      <c r="N1306" s="1" t="s">
        <v>20155</v>
      </c>
      <c r="O1306" s="1" t="s">
        <v>17801</v>
      </c>
      <c r="P1306" s="876">
        <v>45122</v>
      </c>
      <c r="Q1306" s="50">
        <v>0</v>
      </c>
      <c r="R1306" s="50">
        <v>0</v>
      </c>
      <c r="S1306" s="50">
        <v>110000</v>
      </c>
      <c r="T1306" s="50">
        <v>0</v>
      </c>
      <c r="U1306" s="50">
        <v>110000</v>
      </c>
      <c r="V1306" s="11"/>
      <c r="W1306" s="17">
        <v>0</v>
      </c>
      <c r="X1306" s="17">
        <v>0</v>
      </c>
      <c r="Y1306" s="17">
        <v>209375.32</v>
      </c>
      <c r="Z1306" s="17">
        <v>0</v>
      </c>
      <c r="AA1306" s="24"/>
      <c r="AB1306" s="24"/>
      <c r="AC1306" s="24">
        <v>1.9034120000000001</v>
      </c>
      <c r="AD1306" s="24"/>
      <c r="AE1306" s="17">
        <v>5546.7143999999998</v>
      </c>
      <c r="AF1306" s="17">
        <v>24308.437999999998</v>
      </c>
      <c r="AG1306" s="17">
        <v>0.22098579999999998</v>
      </c>
      <c r="AH1306" s="590"/>
      <c r="AI1306" s="590"/>
      <c r="AJ1306" s="590">
        <v>1.6824262000000001</v>
      </c>
      <c r="AK1306" s="590"/>
      <c r="AL1306" s="579">
        <v>0</v>
      </c>
      <c r="AM1306" s="579">
        <v>0</v>
      </c>
      <c r="AN1306" s="579" t="s">
        <v>20347</v>
      </c>
      <c r="AO1306" s="579">
        <v>0</v>
      </c>
    </row>
    <row r="1307" spans="1:41" hidden="1">
      <c r="A1307" s="402" t="s">
        <v>162</v>
      </c>
      <c r="B1307" s="1" t="s">
        <v>162</v>
      </c>
      <c r="C1307" s="1">
        <v>0</v>
      </c>
      <c r="D1307" s="464" t="s">
        <v>19052</v>
      </c>
      <c r="E1307" s="1" t="s">
        <v>162</v>
      </c>
      <c r="F1307" s="53">
        <v>45115</v>
      </c>
      <c r="G1307" s="1">
        <v>2023</v>
      </c>
      <c r="H1307" s="4" t="s">
        <v>16560</v>
      </c>
      <c r="I1307" s="1" t="s">
        <v>16561</v>
      </c>
      <c r="J1307" s="1" t="s">
        <v>16482</v>
      </c>
      <c r="K1307" s="36">
        <v>209972.84000000003</v>
      </c>
      <c r="L1307" s="4">
        <v>3.4086500000000002</v>
      </c>
      <c r="M1307" s="55">
        <v>61600</v>
      </c>
      <c r="N1307" s="1" t="s">
        <v>20155</v>
      </c>
      <c r="O1307" s="1" t="s">
        <v>17801</v>
      </c>
      <c r="P1307" s="876">
        <v>45124</v>
      </c>
      <c r="Q1307" s="50">
        <v>0</v>
      </c>
      <c r="R1307" s="50">
        <v>0</v>
      </c>
      <c r="S1307" s="50">
        <v>110000</v>
      </c>
      <c r="T1307" s="50">
        <v>0</v>
      </c>
      <c r="U1307" s="50">
        <v>110000</v>
      </c>
      <c r="V1307" s="11"/>
      <c r="W1307" s="17">
        <v>0</v>
      </c>
      <c r="X1307" s="17">
        <v>0</v>
      </c>
      <c r="Y1307" s="17">
        <v>209972.84</v>
      </c>
      <c r="Z1307" s="17">
        <v>0</v>
      </c>
      <c r="AA1307" s="24"/>
      <c r="AB1307" s="24"/>
      <c r="AC1307" s="24">
        <v>1.908844</v>
      </c>
      <c r="AD1307" s="24"/>
      <c r="AE1307" s="17">
        <v>5546.7143999999998</v>
      </c>
      <c r="AF1307" s="17">
        <v>24308.437999999998</v>
      </c>
      <c r="AG1307" s="17">
        <v>0.22098579999999998</v>
      </c>
      <c r="AH1307" s="590"/>
      <c r="AI1307" s="590"/>
      <c r="AJ1307" s="590">
        <v>1.6878582</v>
      </c>
      <c r="AK1307" s="590"/>
      <c r="AL1307" s="579">
        <v>0</v>
      </c>
      <c r="AM1307" s="579">
        <v>0</v>
      </c>
      <c r="AN1307" s="579" t="s">
        <v>20347</v>
      </c>
      <c r="AO1307" s="579">
        <v>0</v>
      </c>
    </row>
    <row r="1308" spans="1:41" hidden="1">
      <c r="A1308" s="402" t="s">
        <v>163</v>
      </c>
      <c r="B1308" s="1" t="s">
        <v>163</v>
      </c>
      <c r="C1308" s="1">
        <v>0</v>
      </c>
      <c r="D1308" s="464" t="s">
        <v>19053</v>
      </c>
      <c r="E1308" s="1" t="s">
        <v>163</v>
      </c>
      <c r="F1308" s="53">
        <v>45115</v>
      </c>
      <c r="G1308" s="1">
        <v>2023</v>
      </c>
      <c r="H1308" s="4" t="s">
        <v>16838</v>
      </c>
      <c r="I1308" s="1" t="s">
        <v>16839</v>
      </c>
      <c r="J1308" s="1" t="s">
        <v>3</v>
      </c>
      <c r="K1308" s="36">
        <v>407148</v>
      </c>
      <c r="L1308" s="4">
        <v>1</v>
      </c>
      <c r="M1308" s="55">
        <v>407148</v>
      </c>
      <c r="N1308" s="1" t="s">
        <v>20155</v>
      </c>
      <c r="O1308" s="1" t="s">
        <v>20321</v>
      </c>
      <c r="P1308" s="876">
        <v>45129</v>
      </c>
      <c r="Q1308" s="50">
        <v>0</v>
      </c>
      <c r="R1308" s="50">
        <v>220080</v>
      </c>
      <c r="S1308" s="50">
        <v>0</v>
      </c>
      <c r="T1308" s="50">
        <v>0</v>
      </c>
      <c r="U1308" s="50">
        <v>220080</v>
      </c>
      <c r="V1308" s="11"/>
      <c r="W1308" s="17">
        <v>0</v>
      </c>
      <c r="X1308" s="17">
        <v>407148</v>
      </c>
      <c r="Y1308" s="17">
        <v>0</v>
      </c>
      <c r="Z1308" s="17">
        <v>0</v>
      </c>
      <c r="AA1308" s="24"/>
      <c r="AB1308" s="24">
        <v>1.85</v>
      </c>
      <c r="AC1308" s="24"/>
      <c r="AD1308" s="24"/>
      <c r="AE1308" s="17">
        <v>0</v>
      </c>
      <c r="AF1308" s="17">
        <v>0</v>
      </c>
      <c r="AG1308" s="17">
        <v>0</v>
      </c>
      <c r="AH1308" s="590"/>
      <c r="AI1308" s="590">
        <v>1.85</v>
      </c>
      <c r="AJ1308" s="590"/>
      <c r="AK1308" s="590"/>
      <c r="AL1308" s="579">
        <v>0</v>
      </c>
      <c r="AM1308" s="579" t="s">
        <v>20347</v>
      </c>
      <c r="AN1308" s="579">
        <v>0</v>
      </c>
      <c r="AO1308" s="579">
        <v>0</v>
      </c>
    </row>
    <row r="1309" spans="1:41" hidden="1">
      <c r="A1309" s="592" t="s">
        <v>164</v>
      </c>
      <c r="B1309" s="593" t="s">
        <v>164</v>
      </c>
      <c r="C1309" s="593">
        <v>0</v>
      </c>
      <c r="D1309" s="594" t="s">
        <v>19054</v>
      </c>
      <c r="E1309" s="593" t="s">
        <v>164</v>
      </c>
      <c r="F1309" s="595">
        <v>45117</v>
      </c>
      <c r="G1309" s="593">
        <v>2023</v>
      </c>
      <c r="H1309" s="586" t="s">
        <v>16957</v>
      </c>
      <c r="I1309" s="279" t="s">
        <v>16958</v>
      </c>
      <c r="J1309" s="279" t="s">
        <v>16482</v>
      </c>
      <c r="K1309" s="280">
        <v>50617.626149999996</v>
      </c>
      <c r="L1309" s="586">
        <v>3.3946499999999999</v>
      </c>
      <c r="M1309" s="587">
        <v>14911</v>
      </c>
      <c r="N1309" s="593" t="s">
        <v>20155</v>
      </c>
      <c r="O1309" s="593" t="s">
        <v>20161</v>
      </c>
      <c r="P1309" s="888">
        <v>45154</v>
      </c>
      <c r="Q1309" s="596">
        <v>20150</v>
      </c>
      <c r="R1309" s="596">
        <v>0</v>
      </c>
      <c r="S1309" s="596">
        <v>0</v>
      </c>
      <c r="T1309" s="596">
        <v>0</v>
      </c>
      <c r="U1309" s="596">
        <v>20150</v>
      </c>
      <c r="V1309" s="597"/>
      <c r="W1309" s="42">
        <v>50617.626149999996</v>
      </c>
      <c r="X1309" s="42">
        <v>0</v>
      </c>
      <c r="Y1309" s="42">
        <v>0</v>
      </c>
      <c r="Z1309" s="42">
        <v>0</v>
      </c>
      <c r="AA1309" s="488">
        <v>2.512041</v>
      </c>
      <c r="AB1309" s="488"/>
      <c r="AC1309" s="488"/>
      <c r="AD1309" s="488"/>
      <c r="AE1309" s="42">
        <v>0</v>
      </c>
      <c r="AF1309" s="42">
        <v>1838.5450000000001</v>
      </c>
      <c r="AG1309" s="42">
        <v>9.1242928039702242E-2</v>
      </c>
      <c r="AH1309" s="590">
        <v>2.4207980719602977</v>
      </c>
      <c r="AI1309" s="590"/>
      <c r="AJ1309" s="590"/>
      <c r="AK1309" s="590"/>
      <c r="AL1309" s="598">
        <v>0</v>
      </c>
      <c r="AM1309" s="598">
        <v>0</v>
      </c>
      <c r="AN1309" s="598">
        <v>0</v>
      </c>
      <c r="AO1309" s="598">
        <v>0</v>
      </c>
    </row>
    <row r="1310" spans="1:41" hidden="1">
      <c r="A1310" s="592" t="s">
        <v>165</v>
      </c>
      <c r="B1310" s="593" t="s">
        <v>165</v>
      </c>
      <c r="C1310" s="593">
        <v>0</v>
      </c>
      <c r="D1310" s="594" t="s">
        <v>19055</v>
      </c>
      <c r="E1310" s="593" t="s">
        <v>165</v>
      </c>
      <c r="F1310" s="595">
        <v>45117</v>
      </c>
      <c r="G1310" s="593">
        <v>2023</v>
      </c>
      <c r="H1310" s="586" t="s">
        <v>16957</v>
      </c>
      <c r="I1310" s="279" t="s">
        <v>16958</v>
      </c>
      <c r="J1310" s="279" t="s">
        <v>16482</v>
      </c>
      <c r="K1310" s="280">
        <v>45487.461337499997</v>
      </c>
      <c r="L1310" s="586">
        <v>3.3946499999999999</v>
      </c>
      <c r="M1310" s="587">
        <v>13399.75</v>
      </c>
      <c r="N1310" s="593" t="s">
        <v>20155</v>
      </c>
      <c r="O1310" s="593" t="s">
        <v>20161</v>
      </c>
      <c r="P1310" s="888">
        <v>45154</v>
      </c>
      <c r="Q1310" s="596">
        <v>20150</v>
      </c>
      <c r="R1310" s="596">
        <v>0</v>
      </c>
      <c r="S1310" s="596">
        <v>0</v>
      </c>
      <c r="T1310" s="596">
        <v>0</v>
      </c>
      <c r="U1310" s="596">
        <v>20150</v>
      </c>
      <c r="V1310" s="597"/>
      <c r="W1310" s="42">
        <v>45487.46133749999</v>
      </c>
      <c r="X1310" s="42">
        <v>0</v>
      </c>
      <c r="Y1310" s="42">
        <v>0</v>
      </c>
      <c r="Z1310" s="42">
        <v>0</v>
      </c>
      <c r="AA1310" s="488">
        <v>2.2574422499999995</v>
      </c>
      <c r="AB1310" s="488"/>
      <c r="AC1310" s="488"/>
      <c r="AD1310" s="488"/>
      <c r="AE1310" s="42">
        <v>0</v>
      </c>
      <c r="AF1310" s="42">
        <v>1838.5450000000001</v>
      </c>
      <c r="AG1310" s="42">
        <v>9.1242928039702242E-2</v>
      </c>
      <c r="AH1310" s="590">
        <v>2.1661993219602973</v>
      </c>
      <c r="AI1310" s="590"/>
      <c r="AJ1310" s="590"/>
      <c r="AK1310" s="590"/>
      <c r="AL1310" s="598">
        <v>0</v>
      </c>
      <c r="AM1310" s="598">
        <v>0</v>
      </c>
      <c r="AN1310" s="598">
        <v>0</v>
      </c>
      <c r="AO1310" s="598">
        <v>0</v>
      </c>
    </row>
    <row r="1311" spans="1:41" hidden="1">
      <c r="A1311" s="402" t="s">
        <v>166</v>
      </c>
      <c r="B1311" s="1" t="s">
        <v>166</v>
      </c>
      <c r="C1311" s="1">
        <v>0</v>
      </c>
      <c r="D1311" s="464" t="s">
        <v>19056</v>
      </c>
      <c r="E1311" s="1" t="s">
        <v>166</v>
      </c>
      <c r="F1311" s="53">
        <v>45118</v>
      </c>
      <c r="G1311" s="1">
        <v>2023</v>
      </c>
      <c r="H1311" s="4" t="s">
        <v>17299</v>
      </c>
      <c r="I1311" s="1" t="s">
        <v>17300</v>
      </c>
      <c r="J1311" s="1" t="s">
        <v>16482</v>
      </c>
      <c r="K1311" s="36">
        <v>493794.63099999999</v>
      </c>
      <c r="L1311" s="4">
        <v>3.4059499999999998</v>
      </c>
      <c r="M1311" s="55">
        <v>144980</v>
      </c>
      <c r="N1311" s="1" t="s">
        <v>20155</v>
      </c>
      <c r="O1311" s="1" t="s">
        <v>20321</v>
      </c>
      <c r="P1311" s="876">
        <v>45134</v>
      </c>
      <c r="Q1311" s="50">
        <v>192000</v>
      </c>
      <c r="R1311" s="50">
        <v>0</v>
      </c>
      <c r="S1311" s="50">
        <v>0</v>
      </c>
      <c r="T1311" s="50">
        <v>0</v>
      </c>
      <c r="U1311" s="50">
        <v>192000</v>
      </c>
      <c r="V1311" s="11"/>
      <c r="W1311" s="17">
        <v>493794.63099999999</v>
      </c>
      <c r="X1311" s="17">
        <v>0</v>
      </c>
      <c r="Y1311" s="17">
        <v>0</v>
      </c>
      <c r="Z1311" s="17">
        <v>0</v>
      </c>
      <c r="AA1311" s="24">
        <v>2.5718470364583332</v>
      </c>
      <c r="AB1311" s="24"/>
      <c r="AC1311" s="24"/>
      <c r="AD1311" s="24"/>
      <c r="AE1311" s="17">
        <v>12543.659999999998</v>
      </c>
      <c r="AF1311" s="17">
        <v>56715.02</v>
      </c>
      <c r="AG1311" s="17">
        <v>0.29539072916666664</v>
      </c>
      <c r="AH1311" s="590">
        <v>2.2764563072916664</v>
      </c>
      <c r="AI1311" s="590"/>
      <c r="AJ1311" s="590"/>
      <c r="AK1311" s="590"/>
      <c r="AL1311" s="579" t="s">
        <v>20345</v>
      </c>
      <c r="AM1311" s="579">
        <v>0</v>
      </c>
      <c r="AN1311" s="579">
        <v>0</v>
      </c>
      <c r="AO1311" s="579">
        <v>0</v>
      </c>
    </row>
    <row r="1312" spans="1:41" hidden="1">
      <c r="A1312" s="402" t="s">
        <v>167</v>
      </c>
      <c r="B1312" s="1" t="s">
        <v>167</v>
      </c>
      <c r="C1312" s="1">
        <v>0</v>
      </c>
      <c r="D1312" s="464" t="s">
        <v>19057</v>
      </c>
      <c r="E1312" s="1" t="s">
        <v>167</v>
      </c>
      <c r="F1312" s="53">
        <v>45120</v>
      </c>
      <c r="G1312" s="1">
        <v>2023</v>
      </c>
      <c r="H1312" s="4" t="s">
        <v>16880</v>
      </c>
      <c r="I1312" s="1" t="s">
        <v>16881</v>
      </c>
      <c r="J1312" s="1" t="s">
        <v>16401</v>
      </c>
      <c r="K1312" s="36">
        <v>94628.23943999999</v>
      </c>
      <c r="L1312" s="4">
        <v>3.0421999999999998</v>
      </c>
      <c r="M1312" s="55">
        <v>31105.200000000001</v>
      </c>
      <c r="N1312" s="1" t="s">
        <v>20155</v>
      </c>
      <c r="O1312" s="1" t="s">
        <v>20156</v>
      </c>
      <c r="P1312" s="876">
        <v>45129</v>
      </c>
      <c r="Q1312" s="50">
        <v>0</v>
      </c>
      <c r="R1312" s="50">
        <v>21500</v>
      </c>
      <c r="S1312" s="50">
        <v>0</v>
      </c>
      <c r="T1312" s="50">
        <v>0</v>
      </c>
      <c r="U1312" s="50">
        <v>21500</v>
      </c>
      <c r="V1312" s="11"/>
      <c r="W1312" s="17">
        <v>0</v>
      </c>
      <c r="X1312" s="17">
        <v>94628.239440000005</v>
      </c>
      <c r="Y1312" s="17">
        <v>0</v>
      </c>
      <c r="Z1312" s="17">
        <v>0</v>
      </c>
      <c r="AA1312" s="24"/>
      <c r="AB1312" s="24">
        <v>4.4013134623255814</v>
      </c>
      <c r="AC1312" s="24"/>
      <c r="AD1312" s="24"/>
      <c r="AE1312" s="17">
        <v>0</v>
      </c>
      <c r="AF1312" s="17">
        <v>2158.2199999999998</v>
      </c>
      <c r="AG1312" s="17">
        <v>0.10038232558139534</v>
      </c>
      <c r="AH1312" s="590"/>
      <c r="AI1312" s="590">
        <v>4.300931136744186</v>
      </c>
      <c r="AJ1312" s="590"/>
      <c r="AK1312" s="590"/>
      <c r="AL1312" s="579">
        <v>0</v>
      </c>
      <c r="AM1312" s="579">
        <v>1</v>
      </c>
      <c r="AN1312" s="579">
        <v>0</v>
      </c>
      <c r="AO1312" s="579">
        <v>0</v>
      </c>
    </row>
    <row r="1313" spans="1:41" hidden="1">
      <c r="A1313" s="402" t="s">
        <v>168</v>
      </c>
      <c r="B1313" s="1" t="s">
        <v>168</v>
      </c>
      <c r="C1313" s="1">
        <v>0</v>
      </c>
      <c r="D1313" s="464" t="s">
        <v>19058</v>
      </c>
      <c r="E1313" s="1" t="s">
        <v>168</v>
      </c>
      <c r="F1313" s="53">
        <v>45120</v>
      </c>
      <c r="G1313" s="1">
        <v>2023</v>
      </c>
      <c r="H1313" s="4" t="s">
        <v>16444</v>
      </c>
      <c r="I1313" s="1" t="s">
        <v>16445</v>
      </c>
      <c r="J1313" s="1" t="s">
        <v>3</v>
      </c>
      <c r="K1313" s="36">
        <v>116772</v>
      </c>
      <c r="L1313" s="4">
        <v>1</v>
      </c>
      <c r="M1313" s="55">
        <v>116772</v>
      </c>
      <c r="N1313" s="1" t="s">
        <v>20155</v>
      </c>
      <c r="O1313" s="1" t="s">
        <v>18248</v>
      </c>
      <c r="P1313" s="876">
        <v>45140</v>
      </c>
      <c r="Q1313" s="50">
        <v>12000</v>
      </c>
      <c r="R1313" s="50">
        <v>42000</v>
      </c>
      <c r="S1313" s="50">
        <v>2040</v>
      </c>
      <c r="T1313" s="50">
        <v>0</v>
      </c>
      <c r="U1313" s="50">
        <v>56040</v>
      </c>
      <c r="V1313" s="11"/>
      <c r="W1313" s="17">
        <v>26490</v>
      </c>
      <c r="X1313" s="17">
        <v>86100</v>
      </c>
      <c r="Y1313" s="17">
        <v>4182</v>
      </c>
      <c r="Z1313" s="17">
        <v>0</v>
      </c>
      <c r="AA1313" s="24">
        <v>2.2075</v>
      </c>
      <c r="AB1313" s="24">
        <v>2.0499999999999998</v>
      </c>
      <c r="AC1313" s="24">
        <v>2.0499999999999998</v>
      </c>
      <c r="AD1313" s="24"/>
      <c r="AE1313" s="17">
        <v>0</v>
      </c>
      <c r="AF1313" s="17">
        <v>0</v>
      </c>
      <c r="AG1313" s="17">
        <v>0</v>
      </c>
      <c r="AH1313" s="590">
        <v>2.2075</v>
      </c>
      <c r="AI1313" s="590">
        <v>2.0499999999999998</v>
      </c>
      <c r="AJ1313" s="590">
        <v>2.0499999999999998</v>
      </c>
      <c r="AK1313" s="590"/>
      <c r="AL1313" s="579">
        <v>0</v>
      </c>
      <c r="AM1313" s="579" t="s">
        <v>20346</v>
      </c>
      <c r="AN1313" s="579" t="s">
        <v>20347</v>
      </c>
      <c r="AO1313" s="579">
        <v>0</v>
      </c>
    </row>
    <row r="1314" spans="1:41" hidden="1">
      <c r="A1314" s="402" t="s">
        <v>169</v>
      </c>
      <c r="B1314" s="1" t="s">
        <v>169</v>
      </c>
      <c r="C1314" s="1">
        <v>0</v>
      </c>
      <c r="D1314" s="464" t="s">
        <v>19059</v>
      </c>
      <c r="E1314" s="1" t="s">
        <v>169</v>
      </c>
      <c r="F1314" s="53">
        <v>45121</v>
      </c>
      <c r="G1314" s="1">
        <v>2023</v>
      </c>
      <c r="H1314" s="4" t="s">
        <v>16838</v>
      </c>
      <c r="I1314" s="1" t="s">
        <v>16839</v>
      </c>
      <c r="J1314" s="1" t="s">
        <v>3</v>
      </c>
      <c r="K1314" s="36">
        <v>165332</v>
      </c>
      <c r="L1314" s="4">
        <v>1</v>
      </c>
      <c r="M1314" s="55">
        <v>165332</v>
      </c>
      <c r="N1314" s="1" t="s">
        <v>20155</v>
      </c>
      <c r="O1314" s="1" t="s">
        <v>17771</v>
      </c>
      <c r="P1314" s="876">
        <v>45133</v>
      </c>
      <c r="Q1314" s="50">
        <v>6000</v>
      </c>
      <c r="R1314" s="50">
        <v>21840</v>
      </c>
      <c r="S1314" s="50">
        <v>56000</v>
      </c>
      <c r="T1314" s="50">
        <v>0</v>
      </c>
      <c r="U1314" s="50">
        <v>83840</v>
      </c>
      <c r="V1314" s="11"/>
      <c r="W1314" s="17">
        <v>12900</v>
      </c>
      <c r="X1314" s="17">
        <v>44772</v>
      </c>
      <c r="Y1314" s="17">
        <v>107660</v>
      </c>
      <c r="Z1314" s="17">
        <v>0</v>
      </c>
      <c r="AA1314" s="24">
        <v>2.15</v>
      </c>
      <c r="AB1314" s="24">
        <v>2.0499999999999998</v>
      </c>
      <c r="AC1314" s="24">
        <v>1.9225000000000001</v>
      </c>
      <c r="AD1314" s="24"/>
      <c r="AE1314" s="17">
        <v>0</v>
      </c>
      <c r="AF1314" s="17">
        <v>0</v>
      </c>
      <c r="AG1314" s="17">
        <v>0</v>
      </c>
      <c r="AH1314" s="590">
        <v>2.15</v>
      </c>
      <c r="AI1314" s="590">
        <v>2.0499999999999998</v>
      </c>
      <c r="AJ1314" s="590">
        <v>1.9225000000000001</v>
      </c>
      <c r="AK1314" s="590"/>
      <c r="AL1314" s="579" t="s">
        <v>20345</v>
      </c>
      <c r="AM1314" s="579" t="s">
        <v>20346</v>
      </c>
      <c r="AN1314" s="579" t="s">
        <v>20347</v>
      </c>
      <c r="AO1314" s="579">
        <v>0</v>
      </c>
    </row>
    <row r="1315" spans="1:41" hidden="1">
      <c r="A1315" s="402" t="s">
        <v>170</v>
      </c>
      <c r="B1315" s="1" t="s">
        <v>170</v>
      </c>
      <c r="C1315" s="1">
        <v>0</v>
      </c>
      <c r="D1315" s="464" t="s">
        <v>19060</v>
      </c>
      <c r="E1315" s="1" t="s">
        <v>170</v>
      </c>
      <c r="F1315" s="53">
        <v>45128</v>
      </c>
      <c r="G1315" s="1">
        <v>2023</v>
      </c>
      <c r="H1315" s="4" t="s">
        <v>17017</v>
      </c>
      <c r="I1315" s="1" t="s">
        <v>17018</v>
      </c>
      <c r="J1315" s="1" t="s">
        <v>3</v>
      </c>
      <c r="K1315" s="36">
        <v>43400</v>
      </c>
      <c r="L1315" s="4">
        <v>1</v>
      </c>
      <c r="M1315" s="55">
        <v>43400</v>
      </c>
      <c r="N1315" s="1" t="s">
        <v>20155</v>
      </c>
      <c r="O1315" s="1" t="s">
        <v>20307</v>
      </c>
      <c r="P1315" s="876">
        <v>45138</v>
      </c>
      <c r="Q1315" s="50">
        <v>20000</v>
      </c>
      <c r="R1315" s="50">
        <v>0</v>
      </c>
      <c r="S1315" s="50">
        <v>0</v>
      </c>
      <c r="T1315" s="50">
        <v>0</v>
      </c>
      <c r="U1315" s="50">
        <v>20000</v>
      </c>
      <c r="V1315" s="11"/>
      <c r="W1315" s="17">
        <v>43400</v>
      </c>
      <c r="X1315" s="17">
        <v>0</v>
      </c>
      <c r="Y1315" s="17">
        <v>0</v>
      </c>
      <c r="Z1315" s="17">
        <v>0</v>
      </c>
      <c r="AA1315" s="24">
        <v>2.17</v>
      </c>
      <c r="AB1315" s="24"/>
      <c r="AC1315" s="24"/>
      <c r="AD1315" s="24"/>
      <c r="AE1315" s="17">
        <v>0</v>
      </c>
      <c r="AF1315" s="17">
        <v>0</v>
      </c>
      <c r="AG1315" s="17">
        <v>0</v>
      </c>
      <c r="AH1315" s="590">
        <v>2.17</v>
      </c>
      <c r="AI1315" s="590"/>
      <c r="AJ1315" s="590"/>
      <c r="AK1315" s="590"/>
      <c r="AL1315" s="579" t="s">
        <v>20345</v>
      </c>
      <c r="AM1315" s="579">
        <v>0</v>
      </c>
      <c r="AN1315" s="579">
        <v>0</v>
      </c>
      <c r="AO1315" s="579">
        <v>0</v>
      </c>
    </row>
    <row r="1316" spans="1:41" hidden="1">
      <c r="A1316" s="402" t="s">
        <v>171</v>
      </c>
      <c r="B1316" s="1" t="s">
        <v>171</v>
      </c>
      <c r="C1316" s="1">
        <v>0</v>
      </c>
      <c r="D1316" s="464" t="s">
        <v>19061</v>
      </c>
      <c r="E1316" s="1" t="s">
        <v>171</v>
      </c>
      <c r="F1316" s="53">
        <v>45128</v>
      </c>
      <c r="G1316" s="1">
        <v>2023</v>
      </c>
      <c r="H1316" s="4" t="s">
        <v>17017</v>
      </c>
      <c r="I1316" s="1" t="s">
        <v>17018</v>
      </c>
      <c r="J1316" s="1" t="s">
        <v>3</v>
      </c>
      <c r="K1316" s="36">
        <v>43400</v>
      </c>
      <c r="L1316" s="4">
        <v>1</v>
      </c>
      <c r="M1316" s="55">
        <v>43400</v>
      </c>
      <c r="N1316" s="1" t="s">
        <v>20155</v>
      </c>
      <c r="O1316" s="1" t="s">
        <v>20307</v>
      </c>
      <c r="P1316" s="876">
        <v>45138</v>
      </c>
      <c r="Q1316" s="50">
        <v>20000</v>
      </c>
      <c r="R1316" s="50">
        <v>0</v>
      </c>
      <c r="S1316" s="50">
        <v>0</v>
      </c>
      <c r="T1316" s="50">
        <v>0</v>
      </c>
      <c r="U1316" s="50">
        <v>20000</v>
      </c>
      <c r="V1316" s="11"/>
      <c r="W1316" s="17">
        <v>43400</v>
      </c>
      <c r="X1316" s="17">
        <v>0</v>
      </c>
      <c r="Y1316" s="17">
        <v>0</v>
      </c>
      <c r="Z1316" s="17">
        <v>0</v>
      </c>
      <c r="AA1316" s="24">
        <v>2.17</v>
      </c>
      <c r="AB1316" s="24"/>
      <c r="AC1316" s="24"/>
      <c r="AD1316" s="24"/>
      <c r="AE1316" s="17">
        <v>0</v>
      </c>
      <c r="AF1316" s="17">
        <v>0</v>
      </c>
      <c r="AG1316" s="17">
        <v>0</v>
      </c>
      <c r="AH1316" s="590">
        <v>2.17</v>
      </c>
      <c r="AI1316" s="590"/>
      <c r="AJ1316" s="590"/>
      <c r="AK1316" s="590"/>
      <c r="AL1316" s="579" t="s">
        <v>20345</v>
      </c>
      <c r="AM1316" s="579">
        <v>0</v>
      </c>
      <c r="AN1316" s="579">
        <v>0</v>
      </c>
      <c r="AO1316" s="579">
        <v>0</v>
      </c>
    </row>
    <row r="1317" spans="1:41" hidden="1">
      <c r="A1317" s="402" t="s">
        <v>172</v>
      </c>
      <c r="B1317" s="1" t="s">
        <v>172</v>
      </c>
      <c r="C1317" s="1">
        <v>0</v>
      </c>
      <c r="D1317" s="464" t="s">
        <v>19062</v>
      </c>
      <c r="E1317" s="1" t="s">
        <v>172</v>
      </c>
      <c r="F1317" s="53">
        <v>45128</v>
      </c>
      <c r="G1317" s="1">
        <v>2023</v>
      </c>
      <c r="H1317" s="4" t="s">
        <v>17017</v>
      </c>
      <c r="I1317" s="1" t="s">
        <v>17018</v>
      </c>
      <c r="J1317" s="1" t="s">
        <v>3</v>
      </c>
      <c r="K1317" s="36">
        <v>43400</v>
      </c>
      <c r="L1317" s="4">
        <v>1</v>
      </c>
      <c r="M1317" s="55">
        <v>43400</v>
      </c>
      <c r="N1317" s="1" t="s">
        <v>20155</v>
      </c>
      <c r="O1317" s="1" t="s">
        <v>20307</v>
      </c>
      <c r="P1317" s="876">
        <v>45138</v>
      </c>
      <c r="Q1317" s="50">
        <v>20000</v>
      </c>
      <c r="R1317" s="50">
        <v>0</v>
      </c>
      <c r="S1317" s="50">
        <v>0</v>
      </c>
      <c r="T1317" s="50">
        <v>0</v>
      </c>
      <c r="U1317" s="50">
        <v>20000</v>
      </c>
      <c r="V1317" s="11"/>
      <c r="W1317" s="17">
        <v>43400</v>
      </c>
      <c r="X1317" s="17">
        <v>0</v>
      </c>
      <c r="Y1317" s="17">
        <v>0</v>
      </c>
      <c r="Z1317" s="17">
        <v>0</v>
      </c>
      <c r="AA1317" s="24">
        <v>2.17</v>
      </c>
      <c r="AB1317" s="24"/>
      <c r="AC1317" s="24"/>
      <c r="AD1317" s="24"/>
      <c r="AE1317" s="17">
        <v>0</v>
      </c>
      <c r="AF1317" s="17">
        <v>0</v>
      </c>
      <c r="AG1317" s="17">
        <v>0</v>
      </c>
      <c r="AH1317" s="590">
        <v>2.17</v>
      </c>
      <c r="AI1317" s="590"/>
      <c r="AJ1317" s="590"/>
      <c r="AK1317" s="590"/>
      <c r="AL1317" s="579" t="s">
        <v>20345</v>
      </c>
      <c r="AM1317" s="579">
        <v>0</v>
      </c>
      <c r="AN1317" s="579">
        <v>0</v>
      </c>
      <c r="AO1317" s="579">
        <v>0</v>
      </c>
    </row>
    <row r="1318" spans="1:41" hidden="1">
      <c r="A1318" s="402" t="s">
        <v>173</v>
      </c>
      <c r="B1318" s="1" t="s">
        <v>173</v>
      </c>
      <c r="C1318" s="1">
        <v>0</v>
      </c>
      <c r="D1318" s="464" t="s">
        <v>19063</v>
      </c>
      <c r="E1318" s="1" t="s">
        <v>173</v>
      </c>
      <c r="F1318" s="53">
        <v>45131</v>
      </c>
      <c r="G1318" s="1">
        <v>2023</v>
      </c>
      <c r="H1318" s="4" t="s">
        <v>16470</v>
      </c>
      <c r="I1318" s="1" t="s">
        <v>16471</v>
      </c>
      <c r="J1318" s="1" t="s">
        <v>16401</v>
      </c>
      <c r="K1318" s="36">
        <v>591781.78026000003</v>
      </c>
      <c r="L1318" s="4">
        <v>3.0865999999999998</v>
      </c>
      <c r="M1318" s="55">
        <v>191726.1</v>
      </c>
      <c r="N1318" s="1" t="s">
        <v>20155</v>
      </c>
      <c r="O1318" s="1" t="s">
        <v>20352</v>
      </c>
      <c r="P1318" s="876">
        <v>45138</v>
      </c>
      <c r="Q1318" s="50">
        <v>18960</v>
      </c>
      <c r="R1318" s="50">
        <v>242770</v>
      </c>
      <c r="S1318" s="50">
        <v>16000</v>
      </c>
      <c r="T1318" s="50">
        <v>0</v>
      </c>
      <c r="U1318" s="50">
        <v>277730</v>
      </c>
      <c r="V1318" s="11"/>
      <c r="W1318" s="17">
        <v>47619.875391918482</v>
      </c>
      <c r="X1318" s="17">
        <v>510526.05088654696</v>
      </c>
      <c r="Y1318" s="17">
        <v>34141.439061534591</v>
      </c>
      <c r="Z1318" s="17">
        <v>0</v>
      </c>
      <c r="AA1318" s="24">
        <v>2.5115968033712281</v>
      </c>
      <c r="AB1318" s="24">
        <v>2.1029206693024136</v>
      </c>
      <c r="AC1318" s="24">
        <v>2.1338399413459119</v>
      </c>
      <c r="AD1318" s="24"/>
      <c r="AE1318" s="17">
        <v>18905.174999999999</v>
      </c>
      <c r="AF1318" s="17">
        <v>78056.566000000006</v>
      </c>
      <c r="AG1318" s="17">
        <v>0.28105197854030894</v>
      </c>
      <c r="AH1318" s="590">
        <v>2.2305448248309192</v>
      </c>
      <c r="AI1318" s="590">
        <v>1.8218686907621047</v>
      </c>
      <c r="AJ1318" s="590">
        <v>1.852787962805603</v>
      </c>
      <c r="AK1318" s="590"/>
      <c r="AL1318" s="579" t="s">
        <v>20345</v>
      </c>
      <c r="AM1318" s="579" t="s">
        <v>20346</v>
      </c>
      <c r="AN1318" s="579" t="s">
        <v>20347</v>
      </c>
      <c r="AO1318" s="579">
        <v>0</v>
      </c>
    </row>
    <row r="1319" spans="1:41" hidden="1">
      <c r="A1319" s="592" t="s">
        <v>174</v>
      </c>
      <c r="B1319" s="593" t="s">
        <v>174</v>
      </c>
      <c r="C1319" s="593">
        <v>0</v>
      </c>
      <c r="D1319" s="594" t="s">
        <v>19064</v>
      </c>
      <c r="E1319" s="593" t="s">
        <v>174</v>
      </c>
      <c r="F1319" s="595">
        <v>45133</v>
      </c>
      <c r="G1319" s="593">
        <v>2023</v>
      </c>
      <c r="H1319" s="586" t="s">
        <v>16643</v>
      </c>
      <c r="I1319" s="279" t="s">
        <v>16644</v>
      </c>
      <c r="J1319" s="279" t="s">
        <v>16482</v>
      </c>
      <c r="K1319" s="280">
        <v>58399.267500000002</v>
      </c>
      <c r="L1319" s="586">
        <v>3.38625</v>
      </c>
      <c r="M1319" s="587">
        <v>17246</v>
      </c>
      <c r="N1319" s="593" t="s">
        <v>20155</v>
      </c>
      <c r="O1319" s="593" t="s">
        <v>20352</v>
      </c>
      <c r="P1319" s="888">
        <v>45145</v>
      </c>
      <c r="Q1319" s="596">
        <v>0</v>
      </c>
      <c r="R1319" s="596">
        <v>25200</v>
      </c>
      <c r="S1319" s="596">
        <v>0</v>
      </c>
      <c r="T1319" s="596">
        <v>0</v>
      </c>
      <c r="U1319" s="596">
        <v>25200</v>
      </c>
      <c r="V1319" s="597"/>
      <c r="W1319" s="42">
        <v>0</v>
      </c>
      <c r="X1319" s="42">
        <v>58399.267500000002</v>
      </c>
      <c r="Y1319" s="42">
        <v>0</v>
      </c>
      <c r="Z1319" s="42">
        <v>0</v>
      </c>
      <c r="AA1319" s="488"/>
      <c r="AB1319" s="488">
        <v>2.3174312500000003</v>
      </c>
      <c r="AC1319" s="488"/>
      <c r="AD1319" s="488"/>
      <c r="AE1319" s="42">
        <v>2034.33</v>
      </c>
      <c r="AF1319" s="42">
        <v>8502.19</v>
      </c>
      <c r="AG1319" s="42">
        <v>0.33738849206349208</v>
      </c>
      <c r="AH1319" s="590"/>
      <c r="AI1319" s="590">
        <v>1.9800427579365083</v>
      </c>
      <c r="AJ1319" s="590"/>
      <c r="AK1319" s="590"/>
      <c r="AL1319" s="598">
        <v>0</v>
      </c>
      <c r="AM1319" s="598" t="s">
        <v>20346</v>
      </c>
      <c r="AN1319" s="598">
        <v>0</v>
      </c>
      <c r="AO1319" s="598">
        <v>0</v>
      </c>
    </row>
    <row r="1320" spans="1:41" hidden="1">
      <c r="A1320" s="402" t="s">
        <v>175</v>
      </c>
      <c r="B1320" s="1" t="s">
        <v>175</v>
      </c>
      <c r="C1320" s="1">
        <v>0</v>
      </c>
      <c r="D1320" s="464" t="s">
        <v>19065</v>
      </c>
      <c r="E1320" s="1" t="s">
        <v>175</v>
      </c>
      <c r="F1320" s="53">
        <v>45134</v>
      </c>
      <c r="G1320" s="1">
        <v>2023</v>
      </c>
      <c r="H1320" s="4" t="s">
        <v>16444</v>
      </c>
      <c r="I1320" s="1" t="s">
        <v>16445</v>
      </c>
      <c r="J1320" s="1" t="s">
        <v>3</v>
      </c>
      <c r="K1320" s="36">
        <v>41664</v>
      </c>
      <c r="L1320" s="4">
        <v>1</v>
      </c>
      <c r="M1320" s="55">
        <v>41664</v>
      </c>
      <c r="N1320" s="1" t="s">
        <v>20155</v>
      </c>
      <c r="O1320" s="1" t="s">
        <v>17965</v>
      </c>
      <c r="P1320" s="876">
        <v>45140</v>
      </c>
      <c r="Q1320" s="50">
        <v>19200</v>
      </c>
      <c r="R1320" s="50">
        <v>0</v>
      </c>
      <c r="S1320" s="50">
        <v>0</v>
      </c>
      <c r="T1320" s="50">
        <v>0</v>
      </c>
      <c r="U1320" s="50">
        <v>19200</v>
      </c>
      <c r="V1320" s="11"/>
      <c r="W1320" s="17">
        <v>41664</v>
      </c>
      <c r="X1320" s="17">
        <v>0</v>
      </c>
      <c r="Y1320" s="17">
        <v>0</v>
      </c>
      <c r="Z1320" s="17">
        <v>0</v>
      </c>
      <c r="AA1320" s="24">
        <v>2.17</v>
      </c>
      <c r="AB1320" s="24"/>
      <c r="AC1320" s="24"/>
      <c r="AD1320" s="24"/>
      <c r="AE1320" s="17">
        <v>0</v>
      </c>
      <c r="AF1320" s="17">
        <v>0</v>
      </c>
      <c r="AG1320" s="17">
        <v>0</v>
      </c>
      <c r="AH1320" s="590">
        <v>2.17</v>
      </c>
      <c r="AI1320" s="590"/>
      <c r="AJ1320" s="590"/>
      <c r="AK1320" s="590"/>
      <c r="AL1320" s="579" t="s">
        <v>20345</v>
      </c>
      <c r="AM1320" s="579">
        <v>0</v>
      </c>
      <c r="AN1320" s="579">
        <v>0</v>
      </c>
      <c r="AO1320" s="579">
        <v>0</v>
      </c>
    </row>
    <row r="1321" spans="1:41" hidden="1">
      <c r="A1321" s="402">
        <v>164</v>
      </c>
      <c r="B1321" s="1" t="s">
        <v>176</v>
      </c>
      <c r="C1321" s="1">
        <v>0</v>
      </c>
      <c r="D1321" s="464" t="s">
        <v>19066</v>
      </c>
      <c r="E1321" s="1" t="s">
        <v>176</v>
      </c>
      <c r="F1321" s="53">
        <v>45137</v>
      </c>
      <c r="G1321" s="1">
        <v>2023</v>
      </c>
      <c r="H1321" s="4" t="s">
        <v>17017</v>
      </c>
      <c r="I1321" s="1" t="s">
        <v>17018</v>
      </c>
      <c r="J1321" s="1" t="s">
        <v>3</v>
      </c>
      <c r="K1321" s="36">
        <v>86100</v>
      </c>
      <c r="L1321" s="4">
        <v>1</v>
      </c>
      <c r="M1321" s="55">
        <v>86100</v>
      </c>
      <c r="N1321" s="1" t="s">
        <v>20155</v>
      </c>
      <c r="O1321" s="1" t="s">
        <v>20307</v>
      </c>
      <c r="P1321" s="876">
        <v>45142</v>
      </c>
      <c r="Q1321" s="50">
        <v>0</v>
      </c>
      <c r="R1321" s="50">
        <v>41000</v>
      </c>
      <c r="S1321" s="50">
        <v>0</v>
      </c>
      <c r="T1321" s="50">
        <v>0</v>
      </c>
      <c r="U1321" s="50">
        <v>41000</v>
      </c>
      <c r="V1321" s="11"/>
      <c r="W1321" s="17">
        <v>0</v>
      </c>
      <c r="X1321" s="17">
        <v>86100</v>
      </c>
      <c r="Y1321" s="17">
        <v>0</v>
      </c>
      <c r="Z1321" s="17">
        <v>0</v>
      </c>
      <c r="AA1321" s="24"/>
      <c r="AB1321" s="24">
        <v>2.1</v>
      </c>
      <c r="AC1321" s="24"/>
      <c r="AD1321" s="24"/>
      <c r="AE1321" s="17">
        <v>0</v>
      </c>
      <c r="AF1321" s="17">
        <v>0</v>
      </c>
      <c r="AG1321" s="17">
        <v>0</v>
      </c>
      <c r="AH1321" s="590"/>
      <c r="AI1321" s="590">
        <v>2.1</v>
      </c>
      <c r="AJ1321" s="590"/>
      <c r="AK1321" s="590"/>
      <c r="AL1321" s="579">
        <v>0</v>
      </c>
      <c r="AM1321" s="579" t="s">
        <v>20345</v>
      </c>
      <c r="AN1321" s="579">
        <v>0</v>
      </c>
      <c r="AO1321" s="579">
        <v>0</v>
      </c>
    </row>
    <row r="1322" spans="1:41" hidden="1">
      <c r="A1322" s="402">
        <v>165</v>
      </c>
      <c r="B1322" s="1" t="s">
        <v>177</v>
      </c>
      <c r="C1322" s="1">
        <v>0</v>
      </c>
      <c r="D1322" s="464" t="s">
        <v>19067</v>
      </c>
      <c r="E1322" s="1" t="s">
        <v>177</v>
      </c>
      <c r="F1322" s="53">
        <v>45139</v>
      </c>
      <c r="G1322" s="1">
        <v>2023</v>
      </c>
      <c r="H1322" s="4" t="s">
        <v>16838</v>
      </c>
      <c r="I1322" s="1" t="s">
        <v>16839</v>
      </c>
      <c r="J1322" s="1" t="s">
        <v>3</v>
      </c>
      <c r="K1322" s="36">
        <v>107660</v>
      </c>
      <c r="L1322" s="4">
        <v>1</v>
      </c>
      <c r="M1322" s="55">
        <v>107660</v>
      </c>
      <c r="N1322" s="1" t="s">
        <v>20155</v>
      </c>
      <c r="O1322" s="1" t="s">
        <v>17771</v>
      </c>
      <c r="P1322" s="876">
        <v>45154</v>
      </c>
      <c r="Q1322" s="50">
        <v>0</v>
      </c>
      <c r="R1322" s="50">
        <v>0</v>
      </c>
      <c r="S1322" s="50">
        <v>56000</v>
      </c>
      <c r="T1322" s="50">
        <v>0</v>
      </c>
      <c r="U1322" s="50">
        <v>56000</v>
      </c>
      <c r="V1322" s="11"/>
      <c r="W1322" s="17">
        <v>0</v>
      </c>
      <c r="X1322" s="17">
        <v>0</v>
      </c>
      <c r="Y1322" s="17">
        <v>107660</v>
      </c>
      <c r="Z1322" s="17">
        <v>0</v>
      </c>
      <c r="AA1322" s="24"/>
      <c r="AB1322" s="24"/>
      <c r="AC1322" s="24">
        <v>1.9225000000000001</v>
      </c>
      <c r="AD1322" s="24"/>
      <c r="AE1322" s="17">
        <v>0</v>
      </c>
      <c r="AF1322" s="17">
        <v>0</v>
      </c>
      <c r="AG1322" s="17">
        <v>0</v>
      </c>
      <c r="AH1322" s="590"/>
      <c r="AI1322" s="590"/>
      <c r="AJ1322" s="590">
        <v>1.9225000000000001</v>
      </c>
      <c r="AK1322" s="590"/>
      <c r="AL1322" s="579">
        <v>0</v>
      </c>
      <c r="AM1322" s="579">
        <v>0</v>
      </c>
      <c r="AN1322" s="579" t="s">
        <v>20347</v>
      </c>
      <c r="AO1322" s="579">
        <v>0</v>
      </c>
    </row>
    <row r="1323" spans="1:41" hidden="1">
      <c r="A1323" s="599" t="s">
        <v>178</v>
      </c>
      <c r="B1323" s="3" t="s">
        <v>178</v>
      </c>
      <c r="C1323" s="3">
        <v>0</v>
      </c>
      <c r="D1323" s="600" t="s">
        <v>19068</v>
      </c>
      <c r="E1323" s="3" t="s">
        <v>178</v>
      </c>
      <c r="F1323" s="601">
        <v>45142</v>
      </c>
      <c r="G1323" s="3">
        <v>2023</v>
      </c>
      <c r="H1323" s="586" t="s">
        <v>17299</v>
      </c>
      <c r="I1323" s="3" t="s">
        <v>17300</v>
      </c>
      <c r="J1323" s="3" t="s">
        <v>16482</v>
      </c>
      <c r="K1323" s="54">
        <v>294580.51260000002</v>
      </c>
      <c r="L1323" s="586">
        <v>3.38645</v>
      </c>
      <c r="M1323" s="587">
        <v>86988</v>
      </c>
      <c r="N1323" s="3" t="s">
        <v>20155</v>
      </c>
      <c r="O1323" s="3" t="s">
        <v>20321</v>
      </c>
      <c r="P1323" s="875">
        <v>45156</v>
      </c>
      <c r="Q1323" s="466">
        <v>115200</v>
      </c>
      <c r="R1323" s="466">
        <v>0</v>
      </c>
      <c r="S1323" s="466">
        <v>0</v>
      </c>
      <c r="T1323" s="466">
        <v>0</v>
      </c>
      <c r="U1323" s="466">
        <v>115200</v>
      </c>
      <c r="V1323" s="51"/>
      <c r="W1323" s="602">
        <v>294580.51260000002</v>
      </c>
      <c r="X1323" s="602">
        <v>0</v>
      </c>
      <c r="Y1323" s="602">
        <v>0</v>
      </c>
      <c r="Z1323" s="602">
        <v>0</v>
      </c>
      <c r="AA1323" s="495">
        <v>2.5571225052083335</v>
      </c>
      <c r="AB1323" s="495"/>
      <c r="AC1323" s="495"/>
      <c r="AD1323" s="495"/>
      <c r="AE1323" s="602">
        <v>7591.0769999999993</v>
      </c>
      <c r="AF1323" s="602">
        <v>34091.760000000002</v>
      </c>
      <c r="AG1323" s="602">
        <v>0.29593541666666667</v>
      </c>
      <c r="AH1323" s="590">
        <v>2.2611870885416669</v>
      </c>
      <c r="AI1323" s="590"/>
      <c r="AJ1323" s="590"/>
      <c r="AK1323" s="590"/>
      <c r="AL1323" s="603" t="s">
        <v>20345</v>
      </c>
      <c r="AM1323" s="603">
        <v>0</v>
      </c>
      <c r="AN1323" s="603">
        <v>0</v>
      </c>
      <c r="AO1323" s="603">
        <v>0</v>
      </c>
    </row>
    <row r="1324" spans="1:41" hidden="1">
      <c r="A1324" s="599" t="s">
        <v>179</v>
      </c>
      <c r="B1324" s="3" t="s">
        <v>179</v>
      </c>
      <c r="C1324" s="3">
        <v>0</v>
      </c>
      <c r="D1324" s="600" t="s">
        <v>19069</v>
      </c>
      <c r="E1324" s="3" t="s">
        <v>179</v>
      </c>
      <c r="F1324" s="601">
        <v>45142</v>
      </c>
      <c r="G1324" s="3">
        <v>2023</v>
      </c>
      <c r="H1324" s="586" t="s">
        <v>16444</v>
      </c>
      <c r="I1324" s="3" t="s">
        <v>16445</v>
      </c>
      <c r="J1324" s="3" t="s">
        <v>3</v>
      </c>
      <c r="K1324" s="54">
        <v>115978.2</v>
      </c>
      <c r="L1324" s="586">
        <v>1</v>
      </c>
      <c r="M1324" s="587">
        <v>115978.2</v>
      </c>
      <c r="N1324" s="3" t="s">
        <v>20155</v>
      </c>
      <c r="O1324" s="3" t="s">
        <v>18248</v>
      </c>
      <c r="P1324" s="875">
        <v>45177</v>
      </c>
      <c r="Q1324" s="466">
        <v>9000</v>
      </c>
      <c r="R1324" s="466">
        <v>47004</v>
      </c>
      <c r="S1324" s="466">
        <v>0</v>
      </c>
      <c r="T1324" s="466">
        <v>0</v>
      </c>
      <c r="U1324" s="466">
        <v>56004</v>
      </c>
      <c r="V1324" s="51"/>
      <c r="W1324" s="602">
        <v>19620</v>
      </c>
      <c r="X1324" s="602">
        <v>96358.2</v>
      </c>
      <c r="Y1324" s="602">
        <v>0</v>
      </c>
      <c r="Z1324" s="602">
        <v>0</v>
      </c>
      <c r="AA1324" s="495">
        <v>2.1800000000000002</v>
      </c>
      <c r="AB1324" s="495">
        <v>2.0499999999999998</v>
      </c>
      <c r="AC1324" s="495"/>
      <c r="AD1324" s="495"/>
      <c r="AE1324" s="602">
        <v>0</v>
      </c>
      <c r="AF1324" s="602">
        <v>0</v>
      </c>
      <c r="AG1324" s="602">
        <v>0</v>
      </c>
      <c r="AH1324" s="590">
        <v>2.1800000000000002</v>
      </c>
      <c r="AI1324" s="590">
        <v>2.0499999999999998</v>
      </c>
      <c r="AJ1324" s="590"/>
      <c r="AK1324" s="590"/>
      <c r="AL1324" s="603" t="s">
        <v>20345</v>
      </c>
      <c r="AM1324" s="603" t="s">
        <v>20346</v>
      </c>
      <c r="AN1324" s="603">
        <v>0</v>
      </c>
      <c r="AO1324" s="603">
        <v>0</v>
      </c>
    </row>
    <row r="1325" spans="1:41" hidden="1">
      <c r="A1325" s="604" t="s">
        <v>180</v>
      </c>
      <c r="B1325" s="605" t="s">
        <v>180</v>
      </c>
      <c r="C1325" s="605">
        <v>0</v>
      </c>
      <c r="D1325" s="606" t="s">
        <v>19070</v>
      </c>
      <c r="E1325" s="605" t="s">
        <v>180</v>
      </c>
      <c r="F1325" s="607">
        <v>45142</v>
      </c>
      <c r="G1325" s="605">
        <v>2023</v>
      </c>
      <c r="H1325" s="605" t="s">
        <v>17304</v>
      </c>
      <c r="I1325" s="605" t="s">
        <v>17305</v>
      </c>
      <c r="J1325" s="605" t="s">
        <v>17306</v>
      </c>
      <c r="K1325" s="608">
        <v>63456.516207499997</v>
      </c>
      <c r="L1325" s="605">
        <v>2.2961499999999999</v>
      </c>
      <c r="M1325" s="609">
        <v>27636.05</v>
      </c>
      <c r="N1325" s="605" t="s">
        <v>20155</v>
      </c>
      <c r="O1325" s="605" t="s">
        <v>17954</v>
      </c>
      <c r="P1325" s="889">
        <v>45169</v>
      </c>
      <c r="Q1325" s="610">
        <v>0</v>
      </c>
      <c r="R1325" s="610">
        <v>9043.68</v>
      </c>
      <c r="S1325" s="610">
        <v>460</v>
      </c>
      <c r="T1325" s="610">
        <v>4400</v>
      </c>
      <c r="U1325" s="610">
        <v>13903.68</v>
      </c>
      <c r="V1325" s="611"/>
      <c r="W1325" s="612">
        <v>0</v>
      </c>
      <c r="X1325" s="612">
        <v>33296.96202225655</v>
      </c>
      <c r="Y1325" s="612">
        <v>531.77309892057349</v>
      </c>
      <c r="Z1325" s="612">
        <v>29627.776494022874</v>
      </c>
      <c r="AA1325" s="612"/>
      <c r="AB1325" s="612">
        <v>3.6817934759142905</v>
      </c>
      <c r="AC1325" s="612">
        <v>1.1560284759142903</v>
      </c>
      <c r="AD1325" s="612">
        <v>6.7335855668233799</v>
      </c>
      <c r="AE1325" s="612">
        <v>3133.3139999999999</v>
      </c>
      <c r="AF1325" s="612">
        <v>18989.59</v>
      </c>
      <c r="AG1325" s="612">
        <v>1.3657959619323805</v>
      </c>
      <c r="AH1325" s="613"/>
      <c r="AI1325" s="613">
        <v>2.3159975139819098</v>
      </c>
      <c r="AJ1325" s="613">
        <v>-0.20976748601809025</v>
      </c>
      <c r="AK1325" s="613">
        <v>5.3677896048909997</v>
      </c>
      <c r="AL1325" s="614">
        <v>0</v>
      </c>
      <c r="AM1325" s="614">
        <v>1</v>
      </c>
      <c r="AN1325" s="614">
        <v>1</v>
      </c>
      <c r="AO1325" s="614">
        <v>1</v>
      </c>
    </row>
    <row r="1326" spans="1:41" hidden="1">
      <c r="A1326" s="599" t="s">
        <v>181</v>
      </c>
      <c r="B1326" s="3" t="s">
        <v>181</v>
      </c>
      <c r="C1326" s="3">
        <v>0</v>
      </c>
      <c r="D1326" s="600" t="s">
        <v>19071</v>
      </c>
      <c r="E1326" s="3" t="s">
        <v>181</v>
      </c>
      <c r="F1326" s="601">
        <v>45147</v>
      </c>
      <c r="G1326" s="3">
        <v>2023</v>
      </c>
      <c r="H1326" s="586" t="s">
        <v>16444</v>
      </c>
      <c r="I1326" s="3" t="s">
        <v>16445</v>
      </c>
      <c r="J1326" s="3" t="s">
        <v>3</v>
      </c>
      <c r="K1326" s="54">
        <v>47037.120000000003</v>
      </c>
      <c r="L1326" s="586">
        <v>1</v>
      </c>
      <c r="M1326" s="587">
        <v>47037.120000000003</v>
      </c>
      <c r="N1326" s="3" t="s">
        <v>20155</v>
      </c>
      <c r="O1326" s="3" t="s">
        <v>20173</v>
      </c>
      <c r="P1326" s="875">
        <v>45152</v>
      </c>
      <c r="Q1326" s="466">
        <v>22008</v>
      </c>
      <c r="R1326" s="466">
        <v>0</v>
      </c>
      <c r="S1326" s="466">
        <v>0</v>
      </c>
      <c r="T1326" s="466">
        <v>0</v>
      </c>
      <c r="U1326" s="466">
        <v>22008</v>
      </c>
      <c r="V1326" s="51"/>
      <c r="W1326" s="602">
        <v>47037.120000000003</v>
      </c>
      <c r="X1326" s="602">
        <v>0</v>
      </c>
      <c r="Y1326" s="602">
        <v>0</v>
      </c>
      <c r="Z1326" s="602">
        <v>0</v>
      </c>
      <c r="AA1326" s="495">
        <v>2.1372737186477644</v>
      </c>
      <c r="AB1326" s="495"/>
      <c r="AC1326" s="495"/>
      <c r="AD1326" s="495"/>
      <c r="AE1326" s="602">
        <v>0</v>
      </c>
      <c r="AF1326" s="602">
        <v>0</v>
      </c>
      <c r="AG1326" s="602">
        <v>0</v>
      </c>
      <c r="AH1326" s="590">
        <v>2.1372737186477644</v>
      </c>
      <c r="AI1326" s="590"/>
      <c r="AJ1326" s="590"/>
      <c r="AK1326" s="590"/>
      <c r="AL1326" s="603" t="s">
        <v>20345</v>
      </c>
      <c r="AM1326" s="603">
        <v>0</v>
      </c>
      <c r="AN1326" s="603">
        <v>0</v>
      </c>
      <c r="AO1326" s="603">
        <v>0</v>
      </c>
    </row>
    <row r="1327" spans="1:41" hidden="1">
      <c r="A1327" s="599" t="s">
        <v>182</v>
      </c>
      <c r="B1327" s="3" t="s">
        <v>182</v>
      </c>
      <c r="C1327" s="3">
        <v>0</v>
      </c>
      <c r="D1327" s="600" t="s">
        <v>19072</v>
      </c>
      <c r="E1327" s="3" t="s">
        <v>182</v>
      </c>
      <c r="F1327" s="601">
        <v>45147</v>
      </c>
      <c r="G1327" s="3">
        <v>2023</v>
      </c>
      <c r="H1327" s="586" t="s">
        <v>16384</v>
      </c>
      <c r="I1327" s="3" t="s">
        <v>16385</v>
      </c>
      <c r="J1327" s="3" t="s">
        <v>3</v>
      </c>
      <c r="K1327" s="54">
        <v>46895</v>
      </c>
      <c r="L1327" s="586">
        <v>1</v>
      </c>
      <c r="M1327" s="587">
        <v>46895</v>
      </c>
      <c r="N1327" s="3" t="s">
        <v>20155</v>
      </c>
      <c r="O1327" s="3" t="s">
        <v>17693</v>
      </c>
      <c r="P1327" s="875">
        <v>45155</v>
      </c>
      <c r="Q1327" s="466">
        <v>20750</v>
      </c>
      <c r="R1327" s="466">
        <v>0</v>
      </c>
      <c r="S1327" s="466">
        <v>0</v>
      </c>
      <c r="T1327" s="466">
        <v>0</v>
      </c>
      <c r="U1327" s="466">
        <v>20750</v>
      </c>
      <c r="V1327" s="51"/>
      <c r="W1327" s="602">
        <v>46895</v>
      </c>
      <c r="X1327" s="602">
        <v>0</v>
      </c>
      <c r="Y1327" s="602">
        <v>0</v>
      </c>
      <c r="Z1327" s="602">
        <v>0</v>
      </c>
      <c r="AA1327" s="495">
        <v>2.2599999999999998</v>
      </c>
      <c r="AB1327" s="495"/>
      <c r="AC1327" s="495"/>
      <c r="AD1327" s="495"/>
      <c r="AE1327" s="602">
        <v>0</v>
      </c>
      <c r="AF1327" s="602">
        <v>0</v>
      </c>
      <c r="AG1327" s="602">
        <v>0</v>
      </c>
      <c r="AH1327" s="590">
        <v>2.2599999999999998</v>
      </c>
      <c r="AI1327" s="590"/>
      <c r="AJ1327" s="590"/>
      <c r="AK1327" s="590"/>
      <c r="AL1327" s="603" t="s">
        <v>20345</v>
      </c>
      <c r="AM1327" s="603">
        <v>0</v>
      </c>
      <c r="AN1327" s="603">
        <v>0</v>
      </c>
      <c r="AO1327" s="603">
        <v>0</v>
      </c>
    </row>
    <row r="1328" spans="1:41" hidden="1">
      <c r="A1328" s="599" t="s">
        <v>183</v>
      </c>
      <c r="B1328" s="3" t="s">
        <v>183</v>
      </c>
      <c r="C1328" s="3">
        <v>0</v>
      </c>
      <c r="D1328" s="600" t="s">
        <v>19073</v>
      </c>
      <c r="E1328" s="3" t="s">
        <v>183</v>
      </c>
      <c r="F1328" s="601">
        <v>45149</v>
      </c>
      <c r="G1328" s="3">
        <v>2023</v>
      </c>
      <c r="H1328" s="586" t="s">
        <v>17329</v>
      </c>
      <c r="I1328" s="3" t="s">
        <v>17330</v>
      </c>
      <c r="J1328" s="3" t="s">
        <v>16401</v>
      </c>
      <c r="K1328" s="54">
        <v>95425.571448000002</v>
      </c>
      <c r="L1328" s="586">
        <v>3.1089000000000002</v>
      </c>
      <c r="M1328" s="587">
        <v>30694.32</v>
      </c>
      <c r="N1328" s="3" t="s">
        <v>20155</v>
      </c>
      <c r="O1328" s="3" t="s">
        <v>20335</v>
      </c>
      <c r="P1328" s="875">
        <v>45159</v>
      </c>
      <c r="Q1328" s="466">
        <v>2400</v>
      </c>
      <c r="R1328" s="466">
        <v>37939</v>
      </c>
      <c r="S1328" s="466">
        <v>0</v>
      </c>
      <c r="T1328" s="466">
        <v>0</v>
      </c>
      <c r="U1328" s="466">
        <v>40339</v>
      </c>
      <c r="V1328" s="51"/>
      <c r="W1328" s="602">
        <v>5782.5540000000001</v>
      </c>
      <c r="X1328" s="602">
        <v>89643.017447999999</v>
      </c>
      <c r="Y1328" s="602">
        <v>0</v>
      </c>
      <c r="Z1328" s="602">
        <v>0</v>
      </c>
      <c r="AA1328" s="495">
        <v>2.4093974999999999</v>
      </c>
      <c r="AB1328" s="495">
        <v>2.3628197223964786</v>
      </c>
      <c r="AC1328" s="495"/>
      <c r="AD1328" s="495"/>
      <c r="AE1328" s="602">
        <v>0</v>
      </c>
      <c r="AF1328" s="602">
        <v>3705.2420000000002</v>
      </c>
      <c r="AG1328" s="602">
        <v>9.185259922159697E-2</v>
      </c>
      <c r="AH1328" s="590">
        <v>2.3175449007784028</v>
      </c>
      <c r="AI1328" s="590">
        <v>2.2709671231748816</v>
      </c>
      <c r="AJ1328" s="590"/>
      <c r="AK1328" s="590"/>
      <c r="AL1328" s="603" t="s">
        <v>20345</v>
      </c>
      <c r="AM1328" s="603" t="s">
        <v>20346</v>
      </c>
      <c r="AN1328" s="603">
        <v>0</v>
      </c>
      <c r="AO1328" s="603">
        <v>0</v>
      </c>
    </row>
    <row r="1329" spans="1:41" hidden="1">
      <c r="A1329" s="599" t="s">
        <v>184</v>
      </c>
      <c r="B1329" s="3" t="s">
        <v>184</v>
      </c>
      <c r="C1329" s="3">
        <v>0</v>
      </c>
      <c r="D1329" s="600" t="s">
        <v>19074</v>
      </c>
      <c r="E1329" s="3" t="s">
        <v>184</v>
      </c>
      <c r="F1329" s="601">
        <v>45152</v>
      </c>
      <c r="G1329" s="3">
        <v>2023</v>
      </c>
      <c r="H1329" s="586" t="s">
        <v>16957</v>
      </c>
      <c r="I1329" s="3" t="s">
        <v>16958</v>
      </c>
      <c r="J1329" s="279" t="s">
        <v>16482</v>
      </c>
      <c r="K1329" s="54">
        <v>100623.90130000001</v>
      </c>
      <c r="L1329" s="586">
        <v>3.3741500000000002</v>
      </c>
      <c r="M1329" s="587">
        <v>29822</v>
      </c>
      <c r="N1329" s="3" t="s">
        <v>20155</v>
      </c>
      <c r="O1329" s="3" t="s">
        <v>20161</v>
      </c>
      <c r="P1329" s="875">
        <v>45174</v>
      </c>
      <c r="Q1329" s="466">
        <v>40300</v>
      </c>
      <c r="R1329" s="466">
        <v>0</v>
      </c>
      <c r="S1329" s="466">
        <v>0</v>
      </c>
      <c r="T1329" s="466">
        <v>0</v>
      </c>
      <c r="U1329" s="466">
        <v>40300</v>
      </c>
      <c r="V1329" s="51"/>
      <c r="W1329" s="602">
        <v>100623.90130000001</v>
      </c>
      <c r="X1329" s="602">
        <v>0</v>
      </c>
      <c r="Y1329" s="602">
        <v>0</v>
      </c>
      <c r="Z1329" s="602">
        <v>0</v>
      </c>
      <c r="AA1329" s="495">
        <v>2.4968710000000005</v>
      </c>
      <c r="AB1329" s="495"/>
      <c r="AC1329" s="495"/>
      <c r="AD1329" s="495"/>
      <c r="AE1329" s="602">
        <v>0</v>
      </c>
      <c r="AF1329" s="602">
        <v>3536.89</v>
      </c>
      <c r="AG1329" s="602">
        <v>8.776401985111662E-2</v>
      </c>
      <c r="AH1329" s="590">
        <v>2.4091069801488838</v>
      </c>
      <c r="AI1329" s="590"/>
      <c r="AJ1329" s="590"/>
      <c r="AK1329" s="590"/>
      <c r="AL1329" s="603" t="s">
        <v>20345</v>
      </c>
      <c r="AM1329" s="603">
        <v>0</v>
      </c>
      <c r="AN1329" s="603">
        <v>0</v>
      </c>
      <c r="AO1329" s="603">
        <v>0</v>
      </c>
    </row>
    <row r="1330" spans="1:41" hidden="1">
      <c r="A1330" s="599" t="s">
        <v>185</v>
      </c>
      <c r="B1330" s="3" t="s">
        <v>185</v>
      </c>
      <c r="C1330" s="3">
        <v>0</v>
      </c>
      <c r="D1330" s="600" t="s">
        <v>19075</v>
      </c>
      <c r="E1330" s="3" t="s">
        <v>185</v>
      </c>
      <c r="F1330" s="601">
        <v>45152</v>
      </c>
      <c r="G1330" s="3">
        <v>2023</v>
      </c>
      <c r="H1330" s="586" t="s">
        <v>16904</v>
      </c>
      <c r="I1330" s="3" t="s">
        <v>16905</v>
      </c>
      <c r="J1330" s="3" t="s">
        <v>16482</v>
      </c>
      <c r="K1330" s="54">
        <v>78314.938519999996</v>
      </c>
      <c r="L1330" s="586">
        <v>3.3807499999999999</v>
      </c>
      <c r="M1330" s="587">
        <v>23164.959999999999</v>
      </c>
      <c r="N1330" s="3" t="s">
        <v>20155</v>
      </c>
      <c r="O1330" s="3" t="s">
        <v>20160</v>
      </c>
      <c r="P1330" s="875">
        <v>45160</v>
      </c>
      <c r="Q1330" s="466">
        <v>0</v>
      </c>
      <c r="R1330" s="466">
        <v>19368</v>
      </c>
      <c r="S1330" s="466">
        <v>7500</v>
      </c>
      <c r="T1330" s="466">
        <v>0</v>
      </c>
      <c r="U1330" s="466">
        <v>26868</v>
      </c>
      <c r="V1330" s="51"/>
      <c r="W1330" s="602">
        <v>0</v>
      </c>
      <c r="X1330" s="602">
        <v>56892.579839785612</v>
      </c>
      <c r="Y1330" s="602">
        <v>21422.35868021438</v>
      </c>
      <c r="Z1330" s="602">
        <v>0</v>
      </c>
      <c r="AA1330" s="495"/>
      <c r="AB1330" s="495">
        <v>2.9374524906952506</v>
      </c>
      <c r="AC1330" s="495">
        <v>2.8563144906952505</v>
      </c>
      <c r="AD1330" s="495"/>
      <c r="AE1330" s="602">
        <v>3420.36</v>
      </c>
      <c r="AF1330" s="602">
        <v>13112.745000000001</v>
      </c>
      <c r="AG1330" s="602">
        <v>0.48804321125502459</v>
      </c>
      <c r="AH1330" s="590"/>
      <c r="AI1330" s="590">
        <v>2.4494092794402258</v>
      </c>
      <c r="AJ1330" s="590">
        <v>2.3682712794402256</v>
      </c>
      <c r="AK1330" s="590"/>
      <c r="AL1330" s="603">
        <v>0</v>
      </c>
      <c r="AM1330" s="603">
        <v>1</v>
      </c>
      <c r="AN1330" s="603">
        <v>1</v>
      </c>
      <c r="AO1330" s="603">
        <v>0</v>
      </c>
    </row>
    <row r="1331" spans="1:41" hidden="1">
      <c r="A1331" s="599" t="s">
        <v>186</v>
      </c>
      <c r="B1331" s="3" t="s">
        <v>186</v>
      </c>
      <c r="C1331" s="3">
        <v>0</v>
      </c>
      <c r="D1331" s="600" t="s">
        <v>19076</v>
      </c>
      <c r="E1331" s="3" t="s">
        <v>186</v>
      </c>
      <c r="F1331" s="601">
        <v>45152</v>
      </c>
      <c r="G1331" s="3">
        <v>2023</v>
      </c>
      <c r="H1331" s="586" t="s">
        <v>16904</v>
      </c>
      <c r="I1331" s="3" t="s">
        <v>16905</v>
      </c>
      <c r="J1331" s="3" t="s">
        <v>16482</v>
      </c>
      <c r="K1331" s="54">
        <v>76303.928736000002</v>
      </c>
      <c r="L1331" s="586">
        <v>3.3767999999999998</v>
      </c>
      <c r="M1331" s="587">
        <v>22596.52</v>
      </c>
      <c r="N1331" s="3" t="s">
        <v>20155</v>
      </c>
      <c r="O1331" s="3" t="s">
        <v>20160</v>
      </c>
      <c r="P1331" s="875">
        <v>45167</v>
      </c>
      <c r="Q1331" s="466">
        <v>0</v>
      </c>
      <c r="R1331" s="466">
        <v>20016</v>
      </c>
      <c r="S1331" s="466">
        <v>6000</v>
      </c>
      <c r="T1331" s="466">
        <v>0</v>
      </c>
      <c r="U1331" s="466">
        <v>26016</v>
      </c>
      <c r="V1331" s="51"/>
      <c r="W1331" s="602">
        <v>0</v>
      </c>
      <c r="X1331" s="602">
        <v>59056.891584708494</v>
      </c>
      <c r="Y1331" s="602">
        <v>17247.037151291515</v>
      </c>
      <c r="Z1331" s="602">
        <v>0</v>
      </c>
      <c r="AA1331" s="495"/>
      <c r="AB1331" s="495">
        <v>2.9504841918819191</v>
      </c>
      <c r="AC1331" s="495">
        <v>2.874506191881919</v>
      </c>
      <c r="AD1331" s="495"/>
      <c r="AE1331" s="602">
        <v>3419.28</v>
      </c>
      <c r="AF1331" s="602">
        <v>12869.91</v>
      </c>
      <c r="AG1331" s="602">
        <v>0.49469211254612544</v>
      </c>
      <c r="AH1331" s="590"/>
      <c r="AI1331" s="590">
        <v>2.4557920793357937</v>
      </c>
      <c r="AJ1331" s="590">
        <v>2.3798140793357936</v>
      </c>
      <c r="AK1331" s="590"/>
      <c r="AL1331" s="603">
        <v>0</v>
      </c>
      <c r="AM1331" s="603">
        <v>1</v>
      </c>
      <c r="AN1331" s="603">
        <v>1</v>
      </c>
      <c r="AO1331" s="603">
        <v>0</v>
      </c>
    </row>
    <row r="1332" spans="1:41" hidden="1">
      <c r="A1332" s="599" t="s">
        <v>187</v>
      </c>
      <c r="B1332" s="3" t="s">
        <v>187</v>
      </c>
      <c r="C1332" s="3">
        <v>0</v>
      </c>
      <c r="D1332" s="600" t="s">
        <v>19077</v>
      </c>
      <c r="E1332" s="3" t="s">
        <v>187</v>
      </c>
      <c r="F1332" s="601">
        <v>45152</v>
      </c>
      <c r="G1332" s="3">
        <v>2023</v>
      </c>
      <c r="H1332" s="586" t="s">
        <v>16444</v>
      </c>
      <c r="I1332" s="3" t="s">
        <v>16445</v>
      </c>
      <c r="J1332" s="3" t="s">
        <v>3</v>
      </c>
      <c r="K1332" s="54">
        <v>99730</v>
      </c>
      <c r="L1332" s="586">
        <v>1</v>
      </c>
      <c r="M1332" s="587">
        <v>99730</v>
      </c>
      <c r="N1332" s="3" t="s">
        <v>20155</v>
      </c>
      <c r="O1332" s="3" t="s">
        <v>20173</v>
      </c>
      <c r="P1332" s="875">
        <v>45156</v>
      </c>
      <c r="Q1332" s="466">
        <v>0</v>
      </c>
      <c r="R1332" s="466">
        <v>52000</v>
      </c>
      <c r="S1332" s="466">
        <v>0</v>
      </c>
      <c r="T1332" s="466">
        <v>0</v>
      </c>
      <c r="U1332" s="466">
        <v>52000</v>
      </c>
      <c r="V1332" s="51"/>
      <c r="W1332" s="602">
        <v>0</v>
      </c>
      <c r="X1332" s="602">
        <v>99730</v>
      </c>
      <c r="Y1332" s="602">
        <v>0</v>
      </c>
      <c r="Z1332" s="602">
        <v>0</v>
      </c>
      <c r="AA1332" s="495"/>
      <c r="AB1332" s="495">
        <v>1.9178846153846154</v>
      </c>
      <c r="AC1332" s="495"/>
      <c r="AD1332" s="495"/>
      <c r="AE1332" s="602">
        <v>0</v>
      </c>
      <c r="AF1332" s="602">
        <v>0</v>
      </c>
      <c r="AG1332" s="602">
        <v>0</v>
      </c>
      <c r="AH1332" s="590"/>
      <c r="AI1332" s="590">
        <v>1.9178846153846154</v>
      </c>
      <c r="AJ1332" s="590"/>
      <c r="AK1332" s="590"/>
      <c r="AL1332" s="603">
        <v>0</v>
      </c>
      <c r="AM1332" s="603" t="s">
        <v>20348</v>
      </c>
      <c r="AN1332" s="603">
        <v>0</v>
      </c>
      <c r="AO1332" s="603">
        <v>0</v>
      </c>
    </row>
    <row r="1333" spans="1:41" hidden="1">
      <c r="A1333" s="599" t="s">
        <v>188</v>
      </c>
      <c r="B1333" s="3" t="s">
        <v>188</v>
      </c>
      <c r="C1333" s="3">
        <v>0</v>
      </c>
      <c r="D1333" s="600" t="s">
        <v>19078</v>
      </c>
      <c r="E1333" s="3" t="s">
        <v>188</v>
      </c>
      <c r="F1333" s="601">
        <v>45152</v>
      </c>
      <c r="G1333" s="3">
        <v>2023</v>
      </c>
      <c r="H1333" s="586" t="s">
        <v>16384</v>
      </c>
      <c r="I1333" s="3" t="s">
        <v>16385</v>
      </c>
      <c r="J1333" s="3" t="s">
        <v>3</v>
      </c>
      <c r="K1333" s="54">
        <v>43050</v>
      </c>
      <c r="L1333" s="586">
        <v>1</v>
      </c>
      <c r="M1333" s="587">
        <v>43050</v>
      </c>
      <c r="N1333" s="3" t="s">
        <v>20155</v>
      </c>
      <c r="O1333" s="3" t="s">
        <v>18094</v>
      </c>
      <c r="P1333" s="875">
        <v>45160</v>
      </c>
      <c r="Q1333" s="466">
        <v>0</v>
      </c>
      <c r="R1333" s="466">
        <v>21000</v>
      </c>
      <c r="S1333" s="466">
        <v>0</v>
      </c>
      <c r="T1333" s="466">
        <v>0</v>
      </c>
      <c r="U1333" s="466">
        <v>21000</v>
      </c>
      <c r="V1333" s="51"/>
      <c r="W1333" s="602">
        <v>0</v>
      </c>
      <c r="X1333" s="602">
        <v>43050</v>
      </c>
      <c r="Y1333" s="602">
        <v>0</v>
      </c>
      <c r="Z1333" s="602">
        <v>0</v>
      </c>
      <c r="AA1333" s="495"/>
      <c r="AB1333" s="495">
        <v>2.0499999999999998</v>
      </c>
      <c r="AC1333" s="495"/>
      <c r="AD1333" s="495"/>
      <c r="AE1333" s="602">
        <v>0</v>
      </c>
      <c r="AF1333" s="602">
        <v>0</v>
      </c>
      <c r="AG1333" s="602">
        <v>0</v>
      </c>
      <c r="AH1333" s="590"/>
      <c r="AI1333" s="590">
        <v>2.0499999999999998</v>
      </c>
      <c r="AJ1333" s="590"/>
      <c r="AK1333" s="590"/>
      <c r="AL1333" s="603">
        <v>0</v>
      </c>
      <c r="AM1333" s="603" t="s">
        <v>20346</v>
      </c>
      <c r="AN1333" s="603">
        <v>0</v>
      </c>
      <c r="AO1333" s="603">
        <v>0</v>
      </c>
    </row>
    <row r="1334" spans="1:41" hidden="1">
      <c r="A1334" s="599" t="s">
        <v>189</v>
      </c>
      <c r="B1334" s="3" t="s">
        <v>189</v>
      </c>
      <c r="C1334" s="3">
        <v>0</v>
      </c>
      <c r="D1334" s="600" t="s">
        <v>19079</v>
      </c>
      <c r="E1334" s="3" t="s">
        <v>189</v>
      </c>
      <c r="F1334" s="601">
        <v>45152</v>
      </c>
      <c r="G1334" s="3">
        <v>2023</v>
      </c>
      <c r="H1334" s="586" t="s">
        <v>16384</v>
      </c>
      <c r="I1334" s="3" t="s">
        <v>16385</v>
      </c>
      <c r="J1334" s="3" t="s">
        <v>3</v>
      </c>
      <c r="K1334" s="54">
        <v>44280</v>
      </c>
      <c r="L1334" s="586">
        <v>1</v>
      </c>
      <c r="M1334" s="587">
        <v>44280</v>
      </c>
      <c r="N1334" s="3" t="s">
        <v>20155</v>
      </c>
      <c r="O1334" s="3" t="s">
        <v>18094</v>
      </c>
      <c r="P1334" s="875">
        <v>45160</v>
      </c>
      <c r="Q1334" s="466">
        <v>0</v>
      </c>
      <c r="R1334" s="466">
        <v>21600</v>
      </c>
      <c r="S1334" s="466">
        <v>0</v>
      </c>
      <c r="T1334" s="466">
        <v>0</v>
      </c>
      <c r="U1334" s="466">
        <v>21600</v>
      </c>
      <c r="V1334" s="51"/>
      <c r="W1334" s="602">
        <v>0</v>
      </c>
      <c r="X1334" s="602">
        <v>44280</v>
      </c>
      <c r="Y1334" s="602">
        <v>0</v>
      </c>
      <c r="Z1334" s="602">
        <v>0</v>
      </c>
      <c r="AA1334" s="495"/>
      <c r="AB1334" s="495">
        <v>2.0499999999999998</v>
      </c>
      <c r="AC1334" s="495"/>
      <c r="AD1334" s="495"/>
      <c r="AE1334" s="602">
        <v>0</v>
      </c>
      <c r="AF1334" s="602">
        <v>0</v>
      </c>
      <c r="AG1334" s="602">
        <v>0</v>
      </c>
      <c r="AH1334" s="590"/>
      <c r="AI1334" s="590">
        <v>2.0499999999999998</v>
      </c>
      <c r="AJ1334" s="590"/>
      <c r="AK1334" s="590"/>
      <c r="AL1334" s="603">
        <v>0</v>
      </c>
      <c r="AM1334" s="603" t="s">
        <v>20346</v>
      </c>
      <c r="AN1334" s="603">
        <v>0</v>
      </c>
      <c r="AO1334" s="603">
        <v>0</v>
      </c>
    </row>
    <row r="1335" spans="1:41" hidden="1">
      <c r="A1335" s="599" t="s">
        <v>190</v>
      </c>
      <c r="B1335" s="3" t="s">
        <v>190</v>
      </c>
      <c r="C1335" s="3">
        <v>0</v>
      </c>
      <c r="D1335" s="600" t="s">
        <v>19080</v>
      </c>
      <c r="E1335" s="3" t="s">
        <v>190</v>
      </c>
      <c r="F1335" s="601">
        <v>45152</v>
      </c>
      <c r="G1335" s="3">
        <v>2023</v>
      </c>
      <c r="H1335" s="586" t="s">
        <v>17259</v>
      </c>
      <c r="I1335" s="3" t="s">
        <v>17260</v>
      </c>
      <c r="J1335" s="3" t="s">
        <v>16401</v>
      </c>
      <c r="K1335" s="54">
        <v>96052.574400000012</v>
      </c>
      <c r="L1335" s="586">
        <v>3.1089000000000002</v>
      </c>
      <c r="M1335" s="587">
        <v>30896</v>
      </c>
      <c r="N1335" s="3" t="s">
        <v>20155</v>
      </c>
      <c r="O1335" s="3" t="s">
        <v>17261</v>
      </c>
      <c r="P1335" s="875">
        <v>45160</v>
      </c>
      <c r="Q1335" s="466">
        <v>0</v>
      </c>
      <c r="R1335" s="466">
        <v>33600</v>
      </c>
      <c r="S1335" s="466">
        <v>0</v>
      </c>
      <c r="T1335" s="466">
        <v>2000</v>
      </c>
      <c r="U1335" s="466">
        <v>35600</v>
      </c>
      <c r="V1335" s="51"/>
      <c r="W1335" s="602">
        <v>0</v>
      </c>
      <c r="X1335" s="602">
        <v>81325.470579775269</v>
      </c>
      <c r="Y1335" s="602">
        <v>0</v>
      </c>
      <c r="Z1335" s="602">
        <v>14727.103820224718</v>
      </c>
      <c r="AA1335" s="495"/>
      <c r="AB1335" s="495">
        <v>2.4204009101123591</v>
      </c>
      <c r="AC1335" s="495"/>
      <c r="AD1335" s="495">
        <v>7.363551910112359</v>
      </c>
      <c r="AE1335" s="602">
        <v>5640.99</v>
      </c>
      <c r="AF1335" s="602">
        <v>21778.845000000001</v>
      </c>
      <c r="AG1335" s="602">
        <v>0.61176530898876402</v>
      </c>
      <c r="AH1335" s="590"/>
      <c r="AI1335" s="590">
        <v>1.8086356011235951</v>
      </c>
      <c r="AJ1335" s="590"/>
      <c r="AK1335" s="590">
        <v>6.7517866011235945</v>
      </c>
      <c r="AL1335" s="603">
        <v>0</v>
      </c>
      <c r="AM1335" s="603" t="s">
        <v>20348</v>
      </c>
      <c r="AN1335" s="603">
        <v>0</v>
      </c>
      <c r="AO1335" s="603">
        <v>1</v>
      </c>
    </row>
    <row r="1336" spans="1:41" hidden="1">
      <c r="A1336" s="599" t="s">
        <v>191</v>
      </c>
      <c r="B1336" s="3" t="s">
        <v>191</v>
      </c>
      <c r="C1336" s="3">
        <v>0</v>
      </c>
      <c r="D1336" s="600" t="s">
        <v>19081</v>
      </c>
      <c r="E1336" s="3" t="s">
        <v>191</v>
      </c>
      <c r="F1336" s="601">
        <v>45153</v>
      </c>
      <c r="G1336" s="3">
        <v>2023</v>
      </c>
      <c r="H1336" s="586" t="s">
        <v>17304</v>
      </c>
      <c r="I1336" s="3" t="s">
        <v>17305</v>
      </c>
      <c r="J1336" s="3" t="s">
        <v>17306</v>
      </c>
      <c r="K1336" s="54">
        <v>85860.762499999997</v>
      </c>
      <c r="L1336" s="586">
        <v>2.30375</v>
      </c>
      <c r="M1336" s="587">
        <v>37270</v>
      </c>
      <c r="N1336" s="3" t="s">
        <v>20155</v>
      </c>
      <c r="O1336" s="3" t="s">
        <v>17238</v>
      </c>
      <c r="P1336" s="875">
        <v>45164</v>
      </c>
      <c r="Q1336" s="466">
        <v>0</v>
      </c>
      <c r="R1336" s="466">
        <v>0</v>
      </c>
      <c r="S1336" s="466">
        <v>23608</v>
      </c>
      <c r="T1336" s="466">
        <v>0</v>
      </c>
      <c r="U1336" s="466">
        <v>23608</v>
      </c>
      <c r="V1336" s="51"/>
      <c r="W1336" s="602">
        <v>0</v>
      </c>
      <c r="X1336" s="602">
        <v>0</v>
      </c>
      <c r="Y1336" s="602">
        <v>85860.762500000012</v>
      </c>
      <c r="Z1336" s="602">
        <v>0</v>
      </c>
      <c r="AA1336" s="495"/>
      <c r="AB1336" s="495"/>
      <c r="AC1336" s="495">
        <v>3.6369350432056935</v>
      </c>
      <c r="AD1336" s="495"/>
      <c r="AE1336" s="602">
        <v>3269.8620000000001</v>
      </c>
      <c r="AF1336" s="602">
        <v>19640.544999999998</v>
      </c>
      <c r="AG1336" s="602">
        <v>0.83194446797695687</v>
      </c>
      <c r="AH1336" s="590"/>
      <c r="AI1336" s="590"/>
      <c r="AJ1336" s="590">
        <v>2.8049905752287367</v>
      </c>
      <c r="AK1336" s="590"/>
      <c r="AL1336" s="603">
        <v>0</v>
      </c>
      <c r="AM1336" s="603">
        <v>0</v>
      </c>
      <c r="AN1336" s="603">
        <v>1</v>
      </c>
      <c r="AO1336" s="603">
        <v>0</v>
      </c>
    </row>
    <row r="1337" spans="1:41" hidden="1">
      <c r="A1337" s="599" t="s">
        <v>192</v>
      </c>
      <c r="B1337" s="3" t="s">
        <v>192</v>
      </c>
      <c r="C1337" s="3">
        <v>0</v>
      </c>
      <c r="D1337" s="600" t="s">
        <v>19082</v>
      </c>
      <c r="E1337" s="3" t="s">
        <v>192</v>
      </c>
      <c r="F1337" s="601">
        <v>45160</v>
      </c>
      <c r="G1337" s="3">
        <v>2023</v>
      </c>
      <c r="H1337" s="586" t="s">
        <v>16957</v>
      </c>
      <c r="I1337" s="3" t="s">
        <v>16958</v>
      </c>
      <c r="J1337" s="279" t="s">
        <v>16482</v>
      </c>
      <c r="K1337" s="54">
        <v>45212.766462500003</v>
      </c>
      <c r="L1337" s="586">
        <v>3.3741500000000002</v>
      </c>
      <c r="M1337" s="587">
        <v>13399.75</v>
      </c>
      <c r="N1337" s="3" t="s">
        <v>20155</v>
      </c>
      <c r="O1337" s="3" t="s">
        <v>20161</v>
      </c>
      <c r="P1337" s="875">
        <v>45175</v>
      </c>
      <c r="Q1337" s="466">
        <v>20150</v>
      </c>
      <c r="R1337" s="466">
        <v>0</v>
      </c>
      <c r="S1337" s="466">
        <v>0</v>
      </c>
      <c r="T1337" s="466">
        <v>0</v>
      </c>
      <c r="U1337" s="466">
        <v>20150</v>
      </c>
      <c r="V1337" s="51"/>
      <c r="W1337" s="602">
        <v>45212.766462500003</v>
      </c>
      <c r="X1337" s="602">
        <v>0</v>
      </c>
      <c r="Y1337" s="602">
        <v>0</v>
      </c>
      <c r="Z1337" s="602">
        <v>0</v>
      </c>
      <c r="AA1337" s="495">
        <v>2.24380975</v>
      </c>
      <c r="AB1337" s="495"/>
      <c r="AC1337" s="495"/>
      <c r="AD1337" s="495"/>
      <c r="AE1337" s="602">
        <v>0</v>
      </c>
      <c r="AF1337" s="602">
        <v>1828.4449999999999</v>
      </c>
      <c r="AG1337" s="602">
        <v>9.0741687344913155E-2</v>
      </c>
      <c r="AH1337" s="590">
        <v>2.1530680626550871</v>
      </c>
      <c r="AI1337" s="590"/>
      <c r="AJ1337" s="590"/>
      <c r="AK1337" s="590"/>
      <c r="AL1337" s="603" t="s">
        <v>20345</v>
      </c>
      <c r="AM1337" s="603">
        <v>0</v>
      </c>
      <c r="AN1337" s="603">
        <v>0</v>
      </c>
      <c r="AO1337" s="603">
        <v>0</v>
      </c>
    </row>
    <row r="1338" spans="1:41" hidden="1">
      <c r="A1338" s="599" t="s">
        <v>193</v>
      </c>
      <c r="B1338" s="3" t="s">
        <v>193</v>
      </c>
      <c r="C1338" s="3">
        <v>0</v>
      </c>
      <c r="D1338" s="600" t="s">
        <v>19083</v>
      </c>
      <c r="E1338" s="3" t="s">
        <v>193</v>
      </c>
      <c r="F1338" s="601">
        <v>45160</v>
      </c>
      <c r="G1338" s="3">
        <v>2023</v>
      </c>
      <c r="H1338" s="586" t="s">
        <v>16444</v>
      </c>
      <c r="I1338" s="3" t="s">
        <v>16445</v>
      </c>
      <c r="J1338" s="3" t="s">
        <v>3</v>
      </c>
      <c r="K1338" s="54">
        <v>79920</v>
      </c>
      <c r="L1338" s="586">
        <v>1</v>
      </c>
      <c r="M1338" s="587">
        <v>79920</v>
      </c>
      <c r="N1338" s="3" t="s">
        <v>20155</v>
      </c>
      <c r="O1338" s="3" t="s">
        <v>17854</v>
      </c>
      <c r="P1338" s="875">
        <v>45166</v>
      </c>
      <c r="Q1338" s="466">
        <v>36000</v>
      </c>
      <c r="R1338" s="466">
        <v>0</v>
      </c>
      <c r="S1338" s="466">
        <v>0</v>
      </c>
      <c r="T1338" s="466">
        <v>0</v>
      </c>
      <c r="U1338" s="466">
        <v>36000</v>
      </c>
      <c r="V1338" s="51"/>
      <c r="W1338" s="602">
        <v>79920</v>
      </c>
      <c r="X1338" s="602">
        <v>0</v>
      </c>
      <c r="Y1338" s="602">
        <v>0</v>
      </c>
      <c r="Z1338" s="602">
        <v>0</v>
      </c>
      <c r="AA1338" s="495">
        <v>2.2200000000000002</v>
      </c>
      <c r="AB1338" s="495"/>
      <c r="AC1338" s="495"/>
      <c r="AD1338" s="495"/>
      <c r="AE1338" s="602">
        <v>0</v>
      </c>
      <c r="AF1338" s="602">
        <v>0</v>
      </c>
      <c r="AG1338" s="602">
        <v>0</v>
      </c>
      <c r="AH1338" s="590">
        <v>2.2200000000000002</v>
      </c>
      <c r="AI1338" s="590"/>
      <c r="AJ1338" s="590"/>
      <c r="AK1338" s="590"/>
      <c r="AL1338" s="603" t="s">
        <v>20345</v>
      </c>
      <c r="AM1338" s="603">
        <v>0</v>
      </c>
      <c r="AN1338" s="603">
        <v>0</v>
      </c>
      <c r="AO1338" s="603">
        <v>0</v>
      </c>
    </row>
    <row r="1339" spans="1:41" hidden="1">
      <c r="A1339" s="599" t="s">
        <v>194</v>
      </c>
      <c r="B1339" s="3" t="s">
        <v>194</v>
      </c>
      <c r="C1339" s="3">
        <v>0</v>
      </c>
      <c r="D1339" s="600" t="s">
        <v>19084</v>
      </c>
      <c r="E1339" s="3" t="s">
        <v>194</v>
      </c>
      <c r="F1339" s="601">
        <v>45162</v>
      </c>
      <c r="G1339" s="3">
        <v>2023</v>
      </c>
      <c r="H1339" s="586" t="s">
        <v>16384</v>
      </c>
      <c r="I1339" s="3" t="s">
        <v>16385</v>
      </c>
      <c r="J1339" s="3" t="s">
        <v>3</v>
      </c>
      <c r="K1339" s="54">
        <v>211200</v>
      </c>
      <c r="L1339" s="586">
        <v>1</v>
      </c>
      <c r="M1339" s="587">
        <v>211200</v>
      </c>
      <c r="N1339" s="3" t="s">
        <v>20155</v>
      </c>
      <c r="O1339" s="3" t="s">
        <v>17965</v>
      </c>
      <c r="P1339" s="875">
        <v>45167</v>
      </c>
      <c r="Q1339" s="466">
        <v>96000</v>
      </c>
      <c r="R1339" s="466">
        <v>0</v>
      </c>
      <c r="S1339" s="466">
        <v>0</v>
      </c>
      <c r="T1339" s="466">
        <v>0</v>
      </c>
      <c r="U1339" s="466">
        <v>96000</v>
      </c>
      <c r="V1339" s="51"/>
      <c r="W1339" s="602">
        <v>211200</v>
      </c>
      <c r="X1339" s="602">
        <v>0</v>
      </c>
      <c r="Y1339" s="602">
        <v>0</v>
      </c>
      <c r="Z1339" s="602">
        <v>0</v>
      </c>
      <c r="AA1339" s="495">
        <v>2.2000000000000002</v>
      </c>
      <c r="AB1339" s="495"/>
      <c r="AC1339" s="495"/>
      <c r="AD1339" s="495"/>
      <c r="AE1339" s="602">
        <v>0</v>
      </c>
      <c r="AF1339" s="602">
        <v>0</v>
      </c>
      <c r="AG1339" s="602">
        <v>0</v>
      </c>
      <c r="AH1339" s="590">
        <v>2.2000000000000002</v>
      </c>
      <c r="AI1339" s="590"/>
      <c r="AJ1339" s="590"/>
      <c r="AK1339" s="590"/>
      <c r="AL1339" s="603" t="s">
        <v>20345</v>
      </c>
      <c r="AM1339" s="603">
        <v>0</v>
      </c>
      <c r="AN1339" s="603">
        <v>0</v>
      </c>
      <c r="AO1339" s="603">
        <v>0</v>
      </c>
    </row>
    <row r="1340" spans="1:41" hidden="1">
      <c r="A1340" s="599" t="s">
        <v>195</v>
      </c>
      <c r="B1340" s="3" t="s">
        <v>195</v>
      </c>
      <c r="C1340" s="3">
        <v>0</v>
      </c>
      <c r="D1340" s="600" t="s">
        <v>19085</v>
      </c>
      <c r="E1340" s="3" t="s">
        <v>195</v>
      </c>
      <c r="F1340" s="601">
        <v>45162</v>
      </c>
      <c r="G1340" s="3">
        <v>2023</v>
      </c>
      <c r="H1340" s="586" t="s">
        <v>17276</v>
      </c>
      <c r="I1340" s="3" t="s">
        <v>17277</v>
      </c>
      <c r="J1340" s="3" t="s">
        <v>16482</v>
      </c>
      <c r="K1340" s="54">
        <v>133038.2856</v>
      </c>
      <c r="L1340" s="586">
        <v>3.3820999999999999</v>
      </c>
      <c r="M1340" s="587">
        <v>39336</v>
      </c>
      <c r="N1340" s="3" t="s">
        <v>20155</v>
      </c>
      <c r="O1340" s="3" t="s">
        <v>20297</v>
      </c>
      <c r="P1340" s="875">
        <v>45169</v>
      </c>
      <c r="Q1340" s="466">
        <v>57600</v>
      </c>
      <c r="R1340" s="466">
        <v>0</v>
      </c>
      <c r="S1340" s="466">
        <v>0</v>
      </c>
      <c r="T1340" s="466">
        <v>0</v>
      </c>
      <c r="U1340" s="466">
        <v>57600</v>
      </c>
      <c r="V1340" s="51"/>
      <c r="W1340" s="602">
        <v>133038.2856</v>
      </c>
      <c r="X1340" s="602">
        <v>0</v>
      </c>
      <c r="Y1340" s="602">
        <v>0</v>
      </c>
      <c r="Z1340" s="602">
        <v>0</v>
      </c>
      <c r="AA1340" s="495">
        <v>2.3096924583333336</v>
      </c>
      <c r="AB1340" s="495"/>
      <c r="AC1340" s="495"/>
      <c r="AD1340" s="495"/>
      <c r="AE1340" s="602">
        <v>4126.41</v>
      </c>
      <c r="AF1340" s="602">
        <v>18118.86</v>
      </c>
      <c r="AG1340" s="602">
        <v>0.31456354166666667</v>
      </c>
      <c r="AH1340" s="590">
        <v>1.9951289166666668</v>
      </c>
      <c r="AI1340" s="590"/>
      <c r="AJ1340" s="590"/>
      <c r="AK1340" s="590"/>
      <c r="AL1340" s="603" t="s">
        <v>20345</v>
      </c>
      <c r="AM1340" s="603">
        <v>0</v>
      </c>
      <c r="AN1340" s="603">
        <v>0</v>
      </c>
      <c r="AO1340" s="603">
        <v>0</v>
      </c>
    </row>
    <row r="1341" spans="1:41" hidden="1">
      <c r="A1341" s="599" t="s">
        <v>196</v>
      </c>
      <c r="B1341" s="3" t="s">
        <v>196</v>
      </c>
      <c r="C1341" s="3">
        <v>0</v>
      </c>
      <c r="D1341" s="600" t="s">
        <v>19086</v>
      </c>
      <c r="E1341" s="3" t="s">
        <v>196</v>
      </c>
      <c r="F1341" s="601">
        <v>45169</v>
      </c>
      <c r="G1341" s="3">
        <v>2023</v>
      </c>
      <c r="H1341" s="586" t="s">
        <v>16783</v>
      </c>
      <c r="I1341" s="3" t="s">
        <v>16784</v>
      </c>
      <c r="J1341" s="3" t="s">
        <v>16401</v>
      </c>
      <c r="K1341" s="54">
        <v>959563.04299999995</v>
      </c>
      <c r="L1341" s="586">
        <v>3.1248999999999998</v>
      </c>
      <c r="M1341" s="587">
        <v>307070</v>
      </c>
      <c r="N1341" s="3" t="s">
        <v>20155</v>
      </c>
      <c r="O1341" s="3" t="s">
        <v>17235</v>
      </c>
      <c r="P1341" s="875">
        <v>45176</v>
      </c>
      <c r="Q1341" s="466">
        <v>48000</v>
      </c>
      <c r="R1341" s="466">
        <v>293732.8</v>
      </c>
      <c r="S1341" s="466">
        <v>66467.199999999997</v>
      </c>
      <c r="T1341" s="466">
        <v>0</v>
      </c>
      <c r="U1341" s="466">
        <v>408200</v>
      </c>
      <c r="V1341" s="51"/>
      <c r="W1341" s="602">
        <v>104996.64</v>
      </c>
      <c r="X1341" s="602">
        <v>600958.76870400016</v>
      </c>
      <c r="Y1341" s="602">
        <v>123518.047296</v>
      </c>
      <c r="Z1341" s="602">
        <v>130089.587</v>
      </c>
      <c r="AA1341" s="495">
        <v>2.18743</v>
      </c>
      <c r="AB1341" s="495">
        <v>2.0459368810837613</v>
      </c>
      <c r="AC1341" s="495">
        <v>1.8583308352992154</v>
      </c>
      <c r="AD1341" s="495"/>
      <c r="AE1341" s="602">
        <v>0</v>
      </c>
      <c r="AF1341" s="602">
        <v>0</v>
      </c>
      <c r="AG1341" s="602">
        <v>0</v>
      </c>
      <c r="AH1341" s="590">
        <v>2.18743</v>
      </c>
      <c r="AI1341" s="590">
        <v>2.0459368810837613</v>
      </c>
      <c r="AJ1341" s="590">
        <v>1.8583308352992154</v>
      </c>
      <c r="AK1341" s="590"/>
      <c r="AL1341" s="603" t="s">
        <v>20345</v>
      </c>
      <c r="AM1341" s="603" t="s">
        <v>20345</v>
      </c>
      <c r="AN1341" s="603" t="s">
        <v>20345</v>
      </c>
      <c r="AO1341" s="603">
        <v>0</v>
      </c>
    </row>
    <row r="1342" spans="1:41" hidden="1">
      <c r="A1342" s="599" t="s">
        <v>197</v>
      </c>
      <c r="B1342" s="3" t="s">
        <v>197</v>
      </c>
      <c r="C1342" s="3">
        <v>0</v>
      </c>
      <c r="D1342" s="600" t="s">
        <v>19087</v>
      </c>
      <c r="E1342" s="3" t="s">
        <v>197</v>
      </c>
      <c r="F1342" s="601">
        <v>45173</v>
      </c>
      <c r="G1342" s="3">
        <v>2023</v>
      </c>
      <c r="H1342" s="586" t="s">
        <v>16952</v>
      </c>
      <c r="I1342" s="3" t="s">
        <v>16953</v>
      </c>
      <c r="J1342" s="3" t="s">
        <v>3</v>
      </c>
      <c r="K1342" s="54">
        <v>44016</v>
      </c>
      <c r="L1342" s="586">
        <v>1</v>
      </c>
      <c r="M1342" s="587">
        <v>44016</v>
      </c>
      <c r="N1342" s="3" t="s">
        <v>20155</v>
      </c>
      <c r="O1342" s="3" t="s">
        <v>17949</v>
      </c>
      <c r="P1342" s="875">
        <v>45184</v>
      </c>
      <c r="Q1342" s="466">
        <v>22008</v>
      </c>
      <c r="R1342" s="466">
        <v>0</v>
      </c>
      <c r="S1342" s="466">
        <v>0</v>
      </c>
      <c r="T1342" s="466">
        <v>0</v>
      </c>
      <c r="U1342" s="466">
        <v>22008</v>
      </c>
      <c r="V1342" s="51"/>
      <c r="W1342" s="602">
        <v>44016</v>
      </c>
      <c r="X1342" s="602">
        <v>0</v>
      </c>
      <c r="Y1342" s="602">
        <v>0</v>
      </c>
      <c r="Z1342" s="602">
        <v>0</v>
      </c>
      <c r="AA1342" s="495">
        <v>2</v>
      </c>
      <c r="AB1342" s="495"/>
      <c r="AC1342" s="495"/>
      <c r="AD1342" s="495"/>
      <c r="AE1342" s="602">
        <v>0</v>
      </c>
      <c r="AF1342" s="602">
        <v>0</v>
      </c>
      <c r="AG1342" s="602">
        <v>0</v>
      </c>
      <c r="AH1342" s="590">
        <v>2</v>
      </c>
      <c r="AI1342" s="590"/>
      <c r="AJ1342" s="590"/>
      <c r="AK1342" s="590"/>
      <c r="AL1342" s="603" t="s">
        <v>20345</v>
      </c>
      <c r="AM1342" s="603">
        <v>0</v>
      </c>
      <c r="AN1342" s="603">
        <v>0</v>
      </c>
      <c r="AO1342" s="603">
        <v>0</v>
      </c>
    </row>
    <row r="1343" spans="1:41" hidden="1">
      <c r="A1343" s="599" t="s">
        <v>198</v>
      </c>
      <c r="B1343" s="3" t="s">
        <v>198</v>
      </c>
      <c r="C1343" s="3">
        <v>0</v>
      </c>
      <c r="D1343" s="600" t="s">
        <v>19088</v>
      </c>
      <c r="E1343" s="3" t="s">
        <v>198</v>
      </c>
      <c r="F1343" s="601">
        <v>45173</v>
      </c>
      <c r="G1343" s="3">
        <v>2023</v>
      </c>
      <c r="H1343" s="586" t="s">
        <v>16700</v>
      </c>
      <c r="I1343" s="3" t="s">
        <v>16701</v>
      </c>
      <c r="J1343" s="3" t="s">
        <v>16401</v>
      </c>
      <c r="K1343" s="54">
        <v>245255.30623999998</v>
      </c>
      <c r="L1343" s="586">
        <v>3.3632</v>
      </c>
      <c r="M1343" s="587">
        <v>72923.199999999997</v>
      </c>
      <c r="N1343" s="3" t="s">
        <v>20155</v>
      </c>
      <c r="O1343" s="3" t="s">
        <v>17949</v>
      </c>
      <c r="P1343" s="875">
        <v>45189</v>
      </c>
      <c r="Q1343" s="466">
        <v>110040</v>
      </c>
      <c r="R1343" s="466">
        <v>0</v>
      </c>
      <c r="S1343" s="466">
        <v>0</v>
      </c>
      <c r="T1343" s="466">
        <v>0</v>
      </c>
      <c r="U1343" s="466">
        <v>110040</v>
      </c>
      <c r="V1343" s="51"/>
      <c r="W1343" s="602">
        <v>245255.30623999998</v>
      </c>
      <c r="X1343" s="602">
        <v>0</v>
      </c>
      <c r="Y1343" s="602">
        <v>0</v>
      </c>
      <c r="Z1343" s="602">
        <v>0</v>
      </c>
      <c r="AA1343" s="495">
        <v>2.2287832264631042</v>
      </c>
      <c r="AB1343" s="495"/>
      <c r="AC1343" s="495"/>
      <c r="AD1343" s="495"/>
      <c r="AE1343" s="602">
        <v>2925</v>
      </c>
      <c r="AF1343" s="602">
        <v>38494.949999999997</v>
      </c>
      <c r="AG1343" s="602">
        <v>0.34982688113413302</v>
      </c>
      <c r="AH1343" s="590">
        <v>1.8789563453289713</v>
      </c>
      <c r="AI1343" s="590"/>
      <c r="AJ1343" s="590"/>
      <c r="AK1343" s="590"/>
      <c r="AL1343" s="603" t="s">
        <v>20345</v>
      </c>
      <c r="AM1343" s="603">
        <v>0</v>
      </c>
      <c r="AN1343" s="603">
        <v>0</v>
      </c>
      <c r="AO1343" s="603">
        <v>0</v>
      </c>
    </row>
    <row r="1344" spans="1:41" hidden="1">
      <c r="A1344" s="599" t="s">
        <v>199</v>
      </c>
      <c r="B1344" s="3" t="s">
        <v>199</v>
      </c>
      <c r="C1344" s="3">
        <v>0</v>
      </c>
      <c r="D1344" s="600" t="s">
        <v>19089</v>
      </c>
      <c r="E1344" s="3" t="s">
        <v>199</v>
      </c>
      <c r="F1344" s="601">
        <v>45173</v>
      </c>
      <c r="G1344" s="3">
        <v>2023</v>
      </c>
      <c r="H1344" s="586" t="s">
        <v>17342</v>
      </c>
      <c r="I1344" s="3" t="s">
        <v>17343</v>
      </c>
      <c r="J1344" s="3" t="s">
        <v>16482</v>
      </c>
      <c r="K1344" s="54">
        <v>60588.651409999999</v>
      </c>
      <c r="L1344" s="586">
        <v>3.36775</v>
      </c>
      <c r="M1344" s="587">
        <v>17990.84</v>
      </c>
      <c r="N1344" s="3" t="s">
        <v>20155</v>
      </c>
      <c r="O1344" s="3" t="s">
        <v>16394</v>
      </c>
      <c r="P1344" s="875">
        <v>45178</v>
      </c>
      <c r="Q1344" s="466">
        <v>0</v>
      </c>
      <c r="R1344" s="466">
        <v>21624</v>
      </c>
      <c r="S1344" s="466">
        <v>0</v>
      </c>
      <c r="T1344" s="466">
        <v>0</v>
      </c>
      <c r="U1344" s="466">
        <v>21624</v>
      </c>
      <c r="V1344" s="51"/>
      <c r="W1344" s="602">
        <v>0</v>
      </c>
      <c r="X1344" s="602">
        <v>56386.992625999999</v>
      </c>
      <c r="Y1344" s="602">
        <v>0</v>
      </c>
      <c r="Z1344" s="602">
        <v>4201.6587840000002</v>
      </c>
      <c r="AA1344" s="495"/>
      <c r="AB1344" s="495">
        <v>2.6076115716796151</v>
      </c>
      <c r="AC1344" s="495"/>
      <c r="AD1344" s="495"/>
      <c r="AE1344" s="602">
        <v>2191.77</v>
      </c>
      <c r="AF1344" s="602">
        <v>29120.044000000002</v>
      </c>
      <c r="AG1344" s="602">
        <v>1.3466539030706624</v>
      </c>
      <c r="AH1344" s="590"/>
      <c r="AI1344" s="590">
        <v>1.2609576686089528</v>
      </c>
      <c r="AJ1344" s="590"/>
      <c r="AK1344" s="590"/>
      <c r="AL1344" s="603">
        <v>0</v>
      </c>
      <c r="AM1344" s="603">
        <v>1</v>
      </c>
      <c r="AN1344" s="603">
        <v>0</v>
      </c>
      <c r="AO1344" s="603">
        <v>0</v>
      </c>
    </row>
    <row r="1345" spans="1:41" hidden="1">
      <c r="A1345" s="599" t="s">
        <v>200</v>
      </c>
      <c r="B1345" s="3" t="s">
        <v>200</v>
      </c>
      <c r="C1345" s="3">
        <v>0</v>
      </c>
      <c r="D1345" s="600" t="s">
        <v>19090</v>
      </c>
      <c r="E1345" s="3" t="s">
        <v>200</v>
      </c>
      <c r="F1345" s="601">
        <v>45173</v>
      </c>
      <c r="G1345" s="3">
        <v>2023</v>
      </c>
      <c r="H1345" s="586" t="s">
        <v>17321</v>
      </c>
      <c r="I1345" s="3" t="s">
        <v>17322</v>
      </c>
      <c r="J1345" s="3" t="s">
        <v>16401</v>
      </c>
      <c r="K1345" s="54">
        <v>162288.579</v>
      </c>
      <c r="L1345" s="586">
        <v>3.1433</v>
      </c>
      <c r="M1345" s="587">
        <v>51630</v>
      </c>
      <c r="N1345" s="3" t="s">
        <v>20155</v>
      </c>
      <c r="O1345" s="3" t="s">
        <v>17939</v>
      </c>
      <c r="P1345" s="875">
        <v>45180</v>
      </c>
      <c r="Q1345" s="466">
        <v>0</v>
      </c>
      <c r="R1345" s="466">
        <v>6000</v>
      </c>
      <c r="S1345" s="466">
        <v>0</v>
      </c>
      <c r="T1345" s="466">
        <v>23000</v>
      </c>
      <c r="U1345" s="466">
        <v>29000</v>
      </c>
      <c r="V1345" s="51"/>
      <c r="W1345" s="602">
        <v>0</v>
      </c>
      <c r="X1345" s="602">
        <v>13484.757</v>
      </c>
      <c r="Y1345" s="602">
        <v>0</v>
      </c>
      <c r="Z1345" s="602">
        <v>148803.82200000001</v>
      </c>
      <c r="AA1345" s="495"/>
      <c r="AB1345" s="495">
        <v>2.2474594999999997</v>
      </c>
      <c r="AC1345" s="495"/>
      <c r="AD1345" s="495">
        <v>6.4697313913043484</v>
      </c>
      <c r="AE1345" s="602">
        <v>0</v>
      </c>
      <c r="AF1345" s="602">
        <v>0</v>
      </c>
      <c r="AG1345" s="602">
        <v>0</v>
      </c>
      <c r="AH1345" s="590"/>
      <c r="AI1345" s="590">
        <v>2.2474594999999997</v>
      </c>
      <c r="AJ1345" s="590"/>
      <c r="AK1345" s="590">
        <v>6.4697313913043484</v>
      </c>
      <c r="AL1345" s="603">
        <v>0</v>
      </c>
      <c r="AM1345" s="603" t="s">
        <v>20345</v>
      </c>
      <c r="AN1345" s="603">
        <v>0</v>
      </c>
      <c r="AO1345" s="603">
        <v>1</v>
      </c>
    </row>
    <row r="1346" spans="1:41" hidden="1">
      <c r="A1346" s="599" t="s">
        <v>201</v>
      </c>
      <c r="B1346" s="3" t="s">
        <v>201</v>
      </c>
      <c r="C1346" s="3">
        <v>0</v>
      </c>
      <c r="D1346" s="600" t="s">
        <v>19091</v>
      </c>
      <c r="E1346" s="3" t="s">
        <v>201</v>
      </c>
      <c r="F1346" s="601">
        <v>45177</v>
      </c>
      <c r="G1346" s="3">
        <v>2023</v>
      </c>
      <c r="H1346" s="586" t="s">
        <v>17278</v>
      </c>
      <c r="I1346" s="3" t="s">
        <v>17279</v>
      </c>
      <c r="J1346" s="3" t="s">
        <v>16482</v>
      </c>
      <c r="K1346" s="54">
        <v>367931.28699400002</v>
      </c>
      <c r="L1346" s="586">
        <v>3.3626</v>
      </c>
      <c r="M1346" s="587">
        <v>109418.69</v>
      </c>
      <c r="N1346" s="3" t="s">
        <v>20155</v>
      </c>
      <c r="O1346" s="3" t="s">
        <v>20173</v>
      </c>
      <c r="P1346" s="875">
        <v>45190</v>
      </c>
      <c r="Q1346" s="466">
        <v>0</v>
      </c>
      <c r="R1346" s="466">
        <v>145671</v>
      </c>
      <c r="S1346" s="466">
        <v>45811</v>
      </c>
      <c r="T1346" s="466">
        <v>0</v>
      </c>
      <c r="U1346" s="466">
        <v>191482</v>
      </c>
      <c r="V1346" s="51"/>
      <c r="W1346" s="602">
        <v>0</v>
      </c>
      <c r="X1346" s="602">
        <v>284370.32055840001</v>
      </c>
      <c r="Y1346" s="602">
        <v>83561.242168799989</v>
      </c>
      <c r="Z1346" s="602">
        <v>0</v>
      </c>
      <c r="AA1346" s="495"/>
      <c r="AB1346" s="495">
        <v>1.9521409241262846</v>
      </c>
      <c r="AC1346" s="495">
        <v>1.8240431810875115</v>
      </c>
      <c r="AD1346" s="495"/>
      <c r="AE1346" s="602">
        <v>12792.810599999999</v>
      </c>
      <c r="AF1346" s="602">
        <v>53642.701999999997</v>
      </c>
      <c r="AG1346" s="602">
        <v>0.28014488045873764</v>
      </c>
      <c r="AH1346" s="590"/>
      <c r="AI1346" s="590">
        <v>1.6719960436675469</v>
      </c>
      <c r="AJ1346" s="590">
        <v>1.5438983006287739</v>
      </c>
      <c r="AK1346" s="590"/>
      <c r="AL1346" s="603">
        <v>0</v>
      </c>
      <c r="AM1346" s="603" t="s">
        <v>20348</v>
      </c>
      <c r="AN1346" s="603" t="s">
        <v>20347</v>
      </c>
      <c r="AO1346" s="603">
        <v>0</v>
      </c>
    </row>
    <row r="1347" spans="1:41" hidden="1">
      <c r="A1347" s="599" t="s">
        <v>202</v>
      </c>
      <c r="B1347" s="3" t="s">
        <v>202</v>
      </c>
      <c r="C1347" s="3">
        <v>0</v>
      </c>
      <c r="D1347" s="600" t="s">
        <v>19092</v>
      </c>
      <c r="E1347" s="3" t="s">
        <v>202</v>
      </c>
      <c r="F1347" s="601">
        <v>45181</v>
      </c>
      <c r="G1347" s="3">
        <v>2023</v>
      </c>
      <c r="H1347" s="586" t="s">
        <v>16444</v>
      </c>
      <c r="I1347" s="3" t="s">
        <v>16445</v>
      </c>
      <c r="J1347" s="3" t="s">
        <v>3</v>
      </c>
      <c r="K1347" s="54">
        <v>37440</v>
      </c>
      <c r="L1347" s="586">
        <v>1</v>
      </c>
      <c r="M1347" s="587">
        <v>37440</v>
      </c>
      <c r="N1347" s="3" t="s">
        <v>20155</v>
      </c>
      <c r="O1347" s="3" t="s">
        <v>17854</v>
      </c>
      <c r="P1347" s="875">
        <v>45187</v>
      </c>
      <c r="Q1347" s="466">
        <v>18000</v>
      </c>
      <c r="R1347" s="466">
        <v>0</v>
      </c>
      <c r="S1347" s="466">
        <v>0</v>
      </c>
      <c r="T1347" s="466">
        <v>0</v>
      </c>
      <c r="U1347" s="466">
        <v>18000</v>
      </c>
      <c r="V1347" s="51"/>
      <c r="W1347" s="602">
        <v>37440</v>
      </c>
      <c r="X1347" s="602">
        <v>0</v>
      </c>
      <c r="Y1347" s="602">
        <v>0</v>
      </c>
      <c r="Z1347" s="602">
        <v>0</v>
      </c>
      <c r="AA1347" s="495">
        <v>2.08</v>
      </c>
      <c r="AB1347" s="495"/>
      <c r="AC1347" s="495"/>
      <c r="AD1347" s="495"/>
      <c r="AE1347" s="602">
        <v>0</v>
      </c>
      <c r="AF1347" s="602">
        <v>0</v>
      </c>
      <c r="AG1347" s="602">
        <v>0</v>
      </c>
      <c r="AH1347" s="590">
        <v>2.08</v>
      </c>
      <c r="AI1347" s="590"/>
      <c r="AJ1347" s="590"/>
      <c r="AK1347" s="590"/>
      <c r="AL1347" s="603" t="s">
        <v>20345</v>
      </c>
      <c r="AM1347" s="603">
        <v>0</v>
      </c>
      <c r="AN1347" s="603">
        <v>0</v>
      </c>
      <c r="AO1347" s="603">
        <v>0</v>
      </c>
    </row>
    <row r="1348" spans="1:41" hidden="1">
      <c r="A1348" s="599" t="s">
        <v>203</v>
      </c>
      <c r="B1348" s="3" t="s">
        <v>203</v>
      </c>
      <c r="C1348" s="3">
        <v>0</v>
      </c>
      <c r="D1348" s="600" t="s">
        <v>19093</v>
      </c>
      <c r="E1348" s="3" t="s">
        <v>203</v>
      </c>
      <c r="F1348" s="601">
        <v>45181</v>
      </c>
      <c r="G1348" s="3">
        <v>2023</v>
      </c>
      <c r="H1348" s="586" t="s">
        <v>16444</v>
      </c>
      <c r="I1348" s="3" t="s">
        <v>16445</v>
      </c>
      <c r="J1348" s="3" t="s">
        <v>3</v>
      </c>
      <c r="K1348" s="54">
        <v>42475.44</v>
      </c>
      <c r="L1348" s="586">
        <v>1</v>
      </c>
      <c r="M1348" s="587">
        <v>42475.44</v>
      </c>
      <c r="N1348" s="3" t="s">
        <v>20155</v>
      </c>
      <c r="O1348" s="3" t="s">
        <v>17693</v>
      </c>
      <c r="P1348" s="875">
        <v>45187</v>
      </c>
      <c r="Q1348" s="466">
        <v>22008</v>
      </c>
      <c r="R1348" s="466">
        <v>0</v>
      </c>
      <c r="S1348" s="466">
        <v>0</v>
      </c>
      <c r="T1348" s="466">
        <v>0</v>
      </c>
      <c r="U1348" s="466">
        <v>22008</v>
      </c>
      <c r="V1348" s="51"/>
      <c r="W1348" s="602">
        <v>42475.44</v>
      </c>
      <c r="X1348" s="602">
        <v>0</v>
      </c>
      <c r="Y1348" s="602">
        <v>0</v>
      </c>
      <c r="Z1348" s="602">
        <v>0</v>
      </c>
      <c r="AA1348" s="495">
        <v>1.9300000000000002</v>
      </c>
      <c r="AB1348" s="495"/>
      <c r="AC1348" s="495"/>
      <c r="AD1348" s="495"/>
      <c r="AE1348" s="602">
        <v>0</v>
      </c>
      <c r="AF1348" s="602">
        <v>0</v>
      </c>
      <c r="AG1348" s="602">
        <v>0</v>
      </c>
      <c r="AH1348" s="590">
        <v>1.9300000000000002</v>
      </c>
      <c r="AI1348" s="590"/>
      <c r="AJ1348" s="590"/>
      <c r="AK1348" s="590"/>
      <c r="AL1348" s="603" t="s">
        <v>20345</v>
      </c>
      <c r="AM1348" s="603">
        <v>0</v>
      </c>
      <c r="AN1348" s="603">
        <v>0</v>
      </c>
      <c r="AO1348" s="603">
        <v>0</v>
      </c>
    </row>
    <row r="1349" spans="1:41" hidden="1">
      <c r="A1349" s="599" t="s">
        <v>204</v>
      </c>
      <c r="B1349" s="3" t="s">
        <v>204</v>
      </c>
      <c r="C1349" s="3">
        <v>0</v>
      </c>
      <c r="D1349" s="600" t="s">
        <v>19094</v>
      </c>
      <c r="E1349" s="3" t="s">
        <v>204</v>
      </c>
      <c r="F1349" s="601">
        <v>45182</v>
      </c>
      <c r="G1349" s="3">
        <v>2023</v>
      </c>
      <c r="H1349" s="586" t="s">
        <v>17349</v>
      </c>
      <c r="I1349" s="3" t="s">
        <v>17350</v>
      </c>
      <c r="J1349" s="3" t="s">
        <v>16401</v>
      </c>
      <c r="K1349" s="54">
        <v>109838.326</v>
      </c>
      <c r="L1349" s="586">
        <v>3.15265</v>
      </c>
      <c r="M1349" s="587">
        <v>34840</v>
      </c>
      <c r="N1349" s="3" t="s">
        <v>20155</v>
      </c>
      <c r="O1349" s="3" t="s">
        <v>20358</v>
      </c>
      <c r="P1349" s="875">
        <v>45188</v>
      </c>
      <c r="Q1349" s="466">
        <v>0</v>
      </c>
      <c r="R1349" s="466">
        <v>0</v>
      </c>
      <c r="S1349" s="466">
        <v>52000</v>
      </c>
      <c r="T1349" s="466">
        <v>0</v>
      </c>
      <c r="U1349" s="466">
        <v>52000</v>
      </c>
      <c r="V1349" s="51"/>
      <c r="W1349" s="602">
        <v>0</v>
      </c>
      <c r="X1349" s="602">
        <v>0</v>
      </c>
      <c r="Y1349" s="602">
        <v>109838.326</v>
      </c>
      <c r="Z1349" s="602">
        <v>0</v>
      </c>
      <c r="AA1349" s="495"/>
      <c r="AB1349" s="495"/>
      <c r="AC1349" s="495">
        <v>2.1122755</v>
      </c>
      <c r="AD1349" s="495"/>
      <c r="AE1349" s="602">
        <v>3930.2567999999997</v>
      </c>
      <c r="AF1349" s="602">
        <v>16324.556</v>
      </c>
      <c r="AG1349" s="602">
        <v>0.31393376923076927</v>
      </c>
      <c r="AH1349" s="590"/>
      <c r="AI1349" s="590"/>
      <c r="AJ1349" s="590">
        <v>1.7983417307692307</v>
      </c>
      <c r="AK1349" s="590"/>
      <c r="AL1349" s="603">
        <v>0</v>
      </c>
      <c r="AM1349" s="603">
        <v>0</v>
      </c>
      <c r="AN1349" s="603" t="s">
        <v>20347</v>
      </c>
      <c r="AO1349" s="603">
        <v>0</v>
      </c>
    </row>
    <row r="1350" spans="1:41" hidden="1">
      <c r="A1350" s="599" t="s">
        <v>205</v>
      </c>
      <c r="B1350" s="3" t="s">
        <v>205</v>
      </c>
      <c r="C1350" s="3">
        <v>0</v>
      </c>
      <c r="D1350" s="600" t="s">
        <v>19096</v>
      </c>
      <c r="E1350" s="3" t="s">
        <v>205</v>
      </c>
      <c r="F1350" s="601">
        <v>45182</v>
      </c>
      <c r="G1350" s="3">
        <v>2023</v>
      </c>
      <c r="H1350" s="586" t="s">
        <v>17209</v>
      </c>
      <c r="I1350" s="3" t="s">
        <v>17210</v>
      </c>
      <c r="J1350" s="3" t="s">
        <v>16401</v>
      </c>
      <c r="K1350" s="54">
        <v>78204.672315000003</v>
      </c>
      <c r="L1350" s="586">
        <v>3.17205</v>
      </c>
      <c r="M1350" s="587">
        <v>24654.3</v>
      </c>
      <c r="N1350" s="3" t="s">
        <v>20155</v>
      </c>
      <c r="O1350" s="3" t="s">
        <v>20168</v>
      </c>
      <c r="P1350" s="875">
        <v>45199</v>
      </c>
      <c r="Q1350" s="466">
        <v>5400</v>
      </c>
      <c r="R1350" s="466">
        <v>12720</v>
      </c>
      <c r="S1350" s="466">
        <v>3840</v>
      </c>
      <c r="T1350" s="466">
        <v>1750</v>
      </c>
      <c r="U1350" s="466">
        <v>23710</v>
      </c>
      <c r="V1350" s="51"/>
      <c r="W1350" s="602">
        <v>14472.294170181358</v>
      </c>
      <c r="X1350" s="602">
        <v>38045.204874204981</v>
      </c>
      <c r="Y1350" s="602">
        <v>11813.99318768452</v>
      </c>
      <c r="Z1350" s="602">
        <v>13873.180082929144</v>
      </c>
      <c r="AA1350" s="495">
        <v>2.6800544759595106</v>
      </c>
      <c r="AB1350" s="495">
        <v>2.9909752259595113</v>
      </c>
      <c r="AC1350" s="495">
        <v>3.0765607259595105</v>
      </c>
      <c r="AD1350" s="495">
        <v>7.927531475959511</v>
      </c>
      <c r="AE1350" s="602">
        <v>1185.2280000000001</v>
      </c>
      <c r="AF1350" s="602">
        <v>8100.9</v>
      </c>
      <c r="AG1350" s="602">
        <v>0.34166596372838465</v>
      </c>
      <c r="AH1350" s="590">
        <v>2.3383885122311261</v>
      </c>
      <c r="AI1350" s="590">
        <v>2.6493092622311267</v>
      </c>
      <c r="AJ1350" s="590">
        <v>2.7348947622311259</v>
      </c>
      <c r="AK1350" s="590">
        <v>7.585865512231126</v>
      </c>
      <c r="AL1350" s="603">
        <v>1</v>
      </c>
      <c r="AM1350" s="603">
        <v>1</v>
      </c>
      <c r="AN1350" s="603">
        <v>1</v>
      </c>
      <c r="AO1350" s="603">
        <v>1</v>
      </c>
    </row>
    <row r="1351" spans="1:41" hidden="1">
      <c r="A1351" s="599" t="s">
        <v>206</v>
      </c>
      <c r="B1351" s="3" t="s">
        <v>206</v>
      </c>
      <c r="C1351" s="3">
        <v>0</v>
      </c>
      <c r="D1351" s="600" t="s">
        <v>19097</v>
      </c>
      <c r="E1351" s="3" t="s">
        <v>206</v>
      </c>
      <c r="F1351" s="601">
        <v>45182</v>
      </c>
      <c r="G1351" s="3">
        <v>2023</v>
      </c>
      <c r="H1351" s="586" t="s">
        <v>17349</v>
      </c>
      <c r="I1351" s="3" t="s">
        <v>17350</v>
      </c>
      <c r="J1351" s="3" t="s">
        <v>16401</v>
      </c>
      <c r="K1351" s="54">
        <v>109838.326</v>
      </c>
      <c r="L1351" s="586">
        <v>3.15265</v>
      </c>
      <c r="M1351" s="587">
        <v>34840</v>
      </c>
      <c r="N1351" s="3" t="s">
        <v>20155</v>
      </c>
      <c r="O1351" s="3" t="s">
        <v>20358</v>
      </c>
      <c r="P1351" s="875">
        <v>45203</v>
      </c>
      <c r="Q1351" s="466">
        <v>0</v>
      </c>
      <c r="R1351" s="466">
        <v>0</v>
      </c>
      <c r="S1351" s="466">
        <v>52000</v>
      </c>
      <c r="T1351" s="466">
        <v>0</v>
      </c>
      <c r="U1351" s="466">
        <v>52000</v>
      </c>
      <c r="V1351" s="51"/>
      <c r="W1351" s="602">
        <v>0</v>
      </c>
      <c r="X1351" s="602">
        <v>0</v>
      </c>
      <c r="Y1351" s="602">
        <v>109838.326</v>
      </c>
      <c r="Z1351" s="602">
        <v>0</v>
      </c>
      <c r="AA1351" s="495"/>
      <c r="AB1351" s="495"/>
      <c r="AC1351" s="495">
        <v>2.1122755</v>
      </c>
      <c r="AD1351" s="495"/>
      <c r="AE1351" s="602">
        <v>3948.4187999999999</v>
      </c>
      <c r="AF1351" s="602">
        <v>15959.696</v>
      </c>
      <c r="AG1351" s="602">
        <v>0.30691723076923078</v>
      </c>
      <c r="AH1351" s="590"/>
      <c r="AI1351" s="590"/>
      <c r="AJ1351" s="590">
        <v>1.8053582692307693</v>
      </c>
      <c r="AK1351" s="590"/>
      <c r="AL1351" s="603">
        <v>0</v>
      </c>
      <c r="AM1351" s="603">
        <v>0</v>
      </c>
      <c r="AN1351" s="603" t="s">
        <v>20347</v>
      </c>
      <c r="AO1351" s="603">
        <v>0</v>
      </c>
    </row>
    <row r="1352" spans="1:41" hidden="1">
      <c r="A1352" s="599" t="s">
        <v>207</v>
      </c>
      <c r="B1352" s="3" t="s">
        <v>207</v>
      </c>
      <c r="C1352" s="3">
        <v>0</v>
      </c>
      <c r="D1352" s="600" t="s">
        <v>19098</v>
      </c>
      <c r="E1352" s="3" t="s">
        <v>207</v>
      </c>
      <c r="F1352" s="601">
        <v>45182</v>
      </c>
      <c r="G1352" s="3">
        <v>2023</v>
      </c>
      <c r="H1352" s="586" t="s">
        <v>17349</v>
      </c>
      <c r="I1352" s="3" t="s">
        <v>17350</v>
      </c>
      <c r="J1352" s="3" t="s">
        <v>16401</v>
      </c>
      <c r="K1352" s="54">
        <v>50001.029000000002</v>
      </c>
      <c r="L1352" s="586">
        <v>3.15265</v>
      </c>
      <c r="M1352" s="587">
        <v>15860</v>
      </c>
      <c r="N1352" s="3" t="s">
        <v>20155</v>
      </c>
      <c r="O1352" s="3" t="s">
        <v>20358</v>
      </c>
      <c r="P1352" s="875">
        <v>45188</v>
      </c>
      <c r="Q1352" s="466">
        <v>0</v>
      </c>
      <c r="R1352" s="466">
        <v>0</v>
      </c>
      <c r="S1352" s="466">
        <v>26000</v>
      </c>
      <c r="T1352" s="466">
        <v>0</v>
      </c>
      <c r="U1352" s="466">
        <v>26000</v>
      </c>
      <c r="V1352" s="51"/>
      <c r="W1352" s="602">
        <v>0</v>
      </c>
      <c r="X1352" s="602">
        <v>0</v>
      </c>
      <c r="Y1352" s="602">
        <v>50001.029000000002</v>
      </c>
      <c r="Z1352" s="602">
        <v>0</v>
      </c>
      <c r="AA1352" s="495"/>
      <c r="AB1352" s="495"/>
      <c r="AC1352" s="495">
        <v>1.9231165000000001</v>
      </c>
      <c r="AD1352" s="495"/>
      <c r="AE1352" s="602">
        <v>1008.8568</v>
      </c>
      <c r="AF1352" s="602">
        <v>5034.7060000000001</v>
      </c>
      <c r="AG1352" s="602">
        <v>0.19364253846153848</v>
      </c>
      <c r="AH1352" s="590"/>
      <c r="AI1352" s="590"/>
      <c r="AJ1352" s="590">
        <v>1.7294739615384616</v>
      </c>
      <c r="AK1352" s="590"/>
      <c r="AL1352" s="603">
        <v>0</v>
      </c>
      <c r="AM1352" s="603">
        <v>0</v>
      </c>
      <c r="AN1352" s="603" t="s">
        <v>20347</v>
      </c>
      <c r="AO1352" s="603">
        <v>0</v>
      </c>
    </row>
    <row r="1353" spans="1:41" hidden="1">
      <c r="A1353" s="599" t="s">
        <v>208</v>
      </c>
      <c r="B1353" s="3" t="s">
        <v>208</v>
      </c>
      <c r="C1353" s="3">
        <v>0</v>
      </c>
      <c r="D1353" s="600" t="s">
        <v>19099</v>
      </c>
      <c r="E1353" s="3" t="s">
        <v>208</v>
      </c>
      <c r="F1353" s="601">
        <v>45183</v>
      </c>
      <c r="G1353" s="3">
        <v>2023</v>
      </c>
      <c r="H1353" s="586" t="s">
        <v>16444</v>
      </c>
      <c r="I1353" s="3" t="s">
        <v>16445</v>
      </c>
      <c r="J1353" s="3" t="s">
        <v>3</v>
      </c>
      <c r="K1353" s="54">
        <v>229825</v>
      </c>
      <c r="L1353" s="586">
        <v>1</v>
      </c>
      <c r="M1353" s="587">
        <v>229825</v>
      </c>
      <c r="N1353" s="3" t="s">
        <v>20155</v>
      </c>
      <c r="O1353" s="3" t="s">
        <v>20173</v>
      </c>
      <c r="P1353" s="875">
        <v>45191</v>
      </c>
      <c r="Q1353" s="466">
        <v>0</v>
      </c>
      <c r="R1353" s="466">
        <v>130000</v>
      </c>
      <c r="S1353" s="466">
        <v>0</v>
      </c>
      <c r="T1353" s="466">
        <v>0</v>
      </c>
      <c r="U1353" s="466">
        <v>130000</v>
      </c>
      <c r="V1353" s="51"/>
      <c r="W1353" s="602">
        <v>0</v>
      </c>
      <c r="X1353" s="602">
        <v>229825</v>
      </c>
      <c r="Y1353" s="602">
        <v>0</v>
      </c>
      <c r="Z1353" s="602">
        <v>0</v>
      </c>
      <c r="AA1353" s="495"/>
      <c r="AB1353" s="495">
        <v>1.7678846153846153</v>
      </c>
      <c r="AC1353" s="495"/>
      <c r="AD1353" s="495"/>
      <c r="AE1353" s="602">
        <v>0</v>
      </c>
      <c r="AF1353" s="602">
        <v>0</v>
      </c>
      <c r="AG1353" s="602">
        <v>0</v>
      </c>
      <c r="AH1353" s="590"/>
      <c r="AI1353" s="590">
        <v>1.7678846153846153</v>
      </c>
      <c r="AJ1353" s="590"/>
      <c r="AK1353" s="590"/>
      <c r="AL1353" s="603">
        <v>0</v>
      </c>
      <c r="AM1353" s="603" t="s">
        <v>20348</v>
      </c>
      <c r="AN1353" s="603">
        <v>0</v>
      </c>
      <c r="AO1353" s="603">
        <v>0</v>
      </c>
    </row>
    <row r="1354" spans="1:41" hidden="1">
      <c r="A1354" s="599" t="s">
        <v>209</v>
      </c>
      <c r="B1354" s="3" t="s">
        <v>209</v>
      </c>
      <c r="C1354" s="3">
        <v>0</v>
      </c>
      <c r="D1354" s="600" t="s">
        <v>19100</v>
      </c>
      <c r="E1354" s="3" t="s">
        <v>209</v>
      </c>
      <c r="F1354" s="601">
        <v>45183</v>
      </c>
      <c r="G1354" s="3">
        <v>2023</v>
      </c>
      <c r="H1354" s="586" t="s">
        <v>16444</v>
      </c>
      <c r="I1354" s="3" t="s">
        <v>16445</v>
      </c>
      <c r="J1354" s="3" t="s">
        <v>3</v>
      </c>
      <c r="K1354" s="54">
        <v>38016</v>
      </c>
      <c r="L1354" s="586">
        <v>1</v>
      </c>
      <c r="M1354" s="587">
        <v>38016</v>
      </c>
      <c r="N1354" s="3" t="s">
        <v>20155</v>
      </c>
      <c r="O1354" s="3" t="s">
        <v>18248</v>
      </c>
      <c r="P1354" s="875">
        <v>45189</v>
      </c>
      <c r="Q1354" s="466">
        <v>19200</v>
      </c>
      <c r="R1354" s="466">
        <v>0</v>
      </c>
      <c r="S1354" s="466">
        <v>0</v>
      </c>
      <c r="T1354" s="466">
        <v>0</v>
      </c>
      <c r="U1354" s="466">
        <v>19200</v>
      </c>
      <c r="V1354" s="51"/>
      <c r="W1354" s="602">
        <v>38016</v>
      </c>
      <c r="X1354" s="602">
        <v>0</v>
      </c>
      <c r="Y1354" s="602">
        <v>0</v>
      </c>
      <c r="Z1354" s="602">
        <v>0</v>
      </c>
      <c r="AA1354" s="495">
        <v>1.98</v>
      </c>
      <c r="AB1354" s="495"/>
      <c r="AC1354" s="495"/>
      <c r="AD1354" s="495"/>
      <c r="AE1354" s="602">
        <v>0</v>
      </c>
      <c r="AF1354" s="602">
        <v>0</v>
      </c>
      <c r="AG1354" s="602">
        <v>0</v>
      </c>
      <c r="AH1354" s="590">
        <v>1.98</v>
      </c>
      <c r="AI1354" s="590"/>
      <c r="AJ1354" s="590"/>
      <c r="AK1354" s="590"/>
      <c r="AL1354" s="603" t="s">
        <v>20345</v>
      </c>
      <c r="AM1354" s="603">
        <v>0</v>
      </c>
      <c r="AN1354" s="603">
        <v>0</v>
      </c>
      <c r="AO1354" s="603">
        <v>0</v>
      </c>
    </row>
    <row r="1355" spans="1:41" hidden="1">
      <c r="A1355" s="599" t="s">
        <v>210</v>
      </c>
      <c r="B1355" s="3" t="s">
        <v>210</v>
      </c>
      <c r="C1355" s="3">
        <v>0</v>
      </c>
      <c r="D1355" s="600" t="s">
        <v>19101</v>
      </c>
      <c r="E1355" s="3" t="s">
        <v>210</v>
      </c>
      <c r="F1355" s="601">
        <v>45184</v>
      </c>
      <c r="G1355" s="3">
        <v>2023</v>
      </c>
      <c r="H1355" s="586" t="s">
        <v>16384</v>
      </c>
      <c r="I1355" s="3" t="s">
        <v>16385</v>
      </c>
      <c r="J1355" s="3" t="s">
        <v>3</v>
      </c>
      <c r="K1355" s="54">
        <v>39960</v>
      </c>
      <c r="L1355" s="586">
        <v>1</v>
      </c>
      <c r="M1355" s="587">
        <v>39960</v>
      </c>
      <c r="N1355" s="3" t="s">
        <v>20155</v>
      </c>
      <c r="O1355" s="3" t="s">
        <v>18094</v>
      </c>
      <c r="P1355" s="875">
        <v>45224</v>
      </c>
      <c r="Q1355" s="466">
        <v>0</v>
      </c>
      <c r="R1355" s="466">
        <v>22200</v>
      </c>
      <c r="S1355" s="466">
        <v>0</v>
      </c>
      <c r="T1355" s="466">
        <v>0</v>
      </c>
      <c r="U1355" s="466">
        <v>22200</v>
      </c>
      <c r="V1355" s="51"/>
      <c r="W1355" s="602">
        <v>0</v>
      </c>
      <c r="X1355" s="602">
        <v>39960</v>
      </c>
      <c r="Y1355" s="602">
        <v>0</v>
      </c>
      <c r="Z1355" s="602">
        <v>0</v>
      </c>
      <c r="AA1355" s="495"/>
      <c r="AB1355" s="495">
        <v>1.8</v>
      </c>
      <c r="AC1355" s="495"/>
      <c r="AD1355" s="495"/>
      <c r="AE1355" s="602">
        <v>0</v>
      </c>
      <c r="AF1355" s="602">
        <v>0</v>
      </c>
      <c r="AG1355" s="602">
        <v>0</v>
      </c>
      <c r="AH1355" s="590"/>
      <c r="AI1355" s="590">
        <v>1.8</v>
      </c>
      <c r="AJ1355" s="590"/>
      <c r="AK1355" s="590"/>
      <c r="AL1355" s="603">
        <v>0</v>
      </c>
      <c r="AM1355" s="603" t="s">
        <v>20346</v>
      </c>
      <c r="AN1355" s="603">
        <v>0</v>
      </c>
      <c r="AO1355" s="603">
        <v>0</v>
      </c>
    </row>
    <row r="1356" spans="1:41" hidden="1">
      <c r="A1356" s="599" t="s">
        <v>211</v>
      </c>
      <c r="B1356" s="3" t="s">
        <v>211</v>
      </c>
      <c r="C1356" s="3">
        <v>0</v>
      </c>
      <c r="D1356" s="600" t="s">
        <v>19102</v>
      </c>
      <c r="E1356" s="3" t="s">
        <v>211</v>
      </c>
      <c r="F1356" s="601">
        <v>45184</v>
      </c>
      <c r="G1356" s="3">
        <v>2023</v>
      </c>
      <c r="H1356" s="586" t="s">
        <v>16384</v>
      </c>
      <c r="I1356" s="3" t="s">
        <v>16385</v>
      </c>
      <c r="J1356" s="3" t="s">
        <v>3</v>
      </c>
      <c r="K1356" s="54">
        <v>47175</v>
      </c>
      <c r="L1356" s="586">
        <v>1</v>
      </c>
      <c r="M1356" s="587">
        <v>47175</v>
      </c>
      <c r="N1356" s="3" t="s">
        <v>20155</v>
      </c>
      <c r="O1356" s="3" t="s">
        <v>18094</v>
      </c>
      <c r="P1356" s="875">
        <v>45227</v>
      </c>
      <c r="Q1356" s="466">
        <v>0</v>
      </c>
      <c r="R1356" s="466">
        <v>25500</v>
      </c>
      <c r="S1356" s="466">
        <v>0</v>
      </c>
      <c r="T1356" s="466">
        <v>0</v>
      </c>
      <c r="U1356" s="466">
        <v>25500</v>
      </c>
      <c r="V1356" s="51"/>
      <c r="W1356" s="602">
        <v>0</v>
      </c>
      <c r="X1356" s="602">
        <v>41070</v>
      </c>
      <c r="Y1356" s="602">
        <v>0</v>
      </c>
      <c r="Z1356" s="602">
        <v>0</v>
      </c>
      <c r="AA1356" s="495"/>
      <c r="AB1356" s="495">
        <v>1.6105882352941177</v>
      </c>
      <c r="AC1356" s="495"/>
      <c r="AD1356" s="495"/>
      <c r="AE1356" s="602">
        <v>0</v>
      </c>
      <c r="AF1356" s="602">
        <v>0</v>
      </c>
      <c r="AG1356" s="602">
        <v>0</v>
      </c>
      <c r="AH1356" s="590"/>
      <c r="AI1356" s="590">
        <v>1.6105882352941177</v>
      </c>
      <c r="AJ1356" s="590"/>
      <c r="AK1356" s="590"/>
      <c r="AL1356" s="603">
        <v>0</v>
      </c>
      <c r="AM1356" s="603" t="s">
        <v>20346</v>
      </c>
      <c r="AN1356" s="603">
        <v>0</v>
      </c>
      <c r="AO1356" s="603">
        <v>0</v>
      </c>
    </row>
    <row r="1357" spans="1:41" hidden="1">
      <c r="A1357" s="599" t="s">
        <v>212</v>
      </c>
      <c r="B1357" s="3" t="s">
        <v>212</v>
      </c>
      <c r="C1357" s="3">
        <v>0</v>
      </c>
      <c r="D1357" s="600" t="s">
        <v>19103</v>
      </c>
      <c r="E1357" s="3" t="s">
        <v>212</v>
      </c>
      <c r="F1357" s="601">
        <v>45184</v>
      </c>
      <c r="G1357" s="3">
        <v>2023</v>
      </c>
      <c r="H1357" s="586" t="s">
        <v>16838</v>
      </c>
      <c r="I1357" s="3" t="s">
        <v>16839</v>
      </c>
      <c r="J1357" s="3" t="s">
        <v>3</v>
      </c>
      <c r="K1357" s="54">
        <v>371935.2</v>
      </c>
      <c r="L1357" s="586">
        <v>1</v>
      </c>
      <c r="M1357" s="587">
        <v>371935.2</v>
      </c>
      <c r="N1357" s="3" t="s">
        <v>20155</v>
      </c>
      <c r="O1357" s="3" t="s">
        <v>20321</v>
      </c>
      <c r="P1357" s="875">
        <v>45191</v>
      </c>
      <c r="Q1357" s="466">
        <v>0</v>
      </c>
      <c r="R1357" s="466">
        <v>220080</v>
      </c>
      <c r="S1357" s="466">
        <v>0</v>
      </c>
      <c r="T1357" s="466">
        <v>0</v>
      </c>
      <c r="U1357" s="466">
        <v>220080</v>
      </c>
      <c r="V1357" s="51"/>
      <c r="W1357" s="602">
        <v>0</v>
      </c>
      <c r="X1357" s="602">
        <v>371935.2</v>
      </c>
      <c r="Y1357" s="602">
        <v>0</v>
      </c>
      <c r="Z1357" s="602">
        <v>0</v>
      </c>
      <c r="AA1357" s="495"/>
      <c r="AB1357" s="495">
        <v>1.69</v>
      </c>
      <c r="AC1357" s="495"/>
      <c r="AD1357" s="495"/>
      <c r="AE1357" s="602">
        <v>0</v>
      </c>
      <c r="AF1357" s="602">
        <v>0</v>
      </c>
      <c r="AG1357" s="602">
        <v>0</v>
      </c>
      <c r="AH1357" s="590"/>
      <c r="AI1357" s="590">
        <v>1.69</v>
      </c>
      <c r="AJ1357" s="590"/>
      <c r="AK1357" s="590"/>
      <c r="AL1357" s="603">
        <v>0</v>
      </c>
      <c r="AM1357" s="603" t="s">
        <v>20347</v>
      </c>
      <c r="AN1357" s="603">
        <v>0</v>
      </c>
      <c r="AO1357" s="603">
        <v>0</v>
      </c>
    </row>
    <row r="1358" spans="1:41" hidden="1">
      <c r="A1358" s="599" t="s">
        <v>213</v>
      </c>
      <c r="B1358" s="3" t="s">
        <v>213</v>
      </c>
      <c r="C1358" s="3">
        <v>0</v>
      </c>
      <c r="D1358" s="600" t="s">
        <v>19104</v>
      </c>
      <c r="E1358" s="3" t="s">
        <v>213</v>
      </c>
      <c r="F1358" s="601">
        <v>45184</v>
      </c>
      <c r="G1358" s="3">
        <v>2023</v>
      </c>
      <c r="H1358" s="586" t="s">
        <v>17342</v>
      </c>
      <c r="I1358" s="3" t="s">
        <v>17343</v>
      </c>
      <c r="J1358" s="3" t="s">
        <v>16482</v>
      </c>
      <c r="K1358" s="54">
        <v>93842.801906000008</v>
      </c>
      <c r="L1358" s="586">
        <v>3.3626</v>
      </c>
      <c r="M1358" s="587">
        <v>27907.81</v>
      </c>
      <c r="N1358" s="3" t="s">
        <v>20155</v>
      </c>
      <c r="O1358" s="3" t="s">
        <v>16394</v>
      </c>
      <c r="P1358" s="875">
        <v>45187</v>
      </c>
      <c r="Q1358" s="466">
        <v>0</v>
      </c>
      <c r="R1358" s="466">
        <v>15936</v>
      </c>
      <c r="S1358" s="466">
        <v>0</v>
      </c>
      <c r="T1358" s="466">
        <v>3920</v>
      </c>
      <c r="U1358" s="466">
        <v>19856</v>
      </c>
      <c r="V1358" s="51"/>
      <c r="W1358" s="602">
        <v>0</v>
      </c>
      <c r="X1358" s="602">
        <v>68995.129266936987</v>
      </c>
      <c r="Y1358" s="602">
        <v>0</v>
      </c>
      <c r="Z1358" s="602">
        <v>24847.665913863013</v>
      </c>
      <c r="AA1358" s="495"/>
      <c r="AB1358" s="495">
        <v>4.3295136337184355</v>
      </c>
      <c r="AC1358" s="495"/>
      <c r="AD1358" s="495">
        <v>6.3386902841487274</v>
      </c>
      <c r="AE1358" s="602">
        <v>2190.4919999999997</v>
      </c>
      <c r="AF1358" s="602">
        <v>27313.311000000002</v>
      </c>
      <c r="AG1358" s="602">
        <v>1.3755696514907334</v>
      </c>
      <c r="AH1358" s="590"/>
      <c r="AI1358" s="590">
        <v>2.953943982227702</v>
      </c>
      <c r="AJ1358" s="590"/>
      <c r="AK1358" s="590">
        <v>4.9631206326579935</v>
      </c>
      <c r="AL1358" s="603">
        <v>0</v>
      </c>
      <c r="AM1358" s="603">
        <v>1</v>
      </c>
      <c r="AN1358" s="603">
        <v>0</v>
      </c>
      <c r="AO1358" s="603">
        <v>1</v>
      </c>
    </row>
    <row r="1359" spans="1:41" hidden="1">
      <c r="A1359" s="599" t="s">
        <v>214</v>
      </c>
      <c r="B1359" s="3" t="s">
        <v>214</v>
      </c>
      <c r="C1359" s="3">
        <v>0</v>
      </c>
      <c r="D1359" s="600" t="s">
        <v>19105</v>
      </c>
      <c r="E1359" s="3" t="s">
        <v>214</v>
      </c>
      <c r="F1359" s="601">
        <v>45061</v>
      </c>
      <c r="G1359" s="3">
        <v>2023</v>
      </c>
      <c r="H1359" s="586" t="s">
        <v>17226</v>
      </c>
      <c r="I1359" s="3" t="s">
        <v>17227</v>
      </c>
      <c r="J1359" s="3" t="s">
        <v>3</v>
      </c>
      <c r="K1359" s="54">
        <v>55470</v>
      </c>
      <c r="L1359" s="586">
        <v>1</v>
      </c>
      <c r="M1359" s="587">
        <v>55470</v>
      </c>
      <c r="N1359" s="3" t="s">
        <v>20155</v>
      </c>
      <c r="O1359" s="3" t="s">
        <v>17689</v>
      </c>
      <c r="P1359" s="875">
        <v>45205</v>
      </c>
      <c r="Q1359" s="466">
        <v>15600</v>
      </c>
      <c r="R1359" s="466">
        <v>4800</v>
      </c>
      <c r="S1359" s="466">
        <v>3000</v>
      </c>
      <c r="T1359" s="466">
        <v>0</v>
      </c>
      <c r="U1359" s="466">
        <v>23400</v>
      </c>
      <c r="V1359" s="51"/>
      <c r="W1359" s="602">
        <v>37920</v>
      </c>
      <c r="X1359" s="602">
        <v>10800</v>
      </c>
      <c r="Y1359" s="602">
        <v>6750</v>
      </c>
      <c r="Z1359" s="602">
        <v>0</v>
      </c>
      <c r="AA1359" s="495">
        <v>2.4307692307692306</v>
      </c>
      <c r="AB1359" s="495">
        <v>2.25</v>
      </c>
      <c r="AC1359" s="495">
        <v>2.25</v>
      </c>
      <c r="AD1359" s="495"/>
      <c r="AE1359" s="602">
        <v>0</v>
      </c>
      <c r="AF1359" s="602">
        <v>0</v>
      </c>
      <c r="AG1359" s="602">
        <v>0</v>
      </c>
      <c r="AH1359" s="590">
        <v>2.4307692307692306</v>
      </c>
      <c r="AI1359" s="590">
        <v>2.25</v>
      </c>
      <c r="AJ1359" s="590">
        <v>2.25</v>
      </c>
      <c r="AK1359" s="590"/>
      <c r="AL1359" s="603">
        <v>1</v>
      </c>
      <c r="AM1359" s="603">
        <v>1</v>
      </c>
      <c r="AN1359" s="603">
        <v>1</v>
      </c>
      <c r="AO1359" s="603">
        <v>0</v>
      </c>
    </row>
    <row r="1360" spans="1:41" hidden="1">
      <c r="A1360" s="599" t="s">
        <v>215</v>
      </c>
      <c r="B1360" s="3" t="s">
        <v>215</v>
      </c>
      <c r="C1360" s="3">
        <v>0</v>
      </c>
      <c r="D1360" s="600" t="s">
        <v>19106</v>
      </c>
      <c r="E1360" s="3" t="s">
        <v>215</v>
      </c>
      <c r="F1360" s="601">
        <v>45184</v>
      </c>
      <c r="G1360" s="3">
        <v>2023</v>
      </c>
      <c r="H1360" s="586" t="s">
        <v>17226</v>
      </c>
      <c r="I1360" s="3" t="s">
        <v>17227</v>
      </c>
      <c r="J1360" s="3" t="s">
        <v>3</v>
      </c>
      <c r="K1360" s="54">
        <v>62730</v>
      </c>
      <c r="L1360" s="586">
        <v>1</v>
      </c>
      <c r="M1360" s="587">
        <v>62730</v>
      </c>
      <c r="N1360" s="3" t="s">
        <v>20155</v>
      </c>
      <c r="O1360" s="3" t="s">
        <v>17689</v>
      </c>
      <c r="P1360" s="875">
        <v>45205</v>
      </c>
      <c r="Q1360" s="466">
        <v>0</v>
      </c>
      <c r="R1360" s="466">
        <v>24600</v>
      </c>
      <c r="S1360" s="466">
        <v>0</v>
      </c>
      <c r="T1360" s="466">
        <v>0</v>
      </c>
      <c r="U1360" s="466">
        <v>24600</v>
      </c>
      <c r="V1360" s="51"/>
      <c r="W1360" s="602">
        <v>0</v>
      </c>
      <c r="X1360" s="602">
        <v>62730</v>
      </c>
      <c r="Y1360" s="602">
        <v>0</v>
      </c>
      <c r="Z1360" s="602">
        <v>0</v>
      </c>
      <c r="AA1360" s="495"/>
      <c r="AB1360" s="495">
        <v>2.5499999999999998</v>
      </c>
      <c r="AC1360" s="495"/>
      <c r="AD1360" s="495"/>
      <c r="AE1360" s="602">
        <v>0</v>
      </c>
      <c r="AF1360" s="602">
        <v>0</v>
      </c>
      <c r="AG1360" s="602">
        <v>0</v>
      </c>
      <c r="AH1360" s="590"/>
      <c r="AI1360" s="590">
        <v>2.5499999999999998</v>
      </c>
      <c r="AJ1360" s="590"/>
      <c r="AK1360" s="590"/>
      <c r="AL1360" s="603">
        <v>0</v>
      </c>
      <c r="AM1360" s="603">
        <v>1</v>
      </c>
      <c r="AN1360" s="603">
        <v>0</v>
      </c>
      <c r="AO1360" s="603">
        <v>0</v>
      </c>
    </row>
    <row r="1361" spans="1:41" hidden="1">
      <c r="A1361" s="599" t="s">
        <v>216</v>
      </c>
      <c r="B1361" s="3" t="s">
        <v>216</v>
      </c>
      <c r="C1361" s="3">
        <v>0</v>
      </c>
      <c r="D1361" s="600" t="s">
        <v>19107</v>
      </c>
      <c r="E1361" s="3" t="s">
        <v>216</v>
      </c>
      <c r="F1361" s="601">
        <v>45188</v>
      </c>
      <c r="G1361" s="3">
        <v>2023</v>
      </c>
      <c r="H1361" s="586" t="s">
        <v>16470</v>
      </c>
      <c r="I1361" s="3" t="s">
        <v>16471</v>
      </c>
      <c r="J1361" s="3" t="s">
        <v>16401</v>
      </c>
      <c r="K1361" s="54">
        <v>620178.28047</v>
      </c>
      <c r="L1361" s="586">
        <v>3.17205</v>
      </c>
      <c r="M1361" s="587">
        <v>195513.4</v>
      </c>
      <c r="N1361" s="3" t="s">
        <v>20155</v>
      </c>
      <c r="O1361" s="3" t="s">
        <v>20159</v>
      </c>
      <c r="P1361" s="875">
        <v>45198</v>
      </c>
      <c r="Q1361" s="466">
        <v>23628</v>
      </c>
      <c r="R1361" s="466">
        <v>238966</v>
      </c>
      <c r="S1361" s="466">
        <v>16000</v>
      </c>
      <c r="T1361" s="466">
        <v>0</v>
      </c>
      <c r="U1361" s="466">
        <v>278594</v>
      </c>
      <c r="V1361" s="51"/>
      <c r="W1361" s="602">
        <v>47958.992304005253</v>
      </c>
      <c r="X1361" s="602">
        <v>539037.4709100239</v>
      </c>
      <c r="Y1361" s="602">
        <v>33181.817255971051</v>
      </c>
      <c r="Z1361" s="602">
        <v>0</v>
      </c>
      <c r="AA1361" s="495">
        <v>2.0297525099037266</v>
      </c>
      <c r="AB1361" s="495">
        <v>2.2557078032440763</v>
      </c>
      <c r="AC1361" s="495">
        <v>2.0738635784981905</v>
      </c>
      <c r="AD1361" s="495"/>
      <c r="AE1361" s="602">
        <v>18768.84</v>
      </c>
      <c r="AF1361" s="602">
        <v>77714.899999999994</v>
      </c>
      <c r="AG1361" s="602">
        <v>0.27895396167900238</v>
      </c>
      <c r="AH1361" s="590">
        <v>1.7507985482247241</v>
      </c>
      <c r="AI1361" s="590">
        <v>1.9767538415650738</v>
      </c>
      <c r="AJ1361" s="590">
        <v>1.794909616819188</v>
      </c>
      <c r="AK1361" s="590"/>
      <c r="AL1361" s="603" t="s">
        <v>20345</v>
      </c>
      <c r="AM1361" s="603" t="s">
        <v>20346</v>
      </c>
      <c r="AN1361" s="603" t="s">
        <v>20346</v>
      </c>
      <c r="AO1361" s="603">
        <v>0</v>
      </c>
    </row>
    <row r="1362" spans="1:41" hidden="1">
      <c r="A1362" s="599" t="s">
        <v>217</v>
      </c>
      <c r="B1362" s="3" t="s">
        <v>217</v>
      </c>
      <c r="C1362" s="3">
        <v>0</v>
      </c>
      <c r="D1362" s="600" t="s">
        <v>19108</v>
      </c>
      <c r="E1362" s="3" t="s">
        <v>217</v>
      </c>
      <c r="F1362" s="601">
        <v>45188</v>
      </c>
      <c r="G1362" s="3">
        <v>2023</v>
      </c>
      <c r="H1362" s="586" t="s">
        <v>17017</v>
      </c>
      <c r="I1362" s="3" t="s">
        <v>17018</v>
      </c>
      <c r="J1362" s="3" t="s">
        <v>3</v>
      </c>
      <c r="K1362" s="54">
        <v>21996.3</v>
      </c>
      <c r="L1362" s="586">
        <v>1</v>
      </c>
      <c r="M1362" s="587">
        <v>21996.3</v>
      </c>
      <c r="N1362" s="3" t="s">
        <v>20155</v>
      </c>
      <c r="O1362" s="3" t="s">
        <v>17238</v>
      </c>
      <c r="P1362" s="875">
        <v>45237</v>
      </c>
      <c r="Q1362" s="466">
        <v>0</v>
      </c>
      <c r="R1362" s="466">
        <v>8626</v>
      </c>
      <c r="S1362" s="466">
        <v>0</v>
      </c>
      <c r="T1362" s="466">
        <v>0</v>
      </c>
      <c r="U1362" s="466">
        <v>8626</v>
      </c>
      <c r="V1362" s="51"/>
      <c r="W1362" s="602">
        <v>0</v>
      </c>
      <c r="X1362" s="602">
        <v>21996.3</v>
      </c>
      <c r="Y1362" s="602">
        <v>0</v>
      </c>
      <c r="Z1362" s="602">
        <v>0</v>
      </c>
      <c r="AA1362" s="495"/>
      <c r="AB1362" s="495">
        <v>2.5499999999999998</v>
      </c>
      <c r="AC1362" s="495"/>
      <c r="AD1362" s="495"/>
      <c r="AE1362" s="602">
        <v>0</v>
      </c>
      <c r="AF1362" s="602"/>
      <c r="AG1362" s="602">
        <v>0</v>
      </c>
      <c r="AH1362" s="590"/>
      <c r="AI1362" s="590">
        <v>2.5499999999999998</v>
      </c>
      <c r="AJ1362" s="590"/>
      <c r="AK1362" s="590"/>
      <c r="AL1362" s="603">
        <v>0</v>
      </c>
      <c r="AM1362" s="603">
        <v>1</v>
      </c>
      <c r="AN1362" s="603">
        <v>0</v>
      </c>
      <c r="AO1362" s="603">
        <v>0</v>
      </c>
    </row>
    <row r="1363" spans="1:41" hidden="1">
      <c r="A1363" s="599" t="s">
        <v>218</v>
      </c>
      <c r="B1363" s="3" t="s">
        <v>218</v>
      </c>
      <c r="C1363" s="3">
        <v>0</v>
      </c>
      <c r="D1363" s="600" t="s">
        <v>19109</v>
      </c>
      <c r="E1363" s="3" t="s">
        <v>218</v>
      </c>
      <c r="F1363" s="601">
        <v>45189</v>
      </c>
      <c r="G1363" s="3">
        <v>2023</v>
      </c>
      <c r="H1363" s="586" t="s">
        <v>17017</v>
      </c>
      <c r="I1363" s="3" t="s">
        <v>17018</v>
      </c>
      <c r="J1363" s="3" t="s">
        <v>3</v>
      </c>
      <c r="K1363" s="54">
        <v>61636.4</v>
      </c>
      <c r="L1363" s="586">
        <v>1</v>
      </c>
      <c r="M1363" s="587">
        <v>61636.4</v>
      </c>
      <c r="N1363" s="3" t="s">
        <v>20155</v>
      </c>
      <c r="O1363" s="3" t="s">
        <v>20359</v>
      </c>
      <c r="P1363" s="875">
        <v>45199</v>
      </c>
      <c r="Q1363" s="466">
        <v>0</v>
      </c>
      <c r="R1363" s="466">
        <v>7000</v>
      </c>
      <c r="S1363" s="466">
        <v>6400</v>
      </c>
      <c r="T1363" s="466">
        <v>4500</v>
      </c>
      <c r="U1363" s="466">
        <v>17900</v>
      </c>
      <c r="V1363" s="51"/>
      <c r="W1363" s="602">
        <v>0</v>
      </c>
      <c r="X1363" s="602">
        <v>17500</v>
      </c>
      <c r="Y1363" s="602">
        <v>14886.4</v>
      </c>
      <c r="Z1363" s="602">
        <v>29250</v>
      </c>
      <c r="AA1363" s="495"/>
      <c r="AB1363" s="495">
        <v>2.5</v>
      </c>
      <c r="AC1363" s="495">
        <v>2.3260000000000001</v>
      </c>
      <c r="AD1363" s="495">
        <v>6.5</v>
      </c>
      <c r="AE1363" s="602">
        <v>0</v>
      </c>
      <c r="AF1363" s="602">
        <v>0</v>
      </c>
      <c r="AG1363" s="602">
        <v>0</v>
      </c>
      <c r="AH1363" s="590"/>
      <c r="AI1363" s="590">
        <v>2.5</v>
      </c>
      <c r="AJ1363" s="590">
        <v>2.3260000000000001</v>
      </c>
      <c r="AK1363" s="590">
        <v>6.5</v>
      </c>
      <c r="AL1363" s="603">
        <v>0</v>
      </c>
      <c r="AM1363" s="603">
        <v>1</v>
      </c>
      <c r="AN1363" s="603">
        <v>1</v>
      </c>
      <c r="AO1363" s="603">
        <v>1</v>
      </c>
    </row>
    <row r="1364" spans="1:41" hidden="1">
      <c r="A1364" s="599" t="s">
        <v>219</v>
      </c>
      <c r="B1364" s="3" t="s">
        <v>219</v>
      </c>
      <c r="C1364" s="3">
        <v>0</v>
      </c>
      <c r="D1364" s="600" t="s">
        <v>19110</v>
      </c>
      <c r="E1364" s="3" t="s">
        <v>219</v>
      </c>
      <c r="F1364" s="601">
        <v>45189</v>
      </c>
      <c r="G1364" s="3">
        <v>2023</v>
      </c>
      <c r="H1364" s="586" t="s">
        <v>17299</v>
      </c>
      <c r="I1364" s="3" t="s">
        <v>17300</v>
      </c>
      <c r="J1364" s="3" t="s">
        <v>16482</v>
      </c>
      <c r="K1364" s="54">
        <v>324530.02399999998</v>
      </c>
      <c r="L1364" s="586">
        <v>3.3643999999999998</v>
      </c>
      <c r="M1364" s="587">
        <v>96460</v>
      </c>
      <c r="N1364" s="3" t="s">
        <v>20155</v>
      </c>
      <c r="O1364" s="3" t="s">
        <v>20321</v>
      </c>
      <c r="P1364" s="875">
        <v>45195</v>
      </c>
      <c r="Q1364" s="466">
        <v>134400</v>
      </c>
      <c r="R1364" s="466">
        <v>0</v>
      </c>
      <c r="S1364" s="466">
        <v>0</v>
      </c>
      <c r="T1364" s="466">
        <v>0</v>
      </c>
      <c r="U1364" s="466">
        <v>134400</v>
      </c>
      <c r="V1364" s="51"/>
      <c r="W1364" s="602">
        <v>324530.02399999998</v>
      </c>
      <c r="X1364" s="602">
        <v>0</v>
      </c>
      <c r="Y1364" s="602">
        <v>0</v>
      </c>
      <c r="Z1364" s="602">
        <v>0</v>
      </c>
      <c r="AA1364" s="495">
        <v>2.4146579166666666</v>
      </c>
      <c r="AB1364" s="495"/>
      <c r="AC1364" s="495"/>
      <c r="AD1364" s="495"/>
      <c r="AE1364" s="602">
        <v>9027.27</v>
      </c>
      <c r="AF1364" s="602">
        <v>39812.9</v>
      </c>
      <c r="AG1364" s="602">
        <v>0.29622693452380955</v>
      </c>
      <c r="AH1364" s="590">
        <v>2.1184309821428569</v>
      </c>
      <c r="AI1364" s="590"/>
      <c r="AJ1364" s="590"/>
      <c r="AK1364" s="590"/>
      <c r="AL1364" s="603" t="s">
        <v>20345</v>
      </c>
      <c r="AM1364" s="603">
        <v>0</v>
      </c>
      <c r="AN1364" s="603">
        <v>0</v>
      </c>
      <c r="AO1364" s="603">
        <v>0</v>
      </c>
    </row>
    <row r="1365" spans="1:41" hidden="1">
      <c r="A1365" s="599" t="s">
        <v>220</v>
      </c>
      <c r="B1365" s="3" t="s">
        <v>220</v>
      </c>
      <c r="C1365" s="3">
        <v>0</v>
      </c>
      <c r="D1365" s="600" t="s">
        <v>19111</v>
      </c>
      <c r="E1365" s="3" t="s">
        <v>220</v>
      </c>
      <c r="F1365" s="601">
        <v>45189</v>
      </c>
      <c r="G1365" s="3">
        <v>2023</v>
      </c>
      <c r="H1365" s="586" t="s">
        <v>17342</v>
      </c>
      <c r="I1365" s="3" t="s">
        <v>17343</v>
      </c>
      <c r="J1365" s="3" t="s">
        <v>16482</v>
      </c>
      <c r="K1365" s="54">
        <v>69656.775463999991</v>
      </c>
      <c r="L1365" s="586">
        <v>3.3645999999999998</v>
      </c>
      <c r="M1365" s="587">
        <v>20702.84</v>
      </c>
      <c r="N1365" s="3" t="s">
        <v>20155</v>
      </c>
      <c r="O1365" s="3" t="s">
        <v>16394</v>
      </c>
      <c r="P1365" s="875">
        <v>45192</v>
      </c>
      <c r="Q1365" s="466">
        <v>2880</v>
      </c>
      <c r="R1365" s="466">
        <v>8184</v>
      </c>
      <c r="S1365" s="466">
        <v>8400</v>
      </c>
      <c r="T1365" s="466">
        <v>0</v>
      </c>
      <c r="U1365" s="466">
        <v>19464</v>
      </c>
      <c r="V1365" s="51"/>
      <c r="W1365" s="602">
        <v>10657.300386880395</v>
      </c>
      <c r="X1365" s="602">
        <v>29187.501082051789</v>
      </c>
      <c r="Y1365" s="602">
        <v>29811.973995067812</v>
      </c>
      <c r="Z1365" s="602">
        <v>0</v>
      </c>
      <c r="AA1365" s="495">
        <v>3.7004515232223594</v>
      </c>
      <c r="AB1365" s="495">
        <v>3.5664102006417142</v>
      </c>
      <c r="AC1365" s="495">
        <v>3.5490445232223586</v>
      </c>
      <c r="AD1365" s="495"/>
      <c r="AE1365" s="602">
        <v>2193.0479999999998</v>
      </c>
      <c r="AF1365" s="602">
        <v>27382.482</v>
      </c>
      <c r="AG1365" s="602">
        <v>1.4068270653514181</v>
      </c>
      <c r="AH1365" s="590">
        <v>2.2936244578709415</v>
      </c>
      <c r="AI1365" s="590">
        <v>2.1595831352902959</v>
      </c>
      <c r="AJ1365" s="590">
        <v>2.1422174578709408</v>
      </c>
      <c r="AK1365" s="590"/>
      <c r="AL1365" s="603">
        <v>1</v>
      </c>
      <c r="AM1365" s="603">
        <v>1</v>
      </c>
      <c r="AN1365" s="603">
        <v>1</v>
      </c>
      <c r="AO1365" s="603">
        <v>0</v>
      </c>
    </row>
    <row r="1366" spans="1:41" hidden="1">
      <c r="A1366" s="599" t="s">
        <v>221</v>
      </c>
      <c r="B1366" s="3" t="s">
        <v>221</v>
      </c>
      <c r="C1366" s="3">
        <v>0</v>
      </c>
      <c r="D1366" s="600" t="s">
        <v>19112</v>
      </c>
      <c r="E1366" s="3" t="s">
        <v>221</v>
      </c>
      <c r="F1366" s="601">
        <v>45189</v>
      </c>
      <c r="G1366" s="3">
        <v>2023</v>
      </c>
      <c r="H1366" s="586" t="s">
        <v>16384</v>
      </c>
      <c r="I1366" s="3" t="s">
        <v>16385</v>
      </c>
      <c r="J1366" s="3" t="s">
        <v>3</v>
      </c>
      <c r="K1366" s="54">
        <v>152064</v>
      </c>
      <c r="L1366" s="586">
        <v>1</v>
      </c>
      <c r="M1366" s="587">
        <v>152064</v>
      </c>
      <c r="N1366" s="3" t="s">
        <v>20155</v>
      </c>
      <c r="O1366" s="3" t="s">
        <v>17965</v>
      </c>
      <c r="P1366" s="875">
        <v>45208</v>
      </c>
      <c r="Q1366" s="466">
        <v>76800</v>
      </c>
      <c r="R1366" s="466">
        <v>0</v>
      </c>
      <c r="S1366" s="466">
        <v>0</v>
      </c>
      <c r="T1366" s="466">
        <v>0</v>
      </c>
      <c r="U1366" s="466">
        <v>76800</v>
      </c>
      <c r="V1366" s="51"/>
      <c r="W1366" s="602">
        <v>152064</v>
      </c>
      <c r="X1366" s="602">
        <v>0</v>
      </c>
      <c r="Y1366" s="602">
        <v>0</v>
      </c>
      <c r="Z1366" s="602">
        <v>0</v>
      </c>
      <c r="AA1366" s="495">
        <v>1.98</v>
      </c>
      <c r="AB1366" s="495"/>
      <c r="AC1366" s="495"/>
      <c r="AD1366" s="495"/>
      <c r="AE1366" s="602">
        <v>0</v>
      </c>
      <c r="AF1366" s="602">
        <v>0</v>
      </c>
      <c r="AG1366" s="602">
        <v>0</v>
      </c>
      <c r="AH1366" s="590">
        <v>1.98</v>
      </c>
      <c r="AI1366" s="590"/>
      <c r="AJ1366" s="590"/>
      <c r="AK1366" s="590"/>
      <c r="AL1366" s="603" t="s">
        <v>20345</v>
      </c>
      <c r="AM1366" s="603">
        <v>0</v>
      </c>
      <c r="AN1366" s="603">
        <v>0</v>
      </c>
      <c r="AO1366" s="603">
        <v>0</v>
      </c>
    </row>
    <row r="1367" spans="1:41" hidden="1">
      <c r="A1367" s="599" t="s">
        <v>222</v>
      </c>
      <c r="B1367" s="3" t="s">
        <v>222</v>
      </c>
      <c r="C1367" s="3">
        <v>0</v>
      </c>
      <c r="D1367" s="600" t="s">
        <v>19113</v>
      </c>
      <c r="E1367" s="3" t="s">
        <v>222</v>
      </c>
      <c r="F1367" s="601">
        <v>45189</v>
      </c>
      <c r="G1367" s="3">
        <v>2023</v>
      </c>
      <c r="H1367" s="586" t="s">
        <v>16838</v>
      </c>
      <c r="I1367" s="3" t="s">
        <v>16839</v>
      </c>
      <c r="J1367" s="3" t="s">
        <v>3</v>
      </c>
      <c r="K1367" s="54">
        <v>200266.5</v>
      </c>
      <c r="L1367" s="586">
        <v>1</v>
      </c>
      <c r="M1367" s="587">
        <v>200266.5</v>
      </c>
      <c r="N1367" s="3" t="s">
        <v>20155</v>
      </c>
      <c r="O1367" s="3" t="s">
        <v>17771</v>
      </c>
      <c r="P1367" s="875">
        <v>45199</v>
      </c>
      <c r="Q1367" s="466">
        <v>0</v>
      </c>
      <c r="R1367" s="466">
        <v>18840</v>
      </c>
      <c r="S1367" s="466">
        <v>93000</v>
      </c>
      <c r="T1367" s="466">
        <v>125</v>
      </c>
      <c r="U1367" s="466">
        <v>111965</v>
      </c>
      <c r="V1367" s="51"/>
      <c r="W1367" s="602">
        <v>0</v>
      </c>
      <c r="X1367" s="602">
        <v>34854</v>
      </c>
      <c r="Y1367" s="602">
        <v>164600</v>
      </c>
      <c r="Z1367" s="602">
        <v>812.5</v>
      </c>
      <c r="AA1367" s="495"/>
      <c r="AB1367" s="495">
        <v>1.85</v>
      </c>
      <c r="AC1367" s="495">
        <v>1.7698924731182795</v>
      </c>
      <c r="AD1367" s="495">
        <v>6.5</v>
      </c>
      <c r="AE1367" s="602">
        <v>0</v>
      </c>
      <c r="AF1367" s="602">
        <v>0</v>
      </c>
      <c r="AG1367" s="602">
        <v>0</v>
      </c>
      <c r="AH1367" s="590"/>
      <c r="AI1367" s="590">
        <v>1.85</v>
      </c>
      <c r="AJ1367" s="590">
        <v>1.7698924731182795</v>
      </c>
      <c r="AK1367" s="590">
        <v>6.5</v>
      </c>
      <c r="AL1367" s="603">
        <v>0</v>
      </c>
      <c r="AM1367" s="603" t="s">
        <v>20348</v>
      </c>
      <c r="AN1367" s="603" t="s">
        <v>20347</v>
      </c>
      <c r="AO1367" s="603">
        <v>1</v>
      </c>
    </row>
    <row r="1368" spans="1:41" hidden="1">
      <c r="A1368" s="599" t="s">
        <v>223</v>
      </c>
      <c r="B1368" s="3" t="s">
        <v>223</v>
      </c>
      <c r="C1368" s="3">
        <v>0</v>
      </c>
      <c r="D1368" s="600" t="s">
        <v>19114</v>
      </c>
      <c r="E1368" s="3" t="s">
        <v>223</v>
      </c>
      <c r="F1368" s="601">
        <v>45189</v>
      </c>
      <c r="G1368" s="3">
        <v>2023</v>
      </c>
      <c r="H1368" s="586" t="s">
        <v>17304</v>
      </c>
      <c r="I1368" s="3" t="s">
        <v>17305</v>
      </c>
      <c r="J1368" s="3" t="s">
        <v>17306</v>
      </c>
      <c r="K1368" s="54">
        <v>66387.294049999997</v>
      </c>
      <c r="L1368" s="586">
        <v>2.3506999999999998</v>
      </c>
      <c r="M1368" s="587">
        <v>28241.5</v>
      </c>
      <c r="N1368" s="3" t="s">
        <v>20155</v>
      </c>
      <c r="O1368" s="3" t="s">
        <v>17954</v>
      </c>
      <c r="P1368" s="875">
        <v>45199</v>
      </c>
      <c r="Q1368" s="466">
        <v>0</v>
      </c>
      <c r="R1368" s="466">
        <v>13111.36</v>
      </c>
      <c r="S1368" s="466">
        <v>2880</v>
      </c>
      <c r="T1368" s="466">
        <v>1250</v>
      </c>
      <c r="U1368" s="466">
        <v>17241.36</v>
      </c>
      <c r="V1368" s="51"/>
      <c r="W1368" s="602">
        <v>0</v>
      </c>
      <c r="X1368" s="602">
        <v>46149.699612195502</v>
      </c>
      <c r="Y1368" s="602">
        <v>10872.648774465124</v>
      </c>
      <c r="Z1368" s="602">
        <v>9361.6640861393753</v>
      </c>
      <c r="AA1368" s="495"/>
      <c r="AB1368" s="495">
        <v>3.5198255262761071</v>
      </c>
      <c r="AC1368" s="495">
        <v>3.7752252689115013</v>
      </c>
      <c r="AD1368" s="495">
        <v>7.4893312689115001</v>
      </c>
      <c r="AE1368" s="602">
        <v>3092.9039999999995</v>
      </c>
      <c r="AF1368" s="602">
        <v>19038.37</v>
      </c>
      <c r="AG1368" s="602">
        <v>1.1042266967339003</v>
      </c>
      <c r="AH1368" s="590"/>
      <c r="AI1368" s="590">
        <v>2.4155988295422066</v>
      </c>
      <c r="AJ1368" s="590">
        <v>2.6709985721776013</v>
      </c>
      <c r="AK1368" s="590">
        <v>6.3851045721775996</v>
      </c>
      <c r="AL1368" s="603">
        <v>0</v>
      </c>
      <c r="AM1368" s="603">
        <v>1</v>
      </c>
      <c r="AN1368" s="603">
        <v>1</v>
      </c>
      <c r="AO1368" s="603">
        <v>1</v>
      </c>
    </row>
    <row r="1369" spans="1:41" hidden="1">
      <c r="A1369" s="599" t="s">
        <v>224</v>
      </c>
      <c r="B1369" s="3" t="s">
        <v>224</v>
      </c>
      <c r="C1369" s="3">
        <v>0</v>
      </c>
      <c r="D1369" s="600" t="s">
        <v>19115</v>
      </c>
      <c r="E1369" s="3" t="s">
        <v>224</v>
      </c>
      <c r="F1369" s="601">
        <v>45189</v>
      </c>
      <c r="G1369" s="3">
        <v>2023</v>
      </c>
      <c r="H1369" s="586" t="s">
        <v>16444</v>
      </c>
      <c r="I1369" s="3" t="s">
        <v>16445</v>
      </c>
      <c r="J1369" s="3" t="s">
        <v>3</v>
      </c>
      <c r="K1369" s="54">
        <v>42120</v>
      </c>
      <c r="L1369" s="586">
        <v>1</v>
      </c>
      <c r="M1369" s="587">
        <v>42120</v>
      </c>
      <c r="N1369" s="3" t="s">
        <v>20155</v>
      </c>
      <c r="O1369" s="3" t="s">
        <v>17693</v>
      </c>
      <c r="P1369" s="875">
        <v>45201</v>
      </c>
      <c r="Q1369" s="466">
        <v>21600</v>
      </c>
      <c r="R1369" s="466">
        <v>0</v>
      </c>
      <c r="S1369" s="466">
        <v>0</v>
      </c>
      <c r="T1369" s="466">
        <v>0</v>
      </c>
      <c r="U1369" s="466">
        <v>21600</v>
      </c>
      <c r="V1369" s="51"/>
      <c r="W1369" s="602">
        <v>42120</v>
      </c>
      <c r="X1369" s="602">
        <v>0</v>
      </c>
      <c r="Y1369" s="602">
        <v>0</v>
      </c>
      <c r="Z1369" s="602">
        <v>0</v>
      </c>
      <c r="AA1369" s="495">
        <v>1.95</v>
      </c>
      <c r="AB1369" s="495"/>
      <c r="AC1369" s="495"/>
      <c r="AD1369" s="495"/>
      <c r="AE1369" s="602">
        <v>0</v>
      </c>
      <c r="AF1369" s="602">
        <v>0</v>
      </c>
      <c r="AG1369" s="602">
        <v>0</v>
      </c>
      <c r="AH1369" s="590">
        <v>1.95</v>
      </c>
      <c r="AI1369" s="590"/>
      <c r="AJ1369" s="590"/>
      <c r="AK1369" s="590"/>
      <c r="AL1369" s="603" t="s">
        <v>20345</v>
      </c>
      <c r="AM1369" s="603">
        <v>0</v>
      </c>
      <c r="AN1369" s="603">
        <v>0</v>
      </c>
      <c r="AO1369" s="603">
        <v>0</v>
      </c>
    </row>
    <row r="1370" spans="1:41" hidden="1">
      <c r="A1370" s="599" t="s">
        <v>225</v>
      </c>
      <c r="B1370" s="3" t="s">
        <v>225</v>
      </c>
      <c r="C1370" s="3">
        <v>0</v>
      </c>
      <c r="D1370" s="600" t="s">
        <v>19116</v>
      </c>
      <c r="E1370" s="3" t="s">
        <v>225</v>
      </c>
      <c r="F1370" s="601">
        <v>45189</v>
      </c>
      <c r="G1370" s="3">
        <v>2023</v>
      </c>
      <c r="H1370" s="586" t="s">
        <v>16444</v>
      </c>
      <c r="I1370" s="3" t="s">
        <v>16445</v>
      </c>
      <c r="J1370" s="3" t="s">
        <v>3</v>
      </c>
      <c r="K1370" s="54">
        <v>42120</v>
      </c>
      <c r="L1370" s="586">
        <v>1</v>
      </c>
      <c r="M1370" s="587">
        <v>42120</v>
      </c>
      <c r="N1370" s="3" t="s">
        <v>20155</v>
      </c>
      <c r="O1370" s="3" t="s">
        <v>17949</v>
      </c>
      <c r="P1370" s="875">
        <v>45201</v>
      </c>
      <c r="Q1370" s="466">
        <v>21600</v>
      </c>
      <c r="R1370" s="466">
        <v>0</v>
      </c>
      <c r="S1370" s="466">
        <v>0</v>
      </c>
      <c r="T1370" s="466">
        <v>0</v>
      </c>
      <c r="U1370" s="466">
        <v>21600</v>
      </c>
      <c r="V1370" s="51"/>
      <c r="W1370" s="602">
        <v>42120</v>
      </c>
      <c r="X1370" s="602">
        <v>0</v>
      </c>
      <c r="Y1370" s="602">
        <v>0</v>
      </c>
      <c r="Z1370" s="602">
        <v>0</v>
      </c>
      <c r="AA1370" s="495">
        <v>1.95</v>
      </c>
      <c r="AB1370" s="495"/>
      <c r="AC1370" s="495"/>
      <c r="AD1370" s="495"/>
      <c r="AE1370" s="602">
        <v>0</v>
      </c>
      <c r="AF1370" s="602">
        <v>0</v>
      </c>
      <c r="AG1370" s="602">
        <v>0</v>
      </c>
      <c r="AH1370" s="590">
        <v>1.95</v>
      </c>
      <c r="AI1370" s="590"/>
      <c r="AJ1370" s="590"/>
      <c r="AK1370" s="590"/>
      <c r="AL1370" s="603" t="s">
        <v>20345</v>
      </c>
      <c r="AM1370" s="603">
        <v>0</v>
      </c>
      <c r="AN1370" s="603">
        <v>0</v>
      </c>
      <c r="AO1370" s="603">
        <v>0</v>
      </c>
    </row>
    <row r="1371" spans="1:41" hidden="1">
      <c r="A1371" s="599" t="s">
        <v>226</v>
      </c>
      <c r="B1371" s="3" t="s">
        <v>226</v>
      </c>
      <c r="C1371" s="3">
        <v>0</v>
      </c>
      <c r="D1371" s="600" t="s">
        <v>19117</v>
      </c>
      <c r="E1371" s="3" t="s">
        <v>226</v>
      </c>
      <c r="F1371" s="601">
        <v>45189</v>
      </c>
      <c r="G1371" s="3">
        <v>2023</v>
      </c>
      <c r="H1371" s="586" t="s">
        <v>16444</v>
      </c>
      <c r="I1371" s="3" t="s">
        <v>16445</v>
      </c>
      <c r="J1371" s="3" t="s">
        <v>3</v>
      </c>
      <c r="K1371" s="54">
        <v>84950.88</v>
      </c>
      <c r="L1371" s="586">
        <v>1</v>
      </c>
      <c r="M1371" s="587">
        <v>84950.88</v>
      </c>
      <c r="N1371" s="3" t="s">
        <v>20155</v>
      </c>
      <c r="O1371" s="3" t="s">
        <v>17949</v>
      </c>
      <c r="P1371" s="875">
        <v>45201</v>
      </c>
      <c r="Q1371" s="466">
        <v>44016</v>
      </c>
      <c r="R1371" s="466">
        <v>0</v>
      </c>
      <c r="S1371" s="466">
        <v>0</v>
      </c>
      <c r="T1371" s="466">
        <v>0</v>
      </c>
      <c r="U1371" s="466">
        <v>44016</v>
      </c>
      <c r="V1371" s="51"/>
      <c r="W1371" s="602">
        <v>84950.88</v>
      </c>
      <c r="X1371" s="602">
        <v>0</v>
      </c>
      <c r="Y1371" s="602">
        <v>0</v>
      </c>
      <c r="Z1371" s="602">
        <v>0</v>
      </c>
      <c r="AA1371" s="495">
        <v>1.9300000000000002</v>
      </c>
      <c r="AB1371" s="495"/>
      <c r="AC1371" s="495"/>
      <c r="AD1371" s="495"/>
      <c r="AE1371" s="602">
        <v>0</v>
      </c>
      <c r="AF1371" s="602">
        <v>0</v>
      </c>
      <c r="AG1371" s="602">
        <v>0</v>
      </c>
      <c r="AH1371" s="590">
        <v>1.9300000000000002</v>
      </c>
      <c r="AI1371" s="590"/>
      <c r="AJ1371" s="590"/>
      <c r="AK1371" s="590"/>
      <c r="AL1371" s="603" t="s">
        <v>20345</v>
      </c>
      <c r="AM1371" s="603">
        <v>0</v>
      </c>
      <c r="AN1371" s="603">
        <v>0</v>
      </c>
      <c r="AO1371" s="603">
        <v>0</v>
      </c>
    </row>
    <row r="1372" spans="1:41" hidden="1">
      <c r="A1372" s="599" t="s">
        <v>227</v>
      </c>
      <c r="B1372" s="3" t="s">
        <v>227</v>
      </c>
      <c r="C1372" s="3">
        <v>0</v>
      </c>
      <c r="D1372" s="600" t="s">
        <v>19118</v>
      </c>
      <c r="E1372" s="3" t="s">
        <v>227</v>
      </c>
      <c r="F1372" s="601">
        <v>45189</v>
      </c>
      <c r="G1372" s="3">
        <v>2023</v>
      </c>
      <c r="H1372" s="586" t="s">
        <v>16444</v>
      </c>
      <c r="I1372" s="3" t="s">
        <v>16445</v>
      </c>
      <c r="J1372" s="3" t="s">
        <v>3</v>
      </c>
      <c r="K1372" s="54">
        <v>105271.2</v>
      </c>
      <c r="L1372" s="586">
        <v>1</v>
      </c>
      <c r="M1372" s="587">
        <v>105271.2</v>
      </c>
      <c r="N1372" s="3" t="s">
        <v>20155</v>
      </c>
      <c r="O1372" s="3" t="s">
        <v>18248</v>
      </c>
      <c r="P1372" s="875">
        <v>45208</v>
      </c>
      <c r="Q1372" s="466">
        <v>12150</v>
      </c>
      <c r="R1372" s="466">
        <v>42432</v>
      </c>
      <c r="S1372" s="466">
        <v>1440</v>
      </c>
      <c r="T1372" s="466">
        <v>0</v>
      </c>
      <c r="U1372" s="466">
        <v>56022</v>
      </c>
      <c r="V1372" s="51"/>
      <c r="W1372" s="602">
        <v>24108</v>
      </c>
      <c r="X1372" s="602">
        <v>78499.199999999997</v>
      </c>
      <c r="Y1372" s="602">
        <v>2664</v>
      </c>
      <c r="Z1372" s="602">
        <v>0</v>
      </c>
      <c r="AA1372" s="495">
        <v>1.9841975308641975</v>
      </c>
      <c r="AB1372" s="495">
        <v>1.8499999999999999</v>
      </c>
      <c r="AC1372" s="495">
        <v>1.85</v>
      </c>
      <c r="AD1372" s="495"/>
      <c r="AE1372" s="602">
        <v>0</v>
      </c>
      <c r="AF1372" s="602">
        <v>0</v>
      </c>
      <c r="AG1372" s="602">
        <v>0</v>
      </c>
      <c r="AH1372" s="590">
        <v>1.9841975308641975</v>
      </c>
      <c r="AI1372" s="590">
        <v>1.8499999999999999</v>
      </c>
      <c r="AJ1372" s="590">
        <v>1.85</v>
      </c>
      <c r="AK1372" s="590"/>
      <c r="AL1372" s="603" t="s">
        <v>20345</v>
      </c>
      <c r="AM1372" s="603" t="s">
        <v>20346</v>
      </c>
      <c r="AN1372" s="603" t="s">
        <v>20347</v>
      </c>
      <c r="AO1372" s="603">
        <v>0</v>
      </c>
    </row>
    <row r="1373" spans="1:41" hidden="1">
      <c r="A1373" s="599" t="s">
        <v>228</v>
      </c>
      <c r="B1373" s="3" t="s">
        <v>228</v>
      </c>
      <c r="C1373" s="3">
        <v>0</v>
      </c>
      <c r="D1373" s="600" t="s">
        <v>19119</v>
      </c>
      <c r="E1373" s="3" t="s">
        <v>228</v>
      </c>
      <c r="F1373" s="601">
        <v>45189</v>
      </c>
      <c r="G1373" s="3">
        <v>2023</v>
      </c>
      <c r="H1373" s="586" t="s">
        <v>16444</v>
      </c>
      <c r="I1373" s="3" t="s">
        <v>16445</v>
      </c>
      <c r="J1373" s="3" t="s">
        <v>3</v>
      </c>
      <c r="K1373" s="54">
        <v>105271.2</v>
      </c>
      <c r="L1373" s="586">
        <v>1</v>
      </c>
      <c r="M1373" s="587">
        <v>105271.2</v>
      </c>
      <c r="N1373" s="3" t="s">
        <v>20155</v>
      </c>
      <c r="O1373" s="3" t="s">
        <v>18248</v>
      </c>
      <c r="P1373" s="875">
        <v>45209</v>
      </c>
      <c r="Q1373" s="466">
        <v>12150</v>
      </c>
      <c r="R1373" s="466">
        <v>42432</v>
      </c>
      <c r="S1373" s="466">
        <v>1440</v>
      </c>
      <c r="T1373" s="466">
        <v>0</v>
      </c>
      <c r="U1373" s="466">
        <v>56022</v>
      </c>
      <c r="V1373" s="51"/>
      <c r="W1373" s="602">
        <v>24108</v>
      </c>
      <c r="X1373" s="602">
        <v>78499.199999999997</v>
      </c>
      <c r="Y1373" s="602">
        <v>2664</v>
      </c>
      <c r="Z1373" s="602">
        <v>0</v>
      </c>
      <c r="AA1373" s="495">
        <v>1.9841975308641975</v>
      </c>
      <c r="AB1373" s="495">
        <v>1.8499999999999999</v>
      </c>
      <c r="AC1373" s="495">
        <v>1.85</v>
      </c>
      <c r="AD1373" s="495"/>
      <c r="AE1373" s="602">
        <v>0</v>
      </c>
      <c r="AF1373" s="602">
        <v>0</v>
      </c>
      <c r="AG1373" s="602">
        <v>0</v>
      </c>
      <c r="AH1373" s="590">
        <v>1.9841975308641975</v>
      </c>
      <c r="AI1373" s="590">
        <v>1.8499999999999999</v>
      </c>
      <c r="AJ1373" s="590">
        <v>1.85</v>
      </c>
      <c r="AK1373" s="590"/>
      <c r="AL1373" s="603" t="s">
        <v>20345</v>
      </c>
      <c r="AM1373" s="603" t="s">
        <v>20346</v>
      </c>
      <c r="AN1373" s="603" t="s">
        <v>20347</v>
      </c>
      <c r="AO1373" s="603">
        <v>0</v>
      </c>
    </row>
    <row r="1374" spans="1:41" hidden="1">
      <c r="A1374" s="599" t="s">
        <v>229</v>
      </c>
      <c r="B1374" s="3" t="s">
        <v>229</v>
      </c>
      <c r="C1374" s="3">
        <v>0</v>
      </c>
      <c r="D1374" s="600" t="s">
        <v>19120</v>
      </c>
      <c r="E1374" s="3" t="s">
        <v>229</v>
      </c>
      <c r="F1374" s="601">
        <v>45189</v>
      </c>
      <c r="G1374" s="3">
        <v>2023</v>
      </c>
      <c r="H1374" s="586" t="s">
        <v>17352</v>
      </c>
      <c r="I1374" s="3" t="s">
        <v>17353</v>
      </c>
      <c r="J1374" s="3" t="s">
        <v>16401</v>
      </c>
      <c r="K1374" s="54">
        <v>1310026.705848</v>
      </c>
      <c r="L1374" s="586">
        <v>3.17205</v>
      </c>
      <c r="M1374" s="587">
        <v>412990.56</v>
      </c>
      <c r="N1374" s="3" t="s">
        <v>20155</v>
      </c>
      <c r="O1374" s="3" t="s">
        <v>17939</v>
      </c>
      <c r="P1374" s="875">
        <v>45199</v>
      </c>
      <c r="Q1374" s="466">
        <v>0</v>
      </c>
      <c r="R1374" s="466">
        <v>603984</v>
      </c>
      <c r="S1374" s="466">
        <v>96000</v>
      </c>
      <c r="T1374" s="466">
        <v>0</v>
      </c>
      <c r="U1374" s="466">
        <v>699984</v>
      </c>
      <c r="V1374" s="51"/>
      <c r="W1374" s="602">
        <v>0</v>
      </c>
      <c r="X1374" s="602">
        <v>1130361.793848</v>
      </c>
      <c r="Y1374" s="602">
        <v>179664.91199999989</v>
      </c>
      <c r="Z1374" s="602">
        <v>0</v>
      </c>
      <c r="AA1374" s="495"/>
      <c r="AB1374" s="495">
        <v>1.8715094999999999</v>
      </c>
      <c r="AC1374" s="495">
        <v>1.8715094999999988</v>
      </c>
      <c r="AD1374" s="495"/>
      <c r="AE1374" s="602">
        <v>0</v>
      </c>
      <c r="AF1374" s="602">
        <v>0</v>
      </c>
      <c r="AG1374" s="602">
        <v>0</v>
      </c>
      <c r="AH1374" s="590"/>
      <c r="AI1374" s="590">
        <v>1.8715094999999999</v>
      </c>
      <c r="AJ1374" s="590">
        <v>1.8715094999999988</v>
      </c>
      <c r="AK1374" s="590"/>
      <c r="AL1374" s="603">
        <v>0</v>
      </c>
      <c r="AM1374" s="603" t="s">
        <v>20347</v>
      </c>
      <c r="AN1374" s="603" t="s">
        <v>20347</v>
      </c>
      <c r="AO1374" s="603">
        <v>0</v>
      </c>
    </row>
    <row r="1375" spans="1:41" hidden="1">
      <c r="A1375" s="599" t="s">
        <v>230</v>
      </c>
      <c r="B1375" s="3" t="s">
        <v>230</v>
      </c>
      <c r="C1375" s="3">
        <v>0</v>
      </c>
      <c r="D1375" s="600" t="s">
        <v>19122</v>
      </c>
      <c r="E1375" s="3" t="s">
        <v>230</v>
      </c>
      <c r="F1375" s="601">
        <v>45194</v>
      </c>
      <c r="G1375" s="3">
        <v>2023</v>
      </c>
      <c r="H1375" s="586" t="s">
        <v>17299</v>
      </c>
      <c r="I1375" s="3" t="s">
        <v>17300</v>
      </c>
      <c r="J1375" s="3" t="s">
        <v>16482</v>
      </c>
      <c r="K1375" s="54">
        <v>324023.609</v>
      </c>
      <c r="L1375" s="586">
        <v>3.3591500000000001</v>
      </c>
      <c r="M1375" s="587">
        <v>96460</v>
      </c>
      <c r="N1375" s="3" t="s">
        <v>20155</v>
      </c>
      <c r="O1375" s="3" t="s">
        <v>20321</v>
      </c>
      <c r="P1375" s="875">
        <v>45198</v>
      </c>
      <c r="Q1375" s="466">
        <v>134400</v>
      </c>
      <c r="R1375" s="466">
        <v>0</v>
      </c>
      <c r="S1375" s="466">
        <v>0</v>
      </c>
      <c r="T1375" s="466">
        <v>0</v>
      </c>
      <c r="U1375" s="466">
        <v>134400</v>
      </c>
      <c r="V1375" s="51"/>
      <c r="W1375" s="602">
        <v>324023.609</v>
      </c>
      <c r="X1375" s="602">
        <v>0</v>
      </c>
      <c r="Y1375" s="602">
        <v>0</v>
      </c>
      <c r="Z1375" s="602">
        <v>0</v>
      </c>
      <c r="AA1375" s="495">
        <v>2.4108899479166666</v>
      </c>
      <c r="AB1375" s="495"/>
      <c r="AC1375" s="495"/>
      <c r="AD1375" s="495"/>
      <c r="AE1375" s="602">
        <v>9002.0384999999987</v>
      </c>
      <c r="AF1375" s="602">
        <v>40278.480000000003</v>
      </c>
      <c r="AG1375" s="602">
        <v>0.29969107142857143</v>
      </c>
      <c r="AH1375" s="590">
        <v>2.1111988764880953</v>
      </c>
      <c r="AI1375" s="590"/>
      <c r="AJ1375" s="590"/>
      <c r="AK1375" s="590"/>
      <c r="AL1375" s="603" t="s">
        <v>20345</v>
      </c>
      <c r="AM1375" s="603">
        <v>0</v>
      </c>
      <c r="AN1375" s="603">
        <v>0</v>
      </c>
      <c r="AO1375" s="603">
        <v>0</v>
      </c>
    </row>
    <row r="1376" spans="1:41" hidden="1">
      <c r="A1376" s="599" t="s">
        <v>231</v>
      </c>
      <c r="B1376" s="3" t="s">
        <v>231</v>
      </c>
      <c r="C1376" s="3">
        <v>0</v>
      </c>
      <c r="D1376" s="600" t="s">
        <v>19123</v>
      </c>
      <c r="E1376" s="3" t="s">
        <v>231</v>
      </c>
      <c r="F1376" s="601">
        <v>45198</v>
      </c>
      <c r="G1376" s="3">
        <v>2023</v>
      </c>
      <c r="H1376" s="586" t="s">
        <v>17354</v>
      </c>
      <c r="I1376" s="3" t="s">
        <v>17355</v>
      </c>
      <c r="J1376" s="3" t="s">
        <v>16482</v>
      </c>
      <c r="K1376" s="54">
        <v>42736.162319999996</v>
      </c>
      <c r="L1376" s="586">
        <v>3.34755</v>
      </c>
      <c r="M1376" s="587">
        <v>12766.4</v>
      </c>
      <c r="N1376" s="3" t="s">
        <v>20155</v>
      </c>
      <c r="O1376" s="3" t="s">
        <v>20360</v>
      </c>
      <c r="P1376" s="875">
        <v>45204</v>
      </c>
      <c r="Q1376" s="466">
        <v>600</v>
      </c>
      <c r="R1376" s="466">
        <v>8220</v>
      </c>
      <c r="S1376" s="466">
        <v>4200</v>
      </c>
      <c r="T1376" s="466">
        <v>1950</v>
      </c>
      <c r="U1376" s="466">
        <v>14970</v>
      </c>
      <c r="V1376" s="51"/>
      <c r="W1376" s="602">
        <v>1446.1415999999999</v>
      </c>
      <c r="X1376" s="602">
        <v>19089.069119999996</v>
      </c>
      <c r="Y1376" s="602">
        <v>9701.1998999999996</v>
      </c>
      <c r="Z1376" s="602">
        <v>12499.751699999999</v>
      </c>
      <c r="AA1376" s="495">
        <v>2.4102359999999998</v>
      </c>
      <c r="AB1376" s="495">
        <v>2.3222711824817512</v>
      </c>
      <c r="AC1376" s="495">
        <v>2.3098095000000001</v>
      </c>
      <c r="AD1376" s="495">
        <v>6.4101290769230763</v>
      </c>
      <c r="AE1376" s="602">
        <v>0</v>
      </c>
      <c r="AF1376" s="602">
        <v>0</v>
      </c>
      <c r="AG1376" s="602">
        <v>0</v>
      </c>
      <c r="AH1376" s="590">
        <v>2.4102359999999998</v>
      </c>
      <c r="AI1376" s="590">
        <v>2.3222711824817512</v>
      </c>
      <c r="AJ1376" s="590">
        <v>2.3098095000000001</v>
      </c>
      <c r="AK1376" s="590">
        <v>6.4101290769230763</v>
      </c>
      <c r="AL1376" s="603">
        <v>1</v>
      </c>
      <c r="AM1376" s="603">
        <v>1</v>
      </c>
      <c r="AN1376" s="603">
        <v>1</v>
      </c>
      <c r="AO1376" s="603">
        <v>1</v>
      </c>
    </row>
    <row r="1377" spans="1:41" hidden="1">
      <c r="A1377" s="599" t="s">
        <v>232</v>
      </c>
      <c r="B1377" s="3" t="s">
        <v>232</v>
      </c>
      <c r="C1377" s="3">
        <v>0</v>
      </c>
      <c r="D1377" s="600" t="s">
        <v>19124</v>
      </c>
      <c r="E1377" s="3" t="s">
        <v>232</v>
      </c>
      <c r="F1377" s="601">
        <v>45199</v>
      </c>
      <c r="G1377" s="3">
        <v>2023</v>
      </c>
      <c r="H1377" s="586" t="s">
        <v>17304</v>
      </c>
      <c r="I1377" s="3" t="s">
        <v>17305</v>
      </c>
      <c r="J1377" s="3" t="s">
        <v>17306</v>
      </c>
      <c r="K1377" s="54">
        <v>11613.2973</v>
      </c>
      <c r="L1377" s="586">
        <v>2.32545</v>
      </c>
      <c r="M1377" s="587">
        <v>4994</v>
      </c>
      <c r="N1377" s="3" t="s">
        <v>20155</v>
      </c>
      <c r="O1377" s="3" t="s">
        <v>17954</v>
      </c>
      <c r="P1377" s="875">
        <v>45217</v>
      </c>
      <c r="Q1377" s="466">
        <v>0</v>
      </c>
      <c r="R1377" s="466">
        <v>4540</v>
      </c>
      <c r="S1377" s="466">
        <v>0</v>
      </c>
      <c r="T1377" s="466">
        <v>0</v>
      </c>
      <c r="U1377" s="466">
        <v>4540</v>
      </c>
      <c r="V1377" s="51"/>
      <c r="W1377" s="602">
        <v>0</v>
      </c>
      <c r="X1377" s="602">
        <v>11613.2973</v>
      </c>
      <c r="Y1377" s="602">
        <v>0</v>
      </c>
      <c r="Z1377" s="602">
        <v>0</v>
      </c>
      <c r="AA1377" s="495"/>
      <c r="AB1377" s="495">
        <v>2.557995</v>
      </c>
      <c r="AC1377" s="495"/>
      <c r="AD1377" s="495"/>
      <c r="AE1377" s="602">
        <v>0</v>
      </c>
      <c r="AF1377" s="602">
        <v>0</v>
      </c>
      <c r="AG1377" s="602">
        <v>0</v>
      </c>
      <c r="AH1377" s="590"/>
      <c r="AI1377" s="590">
        <v>2.557995</v>
      </c>
      <c r="AJ1377" s="590"/>
      <c r="AK1377" s="590"/>
      <c r="AL1377" s="603">
        <v>0</v>
      </c>
      <c r="AM1377" s="603">
        <v>1</v>
      </c>
      <c r="AN1377" s="603">
        <v>0</v>
      </c>
      <c r="AO1377" s="603">
        <v>0</v>
      </c>
    </row>
    <row r="1378" spans="1:41" hidden="1">
      <c r="A1378" s="599" t="s">
        <v>233</v>
      </c>
      <c r="B1378" s="3" t="s">
        <v>233</v>
      </c>
      <c r="C1378" s="3">
        <v>0</v>
      </c>
      <c r="D1378" s="600" t="s">
        <v>19125</v>
      </c>
      <c r="E1378" s="3" t="s">
        <v>233</v>
      </c>
      <c r="F1378" s="601">
        <v>45201</v>
      </c>
      <c r="G1378" s="3">
        <v>2023</v>
      </c>
      <c r="H1378" s="586" t="s">
        <v>16957</v>
      </c>
      <c r="I1378" s="3" t="s">
        <v>16958</v>
      </c>
      <c r="J1378" s="279" t="s">
        <v>16482</v>
      </c>
      <c r="K1378" s="54">
        <v>86018.627175000001</v>
      </c>
      <c r="L1378" s="586">
        <v>3.3613499999999998</v>
      </c>
      <c r="M1378" s="587">
        <v>25590.5</v>
      </c>
      <c r="N1378" s="3" t="s">
        <v>20155</v>
      </c>
      <c r="O1378" s="3" t="s">
        <v>20161</v>
      </c>
      <c r="P1378" s="875">
        <v>45215</v>
      </c>
      <c r="Q1378" s="466">
        <v>40300</v>
      </c>
      <c r="R1378" s="466">
        <v>0</v>
      </c>
      <c r="S1378" s="466">
        <v>0</v>
      </c>
      <c r="T1378" s="466">
        <v>0</v>
      </c>
      <c r="U1378" s="466">
        <v>40300</v>
      </c>
      <c r="V1378" s="51"/>
      <c r="W1378" s="602">
        <v>86018.627174999987</v>
      </c>
      <c r="X1378" s="602">
        <v>0</v>
      </c>
      <c r="Y1378" s="602">
        <v>0</v>
      </c>
      <c r="Z1378" s="602">
        <v>0</v>
      </c>
      <c r="AA1378" s="495">
        <v>2.1344572499999996</v>
      </c>
      <c r="AB1378" s="495"/>
      <c r="AC1378" s="495"/>
      <c r="AD1378" s="495"/>
      <c r="AE1378" s="602">
        <v>0</v>
      </c>
      <c r="AF1378" s="602">
        <v>3536.89</v>
      </c>
      <c r="AG1378" s="602">
        <v>8.776401985111662E-2</v>
      </c>
      <c r="AH1378" s="590">
        <v>2.0466932301488829</v>
      </c>
      <c r="AI1378" s="590"/>
      <c r="AJ1378" s="590"/>
      <c r="AK1378" s="590"/>
      <c r="AL1378" s="603">
        <v>1</v>
      </c>
      <c r="AM1378" s="603">
        <v>0</v>
      </c>
      <c r="AN1378" s="603">
        <v>0</v>
      </c>
      <c r="AO1378" s="603">
        <v>0</v>
      </c>
    </row>
    <row r="1379" spans="1:41" hidden="1">
      <c r="A1379" s="599" t="s">
        <v>234</v>
      </c>
      <c r="B1379" s="3" t="s">
        <v>234</v>
      </c>
      <c r="C1379" s="3">
        <v>0</v>
      </c>
      <c r="D1379" s="600" t="s">
        <v>19126</v>
      </c>
      <c r="E1379" s="3" t="s">
        <v>234</v>
      </c>
      <c r="F1379" s="601">
        <v>45201</v>
      </c>
      <c r="G1379" s="3">
        <v>2023</v>
      </c>
      <c r="H1379" s="586" t="s">
        <v>16904</v>
      </c>
      <c r="I1379" s="3" t="s">
        <v>16905</v>
      </c>
      <c r="J1379" s="3" t="s">
        <v>16482</v>
      </c>
      <c r="K1379" s="54">
        <v>78654.542824000004</v>
      </c>
      <c r="L1379" s="586">
        <v>3.3513999999999999</v>
      </c>
      <c r="M1379" s="587">
        <v>23469.16</v>
      </c>
      <c r="N1379" s="3" t="s">
        <v>20155</v>
      </c>
      <c r="O1379" s="3" t="s">
        <v>20160</v>
      </c>
      <c r="P1379" s="875">
        <v>45210</v>
      </c>
      <c r="Q1379" s="466">
        <v>0</v>
      </c>
      <c r="R1379" s="466">
        <v>19728</v>
      </c>
      <c r="S1379" s="466">
        <v>7500</v>
      </c>
      <c r="T1379" s="466">
        <v>0</v>
      </c>
      <c r="U1379" s="466">
        <v>27228</v>
      </c>
      <c r="V1379" s="51"/>
      <c r="W1379" s="602">
        <v>0</v>
      </c>
      <c r="X1379" s="602">
        <v>57316.825966794175</v>
      </c>
      <c r="Y1379" s="602">
        <v>21337.716857205818</v>
      </c>
      <c r="Z1379" s="602">
        <v>0</v>
      </c>
      <c r="AA1379" s="495"/>
      <c r="AB1379" s="495">
        <v>2.9053541142941088</v>
      </c>
      <c r="AC1379" s="495">
        <v>2.845028914294109</v>
      </c>
      <c r="AD1379" s="495"/>
      <c r="AE1379" s="602">
        <v>3470.0399999999995</v>
      </c>
      <c r="AF1379" s="602">
        <v>13186.34</v>
      </c>
      <c r="AG1379" s="602">
        <v>0.48429337446745996</v>
      </c>
      <c r="AH1379" s="590"/>
      <c r="AI1379" s="590">
        <v>2.421060739826649</v>
      </c>
      <c r="AJ1379" s="590">
        <v>2.3607355398266492</v>
      </c>
      <c r="AK1379" s="590"/>
      <c r="AL1379" s="603">
        <v>0</v>
      </c>
      <c r="AM1379" s="603">
        <v>1</v>
      </c>
      <c r="AN1379" s="603">
        <v>1</v>
      </c>
      <c r="AO1379" s="603">
        <v>0</v>
      </c>
    </row>
    <row r="1380" spans="1:41" hidden="1">
      <c r="A1380" s="599" t="s">
        <v>235</v>
      </c>
      <c r="B1380" s="3" t="s">
        <v>235</v>
      </c>
      <c r="C1380" s="3">
        <v>0</v>
      </c>
      <c r="D1380" s="600" t="s">
        <v>19127</v>
      </c>
      <c r="E1380" s="3" t="s">
        <v>235</v>
      </c>
      <c r="F1380" s="601">
        <v>45201</v>
      </c>
      <c r="G1380" s="3">
        <v>2023</v>
      </c>
      <c r="H1380" s="586" t="s">
        <v>16904</v>
      </c>
      <c r="I1380" s="3" t="s">
        <v>16905</v>
      </c>
      <c r="J1380" s="3" t="s">
        <v>16482</v>
      </c>
      <c r="K1380" s="54">
        <v>79837.576840000009</v>
      </c>
      <c r="L1380" s="586">
        <v>3.3595000000000002</v>
      </c>
      <c r="M1380" s="587">
        <v>23764.720000000001</v>
      </c>
      <c r="N1380" s="3" t="s">
        <v>20155</v>
      </c>
      <c r="O1380" s="3" t="s">
        <v>20160</v>
      </c>
      <c r="P1380" s="875">
        <v>45219</v>
      </c>
      <c r="Q1380" s="466">
        <v>0</v>
      </c>
      <c r="R1380" s="466">
        <v>18576</v>
      </c>
      <c r="S1380" s="466">
        <v>9000</v>
      </c>
      <c r="T1380" s="466">
        <v>0</v>
      </c>
      <c r="U1380" s="466">
        <v>27576</v>
      </c>
      <c r="V1380" s="51"/>
      <c r="W1380" s="602">
        <v>0</v>
      </c>
      <c r="X1380" s="602">
        <v>53984.601605013064</v>
      </c>
      <c r="Y1380" s="602">
        <v>25852.975234986945</v>
      </c>
      <c r="Z1380" s="602">
        <v>0</v>
      </c>
      <c r="AA1380" s="495"/>
      <c r="AB1380" s="495">
        <v>2.9061478038874387</v>
      </c>
      <c r="AC1380" s="495">
        <v>2.8725528038874382</v>
      </c>
      <c r="AD1380" s="495"/>
      <c r="AE1380" s="602">
        <v>3486.24</v>
      </c>
      <c r="AF1380" s="602">
        <v>14508.044</v>
      </c>
      <c r="AG1380" s="602">
        <v>0.52611125616478094</v>
      </c>
      <c r="AH1380" s="590"/>
      <c r="AI1380" s="590">
        <v>2.3800365477226579</v>
      </c>
      <c r="AJ1380" s="590">
        <v>2.346441547722657</v>
      </c>
      <c r="AK1380" s="590"/>
      <c r="AL1380" s="603">
        <v>0</v>
      </c>
      <c r="AM1380" s="603">
        <v>1</v>
      </c>
      <c r="AN1380" s="603">
        <v>1</v>
      </c>
      <c r="AO1380" s="603">
        <v>0</v>
      </c>
    </row>
    <row r="1381" spans="1:41" hidden="1">
      <c r="A1381" s="599" t="s">
        <v>236</v>
      </c>
      <c r="B1381" s="3" t="s">
        <v>236</v>
      </c>
      <c r="C1381" s="3">
        <v>0</v>
      </c>
      <c r="D1381" s="600" t="s">
        <v>19128</v>
      </c>
      <c r="E1381" s="3" t="s">
        <v>236</v>
      </c>
      <c r="F1381" s="601">
        <v>45208</v>
      </c>
      <c r="G1381" s="3">
        <v>2023</v>
      </c>
      <c r="H1381" s="586" t="s">
        <v>17309</v>
      </c>
      <c r="I1381" s="3" t="s">
        <v>17310</v>
      </c>
      <c r="J1381" s="3" t="s">
        <v>3</v>
      </c>
      <c r="K1381" s="54">
        <v>36864</v>
      </c>
      <c r="L1381" s="586">
        <v>1</v>
      </c>
      <c r="M1381" s="587">
        <v>36864</v>
      </c>
      <c r="N1381" s="3" t="s">
        <v>20155</v>
      </c>
      <c r="O1381" s="3" t="s">
        <v>20321</v>
      </c>
      <c r="P1381" s="875">
        <v>45226</v>
      </c>
      <c r="Q1381" s="466">
        <v>19200</v>
      </c>
      <c r="R1381" s="466">
        <v>0</v>
      </c>
      <c r="S1381" s="466">
        <v>0</v>
      </c>
      <c r="T1381" s="466">
        <v>0</v>
      </c>
      <c r="U1381" s="466">
        <v>19200</v>
      </c>
      <c r="V1381" s="51"/>
      <c r="W1381" s="602">
        <v>36864</v>
      </c>
      <c r="X1381" s="602">
        <v>0</v>
      </c>
      <c r="Y1381" s="602">
        <v>0</v>
      </c>
      <c r="Z1381" s="602">
        <v>0</v>
      </c>
      <c r="AA1381" s="495">
        <v>1.92</v>
      </c>
      <c r="AB1381" s="495"/>
      <c r="AC1381" s="495"/>
      <c r="AD1381" s="495"/>
      <c r="AE1381" s="602">
        <v>0</v>
      </c>
      <c r="AF1381" s="602">
        <v>0</v>
      </c>
      <c r="AG1381" s="602">
        <v>0</v>
      </c>
      <c r="AH1381" s="590">
        <v>1.92</v>
      </c>
      <c r="AI1381" s="590"/>
      <c r="AJ1381" s="590"/>
      <c r="AK1381" s="590"/>
      <c r="AL1381" s="603" t="s">
        <v>20345</v>
      </c>
      <c r="AM1381" s="603">
        <v>0</v>
      </c>
      <c r="AN1381" s="603">
        <v>0</v>
      </c>
      <c r="AO1381" s="603">
        <v>0</v>
      </c>
    </row>
    <row r="1382" spans="1:41" hidden="1">
      <c r="A1382" s="599" t="s">
        <v>237</v>
      </c>
      <c r="B1382" s="3" t="s">
        <v>237</v>
      </c>
      <c r="C1382" s="3">
        <v>0</v>
      </c>
      <c r="D1382" s="600" t="s">
        <v>19129</v>
      </c>
      <c r="E1382" s="3" t="s">
        <v>237</v>
      </c>
      <c r="F1382" s="601">
        <v>45208</v>
      </c>
      <c r="G1382" s="3">
        <v>2023</v>
      </c>
      <c r="H1382" s="586" t="s">
        <v>17342</v>
      </c>
      <c r="I1382" s="3" t="s">
        <v>17343</v>
      </c>
      <c r="J1382" s="3" t="s">
        <v>16482</v>
      </c>
      <c r="K1382" s="54">
        <v>175682.42156799999</v>
      </c>
      <c r="L1382" s="586">
        <v>3.3569</v>
      </c>
      <c r="M1382" s="587">
        <v>52334.720000000001</v>
      </c>
      <c r="N1382" s="3" t="s">
        <v>20155</v>
      </c>
      <c r="O1382" s="3" t="s">
        <v>16394</v>
      </c>
      <c r="P1382" s="875">
        <v>45210</v>
      </c>
      <c r="Q1382" s="466">
        <v>2880</v>
      </c>
      <c r="R1382" s="466">
        <v>34320</v>
      </c>
      <c r="S1382" s="466">
        <v>12000</v>
      </c>
      <c r="T1382" s="466">
        <v>1120</v>
      </c>
      <c r="U1382" s="466">
        <v>50320</v>
      </c>
      <c r="V1382" s="51"/>
      <c r="W1382" s="602">
        <v>9891.2936015771047</v>
      </c>
      <c r="X1382" s="602">
        <v>108310.69013132717</v>
      </c>
      <c r="Y1382" s="602">
        <v>40851.178139904609</v>
      </c>
      <c r="Z1382" s="602">
        <v>16629.2596951911</v>
      </c>
      <c r="AA1382" s="495">
        <v>3.43447694499205</v>
      </c>
      <c r="AB1382" s="495">
        <v>3.155905889607435</v>
      </c>
      <c r="AC1382" s="495">
        <v>3.4042648449920505</v>
      </c>
      <c r="AD1382" s="495">
        <v>14.847553299277768</v>
      </c>
      <c r="AE1382" s="602">
        <v>4365.6479999999992</v>
      </c>
      <c r="AF1382" s="602">
        <v>62974.080999999998</v>
      </c>
      <c r="AG1382" s="602">
        <v>1.2514721979332273</v>
      </c>
      <c r="AH1382" s="590">
        <v>2.1830047470588227</v>
      </c>
      <c r="AI1382" s="590">
        <v>1.9044336916742077</v>
      </c>
      <c r="AJ1382" s="590">
        <v>2.1527926470588232</v>
      </c>
      <c r="AK1382" s="590">
        <v>13.596081101344542</v>
      </c>
      <c r="AL1382" s="603">
        <v>1</v>
      </c>
      <c r="AM1382" s="603">
        <v>1</v>
      </c>
      <c r="AN1382" s="603">
        <v>1</v>
      </c>
      <c r="AO1382" s="603">
        <v>1</v>
      </c>
    </row>
    <row r="1383" spans="1:41" hidden="1">
      <c r="A1383" s="599" t="s">
        <v>238</v>
      </c>
      <c r="B1383" s="3" t="s">
        <v>238</v>
      </c>
      <c r="C1383" s="3">
        <v>0</v>
      </c>
      <c r="D1383" s="600" t="s">
        <v>19130</v>
      </c>
      <c r="E1383" s="3" t="s">
        <v>238</v>
      </c>
      <c r="F1383" s="601">
        <v>45208</v>
      </c>
      <c r="G1383" s="3">
        <v>2023</v>
      </c>
      <c r="H1383" s="586" t="s">
        <v>17342</v>
      </c>
      <c r="I1383" s="3" t="s">
        <v>17343</v>
      </c>
      <c r="J1383" s="3" t="s">
        <v>16482</v>
      </c>
      <c r="K1383" s="54">
        <v>77834.392590999996</v>
      </c>
      <c r="L1383" s="586">
        <v>3.3569</v>
      </c>
      <c r="M1383" s="587">
        <v>23186.39</v>
      </c>
      <c r="N1383" s="3" t="s">
        <v>20155</v>
      </c>
      <c r="O1383" s="3" t="s">
        <v>16394</v>
      </c>
      <c r="P1383" s="875">
        <v>45210</v>
      </c>
      <c r="Q1383" s="466">
        <v>0</v>
      </c>
      <c r="R1383" s="466">
        <v>15000</v>
      </c>
      <c r="S1383" s="466">
        <v>6000</v>
      </c>
      <c r="T1383" s="466">
        <v>500</v>
      </c>
      <c r="U1383" s="466">
        <v>21500</v>
      </c>
      <c r="V1383" s="51"/>
      <c r="W1383" s="602">
        <v>0</v>
      </c>
      <c r="X1383" s="602">
        <v>50173.525817693022</v>
      </c>
      <c r="Y1383" s="602">
        <v>21183.600348837208</v>
      </c>
      <c r="Z1383" s="602">
        <v>6477.2597106697685</v>
      </c>
      <c r="AA1383" s="495"/>
      <c r="AB1383" s="495">
        <v>3.3449017211795349</v>
      </c>
      <c r="AC1383" s="495">
        <v>3.5306000581395347</v>
      </c>
      <c r="AD1383" s="495">
        <v>12.954519421339537</v>
      </c>
      <c r="AE1383" s="602">
        <v>1960.47</v>
      </c>
      <c r="AF1383" s="602">
        <v>25892.16</v>
      </c>
      <c r="AG1383" s="602">
        <v>1.2042865116279069</v>
      </c>
      <c r="AH1383" s="590"/>
      <c r="AI1383" s="590">
        <v>2.140615209551628</v>
      </c>
      <c r="AJ1383" s="590">
        <v>2.3263135465116278</v>
      </c>
      <c r="AK1383" s="590">
        <v>11.750232909711631</v>
      </c>
      <c r="AL1383" s="603">
        <v>0</v>
      </c>
      <c r="AM1383" s="603">
        <v>1</v>
      </c>
      <c r="AN1383" s="603">
        <v>1</v>
      </c>
      <c r="AO1383" s="603">
        <v>1</v>
      </c>
    </row>
    <row r="1384" spans="1:41" hidden="1">
      <c r="A1384" s="599" t="s">
        <v>239</v>
      </c>
      <c r="B1384" s="3" t="s">
        <v>239</v>
      </c>
      <c r="C1384" s="3">
        <v>0</v>
      </c>
      <c r="D1384" s="600" t="s">
        <v>19131</v>
      </c>
      <c r="E1384" s="3" t="s">
        <v>239</v>
      </c>
      <c r="F1384" s="601">
        <v>45208</v>
      </c>
      <c r="G1384" s="3">
        <v>2023</v>
      </c>
      <c r="H1384" s="586" t="s">
        <v>17342</v>
      </c>
      <c r="I1384" s="3" t="s">
        <v>17343</v>
      </c>
      <c r="J1384" s="3" t="s">
        <v>16482</v>
      </c>
      <c r="K1384" s="54">
        <v>59346.516606000005</v>
      </c>
      <c r="L1384" s="586">
        <v>3.3613499999999998</v>
      </c>
      <c r="M1384" s="587">
        <v>17655.560000000001</v>
      </c>
      <c r="N1384" s="3" t="s">
        <v>20155</v>
      </c>
      <c r="O1384" s="3" t="s">
        <v>16394</v>
      </c>
      <c r="P1384" s="875">
        <v>45215</v>
      </c>
      <c r="Q1384" s="466">
        <v>1920</v>
      </c>
      <c r="R1384" s="466">
        <v>13296</v>
      </c>
      <c r="S1384" s="466">
        <v>0</v>
      </c>
      <c r="T1384" s="466">
        <v>500</v>
      </c>
      <c r="U1384" s="466">
        <v>15716</v>
      </c>
      <c r="V1384" s="51"/>
      <c r="W1384" s="602">
        <v>7019.2355079949093</v>
      </c>
      <c r="X1384" s="602">
        <v>47600.768961664755</v>
      </c>
      <c r="Y1384" s="602">
        <v>0</v>
      </c>
      <c r="Z1384" s="602">
        <v>4726.5255817403413</v>
      </c>
      <c r="AA1384" s="495">
        <v>3.6558518270806819</v>
      </c>
      <c r="AB1384" s="495">
        <v>3.5800819014489136</v>
      </c>
      <c r="AC1384" s="495"/>
      <c r="AD1384" s="495">
        <v>9.4530511634806818</v>
      </c>
      <c r="AE1384" s="602">
        <v>1955.3183999999999</v>
      </c>
      <c r="AF1384" s="602">
        <v>23105.125</v>
      </c>
      <c r="AG1384" s="602">
        <v>1.4701657546449478</v>
      </c>
      <c r="AH1384" s="590">
        <v>2.1856860724357343</v>
      </c>
      <c r="AI1384" s="590">
        <v>2.1099161468039656</v>
      </c>
      <c r="AJ1384" s="590"/>
      <c r="AK1384" s="590">
        <v>7.9828854088357337</v>
      </c>
      <c r="AL1384" s="603">
        <v>1</v>
      </c>
      <c r="AM1384" s="603">
        <v>1</v>
      </c>
      <c r="AN1384" s="603">
        <v>0</v>
      </c>
      <c r="AO1384" s="603">
        <v>1</v>
      </c>
    </row>
    <row r="1385" spans="1:41" hidden="1">
      <c r="A1385" s="599" t="s">
        <v>240</v>
      </c>
      <c r="B1385" s="3" t="s">
        <v>240</v>
      </c>
      <c r="C1385" s="3">
        <v>0</v>
      </c>
      <c r="D1385" s="600" t="s">
        <v>19132</v>
      </c>
      <c r="E1385" s="3" t="s">
        <v>240</v>
      </c>
      <c r="F1385" s="601">
        <v>45208</v>
      </c>
      <c r="G1385" s="3">
        <v>2023</v>
      </c>
      <c r="H1385" s="586" t="s">
        <v>17342</v>
      </c>
      <c r="I1385" s="3" t="s">
        <v>17343</v>
      </c>
      <c r="J1385" s="3" t="s">
        <v>16482</v>
      </c>
      <c r="K1385" s="54">
        <v>82469.745090000011</v>
      </c>
      <c r="L1385" s="586">
        <v>3.3595000000000002</v>
      </c>
      <c r="M1385" s="587">
        <v>24548.22</v>
      </c>
      <c r="N1385" s="3" t="s">
        <v>20155</v>
      </c>
      <c r="O1385" s="3" t="s">
        <v>16394</v>
      </c>
      <c r="P1385" s="875">
        <v>45222</v>
      </c>
      <c r="Q1385" s="466">
        <v>0</v>
      </c>
      <c r="R1385" s="466">
        <v>17984</v>
      </c>
      <c r="S1385" s="466">
        <v>3600</v>
      </c>
      <c r="T1385" s="466">
        <v>1680</v>
      </c>
      <c r="U1385" s="466">
        <v>23264</v>
      </c>
      <c r="V1385" s="51"/>
      <c r="W1385" s="602">
        <v>0</v>
      </c>
      <c r="X1385" s="602">
        <v>56593.582400616229</v>
      </c>
      <c r="Y1385" s="602">
        <v>11923.683425034387</v>
      </c>
      <c r="Z1385" s="602">
        <v>13952.49270234938</v>
      </c>
      <c r="AA1385" s="495"/>
      <c r="AB1385" s="495">
        <v>3.1468851423830198</v>
      </c>
      <c r="AC1385" s="495">
        <v>3.3121342847317741</v>
      </c>
      <c r="AD1385" s="495">
        <v>8.3050551799698695</v>
      </c>
      <c r="AE1385" s="602">
        <v>1589.1768</v>
      </c>
      <c r="AF1385" s="602">
        <v>26704.61</v>
      </c>
      <c r="AG1385" s="602">
        <v>1.1478941712517194</v>
      </c>
      <c r="AH1385" s="590"/>
      <c r="AI1385" s="590">
        <v>1.9989909711313003</v>
      </c>
      <c r="AJ1385" s="590">
        <v>2.1642401134800546</v>
      </c>
      <c r="AK1385" s="590">
        <v>7.1571610087181501</v>
      </c>
      <c r="AL1385" s="603">
        <v>0</v>
      </c>
      <c r="AM1385" s="603">
        <v>1</v>
      </c>
      <c r="AN1385" s="603">
        <v>1</v>
      </c>
      <c r="AO1385" s="603">
        <v>1</v>
      </c>
    </row>
    <row r="1386" spans="1:41" hidden="1">
      <c r="A1386" s="599" t="s">
        <v>241</v>
      </c>
      <c r="B1386" s="3" t="s">
        <v>241</v>
      </c>
      <c r="C1386" s="3">
        <v>0</v>
      </c>
      <c r="D1386" s="600" t="s">
        <v>19133</v>
      </c>
      <c r="E1386" s="3" t="s">
        <v>241</v>
      </c>
      <c r="F1386" s="601">
        <v>45208</v>
      </c>
      <c r="G1386" s="3">
        <v>2023</v>
      </c>
      <c r="H1386" s="586" t="s">
        <v>17342</v>
      </c>
      <c r="I1386" s="3" t="s">
        <v>17343</v>
      </c>
      <c r="J1386" s="3" t="s">
        <v>16482</v>
      </c>
      <c r="K1386" s="54">
        <v>78987.614505000005</v>
      </c>
      <c r="L1386" s="586">
        <v>3.3532500000000001</v>
      </c>
      <c r="M1386" s="587">
        <v>23555.54</v>
      </c>
      <c r="N1386" s="3" t="s">
        <v>20155</v>
      </c>
      <c r="O1386" s="3" t="s">
        <v>20304</v>
      </c>
      <c r="P1386" s="875">
        <v>45217</v>
      </c>
      <c r="Q1386" s="466">
        <v>3840</v>
      </c>
      <c r="R1386" s="466">
        <v>11232</v>
      </c>
      <c r="S1386" s="466">
        <v>4800</v>
      </c>
      <c r="T1386" s="466">
        <v>1120</v>
      </c>
      <c r="U1386" s="466">
        <v>20992</v>
      </c>
      <c r="V1386" s="51"/>
      <c r="W1386" s="602">
        <v>13830.271887073171</v>
      </c>
      <c r="X1386" s="602">
        <v>37486.562843689033</v>
      </c>
      <c r="Y1386" s="602">
        <v>17142.979458841462</v>
      </c>
      <c r="Z1386" s="602">
        <v>10527.813728396341</v>
      </c>
      <c r="AA1386" s="495">
        <v>3.601633303925305</v>
      </c>
      <c r="AB1386" s="495">
        <v>3.3374788856560746</v>
      </c>
      <c r="AC1386" s="495">
        <v>3.5714540539253048</v>
      </c>
      <c r="AD1386" s="495">
        <v>9.3998336860681615</v>
      </c>
      <c r="AE1386" s="602">
        <v>2453.3712</v>
      </c>
      <c r="AF1386" s="602">
        <v>26626.228999999999</v>
      </c>
      <c r="AG1386" s="602">
        <v>1.2683988662347561</v>
      </c>
      <c r="AH1386" s="590">
        <v>2.3332344376905487</v>
      </c>
      <c r="AI1386" s="590">
        <v>2.0690800194213184</v>
      </c>
      <c r="AJ1386" s="590">
        <v>2.303055187690549</v>
      </c>
      <c r="AK1386" s="590">
        <v>8.1314348198334052</v>
      </c>
      <c r="AL1386" s="603">
        <v>1</v>
      </c>
      <c r="AM1386" s="603">
        <v>1</v>
      </c>
      <c r="AN1386" s="603">
        <v>1</v>
      </c>
      <c r="AO1386" s="603">
        <v>1</v>
      </c>
    </row>
    <row r="1387" spans="1:41" hidden="1">
      <c r="A1387" s="599" t="s">
        <v>242</v>
      </c>
      <c r="B1387" s="3" t="s">
        <v>242</v>
      </c>
      <c r="C1387" s="3">
        <v>0</v>
      </c>
      <c r="D1387" s="600" t="s">
        <v>19134</v>
      </c>
      <c r="E1387" s="3" t="s">
        <v>242</v>
      </c>
      <c r="F1387" s="601">
        <v>45208</v>
      </c>
      <c r="G1387" s="3">
        <v>2023</v>
      </c>
      <c r="H1387" s="586" t="s">
        <v>17342</v>
      </c>
      <c r="I1387" s="3" t="s">
        <v>17343</v>
      </c>
      <c r="J1387" s="3" t="s">
        <v>16482</v>
      </c>
      <c r="K1387" s="54">
        <v>37312.878479999999</v>
      </c>
      <c r="L1387" s="586">
        <v>3.3738000000000001</v>
      </c>
      <c r="M1387" s="587">
        <v>11059.6</v>
      </c>
      <c r="N1387" s="3" t="s">
        <v>20155</v>
      </c>
      <c r="O1387" s="3" t="s">
        <v>20306</v>
      </c>
      <c r="P1387" s="875">
        <v>45239</v>
      </c>
      <c r="Q1387" s="466">
        <v>2880</v>
      </c>
      <c r="R1387" s="466">
        <v>9888</v>
      </c>
      <c r="S1387" s="466">
        <v>0</v>
      </c>
      <c r="T1387" s="466">
        <v>1120</v>
      </c>
      <c r="U1387" s="466">
        <v>13888</v>
      </c>
      <c r="V1387" s="51"/>
      <c r="W1387" s="602">
        <v>6548.9506560000009</v>
      </c>
      <c r="X1387" s="602">
        <v>25301.880576</v>
      </c>
      <c r="Y1387" s="602">
        <v>0</v>
      </c>
      <c r="Z1387" s="602">
        <v>5462.0472479999999</v>
      </c>
      <c r="AA1387" s="495">
        <v>2.2739412000000003</v>
      </c>
      <c r="AB1387" s="495">
        <v>2.5588471456310677</v>
      </c>
      <c r="AC1387" s="495"/>
      <c r="AD1387" s="495">
        <v>4.8768278999999994</v>
      </c>
      <c r="AE1387" s="602">
        <v>0</v>
      </c>
      <c r="AF1387" s="602">
        <v>0</v>
      </c>
      <c r="AG1387" s="602">
        <v>0</v>
      </c>
      <c r="AH1387" s="590">
        <v>2.2739412000000003</v>
      </c>
      <c r="AI1387" s="590">
        <v>2.5588471456310677</v>
      </c>
      <c r="AJ1387" s="590"/>
      <c r="AK1387" s="590">
        <v>4.8768278999999994</v>
      </c>
      <c r="AL1387" s="603">
        <v>1</v>
      </c>
      <c r="AM1387" s="603">
        <v>1</v>
      </c>
      <c r="AN1387" s="603">
        <v>0</v>
      </c>
      <c r="AO1387" s="603">
        <v>1</v>
      </c>
    </row>
    <row r="1388" spans="1:41" hidden="1">
      <c r="A1388" s="599" t="s">
        <v>243</v>
      </c>
      <c r="B1388" s="3" t="s">
        <v>243</v>
      </c>
      <c r="C1388" s="3">
        <v>0</v>
      </c>
      <c r="D1388" s="600" t="s">
        <v>19135</v>
      </c>
      <c r="E1388" s="3" t="s">
        <v>243</v>
      </c>
      <c r="F1388" s="601">
        <v>45211</v>
      </c>
      <c r="G1388" s="3">
        <v>2023</v>
      </c>
      <c r="H1388" s="586" t="s">
        <v>17299</v>
      </c>
      <c r="I1388" s="3" t="s">
        <v>17300</v>
      </c>
      <c r="J1388" s="3" t="s">
        <v>16482</v>
      </c>
      <c r="K1388" s="54">
        <v>271815.63299999997</v>
      </c>
      <c r="L1388" s="586">
        <v>3.3752499999999999</v>
      </c>
      <c r="M1388" s="587">
        <v>80532</v>
      </c>
      <c r="N1388" s="3" t="s">
        <v>20155</v>
      </c>
      <c r="O1388" s="3" t="s">
        <v>20321</v>
      </c>
      <c r="P1388" s="875">
        <v>45275</v>
      </c>
      <c r="Q1388" s="466">
        <v>115200</v>
      </c>
      <c r="R1388" s="466">
        <v>0</v>
      </c>
      <c r="S1388" s="466">
        <v>0</v>
      </c>
      <c r="T1388" s="466">
        <v>0</v>
      </c>
      <c r="U1388" s="466">
        <v>115200</v>
      </c>
      <c r="V1388" s="51"/>
      <c r="W1388" s="602">
        <v>271815.63299999997</v>
      </c>
      <c r="X1388" s="602">
        <v>0</v>
      </c>
      <c r="Y1388" s="602">
        <v>0</v>
      </c>
      <c r="Z1388" s="602">
        <v>0</v>
      </c>
      <c r="AA1388" s="495">
        <v>2.3595107031249998</v>
      </c>
      <c r="AB1388" s="495"/>
      <c r="AC1388" s="495"/>
      <c r="AD1388" s="495"/>
      <c r="AE1388" s="602">
        <v>6974.0999999999995</v>
      </c>
      <c r="AF1388" s="602">
        <v>32155.1</v>
      </c>
      <c r="AG1388" s="602">
        <v>0.27912413194444441</v>
      </c>
      <c r="AH1388" s="590">
        <v>2.0803865711805551</v>
      </c>
      <c r="AI1388" s="590"/>
      <c r="AJ1388" s="590"/>
      <c r="AK1388" s="590"/>
      <c r="AL1388" s="603" t="s">
        <v>20345</v>
      </c>
      <c r="AM1388" s="603">
        <v>0</v>
      </c>
      <c r="AN1388" s="603">
        <v>0</v>
      </c>
      <c r="AO1388" s="603">
        <v>0</v>
      </c>
    </row>
    <row r="1389" spans="1:41" hidden="1">
      <c r="A1389" s="599" t="s">
        <v>244</v>
      </c>
      <c r="B1389" s="3" t="s">
        <v>244</v>
      </c>
      <c r="C1389" s="3">
        <v>0</v>
      </c>
      <c r="D1389" s="600" t="s">
        <v>19136</v>
      </c>
      <c r="E1389" s="3" t="s">
        <v>244</v>
      </c>
      <c r="F1389" s="601">
        <v>45212</v>
      </c>
      <c r="G1389" s="3">
        <v>2023</v>
      </c>
      <c r="H1389" s="586" t="s">
        <v>17017</v>
      </c>
      <c r="I1389" s="3" t="s">
        <v>17018</v>
      </c>
      <c r="J1389" s="3" t="s">
        <v>3</v>
      </c>
      <c r="K1389" s="54">
        <v>96350</v>
      </c>
      <c r="L1389" s="586">
        <v>1</v>
      </c>
      <c r="M1389" s="587">
        <v>96350</v>
      </c>
      <c r="N1389" s="3" t="s">
        <v>20155</v>
      </c>
      <c r="O1389" s="3" t="s">
        <v>20361</v>
      </c>
      <c r="P1389" s="875">
        <v>45223</v>
      </c>
      <c r="Q1389" s="466">
        <v>0</v>
      </c>
      <c r="R1389" s="466">
        <v>41000</v>
      </c>
      <c r="S1389" s="466">
        <v>0</v>
      </c>
      <c r="T1389" s="466">
        <v>0</v>
      </c>
      <c r="U1389" s="466">
        <v>41000</v>
      </c>
      <c r="V1389" s="51"/>
      <c r="W1389" s="602">
        <v>0</v>
      </c>
      <c r="X1389" s="602">
        <v>96350</v>
      </c>
      <c r="Y1389" s="602">
        <v>0</v>
      </c>
      <c r="Z1389" s="602">
        <v>0</v>
      </c>
      <c r="AA1389" s="495"/>
      <c r="AB1389" s="495">
        <v>2.35</v>
      </c>
      <c r="AC1389" s="495"/>
      <c r="AD1389" s="495"/>
      <c r="AE1389" s="602">
        <v>0</v>
      </c>
      <c r="AF1389" s="602">
        <v>0</v>
      </c>
      <c r="AG1389" s="602">
        <v>0</v>
      </c>
      <c r="AH1389" s="590"/>
      <c r="AI1389" s="590">
        <v>2.35</v>
      </c>
      <c r="AJ1389" s="590"/>
      <c r="AK1389" s="590"/>
      <c r="AL1389" s="603">
        <v>0</v>
      </c>
      <c r="AM1389" s="603">
        <v>1</v>
      </c>
      <c r="AN1389" s="603">
        <v>0</v>
      </c>
      <c r="AO1389" s="603">
        <v>0</v>
      </c>
    </row>
    <row r="1390" spans="1:41" hidden="1">
      <c r="A1390" s="599" t="s">
        <v>245</v>
      </c>
      <c r="B1390" s="3" t="s">
        <v>245</v>
      </c>
      <c r="C1390" s="3">
        <v>0</v>
      </c>
      <c r="D1390" s="600" t="s">
        <v>19137</v>
      </c>
      <c r="E1390" s="3" t="s">
        <v>245</v>
      </c>
      <c r="F1390" s="601">
        <v>45215</v>
      </c>
      <c r="G1390" s="3">
        <v>2023</v>
      </c>
      <c r="H1390" s="586" t="s">
        <v>17017</v>
      </c>
      <c r="I1390" s="3" t="s">
        <v>17018</v>
      </c>
      <c r="J1390" s="3" t="s">
        <v>3</v>
      </c>
      <c r="K1390" s="54">
        <v>35250</v>
      </c>
      <c r="L1390" s="586">
        <v>1</v>
      </c>
      <c r="M1390" s="587">
        <v>35250</v>
      </c>
      <c r="N1390" s="3" t="s">
        <v>20155</v>
      </c>
      <c r="O1390" s="3" t="s">
        <v>18064</v>
      </c>
      <c r="P1390" s="875">
        <v>45223</v>
      </c>
      <c r="Q1390" s="466">
        <v>0</v>
      </c>
      <c r="R1390" s="466">
        <v>15000</v>
      </c>
      <c r="S1390" s="466">
        <v>0</v>
      </c>
      <c r="T1390" s="466">
        <v>0</v>
      </c>
      <c r="U1390" s="466">
        <v>15000</v>
      </c>
      <c r="V1390" s="51"/>
      <c r="W1390" s="602">
        <v>0</v>
      </c>
      <c r="X1390" s="602">
        <v>35250</v>
      </c>
      <c r="Y1390" s="602">
        <v>0</v>
      </c>
      <c r="Z1390" s="602">
        <v>0</v>
      </c>
      <c r="AA1390" s="495"/>
      <c r="AB1390" s="495">
        <v>2.35</v>
      </c>
      <c r="AC1390" s="495"/>
      <c r="AD1390" s="495"/>
      <c r="AE1390" s="602">
        <v>0</v>
      </c>
      <c r="AF1390" s="602">
        <v>0</v>
      </c>
      <c r="AG1390" s="602">
        <v>0</v>
      </c>
      <c r="AH1390" s="590"/>
      <c r="AI1390" s="590">
        <v>2.35</v>
      </c>
      <c r="AJ1390" s="590"/>
      <c r="AK1390" s="590"/>
      <c r="AL1390" s="603">
        <v>0</v>
      </c>
      <c r="AM1390" s="603">
        <v>1</v>
      </c>
      <c r="AN1390" s="603">
        <v>0</v>
      </c>
      <c r="AO1390" s="603">
        <v>0</v>
      </c>
    </row>
    <row r="1391" spans="1:41" hidden="1">
      <c r="A1391" s="599" t="s">
        <v>246</v>
      </c>
      <c r="B1391" s="3" t="s">
        <v>246</v>
      </c>
      <c r="C1391" s="3">
        <v>0</v>
      </c>
      <c r="D1391" s="600" t="s">
        <v>19138</v>
      </c>
      <c r="E1391" s="3" t="s">
        <v>246</v>
      </c>
      <c r="F1391" s="601">
        <v>45215</v>
      </c>
      <c r="G1391" s="3">
        <v>2023</v>
      </c>
      <c r="H1391" s="586" t="s">
        <v>16700</v>
      </c>
      <c r="I1391" s="3" t="s">
        <v>16701</v>
      </c>
      <c r="J1391" s="3" t="s">
        <v>16401</v>
      </c>
      <c r="K1391" s="54">
        <v>244602.20531999998</v>
      </c>
      <c r="L1391" s="586">
        <v>3.3588499999999999</v>
      </c>
      <c r="M1391" s="587">
        <v>72823.199999999997</v>
      </c>
      <c r="N1391" s="3" t="s">
        <v>20155</v>
      </c>
      <c r="O1391" s="3" t="s">
        <v>17949</v>
      </c>
      <c r="P1391" s="875">
        <v>45227</v>
      </c>
      <c r="Q1391" s="466">
        <v>110040</v>
      </c>
      <c r="R1391" s="466">
        <v>0</v>
      </c>
      <c r="S1391" s="466">
        <v>0</v>
      </c>
      <c r="T1391" s="466">
        <v>0</v>
      </c>
      <c r="U1391" s="466">
        <v>110040</v>
      </c>
      <c r="V1391" s="51"/>
      <c r="W1391" s="602">
        <v>244602.20531999998</v>
      </c>
      <c r="X1391" s="602">
        <v>0</v>
      </c>
      <c r="Y1391" s="602">
        <v>0</v>
      </c>
      <c r="Z1391" s="602">
        <v>0</v>
      </c>
      <c r="AA1391" s="495">
        <v>2.2228481035986913</v>
      </c>
      <c r="AB1391" s="495"/>
      <c r="AC1391" s="495"/>
      <c r="AD1391" s="495"/>
      <c r="AE1391" s="602">
        <v>9021.5249999999996</v>
      </c>
      <c r="AF1391" s="602">
        <v>37952.449999999997</v>
      </c>
      <c r="AG1391" s="602">
        <v>0.34489685568884038</v>
      </c>
      <c r="AH1391" s="590">
        <v>1.877951247909851</v>
      </c>
      <c r="AI1391" s="590"/>
      <c r="AJ1391" s="590"/>
      <c r="AK1391" s="590"/>
      <c r="AL1391" s="603" t="s">
        <v>20345</v>
      </c>
      <c r="AM1391" s="603">
        <v>0</v>
      </c>
      <c r="AN1391" s="603">
        <v>0</v>
      </c>
      <c r="AO1391" s="603">
        <v>0</v>
      </c>
    </row>
    <row r="1392" spans="1:41" hidden="1">
      <c r="A1392" s="599" t="s">
        <v>247</v>
      </c>
      <c r="B1392" s="3" t="s">
        <v>247</v>
      </c>
      <c r="C1392" s="3">
        <v>0</v>
      </c>
      <c r="D1392" s="600" t="s">
        <v>19139</v>
      </c>
      <c r="E1392" s="3" t="s">
        <v>247</v>
      </c>
      <c r="F1392" s="601">
        <v>45215</v>
      </c>
      <c r="G1392" s="3">
        <v>2023</v>
      </c>
      <c r="H1392" s="586" t="s">
        <v>16838</v>
      </c>
      <c r="I1392" s="3" t="s">
        <v>16839</v>
      </c>
      <c r="J1392" s="3" t="s">
        <v>3</v>
      </c>
      <c r="K1392" s="54">
        <v>301069.44</v>
      </c>
      <c r="L1392" s="586">
        <v>1</v>
      </c>
      <c r="M1392" s="587">
        <v>301069.44</v>
      </c>
      <c r="N1392" s="3" t="s">
        <v>20155</v>
      </c>
      <c r="O1392" s="3" t="s">
        <v>20321</v>
      </c>
      <c r="P1392" s="875">
        <v>45230</v>
      </c>
      <c r="Q1392" s="466">
        <v>0</v>
      </c>
      <c r="R1392" s="466">
        <v>176064</v>
      </c>
      <c r="S1392" s="466">
        <v>0</v>
      </c>
      <c r="T1392" s="466">
        <v>0</v>
      </c>
      <c r="U1392" s="466">
        <v>176064</v>
      </c>
      <c r="V1392" s="51"/>
      <c r="W1392" s="602">
        <v>0</v>
      </c>
      <c r="X1392" s="602">
        <v>301069.44</v>
      </c>
      <c r="Y1392" s="602">
        <v>0</v>
      </c>
      <c r="Z1392" s="602">
        <v>0</v>
      </c>
      <c r="AA1392" s="495"/>
      <c r="AB1392" s="495">
        <v>1.71</v>
      </c>
      <c r="AC1392" s="495"/>
      <c r="AD1392" s="495"/>
      <c r="AE1392" s="602">
        <v>0</v>
      </c>
      <c r="AF1392" s="602">
        <v>0</v>
      </c>
      <c r="AG1392" s="602">
        <v>0</v>
      </c>
      <c r="AH1392" s="590"/>
      <c r="AI1392" s="590">
        <v>1.71</v>
      </c>
      <c r="AJ1392" s="590"/>
      <c r="AK1392" s="590"/>
      <c r="AL1392" s="603">
        <v>0</v>
      </c>
      <c r="AM1392" s="603" t="s">
        <v>20347</v>
      </c>
      <c r="AN1392" s="603">
        <v>0</v>
      </c>
      <c r="AO1392" s="603">
        <v>0</v>
      </c>
    </row>
    <row r="1393" spans="1:41" hidden="1">
      <c r="A1393" s="599" t="s">
        <v>248</v>
      </c>
      <c r="B1393" s="3" t="s">
        <v>248</v>
      </c>
      <c r="C1393" s="3">
        <v>0</v>
      </c>
      <c r="D1393" s="600" t="s">
        <v>19140</v>
      </c>
      <c r="E1393" s="3" t="s">
        <v>248</v>
      </c>
      <c r="F1393" s="601">
        <v>45215</v>
      </c>
      <c r="G1393" s="3">
        <v>2023</v>
      </c>
      <c r="H1393" s="586" t="s">
        <v>17233</v>
      </c>
      <c r="I1393" s="3" t="s">
        <v>17234</v>
      </c>
      <c r="J1393" s="3" t="s">
        <v>16401</v>
      </c>
      <c r="K1393" s="54">
        <v>523624.88640000008</v>
      </c>
      <c r="L1393" s="586">
        <v>3.1745000000000001</v>
      </c>
      <c r="M1393" s="587">
        <v>164947.20000000001</v>
      </c>
      <c r="N1393" s="3" t="s">
        <v>20155</v>
      </c>
      <c r="O1393" s="3" t="s">
        <v>17939</v>
      </c>
      <c r="P1393" s="875">
        <v>45227</v>
      </c>
      <c r="Q1393" s="466">
        <v>0</v>
      </c>
      <c r="R1393" s="466">
        <v>170496</v>
      </c>
      <c r="S1393" s="466">
        <v>102144</v>
      </c>
      <c r="T1393" s="466">
        <v>0</v>
      </c>
      <c r="U1393" s="466">
        <v>272640</v>
      </c>
      <c r="V1393" s="51"/>
      <c r="W1393" s="602">
        <v>0</v>
      </c>
      <c r="X1393" s="602">
        <v>327836.74175999989</v>
      </c>
      <c r="Y1393" s="602">
        <v>196406.69664000001</v>
      </c>
      <c r="Z1393" s="602">
        <v>0</v>
      </c>
      <c r="AA1393" s="495"/>
      <c r="AB1393" s="495">
        <v>1.9228412499999994</v>
      </c>
      <c r="AC1393" s="495">
        <v>1.9228412500000001</v>
      </c>
      <c r="AD1393" s="495"/>
      <c r="AE1393" s="602">
        <v>0</v>
      </c>
      <c r="AF1393" s="602">
        <v>0</v>
      </c>
      <c r="AG1393" s="602">
        <v>0</v>
      </c>
      <c r="AH1393" s="590"/>
      <c r="AI1393" s="590">
        <v>1.9228412499999994</v>
      </c>
      <c r="AJ1393" s="590">
        <v>1.9228412500000001</v>
      </c>
      <c r="AK1393" s="590"/>
      <c r="AL1393" s="603">
        <v>0</v>
      </c>
      <c r="AM1393" s="603" t="s">
        <v>20346</v>
      </c>
      <c r="AN1393" s="603" t="s">
        <v>20346</v>
      </c>
      <c r="AO1393" s="603">
        <v>0</v>
      </c>
    </row>
    <row r="1394" spans="1:41" hidden="1">
      <c r="A1394" s="599" t="s">
        <v>249</v>
      </c>
      <c r="B1394" s="3" t="s">
        <v>249</v>
      </c>
      <c r="C1394" s="3">
        <v>0</v>
      </c>
      <c r="D1394" s="600" t="s">
        <v>19141</v>
      </c>
      <c r="E1394" s="3" t="s">
        <v>249</v>
      </c>
      <c r="F1394" s="601">
        <v>45216</v>
      </c>
      <c r="G1394" s="3">
        <v>2023</v>
      </c>
      <c r="H1394" s="586" t="s">
        <v>16957</v>
      </c>
      <c r="I1394" s="3" t="s">
        <v>16958</v>
      </c>
      <c r="J1394" s="279" t="s">
        <v>16482</v>
      </c>
      <c r="K1394" s="54">
        <v>96175.446250000008</v>
      </c>
      <c r="L1394" s="586">
        <v>3.3612500000000001</v>
      </c>
      <c r="M1394" s="587">
        <v>28613</v>
      </c>
      <c r="N1394" s="3" t="s">
        <v>20155</v>
      </c>
      <c r="O1394" s="3" t="s">
        <v>20161</v>
      </c>
      <c r="P1394" s="875">
        <v>45223</v>
      </c>
      <c r="Q1394" s="466">
        <v>40300</v>
      </c>
      <c r="R1394" s="466">
        <v>0</v>
      </c>
      <c r="S1394" s="466">
        <v>0</v>
      </c>
      <c r="T1394" s="466">
        <v>0</v>
      </c>
      <c r="U1394" s="466">
        <v>40300</v>
      </c>
      <c r="V1394" s="51"/>
      <c r="W1394" s="602">
        <v>96175.446249999994</v>
      </c>
      <c r="X1394" s="602">
        <v>0</v>
      </c>
      <c r="Y1394" s="602">
        <v>0</v>
      </c>
      <c r="Z1394" s="602">
        <v>0</v>
      </c>
      <c r="AA1394" s="495">
        <v>2.3864874999999999</v>
      </c>
      <c r="AB1394" s="495"/>
      <c r="AC1394" s="495"/>
      <c r="AD1394" s="495"/>
      <c r="AE1394" s="602">
        <v>0</v>
      </c>
      <c r="AF1394" s="602">
        <v>3846.846</v>
      </c>
      <c r="AG1394" s="602">
        <v>9.5455235732009924E-2</v>
      </c>
      <c r="AH1394" s="590">
        <v>2.2910322642679901</v>
      </c>
      <c r="AI1394" s="590"/>
      <c r="AJ1394" s="590"/>
      <c r="AK1394" s="590"/>
      <c r="AL1394" s="603" t="s">
        <v>20345</v>
      </c>
      <c r="AM1394" s="603">
        <v>0</v>
      </c>
      <c r="AN1394" s="603">
        <v>0</v>
      </c>
      <c r="AO1394" s="603">
        <v>0</v>
      </c>
    </row>
    <row r="1395" spans="1:41" hidden="1">
      <c r="A1395" s="599" t="s">
        <v>250</v>
      </c>
      <c r="B1395" s="3" t="s">
        <v>250</v>
      </c>
      <c r="C1395" s="3">
        <v>0</v>
      </c>
      <c r="D1395" s="600" t="s">
        <v>19142</v>
      </c>
      <c r="E1395" s="3" t="s">
        <v>250</v>
      </c>
      <c r="F1395" s="601">
        <v>45216</v>
      </c>
      <c r="G1395" s="3">
        <v>2023</v>
      </c>
      <c r="H1395" s="586" t="s">
        <v>17309</v>
      </c>
      <c r="I1395" s="3" t="s">
        <v>17310</v>
      </c>
      <c r="J1395" s="3" t="s">
        <v>3</v>
      </c>
      <c r="K1395" s="54">
        <v>40714.800000000003</v>
      </c>
      <c r="L1395" s="586">
        <v>1</v>
      </c>
      <c r="M1395" s="587">
        <v>40714.800000000003</v>
      </c>
      <c r="N1395" s="3" t="s">
        <v>20155</v>
      </c>
      <c r="O1395" s="3" t="s">
        <v>17693</v>
      </c>
      <c r="P1395" s="875">
        <v>45223</v>
      </c>
      <c r="Q1395" s="466">
        <v>22008</v>
      </c>
      <c r="R1395" s="466">
        <v>0</v>
      </c>
      <c r="S1395" s="466">
        <v>0</v>
      </c>
      <c r="T1395" s="466">
        <v>0</v>
      </c>
      <c r="U1395" s="466">
        <v>22008</v>
      </c>
      <c r="V1395" s="51"/>
      <c r="W1395" s="602">
        <v>40714.800000000003</v>
      </c>
      <c r="X1395" s="602">
        <v>0</v>
      </c>
      <c r="Y1395" s="602">
        <v>0</v>
      </c>
      <c r="Z1395" s="602">
        <v>0</v>
      </c>
      <c r="AA1395" s="495">
        <v>1.85</v>
      </c>
      <c r="AB1395" s="495"/>
      <c r="AC1395" s="495"/>
      <c r="AD1395" s="495"/>
      <c r="AE1395" s="602">
        <v>0</v>
      </c>
      <c r="AF1395" s="602">
        <v>0</v>
      </c>
      <c r="AG1395" s="602">
        <v>0</v>
      </c>
      <c r="AH1395" s="590">
        <v>1.85</v>
      </c>
      <c r="AI1395" s="590"/>
      <c r="AJ1395" s="590"/>
      <c r="AK1395" s="590"/>
      <c r="AL1395" s="603" t="s">
        <v>20345</v>
      </c>
      <c r="AM1395" s="603">
        <v>0</v>
      </c>
      <c r="AN1395" s="603">
        <v>0</v>
      </c>
      <c r="AO1395" s="603">
        <v>0</v>
      </c>
    </row>
    <row r="1396" spans="1:41" hidden="1">
      <c r="A1396" s="599" t="s">
        <v>251</v>
      </c>
      <c r="B1396" s="3" t="s">
        <v>251</v>
      </c>
      <c r="C1396" s="3">
        <v>0</v>
      </c>
      <c r="D1396" s="600" t="s">
        <v>19143</v>
      </c>
      <c r="E1396" s="3" t="s">
        <v>251</v>
      </c>
      <c r="F1396" s="601">
        <v>45217</v>
      </c>
      <c r="G1396" s="3">
        <v>2023</v>
      </c>
      <c r="H1396" s="586" t="s">
        <v>17357</v>
      </c>
      <c r="I1396" s="3" t="s">
        <v>17358</v>
      </c>
      <c r="J1396" s="3" t="s">
        <v>16401</v>
      </c>
      <c r="K1396" s="54">
        <v>91078.951337499995</v>
      </c>
      <c r="L1396" s="586">
        <v>3.1782499999999998</v>
      </c>
      <c r="M1396" s="587">
        <v>28656.95</v>
      </c>
      <c r="N1396" s="3" t="s">
        <v>20155</v>
      </c>
      <c r="O1396" s="3" t="s">
        <v>20297</v>
      </c>
      <c r="P1396" s="875">
        <v>45223</v>
      </c>
      <c r="Q1396" s="466">
        <v>5400</v>
      </c>
      <c r="R1396" s="466">
        <v>19520</v>
      </c>
      <c r="S1396" s="466">
        <v>2400</v>
      </c>
      <c r="T1396" s="466">
        <v>750</v>
      </c>
      <c r="U1396" s="466">
        <v>28070</v>
      </c>
      <c r="V1396" s="51"/>
      <c r="W1396" s="602">
        <v>16006.875119967937</v>
      </c>
      <c r="X1396" s="602">
        <v>58682.640602550768</v>
      </c>
      <c r="Y1396" s="602">
        <v>7533.6957199857507</v>
      </c>
      <c r="Z1396" s="602">
        <v>8867.3087249955461</v>
      </c>
      <c r="AA1396" s="495">
        <v>2.9642361333273959</v>
      </c>
      <c r="AB1396" s="495">
        <v>3.0062828177536254</v>
      </c>
      <c r="AC1396" s="495">
        <v>3.139039883327396</v>
      </c>
      <c r="AD1396" s="495">
        <v>11.823078299994062</v>
      </c>
      <c r="AE1396" s="602">
        <v>1823.0625</v>
      </c>
      <c r="AF1396" s="602">
        <v>7529.7449999999999</v>
      </c>
      <c r="AG1396" s="602">
        <v>0.26824884218026362</v>
      </c>
      <c r="AH1396" s="590">
        <v>2.6959872911471323</v>
      </c>
      <c r="AI1396" s="590">
        <v>2.7380339755733618</v>
      </c>
      <c r="AJ1396" s="590">
        <v>2.8707910411471325</v>
      </c>
      <c r="AK1396" s="590">
        <v>11.554829457813799</v>
      </c>
      <c r="AL1396" s="603">
        <v>1</v>
      </c>
      <c r="AM1396" s="603">
        <v>1</v>
      </c>
      <c r="AN1396" s="603">
        <v>1</v>
      </c>
      <c r="AO1396" s="603">
        <v>1</v>
      </c>
    </row>
    <row r="1397" spans="1:41" hidden="1">
      <c r="A1397" s="599" t="s">
        <v>252</v>
      </c>
      <c r="B1397" s="3" t="s">
        <v>252</v>
      </c>
      <c r="C1397" s="3">
        <v>0</v>
      </c>
      <c r="D1397" s="600" t="s">
        <v>19145</v>
      </c>
      <c r="E1397" s="3" t="s">
        <v>252</v>
      </c>
      <c r="F1397" s="601">
        <v>45217</v>
      </c>
      <c r="G1397" s="3">
        <v>2023</v>
      </c>
      <c r="H1397" s="586" t="s">
        <v>17304</v>
      </c>
      <c r="I1397" s="3" t="s">
        <v>17305</v>
      </c>
      <c r="J1397" s="3" t="s">
        <v>17306</v>
      </c>
      <c r="K1397" s="54">
        <v>71820.792549000005</v>
      </c>
      <c r="L1397" s="586">
        <v>2.3116500000000002</v>
      </c>
      <c r="M1397" s="587">
        <v>31069.06</v>
      </c>
      <c r="N1397" s="3" t="s">
        <v>20155</v>
      </c>
      <c r="O1397" s="3" t="s">
        <v>17954</v>
      </c>
      <c r="P1397" s="875">
        <v>45224</v>
      </c>
      <c r="Q1397" s="466">
        <v>0</v>
      </c>
      <c r="R1397" s="466">
        <v>10410.959999999999</v>
      </c>
      <c r="S1397" s="466">
        <v>4320</v>
      </c>
      <c r="T1397" s="466">
        <v>4100</v>
      </c>
      <c r="U1397" s="466">
        <v>18830.96</v>
      </c>
      <c r="V1397" s="51"/>
      <c r="W1397" s="602">
        <v>0</v>
      </c>
      <c r="X1397" s="602">
        <v>33362.602060536388</v>
      </c>
      <c r="Y1397" s="602">
        <v>14635.165267084416</v>
      </c>
      <c r="Z1397" s="602">
        <v>23823.015974779195</v>
      </c>
      <c r="AA1397" s="495"/>
      <c r="AB1397" s="495">
        <v>3.2045653869130599</v>
      </c>
      <c r="AC1397" s="495">
        <v>3.3877697377510221</v>
      </c>
      <c r="AD1397" s="495">
        <v>5.8104917011656569</v>
      </c>
      <c r="AE1397" s="602">
        <v>2818.0439999999999</v>
      </c>
      <c r="AF1397" s="602">
        <v>17526.18</v>
      </c>
      <c r="AG1397" s="602">
        <v>0.93071091436655384</v>
      </c>
      <c r="AH1397" s="590"/>
      <c r="AI1397" s="590">
        <v>2.273854472546506</v>
      </c>
      <c r="AJ1397" s="590">
        <v>2.4570588233844681</v>
      </c>
      <c r="AK1397" s="590">
        <v>4.8797807867991034</v>
      </c>
      <c r="AL1397" s="603">
        <v>0</v>
      </c>
      <c r="AM1397" s="603">
        <v>1</v>
      </c>
      <c r="AN1397" s="603">
        <v>1</v>
      </c>
      <c r="AO1397" s="603">
        <v>1</v>
      </c>
    </row>
    <row r="1398" spans="1:41" hidden="1">
      <c r="A1398" s="599" t="s">
        <v>253</v>
      </c>
      <c r="B1398" s="3" t="s">
        <v>253</v>
      </c>
      <c r="C1398" s="3">
        <v>0</v>
      </c>
      <c r="D1398" s="600" t="s">
        <v>19146</v>
      </c>
      <c r="E1398" s="3" t="s">
        <v>253</v>
      </c>
      <c r="F1398" s="601">
        <v>45218</v>
      </c>
      <c r="G1398" s="3">
        <v>2023</v>
      </c>
      <c r="H1398" s="586" t="s">
        <v>17264</v>
      </c>
      <c r="I1398" s="3" t="s">
        <v>17265</v>
      </c>
      <c r="J1398" s="3" t="s">
        <v>16401</v>
      </c>
      <c r="K1398" s="54">
        <v>168086.16</v>
      </c>
      <c r="L1398" s="586">
        <v>3.1834500000000001</v>
      </c>
      <c r="M1398" s="587">
        <v>52800</v>
      </c>
      <c r="N1398" s="3" t="s">
        <v>20155</v>
      </c>
      <c r="O1398" s="3" t="s">
        <v>20157</v>
      </c>
      <c r="P1398" s="875">
        <v>45227</v>
      </c>
      <c r="Q1398" s="466">
        <v>0</v>
      </c>
      <c r="R1398" s="466">
        <v>0</v>
      </c>
      <c r="S1398" s="466">
        <v>0</v>
      </c>
      <c r="T1398" s="466">
        <v>27500</v>
      </c>
      <c r="U1398" s="466">
        <v>27500</v>
      </c>
      <c r="V1398" s="51"/>
      <c r="W1398" s="602">
        <v>0</v>
      </c>
      <c r="X1398" s="602">
        <v>0</v>
      </c>
      <c r="Y1398" s="602">
        <v>0</v>
      </c>
      <c r="Z1398" s="602">
        <v>168086.16</v>
      </c>
      <c r="AA1398" s="495"/>
      <c r="AB1398" s="495"/>
      <c r="AC1398" s="495"/>
      <c r="AD1398" s="495">
        <v>6.1122240000000003</v>
      </c>
      <c r="AE1398" s="602">
        <v>0</v>
      </c>
      <c r="AF1398" s="602">
        <v>6358.4539999999997</v>
      </c>
      <c r="AG1398" s="602">
        <v>0.23121650909090907</v>
      </c>
      <c r="AH1398" s="590"/>
      <c r="AI1398" s="590"/>
      <c r="AJ1398" s="590"/>
      <c r="AK1398" s="590">
        <v>5.8810074909090915</v>
      </c>
      <c r="AL1398" s="603">
        <v>0</v>
      </c>
      <c r="AM1398" s="603">
        <v>0</v>
      </c>
      <c r="AN1398" s="603">
        <v>0</v>
      </c>
      <c r="AO1398" s="603">
        <v>1</v>
      </c>
    </row>
    <row r="1399" spans="1:41" hidden="1">
      <c r="A1399" s="599" t="s">
        <v>254</v>
      </c>
      <c r="B1399" s="3" t="s">
        <v>254</v>
      </c>
      <c r="C1399" s="3">
        <v>0</v>
      </c>
      <c r="D1399" s="600" t="s">
        <v>19147</v>
      </c>
      <c r="E1399" s="3" t="s">
        <v>254</v>
      </c>
      <c r="F1399" s="601">
        <v>45218</v>
      </c>
      <c r="G1399" s="3">
        <v>2023</v>
      </c>
      <c r="H1399" s="586" t="s">
        <v>16880</v>
      </c>
      <c r="I1399" s="3" t="s">
        <v>16881</v>
      </c>
      <c r="J1399" s="3" t="s">
        <v>16401</v>
      </c>
      <c r="K1399" s="54">
        <v>89366.555810000005</v>
      </c>
      <c r="L1399" s="586">
        <v>3.1745000000000001</v>
      </c>
      <c r="M1399" s="587">
        <v>28151.38</v>
      </c>
      <c r="N1399" s="3" t="s">
        <v>20155</v>
      </c>
      <c r="O1399" s="3" t="s">
        <v>20156</v>
      </c>
      <c r="P1399" s="875">
        <v>45226</v>
      </c>
      <c r="Q1399" s="466">
        <v>2730</v>
      </c>
      <c r="R1399" s="466">
        <v>17070</v>
      </c>
      <c r="S1399" s="466">
        <v>0</v>
      </c>
      <c r="T1399" s="466">
        <v>0</v>
      </c>
      <c r="U1399" s="466">
        <v>19800</v>
      </c>
      <c r="V1399" s="51"/>
      <c r="W1399" s="602">
        <v>9790.348469999999</v>
      </c>
      <c r="X1399" s="602">
        <v>79576.207340000008</v>
      </c>
      <c r="Y1399" s="602">
        <v>0</v>
      </c>
      <c r="Z1399" s="602">
        <v>0</v>
      </c>
      <c r="AA1399" s="495">
        <v>3.5862082307692305</v>
      </c>
      <c r="AB1399" s="495">
        <v>4.6617578992384301</v>
      </c>
      <c r="AC1399" s="495"/>
      <c r="AD1399" s="495"/>
      <c r="AE1399" s="602">
        <v>0</v>
      </c>
      <c r="AF1399" s="602">
        <v>2683.0569999999998</v>
      </c>
      <c r="AG1399" s="602">
        <v>0.13550792929292929</v>
      </c>
      <c r="AH1399" s="590">
        <v>3.4507003014763011</v>
      </c>
      <c r="AI1399" s="590">
        <v>4.5262499699455008</v>
      </c>
      <c r="AJ1399" s="590"/>
      <c r="AK1399" s="590"/>
      <c r="AL1399" s="603">
        <v>1</v>
      </c>
      <c r="AM1399" s="603">
        <v>1</v>
      </c>
      <c r="AN1399" s="603">
        <v>0</v>
      </c>
      <c r="AO1399" s="603">
        <v>0</v>
      </c>
    </row>
    <row r="1400" spans="1:41" hidden="1">
      <c r="A1400" s="599" t="s">
        <v>255</v>
      </c>
      <c r="B1400" s="3" t="s">
        <v>255</v>
      </c>
      <c r="C1400" s="3">
        <v>0</v>
      </c>
      <c r="D1400" s="600" t="s">
        <v>19148</v>
      </c>
      <c r="E1400" s="3" t="s">
        <v>255</v>
      </c>
      <c r="F1400" s="601">
        <v>45218</v>
      </c>
      <c r="G1400" s="3">
        <v>2023</v>
      </c>
      <c r="H1400" s="586" t="s">
        <v>16470</v>
      </c>
      <c r="I1400" s="3" t="s">
        <v>16471</v>
      </c>
      <c r="J1400" s="3" t="s">
        <v>16401</v>
      </c>
      <c r="K1400" s="54">
        <v>611697.98855000001</v>
      </c>
      <c r="L1400" s="586">
        <v>3.17225</v>
      </c>
      <c r="M1400" s="587">
        <v>192827.8</v>
      </c>
      <c r="N1400" s="3" t="s">
        <v>20155</v>
      </c>
      <c r="O1400" s="3" t="s">
        <v>20159</v>
      </c>
      <c r="P1400" s="875">
        <v>45226</v>
      </c>
      <c r="Q1400" s="466">
        <v>11376</v>
      </c>
      <c r="R1400" s="466">
        <v>242506</v>
      </c>
      <c r="S1400" s="466">
        <v>16000</v>
      </c>
      <c r="T1400" s="466">
        <v>0</v>
      </c>
      <c r="U1400" s="466">
        <v>269882</v>
      </c>
      <c r="V1400" s="51"/>
      <c r="W1400" s="602">
        <v>28217.720733166498</v>
      </c>
      <c r="X1400" s="602">
        <v>550189.43784613535</v>
      </c>
      <c r="Y1400" s="602">
        <v>33303.518970698307</v>
      </c>
      <c r="Z1400" s="602">
        <v>0</v>
      </c>
      <c r="AA1400" s="495">
        <v>2.4804606832952265</v>
      </c>
      <c r="AB1400" s="495">
        <v>2.2687662896841125</v>
      </c>
      <c r="AC1400" s="495">
        <v>2.0814699356686441</v>
      </c>
      <c r="AD1400" s="495"/>
      <c r="AE1400" s="602">
        <v>19852.610999999997</v>
      </c>
      <c r="AF1400" s="602">
        <v>82142.053</v>
      </c>
      <c r="AG1400" s="602">
        <v>0.30436284376134753</v>
      </c>
      <c r="AH1400" s="590">
        <v>2.1760978395338788</v>
      </c>
      <c r="AI1400" s="590">
        <v>1.9644034459227651</v>
      </c>
      <c r="AJ1400" s="590">
        <v>1.7771070919072967</v>
      </c>
      <c r="AK1400" s="590"/>
      <c r="AL1400" s="603" t="s">
        <v>20345</v>
      </c>
      <c r="AM1400" s="603" t="s">
        <v>20346</v>
      </c>
      <c r="AN1400" s="603" t="s">
        <v>20346</v>
      </c>
      <c r="AO1400" s="603">
        <v>0</v>
      </c>
    </row>
    <row r="1401" spans="1:41" hidden="1">
      <c r="A1401" s="599" t="s">
        <v>256</v>
      </c>
      <c r="B1401" s="3" t="s">
        <v>256</v>
      </c>
      <c r="C1401" s="3">
        <v>0</v>
      </c>
      <c r="D1401" s="600" t="s">
        <v>19149</v>
      </c>
      <c r="E1401" s="3" t="s">
        <v>256</v>
      </c>
      <c r="F1401" s="601">
        <v>45218</v>
      </c>
      <c r="G1401" s="3">
        <v>2023</v>
      </c>
      <c r="H1401" s="586" t="s">
        <v>16444</v>
      </c>
      <c r="I1401" s="3" t="s">
        <v>16445</v>
      </c>
      <c r="J1401" s="3" t="s">
        <v>3</v>
      </c>
      <c r="K1401" s="54">
        <v>181060</v>
      </c>
      <c r="L1401" s="586">
        <v>1</v>
      </c>
      <c r="M1401" s="587">
        <v>181060</v>
      </c>
      <c r="N1401" s="3" t="s">
        <v>20155</v>
      </c>
      <c r="O1401" s="3" t="s">
        <v>20173</v>
      </c>
      <c r="P1401" s="875">
        <v>45226</v>
      </c>
      <c r="Q1401" s="466">
        <v>0</v>
      </c>
      <c r="R1401" s="466">
        <v>102400</v>
      </c>
      <c r="S1401" s="466">
        <v>0</v>
      </c>
      <c r="T1401" s="466">
        <v>0</v>
      </c>
      <c r="U1401" s="466">
        <v>102400</v>
      </c>
      <c r="V1401" s="51"/>
      <c r="W1401" s="602">
        <v>0</v>
      </c>
      <c r="X1401" s="602">
        <v>181060</v>
      </c>
      <c r="Y1401" s="602">
        <v>0</v>
      </c>
      <c r="Z1401" s="602">
        <v>0</v>
      </c>
      <c r="AA1401" s="495"/>
      <c r="AB1401" s="495">
        <v>1.7681640624999999</v>
      </c>
      <c r="AC1401" s="495"/>
      <c r="AD1401" s="495"/>
      <c r="AE1401" s="602">
        <v>0</v>
      </c>
      <c r="AF1401" s="602">
        <v>0</v>
      </c>
      <c r="AG1401" s="602">
        <v>0</v>
      </c>
      <c r="AH1401" s="590"/>
      <c r="AI1401" s="590">
        <v>1.7681640624999999</v>
      </c>
      <c r="AJ1401" s="590"/>
      <c r="AK1401" s="590"/>
      <c r="AL1401" s="603">
        <v>0</v>
      </c>
      <c r="AM1401" s="603" t="s">
        <v>20348</v>
      </c>
      <c r="AN1401" s="603">
        <v>0</v>
      </c>
      <c r="AO1401" s="603">
        <v>0</v>
      </c>
    </row>
    <row r="1402" spans="1:41" hidden="1">
      <c r="A1402" s="599" t="s">
        <v>257</v>
      </c>
      <c r="B1402" s="3" t="s">
        <v>257</v>
      </c>
      <c r="C1402" s="3">
        <v>0</v>
      </c>
      <c r="D1402" s="600" t="s">
        <v>19150</v>
      </c>
      <c r="E1402" s="3" t="s">
        <v>257</v>
      </c>
      <c r="F1402" s="601">
        <v>45218</v>
      </c>
      <c r="G1402" s="3">
        <v>2023</v>
      </c>
      <c r="H1402" s="586" t="s">
        <v>16444</v>
      </c>
      <c r="I1402" s="3" t="s">
        <v>16445</v>
      </c>
      <c r="J1402" s="3" t="s">
        <v>3</v>
      </c>
      <c r="K1402" s="54">
        <v>181060</v>
      </c>
      <c r="L1402" s="586">
        <v>1</v>
      </c>
      <c r="M1402" s="587">
        <v>181060</v>
      </c>
      <c r="N1402" s="3" t="s">
        <v>20155</v>
      </c>
      <c r="O1402" s="3" t="s">
        <v>20173</v>
      </c>
      <c r="P1402" s="875">
        <v>45230</v>
      </c>
      <c r="Q1402" s="466">
        <v>0</v>
      </c>
      <c r="R1402" s="466">
        <v>102400</v>
      </c>
      <c r="S1402" s="466">
        <v>0</v>
      </c>
      <c r="T1402" s="466">
        <v>0</v>
      </c>
      <c r="U1402" s="466">
        <v>102400</v>
      </c>
      <c r="V1402" s="51"/>
      <c r="W1402" s="602">
        <v>0</v>
      </c>
      <c r="X1402" s="602">
        <v>181060</v>
      </c>
      <c r="Y1402" s="602">
        <v>0</v>
      </c>
      <c r="Z1402" s="602">
        <v>0</v>
      </c>
      <c r="AA1402" s="495"/>
      <c r="AB1402" s="495">
        <v>1.7681640624999999</v>
      </c>
      <c r="AC1402" s="495"/>
      <c r="AD1402" s="495"/>
      <c r="AE1402" s="602">
        <v>0</v>
      </c>
      <c r="AF1402" s="602">
        <v>0</v>
      </c>
      <c r="AG1402" s="602">
        <v>0</v>
      </c>
      <c r="AH1402" s="590"/>
      <c r="AI1402" s="590">
        <v>1.7681640624999999</v>
      </c>
      <c r="AJ1402" s="590"/>
      <c r="AK1402" s="590"/>
      <c r="AL1402" s="603">
        <v>0</v>
      </c>
      <c r="AM1402" s="603" t="s">
        <v>20348</v>
      </c>
      <c r="AN1402" s="603">
        <v>0</v>
      </c>
      <c r="AO1402" s="603">
        <v>0</v>
      </c>
    </row>
    <row r="1403" spans="1:41" hidden="1">
      <c r="A1403" s="599" t="s">
        <v>258</v>
      </c>
      <c r="B1403" s="3" t="s">
        <v>258</v>
      </c>
      <c r="C1403" s="3">
        <v>0</v>
      </c>
      <c r="D1403" s="600" t="s">
        <v>19151</v>
      </c>
      <c r="E1403" s="3" t="s">
        <v>258</v>
      </c>
      <c r="F1403" s="601">
        <v>45222</v>
      </c>
      <c r="G1403" s="3">
        <v>2023</v>
      </c>
      <c r="H1403" s="586" t="s">
        <v>16444</v>
      </c>
      <c r="I1403" s="3" t="s">
        <v>16445</v>
      </c>
      <c r="J1403" s="3" t="s">
        <v>3</v>
      </c>
      <c r="K1403" s="54">
        <v>133200</v>
      </c>
      <c r="L1403" s="586">
        <v>1</v>
      </c>
      <c r="M1403" s="587">
        <v>133200</v>
      </c>
      <c r="N1403" s="3" t="s">
        <v>20155</v>
      </c>
      <c r="O1403" s="3" t="s">
        <v>18248</v>
      </c>
      <c r="P1403" s="875">
        <v>45247</v>
      </c>
      <c r="Q1403" s="466">
        <v>0</v>
      </c>
      <c r="R1403" s="466">
        <v>72000</v>
      </c>
      <c r="S1403" s="466">
        <v>0</v>
      </c>
      <c r="T1403" s="466">
        <v>0</v>
      </c>
      <c r="U1403" s="466">
        <v>72000</v>
      </c>
      <c r="V1403" s="51"/>
      <c r="W1403" s="602">
        <v>0</v>
      </c>
      <c r="X1403" s="602">
        <v>133200</v>
      </c>
      <c r="Y1403" s="602">
        <v>0</v>
      </c>
      <c r="Z1403" s="602">
        <v>0</v>
      </c>
      <c r="AA1403" s="495"/>
      <c r="AB1403" s="495">
        <v>1.85</v>
      </c>
      <c r="AC1403" s="495"/>
      <c r="AD1403" s="495"/>
      <c r="AE1403" s="602">
        <v>0</v>
      </c>
      <c r="AF1403" s="602">
        <v>0</v>
      </c>
      <c r="AG1403" s="602">
        <v>0</v>
      </c>
      <c r="AH1403" s="590"/>
      <c r="AI1403" s="590">
        <v>1.85</v>
      </c>
      <c r="AJ1403" s="590"/>
      <c r="AK1403" s="590"/>
      <c r="AL1403" s="603">
        <v>0</v>
      </c>
      <c r="AM1403" s="603" t="s">
        <v>20346</v>
      </c>
      <c r="AN1403" s="603">
        <v>0</v>
      </c>
      <c r="AO1403" s="603">
        <v>0</v>
      </c>
    </row>
    <row r="1404" spans="1:41" hidden="1">
      <c r="A1404" s="599" t="s">
        <v>259</v>
      </c>
      <c r="B1404" s="3" t="s">
        <v>259</v>
      </c>
      <c r="C1404" s="3">
        <v>0</v>
      </c>
      <c r="D1404" s="600" t="s">
        <v>19152</v>
      </c>
      <c r="E1404" s="3" t="s">
        <v>259</v>
      </c>
      <c r="F1404" s="601">
        <v>45222</v>
      </c>
      <c r="G1404" s="3">
        <v>2023</v>
      </c>
      <c r="H1404" s="586" t="s">
        <v>16444</v>
      </c>
      <c r="I1404" s="3" t="s">
        <v>16445</v>
      </c>
      <c r="J1404" s="3" t="s">
        <v>3</v>
      </c>
      <c r="K1404" s="54">
        <v>126360</v>
      </c>
      <c r="L1404" s="586">
        <v>1</v>
      </c>
      <c r="M1404" s="587">
        <v>126360</v>
      </c>
      <c r="N1404" s="3" t="s">
        <v>20155</v>
      </c>
      <c r="O1404" s="3" t="s">
        <v>20173</v>
      </c>
      <c r="P1404" s="875">
        <v>45226</v>
      </c>
      <c r="Q1404" s="466">
        <v>64800</v>
      </c>
      <c r="R1404" s="466">
        <v>0</v>
      </c>
      <c r="S1404" s="466">
        <v>0</v>
      </c>
      <c r="T1404" s="466">
        <v>0</v>
      </c>
      <c r="U1404" s="466">
        <v>64800</v>
      </c>
      <c r="V1404" s="51"/>
      <c r="W1404" s="602">
        <v>126360</v>
      </c>
      <c r="X1404" s="602">
        <v>0</v>
      </c>
      <c r="Y1404" s="602">
        <v>0</v>
      </c>
      <c r="Z1404" s="602">
        <v>0</v>
      </c>
      <c r="AA1404" s="495">
        <v>1.95</v>
      </c>
      <c r="AB1404" s="495"/>
      <c r="AC1404" s="495"/>
      <c r="AD1404" s="495"/>
      <c r="AE1404" s="602">
        <v>0</v>
      </c>
      <c r="AF1404" s="602">
        <v>0</v>
      </c>
      <c r="AG1404" s="602">
        <v>0</v>
      </c>
      <c r="AH1404" s="590">
        <v>1.95</v>
      </c>
      <c r="AI1404" s="590"/>
      <c r="AJ1404" s="590"/>
      <c r="AK1404" s="590"/>
      <c r="AL1404" s="603" t="s">
        <v>20345</v>
      </c>
      <c r="AM1404" s="603">
        <v>0</v>
      </c>
      <c r="AN1404" s="603">
        <v>0</v>
      </c>
      <c r="AO1404" s="603">
        <v>0</v>
      </c>
    </row>
    <row r="1405" spans="1:41" hidden="1">
      <c r="A1405" s="599" t="s">
        <v>260</v>
      </c>
      <c r="B1405" s="3" t="s">
        <v>260</v>
      </c>
      <c r="C1405" s="3">
        <v>0</v>
      </c>
      <c r="D1405" s="600" t="s">
        <v>19153</v>
      </c>
      <c r="E1405" s="3" t="s">
        <v>260</v>
      </c>
      <c r="F1405" s="601">
        <v>45222</v>
      </c>
      <c r="G1405" s="3">
        <v>2023</v>
      </c>
      <c r="H1405" s="586" t="s">
        <v>16444</v>
      </c>
      <c r="I1405" s="3" t="s">
        <v>16445</v>
      </c>
      <c r="J1405" s="3" t="s">
        <v>3</v>
      </c>
      <c r="K1405" s="54">
        <v>38016</v>
      </c>
      <c r="L1405" s="586">
        <v>1</v>
      </c>
      <c r="M1405" s="587">
        <v>38016</v>
      </c>
      <c r="N1405" s="3" t="s">
        <v>20155</v>
      </c>
      <c r="O1405" s="3" t="s">
        <v>17965</v>
      </c>
      <c r="P1405" s="875">
        <v>45229</v>
      </c>
      <c r="Q1405" s="466">
        <v>19200</v>
      </c>
      <c r="R1405" s="466">
        <v>0</v>
      </c>
      <c r="S1405" s="466">
        <v>0</v>
      </c>
      <c r="T1405" s="466">
        <v>0</v>
      </c>
      <c r="U1405" s="466">
        <v>19200</v>
      </c>
      <c r="V1405" s="51"/>
      <c r="W1405" s="602">
        <v>38016</v>
      </c>
      <c r="X1405" s="602">
        <v>0</v>
      </c>
      <c r="Y1405" s="602">
        <v>0</v>
      </c>
      <c r="Z1405" s="602">
        <v>0</v>
      </c>
      <c r="AA1405" s="495">
        <v>1.98</v>
      </c>
      <c r="AB1405" s="495"/>
      <c r="AC1405" s="495"/>
      <c r="AD1405" s="495"/>
      <c r="AE1405" s="602">
        <v>0</v>
      </c>
      <c r="AF1405" s="602">
        <v>0</v>
      </c>
      <c r="AG1405" s="602">
        <v>0</v>
      </c>
      <c r="AH1405" s="590">
        <v>1.98</v>
      </c>
      <c r="AI1405" s="590"/>
      <c r="AJ1405" s="590"/>
      <c r="AK1405" s="590"/>
      <c r="AL1405" s="603" t="s">
        <v>20345</v>
      </c>
      <c r="AM1405" s="603">
        <v>0</v>
      </c>
      <c r="AN1405" s="603">
        <v>0</v>
      </c>
      <c r="AO1405" s="603">
        <v>0</v>
      </c>
    </row>
    <row r="1406" spans="1:41" hidden="1">
      <c r="A1406" s="599" t="s">
        <v>261</v>
      </c>
      <c r="B1406" s="3" t="s">
        <v>261</v>
      </c>
      <c r="C1406" s="3">
        <v>0</v>
      </c>
      <c r="D1406" s="600" t="s">
        <v>19154</v>
      </c>
      <c r="E1406" s="3" t="s">
        <v>261</v>
      </c>
      <c r="F1406" s="601">
        <v>45230</v>
      </c>
      <c r="G1406" s="3">
        <v>2023</v>
      </c>
      <c r="H1406" s="586" t="s">
        <v>17319</v>
      </c>
      <c r="I1406" s="3" t="s">
        <v>17320</v>
      </c>
      <c r="J1406" s="3" t="s">
        <v>16401</v>
      </c>
      <c r="K1406" s="54">
        <v>195418.88636400001</v>
      </c>
      <c r="L1406" s="586">
        <v>3.18215</v>
      </c>
      <c r="M1406" s="587">
        <v>61410.96</v>
      </c>
      <c r="N1406" s="3" t="s">
        <v>20155</v>
      </c>
      <c r="O1406" s="3" t="s">
        <v>17939</v>
      </c>
      <c r="P1406" s="875">
        <v>45230</v>
      </c>
      <c r="Q1406" s="466">
        <v>0</v>
      </c>
      <c r="R1406" s="466">
        <v>95376</v>
      </c>
      <c r="S1406" s="466">
        <v>9600</v>
      </c>
      <c r="T1406" s="466">
        <v>0</v>
      </c>
      <c r="U1406" s="466">
        <v>104976</v>
      </c>
      <c r="V1406" s="51"/>
      <c r="W1406" s="602">
        <v>0</v>
      </c>
      <c r="X1406" s="602">
        <v>177547.93196400002</v>
      </c>
      <c r="Y1406" s="602">
        <v>17870.954399999999</v>
      </c>
      <c r="Z1406" s="602">
        <v>0</v>
      </c>
      <c r="AA1406" s="495"/>
      <c r="AB1406" s="495">
        <v>1.8615577500000002</v>
      </c>
      <c r="AC1406" s="495">
        <v>1.8615577499999998</v>
      </c>
      <c r="AD1406" s="495"/>
      <c r="AE1406" s="602">
        <v>0</v>
      </c>
      <c r="AF1406" s="602">
        <v>0</v>
      </c>
      <c r="AG1406" s="602">
        <v>0</v>
      </c>
      <c r="AH1406" s="590"/>
      <c r="AI1406" s="590">
        <v>1.8615577500000002</v>
      </c>
      <c r="AJ1406" s="590">
        <v>1.8615577499999998</v>
      </c>
      <c r="AK1406" s="590"/>
      <c r="AL1406" s="603">
        <v>0</v>
      </c>
      <c r="AM1406" s="603" t="s">
        <v>20347</v>
      </c>
      <c r="AN1406" s="603" t="s">
        <v>20347</v>
      </c>
      <c r="AO1406" s="603">
        <v>0</v>
      </c>
    </row>
    <row r="1407" spans="1:41" hidden="1">
      <c r="A1407" s="599" t="s">
        <v>262</v>
      </c>
      <c r="B1407" s="3" t="s">
        <v>262</v>
      </c>
      <c r="C1407" s="3">
        <v>0</v>
      </c>
      <c r="D1407" s="600" t="s">
        <v>19155</v>
      </c>
      <c r="E1407" s="3" t="s">
        <v>262</v>
      </c>
      <c r="F1407" s="601">
        <v>45226</v>
      </c>
      <c r="G1407" s="3">
        <v>2023</v>
      </c>
      <c r="H1407" s="586" t="s">
        <v>16384</v>
      </c>
      <c r="I1407" s="3" t="s">
        <v>16385</v>
      </c>
      <c r="J1407" s="3" t="s">
        <v>3</v>
      </c>
      <c r="K1407" s="54">
        <v>263525.76000000001</v>
      </c>
      <c r="L1407" s="586">
        <v>1</v>
      </c>
      <c r="M1407" s="587">
        <v>263525.76000000001</v>
      </c>
      <c r="N1407" s="3" t="s">
        <v>20155</v>
      </c>
      <c r="O1407" s="3" t="s">
        <v>17949</v>
      </c>
      <c r="P1407" s="875">
        <v>45237</v>
      </c>
      <c r="Q1407" s="466">
        <v>109632</v>
      </c>
      <c r="R1407" s="466">
        <v>27840</v>
      </c>
      <c r="S1407" s="466">
        <v>0</v>
      </c>
      <c r="T1407" s="466">
        <v>0</v>
      </c>
      <c r="U1407" s="466">
        <v>137472</v>
      </c>
      <c r="V1407" s="51"/>
      <c r="W1407" s="602">
        <v>212021.76000000001</v>
      </c>
      <c r="X1407" s="602">
        <v>51504</v>
      </c>
      <c r="Y1407" s="602">
        <v>0</v>
      </c>
      <c r="Z1407" s="602">
        <v>0</v>
      </c>
      <c r="AA1407" s="495">
        <v>1.9339404553415063</v>
      </c>
      <c r="AB1407" s="495">
        <v>1.85</v>
      </c>
      <c r="AC1407" s="495"/>
      <c r="AD1407" s="495"/>
      <c r="AE1407" s="602">
        <v>0</v>
      </c>
      <c r="AF1407" s="602">
        <v>0</v>
      </c>
      <c r="AG1407" s="602">
        <v>0</v>
      </c>
      <c r="AH1407" s="590">
        <v>1.9339404553415063</v>
      </c>
      <c r="AI1407" s="590">
        <v>1.85</v>
      </c>
      <c r="AJ1407" s="590"/>
      <c r="AK1407" s="590"/>
      <c r="AL1407" s="603" t="s">
        <v>20345</v>
      </c>
      <c r="AM1407" s="603" t="s">
        <v>20346</v>
      </c>
      <c r="AN1407" s="603">
        <v>0</v>
      </c>
      <c r="AO1407" s="603">
        <v>0</v>
      </c>
    </row>
    <row r="1408" spans="1:41" hidden="1">
      <c r="A1408" s="599" t="s">
        <v>263</v>
      </c>
      <c r="B1408" s="3" t="s">
        <v>263</v>
      </c>
      <c r="C1408" s="3">
        <v>0</v>
      </c>
      <c r="D1408" s="600" t="s">
        <v>19156</v>
      </c>
      <c r="E1408" s="3" t="s">
        <v>263</v>
      </c>
      <c r="F1408" s="601">
        <v>45226</v>
      </c>
      <c r="G1408" s="3">
        <v>2023</v>
      </c>
      <c r="H1408" s="586" t="s">
        <v>16904</v>
      </c>
      <c r="I1408" s="3" t="s">
        <v>16905</v>
      </c>
      <c r="J1408" s="3" t="s">
        <v>16482</v>
      </c>
      <c r="K1408" s="54">
        <v>79258.873693999994</v>
      </c>
      <c r="L1408" s="586">
        <v>3.3771499999999999</v>
      </c>
      <c r="M1408" s="587">
        <v>23469.16</v>
      </c>
      <c r="N1408" s="3" t="s">
        <v>20155</v>
      </c>
      <c r="O1408" s="3" t="s">
        <v>20160</v>
      </c>
      <c r="P1408" s="875">
        <v>45237</v>
      </c>
      <c r="Q1408" s="466">
        <v>0</v>
      </c>
      <c r="R1408" s="466">
        <v>19728</v>
      </c>
      <c r="S1408" s="466">
        <v>7500</v>
      </c>
      <c r="T1408" s="466">
        <v>0</v>
      </c>
      <c r="U1408" s="466">
        <v>27228</v>
      </c>
      <c r="V1408" s="51"/>
      <c r="W1408" s="602">
        <v>0</v>
      </c>
      <c r="X1408" s="602">
        <v>57757.211557486109</v>
      </c>
      <c r="Y1408" s="602">
        <v>21501.662136513885</v>
      </c>
      <c r="Z1408" s="602">
        <v>0</v>
      </c>
      <c r="AA1408" s="495"/>
      <c r="AB1408" s="495">
        <v>2.9276769848685174</v>
      </c>
      <c r="AC1408" s="495">
        <v>2.866888284868518</v>
      </c>
      <c r="AD1408" s="495"/>
      <c r="AE1408" s="602">
        <v>3470.0399999999995</v>
      </c>
      <c r="AF1408" s="602">
        <v>13186.34</v>
      </c>
      <c r="AG1408" s="602">
        <v>0.48429337446745996</v>
      </c>
      <c r="AH1408" s="590"/>
      <c r="AI1408" s="590">
        <v>2.4433836104010576</v>
      </c>
      <c r="AJ1408" s="590">
        <v>2.3825949104010582</v>
      </c>
      <c r="AK1408" s="590"/>
      <c r="AL1408" s="603">
        <v>0</v>
      </c>
      <c r="AM1408" s="603">
        <v>1</v>
      </c>
      <c r="AN1408" s="603">
        <v>1</v>
      </c>
      <c r="AO1408" s="603">
        <v>0</v>
      </c>
    </row>
    <row r="1409" spans="1:41" hidden="1">
      <c r="A1409" s="599" t="s">
        <v>264</v>
      </c>
      <c r="B1409" s="3" t="s">
        <v>264</v>
      </c>
      <c r="C1409" s="3">
        <v>0</v>
      </c>
      <c r="D1409" s="600" t="s">
        <v>19157</v>
      </c>
      <c r="E1409" s="3" t="s">
        <v>264</v>
      </c>
      <c r="F1409" s="601">
        <v>45226</v>
      </c>
      <c r="G1409" s="3">
        <v>2023</v>
      </c>
      <c r="H1409" s="586" t="s">
        <v>17309</v>
      </c>
      <c r="I1409" s="3" t="s">
        <v>17310</v>
      </c>
      <c r="J1409" s="3" t="s">
        <v>3</v>
      </c>
      <c r="K1409" s="54">
        <v>34176</v>
      </c>
      <c r="L1409" s="586">
        <v>1</v>
      </c>
      <c r="M1409" s="587">
        <v>34176</v>
      </c>
      <c r="N1409" s="3" t="s">
        <v>20155</v>
      </c>
      <c r="O1409" s="3" t="s">
        <v>20321</v>
      </c>
      <c r="P1409" s="875">
        <v>45238</v>
      </c>
      <c r="Q1409" s="466">
        <v>0</v>
      </c>
      <c r="R1409" s="466">
        <v>19200</v>
      </c>
      <c r="S1409" s="466">
        <v>0</v>
      </c>
      <c r="T1409" s="466">
        <v>0</v>
      </c>
      <c r="U1409" s="466">
        <v>19200</v>
      </c>
      <c r="V1409" s="51"/>
      <c r="W1409" s="602">
        <v>0</v>
      </c>
      <c r="X1409" s="602">
        <v>34176</v>
      </c>
      <c r="Y1409" s="602">
        <v>0</v>
      </c>
      <c r="Z1409" s="602">
        <v>0</v>
      </c>
      <c r="AA1409" s="495"/>
      <c r="AB1409" s="495">
        <v>1.78</v>
      </c>
      <c r="AC1409" s="495"/>
      <c r="AD1409" s="495"/>
      <c r="AE1409" s="602">
        <v>0</v>
      </c>
      <c r="AF1409" s="602">
        <v>0</v>
      </c>
      <c r="AG1409" s="602">
        <v>0</v>
      </c>
      <c r="AH1409" s="590"/>
      <c r="AI1409" s="590">
        <v>1.78</v>
      </c>
      <c r="AJ1409" s="590"/>
      <c r="AK1409" s="590"/>
      <c r="AL1409" s="603">
        <v>0</v>
      </c>
      <c r="AM1409" s="603" t="s">
        <v>20347</v>
      </c>
      <c r="AN1409" s="603">
        <v>0</v>
      </c>
      <c r="AO1409" s="603">
        <v>0</v>
      </c>
    </row>
    <row r="1410" spans="1:41" hidden="1">
      <c r="A1410" s="599" t="s">
        <v>265</v>
      </c>
      <c r="B1410" s="3" t="s">
        <v>265</v>
      </c>
      <c r="C1410" s="3">
        <v>0</v>
      </c>
      <c r="D1410" s="600" t="s">
        <v>19158</v>
      </c>
      <c r="E1410" s="3" t="s">
        <v>265</v>
      </c>
      <c r="F1410" s="601">
        <v>45227</v>
      </c>
      <c r="G1410" s="3">
        <v>2023</v>
      </c>
      <c r="H1410" s="586" t="s">
        <v>17132</v>
      </c>
      <c r="I1410" s="3" t="s">
        <v>17133</v>
      </c>
      <c r="J1410" s="3" t="s">
        <v>3</v>
      </c>
      <c r="K1410" s="54">
        <v>131040</v>
      </c>
      <c r="L1410" s="586">
        <v>1</v>
      </c>
      <c r="M1410" s="587">
        <v>131040</v>
      </c>
      <c r="N1410" s="3" t="s">
        <v>20155</v>
      </c>
      <c r="O1410" s="3" t="s">
        <v>17939</v>
      </c>
      <c r="P1410" s="875">
        <v>45268</v>
      </c>
      <c r="Q1410" s="466">
        <v>72000</v>
      </c>
      <c r="R1410" s="466">
        <v>0</v>
      </c>
      <c r="S1410" s="466">
        <v>0</v>
      </c>
      <c r="T1410" s="466">
        <v>0</v>
      </c>
      <c r="U1410" s="466">
        <v>72000</v>
      </c>
      <c r="V1410" s="51"/>
      <c r="W1410" s="602">
        <v>131040</v>
      </c>
      <c r="X1410" s="602">
        <v>0</v>
      </c>
      <c r="Y1410" s="602">
        <v>0</v>
      </c>
      <c r="Z1410" s="602">
        <v>0</v>
      </c>
      <c r="AA1410" s="495">
        <v>1.82</v>
      </c>
      <c r="AB1410" s="495"/>
      <c r="AC1410" s="495"/>
      <c r="AD1410" s="495"/>
      <c r="AE1410" s="602">
        <v>0</v>
      </c>
      <c r="AF1410" s="602">
        <v>0</v>
      </c>
      <c r="AG1410" s="602">
        <v>0</v>
      </c>
      <c r="AH1410" s="590">
        <v>1.82</v>
      </c>
      <c r="AI1410" s="590"/>
      <c r="AJ1410" s="590"/>
      <c r="AK1410" s="590"/>
      <c r="AL1410" s="603" t="s">
        <v>20345</v>
      </c>
      <c r="AM1410" s="603">
        <v>0</v>
      </c>
      <c r="AN1410" s="603">
        <v>0</v>
      </c>
      <c r="AO1410" s="603">
        <v>0</v>
      </c>
    </row>
    <row r="1411" spans="1:41" hidden="1">
      <c r="A1411" s="599" t="s">
        <v>266</v>
      </c>
      <c r="B1411" s="3" t="s">
        <v>266</v>
      </c>
      <c r="C1411" s="3">
        <v>0</v>
      </c>
      <c r="D1411" s="600" t="s">
        <v>19159</v>
      </c>
      <c r="E1411" s="3" t="s">
        <v>266</v>
      </c>
      <c r="F1411" s="601">
        <v>45228</v>
      </c>
      <c r="G1411" s="3">
        <v>2023</v>
      </c>
      <c r="H1411" s="586" t="s">
        <v>16783</v>
      </c>
      <c r="I1411" s="3" t="s">
        <v>16784</v>
      </c>
      <c r="J1411" s="3" t="s">
        <v>16401</v>
      </c>
      <c r="K1411" s="54">
        <v>807622.30462499999</v>
      </c>
      <c r="L1411" s="586">
        <v>3.1675499999999999</v>
      </c>
      <c r="M1411" s="587">
        <v>254967.5</v>
      </c>
      <c r="N1411" s="3" t="s">
        <v>20155</v>
      </c>
      <c r="O1411" s="3" t="s">
        <v>17939</v>
      </c>
      <c r="P1411" s="875">
        <v>45237</v>
      </c>
      <c r="Q1411" s="466">
        <v>108000</v>
      </c>
      <c r="R1411" s="466">
        <v>104800</v>
      </c>
      <c r="S1411" s="466">
        <v>72600</v>
      </c>
      <c r="T1411" s="466">
        <v>0</v>
      </c>
      <c r="U1411" s="466">
        <v>285400</v>
      </c>
      <c r="V1411" s="51"/>
      <c r="W1411" s="602">
        <v>289819.42181999999</v>
      </c>
      <c r="X1411" s="602">
        <v>144641.79953100003</v>
      </c>
      <c r="Y1411" s="602">
        <v>127715.61599999999</v>
      </c>
      <c r="Z1411" s="602">
        <v>245445.53062500001</v>
      </c>
      <c r="AA1411" s="495">
        <v>2.6835131649999999</v>
      </c>
      <c r="AB1411" s="495">
        <v>1.3801698428530538</v>
      </c>
      <c r="AC1411" s="495">
        <v>1.7591682644628099</v>
      </c>
      <c r="AD1411" s="495"/>
      <c r="AE1411" s="602">
        <v>0</v>
      </c>
      <c r="AF1411" s="602">
        <v>0</v>
      </c>
      <c r="AG1411" s="602">
        <v>0</v>
      </c>
      <c r="AH1411" s="590">
        <v>2.6835131649999999</v>
      </c>
      <c r="AI1411" s="590">
        <v>1.3801698428530538</v>
      </c>
      <c r="AJ1411" s="590">
        <v>1.7591682644628099</v>
      </c>
      <c r="AK1411" s="590"/>
      <c r="AL1411" s="603" t="s">
        <v>20345</v>
      </c>
      <c r="AM1411" s="603" t="s">
        <v>20345</v>
      </c>
      <c r="AN1411" s="603" t="s">
        <v>20345</v>
      </c>
      <c r="AO1411" s="603">
        <v>0</v>
      </c>
    </row>
    <row r="1412" spans="1:41" hidden="1">
      <c r="A1412" s="599" t="s">
        <v>267</v>
      </c>
      <c r="B1412" s="3" t="s">
        <v>267</v>
      </c>
      <c r="C1412" s="3">
        <v>0</v>
      </c>
      <c r="D1412" s="600" t="s">
        <v>19160</v>
      </c>
      <c r="E1412" s="3" t="s">
        <v>267</v>
      </c>
      <c r="F1412" s="601">
        <v>45232</v>
      </c>
      <c r="G1412" s="3">
        <v>2023</v>
      </c>
      <c r="H1412" s="586" t="s">
        <v>16444</v>
      </c>
      <c r="I1412" s="3" t="s">
        <v>16445</v>
      </c>
      <c r="J1412" s="3" t="s">
        <v>3</v>
      </c>
      <c r="K1412" s="54">
        <v>126360</v>
      </c>
      <c r="L1412" s="586">
        <v>1</v>
      </c>
      <c r="M1412" s="587">
        <v>126360</v>
      </c>
      <c r="N1412" s="3" t="s">
        <v>20155</v>
      </c>
      <c r="O1412" s="3" t="s">
        <v>20173</v>
      </c>
      <c r="P1412" s="875">
        <v>45238</v>
      </c>
      <c r="Q1412" s="466">
        <v>64800</v>
      </c>
      <c r="R1412" s="466">
        <v>0</v>
      </c>
      <c r="S1412" s="466">
        <v>0</v>
      </c>
      <c r="T1412" s="466">
        <v>0</v>
      </c>
      <c r="U1412" s="466">
        <v>64800</v>
      </c>
      <c r="V1412" s="51"/>
      <c r="W1412" s="602">
        <v>126360</v>
      </c>
      <c r="X1412" s="602">
        <v>0</v>
      </c>
      <c r="Y1412" s="602">
        <v>0</v>
      </c>
      <c r="Z1412" s="602">
        <v>0</v>
      </c>
      <c r="AA1412" s="495">
        <v>1.95</v>
      </c>
      <c r="AB1412" s="495"/>
      <c r="AC1412" s="495"/>
      <c r="AD1412" s="495"/>
      <c r="AE1412" s="602">
        <v>0</v>
      </c>
      <c r="AF1412" s="602">
        <v>0</v>
      </c>
      <c r="AG1412" s="602">
        <v>0</v>
      </c>
      <c r="AH1412" s="590">
        <v>1.95</v>
      </c>
      <c r="AI1412" s="590"/>
      <c r="AJ1412" s="590"/>
      <c r="AK1412" s="590"/>
      <c r="AL1412" s="603" t="s">
        <v>20345</v>
      </c>
      <c r="AM1412" s="603">
        <v>0</v>
      </c>
      <c r="AN1412" s="603">
        <v>0</v>
      </c>
      <c r="AO1412" s="603">
        <v>0</v>
      </c>
    </row>
    <row r="1413" spans="1:41" hidden="1">
      <c r="A1413" s="599" t="s">
        <v>268</v>
      </c>
      <c r="B1413" s="3" t="s">
        <v>268</v>
      </c>
      <c r="C1413" s="3">
        <v>0</v>
      </c>
      <c r="D1413" s="600" t="s">
        <v>19161</v>
      </c>
      <c r="E1413" s="3" t="s">
        <v>268</v>
      </c>
      <c r="F1413" s="601">
        <v>45233</v>
      </c>
      <c r="G1413" s="3">
        <v>2023</v>
      </c>
      <c r="H1413" s="586" t="s">
        <v>16444</v>
      </c>
      <c r="I1413" s="3" t="s">
        <v>16445</v>
      </c>
      <c r="J1413" s="3" t="s">
        <v>3</v>
      </c>
      <c r="K1413" s="54">
        <v>38016</v>
      </c>
      <c r="L1413" s="586">
        <v>1</v>
      </c>
      <c r="M1413" s="587">
        <v>38016</v>
      </c>
      <c r="N1413" s="3" t="s">
        <v>20155</v>
      </c>
      <c r="O1413" s="3" t="s">
        <v>18248</v>
      </c>
      <c r="P1413" s="875">
        <v>45243</v>
      </c>
      <c r="Q1413" s="466">
        <v>19200</v>
      </c>
      <c r="R1413" s="466">
        <v>0</v>
      </c>
      <c r="S1413" s="466">
        <v>0</v>
      </c>
      <c r="T1413" s="466">
        <v>0</v>
      </c>
      <c r="U1413" s="466">
        <v>19200</v>
      </c>
      <c r="V1413" s="51"/>
      <c r="W1413" s="602">
        <v>38016</v>
      </c>
      <c r="X1413" s="602">
        <v>0</v>
      </c>
      <c r="Y1413" s="602">
        <v>0</v>
      </c>
      <c r="Z1413" s="602">
        <v>0</v>
      </c>
      <c r="AA1413" s="495">
        <v>1.98</v>
      </c>
      <c r="AB1413" s="495"/>
      <c r="AC1413" s="495"/>
      <c r="AD1413" s="495"/>
      <c r="AE1413" s="602">
        <v>0</v>
      </c>
      <c r="AF1413" s="602">
        <v>0</v>
      </c>
      <c r="AG1413" s="602">
        <v>0</v>
      </c>
      <c r="AH1413" s="590">
        <v>1.98</v>
      </c>
      <c r="AI1413" s="590"/>
      <c r="AJ1413" s="590"/>
      <c r="AK1413" s="590"/>
      <c r="AL1413" s="603" t="s">
        <v>20345</v>
      </c>
      <c r="AM1413" s="603">
        <v>0</v>
      </c>
      <c r="AN1413" s="603">
        <v>0</v>
      </c>
      <c r="AO1413" s="603">
        <v>0</v>
      </c>
    </row>
    <row r="1414" spans="1:41" hidden="1">
      <c r="A1414" s="599" t="s">
        <v>269</v>
      </c>
      <c r="B1414" s="3" t="s">
        <v>269</v>
      </c>
      <c r="C1414" s="3">
        <v>0</v>
      </c>
      <c r="D1414" s="600" t="s">
        <v>19162</v>
      </c>
      <c r="E1414" s="3" t="s">
        <v>269</v>
      </c>
      <c r="F1414" s="601">
        <v>45236</v>
      </c>
      <c r="G1414" s="3">
        <v>2023</v>
      </c>
      <c r="H1414" s="586" t="s">
        <v>16957</v>
      </c>
      <c r="I1414" s="3" t="s">
        <v>16958</v>
      </c>
      <c r="J1414" s="279" t="s">
        <v>16482</v>
      </c>
      <c r="K1414" s="54">
        <v>96481.605349999998</v>
      </c>
      <c r="L1414" s="586">
        <v>3.37195</v>
      </c>
      <c r="M1414" s="587">
        <v>28613</v>
      </c>
      <c r="N1414" s="3" t="s">
        <v>20155</v>
      </c>
      <c r="O1414" s="3" t="s">
        <v>20161</v>
      </c>
      <c r="P1414" s="875">
        <v>45240</v>
      </c>
      <c r="Q1414" s="466">
        <v>40300</v>
      </c>
      <c r="R1414" s="466">
        <v>0</v>
      </c>
      <c r="S1414" s="466">
        <v>0</v>
      </c>
      <c r="T1414" s="466">
        <v>0</v>
      </c>
      <c r="U1414" s="466">
        <v>40300</v>
      </c>
      <c r="V1414" s="51"/>
      <c r="W1414" s="602">
        <v>96481.605349999998</v>
      </c>
      <c r="X1414" s="602">
        <v>0</v>
      </c>
      <c r="Y1414" s="602">
        <v>0</v>
      </c>
      <c r="Z1414" s="602">
        <v>0</v>
      </c>
      <c r="AA1414" s="495">
        <v>2.3940844999999999</v>
      </c>
      <c r="AB1414" s="495"/>
      <c r="AC1414" s="495"/>
      <c r="AD1414" s="495"/>
      <c r="AE1414" s="602">
        <v>0</v>
      </c>
      <c r="AF1414" s="602">
        <v>3483.5839999999998</v>
      </c>
      <c r="AG1414" s="602">
        <v>8.6441290322580647E-2</v>
      </c>
      <c r="AH1414" s="590">
        <v>2.3076432096774191</v>
      </c>
      <c r="AI1414" s="590"/>
      <c r="AJ1414" s="590"/>
      <c r="AK1414" s="590"/>
      <c r="AL1414" s="603" t="s">
        <v>20345</v>
      </c>
      <c r="AM1414" s="603">
        <v>0</v>
      </c>
      <c r="AN1414" s="603">
        <v>0</v>
      </c>
      <c r="AO1414" s="603">
        <v>0</v>
      </c>
    </row>
    <row r="1415" spans="1:41" hidden="1">
      <c r="A1415" s="599" t="s">
        <v>270</v>
      </c>
      <c r="B1415" s="3" t="s">
        <v>270</v>
      </c>
      <c r="C1415" s="3">
        <v>0</v>
      </c>
      <c r="D1415" s="600" t="s">
        <v>19163</v>
      </c>
      <c r="E1415" s="3" t="s">
        <v>270</v>
      </c>
      <c r="F1415" s="601">
        <v>45236</v>
      </c>
      <c r="G1415" s="3">
        <v>2023</v>
      </c>
      <c r="H1415" s="586" t="s">
        <v>17209</v>
      </c>
      <c r="I1415" s="3" t="s">
        <v>17210</v>
      </c>
      <c r="J1415" s="3" t="s">
        <v>16401</v>
      </c>
      <c r="K1415" s="54">
        <v>78245.396250000005</v>
      </c>
      <c r="L1415" s="586">
        <v>3.1587499999999999</v>
      </c>
      <c r="M1415" s="587">
        <v>24771</v>
      </c>
      <c r="N1415" s="3" t="s">
        <v>20155</v>
      </c>
      <c r="O1415" s="3" t="s">
        <v>20168</v>
      </c>
      <c r="P1415" s="875">
        <v>45240</v>
      </c>
      <c r="Q1415" s="466">
        <v>0</v>
      </c>
      <c r="R1415" s="466">
        <v>16440</v>
      </c>
      <c r="S1415" s="466">
        <v>7200</v>
      </c>
      <c r="T1415" s="466">
        <v>1500</v>
      </c>
      <c r="U1415" s="466">
        <v>25140</v>
      </c>
      <c r="V1415" s="51"/>
      <c r="W1415" s="602">
        <v>0</v>
      </c>
      <c r="X1415" s="602">
        <v>45768.474966587106</v>
      </c>
      <c r="Y1415" s="602">
        <v>20541.336751789979</v>
      </c>
      <c r="Z1415" s="602">
        <v>11937.834531622912</v>
      </c>
      <c r="AA1415" s="495"/>
      <c r="AB1415" s="495">
        <v>2.7839704967510404</v>
      </c>
      <c r="AC1415" s="495">
        <v>2.8529634377486079</v>
      </c>
      <c r="AD1415" s="495">
        <v>7.9585563544152746</v>
      </c>
      <c r="AE1415" s="602">
        <v>856.7684999999999</v>
      </c>
      <c r="AF1415" s="602">
        <v>6694.9769999999999</v>
      </c>
      <c r="AG1415" s="602">
        <v>0.26630775656324585</v>
      </c>
      <c r="AH1415" s="590"/>
      <c r="AI1415" s="590">
        <v>2.5176627401877947</v>
      </c>
      <c r="AJ1415" s="590">
        <v>2.5866556811853623</v>
      </c>
      <c r="AK1415" s="590">
        <v>7.6922485978520285</v>
      </c>
      <c r="AL1415" s="603">
        <v>0</v>
      </c>
      <c r="AM1415" s="603">
        <v>1</v>
      </c>
      <c r="AN1415" s="603">
        <v>1</v>
      </c>
      <c r="AO1415" s="603">
        <v>1</v>
      </c>
    </row>
    <row r="1416" spans="1:41" hidden="1">
      <c r="A1416" s="599" t="s">
        <v>271</v>
      </c>
      <c r="B1416" s="3" t="s">
        <v>271</v>
      </c>
      <c r="C1416" s="3">
        <v>0</v>
      </c>
      <c r="D1416" s="600" t="s">
        <v>19164</v>
      </c>
      <c r="E1416" s="3" t="s">
        <v>271</v>
      </c>
      <c r="F1416" s="601">
        <v>45236</v>
      </c>
      <c r="G1416" s="3">
        <v>2023</v>
      </c>
      <c r="H1416" s="586" t="s">
        <v>17309</v>
      </c>
      <c r="I1416" s="3" t="s">
        <v>17310</v>
      </c>
      <c r="J1416" s="3" t="s">
        <v>3</v>
      </c>
      <c r="K1416" s="54">
        <v>83000</v>
      </c>
      <c r="L1416" s="586">
        <v>1</v>
      </c>
      <c r="M1416" s="587">
        <v>83000</v>
      </c>
      <c r="N1416" s="3" t="s">
        <v>20155</v>
      </c>
      <c r="O1416" s="3" t="s">
        <v>17854</v>
      </c>
      <c r="P1416" s="875">
        <v>45244</v>
      </c>
      <c r="Q1416" s="466">
        <v>41500</v>
      </c>
      <c r="R1416" s="466">
        <v>0</v>
      </c>
      <c r="S1416" s="466">
        <v>0</v>
      </c>
      <c r="T1416" s="466">
        <v>0</v>
      </c>
      <c r="U1416" s="466">
        <v>41500</v>
      </c>
      <c r="V1416" s="51"/>
      <c r="W1416" s="602">
        <v>83000</v>
      </c>
      <c r="X1416" s="602">
        <v>0</v>
      </c>
      <c r="Y1416" s="602">
        <v>0</v>
      </c>
      <c r="Z1416" s="602">
        <v>0</v>
      </c>
      <c r="AA1416" s="495">
        <v>2</v>
      </c>
      <c r="AB1416" s="495"/>
      <c r="AC1416" s="495"/>
      <c r="AD1416" s="495"/>
      <c r="AE1416" s="602">
        <v>0</v>
      </c>
      <c r="AF1416" s="602">
        <v>0</v>
      </c>
      <c r="AG1416" s="602">
        <v>0</v>
      </c>
      <c r="AH1416" s="590">
        <v>2</v>
      </c>
      <c r="AI1416" s="590"/>
      <c r="AJ1416" s="590"/>
      <c r="AK1416" s="590"/>
      <c r="AL1416" s="603" t="s">
        <v>20345</v>
      </c>
      <c r="AM1416" s="603">
        <v>0</v>
      </c>
      <c r="AN1416" s="603">
        <v>0</v>
      </c>
      <c r="AO1416" s="603">
        <v>0</v>
      </c>
    </row>
    <row r="1417" spans="1:41" hidden="1">
      <c r="A1417" s="599" t="s">
        <v>272</v>
      </c>
      <c r="B1417" s="3" t="s">
        <v>272</v>
      </c>
      <c r="C1417" s="3">
        <v>0</v>
      </c>
      <c r="D1417" s="600" t="s">
        <v>19165</v>
      </c>
      <c r="E1417" s="3" t="s">
        <v>272</v>
      </c>
      <c r="F1417" s="601">
        <v>45236</v>
      </c>
      <c r="G1417" s="3">
        <v>2023</v>
      </c>
      <c r="H1417" s="586" t="s">
        <v>16838</v>
      </c>
      <c r="I1417" s="3" t="s">
        <v>16839</v>
      </c>
      <c r="J1417" s="3" t="s">
        <v>3</v>
      </c>
      <c r="K1417" s="54">
        <v>87535.84</v>
      </c>
      <c r="L1417" s="586">
        <v>1</v>
      </c>
      <c r="M1417" s="587">
        <v>87535.84</v>
      </c>
      <c r="N1417" s="3" t="s">
        <v>20155</v>
      </c>
      <c r="O1417" s="3" t="s">
        <v>17949</v>
      </c>
      <c r="P1417" s="875">
        <v>45254</v>
      </c>
      <c r="Q1417" s="466">
        <v>22008</v>
      </c>
      <c r="R1417" s="466">
        <v>0</v>
      </c>
      <c r="S1417" s="466">
        <v>28000</v>
      </c>
      <c r="T1417" s="466">
        <v>0</v>
      </c>
      <c r="U1417" s="466">
        <v>50008</v>
      </c>
      <c r="V1417" s="51"/>
      <c r="W1417" s="602">
        <v>43575.839999999997</v>
      </c>
      <c r="X1417" s="602">
        <v>0</v>
      </c>
      <c r="Y1417" s="602">
        <v>43960</v>
      </c>
      <c r="Z1417" s="602">
        <v>0</v>
      </c>
      <c r="AA1417" s="495">
        <v>1.9799999999999998</v>
      </c>
      <c r="AB1417" s="495"/>
      <c r="AC1417" s="495">
        <v>1.57</v>
      </c>
      <c r="AD1417" s="495"/>
      <c r="AE1417" s="602">
        <v>0</v>
      </c>
      <c r="AF1417" s="602">
        <v>0</v>
      </c>
      <c r="AG1417" s="602">
        <v>0</v>
      </c>
      <c r="AH1417" s="590">
        <v>1.9799999999999998</v>
      </c>
      <c r="AI1417" s="590"/>
      <c r="AJ1417" s="590">
        <v>1.57</v>
      </c>
      <c r="AK1417" s="590"/>
      <c r="AL1417" s="603" t="s">
        <v>20345</v>
      </c>
      <c r="AM1417" s="603">
        <v>0</v>
      </c>
      <c r="AN1417" s="603" t="s">
        <v>20347</v>
      </c>
      <c r="AO1417" s="603">
        <v>0</v>
      </c>
    </row>
    <row r="1418" spans="1:41" hidden="1">
      <c r="A1418" s="599" t="s">
        <v>273</v>
      </c>
      <c r="B1418" s="3" t="s">
        <v>273</v>
      </c>
      <c r="C1418" s="3">
        <v>0</v>
      </c>
      <c r="D1418" s="600" t="s">
        <v>19166</v>
      </c>
      <c r="E1418" s="3" t="s">
        <v>273</v>
      </c>
      <c r="F1418" s="601">
        <v>45237</v>
      </c>
      <c r="G1418" s="3">
        <v>2023</v>
      </c>
      <c r="H1418" s="586" t="s">
        <v>16838</v>
      </c>
      <c r="I1418" s="3" t="s">
        <v>16839</v>
      </c>
      <c r="J1418" s="3" t="s">
        <v>3</v>
      </c>
      <c r="K1418" s="54">
        <v>285003.59999999998</v>
      </c>
      <c r="L1418" s="586">
        <v>1</v>
      </c>
      <c r="M1418" s="587">
        <v>285003.59999999998</v>
      </c>
      <c r="N1418" s="3" t="s">
        <v>20155</v>
      </c>
      <c r="O1418" s="3" t="s">
        <v>20321</v>
      </c>
      <c r="P1418" s="875">
        <v>45244</v>
      </c>
      <c r="Q1418" s="466">
        <v>0</v>
      </c>
      <c r="R1418" s="466">
        <v>154056</v>
      </c>
      <c r="S1418" s="466">
        <v>0</v>
      </c>
      <c r="T1418" s="466">
        <v>0</v>
      </c>
      <c r="U1418" s="466">
        <v>154056</v>
      </c>
      <c r="V1418" s="51"/>
      <c r="W1418" s="602">
        <v>0</v>
      </c>
      <c r="X1418" s="602">
        <v>263435.76</v>
      </c>
      <c r="Y1418" s="602">
        <v>0</v>
      </c>
      <c r="Z1418" s="602">
        <v>0</v>
      </c>
      <c r="AA1418" s="495"/>
      <c r="AB1418" s="495">
        <v>1.71</v>
      </c>
      <c r="AC1418" s="495"/>
      <c r="AD1418" s="495"/>
      <c r="AE1418" s="602">
        <v>0</v>
      </c>
      <c r="AF1418" s="602">
        <v>0</v>
      </c>
      <c r="AG1418" s="602">
        <v>0</v>
      </c>
      <c r="AH1418" s="590"/>
      <c r="AI1418" s="590">
        <v>1.71</v>
      </c>
      <c r="AJ1418" s="590"/>
      <c r="AK1418" s="590"/>
      <c r="AL1418" s="603">
        <v>0</v>
      </c>
      <c r="AM1418" s="603" t="s">
        <v>20347</v>
      </c>
      <c r="AN1418" s="603">
        <v>0</v>
      </c>
      <c r="AO1418" s="603">
        <v>0</v>
      </c>
    </row>
    <row r="1419" spans="1:41" hidden="1">
      <c r="A1419" s="599" t="s">
        <v>274</v>
      </c>
      <c r="B1419" s="3" t="s">
        <v>274</v>
      </c>
      <c r="C1419" s="3">
        <v>0</v>
      </c>
      <c r="D1419" s="600" t="s">
        <v>19167</v>
      </c>
      <c r="E1419" s="3" t="s">
        <v>274</v>
      </c>
      <c r="F1419" s="601">
        <v>45237</v>
      </c>
      <c r="G1419" s="3">
        <v>2023</v>
      </c>
      <c r="H1419" s="586" t="s">
        <v>16384</v>
      </c>
      <c r="I1419" s="3" t="s">
        <v>16385</v>
      </c>
      <c r="J1419" s="3" t="s">
        <v>3</v>
      </c>
      <c r="K1419" s="54">
        <v>190080</v>
      </c>
      <c r="L1419" s="586">
        <v>1</v>
      </c>
      <c r="M1419" s="587">
        <v>190080</v>
      </c>
      <c r="N1419" s="3" t="s">
        <v>20155</v>
      </c>
      <c r="O1419" s="3" t="s">
        <v>17965</v>
      </c>
      <c r="P1419" s="875" t="s">
        <v>20362</v>
      </c>
      <c r="Q1419" s="466">
        <v>96000</v>
      </c>
      <c r="R1419" s="466">
        <v>0</v>
      </c>
      <c r="S1419" s="466">
        <v>0</v>
      </c>
      <c r="T1419" s="466">
        <v>0</v>
      </c>
      <c r="U1419" s="466">
        <v>96000</v>
      </c>
      <c r="V1419" s="51"/>
      <c r="W1419" s="602">
        <v>190080</v>
      </c>
      <c r="X1419" s="602">
        <v>0</v>
      </c>
      <c r="Y1419" s="602">
        <v>0</v>
      </c>
      <c r="Z1419" s="602">
        <v>0</v>
      </c>
      <c r="AA1419" s="495">
        <v>1.98</v>
      </c>
      <c r="AB1419" s="495"/>
      <c r="AC1419" s="495"/>
      <c r="AD1419" s="495"/>
      <c r="AE1419" s="602">
        <v>0</v>
      </c>
      <c r="AF1419" s="602">
        <v>0</v>
      </c>
      <c r="AG1419" s="602">
        <v>0</v>
      </c>
      <c r="AH1419" s="590">
        <v>1.98</v>
      </c>
      <c r="AI1419" s="590"/>
      <c r="AJ1419" s="590"/>
      <c r="AK1419" s="590"/>
      <c r="AL1419" s="603" t="s">
        <v>20345</v>
      </c>
      <c r="AM1419" s="603">
        <v>0</v>
      </c>
      <c r="AN1419" s="603">
        <v>0</v>
      </c>
      <c r="AO1419" s="603">
        <v>0</v>
      </c>
    </row>
    <row r="1420" spans="1:41" hidden="1">
      <c r="A1420" s="599" t="s">
        <v>275</v>
      </c>
      <c r="B1420" s="3" t="s">
        <v>275</v>
      </c>
      <c r="C1420" s="3">
        <v>0</v>
      </c>
      <c r="D1420" s="600" t="s">
        <v>19168</v>
      </c>
      <c r="E1420" s="3" t="s">
        <v>275</v>
      </c>
      <c r="F1420" s="601">
        <v>45237</v>
      </c>
      <c r="G1420" s="3">
        <v>2023</v>
      </c>
      <c r="H1420" s="586" t="s">
        <v>16384</v>
      </c>
      <c r="I1420" s="3" t="s">
        <v>16385</v>
      </c>
      <c r="J1420" s="3" t="s">
        <v>3</v>
      </c>
      <c r="K1420" s="54">
        <v>183384</v>
      </c>
      <c r="L1420" s="586">
        <v>1</v>
      </c>
      <c r="M1420" s="587">
        <v>183384</v>
      </c>
      <c r="N1420" s="3" t="s">
        <v>20155</v>
      </c>
      <c r="O1420" s="3" t="s">
        <v>17777</v>
      </c>
      <c r="P1420" s="875">
        <v>45245</v>
      </c>
      <c r="Q1420" s="466">
        <v>0</v>
      </c>
      <c r="R1420" s="466">
        <v>22800</v>
      </c>
      <c r="S1420" s="466">
        <v>84000</v>
      </c>
      <c r="T1420" s="466">
        <v>0</v>
      </c>
      <c r="U1420" s="466">
        <v>106800</v>
      </c>
      <c r="V1420" s="51"/>
      <c r="W1420" s="602">
        <v>0</v>
      </c>
      <c r="X1420" s="602">
        <v>40584</v>
      </c>
      <c r="Y1420" s="602">
        <v>142800</v>
      </c>
      <c r="Z1420" s="602">
        <v>0</v>
      </c>
      <c r="AA1420" s="495"/>
      <c r="AB1420" s="495">
        <v>1.78</v>
      </c>
      <c r="AC1420" s="495">
        <v>1.7</v>
      </c>
      <c r="AD1420" s="495"/>
      <c r="AE1420" s="602">
        <v>0</v>
      </c>
      <c r="AF1420" s="602">
        <v>0</v>
      </c>
      <c r="AG1420" s="602">
        <v>0</v>
      </c>
      <c r="AH1420" s="590"/>
      <c r="AI1420" s="590">
        <v>1.78</v>
      </c>
      <c r="AJ1420" s="590">
        <v>1.7</v>
      </c>
      <c r="AK1420" s="590"/>
      <c r="AL1420" s="603">
        <v>0</v>
      </c>
      <c r="AM1420" s="603" t="s">
        <v>20348</v>
      </c>
      <c r="AN1420" s="603" t="s">
        <v>20347</v>
      </c>
      <c r="AO1420" s="603">
        <v>0</v>
      </c>
    </row>
    <row r="1421" spans="1:41" hidden="1">
      <c r="A1421" s="599" t="s">
        <v>276</v>
      </c>
      <c r="B1421" s="3" t="s">
        <v>276</v>
      </c>
      <c r="C1421" s="3">
        <v>0</v>
      </c>
      <c r="D1421" s="600" t="s">
        <v>19169</v>
      </c>
      <c r="E1421" s="3" t="s">
        <v>276</v>
      </c>
      <c r="F1421" s="601">
        <v>45240</v>
      </c>
      <c r="G1421" s="3">
        <v>2023</v>
      </c>
      <c r="H1421" s="586" t="s">
        <v>17342</v>
      </c>
      <c r="I1421" s="3" t="s">
        <v>17343</v>
      </c>
      <c r="J1421" s="3" t="s">
        <v>16482</v>
      </c>
      <c r="K1421" s="54">
        <v>82883.201839000001</v>
      </c>
      <c r="L1421" s="586">
        <v>3.3763000000000001</v>
      </c>
      <c r="M1421" s="587">
        <v>24548.53</v>
      </c>
      <c r="N1421" s="3" t="s">
        <v>20155</v>
      </c>
      <c r="O1421" s="3" t="s">
        <v>16394</v>
      </c>
      <c r="P1421" s="875">
        <v>45243</v>
      </c>
      <c r="Q1421" s="466">
        <v>0</v>
      </c>
      <c r="R1421" s="466">
        <v>17472</v>
      </c>
      <c r="S1421" s="466">
        <v>4800</v>
      </c>
      <c r="T1421" s="466">
        <v>910</v>
      </c>
      <c r="U1421" s="466">
        <v>23182</v>
      </c>
      <c r="V1421" s="51"/>
      <c r="W1421" s="602">
        <v>0</v>
      </c>
      <c r="X1421" s="602">
        <v>54843.78023413448</v>
      </c>
      <c r="Y1421" s="602">
        <v>16428.029615971012</v>
      </c>
      <c r="Z1421" s="602">
        <v>11611.378483694501</v>
      </c>
      <c r="AA1421" s="495"/>
      <c r="AB1421" s="495">
        <v>3.1389526232906637</v>
      </c>
      <c r="AC1421" s="495">
        <v>3.422506169993961</v>
      </c>
      <c r="AD1421" s="495">
        <v>12.759756575488463</v>
      </c>
      <c r="AE1421" s="602">
        <v>1086.1559999999999</v>
      </c>
      <c r="AF1421" s="602">
        <v>25226.99</v>
      </c>
      <c r="AG1421" s="602">
        <v>1.0882145630230351</v>
      </c>
      <c r="AH1421" s="590"/>
      <c r="AI1421" s="590">
        <v>2.0507380602676286</v>
      </c>
      <c r="AJ1421" s="590">
        <v>2.3342916069709259</v>
      </c>
      <c r="AK1421" s="590">
        <v>11.671542012465428</v>
      </c>
      <c r="AL1421" s="603">
        <v>0</v>
      </c>
      <c r="AM1421" s="603">
        <v>1</v>
      </c>
      <c r="AN1421" s="603">
        <v>1</v>
      </c>
      <c r="AO1421" s="603">
        <v>1</v>
      </c>
    </row>
    <row r="1422" spans="1:41" hidden="1">
      <c r="A1422" s="599" t="s">
        <v>277</v>
      </c>
      <c r="B1422" s="3" t="s">
        <v>277</v>
      </c>
      <c r="C1422" s="3">
        <v>0</v>
      </c>
      <c r="D1422" s="600" t="s">
        <v>19170</v>
      </c>
      <c r="E1422" s="3" t="s">
        <v>277</v>
      </c>
      <c r="F1422" s="601">
        <v>45240</v>
      </c>
      <c r="G1422" s="3">
        <v>2023</v>
      </c>
      <c r="H1422" s="586" t="s">
        <v>17342</v>
      </c>
      <c r="I1422" s="3" t="s">
        <v>17343</v>
      </c>
      <c r="J1422" s="3" t="s">
        <v>16482</v>
      </c>
      <c r="K1422" s="54">
        <v>80489.540191000007</v>
      </c>
      <c r="L1422" s="586">
        <v>3.3763000000000001</v>
      </c>
      <c r="M1422" s="587">
        <v>23839.57</v>
      </c>
      <c r="N1422" s="3" t="s">
        <v>20155</v>
      </c>
      <c r="O1422" s="3" t="s">
        <v>16394</v>
      </c>
      <c r="P1422" s="875">
        <v>45243</v>
      </c>
      <c r="Q1422" s="466">
        <v>2880</v>
      </c>
      <c r="R1422" s="466">
        <v>12048</v>
      </c>
      <c r="S1422" s="466">
        <v>2400</v>
      </c>
      <c r="T1422" s="466">
        <v>3360</v>
      </c>
      <c r="U1422" s="466">
        <v>20688</v>
      </c>
      <c r="V1422" s="51"/>
      <c r="W1422" s="602">
        <v>10152.498691935034</v>
      </c>
      <c r="X1422" s="602">
        <v>42276.811314594888</v>
      </c>
      <c r="Y1422" s="602">
        <v>8395.5906166125296</v>
      </c>
      <c r="Z1422" s="602">
        <v>19664.632815257537</v>
      </c>
      <c r="AA1422" s="495">
        <v>3.5251731569218867</v>
      </c>
      <c r="AB1422" s="495">
        <v>3.5090314836151135</v>
      </c>
      <c r="AC1422" s="495">
        <v>3.4981627569218872</v>
      </c>
      <c r="AD1422" s="495">
        <v>5.8525692902552198</v>
      </c>
      <c r="AE1422" s="602">
        <v>1201.068</v>
      </c>
      <c r="AF1422" s="602">
        <v>24316.55</v>
      </c>
      <c r="AG1422" s="602">
        <v>1.1753939481825213</v>
      </c>
      <c r="AH1422" s="590">
        <v>2.3497792087393652</v>
      </c>
      <c r="AI1422" s="590">
        <v>2.333637535432592</v>
      </c>
      <c r="AJ1422" s="590">
        <v>2.3227688087393661</v>
      </c>
      <c r="AK1422" s="590">
        <v>4.6771753420726982</v>
      </c>
      <c r="AL1422" s="603">
        <v>1</v>
      </c>
      <c r="AM1422" s="603">
        <v>1</v>
      </c>
      <c r="AN1422" s="603">
        <v>1</v>
      </c>
      <c r="AO1422" s="603">
        <v>1</v>
      </c>
    </row>
    <row r="1423" spans="1:41" hidden="1">
      <c r="A1423" s="599" t="s">
        <v>278</v>
      </c>
      <c r="B1423" s="3" t="s">
        <v>278</v>
      </c>
      <c r="C1423" s="3">
        <v>0</v>
      </c>
      <c r="D1423" s="600" t="s">
        <v>19171</v>
      </c>
      <c r="E1423" s="3" t="s">
        <v>278</v>
      </c>
      <c r="F1423" s="601">
        <v>45240</v>
      </c>
      <c r="G1423" s="3">
        <v>2023</v>
      </c>
      <c r="H1423" s="586" t="s">
        <v>16444</v>
      </c>
      <c r="I1423" s="3" t="s">
        <v>16445</v>
      </c>
      <c r="J1423" s="3" t="s">
        <v>3</v>
      </c>
      <c r="K1423" s="54">
        <v>38016</v>
      </c>
      <c r="L1423" s="586">
        <v>1</v>
      </c>
      <c r="M1423" s="587">
        <v>38016</v>
      </c>
      <c r="N1423" s="3" t="s">
        <v>20155</v>
      </c>
      <c r="O1423" s="3" t="s">
        <v>18248</v>
      </c>
      <c r="P1423" s="875">
        <v>45245</v>
      </c>
      <c r="Q1423" s="466">
        <v>19200</v>
      </c>
      <c r="R1423" s="466">
        <v>0</v>
      </c>
      <c r="S1423" s="466">
        <v>0</v>
      </c>
      <c r="T1423" s="466">
        <v>0</v>
      </c>
      <c r="U1423" s="466">
        <v>19200</v>
      </c>
      <c r="V1423" s="51"/>
      <c r="W1423" s="602">
        <v>38016</v>
      </c>
      <c r="X1423" s="602">
        <v>0</v>
      </c>
      <c r="Y1423" s="602">
        <v>0</v>
      </c>
      <c r="Z1423" s="602">
        <v>0</v>
      </c>
      <c r="AA1423" s="495">
        <v>1.98</v>
      </c>
      <c r="AB1423" s="495"/>
      <c r="AC1423" s="495"/>
      <c r="AD1423" s="495"/>
      <c r="AE1423" s="602">
        <v>0</v>
      </c>
      <c r="AF1423" s="602">
        <v>0</v>
      </c>
      <c r="AG1423" s="602">
        <v>0</v>
      </c>
      <c r="AH1423" s="590">
        <v>1.98</v>
      </c>
      <c r="AI1423" s="590"/>
      <c r="AJ1423" s="590"/>
      <c r="AK1423" s="590"/>
      <c r="AL1423" s="603" t="s">
        <v>20345</v>
      </c>
      <c r="AM1423" s="603">
        <v>0</v>
      </c>
      <c r="AN1423" s="603">
        <v>0</v>
      </c>
      <c r="AO1423" s="603">
        <v>0</v>
      </c>
    </row>
    <row r="1424" spans="1:41" hidden="1">
      <c r="A1424" s="599" t="s">
        <v>279</v>
      </c>
      <c r="B1424" s="3" t="s">
        <v>279</v>
      </c>
      <c r="C1424" s="3">
        <v>0</v>
      </c>
      <c r="D1424" s="600" t="s">
        <v>19172</v>
      </c>
      <c r="E1424" s="3" t="s">
        <v>279</v>
      </c>
      <c r="F1424" s="601" t="s">
        <v>20363</v>
      </c>
      <c r="G1424" s="3">
        <v>2023</v>
      </c>
      <c r="H1424" s="586" t="s">
        <v>17342</v>
      </c>
      <c r="I1424" s="3" t="s">
        <v>17343</v>
      </c>
      <c r="J1424" s="3" t="s">
        <v>16482</v>
      </c>
      <c r="K1424" s="54">
        <v>88125.547587000008</v>
      </c>
      <c r="L1424" s="586">
        <v>3.3764500000000002</v>
      </c>
      <c r="M1424" s="587">
        <v>26100.06</v>
      </c>
      <c r="N1424" s="3" t="s">
        <v>20155</v>
      </c>
      <c r="O1424" s="3" t="s">
        <v>16394</v>
      </c>
      <c r="P1424" s="875">
        <v>45250</v>
      </c>
      <c r="Q1424" s="466">
        <v>1920</v>
      </c>
      <c r="R1424" s="466">
        <v>16008</v>
      </c>
      <c r="S1424" s="466">
        <v>4800</v>
      </c>
      <c r="T1424" s="466">
        <v>1620</v>
      </c>
      <c r="U1424" s="466">
        <v>24348</v>
      </c>
      <c r="V1424" s="51"/>
      <c r="W1424" s="602">
        <v>6643.80668416757</v>
      </c>
      <c r="X1424" s="602">
        <v>53502.844623647121</v>
      </c>
      <c r="Y1424" s="602">
        <v>16479.861030418924</v>
      </c>
      <c r="Z1424" s="602">
        <v>11499.035248766388</v>
      </c>
      <c r="AA1424" s="495">
        <v>3.4603159813372759</v>
      </c>
      <c r="AB1424" s="495">
        <v>3.3422566606476214</v>
      </c>
      <c r="AC1424" s="495">
        <v>3.4333043813372757</v>
      </c>
      <c r="AD1424" s="495">
        <v>7.0981699066459187</v>
      </c>
      <c r="AE1424" s="602">
        <v>1153.278</v>
      </c>
      <c r="AF1424" s="602">
        <v>26660.959999999999</v>
      </c>
      <c r="AG1424" s="602">
        <v>1.0949958928864794</v>
      </c>
      <c r="AH1424" s="590">
        <v>2.3653200884507966</v>
      </c>
      <c r="AI1424" s="590">
        <v>2.247260767761142</v>
      </c>
      <c r="AJ1424" s="590">
        <v>2.3383084884507963</v>
      </c>
      <c r="AK1424" s="590">
        <v>6.0031740137594394</v>
      </c>
      <c r="AL1424" s="603">
        <v>1</v>
      </c>
      <c r="AM1424" s="603">
        <v>1</v>
      </c>
      <c r="AN1424" s="603">
        <v>1</v>
      </c>
      <c r="AO1424" s="603">
        <v>1</v>
      </c>
    </row>
    <row r="1425" spans="1:41" hidden="1">
      <c r="A1425" s="599" t="s">
        <v>280</v>
      </c>
      <c r="B1425" s="3" t="s">
        <v>280</v>
      </c>
      <c r="C1425" s="3">
        <v>0</v>
      </c>
      <c r="D1425" s="600" t="s">
        <v>19173</v>
      </c>
      <c r="E1425" s="3" t="s">
        <v>280</v>
      </c>
      <c r="F1425" s="601">
        <v>45245</v>
      </c>
      <c r="G1425" s="3">
        <v>2023</v>
      </c>
      <c r="H1425" s="586" t="s">
        <v>17342</v>
      </c>
      <c r="I1425" s="3" t="s">
        <v>17343</v>
      </c>
      <c r="J1425" s="3" t="s">
        <v>16482</v>
      </c>
      <c r="K1425" s="54">
        <v>66002.844599999997</v>
      </c>
      <c r="L1425" s="586">
        <v>3.3764500000000002</v>
      </c>
      <c r="M1425" s="587">
        <v>19548</v>
      </c>
      <c r="N1425" s="3" t="s">
        <v>20155</v>
      </c>
      <c r="O1425" s="3" t="s">
        <v>16394</v>
      </c>
      <c r="P1425" s="875">
        <v>45247</v>
      </c>
      <c r="Q1425" s="466">
        <v>3840</v>
      </c>
      <c r="R1425" s="466">
        <v>35352</v>
      </c>
      <c r="S1425" s="466">
        <v>8400</v>
      </c>
      <c r="T1425" s="466">
        <v>1820</v>
      </c>
      <c r="U1425" s="466">
        <v>49412</v>
      </c>
      <c r="V1425" s="51"/>
      <c r="W1425" s="602">
        <v>4104.8287162813895</v>
      </c>
      <c r="X1425" s="602">
        <v>45515.288922865533</v>
      </c>
      <c r="Y1425" s="602">
        <v>8752.4153768655378</v>
      </c>
      <c r="Z1425" s="602">
        <v>7630.3115839875318</v>
      </c>
      <c r="AA1425" s="495">
        <v>1.0689658115316119</v>
      </c>
      <c r="AB1425" s="495">
        <v>1.2874883718846326</v>
      </c>
      <c r="AC1425" s="495">
        <v>1.0419542115316116</v>
      </c>
      <c r="AD1425" s="495">
        <v>4.1924788923008416</v>
      </c>
      <c r="AE1425" s="602">
        <v>1525.5</v>
      </c>
      <c r="AF1425" s="602">
        <v>22104.799999999999</v>
      </c>
      <c r="AG1425" s="602">
        <v>0.44735691734801264</v>
      </c>
      <c r="AH1425" s="590">
        <v>0.62160889418359921</v>
      </c>
      <c r="AI1425" s="590">
        <v>0.84013145453661997</v>
      </c>
      <c r="AJ1425" s="590">
        <v>0.59459729418359897</v>
      </c>
      <c r="AK1425" s="590">
        <v>3.7451219749528288</v>
      </c>
      <c r="AL1425" s="603">
        <v>1</v>
      </c>
      <c r="AM1425" s="603">
        <v>1</v>
      </c>
      <c r="AN1425" s="603">
        <v>1</v>
      </c>
      <c r="AO1425" s="603">
        <v>1</v>
      </c>
    </row>
    <row r="1426" spans="1:41" hidden="1">
      <c r="A1426" s="599" t="s">
        <v>281</v>
      </c>
      <c r="B1426" s="3" t="s">
        <v>281</v>
      </c>
      <c r="C1426" s="3">
        <v>0</v>
      </c>
      <c r="D1426" s="600" t="s">
        <v>19174</v>
      </c>
      <c r="E1426" s="3" t="s">
        <v>281</v>
      </c>
      <c r="F1426" s="601">
        <v>45245</v>
      </c>
      <c r="G1426" s="3">
        <v>2023</v>
      </c>
      <c r="H1426" s="586" t="s">
        <v>17342</v>
      </c>
      <c r="I1426" s="3" t="s">
        <v>17343</v>
      </c>
      <c r="J1426" s="3" t="s">
        <v>16482</v>
      </c>
      <c r="K1426" s="54">
        <v>80854.531334500003</v>
      </c>
      <c r="L1426" s="586">
        <v>3.3764500000000002</v>
      </c>
      <c r="M1426" s="587">
        <v>23946.61</v>
      </c>
      <c r="N1426" s="3" t="s">
        <v>20155</v>
      </c>
      <c r="O1426" s="3" t="s">
        <v>16394</v>
      </c>
      <c r="P1426" s="875">
        <v>45250</v>
      </c>
      <c r="Q1426" s="466">
        <v>0</v>
      </c>
      <c r="R1426" s="466">
        <v>20688</v>
      </c>
      <c r="S1426" s="466">
        <v>1200</v>
      </c>
      <c r="T1426" s="466">
        <v>0</v>
      </c>
      <c r="U1426" s="466">
        <v>21888</v>
      </c>
      <c r="V1426" s="51"/>
      <c r="W1426" s="602">
        <v>0</v>
      </c>
      <c r="X1426" s="602">
        <v>74595.351610266662</v>
      </c>
      <c r="Y1426" s="602">
        <v>4382.4070033333328</v>
      </c>
      <c r="Z1426" s="602">
        <v>1876.7659679999999</v>
      </c>
      <c r="AA1426" s="495"/>
      <c r="AB1426" s="495">
        <v>3.6057304529324568</v>
      </c>
      <c r="AC1426" s="495">
        <v>3.6520058361111105</v>
      </c>
      <c r="AD1426" s="495"/>
      <c r="AE1426" s="602">
        <v>1855.008</v>
      </c>
      <c r="AF1426" s="602">
        <v>28572.92</v>
      </c>
      <c r="AG1426" s="602">
        <v>1.3054148391812865</v>
      </c>
      <c r="AH1426" s="590"/>
      <c r="AI1426" s="590">
        <v>2.3003156137511702</v>
      </c>
      <c r="AJ1426" s="590">
        <v>2.346590996929824</v>
      </c>
      <c r="AK1426" s="590"/>
      <c r="AL1426" s="603">
        <v>0</v>
      </c>
      <c r="AM1426" s="603">
        <v>1</v>
      </c>
      <c r="AN1426" s="603">
        <v>1</v>
      </c>
      <c r="AO1426" s="603">
        <v>0</v>
      </c>
    </row>
    <row r="1427" spans="1:41" hidden="1">
      <c r="A1427" s="599" t="s">
        <v>282</v>
      </c>
      <c r="B1427" s="3" t="s">
        <v>282</v>
      </c>
      <c r="C1427" s="3">
        <v>0</v>
      </c>
      <c r="D1427" s="600" t="s">
        <v>19175</v>
      </c>
      <c r="E1427" s="3" t="s">
        <v>282</v>
      </c>
      <c r="F1427" s="601">
        <v>45247</v>
      </c>
      <c r="G1427" s="3">
        <v>2023</v>
      </c>
      <c r="H1427" s="586" t="s">
        <v>17309</v>
      </c>
      <c r="I1427" s="3" t="s">
        <v>17310</v>
      </c>
      <c r="J1427" s="3" t="s">
        <v>3</v>
      </c>
      <c r="K1427" s="54">
        <v>180960</v>
      </c>
      <c r="L1427" s="586">
        <v>1</v>
      </c>
      <c r="M1427" s="587">
        <v>180960</v>
      </c>
      <c r="N1427" s="3" t="s">
        <v>20155</v>
      </c>
      <c r="O1427" s="3" t="s">
        <v>17261</v>
      </c>
      <c r="P1427" s="875">
        <v>45254</v>
      </c>
      <c r="Q1427" s="466">
        <v>0</v>
      </c>
      <c r="R1427" s="466">
        <v>0</v>
      </c>
      <c r="S1427" s="466">
        <v>104000</v>
      </c>
      <c r="T1427" s="466">
        <v>0</v>
      </c>
      <c r="U1427" s="466">
        <v>104000</v>
      </c>
      <c r="V1427" s="51"/>
      <c r="W1427" s="602">
        <v>0</v>
      </c>
      <c r="X1427" s="602">
        <v>0</v>
      </c>
      <c r="Y1427" s="602">
        <v>180960</v>
      </c>
      <c r="Z1427" s="602">
        <v>0</v>
      </c>
      <c r="AA1427" s="495"/>
      <c r="AB1427" s="495"/>
      <c r="AC1427" s="495">
        <v>1.74</v>
      </c>
      <c r="AD1427" s="495"/>
      <c r="AE1427" s="602">
        <v>0</v>
      </c>
      <c r="AF1427" s="602">
        <v>0</v>
      </c>
      <c r="AG1427" s="602">
        <v>0</v>
      </c>
      <c r="AH1427" s="590"/>
      <c r="AI1427" s="590"/>
      <c r="AJ1427" s="590">
        <v>1.74</v>
      </c>
      <c r="AK1427" s="590"/>
      <c r="AL1427" s="603">
        <v>0</v>
      </c>
      <c r="AM1427" s="603">
        <v>0</v>
      </c>
      <c r="AN1427" s="603" t="s">
        <v>20347</v>
      </c>
      <c r="AO1427" s="603">
        <v>0</v>
      </c>
    </row>
    <row r="1428" spans="1:41" hidden="1">
      <c r="A1428" s="599" t="s">
        <v>283</v>
      </c>
      <c r="B1428" s="3" t="s">
        <v>283</v>
      </c>
      <c r="C1428" s="3">
        <v>0</v>
      </c>
      <c r="D1428" s="600" t="s">
        <v>19176</v>
      </c>
      <c r="E1428" s="3" t="s">
        <v>283</v>
      </c>
      <c r="F1428" s="601">
        <v>45247</v>
      </c>
      <c r="G1428" s="3">
        <v>2023</v>
      </c>
      <c r="H1428" s="586" t="s">
        <v>16838</v>
      </c>
      <c r="I1428" s="3" t="s">
        <v>16839</v>
      </c>
      <c r="J1428" s="3" t="s">
        <v>3</v>
      </c>
      <c r="K1428" s="54">
        <v>246774.39999999999</v>
      </c>
      <c r="L1428" s="586">
        <v>1</v>
      </c>
      <c r="M1428" s="587">
        <v>246774.39999999999</v>
      </c>
      <c r="N1428" s="3" t="s">
        <v>20155</v>
      </c>
      <c r="O1428" s="3" t="s">
        <v>17771</v>
      </c>
      <c r="P1428" s="875">
        <v>45257</v>
      </c>
      <c r="Q1428" s="466">
        <v>12000</v>
      </c>
      <c r="R1428" s="466">
        <v>43680</v>
      </c>
      <c r="S1428" s="466">
        <v>84000</v>
      </c>
      <c r="T1428" s="466">
        <v>0</v>
      </c>
      <c r="U1428" s="466">
        <v>139680</v>
      </c>
      <c r="V1428" s="51"/>
      <c r="W1428" s="602">
        <v>23760</v>
      </c>
      <c r="X1428" s="602">
        <v>79934.399999999994</v>
      </c>
      <c r="Y1428" s="602">
        <v>143080</v>
      </c>
      <c r="Z1428" s="602">
        <v>0</v>
      </c>
      <c r="AA1428" s="495">
        <v>1.98</v>
      </c>
      <c r="AB1428" s="495">
        <v>1.8299999999999998</v>
      </c>
      <c r="AC1428" s="495">
        <v>1.7033333333333334</v>
      </c>
      <c r="AD1428" s="495"/>
      <c r="AE1428" s="602">
        <v>0</v>
      </c>
      <c r="AF1428" s="602">
        <v>0</v>
      </c>
      <c r="AG1428" s="602">
        <v>0</v>
      </c>
      <c r="AH1428" s="590">
        <v>1.98</v>
      </c>
      <c r="AI1428" s="590">
        <v>1.8299999999999998</v>
      </c>
      <c r="AJ1428" s="590">
        <v>1.7033333333333334</v>
      </c>
      <c r="AK1428" s="590"/>
      <c r="AL1428" s="603" t="s">
        <v>20345</v>
      </c>
      <c r="AM1428" s="603" t="s">
        <v>20348</v>
      </c>
      <c r="AN1428" s="603" t="s">
        <v>20347</v>
      </c>
      <c r="AO1428" s="603">
        <v>0</v>
      </c>
    </row>
    <row r="1429" spans="1:41" hidden="1">
      <c r="A1429" s="599" t="s">
        <v>284</v>
      </c>
      <c r="B1429" s="3" t="s">
        <v>284</v>
      </c>
      <c r="C1429" s="3">
        <v>0</v>
      </c>
      <c r="D1429" s="600" t="s">
        <v>19177</v>
      </c>
      <c r="E1429" s="3" t="s">
        <v>284</v>
      </c>
      <c r="F1429" s="601">
        <v>45247</v>
      </c>
      <c r="G1429" s="3">
        <v>2023</v>
      </c>
      <c r="H1429" s="586" t="s">
        <v>17309</v>
      </c>
      <c r="I1429" s="3" t="s">
        <v>17310</v>
      </c>
      <c r="J1429" s="3" t="s">
        <v>3</v>
      </c>
      <c r="K1429" s="54">
        <v>537753.59999999998</v>
      </c>
      <c r="L1429" s="586">
        <v>1</v>
      </c>
      <c r="M1429" s="587">
        <v>537753.59999999998</v>
      </c>
      <c r="N1429" s="3" t="s">
        <v>20155</v>
      </c>
      <c r="O1429" s="3" t="s">
        <v>20321</v>
      </c>
      <c r="P1429" s="875">
        <v>45257</v>
      </c>
      <c r="Q1429" s="466">
        <v>280080</v>
      </c>
      <c r="R1429" s="466">
        <v>0</v>
      </c>
      <c r="S1429" s="466">
        <v>0</v>
      </c>
      <c r="T1429" s="466">
        <v>0</v>
      </c>
      <c r="U1429" s="466">
        <v>280080</v>
      </c>
      <c r="V1429" s="51"/>
      <c r="W1429" s="602">
        <v>537753.59999999998</v>
      </c>
      <c r="X1429" s="602">
        <v>0</v>
      </c>
      <c r="Y1429" s="602">
        <v>0</v>
      </c>
      <c r="Z1429" s="602">
        <v>0</v>
      </c>
      <c r="AA1429" s="495">
        <v>1.92</v>
      </c>
      <c r="AB1429" s="495"/>
      <c r="AC1429" s="495"/>
      <c r="AD1429" s="495"/>
      <c r="AE1429" s="602">
        <v>0</v>
      </c>
      <c r="AF1429" s="602">
        <v>1488.5</v>
      </c>
      <c r="AG1429" s="602">
        <v>5.3145529848614686E-3</v>
      </c>
      <c r="AH1429" s="590">
        <v>1.9146854470151384</v>
      </c>
      <c r="AI1429" s="590"/>
      <c r="AJ1429" s="590"/>
      <c r="AK1429" s="590"/>
      <c r="AL1429" s="603" t="s">
        <v>20345</v>
      </c>
      <c r="AM1429" s="603">
        <v>0</v>
      </c>
      <c r="AN1429" s="603">
        <v>0</v>
      </c>
      <c r="AO1429" s="603">
        <v>0</v>
      </c>
    </row>
    <row r="1430" spans="1:41" hidden="1">
      <c r="A1430" s="599" t="s">
        <v>285</v>
      </c>
      <c r="B1430" s="3" t="s">
        <v>285</v>
      </c>
      <c r="C1430" s="3">
        <v>0</v>
      </c>
      <c r="D1430" s="600" t="s">
        <v>19178</v>
      </c>
      <c r="E1430" s="3" t="s">
        <v>285</v>
      </c>
      <c r="F1430" s="601">
        <v>45250</v>
      </c>
      <c r="G1430" s="3">
        <v>2023</v>
      </c>
      <c r="H1430" s="586" t="s">
        <v>17259</v>
      </c>
      <c r="I1430" s="3" t="s">
        <v>17260</v>
      </c>
      <c r="J1430" s="3" t="s">
        <v>16401</v>
      </c>
      <c r="K1430" s="54">
        <v>51352.576000000001</v>
      </c>
      <c r="L1430" s="586">
        <v>3.1040000000000001</v>
      </c>
      <c r="M1430" s="587">
        <v>16544</v>
      </c>
      <c r="N1430" s="3" t="s">
        <v>20155</v>
      </c>
      <c r="O1430" s="3" t="s">
        <v>17261</v>
      </c>
      <c r="P1430" s="875">
        <v>45259</v>
      </c>
      <c r="Q1430" s="466">
        <v>0</v>
      </c>
      <c r="R1430" s="466">
        <v>21600</v>
      </c>
      <c r="S1430" s="466">
        <v>0</v>
      </c>
      <c r="T1430" s="466">
        <v>0</v>
      </c>
      <c r="U1430" s="466">
        <v>21600</v>
      </c>
      <c r="V1430" s="51"/>
      <c r="W1430" s="602">
        <v>0</v>
      </c>
      <c r="X1430" s="602">
        <v>51352.576000000008</v>
      </c>
      <c r="Y1430" s="602">
        <v>0</v>
      </c>
      <c r="Z1430" s="602">
        <v>0</v>
      </c>
      <c r="AA1430" s="495"/>
      <c r="AB1430" s="495">
        <v>2.3774340740740745</v>
      </c>
      <c r="AC1430" s="495"/>
      <c r="AD1430" s="495"/>
      <c r="AE1430" s="602">
        <v>3132.36</v>
      </c>
      <c r="AF1430" s="602">
        <v>12160.44</v>
      </c>
      <c r="AG1430" s="602">
        <v>0.56298333333333339</v>
      </c>
      <c r="AH1430" s="590"/>
      <c r="AI1430" s="590">
        <v>1.8144507407407411</v>
      </c>
      <c r="AJ1430" s="590"/>
      <c r="AK1430" s="590"/>
      <c r="AL1430" s="603">
        <v>0</v>
      </c>
      <c r="AM1430" s="603" t="s">
        <v>20348</v>
      </c>
      <c r="AN1430" s="603">
        <v>0</v>
      </c>
      <c r="AO1430" s="603">
        <v>0</v>
      </c>
    </row>
    <row r="1431" spans="1:41" hidden="1">
      <c r="A1431" s="599" t="s">
        <v>286</v>
      </c>
      <c r="B1431" s="3" t="s">
        <v>286</v>
      </c>
      <c r="C1431" s="3">
        <v>0</v>
      </c>
      <c r="D1431" s="600" t="s">
        <v>19179</v>
      </c>
      <c r="E1431" s="3" t="s">
        <v>286</v>
      </c>
      <c r="F1431" s="601">
        <v>45250</v>
      </c>
      <c r="G1431" s="3">
        <v>2023</v>
      </c>
      <c r="H1431" s="586" t="s">
        <v>17017</v>
      </c>
      <c r="I1431" s="3" t="s">
        <v>17018</v>
      </c>
      <c r="J1431" s="3" t="s">
        <v>3</v>
      </c>
      <c r="K1431" s="54">
        <v>35250</v>
      </c>
      <c r="L1431" s="586">
        <v>1</v>
      </c>
      <c r="M1431" s="587">
        <v>35250</v>
      </c>
      <c r="N1431" s="3" t="s">
        <v>20155</v>
      </c>
      <c r="O1431" s="3" t="s">
        <v>20364</v>
      </c>
      <c r="P1431" s="875">
        <v>45254</v>
      </c>
      <c r="Q1431" s="466">
        <v>0</v>
      </c>
      <c r="R1431" s="466">
        <v>15000</v>
      </c>
      <c r="S1431" s="466">
        <v>0</v>
      </c>
      <c r="T1431" s="466">
        <v>0</v>
      </c>
      <c r="U1431" s="466">
        <v>15000</v>
      </c>
      <c r="V1431" s="51"/>
      <c r="W1431" s="602">
        <v>0</v>
      </c>
      <c r="X1431" s="602">
        <v>35250</v>
      </c>
      <c r="Y1431" s="602">
        <v>0</v>
      </c>
      <c r="Z1431" s="602">
        <v>0</v>
      </c>
      <c r="AA1431" s="495"/>
      <c r="AB1431" s="495">
        <v>2.35</v>
      </c>
      <c r="AC1431" s="495"/>
      <c r="AD1431" s="495"/>
      <c r="AE1431" s="602">
        <v>0</v>
      </c>
      <c r="AF1431" s="602">
        <v>0</v>
      </c>
      <c r="AG1431" s="602">
        <v>0</v>
      </c>
      <c r="AH1431" s="590"/>
      <c r="AI1431" s="590">
        <v>2.35</v>
      </c>
      <c r="AJ1431" s="590"/>
      <c r="AK1431" s="590"/>
      <c r="AL1431" s="603">
        <v>0</v>
      </c>
      <c r="AM1431" s="603">
        <v>1</v>
      </c>
      <c r="AN1431" s="603">
        <v>0</v>
      </c>
      <c r="AO1431" s="603">
        <v>0</v>
      </c>
    </row>
    <row r="1432" spans="1:41" hidden="1">
      <c r="A1432" s="599" t="s">
        <v>287</v>
      </c>
      <c r="B1432" s="3" t="s">
        <v>287</v>
      </c>
      <c r="C1432" s="3">
        <v>0</v>
      </c>
      <c r="D1432" s="600" t="s">
        <v>19180</v>
      </c>
      <c r="E1432" s="3" t="s">
        <v>287</v>
      </c>
      <c r="F1432" s="601">
        <v>45250</v>
      </c>
      <c r="G1432" s="3">
        <v>2023</v>
      </c>
      <c r="H1432" s="586" t="s">
        <v>17304</v>
      </c>
      <c r="I1432" s="3" t="s">
        <v>17305</v>
      </c>
      <c r="J1432" s="3" t="s">
        <v>17306</v>
      </c>
      <c r="K1432" s="54">
        <v>44058.288879999993</v>
      </c>
      <c r="L1432" s="586">
        <v>2.27555</v>
      </c>
      <c r="M1432" s="587">
        <v>19361.599999999999</v>
      </c>
      <c r="N1432" s="3" t="s">
        <v>20155</v>
      </c>
      <c r="O1432" s="3" t="s">
        <v>17954</v>
      </c>
      <c r="P1432" s="875">
        <v>45259</v>
      </c>
      <c r="Q1432" s="466">
        <v>0</v>
      </c>
      <c r="R1432" s="466">
        <v>9741.2800000000007</v>
      </c>
      <c r="S1432" s="466">
        <v>0</v>
      </c>
      <c r="T1432" s="466">
        <v>1900</v>
      </c>
      <c r="U1432" s="466">
        <v>11641.28</v>
      </c>
      <c r="V1432" s="51"/>
      <c r="W1432" s="602">
        <v>0</v>
      </c>
      <c r="X1432" s="602">
        <v>32620.691270722669</v>
      </c>
      <c r="Y1432" s="602">
        <v>0</v>
      </c>
      <c r="Z1432" s="602">
        <v>11437.597609277331</v>
      </c>
      <c r="AA1432" s="495"/>
      <c r="AB1432" s="495">
        <v>3.3487068712451205</v>
      </c>
      <c r="AC1432" s="495"/>
      <c r="AD1432" s="495">
        <v>6.0197882154091218</v>
      </c>
      <c r="AE1432" s="602">
        <v>2363.5079999999998</v>
      </c>
      <c r="AF1432" s="602">
        <v>14849.84</v>
      </c>
      <c r="AG1432" s="602">
        <v>1.275619175898183</v>
      </c>
      <c r="AH1432" s="590"/>
      <c r="AI1432" s="590">
        <v>2.0730876953469375</v>
      </c>
      <c r="AJ1432" s="590"/>
      <c r="AK1432" s="590">
        <v>4.7441690395109388</v>
      </c>
      <c r="AL1432" s="603">
        <v>0</v>
      </c>
      <c r="AM1432" s="603">
        <v>1</v>
      </c>
      <c r="AN1432" s="603">
        <v>0</v>
      </c>
      <c r="AO1432" s="603">
        <v>1</v>
      </c>
    </row>
    <row r="1433" spans="1:41" hidden="1">
      <c r="A1433" s="599" t="s">
        <v>288</v>
      </c>
      <c r="B1433" s="3" t="s">
        <v>288</v>
      </c>
      <c r="C1433" s="3">
        <v>0</v>
      </c>
      <c r="D1433" s="600" t="s">
        <v>19181</v>
      </c>
      <c r="E1433" s="3" t="s">
        <v>288</v>
      </c>
      <c r="F1433" s="601">
        <v>45251</v>
      </c>
      <c r="G1433" s="3">
        <v>2023</v>
      </c>
      <c r="H1433" s="586" t="s">
        <v>16444</v>
      </c>
      <c r="I1433" s="3" t="s">
        <v>16445</v>
      </c>
      <c r="J1433" s="3" t="s">
        <v>3</v>
      </c>
      <c r="K1433" s="54">
        <v>39425</v>
      </c>
      <c r="L1433" s="586">
        <v>1</v>
      </c>
      <c r="M1433" s="587">
        <v>39425</v>
      </c>
      <c r="N1433" s="3" t="s">
        <v>20155</v>
      </c>
      <c r="O1433" s="3" t="s">
        <v>17693</v>
      </c>
      <c r="P1433" s="875">
        <v>45275</v>
      </c>
      <c r="Q1433" s="466">
        <v>20750</v>
      </c>
      <c r="R1433" s="466">
        <v>0</v>
      </c>
      <c r="S1433" s="466">
        <v>0</v>
      </c>
      <c r="T1433" s="466">
        <v>0</v>
      </c>
      <c r="U1433" s="466">
        <v>20750</v>
      </c>
      <c r="V1433" s="51"/>
      <c r="W1433" s="602">
        <v>39425</v>
      </c>
      <c r="X1433" s="602">
        <v>0</v>
      </c>
      <c r="Y1433" s="602">
        <v>0</v>
      </c>
      <c r="Z1433" s="602">
        <v>0</v>
      </c>
      <c r="AA1433" s="495">
        <v>1.9</v>
      </c>
      <c r="AB1433" s="495"/>
      <c r="AC1433" s="495"/>
      <c r="AD1433" s="495"/>
      <c r="AE1433" s="602">
        <v>0</v>
      </c>
      <c r="AF1433" s="602">
        <v>0</v>
      </c>
      <c r="AG1433" s="602">
        <v>0</v>
      </c>
      <c r="AH1433" s="590">
        <v>1.9</v>
      </c>
      <c r="AI1433" s="590"/>
      <c r="AJ1433" s="590"/>
      <c r="AK1433" s="590"/>
      <c r="AL1433" s="603" t="s">
        <v>20345</v>
      </c>
      <c r="AM1433" s="603">
        <v>0</v>
      </c>
      <c r="AN1433" s="603">
        <v>0</v>
      </c>
      <c r="AO1433" s="603">
        <v>0</v>
      </c>
    </row>
    <row r="1434" spans="1:41" hidden="1">
      <c r="A1434" s="599" t="s">
        <v>289</v>
      </c>
      <c r="B1434" s="3" t="s">
        <v>289</v>
      </c>
      <c r="C1434" s="3">
        <v>0</v>
      </c>
      <c r="D1434" s="600" t="s">
        <v>19182</v>
      </c>
      <c r="E1434" s="3" t="s">
        <v>289</v>
      </c>
      <c r="F1434" s="601">
        <v>45251</v>
      </c>
      <c r="G1434" s="3">
        <v>2023</v>
      </c>
      <c r="H1434" s="586" t="s">
        <v>16384</v>
      </c>
      <c r="I1434" s="3" t="s">
        <v>16385</v>
      </c>
      <c r="J1434" s="3" t="s">
        <v>3</v>
      </c>
      <c r="K1434" s="54">
        <v>51133.2</v>
      </c>
      <c r="L1434" s="586">
        <v>1</v>
      </c>
      <c r="M1434" s="587">
        <v>51133.2</v>
      </c>
      <c r="N1434" s="3" t="s">
        <v>20155</v>
      </c>
      <c r="O1434" s="3" t="s">
        <v>17777</v>
      </c>
      <c r="P1434" s="875">
        <v>45254</v>
      </c>
      <c r="Q1434" s="466">
        <v>9600</v>
      </c>
      <c r="R1434" s="466">
        <v>18240</v>
      </c>
      <c r="S1434" s="466">
        <v>0</v>
      </c>
      <c r="T1434" s="466">
        <v>0</v>
      </c>
      <c r="U1434" s="466">
        <v>27840</v>
      </c>
      <c r="V1434" s="51"/>
      <c r="W1434" s="602">
        <v>18720</v>
      </c>
      <c r="X1434" s="602">
        <v>32413.200000000001</v>
      </c>
      <c r="Y1434" s="602">
        <v>0</v>
      </c>
      <c r="Z1434" s="602">
        <v>0</v>
      </c>
      <c r="AA1434" s="495">
        <v>1.95</v>
      </c>
      <c r="AB1434" s="495">
        <v>1.7770394736842106</v>
      </c>
      <c r="AC1434" s="495"/>
      <c r="AD1434" s="495"/>
      <c r="AE1434" s="602">
        <v>0</v>
      </c>
      <c r="AF1434" s="602">
        <v>0</v>
      </c>
      <c r="AG1434" s="602">
        <v>0</v>
      </c>
      <c r="AH1434" s="590">
        <v>1.95</v>
      </c>
      <c r="AI1434" s="590">
        <v>1.7770394736842106</v>
      </c>
      <c r="AJ1434" s="590"/>
      <c r="AK1434" s="590"/>
      <c r="AL1434" s="603" t="s">
        <v>20345</v>
      </c>
      <c r="AM1434" s="603" t="s">
        <v>20348</v>
      </c>
      <c r="AN1434" s="603">
        <v>0</v>
      </c>
      <c r="AO1434" s="603">
        <v>0</v>
      </c>
    </row>
    <row r="1435" spans="1:41" hidden="1">
      <c r="A1435" s="599" t="s">
        <v>290</v>
      </c>
      <c r="B1435" s="3" t="s">
        <v>290</v>
      </c>
      <c r="C1435" s="3">
        <v>0</v>
      </c>
      <c r="D1435" s="600" t="s">
        <v>19183</v>
      </c>
      <c r="E1435" s="3" t="s">
        <v>290</v>
      </c>
      <c r="F1435" s="601">
        <v>45251</v>
      </c>
      <c r="G1435" s="3">
        <v>2023</v>
      </c>
      <c r="H1435" s="586" t="s">
        <v>16384</v>
      </c>
      <c r="I1435" s="3" t="s">
        <v>16385</v>
      </c>
      <c r="J1435" s="3" t="s">
        <v>3</v>
      </c>
      <c r="K1435" s="54">
        <v>434343.2</v>
      </c>
      <c r="L1435" s="586">
        <v>1</v>
      </c>
      <c r="M1435" s="587">
        <v>434343.2</v>
      </c>
      <c r="N1435" s="3" t="s">
        <v>20155</v>
      </c>
      <c r="O1435" s="3" t="s">
        <v>17949</v>
      </c>
      <c r="P1435" s="875">
        <v>45259</v>
      </c>
      <c r="Q1435" s="466">
        <v>153240</v>
      </c>
      <c r="R1435" s="466">
        <v>22200</v>
      </c>
      <c r="S1435" s="466">
        <v>56000</v>
      </c>
      <c r="T1435" s="466">
        <v>0</v>
      </c>
      <c r="U1435" s="466">
        <v>231440</v>
      </c>
      <c r="V1435" s="51"/>
      <c r="W1435" s="602">
        <v>305575.2</v>
      </c>
      <c r="X1435" s="602">
        <v>40848</v>
      </c>
      <c r="Y1435" s="602">
        <v>87920</v>
      </c>
      <c r="Z1435" s="602">
        <v>0</v>
      </c>
      <c r="AA1435" s="495">
        <v>1.9940955364134691</v>
      </c>
      <c r="AB1435" s="495">
        <v>1.84</v>
      </c>
      <c r="AC1435" s="495">
        <v>1.57</v>
      </c>
      <c r="AD1435" s="495"/>
      <c r="AE1435" s="602">
        <v>0</v>
      </c>
      <c r="AF1435" s="602">
        <v>0</v>
      </c>
      <c r="AG1435" s="602">
        <v>0</v>
      </c>
      <c r="AH1435" s="590">
        <v>1.9940955364134691</v>
      </c>
      <c r="AI1435" s="590">
        <v>1.84</v>
      </c>
      <c r="AJ1435" s="590">
        <v>1.57</v>
      </c>
      <c r="AK1435" s="590"/>
      <c r="AL1435" s="603" t="s">
        <v>20345</v>
      </c>
      <c r="AM1435" s="603" t="s">
        <v>20346</v>
      </c>
      <c r="AN1435" s="603" t="s">
        <v>20347</v>
      </c>
      <c r="AO1435" s="603">
        <v>0</v>
      </c>
    </row>
    <row r="1436" spans="1:41" hidden="1">
      <c r="A1436" s="599" t="s">
        <v>291</v>
      </c>
      <c r="B1436" s="3" t="s">
        <v>291</v>
      </c>
      <c r="C1436" s="3">
        <v>0</v>
      </c>
      <c r="D1436" s="600" t="s">
        <v>19184</v>
      </c>
      <c r="E1436" s="3" t="s">
        <v>291</v>
      </c>
      <c r="F1436" s="601">
        <v>45251</v>
      </c>
      <c r="G1436" s="3">
        <v>2023</v>
      </c>
      <c r="H1436" s="586" t="s">
        <v>17362</v>
      </c>
      <c r="I1436" s="3" t="s">
        <v>17363</v>
      </c>
      <c r="J1436" s="3" t="s">
        <v>16482</v>
      </c>
      <c r="K1436" s="54">
        <v>50371.301749999999</v>
      </c>
      <c r="L1436" s="586">
        <v>3.3982999999999999</v>
      </c>
      <c r="M1436" s="587">
        <v>14822.5</v>
      </c>
      <c r="N1436" s="3" t="s">
        <v>20155</v>
      </c>
      <c r="O1436" s="3" t="s">
        <v>17693</v>
      </c>
      <c r="P1436" s="875">
        <v>45258</v>
      </c>
      <c r="Q1436" s="466">
        <v>22000</v>
      </c>
      <c r="R1436" s="466">
        <v>0</v>
      </c>
      <c r="S1436" s="466">
        <v>0</v>
      </c>
      <c r="T1436" s="466">
        <v>0</v>
      </c>
      <c r="U1436" s="466">
        <v>22000</v>
      </c>
      <c r="V1436" s="51"/>
      <c r="W1436" s="602">
        <v>50371.301750000006</v>
      </c>
      <c r="X1436" s="602">
        <v>0</v>
      </c>
      <c r="Y1436" s="602">
        <v>0</v>
      </c>
      <c r="Z1436" s="602">
        <v>0</v>
      </c>
      <c r="AA1436" s="495">
        <v>2.2896046250000004</v>
      </c>
      <c r="AB1436" s="495"/>
      <c r="AC1436" s="495"/>
      <c r="AD1436" s="495"/>
      <c r="AE1436" s="602">
        <v>900.6</v>
      </c>
      <c r="AF1436" s="602">
        <v>4331.8</v>
      </c>
      <c r="AG1436" s="602">
        <v>0.19690000000000002</v>
      </c>
      <c r="AH1436" s="590">
        <v>2.0927046250000005</v>
      </c>
      <c r="AI1436" s="590"/>
      <c r="AJ1436" s="590"/>
      <c r="AK1436" s="590"/>
      <c r="AL1436" s="603" t="s">
        <v>20345</v>
      </c>
      <c r="AM1436" s="603">
        <v>0</v>
      </c>
      <c r="AN1436" s="603">
        <v>0</v>
      </c>
      <c r="AO1436" s="603">
        <v>0</v>
      </c>
    </row>
    <row r="1437" spans="1:41" hidden="1">
      <c r="A1437" s="599" t="s">
        <v>292</v>
      </c>
      <c r="B1437" s="3" t="s">
        <v>292</v>
      </c>
      <c r="C1437" s="3">
        <v>0</v>
      </c>
      <c r="D1437" s="600" t="s">
        <v>19185</v>
      </c>
      <c r="E1437" s="3" t="s">
        <v>292</v>
      </c>
      <c r="F1437" s="601">
        <v>45251</v>
      </c>
      <c r="G1437" s="3">
        <v>2023</v>
      </c>
      <c r="H1437" s="586" t="s">
        <v>17321</v>
      </c>
      <c r="I1437" s="3" t="s">
        <v>17322</v>
      </c>
      <c r="J1437" s="3" t="s">
        <v>16401</v>
      </c>
      <c r="K1437" s="54">
        <v>59329.574999999997</v>
      </c>
      <c r="L1437" s="586">
        <v>3.1021999999999998</v>
      </c>
      <c r="M1437" s="587">
        <v>19125</v>
      </c>
      <c r="N1437" s="3" t="s">
        <v>20155</v>
      </c>
      <c r="O1437" s="3" t="s">
        <v>17939</v>
      </c>
      <c r="P1437" s="875">
        <v>45252</v>
      </c>
      <c r="Q1437" s="466">
        <v>0</v>
      </c>
      <c r="R1437" s="466">
        <v>0</v>
      </c>
      <c r="S1437" s="466">
        <v>0</v>
      </c>
      <c r="T1437" s="466">
        <v>11250</v>
      </c>
      <c r="U1437" s="466">
        <v>11250</v>
      </c>
      <c r="V1437" s="51"/>
      <c r="W1437" s="602">
        <v>0</v>
      </c>
      <c r="X1437" s="602">
        <v>0</v>
      </c>
      <c r="Y1437" s="602">
        <v>0</v>
      </c>
      <c r="Z1437" s="602">
        <v>59329.574999999997</v>
      </c>
      <c r="AA1437" s="495"/>
      <c r="AB1437" s="495"/>
      <c r="AC1437" s="495"/>
      <c r="AD1437" s="495">
        <v>5.2737400000000001</v>
      </c>
      <c r="AE1437" s="602">
        <v>0</v>
      </c>
      <c r="AF1437" s="602">
        <v>0</v>
      </c>
      <c r="AG1437" s="602">
        <v>0</v>
      </c>
      <c r="AH1437" s="590"/>
      <c r="AI1437" s="590"/>
      <c r="AJ1437" s="590"/>
      <c r="AK1437" s="590">
        <v>5.2737400000000001</v>
      </c>
      <c r="AL1437" s="603">
        <v>0</v>
      </c>
      <c r="AM1437" s="603">
        <v>0</v>
      </c>
      <c r="AN1437" s="603">
        <v>0</v>
      </c>
      <c r="AO1437" s="603">
        <v>1</v>
      </c>
    </row>
    <row r="1438" spans="1:41" hidden="1">
      <c r="A1438" s="599" t="s">
        <v>293</v>
      </c>
      <c r="B1438" s="3" t="s">
        <v>293</v>
      </c>
      <c r="C1438" s="3">
        <v>0</v>
      </c>
      <c r="D1438" s="600" t="s">
        <v>19186</v>
      </c>
      <c r="E1438" s="3" t="s">
        <v>293</v>
      </c>
      <c r="F1438" s="601">
        <v>45251</v>
      </c>
      <c r="G1438" s="3">
        <v>2023</v>
      </c>
      <c r="H1438" s="586" t="s">
        <v>16838</v>
      </c>
      <c r="I1438" s="3" t="s">
        <v>16839</v>
      </c>
      <c r="J1438" s="3" t="s">
        <v>3</v>
      </c>
      <c r="K1438" s="54">
        <v>86695.44</v>
      </c>
      <c r="L1438" s="586">
        <v>1</v>
      </c>
      <c r="M1438" s="587">
        <v>86695.44</v>
      </c>
      <c r="N1438" s="3" t="s">
        <v>20155</v>
      </c>
      <c r="O1438" s="3" t="s">
        <v>17949</v>
      </c>
      <c r="P1438" s="875">
        <v>45257</v>
      </c>
      <c r="Q1438" s="466">
        <v>22008</v>
      </c>
      <c r="R1438" s="466">
        <v>24468</v>
      </c>
      <c r="S1438" s="466">
        <v>1200</v>
      </c>
      <c r="T1438" s="466">
        <v>0</v>
      </c>
      <c r="U1438" s="466">
        <v>47676</v>
      </c>
      <c r="V1438" s="51"/>
      <c r="W1438" s="602">
        <v>42475.44</v>
      </c>
      <c r="X1438" s="602">
        <v>42180</v>
      </c>
      <c r="Y1438" s="602">
        <v>2040</v>
      </c>
      <c r="Z1438" s="602">
        <v>0</v>
      </c>
      <c r="AA1438" s="495">
        <v>1.9300000000000002</v>
      </c>
      <c r="AB1438" s="495">
        <v>1.7238842569887201</v>
      </c>
      <c r="AC1438" s="495">
        <v>1.7</v>
      </c>
      <c r="AD1438" s="495"/>
      <c r="AE1438" s="602">
        <v>0</v>
      </c>
      <c r="AF1438" s="602">
        <v>0</v>
      </c>
      <c r="AG1438" s="602">
        <v>0</v>
      </c>
      <c r="AH1438" s="590">
        <v>1.9300000000000002</v>
      </c>
      <c r="AI1438" s="590">
        <v>1.7238842569887201</v>
      </c>
      <c r="AJ1438" s="590">
        <v>1.7</v>
      </c>
      <c r="AK1438" s="590"/>
      <c r="AL1438" s="603" t="s">
        <v>20345</v>
      </c>
      <c r="AM1438" s="603" t="s">
        <v>20346</v>
      </c>
      <c r="AN1438" s="603" t="s">
        <v>20347</v>
      </c>
      <c r="AO1438" s="603">
        <v>0</v>
      </c>
    </row>
    <row r="1439" spans="1:41" hidden="1">
      <c r="A1439" s="599" t="s">
        <v>294</v>
      </c>
      <c r="B1439" s="3" t="s">
        <v>294</v>
      </c>
      <c r="C1439" s="3">
        <v>0</v>
      </c>
      <c r="D1439" s="600" t="s">
        <v>19187</v>
      </c>
      <c r="E1439" s="3" t="s">
        <v>294</v>
      </c>
      <c r="F1439" s="601">
        <v>45251</v>
      </c>
      <c r="G1439" s="3">
        <v>2023</v>
      </c>
      <c r="H1439" s="586" t="s">
        <v>17017</v>
      </c>
      <c r="I1439" s="3" t="s">
        <v>17018</v>
      </c>
      <c r="J1439" s="3" t="s">
        <v>3</v>
      </c>
      <c r="K1439" s="54">
        <v>126075</v>
      </c>
      <c r="L1439" s="586">
        <v>1</v>
      </c>
      <c r="M1439" s="587">
        <v>126075</v>
      </c>
      <c r="N1439" s="3" t="s">
        <v>20155</v>
      </c>
      <c r="O1439" s="3" t="s">
        <v>20307</v>
      </c>
      <c r="P1439" s="875">
        <v>45259</v>
      </c>
      <c r="Q1439" s="466">
        <v>0</v>
      </c>
      <c r="R1439" s="466">
        <v>61500</v>
      </c>
      <c r="S1439" s="466">
        <v>0</v>
      </c>
      <c r="T1439" s="466">
        <v>0</v>
      </c>
      <c r="U1439" s="466">
        <v>61500</v>
      </c>
      <c r="V1439" s="51"/>
      <c r="W1439" s="602">
        <v>0</v>
      </c>
      <c r="X1439" s="602">
        <v>126075</v>
      </c>
      <c r="Y1439" s="602">
        <v>0</v>
      </c>
      <c r="Z1439" s="602">
        <v>0</v>
      </c>
      <c r="AA1439" s="495"/>
      <c r="AB1439" s="495">
        <v>2.0499999999999998</v>
      </c>
      <c r="AC1439" s="495"/>
      <c r="AD1439" s="495"/>
      <c r="AE1439" s="602">
        <v>0</v>
      </c>
      <c r="AF1439" s="602">
        <v>0</v>
      </c>
      <c r="AG1439" s="602">
        <v>0</v>
      </c>
      <c r="AH1439" s="590"/>
      <c r="AI1439" s="590">
        <v>2.0499999999999998</v>
      </c>
      <c r="AJ1439" s="590"/>
      <c r="AK1439" s="590"/>
      <c r="AL1439" s="603">
        <v>0</v>
      </c>
      <c r="AM1439" s="603">
        <v>1</v>
      </c>
      <c r="AN1439" s="603">
        <v>0</v>
      </c>
      <c r="AO1439" s="603">
        <v>0</v>
      </c>
    </row>
    <row r="1440" spans="1:41" hidden="1">
      <c r="A1440" s="599" t="s">
        <v>295</v>
      </c>
      <c r="B1440" s="3" t="s">
        <v>295</v>
      </c>
      <c r="C1440" s="3">
        <v>0</v>
      </c>
      <c r="D1440" s="600" t="s">
        <v>19188</v>
      </c>
      <c r="E1440" s="3" t="s">
        <v>295</v>
      </c>
      <c r="F1440" s="601">
        <v>45251</v>
      </c>
      <c r="G1440" s="3">
        <v>2023</v>
      </c>
      <c r="H1440" s="586" t="s">
        <v>17017</v>
      </c>
      <c r="I1440" s="3" t="s">
        <v>17018</v>
      </c>
      <c r="J1440" s="3" t="s">
        <v>3</v>
      </c>
      <c r="K1440" s="54">
        <v>170150</v>
      </c>
      <c r="L1440" s="586">
        <v>1</v>
      </c>
      <c r="M1440" s="587">
        <v>170150</v>
      </c>
      <c r="N1440" s="3" t="s">
        <v>20155</v>
      </c>
      <c r="O1440" s="3" t="s">
        <v>20307</v>
      </c>
      <c r="P1440" s="875">
        <v>45260</v>
      </c>
      <c r="Q1440" s="466">
        <v>83000</v>
      </c>
      <c r="R1440" s="466">
        <v>0</v>
      </c>
      <c r="S1440" s="466">
        <v>0</v>
      </c>
      <c r="T1440" s="466">
        <v>0</v>
      </c>
      <c r="U1440" s="466">
        <v>83000</v>
      </c>
      <c r="V1440" s="51"/>
      <c r="W1440" s="602">
        <v>170150</v>
      </c>
      <c r="X1440" s="602">
        <v>0</v>
      </c>
      <c r="Y1440" s="602">
        <v>0</v>
      </c>
      <c r="Z1440" s="602">
        <v>0</v>
      </c>
      <c r="AA1440" s="495">
        <v>2.0499999999999998</v>
      </c>
      <c r="AB1440" s="495"/>
      <c r="AC1440" s="495"/>
      <c r="AD1440" s="495"/>
      <c r="AE1440" s="602">
        <v>0</v>
      </c>
      <c r="AF1440" s="602">
        <v>0</v>
      </c>
      <c r="AG1440" s="602">
        <v>0</v>
      </c>
      <c r="AH1440" s="590">
        <v>2.0499999999999998</v>
      </c>
      <c r="AI1440" s="590"/>
      <c r="AJ1440" s="590"/>
      <c r="AK1440" s="590"/>
      <c r="AL1440" s="603">
        <v>1</v>
      </c>
      <c r="AM1440" s="603">
        <v>0</v>
      </c>
      <c r="AN1440" s="603">
        <v>0</v>
      </c>
      <c r="AO1440" s="603">
        <v>0</v>
      </c>
    </row>
    <row r="1441" spans="1:41" hidden="1">
      <c r="A1441" s="599" t="s">
        <v>296</v>
      </c>
      <c r="B1441" s="3" t="s">
        <v>296</v>
      </c>
      <c r="C1441" s="3">
        <v>0</v>
      </c>
      <c r="D1441" s="600" t="s">
        <v>19189</v>
      </c>
      <c r="E1441" s="3" t="s">
        <v>296</v>
      </c>
      <c r="F1441" s="601">
        <v>45257</v>
      </c>
      <c r="G1441" s="3">
        <v>2023</v>
      </c>
      <c r="H1441" s="586" t="s">
        <v>16880</v>
      </c>
      <c r="I1441" s="3" t="s">
        <v>16881</v>
      </c>
      <c r="J1441" s="3" t="s">
        <v>16401</v>
      </c>
      <c r="K1441" s="54">
        <v>95943.209151999996</v>
      </c>
      <c r="L1441" s="586">
        <v>3.1282999999999999</v>
      </c>
      <c r="M1441" s="587">
        <v>30669.439999999999</v>
      </c>
      <c r="N1441" s="3" t="s">
        <v>20155</v>
      </c>
      <c r="O1441" s="3" t="s">
        <v>20156</v>
      </c>
      <c r="P1441" s="875">
        <v>45273</v>
      </c>
      <c r="Q1441" s="466">
        <v>990</v>
      </c>
      <c r="R1441" s="466">
        <v>20160</v>
      </c>
      <c r="S1441" s="466">
        <v>0</v>
      </c>
      <c r="T1441" s="466">
        <v>0</v>
      </c>
      <c r="U1441" s="466">
        <v>21150</v>
      </c>
      <c r="V1441" s="51"/>
      <c r="W1441" s="602">
        <v>3521.7775740000002</v>
      </c>
      <c r="X1441" s="602">
        <v>92421.431578000003</v>
      </c>
      <c r="Y1441" s="602">
        <v>0</v>
      </c>
      <c r="Z1441" s="602">
        <v>0</v>
      </c>
      <c r="AA1441" s="495">
        <v>3.5573510848484848</v>
      </c>
      <c r="AB1441" s="495">
        <v>4.5843964076388888</v>
      </c>
      <c r="AC1441" s="495"/>
      <c r="AD1441" s="495"/>
      <c r="AE1441" s="602">
        <v>0</v>
      </c>
      <c r="AF1441" s="602">
        <v>2296.69</v>
      </c>
      <c r="AG1441" s="602">
        <v>0.10859054373522459</v>
      </c>
      <c r="AH1441" s="590">
        <v>3.44876054111326</v>
      </c>
      <c r="AI1441" s="590">
        <v>4.4758058639036644</v>
      </c>
      <c r="AJ1441" s="590"/>
      <c r="AK1441" s="590"/>
      <c r="AL1441" s="603">
        <v>1</v>
      </c>
      <c r="AM1441" s="603">
        <v>1</v>
      </c>
      <c r="AN1441" s="603">
        <v>0</v>
      </c>
      <c r="AO1441" s="603">
        <v>0</v>
      </c>
    </row>
    <row r="1442" spans="1:41" hidden="1">
      <c r="A1442" s="599" t="s">
        <v>297</v>
      </c>
      <c r="B1442" s="3" t="s">
        <v>297</v>
      </c>
      <c r="C1442" s="3">
        <v>0</v>
      </c>
      <c r="D1442" s="600" t="s">
        <v>19190</v>
      </c>
      <c r="E1442" s="3" t="s">
        <v>297</v>
      </c>
      <c r="F1442" s="601">
        <v>45257</v>
      </c>
      <c r="G1442" s="3">
        <v>2023</v>
      </c>
      <c r="H1442" s="586" t="s">
        <v>17342</v>
      </c>
      <c r="I1442" s="3" t="s">
        <v>17343</v>
      </c>
      <c r="J1442" s="3" t="s">
        <v>16482</v>
      </c>
      <c r="K1442" s="54">
        <v>89108.421501000004</v>
      </c>
      <c r="L1442" s="586">
        <v>3.3982999999999999</v>
      </c>
      <c r="M1442" s="587">
        <v>26221.47</v>
      </c>
      <c r="N1442" s="3" t="s">
        <v>20155</v>
      </c>
      <c r="O1442" s="3" t="s">
        <v>16394</v>
      </c>
      <c r="P1442" s="875">
        <v>45259</v>
      </c>
      <c r="Q1442" s="466">
        <v>0</v>
      </c>
      <c r="R1442" s="466">
        <v>17880</v>
      </c>
      <c r="S1442" s="466">
        <v>7200</v>
      </c>
      <c r="T1442" s="466">
        <v>0</v>
      </c>
      <c r="U1442" s="466">
        <v>25080</v>
      </c>
      <c r="V1442" s="51"/>
      <c r="W1442" s="602">
        <v>0</v>
      </c>
      <c r="X1442" s="602">
        <v>52436.352532011464</v>
      </c>
      <c r="Y1442" s="602">
        <v>25338.609333588513</v>
      </c>
      <c r="Z1442" s="602">
        <v>11333.466431999997</v>
      </c>
      <c r="AA1442" s="495"/>
      <c r="AB1442" s="495">
        <v>2.9326819089491871</v>
      </c>
      <c r="AC1442" s="495">
        <v>3.5192512963317379</v>
      </c>
      <c r="AD1442" s="495"/>
      <c r="AE1442" s="602">
        <v>1457.1719999999998</v>
      </c>
      <c r="AF1442" s="602">
        <v>29418.799999999999</v>
      </c>
      <c r="AG1442" s="602">
        <v>1.1729984051036682</v>
      </c>
      <c r="AH1442" s="590"/>
      <c r="AI1442" s="590">
        <v>1.759683503845519</v>
      </c>
      <c r="AJ1442" s="590">
        <v>2.3462528912280698</v>
      </c>
      <c r="AK1442" s="590"/>
      <c r="AL1442" s="603">
        <v>0</v>
      </c>
      <c r="AM1442" s="603">
        <v>1</v>
      </c>
      <c r="AN1442" s="603">
        <v>1</v>
      </c>
      <c r="AO1442" s="603">
        <v>0</v>
      </c>
    </row>
    <row r="1443" spans="1:41" hidden="1">
      <c r="A1443" s="599" t="s">
        <v>298</v>
      </c>
      <c r="B1443" s="3" t="s">
        <v>298</v>
      </c>
      <c r="C1443" s="3">
        <v>0</v>
      </c>
      <c r="D1443" s="600" t="s">
        <v>19191</v>
      </c>
      <c r="E1443" s="3" t="s">
        <v>298</v>
      </c>
      <c r="F1443" s="601">
        <v>45258</v>
      </c>
      <c r="G1443" s="3">
        <v>2023</v>
      </c>
      <c r="H1443" s="586" t="s">
        <v>16838</v>
      </c>
      <c r="I1443" s="3" t="s">
        <v>16839</v>
      </c>
      <c r="J1443" s="3" t="s">
        <v>3</v>
      </c>
      <c r="K1443" s="54">
        <v>820729.8</v>
      </c>
      <c r="L1443" s="586">
        <v>1</v>
      </c>
      <c r="M1443" s="587">
        <v>820729.8</v>
      </c>
      <c r="N1443" s="3" t="s">
        <v>20155</v>
      </c>
      <c r="O1443" s="3" t="s">
        <v>17771</v>
      </c>
      <c r="P1443" s="875">
        <v>45268</v>
      </c>
      <c r="Q1443" s="466">
        <v>0</v>
      </c>
      <c r="R1443" s="466">
        <v>54060</v>
      </c>
      <c r="S1443" s="466">
        <v>400000</v>
      </c>
      <c r="T1443" s="466">
        <v>3000</v>
      </c>
      <c r="U1443" s="466">
        <v>457060</v>
      </c>
      <c r="V1443" s="51"/>
      <c r="W1443" s="602">
        <v>0</v>
      </c>
      <c r="X1443" s="602">
        <v>76969.8</v>
      </c>
      <c r="Y1443" s="602">
        <v>694960</v>
      </c>
      <c r="Z1443" s="602">
        <v>48800</v>
      </c>
      <c r="AA1443" s="495"/>
      <c r="AB1443" s="495">
        <v>1.4237846836847947</v>
      </c>
      <c r="AC1443" s="495">
        <v>1.7374000000000001</v>
      </c>
      <c r="AD1443" s="495">
        <v>16.266666666666666</v>
      </c>
      <c r="AE1443" s="602">
        <v>0</v>
      </c>
      <c r="AF1443" s="602">
        <v>0</v>
      </c>
      <c r="AG1443" s="602">
        <v>0</v>
      </c>
      <c r="AH1443" s="590"/>
      <c r="AI1443" s="590">
        <v>1.4237846836847947</v>
      </c>
      <c r="AJ1443" s="590">
        <v>1.7374000000000001</v>
      </c>
      <c r="AK1443" s="590">
        <v>16.266666666666666</v>
      </c>
      <c r="AL1443" s="603">
        <v>0</v>
      </c>
      <c r="AM1443" s="603" t="s">
        <v>20348</v>
      </c>
      <c r="AN1443" s="603" t="s">
        <v>20347</v>
      </c>
      <c r="AO1443" s="603">
        <v>1</v>
      </c>
    </row>
    <row r="1444" spans="1:41" hidden="1">
      <c r="A1444" s="599" t="s">
        <v>299</v>
      </c>
      <c r="B1444" s="3" t="s">
        <v>299</v>
      </c>
      <c r="C1444" s="3">
        <v>0</v>
      </c>
      <c r="D1444" s="600" t="s">
        <v>19192</v>
      </c>
      <c r="E1444" s="3" t="s">
        <v>299</v>
      </c>
      <c r="F1444" s="601">
        <v>45264</v>
      </c>
      <c r="G1444" s="3">
        <v>2023</v>
      </c>
      <c r="H1444" s="586" t="s">
        <v>17248</v>
      </c>
      <c r="I1444" s="3" t="s">
        <v>17249</v>
      </c>
      <c r="J1444" s="3" t="s">
        <v>16401</v>
      </c>
      <c r="K1444" s="54">
        <v>79333.071765999994</v>
      </c>
      <c r="L1444" s="586">
        <v>3.1288999999999998</v>
      </c>
      <c r="M1444" s="587">
        <v>25354.94</v>
      </c>
      <c r="N1444" s="3" t="s">
        <v>20155</v>
      </c>
      <c r="O1444" s="3" t="s">
        <v>17954</v>
      </c>
      <c r="P1444" s="875">
        <v>45272</v>
      </c>
      <c r="Q1444" s="466">
        <v>0</v>
      </c>
      <c r="R1444" s="466">
        <v>23971.200000000001</v>
      </c>
      <c r="S1444" s="466">
        <v>0</v>
      </c>
      <c r="T1444" s="466">
        <v>0</v>
      </c>
      <c r="U1444" s="466">
        <v>23971.200000000001</v>
      </c>
      <c r="V1444" s="51"/>
      <c r="W1444" s="602">
        <v>0</v>
      </c>
      <c r="X1444" s="602">
        <v>79332.946609999999</v>
      </c>
      <c r="Y1444" s="602">
        <v>0</v>
      </c>
      <c r="Z1444" s="602">
        <v>0</v>
      </c>
      <c r="AA1444" s="495"/>
      <c r="AB1444" s="495">
        <v>3.3095108551094645</v>
      </c>
      <c r="AC1444" s="495"/>
      <c r="AD1444" s="495"/>
      <c r="AE1444" s="602">
        <v>2585.52</v>
      </c>
      <c r="AF1444" s="602">
        <v>16084.75</v>
      </c>
      <c r="AG1444" s="602">
        <v>0.67100312041116006</v>
      </c>
      <c r="AH1444" s="590"/>
      <c r="AI1444" s="590">
        <v>2.6385077346983046</v>
      </c>
      <c r="AJ1444" s="590"/>
      <c r="AK1444" s="590"/>
      <c r="AL1444" s="603">
        <v>0</v>
      </c>
      <c r="AM1444" s="603">
        <v>1</v>
      </c>
      <c r="AN1444" s="603">
        <v>0</v>
      </c>
      <c r="AO1444" s="603">
        <v>0</v>
      </c>
    </row>
    <row r="1445" spans="1:41" hidden="1">
      <c r="A1445" s="599" t="s">
        <v>300</v>
      </c>
      <c r="B1445" s="3" t="s">
        <v>300</v>
      </c>
      <c r="C1445" s="3">
        <v>0</v>
      </c>
      <c r="D1445" s="600" t="s">
        <v>19193</v>
      </c>
      <c r="E1445" s="3" t="s">
        <v>300</v>
      </c>
      <c r="F1445" s="601">
        <v>45264</v>
      </c>
      <c r="G1445" s="3">
        <v>2023</v>
      </c>
      <c r="H1445" s="586" t="s">
        <v>17329</v>
      </c>
      <c r="I1445" s="3" t="s">
        <v>17330</v>
      </c>
      <c r="J1445" s="3" t="s">
        <v>16401</v>
      </c>
      <c r="K1445" s="54">
        <v>61225.036355999997</v>
      </c>
      <c r="L1445" s="586">
        <v>3.12785</v>
      </c>
      <c r="M1445" s="587">
        <v>19574.16</v>
      </c>
      <c r="N1445" s="3" t="s">
        <v>20155</v>
      </c>
      <c r="O1445" s="3" t="s">
        <v>20335</v>
      </c>
      <c r="P1445" s="875">
        <v>45272</v>
      </c>
      <c r="Q1445" s="466">
        <v>0</v>
      </c>
      <c r="R1445" s="466">
        <v>15552</v>
      </c>
      <c r="S1445" s="466">
        <v>0</v>
      </c>
      <c r="T1445" s="466">
        <v>4000</v>
      </c>
      <c r="U1445" s="466">
        <v>19552</v>
      </c>
      <c r="V1445" s="51"/>
      <c r="W1445" s="602">
        <v>0</v>
      </c>
      <c r="X1445" s="602">
        <v>37727.613548307701</v>
      </c>
      <c r="Y1445" s="602">
        <v>0</v>
      </c>
      <c r="Z1445" s="602">
        <v>23497.422807692306</v>
      </c>
      <c r="AA1445" s="495"/>
      <c r="AB1445" s="495">
        <v>2.4259010769230773</v>
      </c>
      <c r="AC1445" s="495"/>
      <c r="AD1445" s="495">
        <v>5.8743557019230765</v>
      </c>
      <c r="AE1445" s="602">
        <v>1300.4550000000002</v>
      </c>
      <c r="AF1445" s="602">
        <v>5906.85</v>
      </c>
      <c r="AG1445" s="602">
        <v>0.30210975859247136</v>
      </c>
      <c r="AH1445" s="590"/>
      <c r="AI1445" s="590">
        <v>2.1237913183306061</v>
      </c>
      <c r="AJ1445" s="590"/>
      <c r="AK1445" s="590">
        <v>5.5722459433306053</v>
      </c>
      <c r="AL1445" s="603">
        <v>0</v>
      </c>
      <c r="AM1445" s="603" t="s">
        <v>20346</v>
      </c>
      <c r="AN1445" s="603">
        <v>0</v>
      </c>
      <c r="AO1445" s="603">
        <v>1</v>
      </c>
    </row>
    <row r="1446" spans="1:41" hidden="1">
      <c r="A1446" s="599" t="s">
        <v>301</v>
      </c>
      <c r="B1446" s="3" t="s">
        <v>301</v>
      </c>
      <c r="C1446" s="3">
        <v>0</v>
      </c>
      <c r="D1446" s="600" t="s">
        <v>19194</v>
      </c>
      <c r="E1446" s="3" t="s">
        <v>301</v>
      </c>
      <c r="F1446" s="601">
        <v>45267</v>
      </c>
      <c r="G1446" s="3">
        <v>2023</v>
      </c>
      <c r="H1446" s="586" t="s">
        <v>17278</v>
      </c>
      <c r="I1446" s="3" t="s">
        <v>17279</v>
      </c>
      <c r="J1446" s="3" t="s">
        <v>16482</v>
      </c>
      <c r="K1446" s="54">
        <v>335941.76559999998</v>
      </c>
      <c r="L1446" s="586">
        <v>3.3712</v>
      </c>
      <c r="M1446" s="587">
        <v>99650.5</v>
      </c>
      <c r="N1446" s="3" t="s">
        <v>20155</v>
      </c>
      <c r="O1446" s="3" t="s">
        <v>20173</v>
      </c>
      <c r="P1446" s="875">
        <v>45272</v>
      </c>
      <c r="Q1446" s="466">
        <v>0</v>
      </c>
      <c r="R1446" s="466">
        <v>110400</v>
      </c>
      <c r="S1446" s="466">
        <v>83520</v>
      </c>
      <c r="T1446" s="466">
        <v>0</v>
      </c>
      <c r="U1446" s="466">
        <v>193920</v>
      </c>
      <c r="V1446" s="51"/>
      <c r="W1446" s="602">
        <v>0</v>
      </c>
      <c r="X1446" s="602">
        <v>195160.44011519995</v>
      </c>
      <c r="Y1446" s="602">
        <v>140781.31200000001</v>
      </c>
      <c r="Z1446" s="602">
        <v>0</v>
      </c>
      <c r="AA1446" s="495"/>
      <c r="AB1446" s="495">
        <v>1.7677576097391299</v>
      </c>
      <c r="AC1446" s="495">
        <v>1.6856</v>
      </c>
      <c r="AD1446" s="495"/>
      <c r="AE1446" s="602">
        <v>9771.0524999999998</v>
      </c>
      <c r="AF1446" s="602">
        <v>45614.487999999998</v>
      </c>
      <c r="AG1446" s="602">
        <v>0.23522322607260726</v>
      </c>
      <c r="AH1446" s="590"/>
      <c r="AI1446" s="590">
        <v>1.5325343836665226</v>
      </c>
      <c r="AJ1446" s="590">
        <v>1.4503767739273927</v>
      </c>
      <c r="AK1446" s="590"/>
      <c r="AL1446" s="603">
        <v>0</v>
      </c>
      <c r="AM1446" s="603" t="s">
        <v>20348</v>
      </c>
      <c r="AN1446" s="603" t="s">
        <v>20347</v>
      </c>
      <c r="AO1446" s="603">
        <v>0</v>
      </c>
    </row>
    <row r="1447" spans="1:41" hidden="1">
      <c r="A1447" s="599" t="s">
        <v>302</v>
      </c>
      <c r="B1447" s="3" t="s">
        <v>302</v>
      </c>
      <c r="C1447" s="3">
        <v>0</v>
      </c>
      <c r="D1447" s="600" t="s">
        <v>19195</v>
      </c>
      <c r="E1447" s="3" t="s">
        <v>302</v>
      </c>
      <c r="F1447" s="601">
        <v>45267</v>
      </c>
      <c r="G1447" s="3">
        <v>2023</v>
      </c>
      <c r="H1447" s="586" t="s">
        <v>17226</v>
      </c>
      <c r="I1447" s="3" t="s">
        <v>17227</v>
      </c>
      <c r="J1447" s="3" t="s">
        <v>3</v>
      </c>
      <c r="K1447" s="54">
        <v>75045.600000000006</v>
      </c>
      <c r="L1447" s="586">
        <v>1</v>
      </c>
      <c r="M1447" s="587">
        <v>75045.600000000006</v>
      </c>
      <c r="N1447" s="3" t="s">
        <v>20155</v>
      </c>
      <c r="O1447" s="3" t="s">
        <v>17689</v>
      </c>
      <c r="P1447" s="875">
        <v>45275</v>
      </c>
      <c r="Q1447" s="466">
        <v>0</v>
      </c>
      <c r="R1447" s="466">
        <v>23640</v>
      </c>
      <c r="S1447" s="466">
        <v>3552</v>
      </c>
      <c r="T1447" s="466">
        <v>0</v>
      </c>
      <c r="U1447" s="466">
        <v>27192</v>
      </c>
      <c r="V1447" s="51"/>
      <c r="W1447" s="602">
        <v>0</v>
      </c>
      <c r="X1447" s="602">
        <v>65988</v>
      </c>
      <c r="Y1447" s="602">
        <v>9057.6</v>
      </c>
      <c r="Z1447" s="602">
        <v>0</v>
      </c>
      <c r="AA1447" s="495"/>
      <c r="AB1447" s="495">
        <v>2.7913705583756343</v>
      </c>
      <c r="AC1447" s="495">
        <v>2.5500000000000003</v>
      </c>
      <c r="AD1447" s="495"/>
      <c r="AE1447" s="602">
        <v>0</v>
      </c>
      <c r="AF1447" s="602">
        <v>0</v>
      </c>
      <c r="AG1447" s="602">
        <v>0</v>
      </c>
      <c r="AH1447" s="590"/>
      <c r="AI1447" s="590">
        <v>2.7913705583756343</v>
      </c>
      <c r="AJ1447" s="590">
        <v>2.5500000000000003</v>
      </c>
      <c r="AK1447" s="590"/>
      <c r="AL1447" s="603">
        <v>0</v>
      </c>
      <c r="AM1447" s="603">
        <v>1</v>
      </c>
      <c r="AN1447" s="603">
        <v>1</v>
      </c>
      <c r="AO1447" s="603">
        <v>0</v>
      </c>
    </row>
    <row r="1448" spans="1:41" hidden="1">
      <c r="A1448" s="599" t="s">
        <v>303</v>
      </c>
      <c r="B1448" s="3" t="s">
        <v>303</v>
      </c>
      <c r="C1448" s="3">
        <v>0</v>
      </c>
      <c r="D1448" s="600" t="s">
        <v>19196</v>
      </c>
      <c r="E1448" s="3" t="s">
        <v>303</v>
      </c>
      <c r="F1448" s="601">
        <v>45267</v>
      </c>
      <c r="G1448" s="3">
        <v>2023</v>
      </c>
      <c r="H1448" s="586" t="s">
        <v>17226</v>
      </c>
      <c r="I1448" s="3" t="s">
        <v>17227</v>
      </c>
      <c r="J1448" s="3" t="s">
        <v>3</v>
      </c>
      <c r="K1448" s="54">
        <v>60240</v>
      </c>
      <c r="L1448" s="586">
        <v>1</v>
      </c>
      <c r="M1448" s="587">
        <v>60240</v>
      </c>
      <c r="N1448" s="3" t="s">
        <v>20155</v>
      </c>
      <c r="O1448" s="3" t="s">
        <v>17689</v>
      </c>
      <c r="P1448" s="875">
        <v>45288</v>
      </c>
      <c r="Q1448" s="466">
        <v>24000</v>
      </c>
      <c r="R1448" s="466">
        <v>0</v>
      </c>
      <c r="S1448" s="466">
        <v>0</v>
      </c>
      <c r="T1448" s="466">
        <v>0</v>
      </c>
      <c r="U1448" s="466">
        <v>24000</v>
      </c>
      <c r="V1448" s="51"/>
      <c r="W1448" s="602">
        <v>60240</v>
      </c>
      <c r="X1448" s="602">
        <v>0</v>
      </c>
      <c r="Y1448" s="602">
        <v>0</v>
      </c>
      <c r="Z1448" s="602">
        <v>0</v>
      </c>
      <c r="AA1448" s="495">
        <v>2.5099999999999998</v>
      </c>
      <c r="AB1448" s="495"/>
      <c r="AC1448" s="495"/>
      <c r="AD1448" s="495"/>
      <c r="AE1448" s="602">
        <v>0</v>
      </c>
      <c r="AF1448" s="602">
        <v>0</v>
      </c>
      <c r="AG1448" s="602">
        <v>0</v>
      </c>
      <c r="AH1448" s="590">
        <v>2.5099999999999998</v>
      </c>
      <c r="AI1448" s="590"/>
      <c r="AJ1448" s="590"/>
      <c r="AK1448" s="590"/>
      <c r="AL1448" s="603">
        <v>1</v>
      </c>
      <c r="AM1448" s="603">
        <v>0</v>
      </c>
      <c r="AN1448" s="603">
        <v>0</v>
      </c>
      <c r="AO1448" s="603">
        <v>0</v>
      </c>
    </row>
    <row r="1449" spans="1:41" hidden="1">
      <c r="A1449" s="599" t="s">
        <v>304</v>
      </c>
      <c r="B1449" s="3" t="s">
        <v>304</v>
      </c>
      <c r="C1449" s="3">
        <v>0</v>
      </c>
      <c r="D1449" s="600" t="s">
        <v>19197</v>
      </c>
      <c r="E1449" s="3" t="s">
        <v>304</v>
      </c>
      <c r="F1449" s="601">
        <v>45267</v>
      </c>
      <c r="G1449" s="3">
        <v>2023</v>
      </c>
      <c r="H1449" s="586" t="s">
        <v>17209</v>
      </c>
      <c r="I1449" s="3" t="s">
        <v>17210</v>
      </c>
      <c r="J1449" s="3" t="s">
        <v>16401</v>
      </c>
      <c r="K1449" s="54">
        <v>60880.552430000003</v>
      </c>
      <c r="L1449" s="586">
        <v>3.0857000000000001</v>
      </c>
      <c r="M1449" s="587">
        <v>19729.900000000001</v>
      </c>
      <c r="N1449" s="3" t="s">
        <v>20155</v>
      </c>
      <c r="O1449" s="3" t="s">
        <v>20168</v>
      </c>
      <c r="P1449" s="875">
        <v>45278</v>
      </c>
      <c r="Q1449" s="466">
        <v>7200</v>
      </c>
      <c r="R1449" s="466">
        <v>3360</v>
      </c>
      <c r="S1449" s="466">
        <v>4200</v>
      </c>
      <c r="T1449" s="466">
        <v>2750</v>
      </c>
      <c r="U1449" s="466">
        <v>17510</v>
      </c>
      <c r="V1449" s="51"/>
      <c r="W1449" s="602">
        <v>20556.471690462593</v>
      </c>
      <c r="X1449" s="602">
        <v>6453.0118022158767</v>
      </c>
      <c r="Y1449" s="602">
        <v>11991.275152769846</v>
      </c>
      <c r="Z1449" s="602">
        <v>21879.793784551683</v>
      </c>
      <c r="AA1449" s="495">
        <v>2.855065512564249</v>
      </c>
      <c r="AB1449" s="495">
        <v>1.9205392268499633</v>
      </c>
      <c r="AC1449" s="495">
        <v>2.855065512564249</v>
      </c>
      <c r="AD1449" s="495">
        <v>7.9562886489278846</v>
      </c>
      <c r="AE1449" s="602">
        <v>911.80799999999999</v>
      </c>
      <c r="AF1449" s="602">
        <v>6923.53</v>
      </c>
      <c r="AG1449" s="602">
        <v>0.39540434037692745</v>
      </c>
      <c r="AH1449" s="590">
        <v>2.4596611721873214</v>
      </c>
      <c r="AI1449" s="590">
        <v>1.5251348864730359</v>
      </c>
      <c r="AJ1449" s="590">
        <v>2.4596611721873214</v>
      </c>
      <c r="AK1449" s="590">
        <v>7.5608843085509569</v>
      </c>
      <c r="AL1449" s="603">
        <v>1</v>
      </c>
      <c r="AM1449" s="603">
        <v>1</v>
      </c>
      <c r="AN1449" s="603">
        <v>1</v>
      </c>
      <c r="AO1449" s="603">
        <v>1</v>
      </c>
    </row>
    <row r="1450" spans="1:41" hidden="1">
      <c r="A1450" s="599" t="s">
        <v>305</v>
      </c>
      <c r="B1450" s="3" t="s">
        <v>305</v>
      </c>
      <c r="C1450" s="3">
        <v>0</v>
      </c>
      <c r="D1450" s="600" t="s">
        <v>19198</v>
      </c>
      <c r="E1450" s="3" t="s">
        <v>305</v>
      </c>
      <c r="F1450" s="601">
        <v>45267</v>
      </c>
      <c r="G1450" s="3">
        <v>2023</v>
      </c>
      <c r="H1450" s="586" t="s">
        <v>17209</v>
      </c>
      <c r="I1450" s="3" t="s">
        <v>17210</v>
      </c>
      <c r="J1450" s="3" t="s">
        <v>16401</v>
      </c>
      <c r="K1450" s="54">
        <v>76845.018800000005</v>
      </c>
      <c r="L1450" s="586">
        <v>3.12785</v>
      </c>
      <c r="M1450" s="587">
        <v>24568</v>
      </c>
      <c r="N1450" s="3" t="s">
        <v>20155</v>
      </c>
      <c r="O1450" s="3" t="s">
        <v>20168</v>
      </c>
      <c r="P1450" s="875">
        <v>45272</v>
      </c>
      <c r="Q1450" s="466">
        <v>0</v>
      </c>
      <c r="R1450" s="466">
        <v>19200</v>
      </c>
      <c r="S1450" s="466">
        <v>6720</v>
      </c>
      <c r="T1450" s="466">
        <v>0</v>
      </c>
      <c r="U1450" s="466">
        <v>25920</v>
      </c>
      <c r="V1450" s="51"/>
      <c r="W1450" s="602">
        <v>0</v>
      </c>
      <c r="X1450" s="602">
        <v>57155.782281481479</v>
      </c>
      <c r="Y1450" s="602">
        <v>19689.236518518519</v>
      </c>
      <c r="Z1450" s="602">
        <v>0</v>
      </c>
      <c r="AA1450" s="495"/>
      <c r="AB1450" s="495">
        <v>2.976863660493827</v>
      </c>
      <c r="AC1450" s="495">
        <v>2.929945910493827</v>
      </c>
      <c r="AD1450" s="495"/>
      <c r="AE1450" s="602">
        <v>921.88800000000003</v>
      </c>
      <c r="AF1450" s="602">
        <v>6838.4</v>
      </c>
      <c r="AG1450" s="602">
        <v>0.26382716049382715</v>
      </c>
      <c r="AH1450" s="590"/>
      <c r="AI1450" s="590">
        <v>2.7130364999999999</v>
      </c>
      <c r="AJ1450" s="590">
        <v>2.6661187499999999</v>
      </c>
      <c r="AK1450" s="590"/>
      <c r="AL1450" s="603">
        <v>0</v>
      </c>
      <c r="AM1450" s="603">
        <v>1</v>
      </c>
      <c r="AN1450" s="603">
        <v>1</v>
      </c>
      <c r="AO1450" s="603">
        <v>0</v>
      </c>
    </row>
    <row r="1451" spans="1:41" hidden="1">
      <c r="A1451" s="599" t="s">
        <v>306</v>
      </c>
      <c r="B1451" s="3" t="s">
        <v>306</v>
      </c>
      <c r="C1451" s="3">
        <v>0</v>
      </c>
      <c r="D1451" s="600" t="s">
        <v>19199</v>
      </c>
      <c r="E1451" s="3" t="s">
        <v>306</v>
      </c>
      <c r="F1451" s="601">
        <v>45269</v>
      </c>
      <c r="G1451" s="3">
        <v>2023</v>
      </c>
      <c r="H1451" s="586" t="s">
        <v>17359</v>
      </c>
      <c r="I1451" s="3" t="s">
        <v>17360</v>
      </c>
      <c r="J1451" s="3" t="s">
        <v>16401</v>
      </c>
      <c r="K1451" s="54">
        <v>47116.9</v>
      </c>
      <c r="L1451" s="586">
        <v>3.1</v>
      </c>
      <c r="M1451" s="587">
        <v>15199</v>
      </c>
      <c r="N1451" s="3" t="s">
        <v>20155</v>
      </c>
      <c r="O1451" s="3" t="s">
        <v>18094</v>
      </c>
      <c r="P1451" s="875">
        <v>45275</v>
      </c>
      <c r="Q1451" s="466">
        <v>18100</v>
      </c>
      <c r="R1451" s="466">
        <v>1200</v>
      </c>
      <c r="S1451" s="466">
        <v>0</v>
      </c>
      <c r="T1451" s="466">
        <v>0</v>
      </c>
      <c r="U1451" s="466">
        <v>19300</v>
      </c>
      <c r="V1451" s="51"/>
      <c r="W1451" s="602">
        <v>44536.993264248711</v>
      </c>
      <c r="X1451" s="602">
        <v>2579.9067357512954</v>
      </c>
      <c r="Y1451" s="602">
        <v>0</v>
      </c>
      <c r="Z1451" s="602">
        <v>0</v>
      </c>
      <c r="AA1451" s="495">
        <v>2.4606073626656748</v>
      </c>
      <c r="AB1451" s="495">
        <v>2.149922279792746</v>
      </c>
      <c r="AC1451" s="495"/>
      <c r="AD1451" s="495"/>
      <c r="AE1451" s="602">
        <v>1728.54</v>
      </c>
      <c r="AF1451" s="602">
        <v>7274.97</v>
      </c>
      <c r="AG1451" s="602">
        <v>0.37694145077720209</v>
      </c>
      <c r="AH1451" s="590">
        <v>2.0836659118884726</v>
      </c>
      <c r="AI1451" s="590">
        <v>1.7729808290155438</v>
      </c>
      <c r="AJ1451" s="590"/>
      <c r="AK1451" s="590"/>
      <c r="AL1451" s="603" t="s">
        <v>20345</v>
      </c>
      <c r="AM1451" s="603" t="s">
        <v>20346</v>
      </c>
      <c r="AN1451" s="603">
        <v>0</v>
      </c>
      <c r="AO1451" s="603">
        <v>0</v>
      </c>
    </row>
    <row r="1452" spans="1:41" hidden="1">
      <c r="A1452" s="599" t="s">
        <v>307</v>
      </c>
      <c r="B1452" s="3" t="s">
        <v>307</v>
      </c>
      <c r="C1452" s="3">
        <v>0</v>
      </c>
      <c r="D1452" s="600" t="s">
        <v>19200</v>
      </c>
      <c r="E1452" s="3" t="s">
        <v>307</v>
      </c>
      <c r="F1452" s="601">
        <v>45269</v>
      </c>
      <c r="G1452" s="3">
        <v>2023</v>
      </c>
      <c r="H1452" s="586" t="s">
        <v>16643</v>
      </c>
      <c r="I1452" s="3" t="s">
        <v>16644</v>
      </c>
      <c r="J1452" s="3" t="s">
        <v>16482</v>
      </c>
      <c r="K1452" s="54">
        <v>98494.996800000008</v>
      </c>
      <c r="L1452" s="586">
        <v>3.3896000000000002</v>
      </c>
      <c r="M1452" s="587">
        <v>29058</v>
      </c>
      <c r="N1452" s="3" t="s">
        <v>20155</v>
      </c>
      <c r="O1452" s="3" t="s">
        <v>20159</v>
      </c>
      <c r="P1452" s="875">
        <v>45282</v>
      </c>
      <c r="Q1452" s="466">
        <v>0</v>
      </c>
      <c r="R1452" s="466">
        <v>19200</v>
      </c>
      <c r="S1452" s="466">
        <v>26000</v>
      </c>
      <c r="T1452" s="466">
        <v>0</v>
      </c>
      <c r="U1452" s="466">
        <v>45200</v>
      </c>
      <c r="V1452" s="51"/>
      <c r="W1452" s="602">
        <v>0</v>
      </c>
      <c r="X1452" s="602">
        <v>41089.871065486725</v>
      </c>
      <c r="Y1452" s="602">
        <v>57405.125734513276</v>
      </c>
      <c r="Z1452" s="602">
        <v>0</v>
      </c>
      <c r="AA1452" s="495"/>
      <c r="AB1452" s="495">
        <v>2.1400974513274336</v>
      </c>
      <c r="AC1452" s="495">
        <v>2.2078894513274339</v>
      </c>
      <c r="AD1452" s="495"/>
      <c r="AE1452" s="602">
        <v>3103.2</v>
      </c>
      <c r="AF1452" s="602">
        <v>13681.66</v>
      </c>
      <c r="AG1452" s="602">
        <v>0.30269159292035397</v>
      </c>
      <c r="AH1452" s="590"/>
      <c r="AI1452" s="590">
        <v>1.8374058584070796</v>
      </c>
      <c r="AJ1452" s="590">
        <v>1.9051978584070799</v>
      </c>
      <c r="AK1452" s="590"/>
      <c r="AL1452" s="603">
        <v>0</v>
      </c>
      <c r="AM1452" s="603" t="s">
        <v>20346</v>
      </c>
      <c r="AN1452" s="603" t="s">
        <v>20347</v>
      </c>
      <c r="AO1452" s="603">
        <v>0</v>
      </c>
    </row>
    <row r="1453" spans="1:41" hidden="1">
      <c r="A1453" s="599" t="s">
        <v>308</v>
      </c>
      <c r="B1453" s="3" t="s">
        <v>308</v>
      </c>
      <c r="C1453" s="3">
        <v>0</v>
      </c>
      <c r="D1453" s="600" t="s">
        <v>19201</v>
      </c>
      <c r="E1453" s="3" t="s">
        <v>308</v>
      </c>
      <c r="F1453" s="601">
        <v>45269</v>
      </c>
      <c r="G1453" s="3">
        <v>2023</v>
      </c>
      <c r="H1453" s="586" t="s">
        <v>17309</v>
      </c>
      <c r="I1453" s="3" t="s">
        <v>17310</v>
      </c>
      <c r="J1453" s="3" t="s">
        <v>3</v>
      </c>
      <c r="K1453" s="54">
        <v>168480</v>
      </c>
      <c r="L1453" s="586">
        <v>1</v>
      </c>
      <c r="M1453" s="587">
        <v>168480</v>
      </c>
      <c r="N1453" s="3" t="s">
        <v>20155</v>
      </c>
      <c r="O1453" s="3" t="s">
        <v>17261</v>
      </c>
      <c r="P1453" s="875">
        <v>45282</v>
      </c>
      <c r="Q1453" s="466">
        <v>0</v>
      </c>
      <c r="R1453" s="466">
        <v>0</v>
      </c>
      <c r="S1453" s="466">
        <v>104000</v>
      </c>
      <c r="T1453" s="466">
        <v>0</v>
      </c>
      <c r="U1453" s="466">
        <v>104000</v>
      </c>
      <c r="V1453" s="51"/>
      <c r="W1453" s="602">
        <v>0</v>
      </c>
      <c r="X1453" s="602">
        <v>0</v>
      </c>
      <c r="Y1453" s="602">
        <v>168480</v>
      </c>
      <c r="Z1453" s="602">
        <v>0</v>
      </c>
      <c r="AA1453" s="495"/>
      <c r="AB1453" s="495"/>
      <c r="AC1453" s="495">
        <v>1.62</v>
      </c>
      <c r="AD1453" s="495"/>
      <c r="AE1453" s="602">
        <v>0</v>
      </c>
      <c r="AF1453" s="602">
        <v>0</v>
      </c>
      <c r="AG1453" s="602">
        <v>0</v>
      </c>
      <c r="AH1453" s="590"/>
      <c r="AI1453" s="590"/>
      <c r="AJ1453" s="590">
        <v>1.62</v>
      </c>
      <c r="AK1453" s="590"/>
      <c r="AL1453" s="603">
        <v>0</v>
      </c>
      <c r="AM1453" s="603">
        <v>0</v>
      </c>
      <c r="AN1453" s="603" t="s">
        <v>20347</v>
      </c>
      <c r="AO1453" s="603">
        <v>0</v>
      </c>
    </row>
    <row r="1454" spans="1:41" hidden="1">
      <c r="A1454" s="599" t="s">
        <v>309</v>
      </c>
      <c r="B1454" s="3" t="s">
        <v>309</v>
      </c>
      <c r="C1454" s="3">
        <v>0</v>
      </c>
      <c r="D1454" s="600" t="s">
        <v>19202</v>
      </c>
      <c r="E1454" s="3" t="s">
        <v>309</v>
      </c>
      <c r="F1454" s="601">
        <v>45269</v>
      </c>
      <c r="G1454" s="3">
        <v>2023</v>
      </c>
      <c r="H1454" s="586" t="s">
        <v>17156</v>
      </c>
      <c r="I1454" s="3" t="s">
        <v>17157</v>
      </c>
      <c r="J1454" s="3" t="s">
        <v>3</v>
      </c>
      <c r="K1454" s="54">
        <v>78000</v>
      </c>
      <c r="L1454" s="586">
        <v>1</v>
      </c>
      <c r="M1454" s="587">
        <v>78000</v>
      </c>
      <c r="N1454" s="3" t="s">
        <v>20155</v>
      </c>
      <c r="O1454" s="3" t="s">
        <v>20161</v>
      </c>
      <c r="P1454" s="875">
        <v>45282</v>
      </c>
      <c r="Q1454" s="466">
        <v>40000</v>
      </c>
      <c r="R1454" s="466">
        <v>0</v>
      </c>
      <c r="S1454" s="466">
        <v>0</v>
      </c>
      <c r="T1454" s="466">
        <v>0</v>
      </c>
      <c r="U1454" s="466">
        <v>40000</v>
      </c>
      <c r="V1454" s="51"/>
      <c r="W1454" s="602">
        <v>78000</v>
      </c>
      <c r="X1454" s="602">
        <v>0</v>
      </c>
      <c r="Y1454" s="602">
        <v>0</v>
      </c>
      <c r="Z1454" s="602">
        <v>0</v>
      </c>
      <c r="AA1454" s="495">
        <v>1.95</v>
      </c>
      <c r="AB1454" s="495"/>
      <c r="AC1454" s="495"/>
      <c r="AD1454" s="495"/>
      <c r="AE1454" s="602">
        <v>0</v>
      </c>
      <c r="AF1454" s="602">
        <v>0</v>
      </c>
      <c r="AG1454" s="602">
        <v>0</v>
      </c>
      <c r="AH1454" s="590">
        <v>1.95</v>
      </c>
      <c r="AI1454" s="590"/>
      <c r="AJ1454" s="590"/>
      <c r="AK1454" s="590"/>
      <c r="AL1454" s="603" t="s">
        <v>20345</v>
      </c>
      <c r="AM1454" s="603">
        <v>0</v>
      </c>
      <c r="AN1454" s="603">
        <v>0</v>
      </c>
      <c r="AO1454" s="603">
        <v>0</v>
      </c>
    </row>
    <row r="1455" spans="1:41" hidden="1">
      <c r="A1455" s="599" t="s">
        <v>310</v>
      </c>
      <c r="B1455" s="3" t="s">
        <v>310</v>
      </c>
      <c r="C1455" s="3">
        <v>0</v>
      </c>
      <c r="D1455" s="600" t="s">
        <v>19203</v>
      </c>
      <c r="E1455" s="3" t="s">
        <v>310</v>
      </c>
      <c r="F1455" s="601">
        <v>45269</v>
      </c>
      <c r="G1455" s="3">
        <v>2023</v>
      </c>
      <c r="H1455" s="586" t="s">
        <v>17226</v>
      </c>
      <c r="I1455" s="3" t="s">
        <v>17227</v>
      </c>
      <c r="J1455" s="3" t="s">
        <v>3</v>
      </c>
      <c r="K1455" s="54">
        <v>96969</v>
      </c>
      <c r="L1455" s="586">
        <v>1</v>
      </c>
      <c r="M1455" s="587">
        <v>96969</v>
      </c>
      <c r="N1455" s="3" t="s">
        <v>20155</v>
      </c>
      <c r="O1455" s="3" t="s">
        <v>17689</v>
      </c>
      <c r="P1455" s="875">
        <v>45275</v>
      </c>
      <c r="Q1455" s="466">
        <v>0</v>
      </c>
      <c r="R1455" s="466">
        <v>34800</v>
      </c>
      <c r="S1455" s="466">
        <v>13500</v>
      </c>
      <c r="T1455" s="466">
        <v>0</v>
      </c>
      <c r="U1455" s="466">
        <v>48300</v>
      </c>
      <c r="V1455" s="51"/>
      <c r="W1455" s="602">
        <v>0</v>
      </c>
      <c r="X1455" s="602">
        <v>70644</v>
      </c>
      <c r="Y1455" s="602">
        <v>26325</v>
      </c>
      <c r="Z1455" s="602">
        <v>0</v>
      </c>
      <c r="AA1455" s="495"/>
      <c r="AB1455" s="495">
        <v>2.0299999999999998</v>
      </c>
      <c r="AC1455" s="495">
        <v>1.95</v>
      </c>
      <c r="AD1455" s="495"/>
      <c r="AE1455" s="602">
        <v>0</v>
      </c>
      <c r="AF1455" s="602">
        <v>0</v>
      </c>
      <c r="AG1455" s="602">
        <v>0</v>
      </c>
      <c r="AH1455" s="590"/>
      <c r="AI1455" s="590">
        <v>2.0299999999999998</v>
      </c>
      <c r="AJ1455" s="590">
        <v>1.95</v>
      </c>
      <c r="AK1455" s="590"/>
      <c r="AL1455" s="603">
        <v>0</v>
      </c>
      <c r="AM1455" s="603" t="s">
        <v>20346</v>
      </c>
      <c r="AN1455" s="603" t="s">
        <v>20346</v>
      </c>
      <c r="AO1455" s="603">
        <v>0</v>
      </c>
    </row>
    <row r="1456" spans="1:41" hidden="1">
      <c r="A1456" s="599" t="s">
        <v>311</v>
      </c>
      <c r="B1456" s="3" t="s">
        <v>311</v>
      </c>
      <c r="C1456" s="3">
        <v>0</v>
      </c>
      <c r="D1456" s="600" t="s">
        <v>19204</v>
      </c>
      <c r="E1456" s="3" t="s">
        <v>311</v>
      </c>
      <c r="F1456" s="601">
        <v>45271</v>
      </c>
      <c r="G1456" s="3">
        <v>2023</v>
      </c>
      <c r="H1456" s="586" t="s">
        <v>16783</v>
      </c>
      <c r="I1456" s="3" t="s">
        <v>16784</v>
      </c>
      <c r="J1456" s="3" t="s">
        <v>16401</v>
      </c>
      <c r="K1456" s="54">
        <v>899824.21199999994</v>
      </c>
      <c r="L1456" s="586">
        <v>3.1282999999999999</v>
      </c>
      <c r="M1456" s="587">
        <v>287640</v>
      </c>
      <c r="N1456" s="3" t="s">
        <v>20155</v>
      </c>
      <c r="O1456" s="3" t="s">
        <v>17939</v>
      </c>
      <c r="P1456" s="875">
        <v>45273</v>
      </c>
      <c r="Q1456" s="466">
        <v>0</v>
      </c>
      <c r="R1456" s="466">
        <v>350400</v>
      </c>
      <c r="S1456" s="466">
        <v>57600</v>
      </c>
      <c r="T1456" s="466">
        <v>0</v>
      </c>
      <c r="U1456" s="466">
        <v>408000</v>
      </c>
      <c r="V1456" s="51"/>
      <c r="W1456" s="602">
        <v>0</v>
      </c>
      <c r="X1456" s="602">
        <v>772790.20559999975</v>
      </c>
      <c r="Y1456" s="602">
        <v>127034.00640000001</v>
      </c>
      <c r="Z1456" s="602">
        <v>0</v>
      </c>
      <c r="AA1456" s="495"/>
      <c r="AB1456" s="495">
        <v>2.2054514999999992</v>
      </c>
      <c r="AC1456" s="495">
        <v>2.2054515000000001</v>
      </c>
      <c r="AD1456" s="495"/>
      <c r="AE1456" s="602">
        <v>0</v>
      </c>
      <c r="AF1456" s="602">
        <v>0</v>
      </c>
      <c r="AG1456" s="602">
        <v>0</v>
      </c>
      <c r="AH1456" s="590"/>
      <c r="AI1456" s="590">
        <v>2.2054514999999992</v>
      </c>
      <c r="AJ1456" s="590">
        <v>2.2054515000000001</v>
      </c>
      <c r="AK1456" s="590"/>
      <c r="AL1456" s="603">
        <v>0</v>
      </c>
      <c r="AM1456" s="603" t="s">
        <v>20345</v>
      </c>
      <c r="AN1456" s="603" t="s">
        <v>20345</v>
      </c>
      <c r="AO1456" s="603">
        <v>0</v>
      </c>
    </row>
    <row r="1457" spans="1:41" hidden="1">
      <c r="A1457" s="599" t="s">
        <v>312</v>
      </c>
      <c r="B1457" s="3" t="s">
        <v>312</v>
      </c>
      <c r="C1457" s="3">
        <v>0</v>
      </c>
      <c r="D1457" s="600" t="s">
        <v>19205</v>
      </c>
      <c r="E1457" s="3" t="s">
        <v>312</v>
      </c>
      <c r="F1457" s="601">
        <v>45272</v>
      </c>
      <c r="G1457" s="3">
        <v>2023</v>
      </c>
      <c r="H1457" s="586" t="s">
        <v>16444</v>
      </c>
      <c r="I1457" s="3" t="s">
        <v>16445</v>
      </c>
      <c r="J1457" s="3" t="s">
        <v>3</v>
      </c>
      <c r="K1457" s="54">
        <v>38016</v>
      </c>
      <c r="L1457" s="586">
        <v>1</v>
      </c>
      <c r="M1457" s="587">
        <v>38016</v>
      </c>
      <c r="N1457" s="3" t="s">
        <v>20155</v>
      </c>
      <c r="O1457" s="3" t="s">
        <v>17965</v>
      </c>
      <c r="P1457" s="875">
        <v>45280</v>
      </c>
      <c r="Q1457" s="466">
        <v>19200</v>
      </c>
      <c r="R1457" s="466">
        <v>0</v>
      </c>
      <c r="S1457" s="466">
        <v>0</v>
      </c>
      <c r="T1457" s="466">
        <v>0</v>
      </c>
      <c r="U1457" s="466">
        <v>19200</v>
      </c>
      <c r="V1457" s="51"/>
      <c r="W1457" s="602">
        <v>38016</v>
      </c>
      <c r="X1457" s="602">
        <v>0</v>
      </c>
      <c r="Y1457" s="602">
        <v>0</v>
      </c>
      <c r="Z1457" s="602">
        <v>0</v>
      </c>
      <c r="AA1457" s="495">
        <v>1.98</v>
      </c>
      <c r="AB1457" s="495"/>
      <c r="AC1457" s="495"/>
      <c r="AD1457" s="495"/>
      <c r="AE1457" s="602">
        <v>0</v>
      </c>
      <c r="AF1457" s="602">
        <v>0</v>
      </c>
      <c r="AG1457" s="602">
        <v>0</v>
      </c>
      <c r="AH1457" s="590">
        <v>1.98</v>
      </c>
      <c r="AI1457" s="590"/>
      <c r="AJ1457" s="590"/>
      <c r="AK1457" s="590"/>
      <c r="AL1457" s="603" t="s">
        <v>20345</v>
      </c>
      <c r="AM1457" s="603">
        <v>0</v>
      </c>
      <c r="AN1457" s="603">
        <v>0</v>
      </c>
      <c r="AO1457" s="603">
        <v>0</v>
      </c>
    </row>
    <row r="1458" spans="1:41" hidden="1">
      <c r="A1458" s="599" t="s">
        <v>313</v>
      </c>
      <c r="B1458" s="3" t="s">
        <v>313</v>
      </c>
      <c r="C1458" s="3">
        <v>0</v>
      </c>
      <c r="D1458" s="600" t="s">
        <v>19206</v>
      </c>
      <c r="E1458" s="3" t="s">
        <v>313</v>
      </c>
      <c r="F1458" s="601">
        <v>45272</v>
      </c>
      <c r="G1458" s="3">
        <v>2023</v>
      </c>
      <c r="H1458" s="586" t="s">
        <v>17119</v>
      </c>
      <c r="I1458" s="3" t="s">
        <v>17120</v>
      </c>
      <c r="J1458" s="3" t="s">
        <v>16401</v>
      </c>
      <c r="K1458" s="54">
        <v>356756.29120000004</v>
      </c>
      <c r="L1458" s="586">
        <v>3.0857000000000001</v>
      </c>
      <c r="M1458" s="587">
        <v>115616</v>
      </c>
      <c r="N1458" s="3" t="s">
        <v>20155</v>
      </c>
      <c r="O1458" s="3" t="s">
        <v>17965</v>
      </c>
      <c r="P1458" s="875">
        <v>45279</v>
      </c>
      <c r="Q1458" s="466">
        <v>38400</v>
      </c>
      <c r="R1458" s="466">
        <v>85200</v>
      </c>
      <c r="S1458" s="466">
        <v>0</v>
      </c>
      <c r="T1458" s="466">
        <v>0</v>
      </c>
      <c r="U1458" s="466">
        <v>123600</v>
      </c>
      <c r="V1458" s="51"/>
      <c r="W1458" s="602">
        <v>115277.43801165049</v>
      </c>
      <c r="X1458" s="602">
        <v>241478.85318834952</v>
      </c>
      <c r="Y1458" s="602">
        <v>0</v>
      </c>
      <c r="Z1458" s="602">
        <v>0</v>
      </c>
      <c r="AA1458" s="495">
        <v>3.0020166148867315</v>
      </c>
      <c r="AB1458" s="495">
        <v>2.834258840238844</v>
      </c>
      <c r="AC1458" s="495"/>
      <c r="AD1458" s="495"/>
      <c r="AE1458" s="602">
        <v>5888.76</v>
      </c>
      <c r="AF1458" s="602">
        <v>32911.4</v>
      </c>
      <c r="AG1458" s="602">
        <v>0.26627346278317154</v>
      </c>
      <c r="AH1458" s="590">
        <v>2.7357431521035602</v>
      </c>
      <c r="AI1458" s="590">
        <v>2.5679853774556722</v>
      </c>
      <c r="AJ1458" s="590"/>
      <c r="AK1458" s="590"/>
      <c r="AL1458" s="603" t="s">
        <v>20345</v>
      </c>
      <c r="AM1458" s="603" t="s">
        <v>20346</v>
      </c>
      <c r="AN1458" s="603">
        <v>0</v>
      </c>
      <c r="AO1458" s="603">
        <v>0</v>
      </c>
    </row>
    <row r="1459" spans="1:41" hidden="1">
      <c r="A1459" s="599" t="s">
        <v>314</v>
      </c>
      <c r="B1459" s="3" t="s">
        <v>314</v>
      </c>
      <c r="C1459" s="3">
        <v>0</v>
      </c>
      <c r="D1459" s="600" t="s">
        <v>19207</v>
      </c>
      <c r="E1459" s="3" t="s">
        <v>314</v>
      </c>
      <c r="F1459" s="601">
        <v>45272</v>
      </c>
      <c r="G1459" s="3">
        <v>2023</v>
      </c>
      <c r="H1459" s="586" t="s">
        <v>16904</v>
      </c>
      <c r="I1459" s="3" t="s">
        <v>16905</v>
      </c>
      <c r="J1459" s="3" t="s">
        <v>16482</v>
      </c>
      <c r="K1459" s="54">
        <v>72932.453466000006</v>
      </c>
      <c r="L1459" s="586">
        <v>3.38565</v>
      </c>
      <c r="M1459" s="587">
        <v>21541.64</v>
      </c>
      <c r="N1459" s="3" t="s">
        <v>20155</v>
      </c>
      <c r="O1459" s="3" t="s">
        <v>20160</v>
      </c>
      <c r="P1459" s="875">
        <v>45281</v>
      </c>
      <c r="Q1459" s="466">
        <v>0</v>
      </c>
      <c r="R1459" s="466">
        <v>23976</v>
      </c>
      <c r="S1459" s="466">
        <v>0</v>
      </c>
      <c r="T1459" s="466">
        <v>0</v>
      </c>
      <c r="U1459" s="466">
        <v>23976</v>
      </c>
      <c r="V1459" s="51"/>
      <c r="W1459" s="602">
        <v>0</v>
      </c>
      <c r="X1459" s="602">
        <v>72932.453465999992</v>
      </c>
      <c r="Y1459" s="602">
        <v>0</v>
      </c>
      <c r="Z1459" s="602">
        <v>0</v>
      </c>
      <c r="AA1459" s="495"/>
      <c r="AB1459" s="495">
        <v>3.0418941218718714</v>
      </c>
      <c r="AC1459" s="495"/>
      <c r="AD1459" s="495"/>
      <c r="AE1459" s="602">
        <v>3033.6</v>
      </c>
      <c r="AF1459" s="602">
        <v>11833.3</v>
      </c>
      <c r="AG1459" s="602">
        <v>0.49354771438104766</v>
      </c>
      <c r="AH1459" s="590"/>
      <c r="AI1459" s="590">
        <v>2.5483464074908238</v>
      </c>
      <c r="AJ1459" s="590"/>
      <c r="AK1459" s="590"/>
      <c r="AL1459" s="603">
        <v>0</v>
      </c>
      <c r="AM1459" s="603">
        <v>1</v>
      </c>
      <c r="AN1459" s="603">
        <v>0</v>
      </c>
      <c r="AO1459" s="603">
        <v>0</v>
      </c>
    </row>
    <row r="1460" spans="1:41" hidden="1">
      <c r="A1460" s="599" t="s">
        <v>315</v>
      </c>
      <c r="B1460" s="3" t="s">
        <v>315</v>
      </c>
      <c r="C1460" s="3">
        <v>0</v>
      </c>
      <c r="D1460" s="600" t="s">
        <v>19208</v>
      </c>
      <c r="E1460" s="3" t="s">
        <v>315</v>
      </c>
      <c r="F1460" s="601">
        <v>45272</v>
      </c>
      <c r="G1460" s="3">
        <v>2023</v>
      </c>
      <c r="H1460" s="586" t="s">
        <v>16904</v>
      </c>
      <c r="I1460" s="3" t="s">
        <v>16905</v>
      </c>
      <c r="J1460" s="3" t="s">
        <v>16482</v>
      </c>
      <c r="K1460" s="54">
        <v>81540.816097000003</v>
      </c>
      <c r="L1460" s="586">
        <v>3.38585</v>
      </c>
      <c r="M1460" s="587">
        <v>24082.82</v>
      </c>
      <c r="N1460" s="3" t="s">
        <v>20155</v>
      </c>
      <c r="O1460" s="3" t="s">
        <v>20160</v>
      </c>
      <c r="P1460" s="875">
        <v>45281</v>
      </c>
      <c r="Q1460" s="466">
        <v>0</v>
      </c>
      <c r="R1460" s="466">
        <v>16488</v>
      </c>
      <c r="S1460" s="466">
        <v>11100</v>
      </c>
      <c r="T1460" s="466">
        <v>0</v>
      </c>
      <c r="U1460" s="466">
        <v>27588</v>
      </c>
      <c r="V1460" s="51"/>
      <c r="W1460" s="602">
        <v>0</v>
      </c>
      <c r="X1460" s="602">
        <v>49182.192418911698</v>
      </c>
      <c r="Y1460" s="602">
        <v>32358.623678088297</v>
      </c>
      <c r="Z1460" s="602">
        <v>0</v>
      </c>
      <c r="AA1460" s="495"/>
      <c r="AB1460" s="495">
        <v>2.9829083223502972</v>
      </c>
      <c r="AC1460" s="495">
        <v>2.9151913223502972</v>
      </c>
      <c r="AD1460" s="495"/>
      <c r="AE1460" s="602">
        <v>3033.6</v>
      </c>
      <c r="AF1460" s="602">
        <v>11982.1</v>
      </c>
      <c r="AG1460" s="602">
        <v>0.43432289401188923</v>
      </c>
      <c r="AH1460" s="590"/>
      <c r="AI1460" s="590">
        <v>2.548585428338408</v>
      </c>
      <c r="AJ1460" s="590">
        <v>2.4808684283384079</v>
      </c>
      <c r="AK1460" s="590"/>
      <c r="AL1460" s="603">
        <v>0</v>
      </c>
      <c r="AM1460" s="603">
        <v>1</v>
      </c>
      <c r="AN1460" s="603">
        <v>1</v>
      </c>
      <c r="AO1460" s="603">
        <v>0</v>
      </c>
    </row>
    <row r="1461" spans="1:41" hidden="1">
      <c r="A1461" s="599" t="s">
        <v>316</v>
      </c>
      <c r="B1461" s="3" t="s">
        <v>316</v>
      </c>
      <c r="C1461" s="3">
        <v>0</v>
      </c>
      <c r="D1461" s="600" t="s">
        <v>19209</v>
      </c>
      <c r="E1461" s="3" t="s">
        <v>316</v>
      </c>
      <c r="F1461" s="601">
        <v>45272</v>
      </c>
      <c r="G1461" s="3">
        <v>2023</v>
      </c>
      <c r="H1461" s="586" t="s">
        <v>16480</v>
      </c>
      <c r="I1461" s="3" t="s">
        <v>16481</v>
      </c>
      <c r="J1461" s="3" t="s">
        <v>16482</v>
      </c>
      <c r="K1461" s="54">
        <v>76297.500500000009</v>
      </c>
      <c r="L1461" s="586">
        <v>3.3812500000000001</v>
      </c>
      <c r="M1461" s="587">
        <v>22564.880000000001</v>
      </c>
      <c r="N1461" s="3" t="s">
        <v>20155</v>
      </c>
      <c r="O1461" s="3" t="s">
        <v>20160</v>
      </c>
      <c r="P1461" s="875">
        <v>45280</v>
      </c>
      <c r="Q1461" s="466">
        <v>0</v>
      </c>
      <c r="R1461" s="466">
        <v>22392</v>
      </c>
      <c r="S1461" s="466">
        <v>3000</v>
      </c>
      <c r="T1461" s="466">
        <v>0</v>
      </c>
      <c r="U1461" s="466">
        <v>25392</v>
      </c>
      <c r="V1461" s="51"/>
      <c r="W1461" s="602">
        <v>0</v>
      </c>
      <c r="X1461" s="602">
        <v>67462.05136247637</v>
      </c>
      <c r="Y1461" s="602">
        <v>8835.4491375236303</v>
      </c>
      <c r="Z1461" s="602">
        <v>0</v>
      </c>
      <c r="AA1461" s="495"/>
      <c r="AB1461" s="495">
        <v>3.0127747125078765</v>
      </c>
      <c r="AC1461" s="495">
        <v>2.9451497125078769</v>
      </c>
      <c r="AD1461" s="495"/>
      <c r="AE1461" s="602">
        <v>3033.6</v>
      </c>
      <c r="AF1461" s="602">
        <v>11825.3</v>
      </c>
      <c r="AG1461" s="602">
        <v>0.46570967233774413</v>
      </c>
      <c r="AH1461" s="590"/>
      <c r="AI1461" s="590">
        <v>2.5470650401701325</v>
      </c>
      <c r="AJ1461" s="590">
        <v>2.4794400401701329</v>
      </c>
      <c r="AK1461" s="590"/>
      <c r="AL1461" s="603">
        <v>0</v>
      </c>
      <c r="AM1461" s="603">
        <v>1</v>
      </c>
      <c r="AN1461" s="603">
        <v>1</v>
      </c>
      <c r="AO1461" s="603">
        <v>0</v>
      </c>
    </row>
    <row r="1462" spans="1:41" hidden="1">
      <c r="A1462" s="599" t="s">
        <v>317</v>
      </c>
      <c r="B1462" s="3" t="s">
        <v>317</v>
      </c>
      <c r="C1462" s="3">
        <v>0</v>
      </c>
      <c r="D1462" s="600" t="s">
        <v>19210</v>
      </c>
      <c r="E1462" s="3" t="s">
        <v>317</v>
      </c>
      <c r="F1462" s="601">
        <v>45272</v>
      </c>
      <c r="G1462" s="3">
        <v>2023</v>
      </c>
      <c r="H1462" s="586" t="s">
        <v>16384</v>
      </c>
      <c r="I1462" s="3" t="s">
        <v>16385</v>
      </c>
      <c r="J1462" s="3" t="s">
        <v>3</v>
      </c>
      <c r="K1462" s="54">
        <v>41731.199999999997</v>
      </c>
      <c r="L1462" s="586">
        <v>1</v>
      </c>
      <c r="M1462" s="587">
        <v>41731.199999999997</v>
      </c>
      <c r="N1462" s="3" t="s">
        <v>20155</v>
      </c>
      <c r="O1462" s="3" t="s">
        <v>18094</v>
      </c>
      <c r="P1462" s="875">
        <v>45285</v>
      </c>
      <c r="Q1462" s="466">
        <v>0</v>
      </c>
      <c r="R1462" s="466">
        <v>23280</v>
      </c>
      <c r="S1462" s="466">
        <v>0</v>
      </c>
      <c r="T1462" s="466">
        <v>0</v>
      </c>
      <c r="U1462" s="466">
        <v>23280</v>
      </c>
      <c r="V1462" s="51"/>
      <c r="W1462" s="602">
        <v>0</v>
      </c>
      <c r="X1462" s="602">
        <v>41731.199999999997</v>
      </c>
      <c r="Y1462" s="602">
        <v>0</v>
      </c>
      <c r="Z1462" s="602">
        <v>0</v>
      </c>
      <c r="AA1462" s="495"/>
      <c r="AB1462" s="495">
        <v>1.7925773195876287</v>
      </c>
      <c r="AC1462" s="495"/>
      <c r="AD1462" s="495"/>
      <c r="AE1462" s="602">
        <v>0</v>
      </c>
      <c r="AF1462" s="602">
        <v>0</v>
      </c>
      <c r="AG1462" s="602">
        <v>0</v>
      </c>
      <c r="AH1462" s="590"/>
      <c r="AI1462" s="590">
        <v>1.7925773195876287</v>
      </c>
      <c r="AJ1462" s="590"/>
      <c r="AK1462" s="590"/>
      <c r="AL1462" s="603">
        <v>0</v>
      </c>
      <c r="AM1462" s="603" t="s">
        <v>20346</v>
      </c>
      <c r="AN1462" s="603">
        <v>0</v>
      </c>
      <c r="AO1462" s="603">
        <v>0</v>
      </c>
    </row>
    <row r="1463" spans="1:41" hidden="1">
      <c r="A1463" s="599" t="s">
        <v>318</v>
      </c>
      <c r="B1463" s="3" t="s">
        <v>318</v>
      </c>
      <c r="C1463" s="3">
        <v>0</v>
      </c>
      <c r="D1463" s="600" t="s">
        <v>19211</v>
      </c>
      <c r="E1463" s="3" t="s">
        <v>318</v>
      </c>
      <c r="F1463" s="601">
        <v>45272</v>
      </c>
      <c r="G1463" s="3">
        <v>2023</v>
      </c>
      <c r="H1463" s="586" t="s">
        <v>16384</v>
      </c>
      <c r="I1463" s="3" t="s">
        <v>16385</v>
      </c>
      <c r="J1463" s="3" t="s">
        <v>3</v>
      </c>
      <c r="K1463" s="54">
        <v>38021.760000000002</v>
      </c>
      <c r="L1463" s="586">
        <v>1</v>
      </c>
      <c r="M1463" s="587">
        <v>38021.760000000002</v>
      </c>
      <c r="N1463" s="3" t="s">
        <v>20155</v>
      </c>
      <c r="O1463" s="3" t="s">
        <v>18094</v>
      </c>
      <c r="P1463" s="875">
        <v>45285</v>
      </c>
      <c r="Q1463" s="466">
        <v>0</v>
      </c>
      <c r="R1463" s="466">
        <v>22260</v>
      </c>
      <c r="S1463" s="466">
        <v>0</v>
      </c>
      <c r="T1463" s="466">
        <v>0</v>
      </c>
      <c r="U1463" s="466">
        <v>22260</v>
      </c>
      <c r="V1463" s="51"/>
      <c r="W1463" s="602">
        <v>0</v>
      </c>
      <c r="X1463" s="602">
        <v>38021.760000000002</v>
      </c>
      <c r="Y1463" s="602">
        <v>0</v>
      </c>
      <c r="Z1463" s="602">
        <v>0</v>
      </c>
      <c r="AA1463" s="495"/>
      <c r="AB1463" s="495">
        <v>1.7080754716981132</v>
      </c>
      <c r="AC1463" s="495"/>
      <c r="AD1463" s="495"/>
      <c r="AE1463" s="602">
        <v>0</v>
      </c>
      <c r="AF1463" s="602">
        <v>0</v>
      </c>
      <c r="AG1463" s="602">
        <v>0</v>
      </c>
      <c r="AH1463" s="590"/>
      <c r="AI1463" s="590">
        <v>1.7080754716981132</v>
      </c>
      <c r="AJ1463" s="590"/>
      <c r="AK1463" s="590"/>
      <c r="AL1463" s="603">
        <v>0</v>
      </c>
      <c r="AM1463" s="603" t="s">
        <v>20346</v>
      </c>
      <c r="AN1463" s="603">
        <v>0</v>
      </c>
      <c r="AO1463" s="603">
        <v>0</v>
      </c>
    </row>
    <row r="1464" spans="1:41" hidden="1">
      <c r="A1464" s="599" t="s">
        <v>319</v>
      </c>
      <c r="B1464" s="3" t="s">
        <v>319</v>
      </c>
      <c r="C1464" s="3">
        <v>0</v>
      </c>
      <c r="D1464" s="600" t="s">
        <v>19212</v>
      </c>
      <c r="E1464" s="3" t="s">
        <v>319</v>
      </c>
      <c r="F1464" s="601">
        <v>45272</v>
      </c>
      <c r="G1464" s="3">
        <v>2023</v>
      </c>
      <c r="H1464" s="586" t="s">
        <v>16838</v>
      </c>
      <c r="I1464" s="3" t="s">
        <v>16839</v>
      </c>
      <c r="J1464" s="3" t="s">
        <v>3</v>
      </c>
      <c r="K1464" s="54">
        <v>257175</v>
      </c>
      <c r="L1464" s="586">
        <v>1</v>
      </c>
      <c r="M1464" s="587">
        <v>257175</v>
      </c>
      <c r="N1464" s="3" t="s">
        <v>20155</v>
      </c>
      <c r="O1464" s="3" t="s">
        <v>20321</v>
      </c>
      <c r="P1464" s="875">
        <v>45279</v>
      </c>
      <c r="Q1464" s="466">
        <v>0</v>
      </c>
      <c r="R1464" s="466">
        <v>157500</v>
      </c>
      <c r="S1464" s="466">
        <v>0</v>
      </c>
      <c r="T1464" s="466">
        <v>0</v>
      </c>
      <c r="U1464" s="466">
        <v>157500</v>
      </c>
      <c r="V1464" s="51"/>
      <c r="W1464" s="602">
        <v>0</v>
      </c>
      <c r="X1464" s="602">
        <v>257175</v>
      </c>
      <c r="Y1464" s="602">
        <v>0</v>
      </c>
      <c r="Z1464" s="602">
        <v>0</v>
      </c>
      <c r="AA1464" s="495"/>
      <c r="AB1464" s="495">
        <v>1.6328571428571428</v>
      </c>
      <c r="AC1464" s="495"/>
      <c r="AD1464" s="495"/>
      <c r="AE1464" s="602">
        <v>0</v>
      </c>
      <c r="AF1464" s="602">
        <v>0</v>
      </c>
      <c r="AG1464" s="602">
        <v>0</v>
      </c>
      <c r="AH1464" s="590"/>
      <c r="AI1464" s="590">
        <v>1.6328571428571428</v>
      </c>
      <c r="AJ1464" s="590"/>
      <c r="AK1464" s="590"/>
      <c r="AL1464" s="603">
        <v>0</v>
      </c>
      <c r="AM1464" s="603" t="s">
        <v>20347</v>
      </c>
      <c r="AN1464" s="603">
        <v>0</v>
      </c>
      <c r="AO1464" s="603">
        <v>0</v>
      </c>
    </row>
    <row r="1465" spans="1:41" hidden="1">
      <c r="A1465" s="599" t="s">
        <v>320</v>
      </c>
      <c r="B1465" s="3" t="s">
        <v>320</v>
      </c>
      <c r="C1465" s="3">
        <v>0</v>
      </c>
      <c r="D1465" s="600" t="s">
        <v>19213</v>
      </c>
      <c r="E1465" s="3" t="s">
        <v>320</v>
      </c>
      <c r="F1465" s="601">
        <v>45272</v>
      </c>
      <c r="G1465" s="3">
        <v>2023</v>
      </c>
      <c r="H1465" s="586" t="s">
        <v>16384</v>
      </c>
      <c r="I1465" s="3" t="s">
        <v>16385</v>
      </c>
      <c r="J1465" s="3" t="s">
        <v>3</v>
      </c>
      <c r="K1465" s="54">
        <v>76032</v>
      </c>
      <c r="L1465" s="586">
        <v>1</v>
      </c>
      <c r="M1465" s="587">
        <v>76032</v>
      </c>
      <c r="N1465" s="3" t="s">
        <v>20155</v>
      </c>
      <c r="O1465" s="3" t="s">
        <v>17965</v>
      </c>
      <c r="P1465" s="875">
        <v>45282</v>
      </c>
      <c r="Q1465" s="466">
        <v>38400</v>
      </c>
      <c r="R1465" s="466">
        <v>0</v>
      </c>
      <c r="S1465" s="466">
        <v>0</v>
      </c>
      <c r="T1465" s="466">
        <v>0</v>
      </c>
      <c r="U1465" s="466">
        <v>38400</v>
      </c>
      <c r="V1465" s="51"/>
      <c r="W1465" s="602">
        <v>76032</v>
      </c>
      <c r="X1465" s="602">
        <v>0</v>
      </c>
      <c r="Y1465" s="602">
        <v>0</v>
      </c>
      <c r="Z1465" s="602">
        <v>0</v>
      </c>
      <c r="AA1465" s="495">
        <v>1.98</v>
      </c>
      <c r="AB1465" s="495"/>
      <c r="AC1465" s="495"/>
      <c r="AD1465" s="495"/>
      <c r="AE1465" s="602">
        <v>0</v>
      </c>
      <c r="AF1465" s="602">
        <v>0</v>
      </c>
      <c r="AG1465" s="602">
        <v>0</v>
      </c>
      <c r="AH1465" s="590">
        <v>1.98</v>
      </c>
      <c r="AI1465" s="590"/>
      <c r="AJ1465" s="590"/>
      <c r="AK1465" s="590"/>
      <c r="AL1465" s="603" t="s">
        <v>20345</v>
      </c>
      <c r="AM1465" s="603">
        <v>0</v>
      </c>
      <c r="AN1465" s="603">
        <v>0</v>
      </c>
      <c r="AO1465" s="603">
        <v>0</v>
      </c>
    </row>
    <row r="1466" spans="1:41" hidden="1">
      <c r="A1466" s="599" t="s">
        <v>321</v>
      </c>
      <c r="B1466" s="3" t="s">
        <v>321</v>
      </c>
      <c r="C1466" s="3">
        <v>0</v>
      </c>
      <c r="D1466" s="600" t="s">
        <v>19214</v>
      </c>
      <c r="E1466" s="3" t="s">
        <v>321</v>
      </c>
      <c r="F1466" s="601">
        <v>45272</v>
      </c>
      <c r="G1466" s="3">
        <v>2023</v>
      </c>
      <c r="H1466" s="586" t="s">
        <v>16384</v>
      </c>
      <c r="I1466" s="3" t="s">
        <v>16385</v>
      </c>
      <c r="J1466" s="3" t="s">
        <v>3</v>
      </c>
      <c r="K1466" s="54">
        <v>79296</v>
      </c>
      <c r="L1466" s="586">
        <v>1</v>
      </c>
      <c r="M1466" s="587">
        <v>79296</v>
      </c>
      <c r="N1466" s="3" t="s">
        <v>20155</v>
      </c>
      <c r="O1466" s="3" t="s">
        <v>17965</v>
      </c>
      <c r="P1466" s="875">
        <v>45282</v>
      </c>
      <c r="Q1466" s="466">
        <v>38400</v>
      </c>
      <c r="R1466" s="466">
        <v>0</v>
      </c>
      <c r="S1466" s="466">
        <v>0</v>
      </c>
      <c r="T1466" s="466">
        <v>0</v>
      </c>
      <c r="U1466" s="466">
        <v>38400</v>
      </c>
      <c r="V1466" s="51"/>
      <c r="W1466" s="602">
        <v>79296</v>
      </c>
      <c r="X1466" s="602">
        <v>0</v>
      </c>
      <c r="Y1466" s="602">
        <v>0</v>
      </c>
      <c r="Z1466" s="602">
        <v>0</v>
      </c>
      <c r="AA1466" s="495">
        <v>2.0649999999999999</v>
      </c>
      <c r="AB1466" s="495"/>
      <c r="AC1466" s="495"/>
      <c r="AD1466" s="495"/>
      <c r="AE1466" s="602">
        <v>0</v>
      </c>
      <c r="AF1466" s="602">
        <v>0</v>
      </c>
      <c r="AG1466" s="602">
        <v>0</v>
      </c>
      <c r="AH1466" s="590">
        <v>2.0649999999999999</v>
      </c>
      <c r="AI1466" s="590"/>
      <c r="AJ1466" s="590"/>
      <c r="AK1466" s="590"/>
      <c r="AL1466" s="603" t="s">
        <v>20345</v>
      </c>
      <c r="AM1466" s="603">
        <v>0</v>
      </c>
      <c r="AN1466" s="603">
        <v>0</v>
      </c>
      <c r="AO1466" s="603">
        <v>0</v>
      </c>
    </row>
    <row r="1467" spans="1:41" hidden="1">
      <c r="A1467" s="599" t="s">
        <v>322</v>
      </c>
      <c r="B1467" s="3" t="s">
        <v>322</v>
      </c>
      <c r="C1467" s="3">
        <v>0</v>
      </c>
      <c r="D1467" s="600" t="s">
        <v>19215</v>
      </c>
      <c r="E1467" s="3" t="s">
        <v>322</v>
      </c>
      <c r="F1467" s="601">
        <v>45272</v>
      </c>
      <c r="G1467" s="3">
        <v>2023</v>
      </c>
      <c r="H1467" s="586" t="s">
        <v>16444</v>
      </c>
      <c r="I1467" s="3" t="s">
        <v>16445</v>
      </c>
      <c r="J1467" s="3" t="s">
        <v>3</v>
      </c>
      <c r="K1467" s="54">
        <v>87696</v>
      </c>
      <c r="L1467" s="586">
        <v>1</v>
      </c>
      <c r="M1467" s="587">
        <v>87696</v>
      </c>
      <c r="N1467" s="3" t="s">
        <v>20155</v>
      </c>
      <c r="O1467" s="3" t="s">
        <v>17949</v>
      </c>
      <c r="P1467" s="875">
        <v>45288</v>
      </c>
      <c r="Q1467" s="466">
        <v>43200</v>
      </c>
      <c r="R1467" s="466">
        <v>0</v>
      </c>
      <c r="S1467" s="466">
        <v>0</v>
      </c>
      <c r="T1467" s="466">
        <v>0</v>
      </c>
      <c r="U1467" s="466">
        <v>43200</v>
      </c>
      <c r="V1467" s="51"/>
      <c r="W1467" s="602">
        <v>87696</v>
      </c>
      <c r="X1467" s="602">
        <v>0</v>
      </c>
      <c r="Y1467" s="602">
        <v>0</v>
      </c>
      <c r="Z1467" s="602">
        <v>0</v>
      </c>
      <c r="AA1467" s="495">
        <v>2.0299999999999998</v>
      </c>
      <c r="AB1467" s="495"/>
      <c r="AC1467" s="495"/>
      <c r="AD1467" s="495"/>
      <c r="AE1467" s="602">
        <v>0</v>
      </c>
      <c r="AF1467" s="602">
        <v>0</v>
      </c>
      <c r="AG1467" s="602">
        <v>0</v>
      </c>
      <c r="AH1467" s="590">
        <v>2.0299999999999998</v>
      </c>
      <c r="AI1467" s="590"/>
      <c r="AJ1467" s="590"/>
      <c r="AK1467" s="590"/>
      <c r="AL1467" s="603" t="s">
        <v>20345</v>
      </c>
      <c r="AM1467" s="603">
        <v>0</v>
      </c>
      <c r="AN1467" s="603">
        <v>0</v>
      </c>
      <c r="AO1467" s="603">
        <v>0</v>
      </c>
    </row>
    <row r="1468" spans="1:41" hidden="1">
      <c r="A1468" s="599" t="s">
        <v>323</v>
      </c>
      <c r="B1468" s="3" t="s">
        <v>323</v>
      </c>
      <c r="C1468" s="3">
        <v>0</v>
      </c>
      <c r="D1468" s="600" t="s">
        <v>19216</v>
      </c>
      <c r="E1468" s="3" t="s">
        <v>323</v>
      </c>
      <c r="F1468" s="601">
        <v>45272</v>
      </c>
      <c r="G1468" s="3">
        <v>2023</v>
      </c>
      <c r="H1468" s="586" t="s">
        <v>17132</v>
      </c>
      <c r="I1468" s="3" t="s">
        <v>17133</v>
      </c>
      <c r="J1468" s="3" t="s">
        <v>3</v>
      </c>
      <c r="K1468" s="54">
        <v>173217.6</v>
      </c>
      <c r="L1468" s="586">
        <v>1</v>
      </c>
      <c r="M1468" s="587">
        <v>173217.6</v>
      </c>
      <c r="N1468" s="3" t="s">
        <v>20155</v>
      </c>
      <c r="O1468" s="3" t="s">
        <v>17939</v>
      </c>
      <c r="P1468" s="875">
        <v>45287</v>
      </c>
      <c r="Q1468" s="466">
        <v>66000</v>
      </c>
      <c r="R1468" s="466">
        <v>0</v>
      </c>
      <c r="S1468" s="466">
        <v>35040</v>
      </c>
      <c r="T1468" s="466">
        <v>0</v>
      </c>
      <c r="U1468" s="466">
        <v>101040</v>
      </c>
      <c r="V1468" s="51"/>
      <c r="W1468" s="602">
        <v>122760</v>
      </c>
      <c r="X1468" s="602">
        <v>0</v>
      </c>
      <c r="Y1468" s="602">
        <v>50457.599999999999</v>
      </c>
      <c r="Z1468" s="602">
        <v>0</v>
      </c>
      <c r="AA1468" s="495">
        <v>1.86</v>
      </c>
      <c r="AB1468" s="495"/>
      <c r="AC1468" s="495">
        <v>1.44</v>
      </c>
      <c r="AD1468" s="495"/>
      <c r="AE1468" s="602">
        <v>0</v>
      </c>
      <c r="AF1468" s="602">
        <v>0</v>
      </c>
      <c r="AG1468" s="602">
        <v>0</v>
      </c>
      <c r="AH1468" s="590">
        <v>1.86</v>
      </c>
      <c r="AI1468" s="590"/>
      <c r="AJ1468" s="590">
        <v>1.44</v>
      </c>
      <c r="AK1468" s="590"/>
      <c r="AL1468" s="603" t="s">
        <v>20345</v>
      </c>
      <c r="AM1468" s="603">
        <v>0</v>
      </c>
      <c r="AN1468" s="603" t="s">
        <v>20347</v>
      </c>
      <c r="AO1468" s="603">
        <v>0</v>
      </c>
    </row>
    <row r="1469" spans="1:41" hidden="1">
      <c r="A1469" s="599" t="s">
        <v>324</v>
      </c>
      <c r="B1469" s="3" t="s">
        <v>324</v>
      </c>
      <c r="C1469" s="3">
        <v>0</v>
      </c>
      <c r="D1469" s="600" t="s">
        <v>19217</v>
      </c>
      <c r="E1469" s="3" t="s">
        <v>324</v>
      </c>
      <c r="F1469" s="601">
        <v>45273</v>
      </c>
      <c r="G1469" s="3">
        <v>2023</v>
      </c>
      <c r="H1469" s="586" t="s">
        <v>17342</v>
      </c>
      <c r="I1469" s="3" t="s">
        <v>17343</v>
      </c>
      <c r="J1469" s="3" t="s">
        <v>16482</v>
      </c>
      <c r="K1469" s="54">
        <v>83962.17895999999</v>
      </c>
      <c r="L1469" s="586">
        <v>3.3752499999999999</v>
      </c>
      <c r="M1469" s="587">
        <v>24875.84</v>
      </c>
      <c r="N1469" s="3" t="s">
        <v>20155</v>
      </c>
      <c r="O1469" s="3" t="s">
        <v>16394</v>
      </c>
      <c r="P1469" s="875">
        <v>45274</v>
      </c>
      <c r="Q1469" s="466">
        <v>0</v>
      </c>
      <c r="R1469" s="466">
        <v>17496</v>
      </c>
      <c r="S1469" s="466">
        <v>6000</v>
      </c>
      <c r="T1469" s="466">
        <v>0</v>
      </c>
      <c r="U1469" s="466">
        <v>23496</v>
      </c>
      <c r="V1469" s="51"/>
      <c r="W1469" s="602">
        <v>0</v>
      </c>
      <c r="X1469" s="602">
        <v>62557.122629050049</v>
      </c>
      <c r="Y1469" s="602">
        <v>21405.056330949941</v>
      </c>
      <c r="Z1469" s="602">
        <v>0</v>
      </c>
      <c r="AA1469" s="495"/>
      <c r="AB1469" s="495">
        <v>3.5755099810842506</v>
      </c>
      <c r="AC1469" s="495">
        <v>3.5675093884916569</v>
      </c>
      <c r="AD1469" s="495"/>
      <c r="AE1469" s="602">
        <v>2200.0769999999998</v>
      </c>
      <c r="AF1469" s="602">
        <v>24875.84</v>
      </c>
      <c r="AG1469" s="602">
        <v>1.0587265917602997</v>
      </c>
      <c r="AH1469" s="590"/>
      <c r="AI1469" s="590">
        <v>2.5167833893239511</v>
      </c>
      <c r="AJ1469" s="590">
        <v>2.5087827967313574</v>
      </c>
      <c r="AK1469" s="590"/>
      <c r="AL1469" s="603">
        <v>0</v>
      </c>
      <c r="AM1469" s="603">
        <v>1</v>
      </c>
      <c r="AN1469" s="603">
        <v>1</v>
      </c>
      <c r="AO1469" s="603">
        <v>0</v>
      </c>
    </row>
    <row r="1470" spans="1:41" hidden="1">
      <c r="A1470" s="599" t="s">
        <v>325</v>
      </c>
      <c r="B1470" s="3" t="s">
        <v>325</v>
      </c>
      <c r="C1470" s="3">
        <v>0</v>
      </c>
      <c r="D1470" s="600" t="s">
        <v>19218</v>
      </c>
      <c r="E1470" s="3" t="s">
        <v>325</v>
      </c>
      <c r="F1470" s="601">
        <v>45273</v>
      </c>
      <c r="G1470" s="3">
        <v>2023</v>
      </c>
      <c r="H1470" s="586" t="s">
        <v>16838</v>
      </c>
      <c r="I1470" s="3" t="s">
        <v>16839</v>
      </c>
      <c r="J1470" s="3" t="s">
        <v>3</v>
      </c>
      <c r="K1470" s="54">
        <v>135240</v>
      </c>
      <c r="L1470" s="586">
        <v>1</v>
      </c>
      <c r="M1470" s="587">
        <v>135240</v>
      </c>
      <c r="N1470" s="3" t="s">
        <v>20155</v>
      </c>
      <c r="O1470" s="3" t="s">
        <v>17771</v>
      </c>
      <c r="P1470" s="875">
        <v>45280</v>
      </c>
      <c r="Q1470" s="466">
        <v>0</v>
      </c>
      <c r="R1470" s="466">
        <v>0</v>
      </c>
      <c r="S1470" s="466">
        <v>84000</v>
      </c>
      <c r="T1470" s="466">
        <v>0</v>
      </c>
      <c r="U1470" s="466">
        <v>84000</v>
      </c>
      <c r="V1470" s="51"/>
      <c r="W1470" s="602">
        <v>0</v>
      </c>
      <c r="X1470" s="602">
        <v>0</v>
      </c>
      <c r="Y1470" s="602">
        <v>135240</v>
      </c>
      <c r="Z1470" s="602">
        <v>0</v>
      </c>
      <c r="AA1470" s="495"/>
      <c r="AB1470" s="495"/>
      <c r="AC1470" s="495">
        <v>1.61</v>
      </c>
      <c r="AD1470" s="495"/>
      <c r="AE1470" s="602">
        <v>0</v>
      </c>
      <c r="AF1470" s="602">
        <v>0</v>
      </c>
      <c r="AG1470" s="602">
        <v>0</v>
      </c>
      <c r="AH1470" s="590"/>
      <c r="AI1470" s="590"/>
      <c r="AJ1470" s="590">
        <v>1.61</v>
      </c>
      <c r="AK1470" s="590"/>
      <c r="AL1470" s="603">
        <v>0</v>
      </c>
      <c r="AM1470" s="603">
        <v>0</v>
      </c>
      <c r="AN1470" s="603" t="s">
        <v>20347</v>
      </c>
      <c r="AO1470" s="603">
        <v>0</v>
      </c>
    </row>
    <row r="1471" spans="1:41" hidden="1">
      <c r="A1471" s="599" t="s">
        <v>326</v>
      </c>
      <c r="B1471" s="3" t="s">
        <v>326</v>
      </c>
      <c r="C1471" s="3">
        <v>0</v>
      </c>
      <c r="D1471" s="600" t="s">
        <v>19219</v>
      </c>
      <c r="E1471" s="3" t="s">
        <v>326</v>
      </c>
      <c r="F1471" s="601">
        <v>45275</v>
      </c>
      <c r="G1471" s="3">
        <v>2023</v>
      </c>
      <c r="H1471" s="586" t="s">
        <v>17342</v>
      </c>
      <c r="I1471" s="3" t="s">
        <v>17343</v>
      </c>
      <c r="J1471" s="3" t="s">
        <v>16482</v>
      </c>
      <c r="K1471" s="54">
        <v>93065.301459000009</v>
      </c>
      <c r="L1471" s="586">
        <v>3.38585</v>
      </c>
      <c r="M1471" s="587">
        <v>27486.54</v>
      </c>
      <c r="N1471" s="3" t="s">
        <v>20155</v>
      </c>
      <c r="O1471" s="3" t="s">
        <v>16394</v>
      </c>
      <c r="P1471" s="875">
        <v>45279</v>
      </c>
      <c r="Q1471" s="466">
        <v>0</v>
      </c>
      <c r="R1471" s="466">
        <v>15840</v>
      </c>
      <c r="S1471" s="466">
        <v>6000</v>
      </c>
      <c r="T1471" s="466">
        <v>2120</v>
      </c>
      <c r="U1471" s="466">
        <v>23960</v>
      </c>
      <c r="V1471" s="51"/>
      <c r="W1471" s="602">
        <v>0</v>
      </c>
      <c r="X1471" s="602">
        <v>57963.423982241053</v>
      </c>
      <c r="Y1471" s="602">
        <v>21413.675491151917</v>
      </c>
      <c r="Z1471" s="602">
        <v>13688.188442207011</v>
      </c>
      <c r="AA1471" s="495"/>
      <c r="AB1471" s="495">
        <v>3.6593070695859251</v>
      </c>
      <c r="AC1471" s="495">
        <v>3.568945915191986</v>
      </c>
      <c r="AD1471" s="495">
        <v>6.4566926614184013</v>
      </c>
      <c r="AE1471" s="602">
        <v>2199.4380000000001</v>
      </c>
      <c r="AF1471" s="602">
        <v>30449.554</v>
      </c>
      <c r="AG1471" s="602">
        <v>1.2708494991652755</v>
      </c>
      <c r="AH1471" s="590"/>
      <c r="AI1471" s="590">
        <v>2.3884575704206497</v>
      </c>
      <c r="AJ1471" s="590">
        <v>2.2980964160267106</v>
      </c>
      <c r="AK1471" s="590">
        <v>5.1858431622531258</v>
      </c>
      <c r="AL1471" s="603">
        <v>0</v>
      </c>
      <c r="AM1471" s="603">
        <v>1</v>
      </c>
      <c r="AN1471" s="603">
        <v>1</v>
      </c>
      <c r="AO1471" s="603">
        <v>1</v>
      </c>
    </row>
    <row r="1472" spans="1:41" hidden="1">
      <c r="A1472" s="599" t="s">
        <v>327</v>
      </c>
      <c r="B1472" s="3" t="s">
        <v>327</v>
      </c>
      <c r="C1472" s="3">
        <v>0</v>
      </c>
      <c r="D1472" s="600" t="s">
        <v>19220</v>
      </c>
      <c r="E1472" s="3" t="s">
        <v>327</v>
      </c>
      <c r="F1472" s="601">
        <v>45278</v>
      </c>
      <c r="G1472" s="3">
        <v>2023</v>
      </c>
      <c r="H1472" s="586" t="s">
        <v>16444</v>
      </c>
      <c r="I1472" s="3" t="s">
        <v>16445</v>
      </c>
      <c r="J1472" s="3" t="s">
        <v>3</v>
      </c>
      <c r="K1472" s="54">
        <v>87151.679999999993</v>
      </c>
      <c r="L1472" s="586">
        <v>1</v>
      </c>
      <c r="M1472" s="587">
        <v>87151.679999999993</v>
      </c>
      <c r="N1472" s="3" t="s">
        <v>20155</v>
      </c>
      <c r="O1472" s="3" t="s">
        <v>17949</v>
      </c>
      <c r="P1472" s="875">
        <v>45281</v>
      </c>
      <c r="Q1472" s="466">
        <v>44016</v>
      </c>
      <c r="R1472" s="466">
        <v>0</v>
      </c>
      <c r="S1472" s="466">
        <v>0</v>
      </c>
      <c r="T1472" s="466">
        <v>0</v>
      </c>
      <c r="U1472" s="466">
        <v>44016</v>
      </c>
      <c r="V1472" s="51"/>
      <c r="W1472" s="602">
        <v>87151.679999999993</v>
      </c>
      <c r="X1472" s="602">
        <v>0</v>
      </c>
      <c r="Y1472" s="602">
        <v>0</v>
      </c>
      <c r="Z1472" s="602">
        <v>0</v>
      </c>
      <c r="AA1472" s="495">
        <v>1.9799999999999998</v>
      </c>
      <c r="AB1472" s="495"/>
      <c r="AC1472" s="495"/>
      <c r="AD1472" s="495"/>
      <c r="AE1472" s="602">
        <v>0</v>
      </c>
      <c r="AF1472" s="602">
        <v>0</v>
      </c>
      <c r="AG1472" s="602">
        <v>0</v>
      </c>
      <c r="AH1472" s="590">
        <v>1.9799999999999998</v>
      </c>
      <c r="AI1472" s="590"/>
      <c r="AJ1472" s="590"/>
      <c r="AK1472" s="590"/>
      <c r="AL1472" s="603" t="s">
        <v>20345</v>
      </c>
      <c r="AM1472" s="603">
        <v>0</v>
      </c>
      <c r="AN1472" s="603">
        <v>0</v>
      </c>
      <c r="AO1472" s="603">
        <v>0</v>
      </c>
    </row>
    <row r="1473" spans="1:41" hidden="1">
      <c r="A1473" s="599" t="s">
        <v>328</v>
      </c>
      <c r="B1473" s="3" t="s">
        <v>328</v>
      </c>
      <c r="C1473" s="3">
        <v>0</v>
      </c>
      <c r="D1473" s="600" t="s">
        <v>19221</v>
      </c>
      <c r="E1473" s="3" t="s">
        <v>328</v>
      </c>
      <c r="F1473" s="601">
        <v>45278</v>
      </c>
      <c r="G1473" s="3">
        <v>2023</v>
      </c>
      <c r="H1473" s="586" t="s">
        <v>17309</v>
      </c>
      <c r="I1473" s="3" t="s">
        <v>17310</v>
      </c>
      <c r="J1473" s="3" t="s">
        <v>3</v>
      </c>
      <c r="K1473" s="54">
        <v>168490</v>
      </c>
      <c r="L1473" s="586">
        <v>1</v>
      </c>
      <c r="M1473" s="587">
        <v>168490</v>
      </c>
      <c r="N1473" s="3" t="s">
        <v>20155</v>
      </c>
      <c r="O1473" s="3" t="s">
        <v>17854</v>
      </c>
      <c r="P1473" s="875">
        <v>45285</v>
      </c>
      <c r="Q1473" s="466">
        <v>83000</v>
      </c>
      <c r="R1473" s="466">
        <v>0</v>
      </c>
      <c r="S1473" s="466">
        <v>0</v>
      </c>
      <c r="T1473" s="466">
        <v>0</v>
      </c>
      <c r="U1473" s="466">
        <v>83000</v>
      </c>
      <c r="V1473" s="51"/>
      <c r="W1473" s="602">
        <v>168490</v>
      </c>
      <c r="X1473" s="602">
        <v>0</v>
      </c>
      <c r="Y1473" s="602">
        <v>0</v>
      </c>
      <c r="Z1473" s="602">
        <v>0</v>
      </c>
      <c r="AA1473" s="495">
        <v>2.0299999999999998</v>
      </c>
      <c r="AB1473" s="495"/>
      <c r="AC1473" s="495"/>
      <c r="AD1473" s="495"/>
      <c r="AE1473" s="602">
        <v>0</v>
      </c>
      <c r="AF1473" s="602">
        <v>0</v>
      </c>
      <c r="AG1473" s="602">
        <v>0</v>
      </c>
      <c r="AH1473" s="590">
        <v>2.0299999999999998</v>
      </c>
      <c r="AI1473" s="590"/>
      <c r="AJ1473" s="590"/>
      <c r="AK1473" s="590"/>
      <c r="AL1473" s="603" t="s">
        <v>20345</v>
      </c>
      <c r="AM1473" s="603">
        <v>0</v>
      </c>
      <c r="AN1473" s="603">
        <v>0</v>
      </c>
      <c r="AO1473" s="603">
        <v>0</v>
      </c>
    </row>
    <row r="1474" spans="1:41" hidden="1">
      <c r="A1474" s="599" t="s">
        <v>329</v>
      </c>
      <c r="B1474" s="3" t="s">
        <v>329</v>
      </c>
      <c r="C1474" s="3">
        <v>0</v>
      </c>
      <c r="D1474" s="600" t="s">
        <v>19222</v>
      </c>
      <c r="E1474" s="3" t="s">
        <v>329</v>
      </c>
      <c r="F1474" s="601">
        <v>45280</v>
      </c>
      <c r="G1474" s="3">
        <v>2023</v>
      </c>
      <c r="H1474" s="586" t="s">
        <v>16783</v>
      </c>
      <c r="I1474" s="3" t="s">
        <v>16784</v>
      </c>
      <c r="J1474" s="3" t="s">
        <v>16401</v>
      </c>
      <c r="K1474" s="54">
        <v>1063472.4273600001</v>
      </c>
      <c r="L1474" s="586">
        <v>3.0807000000000002</v>
      </c>
      <c r="M1474" s="587">
        <v>345204.8</v>
      </c>
      <c r="N1474" s="3" t="s">
        <v>20155</v>
      </c>
      <c r="O1474" s="3" t="s">
        <v>17939</v>
      </c>
      <c r="P1474" s="875">
        <v>45286</v>
      </c>
      <c r="Q1474" s="466">
        <v>216000</v>
      </c>
      <c r="R1474" s="466">
        <v>127142.40000000002</v>
      </c>
      <c r="S1474" s="466">
        <v>39417.599999999999</v>
      </c>
      <c r="T1474" s="466">
        <v>42000</v>
      </c>
      <c r="U1474" s="466">
        <v>424560</v>
      </c>
      <c r="V1474" s="51"/>
      <c r="W1474" s="602">
        <v>469128.9960000001</v>
      </c>
      <c r="X1474" s="602">
        <v>276139.75213440007</v>
      </c>
      <c r="Y1474" s="602">
        <v>85610.829225600013</v>
      </c>
      <c r="Z1474" s="602">
        <v>232592.84999999998</v>
      </c>
      <c r="AA1474" s="495">
        <v>2.1718935000000004</v>
      </c>
      <c r="AB1474" s="495">
        <v>2.1718935000000004</v>
      </c>
      <c r="AC1474" s="495">
        <v>2.1718935000000004</v>
      </c>
      <c r="AD1474" s="495">
        <v>5.5379249999999995</v>
      </c>
      <c r="AE1474" s="602">
        <v>0</v>
      </c>
      <c r="AF1474" s="602">
        <v>0</v>
      </c>
      <c r="AG1474" s="602">
        <v>0</v>
      </c>
      <c r="AH1474" s="590">
        <v>2.1718935000000004</v>
      </c>
      <c r="AI1474" s="590">
        <v>2.1718935000000004</v>
      </c>
      <c r="AJ1474" s="590">
        <v>2.1718935000000004</v>
      </c>
      <c r="AK1474" s="590">
        <v>5.5379249999999995</v>
      </c>
      <c r="AL1474" s="603" t="s">
        <v>20345</v>
      </c>
      <c r="AM1474" s="603" t="s">
        <v>20345</v>
      </c>
      <c r="AN1474" s="603" t="s">
        <v>20345</v>
      </c>
      <c r="AO1474" s="603">
        <v>1</v>
      </c>
    </row>
    <row r="1475" spans="1:41" hidden="1">
      <c r="A1475" s="599" t="s">
        <v>330</v>
      </c>
      <c r="B1475" s="3" t="s">
        <v>330</v>
      </c>
      <c r="C1475" s="3">
        <v>0</v>
      </c>
      <c r="D1475" s="600" t="s">
        <v>19223</v>
      </c>
      <c r="E1475" s="3" t="s">
        <v>330</v>
      </c>
      <c r="F1475" s="601">
        <v>45280</v>
      </c>
      <c r="G1475" s="3">
        <v>2023</v>
      </c>
      <c r="H1475" s="586" t="s">
        <v>17342</v>
      </c>
      <c r="I1475" s="3" t="s">
        <v>17343</v>
      </c>
      <c r="J1475" s="3" t="s">
        <v>16482</v>
      </c>
      <c r="K1475" s="54">
        <v>93999.743348999997</v>
      </c>
      <c r="L1475" s="586">
        <v>3.3920499999999998</v>
      </c>
      <c r="M1475" s="587">
        <v>27711.78</v>
      </c>
      <c r="N1475" s="3" t="s">
        <v>20155</v>
      </c>
      <c r="O1475" s="3" t="s">
        <v>16394</v>
      </c>
      <c r="P1475" s="875">
        <v>45286</v>
      </c>
      <c r="Q1475" s="466">
        <v>0</v>
      </c>
      <c r="R1475" s="466">
        <v>19776</v>
      </c>
      <c r="S1475" s="466">
        <v>3600</v>
      </c>
      <c r="T1475" s="466">
        <v>1120</v>
      </c>
      <c r="U1475" s="466">
        <v>24496</v>
      </c>
      <c r="V1475" s="51"/>
      <c r="W1475" s="602">
        <v>0</v>
      </c>
      <c r="X1475" s="602">
        <v>74017.159242759502</v>
      </c>
      <c r="Y1475" s="602">
        <v>12982.252275793599</v>
      </c>
      <c r="Z1475" s="602">
        <v>7000.3182622468967</v>
      </c>
      <c r="AA1475" s="495"/>
      <c r="AB1475" s="495">
        <v>3.7427770652689878</v>
      </c>
      <c r="AC1475" s="495">
        <v>3.6061811877204439</v>
      </c>
      <c r="AD1475" s="495">
        <v>6.2502841627204431</v>
      </c>
      <c r="AE1475" s="602">
        <v>1981.6487999999999</v>
      </c>
      <c r="AF1475" s="602">
        <v>29537.205000000002</v>
      </c>
      <c r="AG1475" s="602">
        <v>1.2057970689092097</v>
      </c>
      <c r="AH1475" s="590"/>
      <c r="AI1475" s="590">
        <v>2.5369799963597783</v>
      </c>
      <c r="AJ1475" s="590">
        <v>2.4003841188112345</v>
      </c>
      <c r="AK1475" s="590">
        <v>5.0444870938112336</v>
      </c>
      <c r="AL1475" s="603">
        <v>0</v>
      </c>
      <c r="AM1475" s="603">
        <v>1</v>
      </c>
      <c r="AN1475" s="603">
        <v>1</v>
      </c>
      <c r="AO1475" s="603">
        <v>1</v>
      </c>
    </row>
    <row r="1476" spans="1:41" hidden="1">
      <c r="A1476" s="599" t="s">
        <v>331</v>
      </c>
      <c r="B1476" s="3" t="s">
        <v>331</v>
      </c>
      <c r="C1476" s="3">
        <v>0</v>
      </c>
      <c r="D1476" s="600" t="s">
        <v>19224</v>
      </c>
      <c r="E1476" s="3" t="s">
        <v>331</v>
      </c>
      <c r="F1476" s="601">
        <v>45280</v>
      </c>
      <c r="G1476" s="3">
        <v>2023</v>
      </c>
      <c r="H1476" s="586" t="s">
        <v>17342</v>
      </c>
      <c r="I1476" s="3" t="s">
        <v>17343</v>
      </c>
      <c r="J1476" s="3" t="s">
        <v>16482</v>
      </c>
      <c r="K1476" s="54">
        <v>170164.71804000001</v>
      </c>
      <c r="L1476" s="586">
        <v>3.3945500000000002</v>
      </c>
      <c r="M1476" s="587">
        <v>50128.800000000003</v>
      </c>
      <c r="N1476" s="3" t="s">
        <v>20155</v>
      </c>
      <c r="O1476" s="3" t="s">
        <v>16394</v>
      </c>
      <c r="P1476" s="875">
        <v>45287</v>
      </c>
      <c r="Q1476" s="466">
        <v>0</v>
      </c>
      <c r="R1476" s="466">
        <v>36072</v>
      </c>
      <c r="S1476" s="466">
        <v>6000</v>
      </c>
      <c r="T1476" s="466">
        <v>2940</v>
      </c>
      <c r="U1476" s="466">
        <v>45012</v>
      </c>
      <c r="V1476" s="51"/>
      <c r="W1476" s="602">
        <v>0</v>
      </c>
      <c r="X1476" s="602">
        <v>131036.01202187169</v>
      </c>
      <c r="Y1476" s="602">
        <v>21660.910426126364</v>
      </c>
      <c r="Z1476" s="602">
        <v>17467.782013801916</v>
      </c>
      <c r="AA1476" s="495"/>
      <c r="AB1476" s="495">
        <v>3.6326239748800093</v>
      </c>
      <c r="AC1476" s="495">
        <v>3.6101517376877275</v>
      </c>
      <c r="AD1476" s="495">
        <v>5.9414224536741207</v>
      </c>
      <c r="AE1476" s="602">
        <v>4424.4359999999997</v>
      </c>
      <c r="AF1476" s="602">
        <v>58885.271999999997</v>
      </c>
      <c r="AG1476" s="602">
        <v>1.3082127432684616</v>
      </c>
      <c r="AH1476" s="590"/>
      <c r="AI1476" s="590">
        <v>2.3244112316115477</v>
      </c>
      <c r="AJ1476" s="590">
        <v>2.3019389944192659</v>
      </c>
      <c r="AK1476" s="590">
        <v>4.6332097104056587</v>
      </c>
      <c r="AL1476" s="603">
        <v>0</v>
      </c>
      <c r="AM1476" s="603">
        <v>1</v>
      </c>
      <c r="AN1476" s="603">
        <v>1</v>
      </c>
      <c r="AO1476" s="603">
        <v>1</v>
      </c>
    </row>
    <row r="1477" spans="1:41" hidden="1">
      <c r="A1477" s="599" t="s">
        <v>332</v>
      </c>
      <c r="B1477" s="3" t="s">
        <v>332</v>
      </c>
      <c r="C1477" s="3">
        <v>0</v>
      </c>
      <c r="D1477" s="600" t="s">
        <v>20365</v>
      </c>
      <c r="E1477" s="3" t="s">
        <v>332</v>
      </c>
      <c r="F1477" s="601">
        <v>45281</v>
      </c>
      <c r="G1477" s="3">
        <v>2023</v>
      </c>
      <c r="H1477" s="586" t="s">
        <v>16700</v>
      </c>
      <c r="I1477" s="3" t="s">
        <v>16701</v>
      </c>
      <c r="J1477" s="3" t="s">
        <v>16401</v>
      </c>
      <c r="K1477" s="54">
        <v>0</v>
      </c>
      <c r="L1477" s="586"/>
      <c r="M1477" s="587">
        <v>72823.199999999997</v>
      </c>
      <c r="N1477" s="3" t="s">
        <v>20164</v>
      </c>
      <c r="O1477" s="3" t="s">
        <v>17949</v>
      </c>
      <c r="P1477" s="875">
        <v>0</v>
      </c>
      <c r="Q1477" s="466">
        <v>110040</v>
      </c>
      <c r="R1477" s="466">
        <v>0</v>
      </c>
      <c r="S1477" s="466">
        <v>0</v>
      </c>
      <c r="T1477" s="466">
        <v>0</v>
      </c>
      <c r="U1477" s="466">
        <v>110040</v>
      </c>
      <c r="V1477" s="51"/>
      <c r="W1477" s="602" t="e">
        <v>#N/A</v>
      </c>
      <c r="X1477" s="602" t="e">
        <v>#N/A</v>
      </c>
      <c r="Y1477" s="602" t="e">
        <v>#N/A</v>
      </c>
      <c r="Z1477" s="602" t="e">
        <v>#N/A</v>
      </c>
      <c r="AA1477" s="495" t="e">
        <v>#N/A</v>
      </c>
      <c r="AB1477" s="495" t="e">
        <v>#N/A</v>
      </c>
      <c r="AC1477" s="495" t="e">
        <v>#N/A</v>
      </c>
      <c r="AD1477" s="495" t="e">
        <v>#N/A</v>
      </c>
      <c r="AE1477" s="602" t="e">
        <v>#N/A</v>
      </c>
      <c r="AF1477" s="602" t="e">
        <v>#N/A</v>
      </c>
      <c r="AG1477" s="602" t="e">
        <v>#N/A</v>
      </c>
      <c r="AH1477" s="615" t="e">
        <v>#N/A</v>
      </c>
      <c r="AI1477" s="615" t="e">
        <v>#N/A</v>
      </c>
      <c r="AJ1477" s="615" t="e">
        <v>#N/A</v>
      </c>
      <c r="AK1477" s="615" t="e">
        <v>#N/A</v>
      </c>
      <c r="AL1477" s="603" t="s">
        <v>20345</v>
      </c>
      <c r="AM1477" s="603">
        <v>0</v>
      </c>
      <c r="AN1477" s="603">
        <v>0</v>
      </c>
      <c r="AO1477" s="603">
        <v>0</v>
      </c>
    </row>
    <row r="1478" spans="1:41" hidden="1">
      <c r="A1478" s="599" t="s">
        <v>333</v>
      </c>
      <c r="B1478" s="3" t="s">
        <v>333</v>
      </c>
      <c r="C1478" s="3">
        <v>0</v>
      </c>
      <c r="D1478" s="600" t="s">
        <v>19225</v>
      </c>
      <c r="E1478" s="3" t="s">
        <v>333</v>
      </c>
      <c r="F1478" s="601">
        <v>45281</v>
      </c>
      <c r="G1478" s="3">
        <v>2023</v>
      </c>
      <c r="H1478" s="586" t="s">
        <v>17017</v>
      </c>
      <c r="I1478" s="3" t="s">
        <v>17018</v>
      </c>
      <c r="J1478" s="3" t="s">
        <v>3</v>
      </c>
      <c r="K1478" s="54">
        <v>246000</v>
      </c>
      <c r="L1478" s="586">
        <v>1</v>
      </c>
      <c r="M1478" s="587">
        <v>246000</v>
      </c>
      <c r="N1478" s="3" t="s">
        <v>20155</v>
      </c>
      <c r="O1478" s="3" t="s">
        <v>18283</v>
      </c>
      <c r="P1478" s="875">
        <v>45288</v>
      </c>
      <c r="Q1478" s="466">
        <v>0</v>
      </c>
      <c r="R1478" s="466">
        <v>102500</v>
      </c>
      <c r="S1478" s="466">
        <v>0</v>
      </c>
      <c r="T1478" s="466">
        <v>0</v>
      </c>
      <c r="U1478" s="466">
        <v>102500</v>
      </c>
      <c r="V1478" s="51"/>
      <c r="W1478" s="602">
        <v>0</v>
      </c>
      <c r="X1478" s="602">
        <v>246000</v>
      </c>
      <c r="Y1478" s="602">
        <v>0</v>
      </c>
      <c r="Z1478" s="602">
        <v>0</v>
      </c>
      <c r="AA1478" s="495"/>
      <c r="AB1478" s="495">
        <v>2.4</v>
      </c>
      <c r="AC1478" s="495"/>
      <c r="AD1478" s="495"/>
      <c r="AE1478" s="602">
        <v>0</v>
      </c>
      <c r="AF1478" s="602">
        <v>0</v>
      </c>
      <c r="AG1478" s="602">
        <v>0</v>
      </c>
      <c r="AH1478" s="590"/>
      <c r="AI1478" s="590">
        <v>2.4</v>
      </c>
      <c r="AJ1478" s="590"/>
      <c r="AK1478" s="590"/>
      <c r="AL1478" s="603">
        <v>0</v>
      </c>
      <c r="AM1478" s="603">
        <v>1</v>
      </c>
      <c r="AN1478" s="603">
        <v>0</v>
      </c>
      <c r="AO1478" s="603">
        <v>0</v>
      </c>
    </row>
    <row r="1479" spans="1:41" hidden="1">
      <c r="A1479" s="599" t="s">
        <v>334</v>
      </c>
      <c r="B1479" s="3" t="s">
        <v>334</v>
      </c>
      <c r="C1479" s="3">
        <v>0</v>
      </c>
      <c r="D1479" s="600" t="s">
        <v>19226</v>
      </c>
      <c r="E1479" s="3" t="s">
        <v>334</v>
      </c>
      <c r="F1479" s="601">
        <v>45281</v>
      </c>
      <c r="G1479" s="3">
        <v>2023</v>
      </c>
      <c r="H1479" s="586" t="s">
        <v>17132</v>
      </c>
      <c r="I1479" s="3" t="s">
        <v>17133</v>
      </c>
      <c r="J1479" s="3" t="s">
        <v>3</v>
      </c>
      <c r="K1479" s="54">
        <v>122760</v>
      </c>
      <c r="L1479" s="586">
        <v>1</v>
      </c>
      <c r="M1479" s="587">
        <v>122760</v>
      </c>
      <c r="N1479" s="3" t="s">
        <v>20155</v>
      </c>
      <c r="O1479" s="3" t="s">
        <v>17939</v>
      </c>
      <c r="P1479" s="875">
        <v>45287</v>
      </c>
      <c r="Q1479" s="466">
        <v>66000</v>
      </c>
      <c r="R1479" s="466">
        <v>0</v>
      </c>
      <c r="S1479" s="466">
        <v>0</v>
      </c>
      <c r="T1479" s="466">
        <v>0</v>
      </c>
      <c r="U1479" s="466">
        <v>66000</v>
      </c>
      <c r="V1479" s="51"/>
      <c r="W1479" s="602">
        <v>122760</v>
      </c>
      <c r="X1479" s="602">
        <v>0</v>
      </c>
      <c r="Y1479" s="602">
        <v>0</v>
      </c>
      <c r="Z1479" s="602">
        <v>0</v>
      </c>
      <c r="AA1479" s="495">
        <v>1.86</v>
      </c>
      <c r="AB1479" s="495"/>
      <c r="AC1479" s="495"/>
      <c r="AD1479" s="495"/>
      <c r="AE1479" s="602">
        <v>0</v>
      </c>
      <c r="AF1479" s="602">
        <v>0</v>
      </c>
      <c r="AG1479" s="602">
        <v>0</v>
      </c>
      <c r="AH1479" s="590">
        <v>1.86</v>
      </c>
      <c r="AI1479" s="590"/>
      <c r="AJ1479" s="590"/>
      <c r="AK1479" s="590"/>
      <c r="AL1479" s="603" t="s">
        <v>20345</v>
      </c>
      <c r="AM1479" s="603">
        <v>0</v>
      </c>
      <c r="AN1479" s="603">
        <v>0</v>
      </c>
      <c r="AO1479" s="603">
        <v>0</v>
      </c>
    </row>
    <row r="1480" spans="1:41" hidden="1">
      <c r="A1480" s="599" t="s">
        <v>335</v>
      </c>
      <c r="B1480" s="3" t="s">
        <v>335</v>
      </c>
      <c r="C1480" s="3">
        <v>0</v>
      </c>
      <c r="D1480" s="600" t="s">
        <v>19227</v>
      </c>
      <c r="E1480" s="3" t="s">
        <v>335</v>
      </c>
      <c r="F1480" s="601">
        <v>45282</v>
      </c>
      <c r="G1480" s="3">
        <v>2023</v>
      </c>
      <c r="H1480" s="586" t="s">
        <v>20366</v>
      </c>
      <c r="I1480" s="3" t="s">
        <v>17343</v>
      </c>
      <c r="J1480" s="3" t="s">
        <v>16482</v>
      </c>
      <c r="K1480" s="54">
        <v>61466.949907000009</v>
      </c>
      <c r="L1480" s="586">
        <v>3.3945500000000002</v>
      </c>
      <c r="M1480" s="587">
        <v>18107.54</v>
      </c>
      <c r="N1480" s="3" t="s">
        <v>20155</v>
      </c>
      <c r="O1480" s="3" t="s">
        <v>16394</v>
      </c>
      <c r="P1480" s="875">
        <v>45287</v>
      </c>
      <c r="Q1480" s="466">
        <v>0</v>
      </c>
      <c r="R1480" s="466">
        <v>14424</v>
      </c>
      <c r="S1480" s="466">
        <v>2400</v>
      </c>
      <c r="T1480" s="466">
        <v>0</v>
      </c>
      <c r="U1480" s="466">
        <v>16824</v>
      </c>
      <c r="V1480" s="51"/>
      <c r="W1480" s="602">
        <v>0</v>
      </c>
      <c r="X1480" s="602">
        <v>52742.704580782869</v>
      </c>
      <c r="Y1480" s="602">
        <v>8724.2317480171187</v>
      </c>
      <c r="Z1480" s="602">
        <v>0</v>
      </c>
      <c r="AA1480" s="495"/>
      <c r="AB1480" s="495">
        <v>3.6565934956172259</v>
      </c>
      <c r="AC1480" s="495">
        <v>3.6350965616737994</v>
      </c>
      <c r="AD1480" s="495"/>
      <c r="AE1480" s="602">
        <v>1472.6930399999999</v>
      </c>
      <c r="AF1480" s="602">
        <v>9692.9279999999999</v>
      </c>
      <c r="AG1480" s="602">
        <v>0.57613694721825959</v>
      </c>
      <c r="AH1480" s="590"/>
      <c r="AI1480" s="590">
        <v>3.0804565483989661</v>
      </c>
      <c r="AJ1480" s="590">
        <v>3.0589596144555395</v>
      </c>
      <c r="AK1480" s="590"/>
      <c r="AL1480" s="603">
        <v>0</v>
      </c>
      <c r="AM1480" s="603">
        <v>1</v>
      </c>
      <c r="AN1480" s="603">
        <v>1</v>
      </c>
      <c r="AO1480" s="603">
        <v>0</v>
      </c>
    </row>
    <row r="1481" spans="1:41" hidden="1">
      <c r="A1481" s="599" t="s">
        <v>336</v>
      </c>
      <c r="B1481" s="3" t="s">
        <v>336</v>
      </c>
      <c r="C1481" s="3">
        <v>0</v>
      </c>
      <c r="D1481" s="600" t="s">
        <v>19228</v>
      </c>
      <c r="E1481" s="3" t="s">
        <v>336</v>
      </c>
      <c r="F1481" s="601">
        <v>45288</v>
      </c>
      <c r="G1481" s="3">
        <v>2023</v>
      </c>
      <c r="H1481" s="586" t="s">
        <v>16444</v>
      </c>
      <c r="I1481" s="3" t="s">
        <v>16445</v>
      </c>
      <c r="J1481" s="3" t="s">
        <v>3</v>
      </c>
      <c r="K1481" s="54">
        <v>38976</v>
      </c>
      <c r="L1481" s="586">
        <v>1</v>
      </c>
      <c r="M1481" s="587">
        <v>38976</v>
      </c>
      <c r="N1481" s="3" t="s">
        <v>20155</v>
      </c>
      <c r="O1481" s="3" t="s">
        <v>18248</v>
      </c>
      <c r="P1481" s="875">
        <v>45288</v>
      </c>
      <c r="Q1481" s="466">
        <v>19200</v>
      </c>
      <c r="R1481" s="466">
        <v>0</v>
      </c>
      <c r="S1481" s="466">
        <v>0</v>
      </c>
      <c r="T1481" s="466">
        <v>0</v>
      </c>
      <c r="U1481" s="466">
        <v>19200</v>
      </c>
      <c r="V1481" s="51"/>
      <c r="W1481" s="602">
        <v>38976</v>
      </c>
      <c r="X1481" s="602">
        <v>0</v>
      </c>
      <c r="Y1481" s="602">
        <v>0</v>
      </c>
      <c r="Z1481" s="602">
        <v>0</v>
      </c>
      <c r="AA1481" s="495">
        <v>2.0299999999999998</v>
      </c>
      <c r="AB1481" s="495"/>
      <c r="AC1481" s="495"/>
      <c r="AD1481" s="495"/>
      <c r="AE1481" s="602">
        <v>0</v>
      </c>
      <c r="AF1481" s="602">
        <v>0</v>
      </c>
      <c r="AG1481" s="602">
        <v>0</v>
      </c>
      <c r="AH1481" s="590">
        <v>2.0299999999999998</v>
      </c>
      <c r="AI1481" s="590"/>
      <c r="AJ1481" s="590"/>
      <c r="AK1481" s="590"/>
      <c r="AL1481" s="603" t="s">
        <v>20345</v>
      </c>
      <c r="AM1481" s="603">
        <v>0</v>
      </c>
      <c r="AN1481" s="603">
        <v>0</v>
      </c>
      <c r="AO1481" s="603">
        <v>0</v>
      </c>
    </row>
    <row r="1482" spans="1:41" hidden="1">
      <c r="A1482" s="599" t="s">
        <v>337</v>
      </c>
      <c r="B1482" s="3" t="s">
        <v>337</v>
      </c>
      <c r="C1482" s="3">
        <v>0</v>
      </c>
      <c r="D1482" s="600" t="s">
        <v>19229</v>
      </c>
      <c r="E1482" s="3" t="s">
        <v>337</v>
      </c>
      <c r="F1482" s="601">
        <v>45282</v>
      </c>
      <c r="G1482" s="3">
        <v>2023</v>
      </c>
      <c r="H1482" s="586" t="s">
        <v>16444</v>
      </c>
      <c r="I1482" s="3" t="s">
        <v>16445</v>
      </c>
      <c r="J1482" s="3" t="s">
        <v>3</v>
      </c>
      <c r="K1482" s="54">
        <v>39744</v>
      </c>
      <c r="L1482" s="586">
        <v>1</v>
      </c>
      <c r="M1482" s="587">
        <v>39744</v>
      </c>
      <c r="N1482" s="3" t="s">
        <v>20155</v>
      </c>
      <c r="O1482" s="3" t="s">
        <v>18248</v>
      </c>
      <c r="P1482" s="875">
        <v>45288</v>
      </c>
      <c r="Q1482" s="466">
        <v>0</v>
      </c>
      <c r="R1482" s="466">
        <v>21600</v>
      </c>
      <c r="S1482" s="466">
        <v>0</v>
      </c>
      <c r="T1482" s="466">
        <v>0</v>
      </c>
      <c r="U1482" s="466">
        <v>21600</v>
      </c>
      <c r="V1482" s="51"/>
      <c r="W1482" s="602">
        <v>0</v>
      </c>
      <c r="X1482" s="602">
        <v>39744</v>
      </c>
      <c r="Y1482" s="602">
        <v>0</v>
      </c>
      <c r="Z1482" s="602">
        <v>0</v>
      </c>
      <c r="AA1482" s="495"/>
      <c r="AB1482" s="495">
        <v>1.84</v>
      </c>
      <c r="AC1482" s="495"/>
      <c r="AD1482" s="495"/>
      <c r="AE1482" s="602">
        <v>0</v>
      </c>
      <c r="AF1482" s="602">
        <v>0</v>
      </c>
      <c r="AG1482" s="602">
        <v>0</v>
      </c>
      <c r="AH1482" s="590"/>
      <c r="AI1482" s="590">
        <v>1.84</v>
      </c>
      <c r="AJ1482" s="590"/>
      <c r="AK1482" s="590"/>
      <c r="AL1482" s="603">
        <v>0</v>
      </c>
      <c r="AM1482" s="603" t="s">
        <v>20346</v>
      </c>
      <c r="AN1482" s="603">
        <v>0</v>
      </c>
      <c r="AO1482" s="603">
        <v>0</v>
      </c>
    </row>
    <row r="1483" spans="1:41" hidden="1">
      <c r="A1483" s="342">
        <v>1</v>
      </c>
      <c r="B1483" s="277" t="s">
        <v>20181</v>
      </c>
      <c r="C1483" s="277">
        <v>0</v>
      </c>
      <c r="D1483" s="343" t="s">
        <v>19230</v>
      </c>
      <c r="E1483" s="277" t="s">
        <v>20181</v>
      </c>
      <c r="F1483" s="344">
        <v>45296</v>
      </c>
      <c r="G1483" s="277">
        <v>2024</v>
      </c>
      <c r="H1483" s="345" t="s">
        <v>16838</v>
      </c>
      <c r="I1483" s="277" t="s">
        <v>16839</v>
      </c>
      <c r="J1483" s="277" t="s">
        <v>3</v>
      </c>
      <c r="K1483" s="278">
        <v>257175</v>
      </c>
      <c r="L1483" s="345">
        <v>1</v>
      </c>
      <c r="M1483" s="346">
        <v>257175</v>
      </c>
      <c r="N1483" s="277" t="s">
        <v>20155</v>
      </c>
      <c r="O1483" s="277" t="s">
        <v>20321</v>
      </c>
      <c r="P1483" s="890">
        <v>45303</v>
      </c>
      <c r="Q1483" s="616">
        <v>0</v>
      </c>
      <c r="R1483" s="616">
        <v>157500</v>
      </c>
      <c r="S1483" s="347">
        <v>0</v>
      </c>
      <c r="T1483" s="347">
        <v>0</v>
      </c>
      <c r="U1483" s="347">
        <v>157500</v>
      </c>
      <c r="V1483" s="348"/>
      <c r="W1483" s="349">
        <v>0</v>
      </c>
      <c r="X1483" s="349">
        <v>257175</v>
      </c>
      <c r="Y1483" s="349">
        <v>0</v>
      </c>
      <c r="Z1483" s="349">
        <v>0</v>
      </c>
      <c r="AA1483" s="350"/>
      <c r="AB1483" s="350">
        <v>1.6328571428571428</v>
      </c>
      <c r="AC1483" s="350"/>
      <c r="AD1483" s="350"/>
      <c r="AE1483" s="349">
        <v>0</v>
      </c>
      <c r="AF1483" s="349">
        <v>0</v>
      </c>
      <c r="AG1483" s="349">
        <v>0</v>
      </c>
      <c r="AH1483" s="351"/>
      <c r="AI1483" s="351">
        <v>1.6328571428571428</v>
      </c>
      <c r="AJ1483" s="351"/>
      <c r="AK1483" s="351"/>
      <c r="AL1483" s="352" t="s">
        <v>20345</v>
      </c>
      <c r="AM1483" s="352">
        <v>0</v>
      </c>
      <c r="AN1483" s="352">
        <v>0</v>
      </c>
      <c r="AO1483" s="352">
        <v>0</v>
      </c>
    </row>
    <row r="1484" spans="1:41" hidden="1">
      <c r="A1484" s="342">
        <v>2</v>
      </c>
      <c r="B1484" s="277" t="s">
        <v>20182</v>
      </c>
      <c r="C1484" s="277">
        <v>0</v>
      </c>
      <c r="D1484" s="343" t="s">
        <v>19231</v>
      </c>
      <c r="E1484" s="277" t="s">
        <v>20182</v>
      </c>
      <c r="F1484" s="344">
        <v>45297</v>
      </c>
      <c r="G1484" s="277">
        <v>2024</v>
      </c>
      <c r="H1484" s="345" t="s">
        <v>16700</v>
      </c>
      <c r="I1484" s="277" t="s">
        <v>16701</v>
      </c>
      <c r="J1484" s="277" t="s">
        <v>16401</v>
      </c>
      <c r="K1484" s="278">
        <v>246593.91983999999</v>
      </c>
      <c r="L1484" s="345">
        <v>3.3862000000000001</v>
      </c>
      <c r="M1484" s="346">
        <v>72823.199999999997</v>
      </c>
      <c r="N1484" s="277" t="s">
        <v>20155</v>
      </c>
      <c r="O1484" s="277" t="s">
        <v>17949</v>
      </c>
      <c r="P1484" s="890">
        <v>45300</v>
      </c>
      <c r="Q1484" s="347">
        <v>110040</v>
      </c>
      <c r="R1484" s="347">
        <v>0</v>
      </c>
      <c r="S1484" s="347">
        <v>0</v>
      </c>
      <c r="T1484" s="347">
        <v>0</v>
      </c>
      <c r="U1484" s="347">
        <v>110040</v>
      </c>
      <c r="V1484" s="348"/>
      <c r="W1484" s="349">
        <v>246593.91983999999</v>
      </c>
      <c r="X1484" s="349">
        <v>0</v>
      </c>
      <c r="Y1484" s="349">
        <v>0</v>
      </c>
      <c r="Z1484" s="349">
        <v>0</v>
      </c>
      <c r="AA1484" s="350">
        <v>2.2409480174482006</v>
      </c>
      <c r="AB1484" s="350"/>
      <c r="AC1484" s="350"/>
      <c r="AD1484" s="350"/>
      <c r="AE1484" s="349">
        <v>7579.1790000000001</v>
      </c>
      <c r="AF1484" s="349">
        <v>38578.834999999999</v>
      </c>
      <c r="AG1484" s="349">
        <v>0.35058919483824064</v>
      </c>
      <c r="AH1484" s="351">
        <v>1.8903588226099599</v>
      </c>
      <c r="AI1484" s="351"/>
      <c r="AJ1484" s="351"/>
      <c r="AK1484" s="351"/>
      <c r="AL1484" s="352" t="s">
        <v>20345</v>
      </c>
      <c r="AM1484" s="352">
        <v>0</v>
      </c>
      <c r="AN1484" s="352">
        <v>0</v>
      </c>
      <c r="AO1484" s="352">
        <v>0</v>
      </c>
    </row>
    <row r="1485" spans="1:41" hidden="1">
      <c r="A1485" s="342">
        <v>3</v>
      </c>
      <c r="B1485" s="277" t="s">
        <v>20183</v>
      </c>
      <c r="C1485" s="277">
        <v>0</v>
      </c>
      <c r="D1485" s="343" t="s">
        <v>19232</v>
      </c>
      <c r="E1485" s="277" t="s">
        <v>20183</v>
      </c>
      <c r="F1485" s="344">
        <v>45297</v>
      </c>
      <c r="G1485" s="277">
        <v>2024</v>
      </c>
      <c r="H1485" s="345" t="s">
        <v>16444</v>
      </c>
      <c r="I1485" s="277" t="s">
        <v>16445</v>
      </c>
      <c r="J1485" s="277" t="s">
        <v>3</v>
      </c>
      <c r="K1485" s="278">
        <v>105510.6</v>
      </c>
      <c r="L1485" s="345">
        <v>1</v>
      </c>
      <c r="M1485" s="346">
        <v>105510.6</v>
      </c>
      <c r="N1485" s="277" t="s">
        <v>20155</v>
      </c>
      <c r="O1485" s="277" t="s">
        <v>18248</v>
      </c>
      <c r="P1485" s="890">
        <v>45306</v>
      </c>
      <c r="Q1485" s="347">
        <v>15444</v>
      </c>
      <c r="R1485" s="347">
        <v>39792</v>
      </c>
      <c r="S1485" s="347">
        <v>600</v>
      </c>
      <c r="T1485" s="347">
        <v>0</v>
      </c>
      <c r="U1485" s="347">
        <v>55836</v>
      </c>
      <c r="V1485" s="348"/>
      <c r="W1485" s="349">
        <v>31351.32</v>
      </c>
      <c r="X1485" s="349">
        <v>73217.279999999999</v>
      </c>
      <c r="Y1485" s="349">
        <v>942</v>
      </c>
      <c r="Z1485" s="349">
        <v>0</v>
      </c>
      <c r="AA1485" s="350">
        <v>2.0299999999999998</v>
      </c>
      <c r="AB1485" s="350">
        <v>1.84</v>
      </c>
      <c r="AC1485" s="350">
        <v>1.57</v>
      </c>
      <c r="AD1485" s="350"/>
      <c r="AE1485" s="349">
        <v>0</v>
      </c>
      <c r="AF1485" s="349">
        <v>0</v>
      </c>
      <c r="AG1485" s="349">
        <v>0</v>
      </c>
      <c r="AH1485" s="351">
        <v>2.0299999999999998</v>
      </c>
      <c r="AI1485" s="351">
        <v>1.84</v>
      </c>
      <c r="AJ1485" s="351">
        <v>1.57</v>
      </c>
      <c r="AK1485" s="351"/>
      <c r="AL1485" s="352" t="s">
        <v>20345</v>
      </c>
      <c r="AM1485" s="352" t="s">
        <v>20346</v>
      </c>
      <c r="AN1485" s="352" t="s">
        <v>20347</v>
      </c>
      <c r="AO1485" s="352">
        <v>0</v>
      </c>
    </row>
    <row r="1486" spans="1:41" hidden="1">
      <c r="A1486" s="342">
        <v>4</v>
      </c>
      <c r="B1486" s="277" t="s">
        <v>20184</v>
      </c>
      <c r="C1486" s="277">
        <v>0</v>
      </c>
      <c r="D1486" s="343" t="s">
        <v>19233</v>
      </c>
      <c r="E1486" s="277" t="s">
        <v>20184</v>
      </c>
      <c r="F1486" s="344">
        <v>45297</v>
      </c>
      <c r="G1486" s="277">
        <v>2024</v>
      </c>
      <c r="H1486" s="345" t="s">
        <v>16444</v>
      </c>
      <c r="I1486" s="277" t="s">
        <v>16445</v>
      </c>
      <c r="J1486" s="277" t="s">
        <v>3</v>
      </c>
      <c r="K1486" s="278">
        <v>105534.96</v>
      </c>
      <c r="L1486" s="345">
        <v>1</v>
      </c>
      <c r="M1486" s="346">
        <v>105534.96</v>
      </c>
      <c r="N1486" s="277" t="s">
        <v>20155</v>
      </c>
      <c r="O1486" s="277" t="s">
        <v>18248</v>
      </c>
      <c r="P1486" s="890">
        <v>45306</v>
      </c>
      <c r="Q1486" s="347">
        <v>15456</v>
      </c>
      <c r="R1486" s="347">
        <v>39792</v>
      </c>
      <c r="S1486" s="347">
        <v>600</v>
      </c>
      <c r="T1486" s="347">
        <v>0</v>
      </c>
      <c r="U1486" s="347">
        <v>55848</v>
      </c>
      <c r="V1486" s="348"/>
      <c r="W1486" s="349">
        <v>31375.68</v>
      </c>
      <c r="X1486" s="349">
        <v>73217.279999999999</v>
      </c>
      <c r="Y1486" s="349">
        <v>942</v>
      </c>
      <c r="Z1486" s="349">
        <v>0</v>
      </c>
      <c r="AA1486" s="350">
        <v>2.0299999999999998</v>
      </c>
      <c r="AB1486" s="350">
        <v>1.84</v>
      </c>
      <c r="AC1486" s="350">
        <v>1.57</v>
      </c>
      <c r="AD1486" s="350"/>
      <c r="AE1486" s="349">
        <v>0</v>
      </c>
      <c r="AF1486" s="349">
        <v>0</v>
      </c>
      <c r="AG1486" s="349">
        <v>0</v>
      </c>
      <c r="AH1486" s="351">
        <v>2.0299999999999998</v>
      </c>
      <c r="AI1486" s="351">
        <v>1.84</v>
      </c>
      <c r="AJ1486" s="351">
        <v>1.57</v>
      </c>
      <c r="AK1486" s="351"/>
      <c r="AL1486" s="352" t="s">
        <v>20345</v>
      </c>
      <c r="AM1486" s="352" t="s">
        <v>20346</v>
      </c>
      <c r="AN1486" s="352" t="s">
        <v>20347</v>
      </c>
      <c r="AO1486" s="352">
        <v>0</v>
      </c>
    </row>
    <row r="1487" spans="1:41" hidden="1">
      <c r="A1487" s="342">
        <v>5</v>
      </c>
      <c r="B1487" s="277" t="s">
        <v>20185</v>
      </c>
      <c r="C1487" s="277">
        <v>0</v>
      </c>
      <c r="D1487" s="343" t="s">
        <v>19234</v>
      </c>
      <c r="E1487" s="277" t="s">
        <v>20185</v>
      </c>
      <c r="F1487" s="344">
        <v>45299</v>
      </c>
      <c r="G1487" s="277">
        <v>2024</v>
      </c>
      <c r="H1487" s="383" t="s">
        <v>16643</v>
      </c>
      <c r="I1487" s="277" t="s">
        <v>16644</v>
      </c>
      <c r="J1487" s="277" t="s">
        <v>16482</v>
      </c>
      <c r="K1487" s="278">
        <v>91470.715500000006</v>
      </c>
      <c r="L1487" s="383">
        <v>3.3865500000000002</v>
      </c>
      <c r="M1487" s="384">
        <v>27010</v>
      </c>
      <c r="N1487" s="277" t="s">
        <v>20155</v>
      </c>
      <c r="O1487" s="277" t="s">
        <v>18227</v>
      </c>
      <c r="P1487" s="890">
        <v>45308</v>
      </c>
      <c r="Q1487" s="347">
        <v>0</v>
      </c>
      <c r="R1487" s="347">
        <v>40800</v>
      </c>
      <c r="S1487" s="347">
        <v>0</v>
      </c>
      <c r="T1487" s="347">
        <v>0</v>
      </c>
      <c r="U1487" s="347">
        <v>40800</v>
      </c>
      <c r="V1487" s="348"/>
      <c r="W1487" s="349">
        <v>0</v>
      </c>
      <c r="X1487" s="349">
        <v>91470.715499999991</v>
      </c>
      <c r="Y1487" s="349">
        <v>0</v>
      </c>
      <c r="Z1487" s="349">
        <v>0</v>
      </c>
      <c r="AA1487" s="350"/>
      <c r="AB1487" s="350">
        <v>2.2419293014705879</v>
      </c>
      <c r="AC1487" s="350"/>
      <c r="AD1487" s="350"/>
      <c r="AE1487" s="349">
        <v>2965.22</v>
      </c>
      <c r="AF1487" s="349">
        <v>15057.66</v>
      </c>
      <c r="AG1487" s="349">
        <v>0.36906029411764707</v>
      </c>
      <c r="AH1487" s="351"/>
      <c r="AI1487" s="351">
        <v>1.8728690073529408</v>
      </c>
      <c r="AJ1487" s="351"/>
      <c r="AK1487" s="351"/>
      <c r="AL1487" s="352">
        <v>0</v>
      </c>
      <c r="AM1487" s="352" t="s">
        <v>20346</v>
      </c>
      <c r="AN1487" s="352">
        <v>0</v>
      </c>
      <c r="AO1487" s="352">
        <v>0</v>
      </c>
    </row>
    <row r="1488" spans="1:41" hidden="1">
      <c r="A1488" s="342">
        <v>6</v>
      </c>
      <c r="B1488" s="277" t="s">
        <v>20186</v>
      </c>
      <c r="C1488" s="277">
        <v>0</v>
      </c>
      <c r="D1488" s="343" t="s">
        <v>19235</v>
      </c>
      <c r="E1488" s="277" t="s">
        <v>20186</v>
      </c>
      <c r="F1488" s="344">
        <v>45299</v>
      </c>
      <c r="G1488" s="277">
        <v>2024</v>
      </c>
      <c r="H1488" s="383" t="s">
        <v>17304</v>
      </c>
      <c r="I1488" s="277" t="s">
        <v>17305</v>
      </c>
      <c r="J1488" s="277" t="s">
        <v>17306</v>
      </c>
      <c r="K1488" s="278">
        <v>22519.554700000001</v>
      </c>
      <c r="L1488" s="383">
        <v>2.3163499999999999</v>
      </c>
      <c r="M1488" s="384">
        <v>9722</v>
      </c>
      <c r="N1488" s="277" t="s">
        <v>20155</v>
      </c>
      <c r="O1488" s="277" t="s">
        <v>17954</v>
      </c>
      <c r="P1488" s="890">
        <v>45318</v>
      </c>
      <c r="Q1488" s="347">
        <v>0</v>
      </c>
      <c r="R1488" s="347">
        <v>0</v>
      </c>
      <c r="S1488" s="347">
        <v>4320</v>
      </c>
      <c r="T1488" s="347">
        <v>400</v>
      </c>
      <c r="U1488" s="347">
        <v>4720</v>
      </c>
      <c r="V1488" s="348"/>
      <c r="W1488" s="349">
        <v>0</v>
      </c>
      <c r="X1488" s="349">
        <v>0</v>
      </c>
      <c r="Y1488" s="349">
        <v>19746.137806779661</v>
      </c>
      <c r="Z1488" s="349">
        <v>2773.4168932203388</v>
      </c>
      <c r="AA1488" s="350"/>
      <c r="AB1488" s="350"/>
      <c r="AC1488" s="350">
        <v>4.5708652330508475</v>
      </c>
      <c r="AD1488" s="350">
        <v>6.9335422330508472</v>
      </c>
      <c r="AE1488" s="349">
        <v>733.30499999999995</v>
      </c>
      <c r="AF1488" s="349">
        <v>5780.2449999999999</v>
      </c>
      <c r="AG1488" s="349">
        <v>1.2246281779661017</v>
      </c>
      <c r="AH1488" s="351"/>
      <c r="AI1488" s="351"/>
      <c r="AJ1488" s="351">
        <v>3.346237055084746</v>
      </c>
      <c r="AK1488" s="351">
        <v>5.7089140550847457</v>
      </c>
      <c r="AL1488" s="352">
        <v>0</v>
      </c>
      <c r="AM1488" s="352">
        <v>0</v>
      </c>
      <c r="AN1488" s="352">
        <v>1</v>
      </c>
      <c r="AO1488" s="352">
        <v>1</v>
      </c>
    </row>
    <row r="1489" spans="1:41" hidden="1">
      <c r="A1489" s="342">
        <v>7</v>
      </c>
      <c r="B1489" s="277" t="s">
        <v>20187</v>
      </c>
      <c r="C1489" s="277">
        <v>0</v>
      </c>
      <c r="D1489" s="343" t="s">
        <v>19236</v>
      </c>
      <c r="E1489" s="277" t="s">
        <v>20187</v>
      </c>
      <c r="F1489" s="344">
        <v>45299</v>
      </c>
      <c r="G1489" s="277">
        <v>2024</v>
      </c>
      <c r="H1489" s="383" t="s">
        <v>16783</v>
      </c>
      <c r="I1489" s="277" t="s">
        <v>16784</v>
      </c>
      <c r="J1489" s="277" t="s">
        <v>16401</v>
      </c>
      <c r="K1489" s="278">
        <v>154435.29999999999</v>
      </c>
      <c r="L1489" s="383">
        <v>3.0979999999999999</v>
      </c>
      <c r="M1489" s="384">
        <v>49850</v>
      </c>
      <c r="N1489" s="277" t="s">
        <v>20155</v>
      </c>
      <c r="O1489" s="277" t="s">
        <v>17939</v>
      </c>
      <c r="P1489" s="890">
        <v>45303</v>
      </c>
      <c r="Q1489" s="347">
        <v>0</v>
      </c>
      <c r="R1489" s="347">
        <v>25000</v>
      </c>
      <c r="S1489" s="347">
        <v>10000</v>
      </c>
      <c r="T1489" s="347">
        <v>0</v>
      </c>
      <c r="U1489" s="347">
        <v>35000</v>
      </c>
      <c r="V1489" s="348"/>
      <c r="W1489" s="349">
        <v>0</v>
      </c>
      <c r="X1489" s="349">
        <v>0</v>
      </c>
      <c r="Y1489" s="349">
        <v>0</v>
      </c>
      <c r="Z1489" s="349">
        <v>154435.29999999999</v>
      </c>
      <c r="AA1489" s="350"/>
      <c r="AB1489" s="350">
        <v>0</v>
      </c>
      <c r="AC1489" s="350">
        <v>0</v>
      </c>
      <c r="AD1489" s="350"/>
      <c r="AE1489" s="349">
        <v>0</v>
      </c>
      <c r="AF1489" s="349">
        <v>0</v>
      </c>
      <c r="AG1489" s="349">
        <v>0</v>
      </c>
      <c r="AH1489" s="351"/>
      <c r="AI1489" s="351"/>
      <c r="AJ1489" s="351"/>
      <c r="AK1489" s="351"/>
      <c r="AL1489" s="352">
        <v>0</v>
      </c>
      <c r="AM1489" s="352" t="s">
        <v>20345</v>
      </c>
      <c r="AN1489" s="352" t="s">
        <v>20345</v>
      </c>
      <c r="AO1489" s="352">
        <v>0</v>
      </c>
    </row>
    <row r="1490" spans="1:41" hidden="1">
      <c r="A1490" s="342">
        <v>8</v>
      </c>
      <c r="B1490" s="277" t="s">
        <v>20188</v>
      </c>
      <c r="C1490" s="277">
        <v>0</v>
      </c>
      <c r="D1490" s="343" t="s">
        <v>19237</v>
      </c>
      <c r="E1490" s="277" t="s">
        <v>20188</v>
      </c>
      <c r="F1490" s="344">
        <v>45300</v>
      </c>
      <c r="G1490" s="277">
        <v>2024</v>
      </c>
      <c r="H1490" s="383" t="s">
        <v>16444</v>
      </c>
      <c r="I1490" s="277" t="s">
        <v>16445</v>
      </c>
      <c r="J1490" s="277" t="s">
        <v>3</v>
      </c>
      <c r="K1490" s="278">
        <v>39425</v>
      </c>
      <c r="L1490" s="383">
        <v>1</v>
      </c>
      <c r="M1490" s="384">
        <v>39425</v>
      </c>
      <c r="N1490" s="277" t="s">
        <v>20155</v>
      </c>
      <c r="O1490" s="277" t="s">
        <v>17693</v>
      </c>
      <c r="P1490" s="890">
        <v>45309</v>
      </c>
      <c r="Q1490" s="347">
        <v>20750</v>
      </c>
      <c r="R1490" s="347">
        <v>0</v>
      </c>
      <c r="S1490" s="347">
        <v>0</v>
      </c>
      <c r="T1490" s="347">
        <v>0</v>
      </c>
      <c r="U1490" s="347">
        <v>20750</v>
      </c>
      <c r="V1490" s="348"/>
      <c r="W1490" s="349">
        <v>39425</v>
      </c>
      <c r="X1490" s="349">
        <v>0</v>
      </c>
      <c r="Y1490" s="349">
        <v>0</v>
      </c>
      <c r="Z1490" s="349">
        <v>0</v>
      </c>
      <c r="AA1490" s="350">
        <v>1.9</v>
      </c>
      <c r="AB1490" s="350"/>
      <c r="AC1490" s="350"/>
      <c r="AD1490" s="350"/>
      <c r="AE1490" s="349">
        <v>0</v>
      </c>
      <c r="AF1490" s="349">
        <v>0</v>
      </c>
      <c r="AG1490" s="349">
        <v>0</v>
      </c>
      <c r="AH1490" s="351">
        <v>1.9</v>
      </c>
      <c r="AI1490" s="351"/>
      <c r="AJ1490" s="351"/>
      <c r="AK1490" s="351"/>
      <c r="AL1490" s="352" t="s">
        <v>20345</v>
      </c>
      <c r="AM1490" s="352">
        <v>0</v>
      </c>
      <c r="AN1490" s="352">
        <v>0</v>
      </c>
      <c r="AO1490" s="352">
        <v>0</v>
      </c>
    </row>
    <row r="1491" spans="1:41" hidden="1">
      <c r="A1491" s="342">
        <v>9</v>
      </c>
      <c r="B1491" s="277" t="s">
        <v>20189</v>
      </c>
      <c r="C1491" s="277">
        <v>0</v>
      </c>
      <c r="D1491" s="343" t="s">
        <v>19238</v>
      </c>
      <c r="E1491" s="277" t="s">
        <v>20189</v>
      </c>
      <c r="F1491" s="344">
        <v>45300</v>
      </c>
      <c r="G1491" s="277">
        <v>2024</v>
      </c>
      <c r="H1491" s="383" t="s">
        <v>16838</v>
      </c>
      <c r="I1491" s="277" t="s">
        <v>16839</v>
      </c>
      <c r="J1491" s="277" t="s">
        <v>3</v>
      </c>
      <c r="K1491" s="278">
        <v>145927.20000000001</v>
      </c>
      <c r="L1491" s="383">
        <v>1</v>
      </c>
      <c r="M1491" s="384">
        <v>145927.20000000001</v>
      </c>
      <c r="N1491" s="277" t="s">
        <v>20155</v>
      </c>
      <c r="O1491" s="277" t="s">
        <v>17771</v>
      </c>
      <c r="P1491" s="890">
        <v>45308</v>
      </c>
      <c r="Q1491" s="347">
        <v>6000</v>
      </c>
      <c r="R1491" s="347">
        <v>21840</v>
      </c>
      <c r="S1491" s="347">
        <v>56000</v>
      </c>
      <c r="T1491" s="347">
        <v>0</v>
      </c>
      <c r="U1491" s="347">
        <v>83840</v>
      </c>
      <c r="V1491" s="348"/>
      <c r="W1491" s="349">
        <v>11880</v>
      </c>
      <c r="X1491" s="349">
        <v>39967.199999999997</v>
      </c>
      <c r="Y1491" s="349">
        <v>94080</v>
      </c>
      <c r="Z1491" s="349">
        <v>0</v>
      </c>
      <c r="AA1491" s="350">
        <v>1.98</v>
      </c>
      <c r="AB1491" s="350">
        <v>1.8299999999999998</v>
      </c>
      <c r="AC1491" s="350">
        <v>1.68</v>
      </c>
      <c r="AD1491" s="350"/>
      <c r="AE1491" s="349">
        <v>0</v>
      </c>
      <c r="AF1491" s="349">
        <v>0</v>
      </c>
      <c r="AG1491" s="349">
        <v>0</v>
      </c>
      <c r="AH1491" s="351">
        <v>1.98</v>
      </c>
      <c r="AI1491" s="351">
        <v>1.8299999999999998</v>
      </c>
      <c r="AJ1491" s="351">
        <v>1.68</v>
      </c>
      <c r="AK1491" s="351"/>
      <c r="AL1491" s="352" t="s">
        <v>20345</v>
      </c>
      <c r="AM1491" s="352" t="s">
        <v>20346</v>
      </c>
      <c r="AN1491" s="352" t="s">
        <v>20347</v>
      </c>
      <c r="AO1491" s="352">
        <v>0</v>
      </c>
    </row>
    <row r="1492" spans="1:41" hidden="1">
      <c r="A1492" s="342">
        <v>10</v>
      </c>
      <c r="B1492" s="277" t="s">
        <v>20190</v>
      </c>
      <c r="C1492" s="277">
        <v>0</v>
      </c>
      <c r="D1492" s="343" t="s">
        <v>19239</v>
      </c>
      <c r="E1492" s="277" t="s">
        <v>20190</v>
      </c>
      <c r="F1492" s="344">
        <v>45300</v>
      </c>
      <c r="G1492" s="277">
        <v>2024</v>
      </c>
      <c r="H1492" s="383" t="s">
        <v>16904</v>
      </c>
      <c r="I1492" s="277" t="s">
        <v>16905</v>
      </c>
      <c r="J1492" s="277" t="s">
        <v>16482</v>
      </c>
      <c r="K1492" s="278">
        <v>75384.702533999996</v>
      </c>
      <c r="L1492" s="383">
        <v>3.3893499999999999</v>
      </c>
      <c r="M1492" s="384">
        <v>22241.64</v>
      </c>
      <c r="N1492" s="277" t="s">
        <v>20155</v>
      </c>
      <c r="O1492" s="277" t="s">
        <v>20160</v>
      </c>
      <c r="P1492" s="890">
        <v>45309</v>
      </c>
      <c r="Q1492" s="347">
        <v>0</v>
      </c>
      <c r="R1492" s="347">
        <v>23976</v>
      </c>
      <c r="S1492" s="347">
        <v>0</v>
      </c>
      <c r="T1492" s="347">
        <v>0</v>
      </c>
      <c r="U1492" s="347">
        <v>23976</v>
      </c>
      <c r="V1492" s="348"/>
      <c r="W1492" s="349">
        <v>0</v>
      </c>
      <c r="X1492" s="349">
        <v>75384.702534000011</v>
      </c>
      <c r="Y1492" s="349">
        <v>0</v>
      </c>
      <c r="Z1492" s="349">
        <v>0</v>
      </c>
      <c r="AA1492" s="350"/>
      <c r="AB1492" s="350">
        <v>3.1441734456956962</v>
      </c>
      <c r="AC1492" s="350"/>
      <c r="AD1492" s="350"/>
      <c r="AE1492" s="349">
        <v>3078.0749999999998</v>
      </c>
      <c r="AF1492" s="349">
        <v>14025.295</v>
      </c>
      <c r="AG1492" s="349">
        <v>0.58497226393059731</v>
      </c>
      <c r="AH1492" s="351"/>
      <c r="AI1492" s="351">
        <v>2.5592011817650988</v>
      </c>
      <c r="AJ1492" s="351"/>
      <c r="AK1492" s="351"/>
      <c r="AL1492" s="352">
        <v>0</v>
      </c>
      <c r="AM1492" s="352">
        <v>1</v>
      </c>
      <c r="AN1492" s="352">
        <v>0</v>
      </c>
      <c r="AO1492" s="352">
        <v>0</v>
      </c>
    </row>
    <row r="1493" spans="1:41" hidden="1">
      <c r="A1493" s="342">
        <v>11</v>
      </c>
      <c r="B1493" s="277" t="s">
        <v>20191</v>
      </c>
      <c r="C1493" s="277">
        <v>0</v>
      </c>
      <c r="D1493" s="343" t="s">
        <v>19240</v>
      </c>
      <c r="E1493" s="277" t="s">
        <v>20191</v>
      </c>
      <c r="F1493" s="344">
        <v>45300</v>
      </c>
      <c r="G1493" s="277">
        <v>2024</v>
      </c>
      <c r="H1493" s="383" t="s">
        <v>17364</v>
      </c>
      <c r="I1493" s="277" t="s">
        <v>17365</v>
      </c>
      <c r="J1493" s="277" t="s">
        <v>16401</v>
      </c>
      <c r="K1493" s="278">
        <v>57638.806776000005</v>
      </c>
      <c r="L1493" s="383">
        <v>3.1112000000000002</v>
      </c>
      <c r="M1493" s="384">
        <v>18526.23</v>
      </c>
      <c r="N1493" s="277" t="s">
        <v>20155</v>
      </c>
      <c r="O1493" s="277" t="s">
        <v>20367</v>
      </c>
      <c r="P1493" s="890">
        <v>45314</v>
      </c>
      <c r="Q1493" s="347">
        <v>0</v>
      </c>
      <c r="R1493" s="347">
        <v>21005</v>
      </c>
      <c r="S1493" s="347">
        <v>0</v>
      </c>
      <c r="T1493" s="347">
        <v>0</v>
      </c>
      <c r="U1493" s="347">
        <v>21005</v>
      </c>
      <c r="V1493" s="348"/>
      <c r="W1493" s="349">
        <v>0</v>
      </c>
      <c r="X1493" s="349">
        <v>57638.817976320002</v>
      </c>
      <c r="Y1493" s="349">
        <v>0</v>
      </c>
      <c r="Z1493" s="349">
        <v>0</v>
      </c>
      <c r="AA1493" s="350"/>
      <c r="AB1493" s="350">
        <v>2.7440522721409191</v>
      </c>
      <c r="AC1493" s="350"/>
      <c r="AD1493" s="350"/>
      <c r="AE1493" s="349">
        <v>1773</v>
      </c>
      <c r="AF1493" s="349">
        <v>8764.06</v>
      </c>
      <c r="AG1493" s="349">
        <v>0.41723684836943581</v>
      </c>
      <c r="AH1493" s="351"/>
      <c r="AI1493" s="351">
        <v>2.3268154237714831</v>
      </c>
      <c r="AJ1493" s="351"/>
      <c r="AK1493" s="351"/>
      <c r="AL1493" s="352">
        <v>0</v>
      </c>
      <c r="AM1493" s="352" t="s">
        <v>20346</v>
      </c>
      <c r="AN1493" s="352">
        <v>0</v>
      </c>
      <c r="AO1493" s="352">
        <v>0</v>
      </c>
    </row>
    <row r="1494" spans="1:41" hidden="1">
      <c r="A1494" s="342">
        <v>12</v>
      </c>
      <c r="B1494" s="277" t="s">
        <v>20192</v>
      </c>
      <c r="C1494" s="277">
        <v>0</v>
      </c>
      <c r="D1494" s="343" t="s">
        <v>19242</v>
      </c>
      <c r="E1494" s="277" t="s">
        <v>20192</v>
      </c>
      <c r="F1494" s="344">
        <v>45301</v>
      </c>
      <c r="G1494" s="277">
        <v>2024</v>
      </c>
      <c r="H1494" s="383" t="s">
        <v>17342</v>
      </c>
      <c r="I1494" s="277" t="s">
        <v>17343</v>
      </c>
      <c r="J1494" s="277" t="s">
        <v>16482</v>
      </c>
      <c r="K1494" s="278">
        <v>82512.932138000004</v>
      </c>
      <c r="L1494" s="383">
        <v>3.3900999999999999</v>
      </c>
      <c r="M1494" s="384">
        <v>24339.38</v>
      </c>
      <c r="N1494" s="277" t="s">
        <v>20155</v>
      </c>
      <c r="O1494" s="277" t="s">
        <v>16394</v>
      </c>
      <c r="P1494" s="890">
        <v>45307</v>
      </c>
      <c r="Q1494" s="347">
        <v>0</v>
      </c>
      <c r="R1494" s="347">
        <v>18144</v>
      </c>
      <c r="S1494" s="347">
        <v>3600</v>
      </c>
      <c r="T1494" s="347">
        <v>1120</v>
      </c>
      <c r="U1494" s="347">
        <v>22864</v>
      </c>
      <c r="V1494" s="348"/>
      <c r="W1494" s="349">
        <v>0</v>
      </c>
      <c r="X1494" s="349">
        <v>60343.710499391462</v>
      </c>
      <c r="Y1494" s="349">
        <v>12490.739705752272</v>
      </c>
      <c r="Z1494" s="349">
        <v>9678.4683724562619</v>
      </c>
      <c r="AA1494" s="350"/>
      <c r="AB1494" s="350">
        <v>3.3258217867830391</v>
      </c>
      <c r="AC1494" s="350">
        <v>3.46964991826452</v>
      </c>
      <c r="AD1494" s="350">
        <v>8.6414896182645204</v>
      </c>
      <c r="AE1494" s="349">
        <v>1360.6560000000002</v>
      </c>
      <c r="AF1494" s="349">
        <v>11273.321</v>
      </c>
      <c r="AG1494" s="349">
        <v>0.49305987578726379</v>
      </c>
      <c r="AH1494" s="351"/>
      <c r="AI1494" s="351">
        <v>2.8327619109957753</v>
      </c>
      <c r="AJ1494" s="351">
        <v>2.9765900424772562</v>
      </c>
      <c r="AK1494" s="351">
        <v>8.1484297424772567</v>
      </c>
      <c r="AL1494" s="352">
        <v>0</v>
      </c>
      <c r="AM1494" s="352">
        <v>1</v>
      </c>
      <c r="AN1494" s="352">
        <v>1</v>
      </c>
      <c r="AO1494" s="352">
        <v>1</v>
      </c>
    </row>
    <row r="1495" spans="1:41" hidden="1">
      <c r="A1495" s="342">
        <v>13</v>
      </c>
      <c r="B1495" s="277" t="s">
        <v>20193</v>
      </c>
      <c r="C1495" s="277">
        <v>0</v>
      </c>
      <c r="D1495" s="343" t="s">
        <v>19243</v>
      </c>
      <c r="E1495" s="277" t="s">
        <v>20193</v>
      </c>
      <c r="F1495" s="344">
        <v>45301</v>
      </c>
      <c r="G1495" s="277">
        <v>2024</v>
      </c>
      <c r="H1495" s="383" t="s">
        <v>16880</v>
      </c>
      <c r="I1495" s="277" t="s">
        <v>16881</v>
      </c>
      <c r="J1495" s="277" t="s">
        <v>16401</v>
      </c>
      <c r="K1495" s="278">
        <v>96192.656839999996</v>
      </c>
      <c r="L1495" s="383">
        <v>3.1084999999999998</v>
      </c>
      <c r="M1495" s="384">
        <v>30945.040000000001</v>
      </c>
      <c r="N1495" s="277" t="s">
        <v>20155</v>
      </c>
      <c r="O1495" s="277" t="s">
        <v>20156</v>
      </c>
      <c r="P1495" s="890">
        <v>45317</v>
      </c>
      <c r="Q1495" s="347">
        <v>2570</v>
      </c>
      <c r="R1495" s="347">
        <v>19150</v>
      </c>
      <c r="S1495" s="347">
        <v>0</v>
      </c>
      <c r="T1495" s="347">
        <v>0</v>
      </c>
      <c r="U1495" s="347">
        <v>21720</v>
      </c>
      <c r="V1495" s="348"/>
      <c r="W1495" s="349">
        <v>8635.8481900000006</v>
      </c>
      <c r="X1495" s="349">
        <v>87556.808650000006</v>
      </c>
      <c r="Y1495" s="349">
        <v>0</v>
      </c>
      <c r="Z1495" s="349">
        <v>0</v>
      </c>
      <c r="AA1495" s="350">
        <v>3.3602522140077822</v>
      </c>
      <c r="AB1495" s="350">
        <v>4.5721571096605746</v>
      </c>
      <c r="AC1495" s="350"/>
      <c r="AD1495" s="350"/>
      <c r="AE1495" s="349">
        <v>0</v>
      </c>
      <c r="AF1495" s="349">
        <v>2281.92</v>
      </c>
      <c r="AG1495" s="349">
        <v>0.10506077348066299</v>
      </c>
      <c r="AH1495" s="351">
        <v>3.2551914405271192</v>
      </c>
      <c r="AI1495" s="351">
        <v>4.4670963361799121</v>
      </c>
      <c r="AJ1495" s="351"/>
      <c r="AK1495" s="351"/>
      <c r="AL1495" s="352">
        <v>1</v>
      </c>
      <c r="AM1495" s="352">
        <v>1</v>
      </c>
      <c r="AN1495" s="352">
        <v>0</v>
      </c>
      <c r="AO1495" s="352">
        <v>0</v>
      </c>
    </row>
    <row r="1496" spans="1:41" hidden="1">
      <c r="A1496" s="342">
        <v>14</v>
      </c>
      <c r="B1496" s="277" t="s">
        <v>20194</v>
      </c>
      <c r="C1496" s="277">
        <v>0</v>
      </c>
      <c r="D1496" s="343" t="s">
        <v>19244</v>
      </c>
      <c r="E1496" s="277" t="s">
        <v>20194</v>
      </c>
      <c r="F1496" s="344">
        <v>45302</v>
      </c>
      <c r="G1496" s="277">
        <v>2024</v>
      </c>
      <c r="H1496" s="383" t="s">
        <v>16444</v>
      </c>
      <c r="I1496" s="277" t="s">
        <v>16445</v>
      </c>
      <c r="J1496" s="277" t="s">
        <v>3</v>
      </c>
      <c r="K1496" s="278">
        <v>38976</v>
      </c>
      <c r="L1496" s="383">
        <v>1</v>
      </c>
      <c r="M1496" s="384">
        <v>38976</v>
      </c>
      <c r="N1496" s="277" t="s">
        <v>20155</v>
      </c>
      <c r="O1496" s="277" t="s">
        <v>17965</v>
      </c>
      <c r="P1496" s="890">
        <v>45309</v>
      </c>
      <c r="Q1496" s="347">
        <v>19200</v>
      </c>
      <c r="R1496" s="347">
        <v>0</v>
      </c>
      <c r="S1496" s="347">
        <v>0</v>
      </c>
      <c r="T1496" s="347">
        <v>0</v>
      </c>
      <c r="U1496" s="347">
        <v>19200</v>
      </c>
      <c r="V1496" s="348"/>
      <c r="W1496" s="349">
        <v>38976</v>
      </c>
      <c r="X1496" s="349">
        <v>0</v>
      </c>
      <c r="Y1496" s="349">
        <v>0</v>
      </c>
      <c r="Z1496" s="349">
        <v>0</v>
      </c>
      <c r="AA1496" s="350">
        <v>2.0299999999999998</v>
      </c>
      <c r="AB1496" s="350"/>
      <c r="AC1496" s="350"/>
      <c r="AD1496" s="350"/>
      <c r="AE1496" s="349">
        <v>0</v>
      </c>
      <c r="AF1496" s="349">
        <v>0</v>
      </c>
      <c r="AG1496" s="349">
        <v>0</v>
      </c>
      <c r="AH1496" s="351">
        <v>2.0299999999999998</v>
      </c>
      <c r="AI1496" s="351"/>
      <c r="AJ1496" s="351"/>
      <c r="AK1496" s="351"/>
      <c r="AL1496" s="352" t="s">
        <v>20345</v>
      </c>
      <c r="AM1496" s="352">
        <v>0</v>
      </c>
      <c r="AN1496" s="352">
        <v>0</v>
      </c>
      <c r="AO1496" s="352">
        <v>0</v>
      </c>
    </row>
    <row r="1497" spans="1:41" hidden="1">
      <c r="A1497" s="342">
        <v>15</v>
      </c>
      <c r="B1497" s="277" t="s">
        <v>20196</v>
      </c>
      <c r="C1497" s="277">
        <v>0</v>
      </c>
      <c r="D1497" s="343" t="s">
        <v>19245</v>
      </c>
      <c r="E1497" s="277" t="s">
        <v>20196</v>
      </c>
      <c r="F1497" s="344">
        <v>45302</v>
      </c>
      <c r="G1497" s="277">
        <v>2024</v>
      </c>
      <c r="H1497" s="383" t="s">
        <v>16444</v>
      </c>
      <c r="I1497" s="277" t="s">
        <v>16445</v>
      </c>
      <c r="J1497" s="277" t="s">
        <v>3</v>
      </c>
      <c r="K1497" s="278">
        <v>46368</v>
      </c>
      <c r="L1497" s="383">
        <v>1</v>
      </c>
      <c r="M1497" s="384">
        <v>46368</v>
      </c>
      <c r="N1497" s="277" t="s">
        <v>20155</v>
      </c>
      <c r="O1497" s="277" t="s">
        <v>18248</v>
      </c>
      <c r="P1497" s="890">
        <v>45309</v>
      </c>
      <c r="Q1497" s="347">
        <v>0</v>
      </c>
      <c r="R1497" s="347">
        <v>25200</v>
      </c>
      <c r="S1497" s="347">
        <v>0</v>
      </c>
      <c r="T1497" s="347">
        <v>0</v>
      </c>
      <c r="U1497" s="347">
        <v>25200</v>
      </c>
      <c r="V1497" s="348"/>
      <c r="W1497" s="349">
        <v>0</v>
      </c>
      <c r="X1497" s="349">
        <v>46368</v>
      </c>
      <c r="Y1497" s="349">
        <v>0</v>
      </c>
      <c r="Z1497" s="349">
        <v>0</v>
      </c>
      <c r="AA1497" s="350"/>
      <c r="AB1497" s="350">
        <v>1.84</v>
      </c>
      <c r="AC1497" s="350"/>
      <c r="AD1497" s="350"/>
      <c r="AE1497" s="349">
        <v>0</v>
      </c>
      <c r="AF1497" s="349">
        <v>0</v>
      </c>
      <c r="AG1497" s="349">
        <v>0</v>
      </c>
      <c r="AH1497" s="351"/>
      <c r="AI1497" s="351">
        <v>1.84</v>
      </c>
      <c r="AJ1497" s="351"/>
      <c r="AK1497" s="351"/>
      <c r="AL1497" s="352">
        <v>0</v>
      </c>
      <c r="AM1497" s="352" t="s">
        <v>20346</v>
      </c>
      <c r="AN1497" s="352">
        <v>0</v>
      </c>
      <c r="AO1497" s="352">
        <v>0</v>
      </c>
    </row>
    <row r="1498" spans="1:41" hidden="1">
      <c r="A1498" s="342">
        <v>16</v>
      </c>
      <c r="B1498" s="277" t="s">
        <v>20197</v>
      </c>
      <c r="C1498" s="277">
        <v>0</v>
      </c>
      <c r="D1498" s="343" t="s">
        <v>19246</v>
      </c>
      <c r="E1498" s="277" t="s">
        <v>20197</v>
      </c>
      <c r="F1498" s="344">
        <v>45302</v>
      </c>
      <c r="G1498" s="277">
        <v>2024</v>
      </c>
      <c r="H1498" s="383" t="s">
        <v>16444</v>
      </c>
      <c r="I1498" s="277" t="s">
        <v>16445</v>
      </c>
      <c r="J1498" s="277" t="s">
        <v>3</v>
      </c>
      <c r="K1498" s="278">
        <v>110128.8</v>
      </c>
      <c r="L1498" s="383">
        <v>1</v>
      </c>
      <c r="M1498" s="384">
        <v>110128.8</v>
      </c>
      <c r="N1498" s="277" t="s">
        <v>20155</v>
      </c>
      <c r="O1498" s="277" t="s">
        <v>18248</v>
      </c>
      <c r="P1498" s="890">
        <v>45322</v>
      </c>
      <c r="Q1498" s="347">
        <v>35760</v>
      </c>
      <c r="R1498" s="347">
        <v>20400</v>
      </c>
      <c r="S1498" s="347">
        <v>0</v>
      </c>
      <c r="T1498" s="347">
        <v>0</v>
      </c>
      <c r="U1498" s="347">
        <v>56160</v>
      </c>
      <c r="V1498" s="348"/>
      <c r="W1498" s="349">
        <v>72592.800000000003</v>
      </c>
      <c r="X1498" s="349">
        <v>37536</v>
      </c>
      <c r="Y1498" s="349">
        <v>0</v>
      </c>
      <c r="Z1498" s="349">
        <v>0</v>
      </c>
      <c r="AA1498" s="350">
        <v>2.0300000000000002</v>
      </c>
      <c r="AB1498" s="350">
        <v>1.84</v>
      </c>
      <c r="AC1498" s="350"/>
      <c r="AD1498" s="350"/>
      <c r="AE1498" s="349">
        <v>0</v>
      </c>
      <c r="AF1498" s="349">
        <v>0</v>
      </c>
      <c r="AG1498" s="349">
        <v>0</v>
      </c>
      <c r="AH1498" s="351">
        <v>2.0300000000000002</v>
      </c>
      <c r="AI1498" s="351">
        <v>1.84</v>
      </c>
      <c r="AJ1498" s="351"/>
      <c r="AK1498" s="351"/>
      <c r="AL1498" s="352" t="s">
        <v>20345</v>
      </c>
      <c r="AM1498" s="352" t="s">
        <v>20346</v>
      </c>
      <c r="AN1498" s="352">
        <v>0</v>
      </c>
      <c r="AO1498" s="352">
        <v>0</v>
      </c>
    </row>
    <row r="1499" spans="1:41" hidden="1">
      <c r="A1499" s="342">
        <v>17</v>
      </c>
      <c r="B1499" s="277" t="s">
        <v>20198</v>
      </c>
      <c r="C1499" s="277">
        <v>0</v>
      </c>
      <c r="D1499" s="343" t="s">
        <v>19247</v>
      </c>
      <c r="E1499" s="277" t="s">
        <v>20198</v>
      </c>
      <c r="F1499" s="344">
        <v>45302</v>
      </c>
      <c r="G1499" s="277">
        <v>2024</v>
      </c>
      <c r="H1499" s="383" t="s">
        <v>17367</v>
      </c>
      <c r="I1499" s="277" t="s">
        <v>17368</v>
      </c>
      <c r="J1499" s="277" t="s">
        <v>16401</v>
      </c>
      <c r="K1499" s="278">
        <v>22494.68</v>
      </c>
      <c r="L1499" s="383">
        <v>3.1070000000000002</v>
      </c>
      <c r="M1499" s="384">
        <v>7240</v>
      </c>
      <c r="N1499" s="277" t="s">
        <v>20155</v>
      </c>
      <c r="O1499" s="277" t="s">
        <v>20368</v>
      </c>
      <c r="P1499" s="890">
        <v>45314</v>
      </c>
      <c r="Q1499" s="347">
        <v>6000</v>
      </c>
      <c r="R1499" s="347">
        <v>0</v>
      </c>
      <c r="S1499" s="347">
        <v>0</v>
      </c>
      <c r="T1499" s="347">
        <v>0</v>
      </c>
      <c r="U1499" s="347">
        <v>6000</v>
      </c>
      <c r="V1499" s="348"/>
      <c r="W1499" s="349">
        <v>22494.68</v>
      </c>
      <c r="X1499" s="349">
        <v>0</v>
      </c>
      <c r="Y1499" s="349">
        <v>0</v>
      </c>
      <c r="Z1499" s="349">
        <v>0</v>
      </c>
      <c r="AA1499" s="350">
        <v>3.7491133333333333</v>
      </c>
      <c r="AB1499" s="350"/>
      <c r="AC1499" s="350"/>
      <c r="AD1499" s="350"/>
      <c r="AE1499" s="349">
        <v>353.02499999999998</v>
      </c>
      <c r="AF1499" s="349">
        <v>7479.3</v>
      </c>
      <c r="AG1499" s="349">
        <v>1.24655</v>
      </c>
      <c r="AH1499" s="351">
        <v>2.5025633333333333</v>
      </c>
      <c r="AI1499" s="351"/>
      <c r="AJ1499" s="351"/>
      <c r="AK1499" s="351"/>
      <c r="AL1499" s="352">
        <v>1</v>
      </c>
      <c r="AM1499" s="352">
        <v>0</v>
      </c>
      <c r="AN1499" s="352">
        <v>0</v>
      </c>
      <c r="AO1499" s="352">
        <v>0</v>
      </c>
    </row>
    <row r="1500" spans="1:41" hidden="1">
      <c r="A1500" s="342">
        <v>18</v>
      </c>
      <c r="B1500" s="277" t="s">
        <v>20199</v>
      </c>
      <c r="C1500" s="277">
        <v>0</v>
      </c>
      <c r="D1500" s="343" t="s">
        <v>19249</v>
      </c>
      <c r="E1500" s="277" t="s">
        <v>20199</v>
      </c>
      <c r="F1500" s="344">
        <v>45304</v>
      </c>
      <c r="G1500" s="277">
        <v>2024</v>
      </c>
      <c r="H1500" s="383" t="s">
        <v>17017</v>
      </c>
      <c r="I1500" s="277" t="s">
        <v>17018</v>
      </c>
      <c r="J1500" s="277" t="s">
        <v>3</v>
      </c>
      <c r="K1500" s="278">
        <v>19600</v>
      </c>
      <c r="L1500" s="383">
        <v>1</v>
      </c>
      <c r="M1500" s="384">
        <v>19600</v>
      </c>
      <c r="N1500" s="277" t="s">
        <v>20155</v>
      </c>
      <c r="O1500" s="277" t="s">
        <v>20350</v>
      </c>
      <c r="P1500" s="890">
        <v>45314</v>
      </c>
      <c r="Q1500" s="347">
        <v>0</v>
      </c>
      <c r="R1500" s="347">
        <v>8000</v>
      </c>
      <c r="S1500" s="347">
        <v>0</v>
      </c>
      <c r="T1500" s="347">
        <v>0</v>
      </c>
      <c r="U1500" s="347">
        <v>8000</v>
      </c>
      <c r="V1500" s="348"/>
      <c r="W1500" s="349">
        <v>0</v>
      </c>
      <c r="X1500" s="349">
        <v>19600</v>
      </c>
      <c r="Y1500" s="349">
        <v>0</v>
      </c>
      <c r="Z1500" s="349">
        <v>0</v>
      </c>
      <c r="AA1500" s="350"/>
      <c r="AB1500" s="350">
        <v>2.4500000000000002</v>
      </c>
      <c r="AC1500" s="350"/>
      <c r="AD1500" s="350"/>
      <c r="AE1500" s="349">
        <v>0</v>
      </c>
      <c r="AF1500" s="349">
        <v>0</v>
      </c>
      <c r="AG1500" s="349">
        <v>0</v>
      </c>
      <c r="AH1500" s="351"/>
      <c r="AI1500" s="351">
        <v>2.4500000000000002</v>
      </c>
      <c r="AJ1500" s="351"/>
      <c r="AK1500" s="351"/>
      <c r="AL1500" s="352">
        <v>0</v>
      </c>
      <c r="AM1500" s="352">
        <v>1</v>
      </c>
      <c r="AN1500" s="352">
        <v>0</v>
      </c>
      <c r="AO1500" s="352">
        <v>0</v>
      </c>
    </row>
    <row r="1501" spans="1:41" hidden="1">
      <c r="A1501" s="342">
        <v>19</v>
      </c>
      <c r="B1501" s="277" t="s">
        <v>20200</v>
      </c>
      <c r="C1501" s="277">
        <v>0</v>
      </c>
      <c r="D1501" s="343" t="s">
        <v>19250</v>
      </c>
      <c r="E1501" s="277" t="s">
        <v>20200</v>
      </c>
      <c r="F1501" s="344">
        <v>45304</v>
      </c>
      <c r="G1501" s="277">
        <v>2024</v>
      </c>
      <c r="H1501" s="383" t="s">
        <v>17017</v>
      </c>
      <c r="I1501" s="277" t="s">
        <v>17018</v>
      </c>
      <c r="J1501" s="277" t="s">
        <v>3</v>
      </c>
      <c r="K1501" s="278">
        <v>51613.599999999999</v>
      </c>
      <c r="L1501" s="383">
        <v>1</v>
      </c>
      <c r="M1501" s="384">
        <v>51613.599999999999</v>
      </c>
      <c r="N1501" s="277" t="s">
        <v>20155</v>
      </c>
      <c r="O1501" s="277" t="s">
        <v>17238</v>
      </c>
      <c r="P1501" s="890">
        <v>45412</v>
      </c>
      <c r="Q1501" s="347">
        <v>3840</v>
      </c>
      <c r="R1501" s="347">
        <v>5016</v>
      </c>
      <c r="S1501" s="347">
        <v>5400</v>
      </c>
      <c r="T1501" s="347">
        <v>2020</v>
      </c>
      <c r="U1501" s="347">
        <v>16276</v>
      </c>
      <c r="V1501" s="348"/>
      <c r="W1501" s="349">
        <v>9984</v>
      </c>
      <c r="X1501" s="349">
        <v>12432</v>
      </c>
      <c r="Y1501" s="349">
        <v>15120</v>
      </c>
      <c r="Z1501" s="349">
        <v>14077.6</v>
      </c>
      <c r="AA1501" s="350">
        <v>2.6</v>
      </c>
      <c r="AB1501" s="350">
        <v>2.4784688995215309</v>
      </c>
      <c r="AC1501" s="350">
        <v>2.8</v>
      </c>
      <c r="AD1501" s="350">
        <v>6.9691089108910891</v>
      </c>
      <c r="AE1501" s="349">
        <v>0</v>
      </c>
      <c r="AF1501" s="349">
        <v>0</v>
      </c>
      <c r="AG1501" s="349">
        <v>0</v>
      </c>
      <c r="AH1501" s="351">
        <v>2.6</v>
      </c>
      <c r="AI1501" s="351">
        <v>2.4784688995215309</v>
      </c>
      <c r="AJ1501" s="351">
        <v>2.8</v>
      </c>
      <c r="AK1501" s="351">
        <v>6.9691089108910891</v>
      </c>
      <c r="AL1501" s="352">
        <v>1</v>
      </c>
      <c r="AM1501" s="352">
        <v>1</v>
      </c>
      <c r="AN1501" s="352">
        <v>1</v>
      </c>
      <c r="AO1501" s="352">
        <v>1</v>
      </c>
    </row>
    <row r="1502" spans="1:41" hidden="1">
      <c r="A1502" s="342">
        <v>20</v>
      </c>
      <c r="B1502" s="277" t="s">
        <v>20201</v>
      </c>
      <c r="C1502" s="277">
        <v>0</v>
      </c>
      <c r="D1502" s="343" t="s">
        <v>19251</v>
      </c>
      <c r="E1502" s="277" t="s">
        <v>20201</v>
      </c>
      <c r="F1502" s="344">
        <v>45304</v>
      </c>
      <c r="G1502" s="277">
        <v>2024</v>
      </c>
      <c r="H1502" s="383" t="s">
        <v>17017</v>
      </c>
      <c r="I1502" s="277" t="s">
        <v>17018</v>
      </c>
      <c r="J1502" s="277" t="s">
        <v>3</v>
      </c>
      <c r="K1502" s="278">
        <v>57475</v>
      </c>
      <c r="L1502" s="383">
        <v>1</v>
      </c>
      <c r="M1502" s="384">
        <v>57475</v>
      </c>
      <c r="N1502" s="277" t="s">
        <v>20155</v>
      </c>
      <c r="O1502" s="277" t="s">
        <v>20350</v>
      </c>
      <c r="P1502" s="890">
        <v>45322</v>
      </c>
      <c r="Q1502" s="347">
        <v>22500</v>
      </c>
      <c r="R1502" s="347">
        <v>1250</v>
      </c>
      <c r="S1502" s="347">
        <v>0</v>
      </c>
      <c r="T1502" s="347">
        <v>0</v>
      </c>
      <c r="U1502" s="347">
        <v>23750</v>
      </c>
      <c r="V1502" s="348"/>
      <c r="W1502" s="349">
        <v>54450</v>
      </c>
      <c r="X1502" s="349">
        <v>3025</v>
      </c>
      <c r="Y1502" s="349">
        <v>0</v>
      </c>
      <c r="Z1502" s="349">
        <v>0</v>
      </c>
      <c r="AA1502" s="350">
        <v>2.42</v>
      </c>
      <c r="AB1502" s="350">
        <v>2.42</v>
      </c>
      <c r="AC1502" s="350"/>
      <c r="AD1502" s="350"/>
      <c r="AE1502" s="349">
        <v>0</v>
      </c>
      <c r="AF1502" s="349">
        <v>0</v>
      </c>
      <c r="AG1502" s="349">
        <v>0</v>
      </c>
      <c r="AH1502" s="351">
        <v>2.42</v>
      </c>
      <c r="AI1502" s="351">
        <v>2.42</v>
      </c>
      <c r="AJ1502" s="351"/>
      <c r="AK1502" s="351"/>
      <c r="AL1502" s="352">
        <v>1</v>
      </c>
      <c r="AM1502" s="352">
        <v>1</v>
      </c>
      <c r="AN1502" s="352">
        <v>0</v>
      </c>
      <c r="AO1502" s="352">
        <v>0</v>
      </c>
    </row>
    <row r="1503" spans="1:41" hidden="1">
      <c r="A1503" s="342">
        <v>21</v>
      </c>
      <c r="B1503" s="277" t="s">
        <v>20202</v>
      </c>
      <c r="C1503" s="277">
        <v>0</v>
      </c>
      <c r="D1503" s="343" t="s">
        <v>19252</v>
      </c>
      <c r="E1503" s="277" t="s">
        <v>20202</v>
      </c>
      <c r="F1503" s="344">
        <v>45304</v>
      </c>
      <c r="G1503" s="277">
        <v>2024</v>
      </c>
      <c r="H1503" s="383" t="s">
        <v>16560</v>
      </c>
      <c r="I1503" s="277" t="s">
        <v>16561</v>
      </c>
      <c r="J1503" s="277" t="s">
        <v>16482</v>
      </c>
      <c r="K1503" s="278">
        <v>296070.72000000003</v>
      </c>
      <c r="L1503" s="383">
        <v>3.3856000000000002</v>
      </c>
      <c r="M1503" s="384">
        <v>87450</v>
      </c>
      <c r="N1503" s="277" t="s">
        <v>20155</v>
      </c>
      <c r="O1503" s="277" t="s">
        <v>17801</v>
      </c>
      <c r="P1503" s="890">
        <v>45316</v>
      </c>
      <c r="Q1503" s="347">
        <v>0</v>
      </c>
      <c r="R1503" s="347">
        <v>0</v>
      </c>
      <c r="S1503" s="347">
        <v>165000</v>
      </c>
      <c r="T1503" s="347">
        <v>0</v>
      </c>
      <c r="U1503" s="347">
        <v>165000</v>
      </c>
      <c r="V1503" s="348"/>
      <c r="W1503" s="349">
        <v>0</v>
      </c>
      <c r="X1503" s="349">
        <v>0</v>
      </c>
      <c r="Y1503" s="349">
        <v>296070.71999999997</v>
      </c>
      <c r="Z1503" s="349">
        <v>0</v>
      </c>
      <c r="AA1503" s="350"/>
      <c r="AB1503" s="350"/>
      <c r="AC1503" s="350">
        <v>1.7943679999999997</v>
      </c>
      <c r="AD1503" s="350"/>
      <c r="AE1503" s="349">
        <v>5000.55</v>
      </c>
      <c r="AF1503" s="349">
        <v>29893</v>
      </c>
      <c r="AG1503" s="349">
        <v>0.18116969696969698</v>
      </c>
      <c r="AH1503" s="351"/>
      <c r="AI1503" s="351"/>
      <c r="AJ1503" s="351">
        <v>1.6131983030303028</v>
      </c>
      <c r="AK1503" s="351"/>
      <c r="AL1503" s="352">
        <v>0</v>
      </c>
      <c r="AM1503" s="352">
        <v>0</v>
      </c>
      <c r="AN1503" s="352" t="s">
        <v>20347</v>
      </c>
      <c r="AO1503" s="352">
        <v>0</v>
      </c>
    </row>
    <row r="1504" spans="1:41" hidden="1">
      <c r="A1504" s="342">
        <v>22</v>
      </c>
      <c r="B1504" s="277" t="s">
        <v>20203</v>
      </c>
      <c r="C1504" s="277">
        <v>0</v>
      </c>
      <c r="D1504" s="343" t="s">
        <v>19253</v>
      </c>
      <c r="E1504" s="277" t="s">
        <v>20203</v>
      </c>
      <c r="F1504" s="344">
        <v>45304</v>
      </c>
      <c r="G1504" s="277">
        <v>2024</v>
      </c>
      <c r="H1504" s="383" t="s">
        <v>16560</v>
      </c>
      <c r="I1504" s="277" t="s">
        <v>16561</v>
      </c>
      <c r="J1504" s="277" t="s">
        <v>16482</v>
      </c>
      <c r="K1504" s="278">
        <v>295174.35749999998</v>
      </c>
      <c r="L1504" s="383">
        <v>3.3753500000000001</v>
      </c>
      <c r="M1504" s="384">
        <v>87450</v>
      </c>
      <c r="N1504" s="277" t="s">
        <v>20155</v>
      </c>
      <c r="O1504" s="277" t="s">
        <v>17801</v>
      </c>
      <c r="P1504" s="890">
        <v>45321</v>
      </c>
      <c r="Q1504" s="347">
        <v>0</v>
      </c>
      <c r="R1504" s="347">
        <v>0</v>
      </c>
      <c r="S1504" s="347">
        <v>165000</v>
      </c>
      <c r="T1504" s="347">
        <v>0</v>
      </c>
      <c r="U1504" s="347">
        <v>165000</v>
      </c>
      <c r="V1504" s="348"/>
      <c r="W1504" s="349">
        <v>0</v>
      </c>
      <c r="X1504" s="349">
        <v>0</v>
      </c>
      <c r="Y1504" s="349">
        <v>295174.35750000004</v>
      </c>
      <c r="Z1504" s="349">
        <v>0</v>
      </c>
      <c r="AA1504" s="350"/>
      <c r="AB1504" s="350"/>
      <c r="AC1504" s="350">
        <v>1.7889355000000002</v>
      </c>
      <c r="AD1504" s="350"/>
      <c r="AE1504" s="349">
        <v>5060.97</v>
      </c>
      <c r="AF1504" s="349">
        <v>30925.1</v>
      </c>
      <c r="AG1504" s="349">
        <v>0.18742484848484847</v>
      </c>
      <c r="AH1504" s="351"/>
      <c r="AI1504" s="351"/>
      <c r="AJ1504" s="351">
        <v>1.6015106515151518</v>
      </c>
      <c r="AK1504" s="351"/>
      <c r="AL1504" s="352">
        <v>0</v>
      </c>
      <c r="AM1504" s="352">
        <v>0</v>
      </c>
      <c r="AN1504" s="352" t="s">
        <v>20347</v>
      </c>
      <c r="AO1504" s="352">
        <v>0</v>
      </c>
    </row>
    <row r="1505" spans="1:41" hidden="1">
      <c r="A1505" s="342">
        <v>23</v>
      </c>
      <c r="B1505" s="277" t="s">
        <v>20204</v>
      </c>
      <c r="C1505" s="277">
        <v>0</v>
      </c>
      <c r="D1505" s="343" t="s">
        <v>19254</v>
      </c>
      <c r="E1505" s="277" t="s">
        <v>20204</v>
      </c>
      <c r="F1505" s="344">
        <v>45304</v>
      </c>
      <c r="G1505" s="277">
        <v>2024</v>
      </c>
      <c r="H1505" s="383" t="s">
        <v>17362</v>
      </c>
      <c r="I1505" s="277" t="s">
        <v>17363</v>
      </c>
      <c r="J1505" s="277" t="s">
        <v>16482</v>
      </c>
      <c r="K1505" s="278">
        <v>50301.398000000001</v>
      </c>
      <c r="L1505" s="383">
        <v>3.3782000000000001</v>
      </c>
      <c r="M1505" s="384">
        <v>14890</v>
      </c>
      <c r="N1505" s="277" t="s">
        <v>20155</v>
      </c>
      <c r="O1505" s="277" t="s">
        <v>17693</v>
      </c>
      <c r="P1505" s="890">
        <v>45322</v>
      </c>
      <c r="Q1505" s="347">
        <v>0</v>
      </c>
      <c r="R1505" s="347">
        <v>0</v>
      </c>
      <c r="S1505" s="347">
        <v>28000</v>
      </c>
      <c r="T1505" s="347">
        <v>0</v>
      </c>
      <c r="U1505" s="347">
        <v>28000</v>
      </c>
      <c r="V1505" s="348"/>
      <c r="W1505" s="349">
        <v>0</v>
      </c>
      <c r="X1505" s="349">
        <v>0</v>
      </c>
      <c r="Y1505" s="349">
        <v>50301.398000000001</v>
      </c>
      <c r="Z1505" s="349">
        <v>0</v>
      </c>
      <c r="AA1505" s="350"/>
      <c r="AB1505" s="350"/>
      <c r="AC1505" s="350">
        <v>1.7964785000000001</v>
      </c>
      <c r="AD1505" s="350"/>
      <c r="AE1505" s="349">
        <v>1071.875</v>
      </c>
      <c r="AF1505" s="349">
        <v>6133.95</v>
      </c>
      <c r="AG1505" s="349">
        <v>0.21906964285714284</v>
      </c>
      <c r="AH1505" s="351"/>
      <c r="AI1505" s="351"/>
      <c r="AJ1505" s="351">
        <v>1.5774088571428573</v>
      </c>
      <c r="AK1505" s="351"/>
      <c r="AL1505" s="352">
        <v>0</v>
      </c>
      <c r="AM1505" s="352">
        <v>0</v>
      </c>
      <c r="AN1505" s="352" t="s">
        <v>20347</v>
      </c>
      <c r="AO1505" s="352">
        <v>0</v>
      </c>
    </row>
    <row r="1506" spans="1:41" hidden="1">
      <c r="A1506" s="342">
        <v>24</v>
      </c>
      <c r="B1506" s="277" t="s">
        <v>20205</v>
      </c>
      <c r="C1506" s="277">
        <v>0</v>
      </c>
      <c r="D1506" s="343" t="s">
        <v>19255</v>
      </c>
      <c r="E1506" s="277" t="s">
        <v>20205</v>
      </c>
      <c r="F1506" s="344">
        <v>45307</v>
      </c>
      <c r="G1506" s="277">
        <v>2024</v>
      </c>
      <c r="H1506" s="383" t="s">
        <v>16838</v>
      </c>
      <c r="I1506" s="277" t="s">
        <v>16839</v>
      </c>
      <c r="J1506" s="277" t="s">
        <v>3</v>
      </c>
      <c r="K1506" s="278">
        <v>43575.839999999997</v>
      </c>
      <c r="L1506" s="383">
        <v>1</v>
      </c>
      <c r="M1506" s="384">
        <v>43575.839999999997</v>
      </c>
      <c r="N1506" s="277" t="s">
        <v>20155</v>
      </c>
      <c r="O1506" s="277" t="s">
        <v>17949</v>
      </c>
      <c r="P1506" s="890">
        <v>45310</v>
      </c>
      <c r="Q1506" s="347">
        <v>22008</v>
      </c>
      <c r="R1506" s="347">
        <v>0</v>
      </c>
      <c r="S1506" s="347">
        <v>0</v>
      </c>
      <c r="T1506" s="347">
        <v>0</v>
      </c>
      <c r="U1506" s="347">
        <v>22008</v>
      </c>
      <c r="V1506" s="348"/>
      <c r="W1506" s="349">
        <v>43575.839999999997</v>
      </c>
      <c r="X1506" s="349">
        <v>0</v>
      </c>
      <c r="Y1506" s="349">
        <v>0</v>
      </c>
      <c r="Z1506" s="349">
        <v>0</v>
      </c>
      <c r="AA1506" s="350">
        <v>1.9799999999999998</v>
      </c>
      <c r="AB1506" s="350"/>
      <c r="AC1506" s="350"/>
      <c r="AD1506" s="350"/>
      <c r="AE1506" s="349">
        <v>0</v>
      </c>
      <c r="AF1506" s="349">
        <v>0</v>
      </c>
      <c r="AG1506" s="349">
        <v>0</v>
      </c>
      <c r="AH1506" s="351">
        <v>1.9799999999999998</v>
      </c>
      <c r="AI1506" s="351"/>
      <c r="AJ1506" s="351"/>
      <c r="AK1506" s="351"/>
      <c r="AL1506" s="352" t="s">
        <v>20345</v>
      </c>
      <c r="AM1506" s="352">
        <v>0</v>
      </c>
      <c r="AN1506" s="352">
        <v>0</v>
      </c>
      <c r="AO1506" s="352">
        <v>0</v>
      </c>
    </row>
    <row r="1507" spans="1:41" hidden="1">
      <c r="A1507" s="342">
        <v>25</v>
      </c>
      <c r="B1507" s="277" t="s">
        <v>20206</v>
      </c>
      <c r="C1507" s="277">
        <v>0</v>
      </c>
      <c r="D1507" s="343" t="s">
        <v>19256</v>
      </c>
      <c r="E1507" s="277" t="s">
        <v>20206</v>
      </c>
      <c r="F1507" s="344">
        <v>45307</v>
      </c>
      <c r="G1507" s="277">
        <v>2024</v>
      </c>
      <c r="H1507" s="383" t="s">
        <v>16904</v>
      </c>
      <c r="I1507" s="277" t="s">
        <v>16905</v>
      </c>
      <c r="J1507" s="277" t="s">
        <v>16482</v>
      </c>
      <c r="K1507" s="278">
        <v>83122.951679999998</v>
      </c>
      <c r="L1507" s="383">
        <v>3.3839999999999999</v>
      </c>
      <c r="M1507" s="384">
        <v>24563.52</v>
      </c>
      <c r="N1507" s="277" t="s">
        <v>20155</v>
      </c>
      <c r="O1507" s="277" t="s">
        <v>20160</v>
      </c>
      <c r="P1507" s="890">
        <v>45317</v>
      </c>
      <c r="Q1507" s="347">
        <v>0</v>
      </c>
      <c r="R1507" s="347">
        <v>21168</v>
      </c>
      <c r="S1507" s="347">
        <v>6000</v>
      </c>
      <c r="T1507" s="347">
        <v>0</v>
      </c>
      <c r="U1507" s="347">
        <v>27168</v>
      </c>
      <c r="V1507" s="348"/>
      <c r="W1507" s="349">
        <v>0</v>
      </c>
      <c r="X1507" s="349">
        <v>65081.807369045935</v>
      </c>
      <c r="Y1507" s="349">
        <v>18041.144310954063</v>
      </c>
      <c r="Z1507" s="349">
        <v>0</v>
      </c>
      <c r="AA1507" s="350"/>
      <c r="AB1507" s="350">
        <v>3.0745373851590103</v>
      </c>
      <c r="AC1507" s="350">
        <v>3.0068573851590106</v>
      </c>
      <c r="AD1507" s="350"/>
      <c r="AE1507" s="349">
        <v>3075.15</v>
      </c>
      <c r="AF1507" s="349">
        <v>14209.19</v>
      </c>
      <c r="AG1507" s="349">
        <v>0.5230119994110719</v>
      </c>
      <c r="AH1507" s="351"/>
      <c r="AI1507" s="351">
        <v>2.5515253857479383</v>
      </c>
      <c r="AJ1507" s="351">
        <v>2.4838453857479386</v>
      </c>
      <c r="AK1507" s="351"/>
      <c r="AL1507" s="352">
        <v>0</v>
      </c>
      <c r="AM1507" s="352">
        <v>1</v>
      </c>
      <c r="AN1507" s="352">
        <v>1</v>
      </c>
      <c r="AO1507" s="352">
        <v>0</v>
      </c>
    </row>
    <row r="1508" spans="1:41" hidden="1">
      <c r="A1508" s="342">
        <v>26</v>
      </c>
      <c r="B1508" s="277" t="s">
        <v>20207</v>
      </c>
      <c r="C1508" s="277">
        <v>0</v>
      </c>
      <c r="D1508" s="343" t="s">
        <v>19257</v>
      </c>
      <c r="E1508" s="277" t="s">
        <v>20207</v>
      </c>
      <c r="F1508" s="344">
        <v>45307</v>
      </c>
      <c r="G1508" s="277">
        <v>2024</v>
      </c>
      <c r="H1508" s="383" t="s">
        <v>16904</v>
      </c>
      <c r="I1508" s="277" t="s">
        <v>16905</v>
      </c>
      <c r="J1508" s="277" t="s">
        <v>16482</v>
      </c>
      <c r="K1508" s="278">
        <v>85056.646124999999</v>
      </c>
      <c r="L1508" s="383">
        <v>3.3863500000000002</v>
      </c>
      <c r="M1508" s="384">
        <v>25117.5</v>
      </c>
      <c r="N1508" s="277" t="s">
        <v>20155</v>
      </c>
      <c r="O1508" s="277" t="s">
        <v>20160</v>
      </c>
      <c r="P1508" s="890">
        <v>45314</v>
      </c>
      <c r="Q1508" s="347">
        <v>0</v>
      </c>
      <c r="R1508" s="347">
        <v>21600</v>
      </c>
      <c r="S1508" s="347">
        <v>6300</v>
      </c>
      <c r="T1508" s="347">
        <v>0</v>
      </c>
      <c r="U1508" s="347">
        <v>27900</v>
      </c>
      <c r="V1508" s="348"/>
      <c r="W1508" s="349">
        <v>0</v>
      </c>
      <c r="X1508" s="349">
        <v>66180.639658064523</v>
      </c>
      <c r="Y1508" s="349">
        <v>18876.006466935483</v>
      </c>
      <c r="Z1508" s="349">
        <v>0</v>
      </c>
      <c r="AA1508" s="350"/>
      <c r="AB1508" s="350">
        <v>3.0639185026881726</v>
      </c>
      <c r="AC1508" s="350">
        <v>2.996191502688172</v>
      </c>
      <c r="AD1508" s="350"/>
      <c r="AE1508" s="349">
        <v>3073.2</v>
      </c>
      <c r="AF1508" s="349">
        <v>14173.42</v>
      </c>
      <c r="AG1508" s="349">
        <v>0.50800788530465946</v>
      </c>
      <c r="AH1508" s="351"/>
      <c r="AI1508" s="351">
        <v>2.5559106173835131</v>
      </c>
      <c r="AJ1508" s="351">
        <v>2.4881836173835126</v>
      </c>
      <c r="AK1508" s="351"/>
      <c r="AL1508" s="352">
        <v>0</v>
      </c>
      <c r="AM1508" s="352">
        <v>1</v>
      </c>
      <c r="AN1508" s="352">
        <v>1</v>
      </c>
      <c r="AO1508" s="352">
        <v>0</v>
      </c>
    </row>
    <row r="1509" spans="1:41" hidden="1">
      <c r="A1509" s="342">
        <v>27</v>
      </c>
      <c r="B1509" s="277" t="s">
        <v>20208</v>
      </c>
      <c r="C1509" s="277">
        <v>0</v>
      </c>
      <c r="D1509" s="343" t="s">
        <v>19258</v>
      </c>
      <c r="E1509" s="277" t="s">
        <v>20208</v>
      </c>
      <c r="F1509" s="344">
        <v>45310</v>
      </c>
      <c r="G1509" s="277">
        <v>2024</v>
      </c>
      <c r="H1509" s="383" t="s">
        <v>16957</v>
      </c>
      <c r="I1509" s="277" t="s">
        <v>16958</v>
      </c>
      <c r="J1509" s="277" t="s">
        <v>16401</v>
      </c>
      <c r="K1509" s="278">
        <v>109131.523688</v>
      </c>
      <c r="L1509" s="383">
        <v>3.1303000000000001</v>
      </c>
      <c r="M1509" s="384">
        <v>34862.959999999999</v>
      </c>
      <c r="N1509" s="277" t="s">
        <v>20155</v>
      </c>
      <c r="O1509" s="277" t="s">
        <v>20161</v>
      </c>
      <c r="P1509" s="890">
        <v>45342</v>
      </c>
      <c r="Q1509" s="347">
        <v>40304</v>
      </c>
      <c r="R1509" s="347">
        <v>0</v>
      </c>
      <c r="S1509" s="347">
        <v>0</v>
      </c>
      <c r="T1509" s="347">
        <v>0</v>
      </c>
      <c r="U1509" s="347">
        <v>40304</v>
      </c>
      <c r="V1509" s="348"/>
      <c r="W1509" s="349">
        <v>109274.07465</v>
      </c>
      <c r="X1509" s="349">
        <v>0</v>
      </c>
      <c r="Y1509" s="349">
        <v>0</v>
      </c>
      <c r="Z1509" s="349">
        <v>0</v>
      </c>
      <c r="AA1509" s="350">
        <v>2.7112463936581976</v>
      </c>
      <c r="AB1509" s="350"/>
      <c r="AC1509" s="350"/>
      <c r="AD1509" s="350"/>
      <c r="AE1509" s="349">
        <v>1747.14</v>
      </c>
      <c r="AF1509" s="349">
        <v>14133.78</v>
      </c>
      <c r="AG1509" s="349">
        <v>0.35067933703850734</v>
      </c>
      <c r="AH1509" s="351">
        <v>2.3605670566196904</v>
      </c>
      <c r="AI1509" s="351"/>
      <c r="AJ1509" s="351"/>
      <c r="AK1509" s="351"/>
      <c r="AL1509" s="352">
        <v>1</v>
      </c>
      <c r="AM1509" s="352">
        <v>0</v>
      </c>
      <c r="AN1509" s="352">
        <v>0</v>
      </c>
      <c r="AO1509" s="352">
        <v>0</v>
      </c>
    </row>
    <row r="1510" spans="1:41" hidden="1">
      <c r="A1510" s="342">
        <v>28</v>
      </c>
      <c r="B1510" s="277" t="s">
        <v>20209</v>
      </c>
      <c r="C1510" s="277">
        <v>0</v>
      </c>
      <c r="D1510" s="343" t="s">
        <v>19259</v>
      </c>
      <c r="E1510" s="277" t="s">
        <v>20209</v>
      </c>
      <c r="F1510" s="344">
        <v>45310</v>
      </c>
      <c r="G1510" s="277">
        <v>2024</v>
      </c>
      <c r="H1510" s="383" t="s">
        <v>16957</v>
      </c>
      <c r="I1510" s="277" t="s">
        <v>16958</v>
      </c>
      <c r="J1510" s="277" t="s">
        <v>16401</v>
      </c>
      <c r="K1510" s="278">
        <v>99659.361100000009</v>
      </c>
      <c r="L1510" s="383">
        <v>3.1303000000000001</v>
      </c>
      <c r="M1510" s="384">
        <v>31837</v>
      </c>
      <c r="N1510" s="277" t="s">
        <v>20155</v>
      </c>
      <c r="O1510" s="277" t="s">
        <v>20161</v>
      </c>
      <c r="P1510" s="890">
        <v>45343</v>
      </c>
      <c r="Q1510" s="347">
        <v>40300</v>
      </c>
      <c r="R1510" s="347">
        <v>0</v>
      </c>
      <c r="S1510" s="347">
        <v>0</v>
      </c>
      <c r="T1510" s="347">
        <v>0</v>
      </c>
      <c r="U1510" s="347">
        <v>40300</v>
      </c>
      <c r="V1510" s="348"/>
      <c r="W1510" s="349">
        <v>99659.361099999995</v>
      </c>
      <c r="X1510" s="349">
        <v>0</v>
      </c>
      <c r="Y1510" s="349">
        <v>0</v>
      </c>
      <c r="Z1510" s="349">
        <v>0</v>
      </c>
      <c r="AA1510" s="350">
        <v>2.4729369999999999</v>
      </c>
      <c r="AB1510" s="350"/>
      <c r="AC1510" s="350"/>
      <c r="AD1510" s="350"/>
      <c r="AE1510" s="349">
        <v>1747.14</v>
      </c>
      <c r="AF1510" s="349">
        <v>13748.98</v>
      </c>
      <c r="AG1510" s="349">
        <v>0.34116575682382133</v>
      </c>
      <c r="AH1510" s="351">
        <v>2.1317712431761784</v>
      </c>
      <c r="AI1510" s="351"/>
      <c r="AJ1510" s="351"/>
      <c r="AK1510" s="351"/>
      <c r="AL1510" s="352" t="s">
        <v>20345</v>
      </c>
      <c r="AM1510" s="352">
        <v>0</v>
      </c>
      <c r="AN1510" s="352">
        <v>0</v>
      </c>
      <c r="AO1510" s="352">
        <v>0</v>
      </c>
    </row>
    <row r="1511" spans="1:41" hidden="1">
      <c r="A1511" s="342">
        <v>29</v>
      </c>
      <c r="B1511" s="277" t="s">
        <v>20210</v>
      </c>
      <c r="C1511" s="277">
        <v>0</v>
      </c>
      <c r="D1511" s="343" t="s">
        <v>19260</v>
      </c>
      <c r="E1511" s="277" t="s">
        <v>20210</v>
      </c>
      <c r="F1511" s="344">
        <v>45313</v>
      </c>
      <c r="G1511" s="277">
        <v>2024</v>
      </c>
      <c r="H1511" s="383" t="s">
        <v>16838</v>
      </c>
      <c r="I1511" s="277" t="s">
        <v>16839</v>
      </c>
      <c r="J1511" s="277" t="s">
        <v>3</v>
      </c>
      <c r="K1511" s="278">
        <v>258300</v>
      </c>
      <c r="L1511" s="383">
        <v>1</v>
      </c>
      <c r="M1511" s="384">
        <v>258300</v>
      </c>
      <c r="N1511" s="277" t="s">
        <v>20155</v>
      </c>
      <c r="O1511" s="277" t="s">
        <v>20321</v>
      </c>
      <c r="P1511" s="890">
        <v>45317</v>
      </c>
      <c r="Q1511" s="347">
        <v>0</v>
      </c>
      <c r="R1511" s="347">
        <v>157500</v>
      </c>
      <c r="S1511" s="347">
        <v>0</v>
      </c>
      <c r="T1511" s="347">
        <v>0</v>
      </c>
      <c r="U1511" s="347">
        <v>157500</v>
      </c>
      <c r="V1511" s="348"/>
      <c r="W1511" s="349">
        <v>0</v>
      </c>
      <c r="X1511" s="349">
        <v>258300</v>
      </c>
      <c r="Y1511" s="349">
        <v>0</v>
      </c>
      <c r="Z1511" s="349">
        <v>0</v>
      </c>
      <c r="AA1511" s="350"/>
      <c r="AB1511" s="350">
        <v>1.64</v>
      </c>
      <c r="AC1511" s="350"/>
      <c r="AD1511" s="350"/>
      <c r="AE1511" s="349">
        <v>0</v>
      </c>
      <c r="AF1511" s="349">
        <v>0</v>
      </c>
      <c r="AG1511" s="349">
        <v>0</v>
      </c>
      <c r="AH1511" s="351"/>
      <c r="AI1511" s="351">
        <v>1.64</v>
      </c>
      <c r="AJ1511" s="351"/>
      <c r="AK1511" s="351"/>
      <c r="AL1511" s="352">
        <v>0</v>
      </c>
      <c r="AM1511" s="352" t="s">
        <v>20347</v>
      </c>
      <c r="AN1511" s="352">
        <v>0</v>
      </c>
      <c r="AO1511" s="352">
        <v>0</v>
      </c>
    </row>
    <row r="1512" spans="1:41" hidden="1">
      <c r="A1512" s="342">
        <v>30</v>
      </c>
      <c r="B1512" s="277" t="s">
        <v>20211</v>
      </c>
      <c r="C1512" s="277">
        <v>0</v>
      </c>
      <c r="D1512" s="343" t="s">
        <v>19261</v>
      </c>
      <c r="E1512" s="277" t="s">
        <v>20211</v>
      </c>
      <c r="F1512" s="344">
        <v>45314</v>
      </c>
      <c r="G1512" s="277">
        <v>2024</v>
      </c>
      <c r="H1512" s="383" t="s">
        <v>17342</v>
      </c>
      <c r="I1512" s="277" t="s">
        <v>17343</v>
      </c>
      <c r="J1512" s="277" t="s">
        <v>16482</v>
      </c>
      <c r="K1512" s="278">
        <v>89781.270592000001</v>
      </c>
      <c r="L1512" s="383">
        <v>3.3856000000000002</v>
      </c>
      <c r="M1512" s="384">
        <v>26518.57</v>
      </c>
      <c r="N1512" s="277" t="s">
        <v>20155</v>
      </c>
      <c r="O1512" s="277" t="s">
        <v>16394</v>
      </c>
      <c r="P1512" s="890">
        <v>45315</v>
      </c>
      <c r="Q1512" s="347">
        <v>0</v>
      </c>
      <c r="R1512" s="347">
        <v>19848</v>
      </c>
      <c r="S1512" s="347">
        <v>1200</v>
      </c>
      <c r="T1512" s="347">
        <v>2180</v>
      </c>
      <c r="U1512" s="347">
        <v>23228</v>
      </c>
      <c r="V1512" s="348"/>
      <c r="W1512" s="349">
        <v>0</v>
      </c>
      <c r="X1512" s="349">
        <v>66939.043408604513</v>
      </c>
      <c r="Y1512" s="349">
        <v>4301.1212771344926</v>
      </c>
      <c r="Z1512" s="349">
        <v>18541.112677460995</v>
      </c>
      <c r="AA1512" s="350"/>
      <c r="AB1512" s="350">
        <v>3.3725838073662087</v>
      </c>
      <c r="AC1512" s="350">
        <v>3.5842677309454105</v>
      </c>
      <c r="AD1512" s="350">
        <v>8.5050975584683464</v>
      </c>
      <c r="AE1512" s="349">
        <v>1858.9694999999997</v>
      </c>
      <c r="AF1512" s="349">
        <v>29965.946</v>
      </c>
      <c r="AG1512" s="349">
        <v>1.2900786120199759</v>
      </c>
      <c r="AH1512" s="351"/>
      <c r="AI1512" s="351">
        <v>2.0825051953462328</v>
      </c>
      <c r="AJ1512" s="351">
        <v>2.2941891189254346</v>
      </c>
      <c r="AK1512" s="351">
        <v>7.2150189464483709</v>
      </c>
      <c r="AL1512" s="352">
        <v>0</v>
      </c>
      <c r="AM1512" s="352">
        <v>1</v>
      </c>
      <c r="AN1512" s="352">
        <v>1</v>
      </c>
      <c r="AO1512" s="352">
        <v>1</v>
      </c>
    </row>
    <row r="1513" spans="1:41" hidden="1">
      <c r="A1513" s="342">
        <v>31</v>
      </c>
      <c r="B1513" s="277" t="s">
        <v>20212</v>
      </c>
      <c r="C1513" s="277">
        <v>0</v>
      </c>
      <c r="D1513" s="343" t="s">
        <v>19262</v>
      </c>
      <c r="E1513" s="277" t="s">
        <v>20212</v>
      </c>
      <c r="F1513" s="344">
        <v>45314</v>
      </c>
      <c r="G1513" s="277">
        <v>2024</v>
      </c>
      <c r="H1513" s="383" t="s">
        <v>17248</v>
      </c>
      <c r="I1513" s="277" t="s">
        <v>17249</v>
      </c>
      <c r="J1513" s="277" t="s">
        <v>16401</v>
      </c>
      <c r="K1513" s="278">
        <v>74142.583200000008</v>
      </c>
      <c r="L1513" s="383">
        <v>3.1080000000000001</v>
      </c>
      <c r="M1513" s="384">
        <v>23855.4</v>
      </c>
      <c r="N1513" s="277" t="s">
        <v>20155</v>
      </c>
      <c r="O1513" s="277" t="s">
        <v>17954</v>
      </c>
      <c r="P1513" s="890">
        <v>45317</v>
      </c>
      <c r="Q1513" s="347">
        <v>0</v>
      </c>
      <c r="R1513" s="347">
        <v>22278</v>
      </c>
      <c r="S1513" s="347">
        <v>1200</v>
      </c>
      <c r="T1513" s="347">
        <v>0</v>
      </c>
      <c r="U1513" s="347">
        <v>23478</v>
      </c>
      <c r="V1513" s="348"/>
      <c r="W1513" s="349">
        <v>0</v>
      </c>
      <c r="X1513" s="349">
        <v>70470.773167728097</v>
      </c>
      <c r="Y1513" s="349">
        <v>3671.5924722719137</v>
      </c>
      <c r="Z1513" s="349">
        <v>0</v>
      </c>
      <c r="AA1513" s="350"/>
      <c r="AB1513" s="350">
        <v>3.1632450474785929</v>
      </c>
      <c r="AC1513" s="350">
        <v>3.0596603935599282</v>
      </c>
      <c r="AD1513" s="350"/>
      <c r="AE1513" s="349">
        <v>2178.54</v>
      </c>
      <c r="AF1513" s="349">
        <v>16267.775</v>
      </c>
      <c r="AG1513" s="349">
        <v>0.69289441178976063</v>
      </c>
      <c r="AH1513" s="351"/>
      <c r="AI1513" s="351">
        <v>2.4703506356888321</v>
      </c>
      <c r="AJ1513" s="351">
        <v>2.3667659817701674</v>
      </c>
      <c r="AK1513" s="351"/>
      <c r="AL1513" s="352">
        <v>0</v>
      </c>
      <c r="AM1513" s="352">
        <v>1</v>
      </c>
      <c r="AN1513" s="352">
        <v>1</v>
      </c>
      <c r="AO1513" s="352">
        <v>0</v>
      </c>
    </row>
    <row r="1514" spans="1:41" hidden="1">
      <c r="A1514" s="617">
        <v>32</v>
      </c>
      <c r="B1514" s="496" t="s">
        <v>20213</v>
      </c>
      <c r="C1514" s="496">
        <v>0</v>
      </c>
      <c r="D1514" s="566" t="s">
        <v>19263</v>
      </c>
      <c r="E1514" s="496" t="s">
        <v>20213</v>
      </c>
      <c r="F1514" s="567">
        <v>45314</v>
      </c>
      <c r="G1514" s="496">
        <v>2024</v>
      </c>
      <c r="H1514" s="586" t="s">
        <v>17304</v>
      </c>
      <c r="I1514" s="496" t="s">
        <v>17305</v>
      </c>
      <c r="J1514" s="496" t="s">
        <v>17306</v>
      </c>
      <c r="K1514" s="497">
        <v>72019.724174999996</v>
      </c>
      <c r="L1514" s="586">
        <v>2.29915</v>
      </c>
      <c r="M1514" s="587">
        <v>31324.5</v>
      </c>
      <c r="N1514" s="496" t="s">
        <v>20155</v>
      </c>
      <c r="O1514" s="496" t="s">
        <v>17954</v>
      </c>
      <c r="P1514" s="880">
        <v>45317</v>
      </c>
      <c r="Q1514" s="565">
        <v>2400</v>
      </c>
      <c r="R1514" s="565">
        <v>14402</v>
      </c>
      <c r="S1514" s="565">
        <v>2880</v>
      </c>
      <c r="T1514" s="565">
        <v>250</v>
      </c>
      <c r="U1514" s="565">
        <v>19932</v>
      </c>
      <c r="V1514" s="354">
        <v>3.6132713312763394</v>
      </c>
      <c r="W1514" s="569">
        <v>8916.4940433473821</v>
      </c>
      <c r="X1514" s="569">
        <v>45485.579981787072</v>
      </c>
      <c r="Y1514" s="569">
        <v>9706.5600520168573</v>
      </c>
      <c r="Z1514" s="569">
        <v>7911.0900978486852</v>
      </c>
      <c r="AA1514" s="570">
        <v>3.7152058513947424</v>
      </c>
      <c r="AB1514" s="570">
        <v>3.1582821817655238</v>
      </c>
      <c r="AC1514" s="570">
        <v>3.3703333513947422</v>
      </c>
      <c r="AD1514" s="570">
        <v>31.644360391394741</v>
      </c>
      <c r="AE1514" s="569">
        <v>1797.78</v>
      </c>
      <c r="AF1514" s="569">
        <v>14979.29</v>
      </c>
      <c r="AG1514" s="569">
        <v>0.75151966686734906</v>
      </c>
      <c r="AH1514" s="571">
        <v>2.9636861845273934</v>
      </c>
      <c r="AI1514" s="571">
        <v>2.4067625148981748</v>
      </c>
      <c r="AJ1514" s="571">
        <v>2.6188136845273933</v>
      </c>
      <c r="AK1514" s="571">
        <v>30.892840724527392</v>
      </c>
      <c r="AL1514" s="572">
        <v>1</v>
      </c>
      <c r="AM1514" s="572">
        <v>1</v>
      </c>
      <c r="AN1514" s="572">
        <v>1</v>
      </c>
      <c r="AO1514" s="572">
        <v>1</v>
      </c>
    </row>
    <row r="1515" spans="1:41" hidden="1">
      <c r="A1515" s="342">
        <v>33</v>
      </c>
      <c r="B1515" s="277" t="s">
        <v>20214</v>
      </c>
      <c r="C1515" s="277">
        <v>0</v>
      </c>
      <c r="D1515" s="343" t="s">
        <v>19264</v>
      </c>
      <c r="E1515" s="277" t="s">
        <v>20214</v>
      </c>
      <c r="F1515" s="344">
        <v>45314</v>
      </c>
      <c r="G1515" s="277">
        <v>2024</v>
      </c>
      <c r="H1515" s="383" t="s">
        <v>17119</v>
      </c>
      <c r="I1515" s="277" t="s">
        <v>17120</v>
      </c>
      <c r="J1515" s="277" t="s">
        <v>16401</v>
      </c>
      <c r="K1515" s="278">
        <v>224694.91449999998</v>
      </c>
      <c r="L1515" s="383">
        <v>3.3834499999999998</v>
      </c>
      <c r="M1515" s="384">
        <v>66410</v>
      </c>
      <c r="N1515" s="277" t="s">
        <v>20155</v>
      </c>
      <c r="O1515" s="277" t="s">
        <v>17965</v>
      </c>
      <c r="P1515" s="890">
        <v>45317</v>
      </c>
      <c r="Q1515" s="347">
        <v>0</v>
      </c>
      <c r="R1515" s="347">
        <v>0</v>
      </c>
      <c r="S1515" s="347">
        <v>130000</v>
      </c>
      <c r="T1515" s="347">
        <v>0</v>
      </c>
      <c r="U1515" s="347">
        <v>130000</v>
      </c>
      <c r="V1515" s="354">
        <v>1.7284224192307691</v>
      </c>
      <c r="W1515" s="569">
        <v>0</v>
      </c>
      <c r="X1515" s="569">
        <v>0</v>
      </c>
      <c r="Y1515" s="569">
        <v>224694.91450000001</v>
      </c>
      <c r="Z1515" s="569">
        <v>0</v>
      </c>
      <c r="AA1515" s="350"/>
      <c r="AB1515" s="350"/>
      <c r="AC1515" s="350">
        <v>1.7284224192307693</v>
      </c>
      <c r="AD1515" s="350"/>
      <c r="AE1515" s="349">
        <v>7397.4662500000004</v>
      </c>
      <c r="AF1515" s="349">
        <v>37300.285000000003</v>
      </c>
      <c r="AG1515" s="349">
        <v>0.28692526923076928</v>
      </c>
      <c r="AH1515" s="351"/>
      <c r="AI1515" s="351"/>
      <c r="AJ1515" s="351">
        <v>1.44149715</v>
      </c>
      <c r="AK1515" s="351"/>
      <c r="AL1515" s="352">
        <v>0</v>
      </c>
      <c r="AM1515" s="352">
        <v>0</v>
      </c>
      <c r="AN1515" s="352" t="s">
        <v>20347</v>
      </c>
      <c r="AO1515" s="352">
        <v>0</v>
      </c>
    </row>
    <row r="1516" spans="1:41" hidden="1">
      <c r="A1516" s="342">
        <v>34</v>
      </c>
      <c r="B1516" s="277" t="s">
        <v>20215</v>
      </c>
      <c r="C1516" s="277">
        <v>0</v>
      </c>
      <c r="D1516" s="343" t="s">
        <v>19265</v>
      </c>
      <c r="E1516" s="277" t="s">
        <v>20215</v>
      </c>
      <c r="F1516" s="344">
        <v>45314</v>
      </c>
      <c r="G1516" s="277">
        <v>2024</v>
      </c>
      <c r="H1516" s="383" t="s">
        <v>16384</v>
      </c>
      <c r="I1516" s="277" t="s">
        <v>16385</v>
      </c>
      <c r="J1516" s="277" t="s">
        <v>3</v>
      </c>
      <c r="K1516" s="278">
        <v>155136</v>
      </c>
      <c r="L1516" s="383">
        <v>1</v>
      </c>
      <c r="M1516" s="384">
        <v>155136</v>
      </c>
      <c r="N1516" s="277" t="s">
        <v>20155</v>
      </c>
      <c r="O1516" s="277" t="s">
        <v>17965</v>
      </c>
      <c r="P1516" s="890">
        <v>45318</v>
      </c>
      <c r="Q1516" s="347">
        <v>76800</v>
      </c>
      <c r="R1516" s="347">
        <v>0</v>
      </c>
      <c r="S1516" s="347">
        <v>0</v>
      </c>
      <c r="T1516" s="347">
        <v>0</v>
      </c>
      <c r="U1516" s="347">
        <v>76800</v>
      </c>
      <c r="V1516" s="348"/>
      <c r="W1516" s="349">
        <v>155136</v>
      </c>
      <c r="X1516" s="349">
        <v>0</v>
      </c>
      <c r="Y1516" s="349">
        <v>0</v>
      </c>
      <c r="Z1516" s="349">
        <v>0</v>
      </c>
      <c r="AA1516" s="350">
        <v>2.02</v>
      </c>
      <c r="AB1516" s="350"/>
      <c r="AC1516" s="350"/>
      <c r="AD1516" s="350"/>
      <c r="AE1516" s="349">
        <v>0</v>
      </c>
      <c r="AF1516" s="349">
        <v>0</v>
      </c>
      <c r="AG1516" s="349">
        <v>0</v>
      </c>
      <c r="AH1516" s="351">
        <v>2.02</v>
      </c>
      <c r="AI1516" s="351"/>
      <c r="AJ1516" s="351"/>
      <c r="AK1516" s="351"/>
      <c r="AL1516" s="352" t="s">
        <v>20345</v>
      </c>
      <c r="AM1516" s="352">
        <v>0</v>
      </c>
      <c r="AN1516" s="352">
        <v>0</v>
      </c>
      <c r="AO1516" s="352">
        <v>0</v>
      </c>
    </row>
    <row r="1517" spans="1:41" hidden="1">
      <c r="A1517" s="342">
        <v>35</v>
      </c>
      <c r="B1517" s="277" t="s">
        <v>20216</v>
      </c>
      <c r="C1517" s="277">
        <v>0</v>
      </c>
      <c r="D1517" s="343" t="s">
        <v>19266</v>
      </c>
      <c r="E1517" s="277" t="s">
        <v>20216</v>
      </c>
      <c r="F1517" s="344">
        <v>45314</v>
      </c>
      <c r="G1517" s="277">
        <v>2024</v>
      </c>
      <c r="H1517" s="383" t="s">
        <v>16470</v>
      </c>
      <c r="I1517" s="277" t="s">
        <v>16471</v>
      </c>
      <c r="J1517" s="277" t="s">
        <v>16401</v>
      </c>
      <c r="K1517" s="278">
        <v>597837.78973099997</v>
      </c>
      <c r="L1517" s="383">
        <v>3.1213000000000002</v>
      </c>
      <c r="M1517" s="384">
        <v>191534.87</v>
      </c>
      <c r="N1517" s="277" t="s">
        <v>20155</v>
      </c>
      <c r="O1517" s="277" t="s">
        <v>18227</v>
      </c>
      <c r="P1517" s="890">
        <v>45322</v>
      </c>
      <c r="Q1517" s="347">
        <v>11376</v>
      </c>
      <c r="R1517" s="347">
        <v>242506</v>
      </c>
      <c r="S1517" s="347">
        <v>16000</v>
      </c>
      <c r="T1517" s="347">
        <v>0</v>
      </c>
      <c r="U1517" s="347">
        <v>269882</v>
      </c>
      <c r="V1517" s="348"/>
      <c r="W1517" s="349">
        <v>27184.748045915112</v>
      </c>
      <c r="X1517" s="349">
        <v>538668.87222886656</v>
      </c>
      <c r="Y1517" s="349">
        <v>31984.419160218178</v>
      </c>
      <c r="Z1517" s="349">
        <v>0</v>
      </c>
      <c r="AA1517" s="350">
        <v>2.3896578802667996</v>
      </c>
      <c r="AB1517" s="350">
        <v>2.2212599780164886</v>
      </c>
      <c r="AC1517" s="350">
        <v>1.9990261975136361</v>
      </c>
      <c r="AD1517" s="350"/>
      <c r="AE1517" s="349">
        <v>17542.79</v>
      </c>
      <c r="AF1517" s="349">
        <v>84659.66</v>
      </c>
      <c r="AG1517" s="349">
        <v>0.31369139105238586</v>
      </c>
      <c r="AH1517" s="351">
        <v>2.0759664892144136</v>
      </c>
      <c r="AI1517" s="351">
        <v>1.9075685869641026</v>
      </c>
      <c r="AJ1517" s="351">
        <v>1.6853348064612503</v>
      </c>
      <c r="AK1517" s="351"/>
      <c r="AL1517" s="352" t="s">
        <v>20345</v>
      </c>
      <c r="AM1517" s="352" t="s">
        <v>20346</v>
      </c>
      <c r="AN1517" s="352" t="s">
        <v>20347</v>
      </c>
      <c r="AO1517" s="352">
        <v>0</v>
      </c>
    </row>
    <row r="1518" spans="1:41" hidden="1">
      <c r="A1518" s="342">
        <v>36</v>
      </c>
      <c r="B1518" s="277" t="s">
        <v>20217</v>
      </c>
      <c r="C1518" s="277">
        <v>0</v>
      </c>
      <c r="D1518" s="343" t="s">
        <v>19267</v>
      </c>
      <c r="E1518" s="277" t="s">
        <v>20217</v>
      </c>
      <c r="F1518" s="344">
        <v>45314</v>
      </c>
      <c r="G1518" s="277">
        <v>2024</v>
      </c>
      <c r="H1518" s="383" t="s">
        <v>17209</v>
      </c>
      <c r="I1518" s="277" t="s">
        <v>17210</v>
      </c>
      <c r="J1518" s="277" t="s">
        <v>16401</v>
      </c>
      <c r="K1518" s="278">
        <v>51255.61641200001</v>
      </c>
      <c r="L1518" s="383">
        <v>3.1213000000000002</v>
      </c>
      <c r="M1518" s="384">
        <v>16421.240000000002</v>
      </c>
      <c r="N1518" s="277" t="s">
        <v>20155</v>
      </c>
      <c r="O1518" s="277" t="s">
        <v>20168</v>
      </c>
      <c r="P1518" s="890">
        <v>45320</v>
      </c>
      <c r="Q1518" s="347">
        <v>6000</v>
      </c>
      <c r="R1518" s="347">
        <v>6624</v>
      </c>
      <c r="S1518" s="347">
        <v>1536</v>
      </c>
      <c r="T1518" s="347">
        <v>1500</v>
      </c>
      <c r="U1518" s="347">
        <v>15660</v>
      </c>
      <c r="V1518" s="354">
        <v>3.2730278679438065</v>
      </c>
      <c r="W1518" s="569">
        <v>16688.072306513408</v>
      </c>
      <c r="X1518" s="569">
        <v>18390.670898390803</v>
      </c>
      <c r="Y1518" s="569">
        <v>4466.9156304674334</v>
      </c>
      <c r="Z1518" s="569">
        <v>9368.982576628352</v>
      </c>
      <c r="AA1518" s="350">
        <v>2.7813453844189011</v>
      </c>
      <c r="AB1518" s="350">
        <v>2.7763693989116551</v>
      </c>
      <c r="AC1518" s="350">
        <v>2.9081481969189018</v>
      </c>
      <c r="AD1518" s="350">
        <v>6.2459883844189017</v>
      </c>
      <c r="AE1518" s="349">
        <v>545.61749999999995</v>
      </c>
      <c r="AF1518" s="349">
        <v>10426.75</v>
      </c>
      <c r="AG1518" s="349">
        <v>0.66582056194125161</v>
      </c>
      <c r="AH1518" s="351">
        <v>2.1155248224776493</v>
      </c>
      <c r="AI1518" s="351">
        <v>2.1105488369704037</v>
      </c>
      <c r="AJ1518" s="351">
        <v>2.2423276349776504</v>
      </c>
      <c r="AK1518" s="351">
        <v>5.5801678224776499</v>
      </c>
      <c r="AL1518" s="352">
        <v>1</v>
      </c>
      <c r="AM1518" s="352">
        <v>1</v>
      </c>
      <c r="AN1518" s="352">
        <v>1</v>
      </c>
      <c r="AO1518" s="352">
        <v>1</v>
      </c>
    </row>
    <row r="1519" spans="1:41" hidden="1">
      <c r="A1519" s="342">
        <v>37</v>
      </c>
      <c r="B1519" s="277" t="s">
        <v>20218</v>
      </c>
      <c r="C1519" s="277">
        <v>0</v>
      </c>
      <c r="D1519" s="343" t="s">
        <v>19269</v>
      </c>
      <c r="E1519" s="277" t="s">
        <v>20218</v>
      </c>
      <c r="F1519" s="344">
        <v>45314</v>
      </c>
      <c r="G1519" s="277">
        <v>2024</v>
      </c>
      <c r="H1519" s="383" t="s">
        <v>17309</v>
      </c>
      <c r="I1519" s="277" t="s">
        <v>17310</v>
      </c>
      <c r="J1519" s="277" t="s">
        <v>3</v>
      </c>
      <c r="K1519" s="278">
        <v>646720</v>
      </c>
      <c r="L1519" s="383">
        <v>1</v>
      </c>
      <c r="M1519" s="384">
        <v>646720</v>
      </c>
      <c r="N1519" s="277" t="s">
        <v>20155</v>
      </c>
      <c r="O1519" s="277" t="s">
        <v>20321</v>
      </c>
      <c r="P1519" s="890" t="s">
        <v>20369</v>
      </c>
      <c r="Q1519" s="347">
        <v>128000</v>
      </c>
      <c r="R1519" s="347">
        <v>0</v>
      </c>
      <c r="S1519" s="347">
        <v>240000</v>
      </c>
      <c r="T1519" s="347">
        <v>0</v>
      </c>
      <c r="U1519" s="347">
        <v>368000</v>
      </c>
      <c r="V1519" s="348"/>
      <c r="W1519" s="349">
        <v>254720</v>
      </c>
      <c r="X1519" s="349">
        <v>0</v>
      </c>
      <c r="Y1519" s="349">
        <v>392000</v>
      </c>
      <c r="Z1519" s="349">
        <v>0</v>
      </c>
      <c r="AA1519" s="350">
        <v>1.99</v>
      </c>
      <c r="AB1519" s="350"/>
      <c r="AC1519" s="350">
        <v>1.6333333333333333</v>
      </c>
      <c r="AD1519" s="350"/>
      <c r="AE1519" s="349">
        <v>0</v>
      </c>
      <c r="AF1519" s="349">
        <v>0</v>
      </c>
      <c r="AG1519" s="349">
        <v>0</v>
      </c>
      <c r="AH1519" s="351">
        <v>1.99</v>
      </c>
      <c r="AI1519" s="351"/>
      <c r="AJ1519" s="351">
        <v>1.6333333333333333</v>
      </c>
      <c r="AK1519" s="351"/>
      <c r="AL1519" s="352" t="s">
        <v>20345</v>
      </c>
      <c r="AM1519" s="352">
        <v>0</v>
      </c>
      <c r="AN1519" s="352" t="s">
        <v>20347</v>
      </c>
      <c r="AO1519" s="352">
        <v>0</v>
      </c>
    </row>
    <row r="1520" spans="1:41" hidden="1">
      <c r="A1520" s="342">
        <v>38</v>
      </c>
      <c r="B1520" s="277" t="s">
        <v>20219</v>
      </c>
      <c r="C1520" s="277">
        <v>0</v>
      </c>
      <c r="D1520" s="343" t="s">
        <v>19270</v>
      </c>
      <c r="E1520" s="277" t="s">
        <v>20219</v>
      </c>
      <c r="F1520" s="344">
        <v>45314</v>
      </c>
      <c r="G1520" s="277">
        <v>2024</v>
      </c>
      <c r="H1520" s="383" t="s">
        <v>16783</v>
      </c>
      <c r="I1520" s="277" t="s">
        <v>16784</v>
      </c>
      <c r="J1520" s="277" t="s">
        <v>16401</v>
      </c>
      <c r="K1520" s="278">
        <v>359417.69500000001</v>
      </c>
      <c r="L1520" s="383">
        <v>3.1213000000000002</v>
      </c>
      <c r="M1520" s="384">
        <v>115150</v>
      </c>
      <c r="N1520" s="277" t="s">
        <v>20155</v>
      </c>
      <c r="O1520" s="277" t="s">
        <v>17939</v>
      </c>
      <c r="P1520" s="890">
        <v>45320</v>
      </c>
      <c r="Q1520" s="347">
        <v>0</v>
      </c>
      <c r="R1520" s="347">
        <v>30000</v>
      </c>
      <c r="S1520" s="347">
        <v>0</v>
      </c>
      <c r="T1520" s="347">
        <v>50000</v>
      </c>
      <c r="U1520" s="347">
        <v>80000</v>
      </c>
      <c r="V1520" s="348"/>
      <c r="W1520" s="349">
        <v>0</v>
      </c>
      <c r="X1520" s="349">
        <v>66015.494999999995</v>
      </c>
      <c r="Y1520" s="349">
        <v>0</v>
      </c>
      <c r="Z1520" s="349">
        <v>293402.19999999995</v>
      </c>
      <c r="AA1520" s="350"/>
      <c r="AB1520" s="350">
        <v>2.2005165</v>
      </c>
      <c r="AC1520" s="350"/>
      <c r="AD1520" s="350">
        <v>5.8680439999999994</v>
      </c>
      <c r="AE1520" s="349">
        <v>0</v>
      </c>
      <c r="AF1520" s="349">
        <v>0</v>
      </c>
      <c r="AG1520" s="349">
        <v>0</v>
      </c>
      <c r="AH1520" s="351"/>
      <c r="AI1520" s="351">
        <v>2.2005165</v>
      </c>
      <c r="AJ1520" s="351"/>
      <c r="AK1520" s="351">
        <v>5.8680439999999994</v>
      </c>
      <c r="AL1520" s="352">
        <v>0</v>
      </c>
      <c r="AM1520" s="352" t="s">
        <v>20345</v>
      </c>
      <c r="AN1520" s="352">
        <v>0</v>
      </c>
      <c r="AO1520" s="352">
        <v>1</v>
      </c>
    </row>
    <row r="1521" spans="1:41" hidden="1">
      <c r="A1521" s="342">
        <v>39</v>
      </c>
      <c r="B1521" s="277" t="s">
        <v>20220</v>
      </c>
      <c r="C1521" s="277">
        <v>0</v>
      </c>
      <c r="D1521" s="343" t="s">
        <v>19271</v>
      </c>
      <c r="E1521" s="277" t="s">
        <v>20220</v>
      </c>
      <c r="F1521" s="344">
        <v>45320</v>
      </c>
      <c r="G1521" s="277">
        <v>2024</v>
      </c>
      <c r="H1521" s="383" t="s">
        <v>17342</v>
      </c>
      <c r="I1521" s="277" t="s">
        <v>17343</v>
      </c>
      <c r="J1521" s="277" t="s">
        <v>16482</v>
      </c>
      <c r="K1521" s="278">
        <v>84437.636052000002</v>
      </c>
      <c r="L1521" s="383">
        <v>3.3782000000000001</v>
      </c>
      <c r="M1521" s="384">
        <v>24994.86</v>
      </c>
      <c r="N1521" s="277" t="s">
        <v>20155</v>
      </c>
      <c r="O1521" s="277" t="s">
        <v>16394</v>
      </c>
      <c r="P1521" s="890">
        <v>45322</v>
      </c>
      <c r="Q1521" s="347">
        <v>1920</v>
      </c>
      <c r="R1521" s="347">
        <v>17136</v>
      </c>
      <c r="S1521" s="347">
        <v>2400</v>
      </c>
      <c r="T1521" s="347">
        <v>760</v>
      </c>
      <c r="U1521" s="347">
        <v>22216</v>
      </c>
      <c r="V1521" s="348"/>
      <c r="W1521" s="349">
        <v>6963.1617030637371</v>
      </c>
      <c r="X1521" s="349">
        <v>63416.853809443841</v>
      </c>
      <c r="Y1521" s="349">
        <v>8639.0906888296722</v>
      </c>
      <c r="Z1521" s="349">
        <v>5418.5433634627298</v>
      </c>
      <c r="AA1521" s="350">
        <v>3.6266467203456965</v>
      </c>
      <c r="AB1521" s="350">
        <v>3.7007967909339308</v>
      </c>
      <c r="AC1521" s="350">
        <v>3.5996211203456969</v>
      </c>
      <c r="AD1521" s="350">
        <v>7.1296623203456972</v>
      </c>
      <c r="AE1521" s="349">
        <v>1855.7204999999999</v>
      </c>
      <c r="AF1521" s="349">
        <v>29467.816999999999</v>
      </c>
      <c r="AG1521" s="349">
        <v>1.3264231634857759</v>
      </c>
      <c r="AH1521" s="351">
        <v>2.3002235568599207</v>
      </c>
      <c r="AI1521" s="351">
        <v>2.3743736274481551</v>
      </c>
      <c r="AJ1521" s="351">
        <v>2.2731979568599208</v>
      </c>
      <c r="AK1521" s="351">
        <v>5.8032391568599211</v>
      </c>
      <c r="AL1521" s="352">
        <v>1</v>
      </c>
      <c r="AM1521" s="352">
        <v>1</v>
      </c>
      <c r="AN1521" s="352">
        <v>1</v>
      </c>
      <c r="AO1521" s="352">
        <v>1</v>
      </c>
    </row>
    <row r="1522" spans="1:41" hidden="1">
      <c r="A1522" s="342">
        <v>40</v>
      </c>
      <c r="B1522" s="277" t="s">
        <v>20221</v>
      </c>
      <c r="C1522" s="277">
        <v>0</v>
      </c>
      <c r="D1522" s="343" t="s">
        <v>19272</v>
      </c>
      <c r="E1522" s="277" t="s">
        <v>20221</v>
      </c>
      <c r="F1522" s="344">
        <v>45320</v>
      </c>
      <c r="G1522" s="277">
        <v>2024</v>
      </c>
      <c r="H1522" s="383" t="s">
        <v>17119</v>
      </c>
      <c r="I1522" s="277" t="s">
        <v>17120</v>
      </c>
      <c r="J1522" s="277" t="s">
        <v>16401</v>
      </c>
      <c r="K1522" s="278">
        <v>101688.473348</v>
      </c>
      <c r="L1522" s="383">
        <v>3.1351</v>
      </c>
      <c r="M1522" s="384">
        <v>32435.48</v>
      </c>
      <c r="N1522" s="277" t="s">
        <v>20155</v>
      </c>
      <c r="O1522" s="277" t="s">
        <v>17965</v>
      </c>
      <c r="P1522" s="890">
        <v>45330</v>
      </c>
      <c r="Q1522" s="347">
        <v>19200</v>
      </c>
      <c r="R1522" s="347">
        <v>44004</v>
      </c>
      <c r="S1522" s="347">
        <v>0</v>
      </c>
      <c r="T1522" s="347">
        <v>0</v>
      </c>
      <c r="U1522" s="347">
        <v>63204</v>
      </c>
      <c r="V1522" s="348"/>
      <c r="W1522" s="349">
        <v>30890.745653464972</v>
      </c>
      <c r="X1522" s="349">
        <v>70797.727694535031</v>
      </c>
      <c r="Y1522" s="349">
        <v>0</v>
      </c>
      <c r="Z1522" s="349">
        <v>0</v>
      </c>
      <c r="AA1522" s="350">
        <v>1.608893002784634</v>
      </c>
      <c r="AB1522" s="350">
        <v>1.608893002784634</v>
      </c>
      <c r="AC1522" s="350"/>
      <c r="AD1522" s="350"/>
      <c r="AE1522" s="349">
        <v>4951.9522500000003</v>
      </c>
      <c r="AF1522" s="349">
        <v>24769.769</v>
      </c>
      <c r="AG1522" s="349">
        <v>0.39190192076450858</v>
      </c>
      <c r="AH1522" s="351">
        <v>1.2169910820201255</v>
      </c>
      <c r="AI1522" s="351">
        <v>1.2169910820201255</v>
      </c>
      <c r="AJ1522" s="351"/>
      <c r="AK1522" s="351"/>
      <c r="AL1522" s="352" t="s">
        <v>20345</v>
      </c>
      <c r="AM1522" s="352" t="s">
        <v>20346</v>
      </c>
      <c r="AN1522" s="352">
        <v>0</v>
      </c>
      <c r="AO1522" s="352">
        <v>0</v>
      </c>
    </row>
    <row r="1523" spans="1:41" hidden="1">
      <c r="A1523" s="342">
        <v>41</v>
      </c>
      <c r="B1523" s="277" t="s">
        <v>20222</v>
      </c>
      <c r="C1523" s="277">
        <v>0</v>
      </c>
      <c r="D1523" s="343" t="s">
        <v>19273</v>
      </c>
      <c r="E1523" s="277" t="s">
        <v>20222</v>
      </c>
      <c r="F1523" s="344">
        <v>45320</v>
      </c>
      <c r="G1523" s="277">
        <v>2024</v>
      </c>
      <c r="H1523" s="383" t="s">
        <v>17119</v>
      </c>
      <c r="I1523" s="277" t="s">
        <v>17120</v>
      </c>
      <c r="J1523" s="277" t="s">
        <v>16401</v>
      </c>
      <c r="K1523" s="278">
        <v>117897.408</v>
      </c>
      <c r="L1523" s="383">
        <v>3.117</v>
      </c>
      <c r="M1523" s="384">
        <v>37824</v>
      </c>
      <c r="N1523" s="277" t="s">
        <v>20155</v>
      </c>
      <c r="O1523" s="277" t="s">
        <v>20321</v>
      </c>
      <c r="P1523" s="890">
        <v>45322</v>
      </c>
      <c r="Q1523" s="347">
        <v>19200</v>
      </c>
      <c r="R1523" s="347">
        <v>55000</v>
      </c>
      <c r="S1523" s="347">
        <v>0</v>
      </c>
      <c r="T1523" s="347">
        <v>0</v>
      </c>
      <c r="U1523" s="347">
        <v>74200</v>
      </c>
      <c r="V1523" s="354">
        <v>1.5889138544474393</v>
      </c>
      <c r="W1523" s="569">
        <v>11522.851665768194</v>
      </c>
      <c r="X1523" s="569">
        <v>104153.6938342318</v>
      </c>
      <c r="Y1523" s="569">
        <v>0</v>
      </c>
      <c r="Z1523" s="569">
        <v>0</v>
      </c>
      <c r="AA1523" s="350">
        <v>0.60014852425876009</v>
      </c>
      <c r="AB1523" s="350">
        <v>1.8937035242587601</v>
      </c>
      <c r="AC1523" s="350"/>
      <c r="AD1523" s="350"/>
      <c r="AE1523" s="349">
        <v>5406.6112499999999</v>
      </c>
      <c r="AF1523" s="349">
        <v>27393.665000000001</v>
      </c>
      <c r="AG1523" s="349">
        <v>0.36918685983827493</v>
      </c>
      <c r="AH1523" s="351">
        <v>0.23096166442048516</v>
      </c>
      <c r="AI1523" s="351">
        <v>1.5245166644204851</v>
      </c>
      <c r="AJ1523" s="351"/>
      <c r="AK1523" s="351"/>
      <c r="AL1523" s="352" t="s">
        <v>20345</v>
      </c>
      <c r="AM1523" s="352" t="s">
        <v>20347</v>
      </c>
      <c r="AN1523" s="352">
        <v>0</v>
      </c>
      <c r="AO1523" s="352">
        <v>0</v>
      </c>
    </row>
    <row r="1524" spans="1:41" hidden="1">
      <c r="A1524" s="342">
        <v>42</v>
      </c>
      <c r="B1524" s="277" t="s">
        <v>20223</v>
      </c>
      <c r="C1524" s="277">
        <v>0</v>
      </c>
      <c r="D1524" s="343" t="s">
        <v>19274</v>
      </c>
      <c r="E1524" s="277" t="s">
        <v>20223</v>
      </c>
      <c r="F1524" s="344">
        <v>45323</v>
      </c>
      <c r="G1524" s="277">
        <v>2024</v>
      </c>
      <c r="H1524" s="383" t="s">
        <v>16384</v>
      </c>
      <c r="I1524" s="277" t="s">
        <v>16385</v>
      </c>
      <c r="J1524" s="277" t="s">
        <v>3</v>
      </c>
      <c r="K1524" s="278">
        <v>232704</v>
      </c>
      <c r="L1524" s="383">
        <v>1</v>
      </c>
      <c r="M1524" s="384">
        <v>232704</v>
      </c>
      <c r="N1524" s="277" t="s">
        <v>20155</v>
      </c>
      <c r="O1524" s="277" t="s">
        <v>17965</v>
      </c>
      <c r="P1524" s="890">
        <v>45331</v>
      </c>
      <c r="Q1524" s="347">
        <v>115200</v>
      </c>
      <c r="R1524" s="347">
        <v>0</v>
      </c>
      <c r="S1524" s="347">
        <v>0</v>
      </c>
      <c r="T1524" s="347">
        <v>0</v>
      </c>
      <c r="U1524" s="347">
        <v>115200</v>
      </c>
      <c r="V1524" s="348"/>
      <c r="W1524" s="349">
        <v>232704</v>
      </c>
      <c r="X1524" s="349">
        <v>0</v>
      </c>
      <c r="Y1524" s="349">
        <v>0</v>
      </c>
      <c r="Z1524" s="349">
        <v>0</v>
      </c>
      <c r="AA1524" s="350">
        <v>2.02</v>
      </c>
      <c r="AB1524" s="350"/>
      <c r="AC1524" s="350"/>
      <c r="AD1524" s="350"/>
      <c r="AE1524" s="349">
        <v>0</v>
      </c>
      <c r="AF1524" s="349">
        <v>0</v>
      </c>
      <c r="AG1524" s="349">
        <v>0</v>
      </c>
      <c r="AH1524" s="351">
        <v>2.02</v>
      </c>
      <c r="AI1524" s="351"/>
      <c r="AJ1524" s="351"/>
      <c r="AK1524" s="351"/>
      <c r="AL1524" s="352" t="s">
        <v>20345</v>
      </c>
      <c r="AM1524" s="352">
        <v>0</v>
      </c>
      <c r="AN1524" s="352">
        <v>0</v>
      </c>
      <c r="AO1524" s="352">
        <v>0</v>
      </c>
    </row>
    <row r="1525" spans="1:41" hidden="1">
      <c r="A1525" s="342">
        <v>43</v>
      </c>
      <c r="B1525" s="277" t="s">
        <v>20224</v>
      </c>
      <c r="C1525" s="277">
        <v>0</v>
      </c>
      <c r="D1525" s="343" t="s">
        <v>19275</v>
      </c>
      <c r="E1525" s="277" t="s">
        <v>20224</v>
      </c>
      <c r="F1525" s="344">
        <v>45323</v>
      </c>
      <c r="G1525" s="277">
        <v>2024</v>
      </c>
      <c r="H1525" s="383" t="s">
        <v>16384</v>
      </c>
      <c r="I1525" s="277" t="s">
        <v>16385</v>
      </c>
      <c r="J1525" s="277" t="s">
        <v>3</v>
      </c>
      <c r="K1525" s="278">
        <v>441901.76</v>
      </c>
      <c r="L1525" s="383">
        <v>1</v>
      </c>
      <c r="M1525" s="384">
        <v>441901.76</v>
      </c>
      <c r="N1525" s="277" t="s">
        <v>20155</v>
      </c>
      <c r="O1525" s="277" t="s">
        <v>17949</v>
      </c>
      <c r="P1525" s="890">
        <v>45335</v>
      </c>
      <c r="Q1525" s="347">
        <v>152832</v>
      </c>
      <c r="R1525" s="347">
        <v>26160</v>
      </c>
      <c r="S1525" s="347">
        <v>56000</v>
      </c>
      <c r="T1525" s="347">
        <v>0</v>
      </c>
      <c r="U1525" s="347">
        <v>234992</v>
      </c>
      <c r="V1525" s="348"/>
      <c r="W1525" s="349">
        <v>305847.36</v>
      </c>
      <c r="X1525" s="349">
        <v>48134.400000000001</v>
      </c>
      <c r="Y1525" s="349">
        <v>87920</v>
      </c>
      <c r="Z1525" s="349">
        <v>0</v>
      </c>
      <c r="AA1525" s="350">
        <v>2.0011997487437183</v>
      </c>
      <c r="AB1525" s="350">
        <v>1.84</v>
      </c>
      <c r="AC1525" s="350">
        <v>1.57</v>
      </c>
      <c r="AD1525" s="350"/>
      <c r="AE1525" s="349">
        <v>0</v>
      </c>
      <c r="AF1525" s="349">
        <v>0</v>
      </c>
      <c r="AG1525" s="349">
        <v>0</v>
      </c>
      <c r="AH1525" s="351">
        <v>2.0011997487437183</v>
      </c>
      <c r="AI1525" s="351">
        <v>1.84</v>
      </c>
      <c r="AJ1525" s="351">
        <v>1.57</v>
      </c>
      <c r="AK1525" s="351"/>
      <c r="AL1525" s="352" t="s">
        <v>20345</v>
      </c>
      <c r="AM1525" s="352" t="s">
        <v>20346</v>
      </c>
      <c r="AN1525" s="352" t="s">
        <v>20347</v>
      </c>
      <c r="AO1525" s="352">
        <v>0</v>
      </c>
    </row>
    <row r="1526" spans="1:41" hidden="1">
      <c r="A1526" s="342">
        <v>44</v>
      </c>
      <c r="B1526" s="277" t="s">
        <v>20225</v>
      </c>
      <c r="C1526" s="277">
        <v>0</v>
      </c>
      <c r="D1526" s="343" t="s">
        <v>19276</v>
      </c>
      <c r="E1526" s="277" t="s">
        <v>20225</v>
      </c>
      <c r="F1526" s="344">
        <v>45323</v>
      </c>
      <c r="G1526" s="277">
        <v>2024</v>
      </c>
      <c r="H1526" s="383" t="s">
        <v>17342</v>
      </c>
      <c r="I1526" s="277" t="s">
        <v>17343</v>
      </c>
      <c r="J1526" s="277" t="s">
        <v>16482</v>
      </c>
      <c r="K1526" s="278">
        <v>92184.060192000004</v>
      </c>
      <c r="L1526" s="383">
        <v>3.3804500000000002</v>
      </c>
      <c r="M1526" s="384">
        <v>27269.759999999998</v>
      </c>
      <c r="N1526" s="277" t="s">
        <v>20155</v>
      </c>
      <c r="O1526" s="277" t="s">
        <v>16394</v>
      </c>
      <c r="P1526" s="890">
        <v>45327</v>
      </c>
      <c r="Q1526" s="347">
        <v>0</v>
      </c>
      <c r="R1526" s="347">
        <v>20712</v>
      </c>
      <c r="S1526" s="347">
        <v>0</v>
      </c>
      <c r="T1526" s="347">
        <v>3300</v>
      </c>
      <c r="U1526" s="347">
        <v>24012</v>
      </c>
      <c r="V1526" s="348"/>
      <c r="W1526" s="349">
        <v>0</v>
      </c>
      <c r="X1526" s="349">
        <v>68633.027902974107</v>
      </c>
      <c r="Y1526" s="349">
        <v>0</v>
      </c>
      <c r="Z1526" s="349">
        <v>23551.018767225887</v>
      </c>
      <c r="AA1526" s="350"/>
      <c r="AB1526" s="350">
        <v>3.3136842363351731</v>
      </c>
      <c r="AC1526" s="350"/>
      <c r="AD1526" s="350">
        <v>7.1366723537048147</v>
      </c>
      <c r="AE1526" s="349">
        <v>1853.5545</v>
      </c>
      <c r="AF1526" s="349">
        <v>30486.423999999999</v>
      </c>
      <c r="AG1526" s="349">
        <v>1.2696328502415459</v>
      </c>
      <c r="AH1526" s="351"/>
      <c r="AI1526" s="351">
        <v>2.0440513860936269</v>
      </c>
      <c r="AJ1526" s="351"/>
      <c r="AK1526" s="351">
        <v>5.8670395034632685</v>
      </c>
      <c r="AL1526" s="352">
        <v>0</v>
      </c>
      <c r="AM1526" s="352">
        <v>1</v>
      </c>
      <c r="AN1526" s="352">
        <v>0</v>
      </c>
      <c r="AO1526" s="352">
        <v>1</v>
      </c>
    </row>
    <row r="1527" spans="1:41" hidden="1">
      <c r="A1527" s="342">
        <v>45</v>
      </c>
      <c r="B1527" s="277" t="s">
        <v>20226</v>
      </c>
      <c r="C1527" s="277">
        <v>0</v>
      </c>
      <c r="D1527" s="343" t="s">
        <v>19277</v>
      </c>
      <c r="E1527" s="277" t="s">
        <v>20226</v>
      </c>
      <c r="F1527" s="344">
        <v>45328</v>
      </c>
      <c r="G1527" s="277">
        <v>2024</v>
      </c>
      <c r="H1527" s="383" t="s">
        <v>17370</v>
      </c>
      <c r="I1527" s="277" t="s">
        <v>17371</v>
      </c>
      <c r="J1527" s="277" t="s">
        <v>16401</v>
      </c>
      <c r="K1527" s="278">
        <v>127414.27008</v>
      </c>
      <c r="L1527" s="383">
        <v>3.1347</v>
      </c>
      <c r="M1527" s="384">
        <v>40646.400000000001</v>
      </c>
      <c r="N1527" s="277" t="s">
        <v>20155</v>
      </c>
      <c r="O1527" s="277" t="s">
        <v>20173</v>
      </c>
      <c r="P1527" s="890">
        <v>45342</v>
      </c>
      <c r="Q1527" s="347">
        <v>0</v>
      </c>
      <c r="R1527" s="347">
        <v>56064</v>
      </c>
      <c r="S1527" s="347">
        <v>0</v>
      </c>
      <c r="T1527" s="347">
        <v>0</v>
      </c>
      <c r="U1527" s="347">
        <v>56064</v>
      </c>
      <c r="V1527" s="348"/>
      <c r="W1527" s="349">
        <v>0</v>
      </c>
      <c r="X1527" s="349">
        <v>127414.27008000002</v>
      </c>
      <c r="Y1527" s="349">
        <v>0</v>
      </c>
      <c r="Z1527" s="349">
        <v>0</v>
      </c>
      <c r="AA1527" s="350"/>
      <c r="AB1527" s="350">
        <v>2.2726575000000002</v>
      </c>
      <c r="AC1527" s="350"/>
      <c r="AD1527" s="350"/>
      <c r="AE1527" s="349">
        <v>3145.3874999999998</v>
      </c>
      <c r="AF1527" s="349">
        <v>18474.823</v>
      </c>
      <c r="AG1527" s="349">
        <v>0.32953094677511419</v>
      </c>
      <c r="AH1527" s="351"/>
      <c r="AI1527" s="351">
        <v>1.943126553224886</v>
      </c>
      <c r="AJ1527" s="351"/>
      <c r="AK1527" s="351"/>
      <c r="AL1527" s="352">
        <v>0</v>
      </c>
      <c r="AM1527" s="352" t="s">
        <v>20348</v>
      </c>
      <c r="AN1527" s="352">
        <v>0</v>
      </c>
      <c r="AO1527" s="352">
        <v>0</v>
      </c>
    </row>
    <row r="1528" spans="1:41" hidden="1">
      <c r="A1528" s="342">
        <v>46</v>
      </c>
      <c r="B1528" s="277" t="s">
        <v>20227</v>
      </c>
      <c r="C1528" s="277">
        <v>0</v>
      </c>
      <c r="D1528" s="343" t="s">
        <v>19278</v>
      </c>
      <c r="E1528" s="277" t="s">
        <v>20227</v>
      </c>
      <c r="F1528" s="344">
        <v>45329</v>
      </c>
      <c r="G1528" s="277">
        <v>2024</v>
      </c>
      <c r="H1528" s="383" t="s">
        <v>16838</v>
      </c>
      <c r="I1528" s="277" t="s">
        <v>16839</v>
      </c>
      <c r="J1528" s="277" t="s">
        <v>3</v>
      </c>
      <c r="K1528" s="278">
        <v>85599.84</v>
      </c>
      <c r="L1528" s="383">
        <v>1</v>
      </c>
      <c r="M1528" s="384">
        <v>85599.84</v>
      </c>
      <c r="N1528" s="277" t="s">
        <v>20155</v>
      </c>
      <c r="O1528" s="277" t="s">
        <v>17949</v>
      </c>
      <c r="P1528" s="890">
        <v>45341</v>
      </c>
      <c r="Q1528" s="347">
        <v>34008</v>
      </c>
      <c r="R1528" s="347">
        <v>9600</v>
      </c>
      <c r="S1528" s="347">
        <v>0</v>
      </c>
      <c r="T1528" s="347">
        <v>0</v>
      </c>
      <c r="U1528" s="347">
        <v>43608</v>
      </c>
      <c r="V1528" s="348"/>
      <c r="W1528" s="349">
        <v>67935.839999999997</v>
      </c>
      <c r="X1528" s="349">
        <v>17664</v>
      </c>
      <c r="Y1528" s="349">
        <v>0</v>
      </c>
      <c r="Z1528" s="349">
        <v>0</v>
      </c>
      <c r="AA1528" s="350">
        <v>1.9976429075511644</v>
      </c>
      <c r="AB1528" s="350">
        <v>1.84</v>
      </c>
      <c r="AC1528" s="350"/>
      <c r="AD1528" s="350"/>
      <c r="AE1528" s="349">
        <v>0</v>
      </c>
      <c r="AF1528" s="349">
        <v>0</v>
      </c>
      <c r="AG1528" s="349">
        <v>0</v>
      </c>
      <c r="AH1528" s="351">
        <v>1.9976429075511644</v>
      </c>
      <c r="AI1528" s="351">
        <v>1.84</v>
      </c>
      <c r="AJ1528" s="351"/>
      <c r="AK1528" s="351"/>
      <c r="AL1528" s="352" t="s">
        <v>20345</v>
      </c>
      <c r="AM1528" s="352" t="s">
        <v>20346</v>
      </c>
      <c r="AN1528" s="352">
        <v>0</v>
      </c>
      <c r="AO1528" s="352">
        <v>0</v>
      </c>
    </row>
    <row r="1529" spans="1:41" hidden="1">
      <c r="A1529" s="342">
        <v>47</v>
      </c>
      <c r="B1529" s="277" t="s">
        <v>20228</v>
      </c>
      <c r="C1529" s="277">
        <v>0</v>
      </c>
      <c r="D1529" s="343" t="s">
        <v>19279</v>
      </c>
      <c r="E1529" s="277" t="s">
        <v>20228</v>
      </c>
      <c r="F1529" s="344">
        <v>45329</v>
      </c>
      <c r="G1529" s="277">
        <v>2024</v>
      </c>
      <c r="H1529" s="383" t="s">
        <v>16444</v>
      </c>
      <c r="I1529" s="277" t="s">
        <v>16445</v>
      </c>
      <c r="J1529" s="277" t="s">
        <v>3</v>
      </c>
      <c r="K1529" s="278">
        <v>44295.839999999997</v>
      </c>
      <c r="L1529" s="383">
        <v>1</v>
      </c>
      <c r="M1529" s="384">
        <v>44295.839999999997</v>
      </c>
      <c r="N1529" s="277" t="s">
        <v>20155</v>
      </c>
      <c r="O1529" s="277" t="s">
        <v>17693</v>
      </c>
      <c r="P1529" s="890">
        <v>45336</v>
      </c>
      <c r="Q1529" s="347">
        <v>22008</v>
      </c>
      <c r="R1529" s="347">
        <v>0</v>
      </c>
      <c r="S1529" s="347">
        <v>0</v>
      </c>
      <c r="T1529" s="347">
        <v>0</v>
      </c>
      <c r="U1529" s="347">
        <v>22008</v>
      </c>
      <c r="V1529" s="348"/>
      <c r="W1529" s="349">
        <v>44295.839999999997</v>
      </c>
      <c r="X1529" s="349">
        <v>0</v>
      </c>
      <c r="Y1529" s="349">
        <v>0</v>
      </c>
      <c r="Z1529" s="349">
        <v>0</v>
      </c>
      <c r="AA1529" s="350">
        <v>2.0127153762268266</v>
      </c>
      <c r="AB1529" s="350"/>
      <c r="AC1529" s="350"/>
      <c r="AD1529" s="350"/>
      <c r="AE1529" s="349">
        <v>0</v>
      </c>
      <c r="AF1529" s="349">
        <v>0</v>
      </c>
      <c r="AG1529" s="349">
        <v>0</v>
      </c>
      <c r="AH1529" s="351">
        <v>2.0127153762268266</v>
      </c>
      <c r="AI1529" s="351"/>
      <c r="AJ1529" s="351"/>
      <c r="AK1529" s="351"/>
      <c r="AL1529" s="352" t="s">
        <v>20345</v>
      </c>
      <c r="AM1529" s="352">
        <v>0</v>
      </c>
      <c r="AN1529" s="352">
        <v>0</v>
      </c>
      <c r="AO1529" s="352">
        <v>0</v>
      </c>
    </row>
    <row r="1530" spans="1:41" hidden="1">
      <c r="A1530" s="342">
        <v>48</v>
      </c>
      <c r="B1530" s="277" t="s">
        <v>20229</v>
      </c>
      <c r="C1530" s="277">
        <v>0</v>
      </c>
      <c r="D1530" s="343" t="s">
        <v>19280</v>
      </c>
      <c r="E1530" s="277" t="s">
        <v>20229</v>
      </c>
      <c r="F1530" s="344">
        <v>45330</v>
      </c>
      <c r="G1530" s="277">
        <v>2024</v>
      </c>
      <c r="H1530" s="383" t="s">
        <v>16838</v>
      </c>
      <c r="I1530" s="277" t="s">
        <v>16839</v>
      </c>
      <c r="J1530" s="277" t="s">
        <v>3</v>
      </c>
      <c r="K1530" s="278">
        <v>254925</v>
      </c>
      <c r="L1530" s="383">
        <v>1</v>
      </c>
      <c r="M1530" s="384">
        <v>254925</v>
      </c>
      <c r="N1530" s="277" t="s">
        <v>20155</v>
      </c>
      <c r="O1530" s="277" t="s">
        <v>20321</v>
      </c>
      <c r="P1530" s="890">
        <v>45338</v>
      </c>
      <c r="Q1530" s="347">
        <v>0</v>
      </c>
      <c r="R1530" s="347">
        <v>157500</v>
      </c>
      <c r="S1530" s="347">
        <v>0</v>
      </c>
      <c r="T1530" s="347">
        <v>0</v>
      </c>
      <c r="U1530" s="347">
        <v>157500</v>
      </c>
      <c r="V1530" s="348"/>
      <c r="W1530" s="349">
        <v>0</v>
      </c>
      <c r="X1530" s="349">
        <v>254925</v>
      </c>
      <c r="Y1530" s="349">
        <v>0</v>
      </c>
      <c r="Z1530" s="349">
        <v>0</v>
      </c>
      <c r="AA1530" s="350"/>
      <c r="AB1530" s="350">
        <v>1.6185714285714285</v>
      </c>
      <c r="AC1530" s="350"/>
      <c r="AD1530" s="350"/>
      <c r="AE1530" s="349">
        <v>0</v>
      </c>
      <c r="AF1530" s="349">
        <v>0</v>
      </c>
      <c r="AG1530" s="349">
        <v>0</v>
      </c>
      <c r="AH1530" s="351"/>
      <c r="AI1530" s="351">
        <v>1.6185714285714285</v>
      </c>
      <c r="AJ1530" s="351"/>
      <c r="AK1530" s="351"/>
      <c r="AL1530" s="352">
        <v>0</v>
      </c>
      <c r="AM1530" s="352" t="s">
        <v>20347</v>
      </c>
      <c r="AN1530" s="352">
        <v>0</v>
      </c>
      <c r="AO1530" s="352">
        <v>0</v>
      </c>
    </row>
    <row r="1531" spans="1:41" hidden="1">
      <c r="A1531" s="342">
        <v>49</v>
      </c>
      <c r="B1531" s="277" t="s">
        <v>20230</v>
      </c>
      <c r="C1531" s="277">
        <v>0</v>
      </c>
      <c r="D1531" s="343" t="s">
        <v>19281</v>
      </c>
      <c r="E1531" s="277" t="s">
        <v>20230</v>
      </c>
      <c r="F1531" s="344">
        <v>45330</v>
      </c>
      <c r="G1531" s="277">
        <v>2024</v>
      </c>
      <c r="H1531" s="383" t="s">
        <v>17304</v>
      </c>
      <c r="I1531" s="277" t="s">
        <v>17305</v>
      </c>
      <c r="J1531" s="277" t="s">
        <v>17306</v>
      </c>
      <c r="K1531" s="278">
        <v>78206.648148000007</v>
      </c>
      <c r="L1531" s="383">
        <v>2.3188499999999999</v>
      </c>
      <c r="M1531" s="384">
        <v>33726.480000000003</v>
      </c>
      <c r="N1531" s="277" t="s">
        <v>20155</v>
      </c>
      <c r="O1531" s="277" t="s">
        <v>17238</v>
      </c>
      <c r="P1531" s="890">
        <v>45344</v>
      </c>
      <c r="Q1531" s="347">
        <v>0</v>
      </c>
      <c r="R1531" s="347">
        <v>0</v>
      </c>
      <c r="S1531" s="347">
        <v>23608</v>
      </c>
      <c r="T1531" s="347">
        <v>0</v>
      </c>
      <c r="U1531" s="347">
        <v>23608</v>
      </c>
      <c r="V1531" s="348"/>
      <c r="W1531" s="349">
        <v>0</v>
      </c>
      <c r="X1531" s="349">
        <v>0</v>
      </c>
      <c r="Y1531" s="349">
        <v>78206.648147999993</v>
      </c>
      <c r="Z1531" s="349">
        <v>0</v>
      </c>
      <c r="AA1531" s="350"/>
      <c r="AB1531" s="350"/>
      <c r="AC1531" s="350">
        <v>3.3127180679430697</v>
      </c>
      <c r="AD1531" s="350"/>
      <c r="AE1531" s="349">
        <v>1933.5749999999998</v>
      </c>
      <c r="AF1531" s="349">
        <v>14312.725</v>
      </c>
      <c r="AG1531" s="349">
        <v>0.60626588444595053</v>
      </c>
      <c r="AH1531" s="351"/>
      <c r="AI1531" s="351"/>
      <c r="AJ1531" s="351">
        <v>2.7064521834971194</v>
      </c>
      <c r="AK1531" s="351"/>
      <c r="AL1531" s="352">
        <v>0</v>
      </c>
      <c r="AM1531" s="352">
        <v>0</v>
      </c>
      <c r="AN1531" s="352">
        <v>1</v>
      </c>
      <c r="AO1531" s="352">
        <v>0</v>
      </c>
    </row>
    <row r="1532" spans="1:41" hidden="1">
      <c r="A1532" s="342">
        <v>50</v>
      </c>
      <c r="B1532" s="277" t="s">
        <v>20232</v>
      </c>
      <c r="C1532" s="277">
        <v>0</v>
      </c>
      <c r="D1532" s="343" t="s">
        <v>19282</v>
      </c>
      <c r="E1532" s="277" t="s">
        <v>20232</v>
      </c>
      <c r="F1532" s="344">
        <v>45330</v>
      </c>
      <c r="G1532" s="277">
        <v>2024</v>
      </c>
      <c r="H1532" s="383" t="s">
        <v>17304</v>
      </c>
      <c r="I1532" s="277" t="s">
        <v>17305</v>
      </c>
      <c r="J1532" s="277" t="s">
        <v>17306</v>
      </c>
      <c r="K1532" s="278">
        <v>77858.820648000008</v>
      </c>
      <c r="L1532" s="383">
        <v>2.3188499999999999</v>
      </c>
      <c r="M1532" s="384">
        <v>33576.480000000003</v>
      </c>
      <c r="N1532" s="277" t="s">
        <v>20155</v>
      </c>
      <c r="O1532" s="277" t="s">
        <v>17238</v>
      </c>
      <c r="P1532" s="890">
        <v>45344</v>
      </c>
      <c r="Q1532" s="347">
        <v>0</v>
      </c>
      <c r="R1532" s="347">
        <v>18160</v>
      </c>
      <c r="S1532" s="347">
        <v>5448</v>
      </c>
      <c r="T1532" s="347">
        <v>0</v>
      </c>
      <c r="U1532" s="347">
        <v>23608</v>
      </c>
      <c r="V1532" s="348"/>
      <c r="W1532" s="349">
        <v>0</v>
      </c>
      <c r="X1532" s="349">
        <v>59891.400498461546</v>
      </c>
      <c r="Y1532" s="349">
        <v>17967.420149538459</v>
      </c>
      <c r="Z1532" s="349">
        <v>0</v>
      </c>
      <c r="AA1532" s="350"/>
      <c r="AB1532" s="350">
        <v>3.2979846089461202</v>
      </c>
      <c r="AC1532" s="350">
        <v>3.2979846089461193</v>
      </c>
      <c r="AD1532" s="350"/>
      <c r="AE1532" s="349">
        <v>2238.375</v>
      </c>
      <c r="AF1532" s="349">
        <v>16414.325000000001</v>
      </c>
      <c r="AG1532" s="349">
        <v>0.69528655540494755</v>
      </c>
      <c r="AH1532" s="351"/>
      <c r="AI1532" s="351">
        <v>2.6026980535411726</v>
      </c>
      <c r="AJ1532" s="351">
        <v>2.6026980535411717</v>
      </c>
      <c r="AK1532" s="351"/>
      <c r="AL1532" s="352">
        <v>0</v>
      </c>
      <c r="AM1532" s="352">
        <v>0</v>
      </c>
      <c r="AN1532" s="352">
        <v>1</v>
      </c>
      <c r="AO1532" s="352">
        <v>0</v>
      </c>
    </row>
    <row r="1533" spans="1:41" hidden="1">
      <c r="A1533" s="342">
        <v>51</v>
      </c>
      <c r="B1533" s="277" t="s">
        <v>20233</v>
      </c>
      <c r="C1533" s="277">
        <v>0</v>
      </c>
      <c r="D1533" s="343" t="s">
        <v>19283</v>
      </c>
      <c r="E1533" s="277" t="s">
        <v>20233</v>
      </c>
      <c r="F1533" s="344">
        <v>45335</v>
      </c>
      <c r="G1533" s="277">
        <v>2024</v>
      </c>
      <c r="H1533" s="383" t="s">
        <v>17342</v>
      </c>
      <c r="I1533" s="277" t="s">
        <v>17343</v>
      </c>
      <c r="J1533" s="277" t="s">
        <v>16482</v>
      </c>
      <c r="K1533" s="278">
        <v>86844.928258</v>
      </c>
      <c r="L1533" s="383">
        <v>3.3738999999999999</v>
      </c>
      <c r="M1533" s="384">
        <v>25740.22</v>
      </c>
      <c r="N1533" s="277" t="s">
        <v>20155</v>
      </c>
      <c r="O1533" s="277" t="s">
        <v>16394</v>
      </c>
      <c r="P1533" s="890">
        <v>45341</v>
      </c>
      <c r="Q1533" s="347">
        <v>3840</v>
      </c>
      <c r="R1533" s="347">
        <v>12336</v>
      </c>
      <c r="S1533" s="347">
        <v>7200</v>
      </c>
      <c r="T1533" s="347">
        <v>560</v>
      </c>
      <c r="U1533" s="347">
        <v>23936</v>
      </c>
      <c r="V1533" s="348"/>
      <c r="W1533" s="349">
        <v>13464.229586053476</v>
      </c>
      <c r="X1533" s="349">
        <v>44442.691940396791</v>
      </c>
      <c r="Y1533" s="349">
        <v>25051.093833850264</v>
      </c>
      <c r="Z1533" s="349">
        <v>3886.9263932994645</v>
      </c>
      <c r="AA1533" s="350">
        <v>3.5063097880347596</v>
      </c>
      <c r="AB1533" s="350">
        <v>3.6026825502915685</v>
      </c>
      <c r="AC1533" s="350">
        <v>3.4793185880347588</v>
      </c>
      <c r="AD1533" s="350">
        <v>6.9409399880347582</v>
      </c>
      <c r="AE1533" s="349">
        <v>1550.451</v>
      </c>
      <c r="AF1533" s="349">
        <v>28796.416000000001</v>
      </c>
      <c r="AG1533" s="349">
        <v>1.2030588235294117</v>
      </c>
      <c r="AH1533" s="351">
        <v>2.3032509645053478</v>
      </c>
      <c r="AI1533" s="351">
        <v>2.3996237267621567</v>
      </c>
      <c r="AJ1533" s="351">
        <v>2.2762597645053471</v>
      </c>
      <c r="AK1533" s="351">
        <v>5.737881164505346</v>
      </c>
      <c r="AL1533" s="352">
        <v>1</v>
      </c>
      <c r="AM1533" s="352">
        <v>1</v>
      </c>
      <c r="AN1533" s="352">
        <v>1</v>
      </c>
      <c r="AO1533" s="352">
        <v>1</v>
      </c>
    </row>
    <row r="1534" spans="1:41" hidden="1">
      <c r="A1534" s="342">
        <v>52</v>
      </c>
      <c r="B1534" s="277" t="s">
        <v>20234</v>
      </c>
      <c r="C1534" s="277">
        <v>0</v>
      </c>
      <c r="D1534" s="343" t="s">
        <v>19284</v>
      </c>
      <c r="E1534" s="277" t="s">
        <v>20234</v>
      </c>
      <c r="F1534" s="344">
        <v>45323</v>
      </c>
      <c r="G1534" s="277">
        <v>2024</v>
      </c>
      <c r="H1534" s="383" t="s">
        <v>17309</v>
      </c>
      <c r="I1534" s="277" t="s">
        <v>17310</v>
      </c>
      <c r="J1534" s="277" t="s">
        <v>3</v>
      </c>
      <c r="K1534" s="278">
        <v>77952</v>
      </c>
      <c r="L1534" s="383">
        <v>1</v>
      </c>
      <c r="M1534" s="384">
        <v>77952</v>
      </c>
      <c r="N1534" s="277" t="s">
        <v>20155</v>
      </c>
      <c r="O1534" s="277" t="s">
        <v>18248</v>
      </c>
      <c r="P1534" s="890">
        <v>45341</v>
      </c>
      <c r="Q1534" s="347">
        <v>38400</v>
      </c>
      <c r="R1534" s="347">
        <v>0</v>
      </c>
      <c r="S1534" s="347">
        <v>0</v>
      </c>
      <c r="T1534" s="347">
        <v>0</v>
      </c>
      <c r="U1534" s="347">
        <v>38400</v>
      </c>
      <c r="V1534" s="348"/>
      <c r="W1534" s="349">
        <v>77952</v>
      </c>
      <c r="X1534" s="349">
        <v>0</v>
      </c>
      <c r="Y1534" s="349">
        <v>0</v>
      </c>
      <c r="Z1534" s="349">
        <v>0</v>
      </c>
      <c r="AA1534" s="350">
        <v>2.0299999999999998</v>
      </c>
      <c r="AB1534" s="350"/>
      <c r="AC1534" s="350"/>
      <c r="AD1534" s="350"/>
      <c r="AE1534" s="349">
        <v>0</v>
      </c>
      <c r="AF1534" s="349">
        <v>0</v>
      </c>
      <c r="AG1534" s="349">
        <v>0</v>
      </c>
      <c r="AH1534" s="351">
        <v>2.0299999999999998</v>
      </c>
      <c r="AI1534" s="351"/>
      <c r="AJ1534" s="351"/>
      <c r="AK1534" s="351"/>
      <c r="AL1534" s="352" t="s">
        <v>20345</v>
      </c>
      <c r="AM1534" s="352">
        <v>0</v>
      </c>
      <c r="AN1534" s="352">
        <v>0</v>
      </c>
      <c r="AO1534" s="352">
        <v>0</v>
      </c>
    </row>
    <row r="1535" spans="1:41" hidden="1">
      <c r="A1535" s="342">
        <v>53</v>
      </c>
      <c r="B1535" s="277" t="s">
        <v>20235</v>
      </c>
      <c r="C1535" s="277">
        <v>0</v>
      </c>
      <c r="D1535" s="343" t="s">
        <v>19285</v>
      </c>
      <c r="E1535" s="277" t="s">
        <v>20235</v>
      </c>
      <c r="F1535" s="344">
        <v>45337</v>
      </c>
      <c r="G1535" s="277">
        <v>2024</v>
      </c>
      <c r="H1535" s="383" t="s">
        <v>17209</v>
      </c>
      <c r="I1535" s="277" t="s">
        <v>17210</v>
      </c>
      <c r="J1535" s="277" t="s">
        <v>16401</v>
      </c>
      <c r="K1535" s="278">
        <v>82946.977820000015</v>
      </c>
      <c r="L1535" s="383">
        <v>3.1211000000000002</v>
      </c>
      <c r="M1535" s="384">
        <v>26576.2</v>
      </c>
      <c r="N1535" s="277" t="s">
        <v>20155</v>
      </c>
      <c r="O1535" s="277" t="s">
        <v>20168</v>
      </c>
      <c r="P1535" s="890">
        <v>45348</v>
      </c>
      <c r="Q1535" s="347">
        <v>0</v>
      </c>
      <c r="R1535" s="347">
        <v>16680</v>
      </c>
      <c r="S1535" s="347">
        <v>5280</v>
      </c>
      <c r="T1535" s="347">
        <v>2000</v>
      </c>
      <c r="U1535" s="347">
        <v>23960</v>
      </c>
      <c r="V1535" s="348"/>
      <c r="W1535" s="349">
        <v>0</v>
      </c>
      <c r="X1535" s="349">
        <v>51402.322330016694</v>
      </c>
      <c r="Y1535" s="349">
        <v>16551.625772954925</v>
      </c>
      <c r="Z1535" s="349">
        <v>14993.029717028381</v>
      </c>
      <c r="AA1535" s="350"/>
      <c r="AB1535" s="350">
        <v>3.081674000600521</v>
      </c>
      <c r="AC1535" s="350">
        <v>3.1347776085141903</v>
      </c>
      <c r="AD1535" s="350">
        <v>7.4965148585141907</v>
      </c>
      <c r="AE1535" s="349">
        <v>1267.6275000000001</v>
      </c>
      <c r="AF1535" s="349">
        <v>9960.15</v>
      </c>
      <c r="AG1535" s="349">
        <v>0.41569908180300497</v>
      </c>
      <c r="AH1535" s="351"/>
      <c r="AI1535" s="351">
        <v>2.6659749187975161</v>
      </c>
      <c r="AJ1535" s="351">
        <v>2.7190785267111854</v>
      </c>
      <c r="AK1535" s="351">
        <v>7.0808157767111854</v>
      </c>
      <c r="AL1535" s="352">
        <v>0</v>
      </c>
      <c r="AM1535" s="352">
        <v>1</v>
      </c>
      <c r="AN1535" s="352">
        <v>1</v>
      </c>
      <c r="AO1535" s="352">
        <v>1</v>
      </c>
    </row>
    <row r="1536" spans="1:41" hidden="1">
      <c r="A1536" s="342">
        <v>54</v>
      </c>
      <c r="B1536" s="277" t="s">
        <v>20236</v>
      </c>
      <c r="C1536" s="277">
        <v>0</v>
      </c>
      <c r="D1536" s="343" t="s">
        <v>19286</v>
      </c>
      <c r="E1536" s="277" t="s">
        <v>20236</v>
      </c>
      <c r="F1536" s="344">
        <v>45337</v>
      </c>
      <c r="G1536" s="277">
        <v>2024</v>
      </c>
      <c r="H1536" s="383" t="s">
        <v>17226</v>
      </c>
      <c r="I1536" s="277" t="s">
        <v>17227</v>
      </c>
      <c r="J1536" s="277" t="s">
        <v>3</v>
      </c>
      <c r="K1536" s="278">
        <v>153458</v>
      </c>
      <c r="L1536" s="383">
        <v>1</v>
      </c>
      <c r="M1536" s="384">
        <v>153458</v>
      </c>
      <c r="N1536" s="277" t="s">
        <v>20155</v>
      </c>
      <c r="O1536" s="277" t="s">
        <v>17689</v>
      </c>
      <c r="P1536" s="890">
        <v>45363</v>
      </c>
      <c r="Q1536" s="347">
        <v>4800</v>
      </c>
      <c r="R1536" s="347">
        <v>34800</v>
      </c>
      <c r="S1536" s="347">
        <v>5760</v>
      </c>
      <c r="T1536" s="347">
        <v>5600</v>
      </c>
      <c r="U1536" s="347">
        <v>50960</v>
      </c>
      <c r="V1536" s="348"/>
      <c r="W1536" s="349">
        <v>10080</v>
      </c>
      <c r="X1536" s="349">
        <v>89100</v>
      </c>
      <c r="Y1536" s="349">
        <v>14688</v>
      </c>
      <c r="Z1536" s="349">
        <v>39590</v>
      </c>
      <c r="AA1536" s="350">
        <v>2.1</v>
      </c>
      <c r="AB1536" s="350">
        <v>2.5603448275862069</v>
      </c>
      <c r="AC1536" s="350">
        <v>2.5499999999999998</v>
      </c>
      <c r="AD1536" s="350">
        <v>7.0696428571428571</v>
      </c>
      <c r="AE1536" s="349">
        <v>0</v>
      </c>
      <c r="AF1536" s="349">
        <v>0</v>
      </c>
      <c r="AG1536" s="349">
        <v>0</v>
      </c>
      <c r="AH1536" s="351">
        <v>2.1</v>
      </c>
      <c r="AI1536" s="351">
        <v>2.5603448275862069</v>
      </c>
      <c r="AJ1536" s="351">
        <v>2.5499999999999998</v>
      </c>
      <c r="AK1536" s="351">
        <v>7.0696428571428571</v>
      </c>
      <c r="AL1536" s="352">
        <v>1</v>
      </c>
      <c r="AM1536" s="352">
        <v>1</v>
      </c>
      <c r="AN1536" s="352">
        <v>1</v>
      </c>
      <c r="AO1536" s="352">
        <v>1</v>
      </c>
    </row>
    <row r="1537" spans="1:41" hidden="1">
      <c r="A1537" s="342">
        <v>55</v>
      </c>
      <c r="B1537" s="277" t="s">
        <v>20237</v>
      </c>
      <c r="C1537" s="277">
        <v>0</v>
      </c>
      <c r="D1537" s="343" t="s">
        <v>19287</v>
      </c>
      <c r="E1537" s="277" t="s">
        <v>20237</v>
      </c>
      <c r="F1537" s="344">
        <v>45337</v>
      </c>
      <c r="G1537" s="277">
        <v>2024</v>
      </c>
      <c r="H1537" s="383" t="s">
        <v>17226</v>
      </c>
      <c r="I1537" s="277" t="s">
        <v>17227</v>
      </c>
      <c r="J1537" s="277" t="s">
        <v>3</v>
      </c>
      <c r="K1537" s="278">
        <v>54240</v>
      </c>
      <c r="L1537" s="383">
        <v>1</v>
      </c>
      <c r="M1537" s="384">
        <v>54240</v>
      </c>
      <c r="N1537" s="277" t="s">
        <v>20155</v>
      </c>
      <c r="O1537" s="277" t="s">
        <v>17689</v>
      </c>
      <c r="P1537" s="890">
        <v>45356</v>
      </c>
      <c r="Q1537" s="347">
        <v>21600</v>
      </c>
      <c r="R1537" s="347">
        <v>0</v>
      </c>
      <c r="S1537" s="347">
        <v>0</v>
      </c>
      <c r="T1537" s="347">
        <v>0</v>
      </c>
      <c r="U1537" s="347">
        <v>21600</v>
      </c>
      <c r="V1537" s="348"/>
      <c r="W1537" s="349">
        <v>54240</v>
      </c>
      <c r="X1537" s="349">
        <v>0</v>
      </c>
      <c r="Y1537" s="349">
        <v>0</v>
      </c>
      <c r="Z1537" s="349">
        <v>0</v>
      </c>
      <c r="AA1537" s="350">
        <v>2.5111111111111111</v>
      </c>
      <c r="AB1537" s="350"/>
      <c r="AC1537" s="350"/>
      <c r="AD1537" s="350"/>
      <c r="AE1537" s="349">
        <v>0</v>
      </c>
      <c r="AF1537" s="349">
        <v>0</v>
      </c>
      <c r="AG1537" s="349">
        <v>0</v>
      </c>
      <c r="AH1537" s="351">
        <v>2.5111111111111111</v>
      </c>
      <c r="AI1537" s="351"/>
      <c r="AJ1537" s="351"/>
      <c r="AK1537" s="351"/>
      <c r="AL1537" s="352">
        <v>1</v>
      </c>
      <c r="AM1537" s="352">
        <v>0</v>
      </c>
      <c r="AN1537" s="352">
        <v>0</v>
      </c>
      <c r="AO1537" s="352">
        <v>0</v>
      </c>
    </row>
    <row r="1538" spans="1:41" hidden="1">
      <c r="A1538" s="342">
        <v>56</v>
      </c>
      <c r="B1538" s="277" t="s">
        <v>20238</v>
      </c>
      <c r="C1538" s="277">
        <v>0</v>
      </c>
      <c r="D1538" s="343" t="s">
        <v>19288</v>
      </c>
      <c r="E1538" s="277" t="s">
        <v>20238</v>
      </c>
      <c r="F1538" s="344">
        <v>45338</v>
      </c>
      <c r="G1538" s="277">
        <v>2024</v>
      </c>
      <c r="H1538" s="383" t="s">
        <v>17342</v>
      </c>
      <c r="I1538" s="277" t="s">
        <v>17343</v>
      </c>
      <c r="J1538" s="277" t="s">
        <v>16482</v>
      </c>
      <c r="K1538" s="278">
        <v>94623.11731799999</v>
      </c>
      <c r="L1538" s="383">
        <v>3.3738999999999999</v>
      </c>
      <c r="M1538" s="384">
        <v>28045.62</v>
      </c>
      <c r="N1538" s="277" t="s">
        <v>20155</v>
      </c>
      <c r="O1538" s="277" t="s">
        <v>16394</v>
      </c>
      <c r="P1538" s="890">
        <v>45341</v>
      </c>
      <c r="Q1538" s="347">
        <v>0</v>
      </c>
      <c r="R1538" s="347">
        <v>15696</v>
      </c>
      <c r="S1538" s="347">
        <v>7200</v>
      </c>
      <c r="T1538" s="347">
        <v>1560</v>
      </c>
      <c r="U1538" s="347">
        <v>24456</v>
      </c>
      <c r="V1538" s="348"/>
      <c r="W1538" s="349">
        <v>0</v>
      </c>
      <c r="X1538" s="349">
        <v>53769.115272720694</v>
      </c>
      <c r="Y1538" s="349">
        <v>25533.749366202155</v>
      </c>
      <c r="Z1538" s="349">
        <v>15320.266174677132</v>
      </c>
      <c r="AA1538" s="350"/>
      <c r="AB1538" s="350">
        <v>3.4256571911774141</v>
      </c>
      <c r="AC1538" s="350">
        <v>3.5463540786391881</v>
      </c>
      <c r="AD1538" s="350">
        <v>9.8206834453058534</v>
      </c>
      <c r="AE1538" s="349">
        <v>18359.510999999999</v>
      </c>
      <c r="AF1538" s="349">
        <v>30893.56</v>
      </c>
      <c r="AG1538" s="349">
        <v>1.2632302911350999</v>
      </c>
      <c r="AH1538" s="351"/>
      <c r="AI1538" s="351">
        <v>2.1624269000423144</v>
      </c>
      <c r="AJ1538" s="351">
        <v>2.2831237875040884</v>
      </c>
      <c r="AK1538" s="351">
        <v>8.5574531541707533</v>
      </c>
      <c r="AL1538" s="352">
        <v>0</v>
      </c>
      <c r="AM1538" s="352">
        <v>1</v>
      </c>
      <c r="AN1538" s="352">
        <v>1</v>
      </c>
      <c r="AO1538" s="352">
        <v>1</v>
      </c>
    </row>
    <row r="1539" spans="1:41" hidden="1">
      <c r="A1539" s="342">
        <v>57</v>
      </c>
      <c r="B1539" s="277" t="s">
        <v>20239</v>
      </c>
      <c r="C1539" s="277">
        <v>0</v>
      </c>
      <c r="D1539" s="343" t="s">
        <v>19289</v>
      </c>
      <c r="E1539" s="277" t="s">
        <v>20239</v>
      </c>
      <c r="F1539" s="344">
        <v>45339</v>
      </c>
      <c r="G1539" s="277">
        <v>2024</v>
      </c>
      <c r="H1539" s="383" t="s">
        <v>17342</v>
      </c>
      <c r="I1539" s="277" t="s">
        <v>17343</v>
      </c>
      <c r="J1539" s="277" t="s">
        <v>16482</v>
      </c>
      <c r="K1539" s="278">
        <v>91861.58415000001</v>
      </c>
      <c r="L1539" s="383">
        <v>3.37575</v>
      </c>
      <c r="M1539" s="384">
        <v>27212.2</v>
      </c>
      <c r="N1539" s="277" t="s">
        <v>20155</v>
      </c>
      <c r="O1539" s="277" t="s">
        <v>16394</v>
      </c>
      <c r="P1539" s="890">
        <v>45343</v>
      </c>
      <c r="Q1539" s="347">
        <v>0</v>
      </c>
      <c r="R1539" s="347">
        <v>17328</v>
      </c>
      <c r="S1539" s="347">
        <v>4800</v>
      </c>
      <c r="T1539" s="347">
        <v>2380</v>
      </c>
      <c r="U1539" s="347">
        <v>24508</v>
      </c>
      <c r="V1539" s="348"/>
      <c r="W1539" s="349">
        <v>0</v>
      </c>
      <c r="X1539" s="349">
        <v>61434.311876402142</v>
      </c>
      <c r="Y1539" s="349">
        <v>16458.319428366245</v>
      </c>
      <c r="Z1539" s="349">
        <v>13968.966348231595</v>
      </c>
      <c r="AA1539" s="350"/>
      <c r="AB1539" s="350">
        <v>3.5453781092106498</v>
      </c>
      <c r="AC1539" s="350">
        <v>3.4288165475763011</v>
      </c>
      <c r="AD1539" s="350">
        <v>5.8693135916939481</v>
      </c>
      <c r="AE1539" s="349">
        <v>1359.864</v>
      </c>
      <c r="AF1539" s="349">
        <v>27386.615000000002</v>
      </c>
      <c r="AG1539" s="349">
        <v>1.1174561367716664</v>
      </c>
      <c r="AH1539" s="351"/>
      <c r="AI1539" s="351">
        <v>2.4279219724389831</v>
      </c>
      <c r="AJ1539" s="351">
        <v>2.3113604108046344</v>
      </c>
      <c r="AK1539" s="351">
        <v>4.7518574549222814</v>
      </c>
      <c r="AL1539" s="352">
        <v>0</v>
      </c>
      <c r="AM1539" s="352">
        <v>1</v>
      </c>
      <c r="AN1539" s="352">
        <v>1</v>
      </c>
      <c r="AO1539" s="352">
        <v>1</v>
      </c>
    </row>
    <row r="1540" spans="1:41" hidden="1">
      <c r="A1540" s="342">
        <v>58</v>
      </c>
      <c r="B1540" s="277" t="s">
        <v>20240</v>
      </c>
      <c r="C1540" s="277">
        <v>0</v>
      </c>
      <c r="D1540" s="343" t="s">
        <v>19290</v>
      </c>
      <c r="E1540" s="277" t="s">
        <v>20240</v>
      </c>
      <c r="F1540" s="344">
        <v>45342</v>
      </c>
      <c r="G1540" s="277">
        <v>2024</v>
      </c>
      <c r="H1540" s="383" t="s">
        <v>17342</v>
      </c>
      <c r="I1540" s="277" t="s">
        <v>17343</v>
      </c>
      <c r="J1540" s="277" t="s">
        <v>16482</v>
      </c>
      <c r="K1540" s="278">
        <v>87884.9844075</v>
      </c>
      <c r="L1540" s="383">
        <v>3.37575</v>
      </c>
      <c r="M1540" s="384">
        <v>26034.21</v>
      </c>
      <c r="N1540" s="277" t="s">
        <v>20155</v>
      </c>
      <c r="O1540" s="277" t="s">
        <v>16394</v>
      </c>
      <c r="P1540" s="890">
        <v>45343</v>
      </c>
      <c r="Q1540" s="347">
        <v>2880</v>
      </c>
      <c r="R1540" s="347">
        <v>9576</v>
      </c>
      <c r="S1540" s="347">
        <v>6000</v>
      </c>
      <c r="T1540" s="347">
        <v>5360</v>
      </c>
      <c r="U1540" s="347">
        <v>23816</v>
      </c>
      <c r="V1540" s="348"/>
      <c r="W1540" s="349">
        <v>10334.267454860597</v>
      </c>
      <c r="X1540" s="349">
        <v>35505.251411411489</v>
      </c>
      <c r="Y1540" s="349">
        <v>21367.687864292908</v>
      </c>
      <c r="Z1540" s="349">
        <v>29583.269485435001</v>
      </c>
      <c r="AA1540" s="350">
        <v>3.5882873107154851</v>
      </c>
      <c r="AB1540" s="350">
        <v>3.7077330212418014</v>
      </c>
      <c r="AC1540" s="350">
        <v>3.5612813107154846</v>
      </c>
      <c r="AD1540" s="350">
        <v>5.5192666950438438</v>
      </c>
      <c r="AE1540" s="349">
        <v>1859.511</v>
      </c>
      <c r="AF1540" s="349">
        <v>30757.962</v>
      </c>
      <c r="AG1540" s="349">
        <v>1.2914831205911992</v>
      </c>
      <c r="AH1540" s="351">
        <v>2.2968041901242859</v>
      </c>
      <c r="AI1540" s="351">
        <v>2.4162499006506022</v>
      </c>
      <c r="AJ1540" s="351">
        <v>2.2697981901242854</v>
      </c>
      <c r="AK1540" s="351">
        <v>4.2277835744526442</v>
      </c>
      <c r="AL1540" s="352">
        <v>1</v>
      </c>
      <c r="AM1540" s="352">
        <v>1</v>
      </c>
      <c r="AN1540" s="352">
        <v>1</v>
      </c>
      <c r="AO1540" s="352">
        <v>1</v>
      </c>
    </row>
    <row r="1541" spans="1:41" hidden="1">
      <c r="A1541" s="342">
        <v>59</v>
      </c>
      <c r="B1541" s="277" t="s">
        <v>20241</v>
      </c>
      <c r="C1541" s="277">
        <v>0</v>
      </c>
      <c r="D1541" s="343" t="s">
        <v>19291</v>
      </c>
      <c r="E1541" s="277" t="s">
        <v>20241</v>
      </c>
      <c r="F1541" s="344">
        <v>45342</v>
      </c>
      <c r="G1541" s="277">
        <v>2024</v>
      </c>
      <c r="H1541" s="383" t="s">
        <v>16444</v>
      </c>
      <c r="I1541" s="277" t="s">
        <v>16445</v>
      </c>
      <c r="J1541" s="277" t="s">
        <v>3</v>
      </c>
      <c r="K1541" s="278">
        <v>87151.679999999993</v>
      </c>
      <c r="L1541" s="383">
        <v>1</v>
      </c>
      <c r="M1541" s="384">
        <v>87151.679999999993</v>
      </c>
      <c r="N1541" s="277" t="s">
        <v>20155</v>
      </c>
      <c r="O1541" s="277" t="s">
        <v>17949</v>
      </c>
      <c r="P1541" s="890">
        <v>45351</v>
      </c>
      <c r="Q1541" s="347">
        <v>44016</v>
      </c>
      <c r="R1541" s="347">
        <v>0</v>
      </c>
      <c r="S1541" s="347">
        <v>0</v>
      </c>
      <c r="T1541" s="347">
        <v>0</v>
      </c>
      <c r="U1541" s="347">
        <v>44016</v>
      </c>
      <c r="V1541" s="348"/>
      <c r="W1541" s="349">
        <v>87151.679999999993</v>
      </c>
      <c r="X1541" s="349">
        <v>0</v>
      </c>
      <c r="Y1541" s="349">
        <v>0</v>
      </c>
      <c r="Z1541" s="349">
        <v>0</v>
      </c>
      <c r="AA1541" s="350">
        <v>1.9799999999999998</v>
      </c>
      <c r="AB1541" s="350"/>
      <c r="AC1541" s="350"/>
      <c r="AD1541" s="350"/>
      <c r="AE1541" s="349">
        <v>0</v>
      </c>
      <c r="AF1541" s="349">
        <v>0</v>
      </c>
      <c r="AG1541" s="349">
        <v>0</v>
      </c>
      <c r="AH1541" s="351">
        <v>1.9799999999999998</v>
      </c>
      <c r="AI1541" s="351"/>
      <c r="AJ1541" s="351"/>
      <c r="AK1541" s="351"/>
      <c r="AL1541" s="352" t="s">
        <v>20345</v>
      </c>
      <c r="AM1541" s="352">
        <v>0</v>
      </c>
      <c r="AN1541" s="352">
        <v>0</v>
      </c>
      <c r="AO1541" s="352">
        <v>0</v>
      </c>
    </row>
    <row r="1542" spans="1:41" hidden="1">
      <c r="A1542" s="342">
        <v>60</v>
      </c>
      <c r="B1542" s="277" t="s">
        <v>20242</v>
      </c>
      <c r="C1542" s="277">
        <v>0</v>
      </c>
      <c r="D1542" s="343" t="s">
        <v>19292</v>
      </c>
      <c r="E1542" s="277" t="s">
        <v>20242</v>
      </c>
      <c r="F1542" s="344">
        <v>45342</v>
      </c>
      <c r="G1542" s="277">
        <v>2024</v>
      </c>
      <c r="H1542" s="383" t="s">
        <v>17297</v>
      </c>
      <c r="I1542" s="277" t="s">
        <v>17298</v>
      </c>
      <c r="J1542" s="277" t="s">
        <v>3</v>
      </c>
      <c r="K1542" s="278">
        <v>33960</v>
      </c>
      <c r="L1542" s="383">
        <v>1</v>
      </c>
      <c r="M1542" s="384">
        <v>33960</v>
      </c>
      <c r="N1542" s="277" t="s">
        <v>20155</v>
      </c>
      <c r="O1542" s="277" t="s">
        <v>20319</v>
      </c>
      <c r="P1542" s="890">
        <v>45364</v>
      </c>
      <c r="Q1542" s="347">
        <v>3600</v>
      </c>
      <c r="R1542" s="347">
        <v>4800</v>
      </c>
      <c r="S1542" s="347">
        <v>11000</v>
      </c>
      <c r="T1542" s="347">
        <v>0</v>
      </c>
      <c r="U1542" s="347">
        <v>19400</v>
      </c>
      <c r="V1542" s="348"/>
      <c r="W1542" s="349">
        <v>7308</v>
      </c>
      <c r="X1542" s="349">
        <v>8832</v>
      </c>
      <c r="Y1542" s="349">
        <v>17820</v>
      </c>
      <c r="Z1542" s="349">
        <v>0</v>
      </c>
      <c r="AA1542" s="350">
        <v>2.0299999999999998</v>
      </c>
      <c r="AB1542" s="350">
        <v>1.84</v>
      </c>
      <c r="AC1542" s="350">
        <v>1.62</v>
      </c>
      <c r="AD1542" s="350"/>
      <c r="AE1542" s="349">
        <v>0</v>
      </c>
      <c r="AF1542" s="349">
        <v>0</v>
      </c>
      <c r="AG1542" s="349">
        <v>0</v>
      </c>
      <c r="AH1542" s="351">
        <v>2.0299999999999998</v>
      </c>
      <c r="AI1542" s="351">
        <v>1.84</v>
      </c>
      <c r="AJ1542" s="351">
        <v>1.62</v>
      </c>
      <c r="AK1542" s="351"/>
      <c r="AL1542" s="352" t="s">
        <v>20345</v>
      </c>
      <c r="AM1542" s="352" t="s">
        <v>20346</v>
      </c>
      <c r="AN1542" s="352" t="s">
        <v>20347</v>
      </c>
      <c r="AO1542" s="352">
        <v>0</v>
      </c>
    </row>
    <row r="1543" spans="1:41" hidden="1">
      <c r="A1543" s="342">
        <v>61</v>
      </c>
      <c r="B1543" s="277" t="s">
        <v>20243</v>
      </c>
      <c r="C1543" s="277">
        <v>0</v>
      </c>
      <c r="D1543" s="343" t="s">
        <v>19293</v>
      </c>
      <c r="E1543" s="277" t="s">
        <v>20243</v>
      </c>
      <c r="F1543" s="344">
        <v>45342</v>
      </c>
      <c r="G1543" s="277">
        <v>2024</v>
      </c>
      <c r="H1543" s="383" t="s">
        <v>17017</v>
      </c>
      <c r="I1543" s="277" t="s">
        <v>17018</v>
      </c>
      <c r="J1543" s="277" t="s">
        <v>3</v>
      </c>
      <c r="K1543" s="278">
        <v>49610</v>
      </c>
      <c r="L1543" s="383">
        <v>1</v>
      </c>
      <c r="M1543" s="384">
        <v>49610</v>
      </c>
      <c r="N1543" s="277" t="s">
        <v>20155</v>
      </c>
      <c r="O1543" s="277" t="s">
        <v>20370</v>
      </c>
      <c r="P1543" s="890">
        <v>45349</v>
      </c>
      <c r="Q1543" s="347">
        <v>0</v>
      </c>
      <c r="R1543" s="347">
        <v>20500</v>
      </c>
      <c r="S1543" s="347">
        <v>0</v>
      </c>
      <c r="T1543" s="347">
        <v>0</v>
      </c>
      <c r="U1543" s="347">
        <v>20500</v>
      </c>
      <c r="V1543" s="348"/>
      <c r="W1543" s="349">
        <v>0</v>
      </c>
      <c r="X1543" s="349">
        <v>49610</v>
      </c>
      <c r="Y1543" s="349">
        <v>0</v>
      </c>
      <c r="Z1543" s="349">
        <v>0</v>
      </c>
      <c r="AA1543" s="350"/>
      <c r="AB1543" s="350">
        <v>2.42</v>
      </c>
      <c r="AC1543" s="350"/>
      <c r="AD1543" s="350"/>
      <c r="AE1543" s="349">
        <v>0</v>
      </c>
      <c r="AF1543" s="349">
        <v>0</v>
      </c>
      <c r="AG1543" s="349">
        <v>0</v>
      </c>
      <c r="AH1543" s="351"/>
      <c r="AI1543" s="351">
        <v>2.42</v>
      </c>
      <c r="AJ1543" s="351"/>
      <c r="AK1543" s="351"/>
      <c r="AL1543" s="352">
        <v>0</v>
      </c>
      <c r="AM1543" s="352">
        <v>1</v>
      </c>
      <c r="AN1543" s="352">
        <v>0</v>
      </c>
      <c r="AO1543" s="352">
        <v>0</v>
      </c>
    </row>
    <row r="1544" spans="1:41" hidden="1">
      <c r="A1544" s="342">
        <v>62</v>
      </c>
      <c r="B1544" s="277" t="s">
        <v>20244</v>
      </c>
      <c r="C1544" s="277">
        <v>0</v>
      </c>
      <c r="D1544" s="343" t="s">
        <v>19294</v>
      </c>
      <c r="E1544" s="277" t="s">
        <v>20244</v>
      </c>
      <c r="F1544" s="344">
        <v>45342</v>
      </c>
      <c r="G1544" s="277">
        <v>2024</v>
      </c>
      <c r="H1544" s="383" t="s">
        <v>17278</v>
      </c>
      <c r="I1544" s="277" t="s">
        <v>17279</v>
      </c>
      <c r="J1544" s="277" t="s">
        <v>16482</v>
      </c>
      <c r="K1544" s="278">
        <v>261568.44595199998</v>
      </c>
      <c r="L1544" s="383">
        <v>3.38015</v>
      </c>
      <c r="M1544" s="384">
        <v>77383.679999999993</v>
      </c>
      <c r="N1544" s="277" t="s">
        <v>20155</v>
      </c>
      <c r="O1544" s="277" t="s">
        <v>20173</v>
      </c>
      <c r="P1544" s="890">
        <v>45349</v>
      </c>
      <c r="Q1544" s="347">
        <v>0</v>
      </c>
      <c r="R1544" s="347">
        <v>66240</v>
      </c>
      <c r="S1544" s="347">
        <v>72384</v>
      </c>
      <c r="T1544" s="347">
        <v>0</v>
      </c>
      <c r="U1544" s="347">
        <v>138624</v>
      </c>
      <c r="V1544" s="348"/>
      <c r="W1544" s="349">
        <v>0</v>
      </c>
      <c r="X1544" s="349">
        <v>134340.68159999998</v>
      </c>
      <c r="Y1544" s="349">
        <v>127227.76435200003</v>
      </c>
      <c r="Z1544" s="349">
        <v>0</v>
      </c>
      <c r="AA1544" s="350"/>
      <c r="AB1544" s="350">
        <v>2.0280899999999997</v>
      </c>
      <c r="AC1544" s="350">
        <v>1.7576780000000003</v>
      </c>
      <c r="AD1544" s="350"/>
      <c r="AE1544" s="349">
        <v>7837.61625</v>
      </c>
      <c r="AF1544" s="349">
        <v>42822.476999999999</v>
      </c>
      <c r="AG1544" s="349">
        <v>0.30891098943905815</v>
      </c>
      <c r="AH1544" s="351"/>
      <c r="AI1544" s="351">
        <v>1.7191790105609415</v>
      </c>
      <c r="AJ1544" s="351">
        <v>1.448767010560942</v>
      </c>
      <c r="AK1544" s="351"/>
      <c r="AL1544" s="352">
        <v>0</v>
      </c>
      <c r="AM1544" s="352" t="s">
        <v>20348</v>
      </c>
      <c r="AN1544" s="352" t="s">
        <v>20347</v>
      </c>
      <c r="AO1544" s="352">
        <v>0</v>
      </c>
    </row>
    <row r="1545" spans="1:41" hidden="1">
      <c r="A1545" s="342">
        <v>63</v>
      </c>
      <c r="B1545" s="277" t="s">
        <v>20245</v>
      </c>
      <c r="C1545" s="277">
        <v>0</v>
      </c>
      <c r="D1545" s="343" t="s">
        <v>19295</v>
      </c>
      <c r="E1545" s="277" t="s">
        <v>20245</v>
      </c>
      <c r="F1545" s="344">
        <v>45344</v>
      </c>
      <c r="G1545" s="277">
        <v>2024</v>
      </c>
      <c r="H1545" s="383" t="s">
        <v>17342</v>
      </c>
      <c r="I1545" s="277" t="s">
        <v>17343</v>
      </c>
      <c r="J1545" s="277" t="s">
        <v>16482</v>
      </c>
      <c r="K1545" s="278">
        <v>102006.531216</v>
      </c>
      <c r="L1545" s="383">
        <v>3.3784000000000001</v>
      </c>
      <c r="M1545" s="384">
        <v>30193.74</v>
      </c>
      <c r="N1545" s="277" t="s">
        <v>20155</v>
      </c>
      <c r="O1545" s="277" t="s">
        <v>16394</v>
      </c>
      <c r="P1545" s="890">
        <v>45346</v>
      </c>
      <c r="Q1545" s="347">
        <v>1920</v>
      </c>
      <c r="R1545" s="347">
        <v>19560</v>
      </c>
      <c r="S1545" s="347">
        <v>2400</v>
      </c>
      <c r="T1545" s="347">
        <v>1120</v>
      </c>
      <c r="U1545" s="347">
        <v>25000</v>
      </c>
      <c r="V1545" s="348"/>
      <c r="W1545" s="349">
        <v>7534.2320025600002</v>
      </c>
      <c r="X1545" s="349">
        <v>78737.920135680004</v>
      </c>
      <c r="Y1545" s="349">
        <v>9352.924723199998</v>
      </c>
      <c r="Z1545" s="349">
        <v>6381.4678681599989</v>
      </c>
      <c r="AA1545" s="350">
        <v>3.924079168</v>
      </c>
      <c r="AB1545" s="350">
        <v>4.0254560396564418</v>
      </c>
      <c r="AC1545" s="350">
        <v>3.8970519679999991</v>
      </c>
      <c r="AD1545" s="350">
        <v>5.6977391679999991</v>
      </c>
      <c r="AE1545" s="349">
        <v>1859.511</v>
      </c>
      <c r="AF1545" s="349">
        <v>31518.547999999999</v>
      </c>
      <c r="AG1545" s="349">
        <v>1.2607419199999998</v>
      </c>
      <c r="AH1545" s="351">
        <v>2.6633372480000004</v>
      </c>
      <c r="AI1545" s="351">
        <v>2.7647141196564418</v>
      </c>
      <c r="AJ1545" s="351">
        <v>2.6363100479999995</v>
      </c>
      <c r="AK1545" s="351">
        <v>4.4369972479999991</v>
      </c>
      <c r="AL1545" s="352">
        <v>1</v>
      </c>
      <c r="AM1545" s="352">
        <v>1</v>
      </c>
      <c r="AN1545" s="352">
        <v>1</v>
      </c>
      <c r="AO1545" s="352">
        <v>1</v>
      </c>
    </row>
    <row r="1546" spans="1:41" hidden="1">
      <c r="A1546" s="342">
        <v>64</v>
      </c>
      <c r="B1546" s="277" t="s">
        <v>20246</v>
      </c>
      <c r="C1546" s="277">
        <v>0</v>
      </c>
      <c r="D1546" s="343" t="s">
        <v>19296</v>
      </c>
      <c r="E1546" s="277" t="s">
        <v>20246</v>
      </c>
      <c r="F1546" s="344">
        <v>45344</v>
      </c>
      <c r="G1546" s="277">
        <v>2024</v>
      </c>
      <c r="H1546" s="383" t="s">
        <v>16838</v>
      </c>
      <c r="I1546" s="277" t="s">
        <v>16839</v>
      </c>
      <c r="J1546" s="277" t="s">
        <v>3</v>
      </c>
      <c r="K1546" s="278">
        <v>47420</v>
      </c>
      <c r="L1546" s="383">
        <v>1</v>
      </c>
      <c r="M1546" s="384">
        <v>47420</v>
      </c>
      <c r="N1546" s="277" t="s">
        <v>20155</v>
      </c>
      <c r="O1546" s="277" t="s">
        <v>17949</v>
      </c>
      <c r="P1546" s="890">
        <v>45350</v>
      </c>
      <c r="Q1546" s="347">
        <v>0</v>
      </c>
      <c r="R1546" s="347">
        <v>24000</v>
      </c>
      <c r="S1546" s="347">
        <v>2000</v>
      </c>
      <c r="T1546" s="347">
        <v>0</v>
      </c>
      <c r="U1546" s="347">
        <v>26000</v>
      </c>
      <c r="V1546" s="348"/>
      <c r="W1546" s="349">
        <v>0</v>
      </c>
      <c r="X1546" s="349">
        <v>43920</v>
      </c>
      <c r="Y1546" s="349">
        <v>3500</v>
      </c>
      <c r="Z1546" s="349">
        <v>0</v>
      </c>
      <c r="AA1546" s="350"/>
      <c r="AB1546" s="350">
        <v>1.83</v>
      </c>
      <c r="AC1546" s="350">
        <v>1.75</v>
      </c>
      <c r="AD1546" s="350"/>
      <c r="AE1546" s="349">
        <v>0</v>
      </c>
      <c r="AF1546" s="349">
        <v>0</v>
      </c>
      <c r="AG1546" s="349">
        <v>0</v>
      </c>
      <c r="AH1546" s="351"/>
      <c r="AI1546" s="351">
        <v>1.83</v>
      </c>
      <c r="AJ1546" s="351">
        <v>1.75</v>
      </c>
      <c r="AK1546" s="351"/>
      <c r="AL1546" s="352">
        <v>0</v>
      </c>
      <c r="AM1546" s="352" t="s">
        <v>20346</v>
      </c>
      <c r="AN1546" s="352" t="s">
        <v>20347</v>
      </c>
      <c r="AO1546" s="352">
        <v>0</v>
      </c>
    </row>
    <row r="1547" spans="1:41" hidden="1">
      <c r="A1547" s="342">
        <v>65</v>
      </c>
      <c r="B1547" s="277" t="s">
        <v>20247</v>
      </c>
      <c r="C1547" s="277">
        <v>0</v>
      </c>
      <c r="D1547" s="343" t="s">
        <v>19297</v>
      </c>
      <c r="E1547" s="277" t="s">
        <v>20247</v>
      </c>
      <c r="F1547" s="344">
        <v>45348</v>
      </c>
      <c r="G1547" s="277">
        <v>2024</v>
      </c>
      <c r="H1547" s="383" t="s">
        <v>17259</v>
      </c>
      <c r="I1547" s="277" t="s">
        <v>17260</v>
      </c>
      <c r="J1547" s="277" t="s">
        <v>16401</v>
      </c>
      <c r="K1547" s="278">
        <v>101973.7828</v>
      </c>
      <c r="L1547" s="383">
        <v>3.1198000000000001</v>
      </c>
      <c r="M1547" s="384">
        <v>32686</v>
      </c>
      <c r="N1547" s="277" t="s">
        <v>20155</v>
      </c>
      <c r="O1547" s="277" t="s">
        <v>17261</v>
      </c>
      <c r="P1547" s="890">
        <v>45350</v>
      </c>
      <c r="Q1547" s="347">
        <v>4800</v>
      </c>
      <c r="R1547" s="347">
        <v>38200</v>
      </c>
      <c r="S1547" s="347">
        <v>0</v>
      </c>
      <c r="T1547" s="347">
        <v>0</v>
      </c>
      <c r="U1547" s="347">
        <v>43000</v>
      </c>
      <c r="V1547" s="348"/>
      <c r="W1547" s="349">
        <v>12267.343813953488</v>
      </c>
      <c r="X1547" s="349">
        <v>85288.802186046509</v>
      </c>
      <c r="Y1547" s="349">
        <v>0</v>
      </c>
      <c r="Z1547" s="349">
        <v>4417.6368000000002</v>
      </c>
      <c r="AA1547" s="350">
        <v>2.5556966279069768</v>
      </c>
      <c r="AB1547" s="350">
        <v>2.2326911567027881</v>
      </c>
      <c r="AC1547" s="350"/>
      <c r="AD1547" s="350"/>
      <c r="AE1547" s="349">
        <v>4879.3999999999996</v>
      </c>
      <c r="AF1547" s="349">
        <v>22503.78</v>
      </c>
      <c r="AG1547" s="349">
        <v>0.52334372093023251</v>
      </c>
      <c r="AH1547" s="351">
        <v>2.0323529069767443</v>
      </c>
      <c r="AI1547" s="351">
        <v>1.7093474357725555</v>
      </c>
      <c r="AJ1547" s="351"/>
      <c r="AK1547" s="351"/>
      <c r="AL1547" s="352" t="s">
        <v>20345</v>
      </c>
      <c r="AM1547" s="352" t="s">
        <v>20348</v>
      </c>
      <c r="AN1547" s="352">
        <v>0</v>
      </c>
      <c r="AO1547" s="352">
        <v>0</v>
      </c>
    </row>
    <row r="1548" spans="1:41" hidden="1">
      <c r="A1548" s="342">
        <v>66</v>
      </c>
      <c r="B1548" s="277" t="s">
        <v>20248</v>
      </c>
      <c r="C1548" s="277">
        <v>0</v>
      </c>
      <c r="D1548" s="343" t="s">
        <v>19298</v>
      </c>
      <c r="E1548" s="277" t="s">
        <v>20248</v>
      </c>
      <c r="F1548" s="344">
        <v>45348</v>
      </c>
      <c r="G1548" s="277">
        <v>2024</v>
      </c>
      <c r="H1548" s="383" t="s">
        <v>17342</v>
      </c>
      <c r="I1548" s="277" t="s">
        <v>17343</v>
      </c>
      <c r="J1548" s="277" t="s">
        <v>16482</v>
      </c>
      <c r="K1548" s="278">
        <v>88221.635075999991</v>
      </c>
      <c r="L1548" s="383">
        <v>3.3797999999999999</v>
      </c>
      <c r="M1548" s="384">
        <v>26102.62</v>
      </c>
      <c r="N1548" s="277" t="s">
        <v>20155</v>
      </c>
      <c r="O1548" s="277" t="s">
        <v>16394</v>
      </c>
      <c r="P1548" s="890">
        <v>45350</v>
      </c>
      <c r="Q1548" s="347">
        <v>1920</v>
      </c>
      <c r="R1548" s="347">
        <v>14448</v>
      </c>
      <c r="S1548" s="347">
        <v>8400</v>
      </c>
      <c r="T1548" s="347">
        <v>0</v>
      </c>
      <c r="U1548" s="347">
        <v>24768</v>
      </c>
      <c r="V1548" s="348"/>
      <c r="W1548" s="349">
        <v>6861.1218559999998</v>
      </c>
      <c r="X1548" s="349">
        <v>51570.241179199991</v>
      </c>
      <c r="Y1548" s="349">
        <v>29790.28556</v>
      </c>
      <c r="Z1548" s="349">
        <v>0</v>
      </c>
      <c r="AA1548" s="350">
        <v>3.5735009666666664</v>
      </c>
      <c r="AB1548" s="350">
        <v>3.5693688523809519</v>
      </c>
      <c r="AC1548" s="350">
        <v>3.5464625666666665</v>
      </c>
      <c r="AD1548" s="350"/>
      <c r="AE1548" s="349">
        <v>1860.0525</v>
      </c>
      <c r="AF1548" s="349">
        <v>31354.107</v>
      </c>
      <c r="AG1548" s="349">
        <v>1.2659119428294574</v>
      </c>
      <c r="AH1548" s="351">
        <v>2.3075890238372088</v>
      </c>
      <c r="AI1548" s="351">
        <v>2.3034569095514943</v>
      </c>
      <c r="AJ1548" s="351">
        <v>2.2805506238372093</v>
      </c>
      <c r="AK1548" s="351"/>
      <c r="AL1548" s="352">
        <v>1</v>
      </c>
      <c r="AM1548" s="352">
        <v>1</v>
      </c>
      <c r="AN1548" s="352">
        <v>1</v>
      </c>
      <c r="AO1548" s="352">
        <v>0</v>
      </c>
    </row>
    <row r="1549" spans="1:41" hidden="1">
      <c r="A1549" s="342">
        <v>67</v>
      </c>
      <c r="B1549" s="277" t="s">
        <v>20249</v>
      </c>
      <c r="C1549" s="277">
        <v>0</v>
      </c>
      <c r="D1549" s="343" t="s">
        <v>19299</v>
      </c>
      <c r="E1549" s="277" t="s">
        <v>20249</v>
      </c>
      <c r="F1549" s="344">
        <v>45349</v>
      </c>
      <c r="G1549" s="277">
        <v>2024</v>
      </c>
      <c r="H1549" s="383" t="s">
        <v>16838</v>
      </c>
      <c r="I1549" s="277" t="s">
        <v>16839</v>
      </c>
      <c r="J1549" s="277" t="s">
        <v>3</v>
      </c>
      <c r="K1549" s="278">
        <v>221400</v>
      </c>
      <c r="L1549" s="383">
        <v>1</v>
      </c>
      <c r="M1549" s="384">
        <v>221400</v>
      </c>
      <c r="N1549" s="277" t="s">
        <v>20155</v>
      </c>
      <c r="O1549" s="277" t="s">
        <v>20321</v>
      </c>
      <c r="P1549" s="890">
        <v>45351</v>
      </c>
      <c r="Q1549" s="347">
        <v>0</v>
      </c>
      <c r="R1549" s="347">
        <v>135000</v>
      </c>
      <c r="S1549" s="347">
        <v>0</v>
      </c>
      <c r="T1549" s="347">
        <v>0</v>
      </c>
      <c r="U1549" s="347">
        <v>135000</v>
      </c>
      <c r="V1549" s="348"/>
      <c r="W1549" s="349">
        <v>0</v>
      </c>
      <c r="X1549" s="349">
        <v>221400</v>
      </c>
      <c r="Y1549" s="349">
        <v>0</v>
      </c>
      <c r="Z1549" s="349">
        <v>0</v>
      </c>
      <c r="AA1549" s="350"/>
      <c r="AB1549" s="350">
        <v>1.64</v>
      </c>
      <c r="AC1549" s="350"/>
      <c r="AD1549" s="350"/>
      <c r="AE1549" s="349">
        <v>0</v>
      </c>
      <c r="AF1549" s="349">
        <v>0</v>
      </c>
      <c r="AG1549" s="349">
        <v>0</v>
      </c>
      <c r="AH1549" s="351"/>
      <c r="AI1549" s="351">
        <v>1.64</v>
      </c>
      <c r="AJ1549" s="351"/>
      <c r="AK1549" s="351"/>
      <c r="AL1549" s="352">
        <v>0</v>
      </c>
      <c r="AM1549" s="352" t="s">
        <v>20347</v>
      </c>
      <c r="AN1549" s="352">
        <v>0</v>
      </c>
      <c r="AO1549" s="352">
        <v>0</v>
      </c>
    </row>
    <row r="1550" spans="1:41" hidden="1">
      <c r="A1550" s="342">
        <v>68</v>
      </c>
      <c r="B1550" s="277" t="s">
        <v>20250</v>
      </c>
      <c r="C1550" s="277">
        <v>0</v>
      </c>
      <c r="D1550" s="343" t="s">
        <v>19300</v>
      </c>
      <c r="E1550" s="277" t="s">
        <v>20250</v>
      </c>
      <c r="F1550" s="344">
        <v>45349</v>
      </c>
      <c r="G1550" s="277">
        <v>2024</v>
      </c>
      <c r="H1550" s="383" t="s">
        <v>17357</v>
      </c>
      <c r="I1550" s="277" t="s">
        <v>17358</v>
      </c>
      <c r="J1550" s="277" t="s">
        <v>16401</v>
      </c>
      <c r="K1550" s="278">
        <v>87922.326300000001</v>
      </c>
      <c r="L1550" s="383">
        <v>3.1181999999999999</v>
      </c>
      <c r="M1550" s="384">
        <v>28196.5</v>
      </c>
      <c r="N1550" s="277" t="s">
        <v>20155</v>
      </c>
      <c r="O1550" s="277" t="s">
        <v>20297</v>
      </c>
      <c r="P1550" s="890">
        <v>45380</v>
      </c>
      <c r="Q1550" s="347">
        <v>0</v>
      </c>
      <c r="R1550" s="347">
        <v>24840</v>
      </c>
      <c r="S1550" s="347">
        <v>2760</v>
      </c>
      <c r="T1550" s="347">
        <v>400</v>
      </c>
      <c r="U1550" s="347">
        <v>28000</v>
      </c>
      <c r="V1550" s="348"/>
      <c r="W1550" s="349">
        <v>0</v>
      </c>
      <c r="X1550" s="349">
        <v>76792.178674285708</v>
      </c>
      <c r="Y1550" s="349">
        <v>8532.4642971428584</v>
      </c>
      <c r="Z1550" s="349">
        <v>2597.6833285714283</v>
      </c>
      <c r="AA1550" s="350"/>
      <c r="AB1550" s="350">
        <v>3.0914725714285711</v>
      </c>
      <c r="AC1550" s="350">
        <v>3.091472571428572</v>
      </c>
      <c r="AD1550" s="350">
        <v>6.4942083214285704</v>
      </c>
      <c r="AE1550" s="349">
        <v>1167.664</v>
      </c>
      <c r="AF1550" s="349">
        <v>6248.8059999999996</v>
      </c>
      <c r="AG1550" s="349">
        <v>0.22317164285714283</v>
      </c>
      <c r="AH1550" s="351"/>
      <c r="AI1550" s="351">
        <v>2.8683009285714283</v>
      </c>
      <c r="AJ1550" s="351">
        <v>2.8683009285714292</v>
      </c>
      <c r="AK1550" s="351">
        <v>6.271036678571428</v>
      </c>
      <c r="AL1550" s="352">
        <v>0</v>
      </c>
      <c r="AM1550" s="352" t="s">
        <v>20346</v>
      </c>
      <c r="AN1550" s="352" t="s">
        <v>20347</v>
      </c>
      <c r="AO1550" s="352">
        <v>1</v>
      </c>
    </row>
    <row r="1551" spans="1:41" hidden="1">
      <c r="A1551" s="342">
        <v>69</v>
      </c>
      <c r="B1551" s="277" t="s">
        <v>20251</v>
      </c>
      <c r="C1551" s="277">
        <v>0</v>
      </c>
      <c r="D1551" s="343" t="s">
        <v>19301</v>
      </c>
      <c r="E1551" s="277" t="s">
        <v>20251</v>
      </c>
      <c r="F1551" s="344">
        <v>45350</v>
      </c>
      <c r="G1551" s="277">
        <v>2024</v>
      </c>
      <c r="H1551" s="383" t="s">
        <v>17342</v>
      </c>
      <c r="I1551" s="277" t="s">
        <v>17343</v>
      </c>
      <c r="J1551" s="277" t="s">
        <v>16482</v>
      </c>
      <c r="K1551" s="278">
        <v>77933.920500000007</v>
      </c>
      <c r="L1551" s="383">
        <v>3.3781500000000002</v>
      </c>
      <c r="M1551" s="384">
        <v>23070</v>
      </c>
      <c r="N1551" s="277" t="s">
        <v>20155</v>
      </c>
      <c r="O1551" s="277" t="s">
        <v>16394</v>
      </c>
      <c r="P1551" s="890">
        <v>45355</v>
      </c>
      <c r="Q1551" s="347">
        <v>24000</v>
      </c>
      <c r="R1551" s="347">
        <v>0</v>
      </c>
      <c r="S1551" s="347">
        <v>0</v>
      </c>
      <c r="T1551" s="347">
        <v>0</v>
      </c>
      <c r="U1551" s="347">
        <v>24000</v>
      </c>
      <c r="V1551" s="348"/>
      <c r="W1551" s="349">
        <v>77933.920500000007</v>
      </c>
      <c r="X1551" s="349">
        <v>0</v>
      </c>
      <c r="Y1551" s="349">
        <v>0</v>
      </c>
      <c r="Z1551" s="349">
        <v>0</v>
      </c>
      <c r="AA1551" s="350">
        <v>3.2472466875000001</v>
      </c>
      <c r="AB1551" s="350"/>
      <c r="AC1551" s="350"/>
      <c r="AD1551" s="350"/>
      <c r="AE1551" s="349">
        <v>1927.9259999999999</v>
      </c>
      <c r="AF1551" s="349">
        <v>33943.523999999998</v>
      </c>
      <c r="AG1551" s="349">
        <v>1.4143135</v>
      </c>
      <c r="AH1551" s="351">
        <v>1.8329331875000001</v>
      </c>
      <c r="AI1551" s="351"/>
      <c r="AJ1551" s="351"/>
      <c r="AK1551" s="351"/>
      <c r="AL1551" s="352" t="s">
        <v>20345</v>
      </c>
      <c r="AM1551" s="352">
        <v>0</v>
      </c>
      <c r="AN1551" s="352">
        <v>0</v>
      </c>
      <c r="AO1551" s="352">
        <v>0</v>
      </c>
    </row>
    <row r="1552" spans="1:41" hidden="1">
      <c r="A1552" s="342">
        <v>70</v>
      </c>
      <c r="B1552" s="277" t="s">
        <v>20252</v>
      </c>
      <c r="C1552" s="277">
        <v>0</v>
      </c>
      <c r="D1552" s="343" t="s">
        <v>19302</v>
      </c>
      <c r="E1552" s="277" t="s">
        <v>20252</v>
      </c>
      <c r="F1552" s="344">
        <v>45350</v>
      </c>
      <c r="G1552" s="277">
        <v>2024</v>
      </c>
      <c r="H1552" s="383" t="s">
        <v>17342</v>
      </c>
      <c r="I1552" s="277" t="s">
        <v>17343</v>
      </c>
      <c r="J1552" s="277" t="s">
        <v>16482</v>
      </c>
      <c r="K1552" s="278">
        <v>80720.434845000011</v>
      </c>
      <c r="L1552" s="383">
        <v>3.3805499999999999</v>
      </c>
      <c r="M1552" s="384">
        <v>23877.9</v>
      </c>
      <c r="N1552" s="277" t="s">
        <v>20155</v>
      </c>
      <c r="O1552" s="277" t="s">
        <v>16394</v>
      </c>
      <c r="P1552" s="890">
        <v>45358</v>
      </c>
      <c r="Q1552" s="347">
        <v>0</v>
      </c>
      <c r="R1552" s="347">
        <v>18048</v>
      </c>
      <c r="S1552" s="347">
        <v>0</v>
      </c>
      <c r="T1552" s="347">
        <v>2800</v>
      </c>
      <c r="U1552" s="347">
        <v>20848</v>
      </c>
      <c r="V1552" s="348"/>
      <c r="W1552" s="349">
        <v>0</v>
      </c>
      <c r="X1552" s="349">
        <v>59170.790704989719</v>
      </c>
      <c r="Y1552" s="349">
        <v>0</v>
      </c>
      <c r="Z1552" s="349">
        <v>21549.657662210284</v>
      </c>
      <c r="AA1552" s="350"/>
      <c r="AB1552" s="350">
        <v>3.2785234211541288</v>
      </c>
      <c r="AC1552" s="350"/>
      <c r="AD1552" s="350">
        <v>7.696306307932244</v>
      </c>
      <c r="AE1552" s="349">
        <v>1552.2569999999998</v>
      </c>
      <c r="AF1552" s="349">
        <v>26089.870999999999</v>
      </c>
      <c r="AG1552" s="349">
        <v>1.2514327993092862</v>
      </c>
      <c r="AH1552" s="351"/>
      <c r="AI1552" s="351">
        <v>2.0270906218448426</v>
      </c>
      <c r="AJ1552" s="351"/>
      <c r="AK1552" s="351">
        <v>6.4448735086229583</v>
      </c>
      <c r="AL1552" s="352">
        <v>0</v>
      </c>
      <c r="AM1552" s="352">
        <v>1</v>
      </c>
      <c r="AN1552" s="352">
        <v>0</v>
      </c>
      <c r="AO1552" s="352">
        <v>1</v>
      </c>
    </row>
    <row r="1553" spans="1:41" hidden="1">
      <c r="A1553" s="342">
        <v>71</v>
      </c>
      <c r="B1553" s="277" t="s">
        <v>20253</v>
      </c>
      <c r="C1553" s="277">
        <v>0</v>
      </c>
      <c r="D1553" s="343" t="s">
        <v>19303</v>
      </c>
      <c r="E1553" s="277" t="s">
        <v>20253</v>
      </c>
      <c r="F1553" s="344">
        <v>45350</v>
      </c>
      <c r="G1553" s="277">
        <v>2024</v>
      </c>
      <c r="H1553" s="383" t="s">
        <v>16783</v>
      </c>
      <c r="I1553" s="277" t="s">
        <v>16784</v>
      </c>
      <c r="J1553" s="277" t="s">
        <v>16401</v>
      </c>
      <c r="K1553" s="278">
        <v>555182.20799999998</v>
      </c>
      <c r="L1553" s="383">
        <v>3.1175999999999999</v>
      </c>
      <c r="M1553" s="384">
        <v>178080</v>
      </c>
      <c r="N1553" s="277" t="s">
        <v>20155</v>
      </c>
      <c r="O1553" s="277" t="s">
        <v>17939</v>
      </c>
      <c r="P1553" s="890" t="s">
        <v>20371</v>
      </c>
      <c r="Q1553" s="347">
        <v>24000</v>
      </c>
      <c r="R1553" s="347">
        <v>201600</v>
      </c>
      <c r="S1553" s="347">
        <v>28800</v>
      </c>
      <c r="T1553" s="347">
        <v>0</v>
      </c>
      <c r="U1553" s="347">
        <v>254400</v>
      </c>
      <c r="V1553" s="348"/>
      <c r="W1553" s="349">
        <v>52375.68</v>
      </c>
      <c r="X1553" s="349">
        <v>439955.71199999994</v>
      </c>
      <c r="Y1553" s="349">
        <v>62850.815999999999</v>
      </c>
      <c r="Z1553" s="349">
        <v>0</v>
      </c>
      <c r="AA1553" s="350">
        <v>2.1823199999999998</v>
      </c>
      <c r="AB1553" s="350">
        <v>2.1823199999999998</v>
      </c>
      <c r="AC1553" s="350">
        <v>2.1823199999999998</v>
      </c>
      <c r="AD1553" s="350"/>
      <c r="AE1553" s="349">
        <v>0</v>
      </c>
      <c r="AF1553" s="349">
        <v>0</v>
      </c>
      <c r="AG1553" s="349">
        <v>0</v>
      </c>
      <c r="AH1553" s="351">
        <v>2.1823199999999998</v>
      </c>
      <c r="AI1553" s="351">
        <v>2.1823199999999998</v>
      </c>
      <c r="AJ1553" s="351">
        <v>2.1823199999999998</v>
      </c>
      <c r="AK1553" s="351"/>
      <c r="AL1553" s="352" t="s">
        <v>20345</v>
      </c>
      <c r="AM1553" s="352" t="s">
        <v>20345</v>
      </c>
      <c r="AN1553" s="352" t="s">
        <v>20345</v>
      </c>
      <c r="AO1553" s="352">
        <v>0</v>
      </c>
    </row>
    <row r="1554" spans="1:41" hidden="1">
      <c r="A1554" s="342">
        <v>72</v>
      </c>
      <c r="B1554" s="277" t="s">
        <v>20254</v>
      </c>
      <c r="C1554" s="277">
        <v>0</v>
      </c>
      <c r="D1554" s="343" t="s">
        <v>19304</v>
      </c>
      <c r="E1554" s="277" t="s">
        <v>20254</v>
      </c>
      <c r="F1554" s="344">
        <v>45355</v>
      </c>
      <c r="G1554" s="277">
        <v>2024</v>
      </c>
      <c r="H1554" s="383" t="s">
        <v>16880</v>
      </c>
      <c r="I1554" s="277" t="s">
        <v>16881</v>
      </c>
      <c r="J1554" s="277" t="s">
        <v>16401</v>
      </c>
      <c r="K1554" s="278">
        <v>81142.527982</v>
      </c>
      <c r="L1554" s="383">
        <v>3.1111</v>
      </c>
      <c r="M1554" s="384">
        <v>26081.62</v>
      </c>
      <c r="N1554" s="277" t="s">
        <v>20155</v>
      </c>
      <c r="O1554" s="277" t="s">
        <v>20156</v>
      </c>
      <c r="P1554" s="890">
        <v>45358</v>
      </c>
      <c r="Q1554" s="347">
        <v>7500</v>
      </c>
      <c r="R1554" s="347">
        <v>12320</v>
      </c>
      <c r="S1554" s="347">
        <v>0</v>
      </c>
      <c r="T1554" s="347">
        <v>0</v>
      </c>
      <c r="U1554" s="347">
        <v>19820</v>
      </c>
      <c r="V1554" s="348"/>
      <c r="W1554" s="349">
        <v>24878.844480000003</v>
      </c>
      <c r="X1554" s="349">
        <v>56263.683502000014</v>
      </c>
      <c r="Y1554" s="349">
        <v>0</v>
      </c>
      <c r="Z1554" s="349">
        <v>0</v>
      </c>
      <c r="AA1554" s="350">
        <v>3.3171792640000004</v>
      </c>
      <c r="AB1554" s="350">
        <v>4.5668574271103912</v>
      </c>
      <c r="AC1554" s="350"/>
      <c r="AD1554" s="350"/>
      <c r="AE1554" s="349">
        <v>0</v>
      </c>
      <c r="AF1554" s="349">
        <v>2526.37</v>
      </c>
      <c r="AG1554" s="349">
        <v>0.12746569122098889</v>
      </c>
      <c r="AH1554" s="351">
        <v>3.1897135727790116</v>
      </c>
      <c r="AI1554" s="351">
        <v>4.4393917358894024</v>
      </c>
      <c r="AJ1554" s="351"/>
      <c r="AK1554" s="351"/>
      <c r="AL1554" s="352">
        <v>1</v>
      </c>
      <c r="AM1554" s="352">
        <v>1</v>
      </c>
      <c r="AN1554" s="352">
        <v>0</v>
      </c>
      <c r="AO1554" s="352">
        <v>0</v>
      </c>
    </row>
    <row r="1555" spans="1:41" hidden="1">
      <c r="A1555" s="342">
        <v>73</v>
      </c>
      <c r="B1555" s="277" t="s">
        <v>20256</v>
      </c>
      <c r="C1555" s="277">
        <v>0</v>
      </c>
      <c r="D1555" s="343" t="s">
        <v>19305</v>
      </c>
      <c r="E1555" s="277" t="s">
        <v>20256</v>
      </c>
      <c r="F1555" s="344">
        <v>45356</v>
      </c>
      <c r="G1555" s="277">
        <v>2024</v>
      </c>
      <c r="H1555" s="383" t="s">
        <v>17342</v>
      </c>
      <c r="I1555" s="277" t="s">
        <v>17343</v>
      </c>
      <c r="J1555" s="277" t="s">
        <v>16482</v>
      </c>
      <c r="K1555" s="278">
        <v>87678.046216499992</v>
      </c>
      <c r="L1555" s="383">
        <v>3.3805499999999999</v>
      </c>
      <c r="M1555" s="384">
        <v>25936.03</v>
      </c>
      <c r="N1555" s="277" t="s">
        <v>20155</v>
      </c>
      <c r="O1555" s="277" t="s">
        <v>16394</v>
      </c>
      <c r="P1555" s="890">
        <v>45358</v>
      </c>
      <c r="Q1555" s="347">
        <v>1920</v>
      </c>
      <c r="R1555" s="347">
        <v>15408</v>
      </c>
      <c r="S1555" s="347">
        <v>6000</v>
      </c>
      <c r="T1555" s="347">
        <v>700</v>
      </c>
      <c r="U1555" s="347">
        <v>24028</v>
      </c>
      <c r="V1555" s="348"/>
      <c r="W1555" s="349">
        <v>6890.8918698638263</v>
      </c>
      <c r="X1555" s="349">
        <v>55065.743639657194</v>
      </c>
      <c r="Y1555" s="349">
        <v>21371.770693324452</v>
      </c>
      <c r="Z1555" s="349">
        <v>4349.6332525545195</v>
      </c>
      <c r="AA1555" s="350">
        <v>3.5890061822207429</v>
      </c>
      <c r="AB1555" s="350">
        <v>3.5738410981085926</v>
      </c>
      <c r="AC1555" s="350">
        <v>3.5619617822207421</v>
      </c>
      <c r="AD1555" s="350">
        <v>6.2137617893635992</v>
      </c>
      <c r="AE1555" s="349">
        <v>1861.6769999999999</v>
      </c>
      <c r="AF1555" s="349">
        <v>30850.469000000001</v>
      </c>
      <c r="AG1555" s="349">
        <v>1.2839382803396038</v>
      </c>
      <c r="AH1555" s="351">
        <v>2.3050679018811389</v>
      </c>
      <c r="AI1555" s="351">
        <v>2.2899028177689891</v>
      </c>
      <c r="AJ1555" s="351">
        <v>2.2780235018811386</v>
      </c>
      <c r="AK1555" s="351">
        <v>4.9298235090239952</v>
      </c>
      <c r="AL1555" s="352">
        <v>1</v>
      </c>
      <c r="AM1555" s="352">
        <v>1</v>
      </c>
      <c r="AN1555" s="352">
        <v>1</v>
      </c>
      <c r="AO1555" s="352">
        <v>1</v>
      </c>
    </row>
    <row r="1556" spans="1:41" hidden="1">
      <c r="A1556" s="342">
        <v>74</v>
      </c>
      <c r="B1556" s="277" t="s">
        <v>20257</v>
      </c>
      <c r="C1556" s="277">
        <v>0</v>
      </c>
      <c r="D1556" s="343" t="s">
        <v>19306</v>
      </c>
      <c r="E1556" s="277" t="s">
        <v>20257</v>
      </c>
      <c r="F1556" s="344">
        <v>45357</v>
      </c>
      <c r="G1556" s="277">
        <v>2024</v>
      </c>
      <c r="H1556" s="383" t="s">
        <v>17342</v>
      </c>
      <c r="I1556" s="277" t="s">
        <v>17343</v>
      </c>
      <c r="J1556" s="277" t="s">
        <v>16482</v>
      </c>
      <c r="K1556" s="278">
        <v>91393.356444999998</v>
      </c>
      <c r="L1556" s="383">
        <v>3.38435</v>
      </c>
      <c r="M1556" s="384">
        <v>27004.7</v>
      </c>
      <c r="N1556" s="277" t="s">
        <v>20155</v>
      </c>
      <c r="O1556" s="277" t="s">
        <v>16394</v>
      </c>
      <c r="P1556" s="890">
        <v>45364</v>
      </c>
      <c r="Q1556" s="347">
        <v>1920</v>
      </c>
      <c r="R1556" s="347">
        <v>15384</v>
      </c>
      <c r="S1556" s="347">
        <v>3600</v>
      </c>
      <c r="T1556" s="347">
        <v>2800</v>
      </c>
      <c r="U1556" s="347">
        <v>23704</v>
      </c>
      <c r="V1556" s="348"/>
      <c r="W1556" s="349">
        <v>6911.5752638596023</v>
      </c>
      <c r="X1556" s="349">
        <v>56565.685285675048</v>
      </c>
      <c r="Y1556" s="349">
        <v>12861.734339736751</v>
      </c>
      <c r="Z1556" s="349">
        <v>15054.375093128589</v>
      </c>
      <c r="AA1556" s="350">
        <v>3.5997787832602097</v>
      </c>
      <c r="AB1556" s="350">
        <v>3.6769166202336874</v>
      </c>
      <c r="AC1556" s="350">
        <v>3.5727039832602085</v>
      </c>
      <c r="AD1556" s="350">
        <v>5.3765625332602101</v>
      </c>
      <c r="AE1556" s="349">
        <v>1356.7466999999999</v>
      </c>
      <c r="AF1556" s="349">
        <v>29344.921999999999</v>
      </c>
      <c r="AG1556" s="349">
        <v>1.2379734222072223</v>
      </c>
      <c r="AH1556" s="351">
        <v>2.3618053610529874</v>
      </c>
      <c r="AI1556" s="351">
        <v>2.4389431980264651</v>
      </c>
      <c r="AJ1556" s="351">
        <v>2.3347305610529863</v>
      </c>
      <c r="AK1556" s="351">
        <v>4.1385891110529878</v>
      </c>
      <c r="AL1556" s="352">
        <v>1</v>
      </c>
      <c r="AM1556" s="352">
        <v>1</v>
      </c>
      <c r="AN1556" s="352">
        <v>1</v>
      </c>
      <c r="AO1556" s="352">
        <v>1</v>
      </c>
    </row>
    <row r="1557" spans="1:41" hidden="1">
      <c r="A1557" s="342">
        <v>75</v>
      </c>
      <c r="B1557" s="277" t="s">
        <v>20259</v>
      </c>
      <c r="C1557" s="277">
        <v>0</v>
      </c>
      <c r="D1557" s="343" t="s">
        <v>19307</v>
      </c>
      <c r="E1557" s="277" t="s">
        <v>20259</v>
      </c>
      <c r="F1557" s="344">
        <v>45357</v>
      </c>
      <c r="G1557" s="277">
        <v>2024</v>
      </c>
      <c r="H1557" s="383" t="s">
        <v>17209</v>
      </c>
      <c r="I1557" s="277" t="s">
        <v>17210</v>
      </c>
      <c r="J1557" s="277" t="s">
        <v>16401</v>
      </c>
      <c r="K1557" s="278">
        <v>309443.51660000003</v>
      </c>
      <c r="L1557" s="383">
        <v>3.0962000000000001</v>
      </c>
      <c r="M1557" s="384">
        <v>99943</v>
      </c>
      <c r="N1557" s="277" t="s">
        <v>20155</v>
      </c>
      <c r="O1557" s="277" t="s">
        <v>20168</v>
      </c>
      <c r="P1557" s="890">
        <v>45369</v>
      </c>
      <c r="Q1557" s="347">
        <v>5520</v>
      </c>
      <c r="R1557" s="347">
        <v>46800</v>
      </c>
      <c r="S1557" s="347">
        <v>35040</v>
      </c>
      <c r="T1557" s="347">
        <v>6000</v>
      </c>
      <c r="U1557" s="347">
        <v>93360</v>
      </c>
      <c r="V1557" s="348"/>
      <c r="W1557" s="349">
        <v>16379.337357943445</v>
      </c>
      <c r="X1557" s="349">
        <v>142806.66139125964</v>
      </c>
      <c r="Y1557" s="349">
        <v>106678.0252878149</v>
      </c>
      <c r="Z1557" s="349">
        <v>43579.492562981999</v>
      </c>
      <c r="AA1557" s="350">
        <v>2.9672712604970006</v>
      </c>
      <c r="AB1557" s="350">
        <v>3.0514243887021291</v>
      </c>
      <c r="AC1557" s="350">
        <v>3.0444641920038502</v>
      </c>
      <c r="AD1557" s="350">
        <v>7.2632487604969995</v>
      </c>
      <c r="AE1557" s="349">
        <v>4503.4092000000001</v>
      </c>
      <c r="AF1557" s="349">
        <v>36245.228000000003</v>
      </c>
      <c r="AG1557" s="349">
        <v>0.3882308054841474</v>
      </c>
      <c r="AH1557" s="351">
        <v>2.5790404550128532</v>
      </c>
      <c r="AI1557" s="351">
        <v>2.6631935832179816</v>
      </c>
      <c r="AJ1557" s="351">
        <v>2.6562333865197028</v>
      </c>
      <c r="AK1557" s="351">
        <v>6.8750179550128525</v>
      </c>
      <c r="AL1557" s="352">
        <v>1</v>
      </c>
      <c r="AM1557" s="352">
        <v>1</v>
      </c>
      <c r="AN1557" s="352">
        <v>1</v>
      </c>
      <c r="AO1557" s="352">
        <v>1</v>
      </c>
    </row>
    <row r="1558" spans="1:41" hidden="1">
      <c r="A1558" s="342">
        <v>76</v>
      </c>
      <c r="B1558" s="277" t="s">
        <v>20260</v>
      </c>
      <c r="C1558" s="277">
        <v>0</v>
      </c>
      <c r="D1558" s="343" t="s">
        <v>19308</v>
      </c>
      <c r="E1558" s="277" t="s">
        <v>20260</v>
      </c>
      <c r="F1558" s="344">
        <v>45357</v>
      </c>
      <c r="G1558" s="277">
        <v>2024</v>
      </c>
      <c r="H1558" s="383" t="s">
        <v>16470</v>
      </c>
      <c r="I1558" s="277" t="s">
        <v>16471</v>
      </c>
      <c r="J1558" s="277" t="s">
        <v>16401</v>
      </c>
      <c r="K1558" s="278">
        <v>590698.02088199998</v>
      </c>
      <c r="L1558" s="383">
        <v>3.0962000000000001</v>
      </c>
      <c r="M1558" s="384">
        <v>190781.61</v>
      </c>
      <c r="N1558" s="277" t="s">
        <v>20155</v>
      </c>
      <c r="O1558" s="277" t="s">
        <v>18227</v>
      </c>
      <c r="P1558" s="890">
        <v>45367</v>
      </c>
      <c r="Q1558" s="347">
        <v>11376</v>
      </c>
      <c r="R1558" s="347">
        <v>244666</v>
      </c>
      <c r="S1558" s="347">
        <v>16000</v>
      </c>
      <c r="T1558" s="347">
        <v>0</v>
      </c>
      <c r="U1558" s="347">
        <v>272042</v>
      </c>
      <c r="V1558" s="354">
        <v>2.1713486185294917</v>
      </c>
      <c r="W1558" s="569">
        <v>26498.267408464868</v>
      </c>
      <c r="X1558" s="569">
        <v>531639.68141967186</v>
      </c>
      <c r="Y1558" s="569">
        <v>31184.554241863385</v>
      </c>
      <c r="Z1558" s="569">
        <v>0</v>
      </c>
      <c r="AA1558" s="350">
        <v>2.3293132391407232</v>
      </c>
      <c r="AB1558" s="350">
        <v>2.1729201499990674</v>
      </c>
      <c r="AC1558" s="350">
        <v>1.9490346401164615</v>
      </c>
      <c r="AD1558" s="350"/>
      <c r="AE1558" s="349">
        <v>16153.125</v>
      </c>
      <c r="AF1558" s="349">
        <v>78342.600000000006</v>
      </c>
      <c r="AG1558" s="349">
        <v>0.28797979723719136</v>
      </c>
      <c r="AH1558" s="351">
        <v>2.0413334419035318</v>
      </c>
      <c r="AI1558" s="351">
        <v>1.884940352761876</v>
      </c>
      <c r="AJ1558" s="351">
        <v>1.6610548428792702</v>
      </c>
      <c r="AK1558" s="351"/>
      <c r="AL1558" s="352" t="s">
        <v>20345</v>
      </c>
      <c r="AM1558" s="352" t="s">
        <v>20346</v>
      </c>
      <c r="AN1558" s="352" t="s">
        <v>20347</v>
      </c>
      <c r="AO1558" s="352">
        <v>0</v>
      </c>
    </row>
    <row r="1559" spans="1:41" hidden="1">
      <c r="A1559" s="342">
        <v>77</v>
      </c>
      <c r="B1559" s="277" t="s">
        <v>20261</v>
      </c>
      <c r="C1559" s="277">
        <v>0</v>
      </c>
      <c r="D1559" s="343" t="s">
        <v>19309</v>
      </c>
      <c r="E1559" s="277" t="s">
        <v>20261</v>
      </c>
      <c r="F1559" s="344">
        <v>45359</v>
      </c>
      <c r="G1559" s="277">
        <v>2024</v>
      </c>
      <c r="H1559" s="383" t="s">
        <v>16444</v>
      </c>
      <c r="I1559" s="277" t="s">
        <v>16445</v>
      </c>
      <c r="J1559" s="277" t="s">
        <v>3</v>
      </c>
      <c r="K1559" s="278">
        <v>38976</v>
      </c>
      <c r="L1559" s="383">
        <v>1</v>
      </c>
      <c r="M1559" s="384">
        <v>38976</v>
      </c>
      <c r="N1559" s="277" t="s">
        <v>20155</v>
      </c>
      <c r="O1559" s="277" t="s">
        <v>17965</v>
      </c>
      <c r="P1559" s="890">
        <v>45364</v>
      </c>
      <c r="Q1559" s="347">
        <v>19200</v>
      </c>
      <c r="R1559" s="347">
        <v>0</v>
      </c>
      <c r="S1559" s="347">
        <v>0</v>
      </c>
      <c r="T1559" s="347">
        <v>0</v>
      </c>
      <c r="U1559" s="347">
        <v>19200</v>
      </c>
      <c r="V1559" s="348"/>
      <c r="W1559" s="349">
        <v>38976</v>
      </c>
      <c r="X1559" s="349">
        <v>0</v>
      </c>
      <c r="Y1559" s="349">
        <v>0</v>
      </c>
      <c r="Z1559" s="349">
        <v>0</v>
      </c>
      <c r="AA1559" s="350">
        <v>2.0299999999999998</v>
      </c>
      <c r="AB1559" s="350"/>
      <c r="AC1559" s="350"/>
      <c r="AD1559" s="350"/>
      <c r="AE1559" s="349">
        <v>0</v>
      </c>
      <c r="AF1559" s="349">
        <v>0</v>
      </c>
      <c r="AG1559" s="349">
        <v>0</v>
      </c>
      <c r="AH1559" s="351">
        <v>2.0299999999999998</v>
      </c>
      <c r="AI1559" s="351"/>
      <c r="AJ1559" s="351"/>
      <c r="AK1559" s="351"/>
      <c r="AL1559" s="352" t="s">
        <v>20345</v>
      </c>
      <c r="AM1559" s="352">
        <v>0</v>
      </c>
      <c r="AN1559" s="352">
        <v>0</v>
      </c>
      <c r="AO1559" s="352">
        <v>0</v>
      </c>
    </row>
    <row r="1560" spans="1:41" hidden="1">
      <c r="A1560" s="342">
        <v>78</v>
      </c>
      <c r="B1560" s="277" t="s">
        <v>20262</v>
      </c>
      <c r="C1560" s="277">
        <v>0</v>
      </c>
      <c r="D1560" s="343" t="s">
        <v>19310</v>
      </c>
      <c r="E1560" s="277" t="s">
        <v>20262</v>
      </c>
      <c r="F1560" s="344">
        <v>45359</v>
      </c>
      <c r="G1560" s="277">
        <v>2024</v>
      </c>
      <c r="H1560" s="383" t="s">
        <v>16444</v>
      </c>
      <c r="I1560" s="277" t="s">
        <v>16445</v>
      </c>
      <c r="J1560" s="277" t="s">
        <v>3</v>
      </c>
      <c r="K1560" s="278">
        <v>38976</v>
      </c>
      <c r="L1560" s="383">
        <v>1</v>
      </c>
      <c r="M1560" s="384">
        <v>38976</v>
      </c>
      <c r="N1560" s="277" t="s">
        <v>20155</v>
      </c>
      <c r="O1560" s="277" t="s">
        <v>18248</v>
      </c>
      <c r="P1560" s="890">
        <v>45364</v>
      </c>
      <c r="Q1560" s="347">
        <v>19200</v>
      </c>
      <c r="R1560" s="347">
        <v>0</v>
      </c>
      <c r="S1560" s="347">
        <v>0</v>
      </c>
      <c r="T1560" s="347">
        <v>0</v>
      </c>
      <c r="U1560" s="347">
        <v>19200</v>
      </c>
      <c r="V1560" s="348"/>
      <c r="W1560" s="349">
        <v>38976</v>
      </c>
      <c r="X1560" s="349">
        <v>0</v>
      </c>
      <c r="Y1560" s="349">
        <v>0</v>
      </c>
      <c r="Z1560" s="349">
        <v>0</v>
      </c>
      <c r="AA1560" s="350">
        <v>2.0299999999999998</v>
      </c>
      <c r="AB1560" s="350"/>
      <c r="AC1560" s="350"/>
      <c r="AD1560" s="350"/>
      <c r="AE1560" s="349">
        <v>0</v>
      </c>
      <c r="AF1560" s="349">
        <v>0</v>
      </c>
      <c r="AG1560" s="349">
        <v>0</v>
      </c>
      <c r="AH1560" s="351">
        <v>2.0299999999999998</v>
      </c>
      <c r="AI1560" s="351"/>
      <c r="AJ1560" s="351"/>
      <c r="AK1560" s="351"/>
      <c r="AL1560" s="352" t="s">
        <v>20345</v>
      </c>
      <c r="AM1560" s="352">
        <v>0</v>
      </c>
      <c r="AN1560" s="352">
        <v>0</v>
      </c>
      <c r="AO1560" s="352">
        <v>0</v>
      </c>
    </row>
    <row r="1561" spans="1:41" hidden="1">
      <c r="A1561" s="342">
        <v>79</v>
      </c>
      <c r="B1561" s="277" t="s">
        <v>20263</v>
      </c>
      <c r="C1561" s="277">
        <v>0</v>
      </c>
      <c r="D1561" s="343" t="s">
        <v>19311</v>
      </c>
      <c r="E1561" s="277" t="s">
        <v>20263</v>
      </c>
      <c r="F1561" s="344">
        <v>45359</v>
      </c>
      <c r="G1561" s="277">
        <v>2024</v>
      </c>
      <c r="H1561" s="383" t="s">
        <v>16384</v>
      </c>
      <c r="I1561" s="277" t="s">
        <v>16385</v>
      </c>
      <c r="J1561" s="277" t="s">
        <v>3</v>
      </c>
      <c r="K1561" s="278">
        <v>441876.42</v>
      </c>
      <c r="L1561" s="383">
        <v>1</v>
      </c>
      <c r="M1561" s="384">
        <v>441876.42</v>
      </c>
      <c r="N1561" s="277" t="s">
        <v>20155</v>
      </c>
      <c r="O1561" s="277" t="s">
        <v>17949</v>
      </c>
      <c r="P1561" s="890">
        <v>45370</v>
      </c>
      <c r="Q1561" s="347">
        <v>194774</v>
      </c>
      <c r="R1561" s="347">
        <v>27960</v>
      </c>
      <c r="S1561" s="347">
        <v>0</v>
      </c>
      <c r="T1561" s="347">
        <v>0</v>
      </c>
      <c r="U1561" s="347">
        <v>222734</v>
      </c>
      <c r="V1561" s="348"/>
      <c r="W1561" s="349">
        <v>390430.02</v>
      </c>
      <c r="X1561" s="349">
        <v>51446.400000000001</v>
      </c>
      <c r="Y1561" s="349">
        <v>0</v>
      </c>
      <c r="Z1561" s="349">
        <v>0</v>
      </c>
      <c r="AA1561" s="350">
        <v>2.0045284278189079</v>
      </c>
      <c r="AB1561" s="350">
        <v>1.84</v>
      </c>
      <c r="AC1561" s="350"/>
      <c r="AD1561" s="350"/>
      <c r="AE1561" s="349">
        <v>0</v>
      </c>
      <c r="AF1561" s="349">
        <v>0</v>
      </c>
      <c r="AG1561" s="349">
        <v>0</v>
      </c>
      <c r="AH1561" s="351">
        <v>2.0045284278189079</v>
      </c>
      <c r="AI1561" s="351">
        <v>1.84</v>
      </c>
      <c r="AJ1561" s="351"/>
      <c r="AK1561" s="351"/>
      <c r="AL1561" s="352" t="s">
        <v>20345</v>
      </c>
      <c r="AM1561" s="352" t="s">
        <v>20346</v>
      </c>
      <c r="AN1561" s="352">
        <v>0</v>
      </c>
      <c r="AO1561" s="352">
        <v>0</v>
      </c>
    </row>
    <row r="1562" spans="1:41" hidden="1">
      <c r="A1562" s="342">
        <v>80</v>
      </c>
      <c r="B1562" s="277" t="s">
        <v>20264</v>
      </c>
      <c r="C1562" s="277">
        <v>0</v>
      </c>
      <c r="D1562" s="343" t="s">
        <v>19312</v>
      </c>
      <c r="E1562" s="277" t="s">
        <v>20264</v>
      </c>
      <c r="F1562" s="344">
        <v>45359</v>
      </c>
      <c r="G1562" s="277">
        <v>2024</v>
      </c>
      <c r="H1562" s="383" t="s">
        <v>16838</v>
      </c>
      <c r="I1562" s="277" t="s">
        <v>16839</v>
      </c>
      <c r="J1562" s="277" t="s">
        <v>3</v>
      </c>
      <c r="K1562" s="278">
        <v>39744</v>
      </c>
      <c r="L1562" s="383">
        <v>1</v>
      </c>
      <c r="M1562" s="384">
        <v>39744</v>
      </c>
      <c r="N1562" s="277" t="s">
        <v>20155</v>
      </c>
      <c r="O1562" s="277" t="s">
        <v>17949</v>
      </c>
      <c r="P1562" s="890">
        <v>45366</v>
      </c>
      <c r="Q1562" s="347">
        <v>0</v>
      </c>
      <c r="R1562" s="347">
        <v>21600</v>
      </c>
      <c r="S1562" s="347">
        <v>0</v>
      </c>
      <c r="T1562" s="347">
        <v>0</v>
      </c>
      <c r="U1562" s="347">
        <v>21600</v>
      </c>
      <c r="V1562" s="348"/>
      <c r="W1562" s="349">
        <v>0</v>
      </c>
      <c r="X1562" s="349">
        <v>39744</v>
      </c>
      <c r="Y1562" s="349">
        <v>0</v>
      </c>
      <c r="Z1562" s="349">
        <v>0</v>
      </c>
      <c r="AA1562" s="350"/>
      <c r="AB1562" s="350">
        <v>1.84</v>
      </c>
      <c r="AC1562" s="350"/>
      <c r="AD1562" s="350"/>
      <c r="AE1562" s="349">
        <v>0</v>
      </c>
      <c r="AF1562" s="349">
        <v>0</v>
      </c>
      <c r="AG1562" s="349">
        <v>0</v>
      </c>
      <c r="AH1562" s="351"/>
      <c r="AI1562" s="351">
        <v>1.84</v>
      </c>
      <c r="AJ1562" s="351"/>
      <c r="AK1562" s="351"/>
      <c r="AL1562" s="352">
        <v>0</v>
      </c>
      <c r="AM1562" s="352" t="s">
        <v>20346</v>
      </c>
      <c r="AN1562" s="352">
        <v>0</v>
      </c>
      <c r="AO1562" s="352">
        <v>0</v>
      </c>
    </row>
    <row r="1563" spans="1:41" hidden="1">
      <c r="A1563" s="342">
        <v>81</v>
      </c>
      <c r="B1563" s="277" t="s">
        <v>20265</v>
      </c>
      <c r="C1563" s="277">
        <v>0</v>
      </c>
      <c r="D1563" s="343" t="s">
        <v>19313</v>
      </c>
      <c r="E1563" s="277" t="s">
        <v>20265</v>
      </c>
      <c r="F1563" s="344">
        <v>45362</v>
      </c>
      <c r="G1563" s="277">
        <v>2024</v>
      </c>
      <c r="H1563" s="383" t="s">
        <v>17309</v>
      </c>
      <c r="I1563" s="277" t="s">
        <v>17310</v>
      </c>
      <c r="J1563" s="277" t="s">
        <v>3</v>
      </c>
      <c r="K1563" s="278">
        <v>118680</v>
      </c>
      <c r="L1563" s="383">
        <v>1</v>
      </c>
      <c r="M1563" s="384">
        <v>118680</v>
      </c>
      <c r="N1563" s="277" t="s">
        <v>20155</v>
      </c>
      <c r="O1563" s="277" t="s">
        <v>20321</v>
      </c>
      <c r="P1563" s="890">
        <v>45370</v>
      </c>
      <c r="Q1563" s="347">
        <v>0</v>
      </c>
      <c r="R1563" s="347">
        <v>19200</v>
      </c>
      <c r="S1563" s="347">
        <v>52000</v>
      </c>
      <c r="T1563" s="347">
        <v>0</v>
      </c>
      <c r="U1563" s="347">
        <v>71200</v>
      </c>
      <c r="V1563" s="348"/>
      <c r="W1563" s="349">
        <v>0</v>
      </c>
      <c r="X1563" s="349">
        <v>32640</v>
      </c>
      <c r="Y1563" s="349">
        <v>86040</v>
      </c>
      <c r="Z1563" s="349">
        <v>0</v>
      </c>
      <c r="AA1563" s="350"/>
      <c r="AB1563" s="350">
        <v>1.7</v>
      </c>
      <c r="AC1563" s="350">
        <v>1.6546153846153846</v>
      </c>
      <c r="AD1563" s="350"/>
      <c r="AE1563" s="349">
        <v>0</v>
      </c>
      <c r="AF1563" s="349">
        <v>0</v>
      </c>
      <c r="AG1563" s="349">
        <v>0</v>
      </c>
      <c r="AH1563" s="351"/>
      <c r="AI1563" s="351">
        <v>1.7</v>
      </c>
      <c r="AJ1563" s="351">
        <v>1.6546153846153846</v>
      </c>
      <c r="AK1563" s="351"/>
      <c r="AL1563" s="352">
        <v>0</v>
      </c>
      <c r="AM1563" s="352" t="s">
        <v>20347</v>
      </c>
      <c r="AN1563" s="352" t="s">
        <v>20347</v>
      </c>
      <c r="AO1563" s="352">
        <v>0</v>
      </c>
    </row>
    <row r="1564" spans="1:41" hidden="1">
      <c r="A1564" s="342">
        <v>82</v>
      </c>
      <c r="B1564" s="277" t="s">
        <v>20267</v>
      </c>
      <c r="C1564" s="277">
        <v>0</v>
      </c>
      <c r="D1564" s="343" t="s">
        <v>19314</v>
      </c>
      <c r="E1564" s="277" t="s">
        <v>20267</v>
      </c>
      <c r="F1564" s="344">
        <v>45362</v>
      </c>
      <c r="G1564" s="277">
        <v>2024</v>
      </c>
      <c r="H1564" s="383" t="s">
        <v>17309</v>
      </c>
      <c r="I1564" s="277" t="s">
        <v>17310</v>
      </c>
      <c r="J1564" s="277" t="s">
        <v>3</v>
      </c>
      <c r="K1564" s="278">
        <v>77952</v>
      </c>
      <c r="L1564" s="383">
        <v>1</v>
      </c>
      <c r="M1564" s="384">
        <v>77952</v>
      </c>
      <c r="N1564" s="277" t="s">
        <v>20155</v>
      </c>
      <c r="O1564" s="277" t="s">
        <v>18248</v>
      </c>
      <c r="P1564" s="890">
        <v>45369</v>
      </c>
      <c r="Q1564" s="347">
        <v>38400</v>
      </c>
      <c r="R1564" s="347">
        <v>0</v>
      </c>
      <c r="S1564" s="347">
        <v>0</v>
      </c>
      <c r="T1564" s="347">
        <v>0</v>
      </c>
      <c r="U1564" s="347">
        <v>38400</v>
      </c>
      <c r="V1564" s="348"/>
      <c r="W1564" s="349">
        <v>77952</v>
      </c>
      <c r="X1564" s="349">
        <v>0</v>
      </c>
      <c r="Y1564" s="349">
        <v>0</v>
      </c>
      <c r="Z1564" s="349">
        <v>0</v>
      </c>
      <c r="AA1564" s="350">
        <v>2.0299999999999998</v>
      </c>
      <c r="AB1564" s="350"/>
      <c r="AC1564" s="350"/>
      <c r="AD1564" s="350"/>
      <c r="AE1564" s="349">
        <v>0</v>
      </c>
      <c r="AF1564" s="349">
        <v>0</v>
      </c>
      <c r="AG1564" s="349">
        <v>0</v>
      </c>
      <c r="AH1564" s="351">
        <v>2.0299999999999998</v>
      </c>
      <c r="AI1564" s="351"/>
      <c r="AJ1564" s="351"/>
      <c r="AK1564" s="351"/>
      <c r="AL1564" s="352" t="s">
        <v>20345</v>
      </c>
      <c r="AM1564" s="352">
        <v>0</v>
      </c>
      <c r="AN1564" s="352">
        <v>0</v>
      </c>
      <c r="AO1564" s="352">
        <v>0</v>
      </c>
    </row>
    <row r="1565" spans="1:41" hidden="1">
      <c r="A1565" s="342">
        <v>83</v>
      </c>
      <c r="B1565" s="277" t="s">
        <v>20268</v>
      </c>
      <c r="C1565" s="277">
        <v>0</v>
      </c>
      <c r="D1565" s="343" t="s">
        <v>19315</v>
      </c>
      <c r="E1565" s="277" t="s">
        <v>20268</v>
      </c>
      <c r="F1565" s="344">
        <v>45363</v>
      </c>
      <c r="G1565" s="277">
        <v>2024</v>
      </c>
      <c r="H1565" s="383" t="s">
        <v>17017</v>
      </c>
      <c r="I1565" s="277" t="s">
        <v>17018</v>
      </c>
      <c r="J1565" s="277" t="s">
        <v>3</v>
      </c>
      <c r="K1565" s="278">
        <v>50225</v>
      </c>
      <c r="L1565" s="383">
        <v>1</v>
      </c>
      <c r="M1565" s="384">
        <v>50225</v>
      </c>
      <c r="N1565" s="277" t="s">
        <v>20155</v>
      </c>
      <c r="O1565" s="277" t="s">
        <v>20350</v>
      </c>
      <c r="P1565" s="890">
        <v>45379</v>
      </c>
      <c r="Q1565" s="347">
        <v>0</v>
      </c>
      <c r="R1565" s="347">
        <v>20500</v>
      </c>
      <c r="S1565" s="347">
        <v>0</v>
      </c>
      <c r="T1565" s="347">
        <v>0</v>
      </c>
      <c r="U1565" s="347">
        <v>20500</v>
      </c>
      <c r="V1565" s="348"/>
      <c r="W1565" s="349">
        <v>0</v>
      </c>
      <c r="X1565" s="349">
        <v>50225</v>
      </c>
      <c r="Y1565" s="349">
        <v>0</v>
      </c>
      <c r="Z1565" s="349">
        <v>0</v>
      </c>
      <c r="AA1565" s="350"/>
      <c r="AB1565" s="350">
        <v>2.4500000000000002</v>
      </c>
      <c r="AC1565" s="350"/>
      <c r="AD1565" s="350"/>
      <c r="AE1565" s="349">
        <v>0</v>
      </c>
      <c r="AF1565" s="349">
        <v>0</v>
      </c>
      <c r="AG1565" s="349">
        <v>0</v>
      </c>
      <c r="AH1565" s="351"/>
      <c r="AI1565" s="351">
        <v>2.4500000000000002</v>
      </c>
      <c r="AJ1565" s="351"/>
      <c r="AK1565" s="351"/>
      <c r="AL1565" s="352">
        <v>0</v>
      </c>
      <c r="AM1565" s="352">
        <v>1</v>
      </c>
      <c r="AN1565" s="352">
        <v>0</v>
      </c>
      <c r="AO1565" s="352">
        <v>0</v>
      </c>
    </row>
    <row r="1566" spans="1:41" hidden="1">
      <c r="A1566" s="342">
        <v>84</v>
      </c>
      <c r="B1566" s="277" t="s">
        <v>20269</v>
      </c>
      <c r="C1566" s="277">
        <v>0</v>
      </c>
      <c r="D1566" s="343" t="s">
        <v>19316</v>
      </c>
      <c r="E1566" s="277" t="s">
        <v>20269</v>
      </c>
      <c r="F1566" s="344">
        <v>45363</v>
      </c>
      <c r="G1566" s="277">
        <v>2024</v>
      </c>
      <c r="H1566" s="383" t="s">
        <v>16904</v>
      </c>
      <c r="I1566" s="277" t="s">
        <v>16905</v>
      </c>
      <c r="J1566" s="277" t="s">
        <v>16482</v>
      </c>
      <c r="K1566" s="278">
        <v>86334.317993000004</v>
      </c>
      <c r="L1566" s="383">
        <v>3.3785500000000002</v>
      </c>
      <c r="M1566" s="384">
        <v>25553.66</v>
      </c>
      <c r="N1566" s="277" t="s">
        <v>20155</v>
      </c>
      <c r="O1566" s="277" t="s">
        <v>20160</v>
      </c>
      <c r="P1566" s="890">
        <v>45377</v>
      </c>
      <c r="Q1566" s="347">
        <v>0</v>
      </c>
      <c r="R1566" s="347">
        <v>14544</v>
      </c>
      <c r="S1566" s="347">
        <v>13500</v>
      </c>
      <c r="T1566" s="347">
        <v>0</v>
      </c>
      <c r="U1566" s="347">
        <v>28044</v>
      </c>
      <c r="V1566" s="348"/>
      <c r="W1566" s="349">
        <v>0</v>
      </c>
      <c r="X1566" s="349">
        <v>45036.976378911422</v>
      </c>
      <c r="Y1566" s="349">
        <v>41297.341614088582</v>
      </c>
      <c r="Z1566" s="349">
        <v>0</v>
      </c>
      <c r="AA1566" s="350"/>
      <c r="AB1566" s="350">
        <v>3.0966017862287831</v>
      </c>
      <c r="AC1566" s="350">
        <v>3.0590623417843394</v>
      </c>
      <c r="AD1566" s="350"/>
      <c r="AE1566" s="349">
        <v>3767.05</v>
      </c>
      <c r="AF1566" s="349">
        <v>16378.41</v>
      </c>
      <c r="AG1566" s="349">
        <v>0.58402545999144206</v>
      </c>
      <c r="AH1566" s="351"/>
      <c r="AI1566" s="351">
        <v>2.5125763262373413</v>
      </c>
      <c r="AJ1566" s="351">
        <v>2.4750368817928976</v>
      </c>
      <c r="AK1566" s="351"/>
      <c r="AL1566" s="352">
        <v>0</v>
      </c>
      <c r="AM1566" s="352">
        <v>1</v>
      </c>
      <c r="AN1566" s="352">
        <v>1</v>
      </c>
      <c r="AO1566" s="352">
        <v>0</v>
      </c>
    </row>
    <row r="1567" spans="1:41" hidden="1">
      <c r="A1567" s="342">
        <v>85</v>
      </c>
      <c r="B1567" s="277" t="s">
        <v>20270</v>
      </c>
      <c r="C1567" s="277">
        <v>0</v>
      </c>
      <c r="D1567" s="343" t="s">
        <v>19317</v>
      </c>
      <c r="E1567" s="277" t="s">
        <v>20270</v>
      </c>
      <c r="F1567" s="344">
        <v>45363</v>
      </c>
      <c r="G1567" s="277">
        <v>2024</v>
      </c>
      <c r="H1567" s="383" t="s">
        <v>16904</v>
      </c>
      <c r="I1567" s="277" t="s">
        <v>16905</v>
      </c>
      <c r="J1567" s="277" t="s">
        <v>16482</v>
      </c>
      <c r="K1567" s="278">
        <v>85916.729213000013</v>
      </c>
      <c r="L1567" s="383">
        <v>3.3785500000000002</v>
      </c>
      <c r="M1567" s="384">
        <v>25430.06</v>
      </c>
      <c r="N1567" s="277" t="s">
        <v>20155</v>
      </c>
      <c r="O1567" s="277" t="s">
        <v>20160</v>
      </c>
      <c r="P1567" s="890">
        <v>45377</v>
      </c>
      <c r="Q1567" s="347">
        <v>0</v>
      </c>
      <c r="R1567" s="347">
        <v>11304</v>
      </c>
      <c r="S1567" s="347">
        <v>16500</v>
      </c>
      <c r="T1567" s="347">
        <v>0</v>
      </c>
      <c r="U1567" s="347">
        <v>27804</v>
      </c>
      <c r="V1567" s="348"/>
      <c r="W1567" s="349">
        <v>0</v>
      </c>
      <c r="X1567" s="349">
        <v>35053.945786640485</v>
      </c>
      <c r="Y1567" s="349">
        <v>50862.783426359514</v>
      </c>
      <c r="Z1567" s="349">
        <v>0</v>
      </c>
      <c r="AA1567" s="350"/>
      <c r="AB1567" s="350">
        <v>3.1010213894763345</v>
      </c>
      <c r="AC1567" s="350">
        <v>3.0825929349308798</v>
      </c>
      <c r="AD1567" s="350"/>
      <c r="AE1567" s="349">
        <v>3767.05</v>
      </c>
      <c r="AF1567" s="349">
        <v>16368.41</v>
      </c>
      <c r="AG1567" s="349">
        <v>0.58870702057257951</v>
      </c>
      <c r="AH1567" s="351"/>
      <c r="AI1567" s="351">
        <v>2.512314368903755</v>
      </c>
      <c r="AJ1567" s="351">
        <v>2.4938859143583003</v>
      </c>
      <c r="AK1567" s="351"/>
      <c r="AL1567" s="352">
        <v>0</v>
      </c>
      <c r="AM1567" s="352">
        <v>1</v>
      </c>
      <c r="AN1567" s="352">
        <v>1</v>
      </c>
      <c r="AO1567" s="352">
        <v>0</v>
      </c>
    </row>
    <row r="1568" spans="1:41" hidden="1">
      <c r="A1568" s="342">
        <v>86</v>
      </c>
      <c r="B1568" s="277" t="s">
        <v>20271</v>
      </c>
      <c r="C1568" s="277">
        <v>0</v>
      </c>
      <c r="D1568" s="343" t="s">
        <v>19318</v>
      </c>
      <c r="E1568" s="277" t="s">
        <v>20271</v>
      </c>
      <c r="F1568" s="344">
        <v>45363</v>
      </c>
      <c r="G1568" s="277">
        <v>2024</v>
      </c>
      <c r="H1568" s="383" t="s">
        <v>16444</v>
      </c>
      <c r="I1568" s="277" t="s">
        <v>16445</v>
      </c>
      <c r="J1568" s="277" t="s">
        <v>3</v>
      </c>
      <c r="K1568" s="278">
        <v>79488</v>
      </c>
      <c r="L1568" s="383">
        <v>1</v>
      </c>
      <c r="M1568" s="384">
        <v>79488</v>
      </c>
      <c r="N1568" s="277" t="s">
        <v>20155</v>
      </c>
      <c r="O1568" s="277" t="s">
        <v>18248</v>
      </c>
      <c r="P1568" s="890">
        <v>45372</v>
      </c>
      <c r="Q1568" s="347">
        <v>0</v>
      </c>
      <c r="R1568" s="347">
        <v>43200</v>
      </c>
      <c r="S1568" s="347">
        <v>0</v>
      </c>
      <c r="T1568" s="347">
        <v>0</v>
      </c>
      <c r="U1568" s="347">
        <v>43200</v>
      </c>
      <c r="V1568" s="348"/>
      <c r="W1568" s="349">
        <v>0</v>
      </c>
      <c r="X1568" s="349">
        <v>79488</v>
      </c>
      <c r="Y1568" s="349">
        <v>0</v>
      </c>
      <c r="Z1568" s="349">
        <v>0</v>
      </c>
      <c r="AA1568" s="350"/>
      <c r="AB1568" s="350">
        <v>1.84</v>
      </c>
      <c r="AC1568" s="350"/>
      <c r="AD1568" s="350"/>
      <c r="AE1568" s="349">
        <v>0</v>
      </c>
      <c r="AF1568" s="349">
        <v>0</v>
      </c>
      <c r="AG1568" s="349">
        <v>0</v>
      </c>
      <c r="AH1568" s="351"/>
      <c r="AI1568" s="351">
        <v>1.84</v>
      </c>
      <c r="AJ1568" s="351"/>
      <c r="AK1568" s="351"/>
      <c r="AL1568" s="352">
        <v>0</v>
      </c>
      <c r="AM1568" s="352" t="s">
        <v>20346</v>
      </c>
      <c r="AN1568" s="352">
        <v>0</v>
      </c>
      <c r="AO1568" s="352">
        <v>0</v>
      </c>
    </row>
    <row r="1569" spans="1:41" hidden="1">
      <c r="A1569" s="342">
        <v>87</v>
      </c>
      <c r="B1569" s="277" t="s">
        <v>20272</v>
      </c>
      <c r="C1569" s="277">
        <v>0</v>
      </c>
      <c r="D1569" s="343" t="s">
        <v>19319</v>
      </c>
      <c r="E1569" s="277" t="s">
        <v>20272</v>
      </c>
      <c r="F1569" s="344">
        <v>45363</v>
      </c>
      <c r="G1569" s="277">
        <v>2024</v>
      </c>
      <c r="H1569" s="383" t="s">
        <v>17342</v>
      </c>
      <c r="I1569" s="277" t="s">
        <v>17343</v>
      </c>
      <c r="J1569" s="277" t="s">
        <v>16482</v>
      </c>
      <c r="K1569" s="278">
        <v>95007.496031999995</v>
      </c>
      <c r="L1569" s="383">
        <v>3.3834</v>
      </c>
      <c r="M1569" s="384">
        <v>28080.48</v>
      </c>
      <c r="N1569" s="277" t="s">
        <v>20155</v>
      </c>
      <c r="O1569" s="277" t="s">
        <v>16394</v>
      </c>
      <c r="P1569" s="890">
        <v>45370</v>
      </c>
      <c r="Q1569" s="347">
        <v>5760</v>
      </c>
      <c r="R1569" s="347">
        <v>15168</v>
      </c>
      <c r="S1569" s="347">
        <v>1200</v>
      </c>
      <c r="T1569" s="347">
        <v>2800</v>
      </c>
      <c r="U1569" s="347">
        <v>24928</v>
      </c>
      <c r="V1569" s="348"/>
      <c r="W1569" s="349">
        <v>20587.613916015405</v>
      </c>
      <c r="X1569" s="349">
        <v>55181.810647640552</v>
      </c>
      <c r="Y1569" s="349">
        <v>4256.6055925032078</v>
      </c>
      <c r="Z1569" s="349">
        <v>14981.465875840819</v>
      </c>
      <c r="AA1569" s="350">
        <v>3.574238527086008</v>
      </c>
      <c r="AB1569" s="350">
        <v>3.6380413137948677</v>
      </c>
      <c r="AC1569" s="350">
        <v>3.5471713270860064</v>
      </c>
      <c r="AD1569" s="350">
        <v>5.3505235270860068</v>
      </c>
      <c r="AE1569" s="349">
        <v>1343.6390999999999</v>
      </c>
      <c r="AF1569" s="349">
        <v>30675.587</v>
      </c>
      <c r="AG1569" s="349">
        <v>1.2305675144415917</v>
      </c>
      <c r="AH1569" s="351">
        <v>2.3436710126444162</v>
      </c>
      <c r="AI1569" s="351">
        <v>2.407473799353276</v>
      </c>
      <c r="AJ1569" s="351">
        <v>2.3166038126444146</v>
      </c>
      <c r="AK1569" s="351">
        <v>4.1199560126444155</v>
      </c>
      <c r="AL1569" s="352">
        <v>1</v>
      </c>
      <c r="AM1569" s="352">
        <v>1</v>
      </c>
      <c r="AN1569" s="352">
        <v>1</v>
      </c>
      <c r="AO1569" s="352">
        <v>1</v>
      </c>
    </row>
    <row r="1570" spans="1:41" hidden="1">
      <c r="A1570" s="342">
        <v>88</v>
      </c>
      <c r="B1570" s="277" t="s">
        <v>20273</v>
      </c>
      <c r="C1570" s="277">
        <v>0</v>
      </c>
      <c r="D1570" s="343" t="s">
        <v>19320</v>
      </c>
      <c r="E1570" s="277" t="s">
        <v>20273</v>
      </c>
      <c r="F1570" s="344">
        <v>45369</v>
      </c>
      <c r="G1570" s="277">
        <v>2024</v>
      </c>
      <c r="H1570" s="383" t="s">
        <v>17342</v>
      </c>
      <c r="I1570" s="277" t="s">
        <v>17343</v>
      </c>
      <c r="J1570" s="277" t="s">
        <v>16482</v>
      </c>
      <c r="K1570" s="278">
        <v>91769.729233000005</v>
      </c>
      <c r="L1570" s="383">
        <v>3.3785500000000002</v>
      </c>
      <c r="M1570" s="384">
        <v>27162.46</v>
      </c>
      <c r="N1570" s="277" t="s">
        <v>20155</v>
      </c>
      <c r="O1570" s="277" t="s">
        <v>16394</v>
      </c>
      <c r="P1570" s="890">
        <v>45377</v>
      </c>
      <c r="Q1570" s="347">
        <v>9600</v>
      </c>
      <c r="R1570" s="347">
        <v>11880</v>
      </c>
      <c r="S1570" s="347">
        <v>2400</v>
      </c>
      <c r="T1570" s="347">
        <v>1000</v>
      </c>
      <c r="U1570" s="347">
        <v>24880</v>
      </c>
      <c r="V1570" s="348"/>
      <c r="W1570" s="349">
        <v>34272.289305723476</v>
      </c>
      <c r="X1570" s="349">
        <v>43224.756060632797</v>
      </c>
      <c r="Y1570" s="349">
        <v>8503.2041664308672</v>
      </c>
      <c r="Z1570" s="349">
        <v>5769.4661860128608</v>
      </c>
      <c r="AA1570" s="350">
        <v>3.5700301360128619</v>
      </c>
      <c r="AB1570" s="350">
        <v>3.6384474798512456</v>
      </c>
      <c r="AC1570" s="350">
        <v>3.5430017360128612</v>
      </c>
      <c r="AD1570" s="350">
        <v>5.7694661860128607</v>
      </c>
      <c r="AE1570" s="349">
        <v>1342.2085500000001</v>
      </c>
      <c r="AF1570" s="349">
        <v>31277.975999999999</v>
      </c>
      <c r="AG1570" s="349">
        <v>1.2571533762057878</v>
      </c>
      <c r="AH1570" s="351">
        <v>2.3128767598070743</v>
      </c>
      <c r="AI1570" s="351">
        <v>2.381294103645458</v>
      </c>
      <c r="AJ1570" s="351">
        <v>2.2858483598070736</v>
      </c>
      <c r="AK1570" s="351">
        <v>4.5123128098070726</v>
      </c>
      <c r="AL1570" s="352">
        <v>1</v>
      </c>
      <c r="AM1570" s="352">
        <v>1</v>
      </c>
      <c r="AN1570" s="352">
        <v>1</v>
      </c>
      <c r="AO1570" s="352">
        <v>1</v>
      </c>
    </row>
    <row r="1571" spans="1:41" hidden="1">
      <c r="A1571" s="342">
        <v>89</v>
      </c>
      <c r="B1571" s="277" t="s">
        <v>20274</v>
      </c>
      <c r="C1571" s="277">
        <v>0</v>
      </c>
      <c r="D1571" s="343" t="s">
        <v>19321</v>
      </c>
      <c r="E1571" s="277" t="s">
        <v>20274</v>
      </c>
      <c r="F1571" s="344">
        <v>45369</v>
      </c>
      <c r="G1571" s="277">
        <v>2024</v>
      </c>
      <c r="H1571" s="383" t="s">
        <v>17342</v>
      </c>
      <c r="I1571" s="277" t="s">
        <v>17343</v>
      </c>
      <c r="J1571" s="277" t="s">
        <v>16482</v>
      </c>
      <c r="K1571" s="278">
        <v>85607.1444815</v>
      </c>
      <c r="L1571" s="383">
        <v>3.3795500000000001</v>
      </c>
      <c r="M1571" s="384">
        <v>25330.93</v>
      </c>
      <c r="N1571" s="277" t="s">
        <v>20155</v>
      </c>
      <c r="O1571" s="277" t="s">
        <v>16394</v>
      </c>
      <c r="P1571" s="890">
        <v>45374</v>
      </c>
      <c r="Q1571" s="347">
        <v>0</v>
      </c>
      <c r="R1571" s="347">
        <v>19080</v>
      </c>
      <c r="S1571" s="347">
        <v>4800</v>
      </c>
      <c r="T1571" s="347">
        <v>560</v>
      </c>
      <c r="U1571" s="347">
        <v>24440</v>
      </c>
      <c r="V1571" s="348"/>
      <c r="W1571" s="349">
        <v>0</v>
      </c>
      <c r="X1571" s="349">
        <v>64315.346593005554</v>
      </c>
      <c r="Y1571" s="349">
        <v>16481.708035875614</v>
      </c>
      <c r="Z1571" s="349">
        <v>4810.0830935188214</v>
      </c>
      <c r="AA1571" s="350"/>
      <c r="AB1571" s="350">
        <v>3.3708252931344629</v>
      </c>
      <c r="AC1571" s="350">
        <v>3.4336891741407527</v>
      </c>
      <c r="AD1571" s="350">
        <v>8.5894340955693238</v>
      </c>
      <c r="AE1571" s="349">
        <v>1357.8839999999998</v>
      </c>
      <c r="AF1571" s="349">
        <v>27828.609</v>
      </c>
      <c r="AG1571" s="349">
        <v>1.1386501227495909</v>
      </c>
      <c r="AH1571" s="351"/>
      <c r="AI1571" s="351">
        <v>2.2321751703848722</v>
      </c>
      <c r="AJ1571" s="351">
        <v>2.2950390513911616</v>
      </c>
      <c r="AK1571" s="351">
        <v>7.4507839728197327</v>
      </c>
      <c r="AL1571" s="352">
        <v>0</v>
      </c>
      <c r="AM1571" s="352">
        <v>1</v>
      </c>
      <c r="AN1571" s="352">
        <v>1</v>
      </c>
      <c r="AO1571" s="352">
        <v>1</v>
      </c>
    </row>
    <row r="1572" spans="1:41" hidden="1">
      <c r="A1572" s="342">
        <v>90</v>
      </c>
      <c r="B1572" s="277" t="s">
        <v>20275</v>
      </c>
      <c r="C1572" s="277">
        <v>0</v>
      </c>
      <c r="D1572" s="343" t="s">
        <v>19322</v>
      </c>
      <c r="E1572" s="277" t="s">
        <v>20275</v>
      </c>
      <c r="F1572" s="344">
        <v>45370</v>
      </c>
      <c r="G1572" s="277">
        <v>2024</v>
      </c>
      <c r="H1572" s="383" t="s">
        <v>16444</v>
      </c>
      <c r="I1572" s="277" t="s">
        <v>16445</v>
      </c>
      <c r="J1572" s="277" t="s">
        <v>3</v>
      </c>
      <c r="K1572" s="278">
        <v>115020</v>
      </c>
      <c r="L1572" s="383">
        <v>1</v>
      </c>
      <c r="M1572" s="384">
        <v>115020</v>
      </c>
      <c r="N1572" s="277" t="s">
        <v>20155</v>
      </c>
      <c r="O1572" s="277" t="s">
        <v>17854</v>
      </c>
      <c r="P1572" s="890">
        <v>45376</v>
      </c>
      <c r="Q1572" s="347">
        <v>54000</v>
      </c>
      <c r="R1572" s="347">
        <v>0</v>
      </c>
      <c r="S1572" s="347">
        <v>0</v>
      </c>
      <c r="T1572" s="347">
        <v>0</v>
      </c>
      <c r="U1572" s="347">
        <v>54000</v>
      </c>
      <c r="V1572" s="348"/>
      <c r="W1572" s="349">
        <v>115020</v>
      </c>
      <c r="X1572" s="349">
        <v>0</v>
      </c>
      <c r="Y1572" s="349">
        <v>0</v>
      </c>
      <c r="Z1572" s="349">
        <v>0</v>
      </c>
      <c r="AA1572" s="350">
        <v>2.13</v>
      </c>
      <c r="AB1572" s="350"/>
      <c r="AC1572" s="350"/>
      <c r="AD1572" s="350"/>
      <c r="AE1572" s="349">
        <v>0</v>
      </c>
      <c r="AF1572" s="349">
        <v>0</v>
      </c>
      <c r="AG1572" s="349">
        <v>0</v>
      </c>
      <c r="AH1572" s="351">
        <v>2.13</v>
      </c>
      <c r="AI1572" s="351"/>
      <c r="AJ1572" s="351"/>
      <c r="AK1572" s="351"/>
      <c r="AL1572" s="352" t="s">
        <v>20345</v>
      </c>
      <c r="AM1572" s="352">
        <v>0</v>
      </c>
      <c r="AN1572" s="352">
        <v>0</v>
      </c>
      <c r="AO1572" s="352">
        <v>0</v>
      </c>
    </row>
    <row r="1573" spans="1:41" hidden="1">
      <c r="A1573" s="342">
        <v>91</v>
      </c>
      <c r="B1573" s="277" t="s">
        <v>20276</v>
      </c>
      <c r="C1573" s="277">
        <v>0</v>
      </c>
      <c r="D1573" s="343" t="s">
        <v>19323</v>
      </c>
      <c r="E1573" s="277" t="s">
        <v>20276</v>
      </c>
      <c r="F1573" s="344">
        <v>45370</v>
      </c>
      <c r="G1573" s="277">
        <v>2024</v>
      </c>
      <c r="H1573" s="383" t="s">
        <v>16384</v>
      </c>
      <c r="I1573" s="277" t="s">
        <v>16385</v>
      </c>
      <c r="J1573" s="277" t="s">
        <v>3</v>
      </c>
      <c r="K1573" s="278">
        <v>157056</v>
      </c>
      <c r="L1573" s="383">
        <v>1</v>
      </c>
      <c r="M1573" s="384">
        <v>157056</v>
      </c>
      <c r="N1573" s="277" t="s">
        <v>20155</v>
      </c>
      <c r="O1573" s="277" t="s">
        <v>17965</v>
      </c>
      <c r="P1573" s="890">
        <v>45376</v>
      </c>
      <c r="Q1573" s="347">
        <v>76800</v>
      </c>
      <c r="R1573" s="347">
        <v>0</v>
      </c>
      <c r="S1573" s="347">
        <v>0</v>
      </c>
      <c r="T1573" s="347">
        <v>0</v>
      </c>
      <c r="U1573" s="347">
        <v>76800</v>
      </c>
      <c r="V1573" s="348"/>
      <c r="W1573" s="349">
        <v>157056</v>
      </c>
      <c r="X1573" s="349">
        <v>0</v>
      </c>
      <c r="Y1573" s="349">
        <v>0</v>
      </c>
      <c r="Z1573" s="349">
        <v>0</v>
      </c>
      <c r="AA1573" s="350">
        <v>2.0449999999999999</v>
      </c>
      <c r="AB1573" s="350"/>
      <c r="AC1573" s="350"/>
      <c r="AD1573" s="350"/>
      <c r="AE1573" s="349">
        <v>0</v>
      </c>
      <c r="AF1573" s="349">
        <v>0</v>
      </c>
      <c r="AG1573" s="349">
        <v>0</v>
      </c>
      <c r="AH1573" s="351">
        <v>2.0449999999999999</v>
      </c>
      <c r="AI1573" s="351"/>
      <c r="AJ1573" s="351"/>
      <c r="AK1573" s="351"/>
      <c r="AL1573" s="352" t="s">
        <v>20345</v>
      </c>
      <c r="AM1573" s="352">
        <v>0</v>
      </c>
      <c r="AN1573" s="352">
        <v>0</v>
      </c>
      <c r="AO1573" s="352">
        <v>0</v>
      </c>
    </row>
    <row r="1574" spans="1:41" hidden="1">
      <c r="A1574" s="342">
        <v>92</v>
      </c>
      <c r="B1574" s="277" t="s">
        <v>20277</v>
      </c>
      <c r="C1574" s="277">
        <v>0</v>
      </c>
      <c r="D1574" s="343" t="s">
        <v>19324</v>
      </c>
      <c r="E1574" s="277" t="s">
        <v>20277</v>
      </c>
      <c r="F1574" s="344">
        <v>45370</v>
      </c>
      <c r="G1574" s="277">
        <v>2024</v>
      </c>
      <c r="H1574" s="383" t="s">
        <v>16838</v>
      </c>
      <c r="I1574" s="277" t="s">
        <v>16839</v>
      </c>
      <c r="J1574" s="277" t="s">
        <v>3</v>
      </c>
      <c r="K1574" s="278">
        <v>191394</v>
      </c>
      <c r="L1574" s="383">
        <v>1</v>
      </c>
      <c r="M1574" s="384">
        <v>191394</v>
      </c>
      <c r="N1574" s="277" t="s">
        <v>20155</v>
      </c>
      <c r="O1574" s="277" t="s">
        <v>17771</v>
      </c>
      <c r="P1574" s="890">
        <v>45385</v>
      </c>
      <c r="Q1574" s="347">
        <v>3600</v>
      </c>
      <c r="R1574" s="347">
        <v>22200</v>
      </c>
      <c r="S1574" s="347">
        <v>84000</v>
      </c>
      <c r="T1574" s="347">
        <v>0</v>
      </c>
      <c r="U1574" s="347">
        <v>109800</v>
      </c>
      <c r="V1574" s="348"/>
      <c r="W1574" s="349">
        <v>7128</v>
      </c>
      <c r="X1574" s="349">
        <v>40626</v>
      </c>
      <c r="Y1574" s="349">
        <v>143640</v>
      </c>
      <c r="Z1574" s="349">
        <v>0</v>
      </c>
      <c r="AA1574" s="350">
        <v>1.98</v>
      </c>
      <c r="AB1574" s="350">
        <v>1.83</v>
      </c>
      <c r="AC1574" s="350">
        <v>1.71</v>
      </c>
      <c r="AD1574" s="350"/>
      <c r="AE1574" s="349">
        <v>0</v>
      </c>
      <c r="AF1574" s="349">
        <v>0</v>
      </c>
      <c r="AG1574" s="349">
        <v>0</v>
      </c>
      <c r="AH1574" s="351">
        <v>1.98</v>
      </c>
      <c r="AI1574" s="351">
        <v>1.83</v>
      </c>
      <c r="AJ1574" s="351">
        <v>1.71</v>
      </c>
      <c r="AK1574" s="351"/>
      <c r="AL1574" s="352" t="s">
        <v>20345</v>
      </c>
      <c r="AM1574" s="352" t="s">
        <v>20348</v>
      </c>
      <c r="AN1574" s="352" t="s">
        <v>20347</v>
      </c>
      <c r="AO1574" s="352">
        <v>0</v>
      </c>
    </row>
    <row r="1575" spans="1:41" hidden="1">
      <c r="A1575" s="342">
        <v>93</v>
      </c>
      <c r="B1575" s="277" t="s">
        <v>20278</v>
      </c>
      <c r="C1575" s="277">
        <v>0</v>
      </c>
      <c r="D1575" s="343" t="s">
        <v>19325</v>
      </c>
      <c r="E1575" s="277" t="s">
        <v>20278</v>
      </c>
      <c r="F1575" s="344">
        <v>45370</v>
      </c>
      <c r="G1575" s="277">
        <v>2024</v>
      </c>
      <c r="H1575" s="383" t="s">
        <v>16957</v>
      </c>
      <c r="I1575" s="277" t="s">
        <v>16958</v>
      </c>
      <c r="J1575" s="277" t="s">
        <v>16401</v>
      </c>
      <c r="K1575" s="278">
        <v>108698.89289999999</v>
      </c>
      <c r="L1575" s="383">
        <v>3.1181999999999999</v>
      </c>
      <c r="M1575" s="384">
        <v>34859.5</v>
      </c>
      <c r="N1575" s="277" t="s">
        <v>20155</v>
      </c>
      <c r="O1575" s="277" t="s">
        <v>20161</v>
      </c>
      <c r="P1575" s="890">
        <v>45378</v>
      </c>
      <c r="Q1575" s="347">
        <v>40300</v>
      </c>
      <c r="R1575" s="347">
        <v>0</v>
      </c>
      <c r="S1575" s="347">
        <v>0</v>
      </c>
      <c r="T1575" s="347">
        <v>0</v>
      </c>
      <c r="U1575" s="347">
        <v>40300</v>
      </c>
      <c r="V1575" s="348"/>
      <c r="W1575" s="349">
        <v>108698.89289999999</v>
      </c>
      <c r="X1575" s="349">
        <v>0</v>
      </c>
      <c r="Y1575" s="349">
        <v>0</v>
      </c>
      <c r="Z1575" s="349">
        <v>0</v>
      </c>
      <c r="AA1575" s="350">
        <v>2.6972429999999998</v>
      </c>
      <c r="AB1575" s="350"/>
      <c r="AC1575" s="350"/>
      <c r="AD1575" s="350"/>
      <c r="AE1575" s="349">
        <v>1773.78</v>
      </c>
      <c r="AF1575" s="349">
        <v>15175.06</v>
      </c>
      <c r="AG1575" s="349">
        <v>0.37655235732009923</v>
      </c>
      <c r="AH1575" s="351">
        <v>2.3206906426799008</v>
      </c>
      <c r="AI1575" s="351"/>
      <c r="AJ1575" s="351"/>
      <c r="AK1575" s="351"/>
      <c r="AL1575" s="352">
        <v>1</v>
      </c>
      <c r="AM1575" s="352">
        <v>0</v>
      </c>
      <c r="AN1575" s="352">
        <v>0</v>
      </c>
      <c r="AO1575" s="352">
        <v>0</v>
      </c>
    </row>
    <row r="1576" spans="1:41" hidden="1">
      <c r="A1576" s="342">
        <v>94</v>
      </c>
      <c r="B1576" s="277" t="s">
        <v>20279</v>
      </c>
      <c r="C1576" s="277">
        <v>0</v>
      </c>
      <c r="D1576" s="343" t="s">
        <v>19326</v>
      </c>
      <c r="E1576" s="277" t="s">
        <v>20279</v>
      </c>
      <c r="F1576" s="344">
        <v>45370</v>
      </c>
      <c r="G1576" s="277">
        <v>2024</v>
      </c>
      <c r="H1576" s="383" t="s">
        <v>16957</v>
      </c>
      <c r="I1576" s="277" t="s">
        <v>16958</v>
      </c>
      <c r="J1576" s="277" t="s">
        <v>16401</v>
      </c>
      <c r="K1576" s="278">
        <v>99372.828099999999</v>
      </c>
      <c r="L1576" s="383">
        <v>3.1213000000000002</v>
      </c>
      <c r="M1576" s="384">
        <v>31837</v>
      </c>
      <c r="N1576" s="277" t="s">
        <v>20155</v>
      </c>
      <c r="O1576" s="277" t="s">
        <v>20161</v>
      </c>
      <c r="P1576" s="890">
        <v>45379</v>
      </c>
      <c r="Q1576" s="347">
        <v>40300</v>
      </c>
      <c r="R1576" s="347">
        <v>0</v>
      </c>
      <c r="S1576" s="347">
        <v>0</v>
      </c>
      <c r="T1576" s="347">
        <v>0</v>
      </c>
      <c r="U1576" s="347">
        <v>40300</v>
      </c>
      <c r="V1576" s="348"/>
      <c r="W1576" s="349">
        <v>99372.828099999999</v>
      </c>
      <c r="X1576" s="349">
        <v>0</v>
      </c>
      <c r="Y1576" s="349">
        <v>0</v>
      </c>
      <c r="Z1576" s="349">
        <v>0</v>
      </c>
      <c r="AA1576" s="350">
        <v>2.465827</v>
      </c>
      <c r="AB1576" s="350"/>
      <c r="AC1576" s="350"/>
      <c r="AD1576" s="350"/>
      <c r="AE1576" s="349">
        <v>1773.78</v>
      </c>
      <c r="AF1576" s="349">
        <v>14703.86</v>
      </c>
      <c r="AG1576" s="349">
        <v>0.36486004962779156</v>
      </c>
      <c r="AH1576" s="351">
        <v>2.1009669503722086</v>
      </c>
      <c r="AI1576" s="351"/>
      <c r="AJ1576" s="351"/>
      <c r="AK1576" s="351"/>
      <c r="AL1576" s="352" t="s">
        <v>20345</v>
      </c>
      <c r="AM1576" s="352">
        <v>0</v>
      </c>
      <c r="AN1576" s="352">
        <v>0</v>
      </c>
      <c r="AO1576" s="352">
        <v>0</v>
      </c>
    </row>
    <row r="1577" spans="1:41" hidden="1">
      <c r="A1577" s="342">
        <v>95</v>
      </c>
      <c r="B1577" s="277" t="s">
        <v>20280</v>
      </c>
      <c r="C1577" s="277">
        <v>0</v>
      </c>
      <c r="D1577" s="343" t="s">
        <v>19327</v>
      </c>
      <c r="E1577" s="277" t="s">
        <v>20280</v>
      </c>
      <c r="F1577" s="344">
        <v>45370</v>
      </c>
      <c r="G1577" s="277">
        <v>2024</v>
      </c>
      <c r="H1577" s="383" t="s">
        <v>17342</v>
      </c>
      <c r="I1577" s="277" t="s">
        <v>17343</v>
      </c>
      <c r="J1577" s="277" t="s">
        <v>16482</v>
      </c>
      <c r="K1577" s="278">
        <v>8181.7270920000001</v>
      </c>
      <c r="L1577" s="383">
        <v>3.3796499999999998</v>
      </c>
      <c r="M1577" s="384">
        <v>2420.88</v>
      </c>
      <c r="N1577" s="277" t="s">
        <v>20155</v>
      </c>
      <c r="O1577" s="277" t="s">
        <v>16394</v>
      </c>
      <c r="P1577" s="890">
        <v>45379</v>
      </c>
      <c r="Q1577" s="347">
        <v>0</v>
      </c>
      <c r="R1577" s="347">
        <v>0</v>
      </c>
      <c r="S1577" s="347">
        <v>0</v>
      </c>
      <c r="T1577" s="347">
        <v>1680</v>
      </c>
      <c r="U1577" s="347">
        <v>1680</v>
      </c>
      <c r="V1577" s="348"/>
      <c r="W1577" s="349">
        <v>0</v>
      </c>
      <c r="X1577" s="349">
        <v>0</v>
      </c>
      <c r="Y1577" s="349">
        <v>0</v>
      </c>
      <c r="Z1577" s="349">
        <v>8181.7270919999992</v>
      </c>
      <c r="AA1577" s="350"/>
      <c r="AB1577" s="350"/>
      <c r="AC1577" s="350"/>
      <c r="AD1577" s="350">
        <v>4.8700756499999995</v>
      </c>
      <c r="AE1577" s="349">
        <v>0</v>
      </c>
      <c r="AF1577" s="349">
        <v>0</v>
      </c>
      <c r="AG1577" s="349">
        <v>0</v>
      </c>
      <c r="AH1577" s="351"/>
      <c r="AI1577" s="351"/>
      <c r="AJ1577" s="351"/>
      <c r="AK1577" s="351">
        <v>4.8700756499999995</v>
      </c>
      <c r="AL1577" s="352">
        <v>0</v>
      </c>
      <c r="AM1577" s="352">
        <v>0</v>
      </c>
      <c r="AN1577" s="352">
        <v>0</v>
      </c>
      <c r="AO1577" s="352">
        <v>1</v>
      </c>
    </row>
    <row r="1578" spans="1:41" hidden="1">
      <c r="A1578" s="342">
        <v>96</v>
      </c>
      <c r="B1578" s="277" t="s">
        <v>20281</v>
      </c>
      <c r="C1578" s="277">
        <v>0</v>
      </c>
      <c r="D1578" s="343" t="s">
        <v>19328</v>
      </c>
      <c r="E1578" s="277" t="s">
        <v>20281</v>
      </c>
      <c r="F1578" s="344">
        <v>45370</v>
      </c>
      <c r="G1578" s="277">
        <v>2024</v>
      </c>
      <c r="H1578" s="383" t="s">
        <v>16783</v>
      </c>
      <c r="I1578" s="277" t="s">
        <v>16784</v>
      </c>
      <c r="J1578" s="277" t="s">
        <v>16401</v>
      </c>
      <c r="K1578" s="278">
        <v>506429.8848</v>
      </c>
      <c r="L1578" s="383">
        <v>3.1013000000000002</v>
      </c>
      <c r="M1578" s="384">
        <v>163296</v>
      </c>
      <c r="N1578" s="277" t="s">
        <v>20155</v>
      </c>
      <c r="O1578" s="277" t="s">
        <v>20372</v>
      </c>
      <c r="P1578" s="890">
        <v>45376</v>
      </c>
      <c r="Q1578" s="347">
        <v>0</v>
      </c>
      <c r="R1578" s="347">
        <v>194880</v>
      </c>
      <c r="S1578" s="347">
        <v>38400</v>
      </c>
      <c r="T1578" s="347">
        <v>0</v>
      </c>
      <c r="U1578" s="347">
        <v>233280</v>
      </c>
      <c r="V1578" s="348"/>
      <c r="W1578" s="349">
        <v>0</v>
      </c>
      <c r="X1578" s="349">
        <v>423066.94080000016</v>
      </c>
      <c r="Y1578" s="349">
        <v>83362.944000000003</v>
      </c>
      <c r="Z1578" s="349">
        <v>0</v>
      </c>
      <c r="AA1578" s="350"/>
      <c r="AB1578" s="350">
        <v>2.170910000000001</v>
      </c>
      <c r="AC1578" s="350">
        <v>2.1709100000000001</v>
      </c>
      <c r="AD1578" s="350"/>
      <c r="AE1578" s="349">
        <v>0</v>
      </c>
      <c r="AF1578" s="349">
        <v>0</v>
      </c>
      <c r="AG1578" s="349">
        <v>0</v>
      </c>
      <c r="AH1578" s="351"/>
      <c r="AI1578" s="351">
        <v>2.170910000000001</v>
      </c>
      <c r="AJ1578" s="351">
        <v>2.1709100000000001</v>
      </c>
      <c r="AK1578" s="351"/>
      <c r="AL1578" s="352">
        <v>0</v>
      </c>
      <c r="AM1578" s="352" t="s">
        <v>20345</v>
      </c>
      <c r="AN1578" s="352" t="s">
        <v>20345</v>
      </c>
      <c r="AO1578" s="352">
        <v>0</v>
      </c>
    </row>
    <row r="1579" spans="1:41" hidden="1">
      <c r="A1579" s="342">
        <v>97</v>
      </c>
      <c r="B1579" s="277" t="s">
        <v>20282</v>
      </c>
      <c r="C1579" s="277">
        <v>0</v>
      </c>
      <c r="D1579" s="343" t="s">
        <v>19329</v>
      </c>
      <c r="E1579" s="277" t="s">
        <v>20282</v>
      </c>
      <c r="F1579" s="344">
        <v>45373</v>
      </c>
      <c r="G1579" s="277">
        <v>2024</v>
      </c>
      <c r="H1579" s="383" t="s">
        <v>17342</v>
      </c>
      <c r="I1579" s="277" t="s">
        <v>17343</v>
      </c>
      <c r="J1579" s="277" t="s">
        <v>16482</v>
      </c>
      <c r="K1579" s="278">
        <v>87346.598866500004</v>
      </c>
      <c r="L1579" s="383">
        <v>3.3795500000000001</v>
      </c>
      <c r="M1579" s="384">
        <v>25845.63</v>
      </c>
      <c r="N1579" s="277" t="s">
        <v>20155</v>
      </c>
      <c r="O1579" s="277" t="s">
        <v>16394</v>
      </c>
      <c r="P1579" s="890">
        <v>45374</v>
      </c>
      <c r="Q1579" s="347">
        <v>0</v>
      </c>
      <c r="R1579" s="347">
        <v>16752</v>
      </c>
      <c r="S1579" s="347">
        <v>4800</v>
      </c>
      <c r="T1579" s="347">
        <v>1320</v>
      </c>
      <c r="U1579" s="347">
        <v>22872</v>
      </c>
      <c r="V1579" s="348"/>
      <c r="W1579" s="349">
        <v>0</v>
      </c>
      <c r="X1579" s="349">
        <v>60775.920240151943</v>
      </c>
      <c r="Y1579" s="349">
        <v>17211.78643878279</v>
      </c>
      <c r="Z1579" s="349">
        <v>9358.8989466652674</v>
      </c>
      <c r="AA1579" s="350"/>
      <c r="AB1579" s="350">
        <v>3.6279799570291273</v>
      </c>
      <c r="AC1579" s="350">
        <v>3.5857888414130814</v>
      </c>
      <c r="AD1579" s="350">
        <v>7.0900749595949</v>
      </c>
      <c r="AE1579" s="349">
        <v>1856.8035</v>
      </c>
      <c r="AF1579" s="349">
        <v>30217.646000000001</v>
      </c>
      <c r="AG1579" s="349">
        <v>1.3211632563833509</v>
      </c>
      <c r="AH1579" s="351"/>
      <c r="AI1579" s="351">
        <v>2.3068167006457765</v>
      </c>
      <c r="AJ1579" s="351">
        <v>2.2646255850297305</v>
      </c>
      <c r="AK1579" s="351">
        <v>5.7689117032115487</v>
      </c>
      <c r="AL1579" s="352">
        <v>0</v>
      </c>
      <c r="AM1579" s="352">
        <v>1</v>
      </c>
      <c r="AN1579" s="352">
        <v>1</v>
      </c>
      <c r="AO1579" s="352">
        <v>1</v>
      </c>
    </row>
    <row r="1580" spans="1:41" hidden="1">
      <c r="A1580" s="342">
        <v>98</v>
      </c>
      <c r="B1580" s="277" t="s">
        <v>20283</v>
      </c>
      <c r="C1580" s="277">
        <v>0</v>
      </c>
      <c r="D1580" s="343" t="s">
        <v>19330</v>
      </c>
      <c r="E1580" s="277" t="s">
        <v>20283</v>
      </c>
      <c r="F1580" s="344">
        <v>45373</v>
      </c>
      <c r="G1580" s="277">
        <v>2024</v>
      </c>
      <c r="H1580" s="383" t="s">
        <v>17342</v>
      </c>
      <c r="I1580" s="277" t="s">
        <v>17343</v>
      </c>
      <c r="J1580" s="277" t="s">
        <v>16482</v>
      </c>
      <c r="K1580" s="278">
        <v>85687.764879500013</v>
      </c>
      <c r="L1580" s="383">
        <v>3.3785500000000002</v>
      </c>
      <c r="M1580" s="384">
        <v>25362.29</v>
      </c>
      <c r="N1580" s="277" t="s">
        <v>20155</v>
      </c>
      <c r="O1580" s="277" t="s">
        <v>16394</v>
      </c>
      <c r="P1580" s="890">
        <v>45377</v>
      </c>
      <c r="Q1580" s="347">
        <v>0</v>
      </c>
      <c r="R1580" s="347">
        <v>18624</v>
      </c>
      <c r="S1580" s="347">
        <v>4800</v>
      </c>
      <c r="T1580" s="347">
        <v>200</v>
      </c>
      <c r="U1580" s="347">
        <v>23624</v>
      </c>
      <c r="V1580" s="348"/>
      <c r="W1580" s="349">
        <v>0</v>
      </c>
      <c r="X1580" s="349">
        <v>65226.542744873412</v>
      </c>
      <c r="Y1580" s="349">
        <v>17127.698462905519</v>
      </c>
      <c r="Z1580" s="349">
        <v>3333.5169146210637</v>
      </c>
      <c r="AA1580" s="350"/>
      <c r="AB1580" s="350">
        <v>3.5022842968682029</v>
      </c>
      <c r="AC1580" s="350">
        <v>3.5682705131053165</v>
      </c>
      <c r="AD1580" s="350">
        <v>16.667584573105319</v>
      </c>
      <c r="AE1580" s="349">
        <v>1342.2085500000001</v>
      </c>
      <c r="AF1580" s="349">
        <v>29053.05</v>
      </c>
      <c r="AG1580" s="349">
        <v>1.2298107856417202</v>
      </c>
      <c r="AH1580" s="351"/>
      <c r="AI1580" s="351">
        <v>2.2724735112264827</v>
      </c>
      <c r="AJ1580" s="351">
        <v>2.3384597274635963</v>
      </c>
      <c r="AK1580" s="351">
        <v>15.437773787463598</v>
      </c>
      <c r="AL1580" s="352">
        <v>0</v>
      </c>
      <c r="AM1580" s="352">
        <v>1</v>
      </c>
      <c r="AN1580" s="352">
        <v>1</v>
      </c>
      <c r="AO1580" s="352">
        <v>1</v>
      </c>
    </row>
    <row r="1581" spans="1:41" hidden="1">
      <c r="A1581" s="342">
        <v>99</v>
      </c>
      <c r="B1581" s="277" t="s">
        <v>20284</v>
      </c>
      <c r="C1581" s="277">
        <v>0</v>
      </c>
      <c r="D1581" s="343" t="s">
        <v>19331</v>
      </c>
      <c r="E1581" s="277" t="s">
        <v>20284</v>
      </c>
      <c r="F1581" s="344">
        <v>45377</v>
      </c>
      <c r="G1581" s="277">
        <v>2024</v>
      </c>
      <c r="H1581" s="383" t="s">
        <v>17226</v>
      </c>
      <c r="I1581" s="277" t="s">
        <v>17227</v>
      </c>
      <c r="J1581" s="277" t="s">
        <v>3</v>
      </c>
      <c r="K1581" s="278">
        <v>164120</v>
      </c>
      <c r="L1581" s="383">
        <v>1</v>
      </c>
      <c r="M1581" s="384">
        <v>164120</v>
      </c>
      <c r="N1581" s="277" t="s">
        <v>20155</v>
      </c>
      <c r="O1581" s="277" t="s">
        <v>17689</v>
      </c>
      <c r="P1581" s="890">
        <v>45380</v>
      </c>
      <c r="Q1581" s="347">
        <v>0</v>
      </c>
      <c r="R1581" s="347">
        <v>50700</v>
      </c>
      <c r="S1581" s="347">
        <v>0</v>
      </c>
      <c r="T1581" s="347">
        <v>5200</v>
      </c>
      <c r="U1581" s="347">
        <v>55900</v>
      </c>
      <c r="V1581" s="348"/>
      <c r="W1581" s="349">
        <v>0</v>
      </c>
      <c r="X1581" s="349">
        <v>128400</v>
      </c>
      <c r="Y1581" s="349">
        <v>0</v>
      </c>
      <c r="Z1581" s="349">
        <v>35720</v>
      </c>
      <c r="AA1581" s="350"/>
      <c r="AB1581" s="350">
        <v>2.5325443786982249</v>
      </c>
      <c r="AC1581" s="350"/>
      <c r="AD1581" s="350">
        <v>6.8692307692307688</v>
      </c>
      <c r="AE1581" s="349">
        <v>0</v>
      </c>
      <c r="AF1581" s="349">
        <v>0</v>
      </c>
      <c r="AG1581" s="349">
        <v>0</v>
      </c>
      <c r="AH1581" s="351"/>
      <c r="AI1581" s="351">
        <v>2.5325443786982249</v>
      </c>
      <c r="AJ1581" s="351"/>
      <c r="AK1581" s="351">
        <v>6.8692307692307688</v>
      </c>
      <c r="AL1581" s="352">
        <v>0</v>
      </c>
      <c r="AM1581" s="352">
        <v>1</v>
      </c>
      <c r="AN1581" s="352">
        <v>0</v>
      </c>
      <c r="AO1581" s="352">
        <v>1</v>
      </c>
    </row>
    <row r="1582" spans="1:41" hidden="1">
      <c r="A1582" s="342">
        <v>100</v>
      </c>
      <c r="B1582" s="277" t="s">
        <v>112</v>
      </c>
      <c r="C1582" s="277">
        <v>0</v>
      </c>
      <c r="D1582" s="343" t="s">
        <v>19332</v>
      </c>
      <c r="E1582" s="277" t="s">
        <v>112</v>
      </c>
      <c r="F1582" s="344">
        <v>45377</v>
      </c>
      <c r="G1582" s="277">
        <v>2024</v>
      </c>
      <c r="H1582" s="383" t="s">
        <v>17226</v>
      </c>
      <c r="I1582" s="277" t="s">
        <v>17227</v>
      </c>
      <c r="J1582" s="277" t="s">
        <v>3</v>
      </c>
      <c r="K1582" s="278">
        <v>70992</v>
      </c>
      <c r="L1582" s="383">
        <v>1</v>
      </c>
      <c r="M1582" s="384">
        <v>70992</v>
      </c>
      <c r="N1582" s="277" t="s">
        <v>20155</v>
      </c>
      <c r="O1582" s="277" t="s">
        <v>17689</v>
      </c>
      <c r="P1582" s="890">
        <v>45380</v>
      </c>
      <c r="Q1582" s="347">
        <v>0</v>
      </c>
      <c r="R1582" s="347">
        <v>0</v>
      </c>
      <c r="S1582" s="347">
        <v>27840</v>
      </c>
      <c r="T1582" s="347">
        <v>0</v>
      </c>
      <c r="U1582" s="347">
        <v>27840</v>
      </c>
      <c r="V1582" s="348"/>
      <c r="W1582" s="349">
        <v>0</v>
      </c>
      <c r="X1582" s="349">
        <v>0</v>
      </c>
      <c r="Y1582" s="349">
        <v>70992</v>
      </c>
      <c r="Z1582" s="349">
        <v>0</v>
      </c>
      <c r="AA1582" s="350"/>
      <c r="AB1582" s="350"/>
      <c r="AC1582" s="350">
        <v>2.5499999999999998</v>
      </c>
      <c r="AD1582" s="350"/>
      <c r="AE1582" s="349">
        <v>0</v>
      </c>
      <c r="AF1582" s="349">
        <v>0</v>
      </c>
      <c r="AG1582" s="349">
        <v>0</v>
      </c>
      <c r="AH1582" s="351"/>
      <c r="AI1582" s="351"/>
      <c r="AJ1582" s="351">
        <v>2.5499999999999998</v>
      </c>
      <c r="AK1582" s="351"/>
      <c r="AL1582" s="352">
        <v>0</v>
      </c>
      <c r="AM1582" s="352">
        <v>0</v>
      </c>
      <c r="AN1582" s="352">
        <v>1</v>
      </c>
      <c r="AO1582" s="352">
        <v>0</v>
      </c>
    </row>
    <row r="1583" spans="1:41" hidden="1">
      <c r="A1583" s="342">
        <v>101</v>
      </c>
      <c r="B1583" s="277" t="s">
        <v>113</v>
      </c>
      <c r="C1583" s="277">
        <v>0</v>
      </c>
      <c r="D1583" s="343" t="s">
        <v>19333</v>
      </c>
      <c r="E1583" s="277" t="s">
        <v>113</v>
      </c>
      <c r="F1583" s="344">
        <v>45377</v>
      </c>
      <c r="G1583" s="277">
        <v>2024</v>
      </c>
      <c r="H1583" s="383" t="s">
        <v>17132</v>
      </c>
      <c r="I1583" s="277" t="s">
        <v>17133</v>
      </c>
      <c r="J1583" s="277" t="s">
        <v>3</v>
      </c>
      <c r="K1583" s="278">
        <v>290724.47999999998</v>
      </c>
      <c r="L1583" s="383">
        <v>1</v>
      </c>
      <c r="M1583" s="384">
        <v>290724.47999999998</v>
      </c>
      <c r="N1583" s="277" t="s">
        <v>20155</v>
      </c>
      <c r="O1583" s="277" t="s">
        <v>17939</v>
      </c>
      <c r="P1583" s="890">
        <v>45400</v>
      </c>
      <c r="Q1583" s="347">
        <v>102048</v>
      </c>
      <c r="R1583" s="347">
        <v>0</v>
      </c>
      <c r="S1583" s="347">
        <v>70080</v>
      </c>
      <c r="T1583" s="347">
        <v>0</v>
      </c>
      <c r="U1583" s="347">
        <v>172128</v>
      </c>
      <c r="V1583" s="348"/>
      <c r="W1583" s="349">
        <v>189809.28</v>
      </c>
      <c r="X1583" s="349">
        <v>0</v>
      </c>
      <c r="Y1583" s="349">
        <v>100915.2</v>
      </c>
      <c r="Z1583" s="349">
        <v>0</v>
      </c>
      <c r="AA1583" s="350">
        <v>1.86</v>
      </c>
      <c r="AB1583" s="350"/>
      <c r="AC1583" s="350">
        <v>1.44</v>
      </c>
      <c r="AD1583" s="350"/>
      <c r="AE1583" s="349">
        <v>0</v>
      </c>
      <c r="AF1583" s="349">
        <v>0</v>
      </c>
      <c r="AG1583" s="349">
        <v>0</v>
      </c>
      <c r="AH1583" s="351">
        <v>1.86</v>
      </c>
      <c r="AI1583" s="351"/>
      <c r="AJ1583" s="351">
        <v>1.44</v>
      </c>
      <c r="AK1583" s="351"/>
      <c r="AL1583" s="352" t="s">
        <v>20345</v>
      </c>
      <c r="AM1583" s="352">
        <v>0</v>
      </c>
      <c r="AN1583" s="352" t="s">
        <v>20347</v>
      </c>
      <c r="AO1583" s="352">
        <v>0</v>
      </c>
    </row>
    <row r="1584" spans="1:41" hidden="1">
      <c r="A1584" s="342">
        <v>102</v>
      </c>
      <c r="B1584" s="277" t="s">
        <v>114</v>
      </c>
      <c r="C1584" s="277">
        <v>0</v>
      </c>
      <c r="D1584" s="343" t="s">
        <v>19334</v>
      </c>
      <c r="E1584" s="277" t="s">
        <v>114</v>
      </c>
      <c r="F1584" s="344">
        <v>45380</v>
      </c>
      <c r="G1584" s="277">
        <v>2024</v>
      </c>
      <c r="H1584" s="383" t="s">
        <v>16643</v>
      </c>
      <c r="I1584" s="277" t="s">
        <v>16644</v>
      </c>
      <c r="J1584" s="277" t="s">
        <v>16482</v>
      </c>
      <c r="K1584" s="278">
        <v>57713.90625</v>
      </c>
      <c r="L1584" s="383">
        <v>3.3824999999999998</v>
      </c>
      <c r="M1584" s="384">
        <v>17062.5</v>
      </c>
      <c r="N1584" s="277" t="s">
        <v>20155</v>
      </c>
      <c r="O1584" s="277" t="s">
        <v>18227</v>
      </c>
      <c r="P1584" s="890">
        <v>45387</v>
      </c>
      <c r="Q1584" s="347">
        <v>0</v>
      </c>
      <c r="R1584" s="347">
        <v>22500</v>
      </c>
      <c r="S1584" s="347">
        <v>0</v>
      </c>
      <c r="T1584" s="347">
        <v>0</v>
      </c>
      <c r="U1584" s="347">
        <v>22500</v>
      </c>
      <c r="V1584" s="348"/>
      <c r="W1584" s="349">
        <v>0</v>
      </c>
      <c r="X1584" s="349">
        <v>57713.90625</v>
      </c>
      <c r="Y1584" s="349">
        <v>0</v>
      </c>
      <c r="Z1584" s="349">
        <v>0</v>
      </c>
      <c r="AA1584" s="350"/>
      <c r="AB1584" s="350">
        <v>2.5650624999999998</v>
      </c>
      <c r="AC1584" s="350"/>
      <c r="AD1584" s="350"/>
      <c r="AE1584" s="349">
        <v>1547.8125</v>
      </c>
      <c r="AF1584" s="349">
        <v>7683.0749999999998</v>
      </c>
      <c r="AG1584" s="349">
        <v>0.34147</v>
      </c>
      <c r="AH1584" s="351"/>
      <c r="AI1584" s="351">
        <v>2.2235924999999996</v>
      </c>
      <c r="AJ1584" s="351"/>
      <c r="AK1584" s="351"/>
      <c r="AL1584" s="352">
        <v>0</v>
      </c>
      <c r="AM1584" s="352" t="s">
        <v>20346</v>
      </c>
      <c r="AN1584" s="352">
        <v>0</v>
      </c>
      <c r="AO1584" s="352">
        <v>0</v>
      </c>
    </row>
    <row r="1585" spans="1:41" hidden="1">
      <c r="A1585" s="342">
        <v>103</v>
      </c>
      <c r="B1585" s="277" t="s">
        <v>115</v>
      </c>
      <c r="C1585" s="277">
        <v>0</v>
      </c>
      <c r="D1585" s="343" t="s">
        <v>19335</v>
      </c>
      <c r="E1585" s="277" t="s">
        <v>115</v>
      </c>
      <c r="F1585" s="344">
        <v>45384</v>
      </c>
      <c r="G1585" s="277">
        <v>2024</v>
      </c>
      <c r="H1585" s="383" t="s">
        <v>17304</v>
      </c>
      <c r="I1585" s="277" t="s">
        <v>17305</v>
      </c>
      <c r="J1585" s="277" t="s">
        <v>17306</v>
      </c>
      <c r="K1585" s="278">
        <v>82909.6875</v>
      </c>
      <c r="L1585" s="383">
        <v>2.3062499999999999</v>
      </c>
      <c r="M1585" s="384">
        <v>35950</v>
      </c>
      <c r="N1585" s="277" t="s">
        <v>20155</v>
      </c>
      <c r="O1585" s="277" t="s">
        <v>17954</v>
      </c>
      <c r="P1585" s="890">
        <v>45387</v>
      </c>
      <c r="Q1585" s="347">
        <v>2400</v>
      </c>
      <c r="R1585" s="347">
        <v>10700</v>
      </c>
      <c r="S1585" s="347">
        <v>500</v>
      </c>
      <c r="T1585" s="347">
        <v>5000</v>
      </c>
      <c r="U1585" s="347">
        <v>18600</v>
      </c>
      <c r="V1585" s="348"/>
      <c r="W1585" s="349">
        <v>7121.8487903225805</v>
      </c>
      <c r="X1585" s="349">
        <v>38142.771169354841</v>
      </c>
      <c r="Y1585" s="349">
        <v>3083.6794354838712</v>
      </c>
      <c r="Z1585" s="349">
        <v>34561.388104838712</v>
      </c>
      <c r="AA1585" s="350">
        <v>2.9674369959677418</v>
      </c>
      <c r="AB1585" s="350">
        <v>3.5647449690985833</v>
      </c>
      <c r="AC1585" s="350">
        <v>6.1673588709677425</v>
      </c>
      <c r="AD1585" s="350">
        <v>6.9122776209677426</v>
      </c>
      <c r="AE1585" s="349">
        <v>1881.1875</v>
      </c>
      <c r="AF1585" s="349">
        <v>14264.875</v>
      </c>
      <c r="AG1585" s="349">
        <v>0.76692876344086025</v>
      </c>
      <c r="AH1585" s="351">
        <v>2.2005082325268814</v>
      </c>
      <c r="AI1585" s="351">
        <v>2.7978162056577229</v>
      </c>
      <c r="AJ1585" s="351">
        <v>5.4004301075268826</v>
      </c>
      <c r="AK1585" s="351">
        <v>6.1453488575268826</v>
      </c>
      <c r="AL1585" s="352">
        <v>1</v>
      </c>
      <c r="AM1585" s="352">
        <v>1</v>
      </c>
      <c r="AN1585" s="352">
        <v>1</v>
      </c>
      <c r="AO1585" s="352">
        <v>1</v>
      </c>
    </row>
    <row r="1586" spans="1:41" hidden="1">
      <c r="A1586" s="342">
        <v>104</v>
      </c>
      <c r="B1586" s="277" t="s">
        <v>116</v>
      </c>
      <c r="C1586" s="277">
        <v>0</v>
      </c>
      <c r="D1586" s="343" t="s">
        <v>19336</v>
      </c>
      <c r="E1586" s="277" t="s">
        <v>116</v>
      </c>
      <c r="F1586" s="344">
        <v>45397</v>
      </c>
      <c r="G1586" s="277">
        <v>2024</v>
      </c>
      <c r="H1586" s="383" t="s">
        <v>17276</v>
      </c>
      <c r="I1586" s="277" t="s">
        <v>17277</v>
      </c>
      <c r="J1586" s="277" t="s">
        <v>16482</v>
      </c>
      <c r="K1586" s="278">
        <v>111203.38223999999</v>
      </c>
      <c r="L1586" s="383">
        <v>3.3597000000000001</v>
      </c>
      <c r="M1586" s="384">
        <v>33099.199999999997</v>
      </c>
      <c r="N1586" s="277" t="s">
        <v>20155</v>
      </c>
      <c r="O1586" s="277" t="s">
        <v>20297</v>
      </c>
      <c r="P1586" s="890">
        <v>45404</v>
      </c>
      <c r="Q1586" s="347">
        <v>0</v>
      </c>
      <c r="R1586" s="347">
        <v>49560</v>
      </c>
      <c r="S1586" s="347">
        <v>0</v>
      </c>
      <c r="T1586" s="347">
        <v>0</v>
      </c>
      <c r="U1586" s="347">
        <v>49560</v>
      </c>
      <c r="V1586" s="348"/>
      <c r="W1586" s="349">
        <v>0</v>
      </c>
      <c r="X1586" s="349">
        <v>111203.38224000004</v>
      </c>
      <c r="Y1586" s="349">
        <v>0</v>
      </c>
      <c r="Z1586" s="349">
        <v>0</v>
      </c>
      <c r="AA1586" s="350"/>
      <c r="AB1586" s="350">
        <v>2.2438132009685239</v>
      </c>
      <c r="AC1586" s="350"/>
      <c r="AD1586" s="350"/>
      <c r="AE1586" s="349">
        <v>3835.2</v>
      </c>
      <c r="AF1586" s="349">
        <v>18138.46</v>
      </c>
      <c r="AG1586" s="349">
        <v>0.36598991121872476</v>
      </c>
      <c r="AH1586" s="351"/>
      <c r="AI1586" s="351">
        <v>1.8778232897497991</v>
      </c>
      <c r="AJ1586" s="351"/>
      <c r="AK1586" s="351"/>
      <c r="AL1586" s="352">
        <v>0</v>
      </c>
      <c r="AM1586" s="352" t="s">
        <v>20346</v>
      </c>
      <c r="AN1586" s="352">
        <v>0</v>
      </c>
      <c r="AO1586" s="352">
        <v>0</v>
      </c>
    </row>
    <row r="1587" spans="1:41" hidden="1">
      <c r="A1587" s="342">
        <v>105</v>
      </c>
      <c r="B1587" s="277" t="s">
        <v>117</v>
      </c>
      <c r="C1587" s="277">
        <v>0</v>
      </c>
      <c r="D1587" s="343" t="s">
        <v>19337</v>
      </c>
      <c r="E1587" s="277" t="s">
        <v>117</v>
      </c>
      <c r="F1587" s="344">
        <v>45397</v>
      </c>
      <c r="G1587" s="277">
        <v>2024</v>
      </c>
      <c r="H1587" s="383" t="s">
        <v>16470</v>
      </c>
      <c r="I1587" s="277" t="s">
        <v>16471</v>
      </c>
      <c r="J1587" s="277" t="s">
        <v>16401</v>
      </c>
      <c r="K1587" s="278">
        <v>618137.60210999998</v>
      </c>
      <c r="L1587" s="383">
        <v>3.1625999999999999</v>
      </c>
      <c r="M1587" s="384">
        <v>195452.35</v>
      </c>
      <c r="N1587" s="277" t="s">
        <v>20155</v>
      </c>
      <c r="O1587" s="277" t="s">
        <v>18227</v>
      </c>
      <c r="P1587" s="890">
        <v>45400</v>
      </c>
      <c r="Q1587" s="347">
        <v>11280</v>
      </c>
      <c r="R1587" s="347">
        <v>238810</v>
      </c>
      <c r="S1587" s="347">
        <v>30000</v>
      </c>
      <c r="T1587" s="347">
        <v>0</v>
      </c>
      <c r="U1587" s="347">
        <v>280090</v>
      </c>
      <c r="V1587" s="348"/>
      <c r="W1587" s="349">
        <v>26699.476894323965</v>
      </c>
      <c r="X1587" s="349">
        <v>529444.30683715467</v>
      </c>
      <c r="Y1587" s="349">
        <v>61329.672378521187</v>
      </c>
      <c r="Z1587" s="349">
        <v>0</v>
      </c>
      <c r="AA1587" s="350">
        <v>2.3669749019790749</v>
      </c>
      <c r="AB1587" s="350">
        <v>2.2170106228263249</v>
      </c>
      <c r="AC1587" s="350">
        <v>2.0443224126173729</v>
      </c>
      <c r="AD1587" s="350"/>
      <c r="AE1587" s="349">
        <v>16068.75</v>
      </c>
      <c r="AF1587" s="349">
        <v>79556</v>
      </c>
      <c r="AG1587" s="349">
        <v>0.28403727373344284</v>
      </c>
      <c r="AH1587" s="351">
        <v>2.0829376282456322</v>
      </c>
      <c r="AI1587" s="351">
        <v>1.932973349092882</v>
      </c>
      <c r="AJ1587" s="351">
        <v>1.76028513888393</v>
      </c>
      <c r="AK1587" s="351"/>
      <c r="AL1587" s="352" t="s">
        <v>20345</v>
      </c>
      <c r="AM1587" s="352" t="s">
        <v>20346</v>
      </c>
      <c r="AN1587" s="352" t="s">
        <v>20347</v>
      </c>
      <c r="AO1587" s="352">
        <v>0</v>
      </c>
    </row>
    <row r="1588" spans="1:41" hidden="1">
      <c r="A1588" s="342">
        <v>106</v>
      </c>
      <c r="B1588" s="277" t="s">
        <v>118</v>
      </c>
      <c r="C1588" s="277">
        <v>0</v>
      </c>
      <c r="D1588" s="343" t="s">
        <v>19338</v>
      </c>
      <c r="E1588" s="277" t="s">
        <v>118</v>
      </c>
      <c r="F1588" s="344">
        <v>45397</v>
      </c>
      <c r="G1588" s="277">
        <v>2024</v>
      </c>
      <c r="H1588" s="383" t="s">
        <v>16470</v>
      </c>
      <c r="I1588" s="277" t="s">
        <v>16471</v>
      </c>
      <c r="J1588" s="277" t="s">
        <v>16401</v>
      </c>
      <c r="K1588" s="278">
        <v>617013.75109749998</v>
      </c>
      <c r="L1588" s="383">
        <v>3.1568499999999999</v>
      </c>
      <c r="M1588" s="384">
        <v>195452.35</v>
      </c>
      <c r="N1588" s="277" t="s">
        <v>20155</v>
      </c>
      <c r="O1588" s="277" t="s">
        <v>18227</v>
      </c>
      <c r="P1588" s="890">
        <v>45406</v>
      </c>
      <c r="Q1588" s="347">
        <v>11280</v>
      </c>
      <c r="R1588" s="347">
        <v>238810</v>
      </c>
      <c r="S1588" s="347">
        <v>30000</v>
      </c>
      <c r="T1588" s="347">
        <v>0</v>
      </c>
      <c r="U1588" s="347">
        <v>280090</v>
      </c>
      <c r="V1588" s="348"/>
      <c r="W1588" s="349">
        <v>26650.933925835259</v>
      </c>
      <c r="X1588" s="349">
        <v>528481.71126252809</v>
      </c>
      <c r="Y1588" s="349">
        <v>61218.167409136346</v>
      </c>
      <c r="Z1588" s="349">
        <v>0</v>
      </c>
      <c r="AA1588" s="350">
        <v>2.362671447325821</v>
      </c>
      <c r="AB1588" s="350">
        <v>2.212979821877342</v>
      </c>
      <c r="AC1588" s="350">
        <v>2.0406055803045446</v>
      </c>
      <c r="AD1588" s="350"/>
      <c r="AE1588" s="349">
        <v>16101.5625</v>
      </c>
      <c r="AF1588" s="349">
        <v>80432.850000000006</v>
      </c>
      <c r="AG1588" s="349">
        <v>0.28716787461173199</v>
      </c>
      <c r="AH1588" s="351">
        <v>2.0755035727140889</v>
      </c>
      <c r="AI1588" s="351">
        <v>1.9258119472656099</v>
      </c>
      <c r="AJ1588" s="351">
        <v>1.7534377056928125</v>
      </c>
      <c r="AK1588" s="351"/>
      <c r="AL1588" s="352" t="s">
        <v>20345</v>
      </c>
      <c r="AM1588" s="352" t="s">
        <v>20346</v>
      </c>
      <c r="AN1588" s="352" t="s">
        <v>20347</v>
      </c>
      <c r="AO1588" s="352">
        <v>0</v>
      </c>
    </row>
    <row r="1589" spans="1:41" hidden="1">
      <c r="A1589" s="342">
        <v>107</v>
      </c>
      <c r="B1589" s="277" t="s">
        <v>119</v>
      </c>
      <c r="C1589" s="277">
        <v>0</v>
      </c>
      <c r="D1589" s="343" t="s">
        <v>19339</v>
      </c>
      <c r="E1589" s="277" t="s">
        <v>119</v>
      </c>
      <c r="F1589" s="344">
        <v>45397</v>
      </c>
      <c r="G1589" s="277">
        <v>2024</v>
      </c>
      <c r="H1589" s="383" t="s">
        <v>16904</v>
      </c>
      <c r="I1589" s="277" t="s">
        <v>16905</v>
      </c>
      <c r="J1589" s="277" t="s">
        <v>16482</v>
      </c>
      <c r="K1589" s="278">
        <v>80440.961130000011</v>
      </c>
      <c r="L1589" s="383">
        <v>3.3597000000000001</v>
      </c>
      <c r="M1589" s="384">
        <v>23942.9</v>
      </c>
      <c r="N1589" s="277" t="s">
        <v>20155</v>
      </c>
      <c r="O1589" s="277" t="s">
        <v>20160</v>
      </c>
      <c r="P1589" s="890">
        <v>45401</v>
      </c>
      <c r="Q1589" s="347">
        <v>0</v>
      </c>
      <c r="R1589" s="347">
        <v>18360</v>
      </c>
      <c r="S1589" s="347">
        <v>7500</v>
      </c>
      <c r="T1589" s="347">
        <v>0</v>
      </c>
      <c r="U1589" s="347">
        <v>25860</v>
      </c>
      <c r="V1589" s="348"/>
      <c r="W1589" s="349">
        <v>0</v>
      </c>
      <c r="X1589" s="349">
        <v>57325.893837076575</v>
      </c>
      <c r="Y1589" s="349">
        <v>23115.067292923435</v>
      </c>
      <c r="Z1589" s="349">
        <v>0</v>
      </c>
      <c r="AA1589" s="350"/>
      <c r="AB1589" s="350">
        <v>3.1223253723897919</v>
      </c>
      <c r="AC1589" s="350">
        <v>3.0820089723897914</v>
      </c>
      <c r="AD1589" s="350"/>
      <c r="AE1589" s="349">
        <v>3744.7249999999999</v>
      </c>
      <c r="AF1589" s="349">
        <v>16755.145</v>
      </c>
      <c r="AG1589" s="349">
        <v>0.64791744006187169</v>
      </c>
      <c r="AH1589" s="351"/>
      <c r="AI1589" s="351">
        <v>2.47440793232792</v>
      </c>
      <c r="AJ1589" s="351">
        <v>2.43409153232792</v>
      </c>
      <c r="AK1589" s="351"/>
      <c r="AL1589" s="352">
        <v>0</v>
      </c>
      <c r="AM1589" s="352">
        <v>1</v>
      </c>
      <c r="AN1589" s="352">
        <v>1</v>
      </c>
      <c r="AO1589" s="352">
        <v>0</v>
      </c>
    </row>
    <row r="1590" spans="1:41" hidden="1">
      <c r="A1590" s="342">
        <v>108</v>
      </c>
      <c r="B1590" s="277" t="s">
        <v>120</v>
      </c>
      <c r="C1590" s="277">
        <v>0</v>
      </c>
      <c r="D1590" s="343" t="s">
        <v>19340</v>
      </c>
      <c r="E1590" s="277" t="s">
        <v>120</v>
      </c>
      <c r="F1590" s="344">
        <v>45397</v>
      </c>
      <c r="G1590" s="277">
        <v>2024</v>
      </c>
      <c r="H1590" s="383" t="s">
        <v>16904</v>
      </c>
      <c r="I1590" s="277" t="s">
        <v>16905</v>
      </c>
      <c r="J1590" s="277" t="s">
        <v>16482</v>
      </c>
      <c r="K1590" s="278">
        <v>80440.961130000011</v>
      </c>
      <c r="L1590" s="383">
        <v>3.3597000000000001</v>
      </c>
      <c r="M1590" s="384">
        <v>23942.9</v>
      </c>
      <c r="N1590" s="277" t="s">
        <v>20155</v>
      </c>
      <c r="O1590" s="277" t="s">
        <v>20160</v>
      </c>
      <c r="P1590" s="890">
        <v>45401</v>
      </c>
      <c r="Q1590" s="347">
        <v>0</v>
      </c>
      <c r="R1590" s="347">
        <v>18360</v>
      </c>
      <c r="S1590" s="347">
        <v>7500</v>
      </c>
      <c r="T1590" s="347">
        <v>0</v>
      </c>
      <c r="U1590" s="347">
        <v>25860</v>
      </c>
      <c r="V1590" s="348"/>
      <c r="W1590" s="349">
        <v>0</v>
      </c>
      <c r="X1590" s="349">
        <v>57325.893837076575</v>
      </c>
      <c r="Y1590" s="349">
        <v>23115.067292923435</v>
      </c>
      <c r="Z1590" s="349">
        <v>0</v>
      </c>
      <c r="AA1590" s="350"/>
      <c r="AB1590" s="350">
        <v>3.1223253723897919</v>
      </c>
      <c r="AC1590" s="350">
        <v>3.0820089723897914</v>
      </c>
      <c r="AD1590" s="350"/>
      <c r="AE1590" s="349">
        <v>3744.7249999999999</v>
      </c>
      <c r="AF1590" s="349">
        <v>16755.145</v>
      </c>
      <c r="AG1590" s="349">
        <v>0.64791744006187169</v>
      </c>
      <c r="AH1590" s="351"/>
      <c r="AI1590" s="351">
        <v>2.47440793232792</v>
      </c>
      <c r="AJ1590" s="351">
        <v>2.43409153232792</v>
      </c>
      <c r="AK1590" s="351"/>
      <c r="AL1590" s="352">
        <v>0</v>
      </c>
      <c r="AM1590" s="352">
        <v>1</v>
      </c>
      <c r="AN1590" s="352">
        <v>1</v>
      </c>
      <c r="AO1590" s="352">
        <v>0</v>
      </c>
    </row>
    <row r="1591" spans="1:41" hidden="1">
      <c r="A1591" s="342">
        <v>109</v>
      </c>
      <c r="B1591" s="277" t="s">
        <v>121</v>
      </c>
      <c r="C1591" s="277">
        <v>0</v>
      </c>
      <c r="D1591" s="343" t="s">
        <v>19341</v>
      </c>
      <c r="E1591" s="277" t="s">
        <v>121</v>
      </c>
      <c r="F1591" s="344">
        <v>45397</v>
      </c>
      <c r="G1591" s="277">
        <v>2024</v>
      </c>
      <c r="H1591" s="383" t="s">
        <v>16384</v>
      </c>
      <c r="I1591" s="277" t="s">
        <v>16385</v>
      </c>
      <c r="J1591" s="277" t="s">
        <v>3</v>
      </c>
      <c r="K1591" s="278">
        <v>116352</v>
      </c>
      <c r="L1591" s="383">
        <v>1</v>
      </c>
      <c r="M1591" s="384">
        <v>116352</v>
      </c>
      <c r="N1591" s="277" t="s">
        <v>20155</v>
      </c>
      <c r="O1591" s="277" t="s">
        <v>18248</v>
      </c>
      <c r="P1591" s="890">
        <v>45401</v>
      </c>
      <c r="Q1591" s="347">
        <v>57600</v>
      </c>
      <c r="R1591" s="347">
        <v>0</v>
      </c>
      <c r="S1591" s="347">
        <v>0</v>
      </c>
      <c r="T1591" s="347">
        <v>0</v>
      </c>
      <c r="U1591" s="347">
        <v>57600</v>
      </c>
      <c r="V1591" s="348"/>
      <c r="W1591" s="349">
        <v>116352</v>
      </c>
      <c r="X1591" s="349">
        <v>0</v>
      </c>
      <c r="Y1591" s="349">
        <v>0</v>
      </c>
      <c r="Z1591" s="349">
        <v>0</v>
      </c>
      <c r="AA1591" s="350">
        <v>2.02</v>
      </c>
      <c r="AB1591" s="350"/>
      <c r="AC1591" s="350"/>
      <c r="AD1591" s="350"/>
      <c r="AE1591" s="349">
        <v>0</v>
      </c>
      <c r="AF1591" s="349">
        <v>0</v>
      </c>
      <c r="AG1591" s="349">
        <v>0</v>
      </c>
      <c r="AH1591" s="351">
        <v>2.02</v>
      </c>
      <c r="AI1591" s="351"/>
      <c r="AJ1591" s="351"/>
      <c r="AK1591" s="351"/>
      <c r="AL1591" s="352" t="s">
        <v>20345</v>
      </c>
      <c r="AM1591" s="352">
        <v>0</v>
      </c>
      <c r="AN1591" s="352">
        <v>0</v>
      </c>
      <c r="AO1591" s="352">
        <v>0</v>
      </c>
    </row>
    <row r="1592" spans="1:41" hidden="1">
      <c r="A1592" s="342">
        <v>110</v>
      </c>
      <c r="B1592" s="277" t="s">
        <v>122</v>
      </c>
      <c r="C1592" s="277">
        <v>0</v>
      </c>
      <c r="D1592" s="343" t="s">
        <v>19342</v>
      </c>
      <c r="E1592" s="277" t="s">
        <v>122</v>
      </c>
      <c r="F1592" s="344">
        <v>45397</v>
      </c>
      <c r="G1592" s="277">
        <v>2024</v>
      </c>
      <c r="H1592" s="383" t="s">
        <v>17226</v>
      </c>
      <c r="I1592" s="277" t="s">
        <v>17227</v>
      </c>
      <c r="J1592" s="277" t="s">
        <v>3</v>
      </c>
      <c r="K1592" s="278">
        <v>81540</v>
      </c>
      <c r="L1592" s="383">
        <v>1</v>
      </c>
      <c r="M1592" s="384">
        <v>81540</v>
      </c>
      <c r="N1592" s="277" t="s">
        <v>20155</v>
      </c>
      <c r="O1592" s="277" t="s">
        <v>17689</v>
      </c>
      <c r="P1592" s="890">
        <v>45418</v>
      </c>
      <c r="Q1592" s="347">
        <v>32400</v>
      </c>
      <c r="R1592" s="347">
        <v>0</v>
      </c>
      <c r="S1592" s="347">
        <v>0</v>
      </c>
      <c r="T1592" s="347">
        <v>0</v>
      </c>
      <c r="U1592" s="347">
        <v>32400</v>
      </c>
      <c r="V1592" s="348"/>
      <c r="W1592" s="349">
        <v>81540</v>
      </c>
      <c r="X1592" s="349">
        <v>0</v>
      </c>
      <c r="Y1592" s="349">
        <v>0</v>
      </c>
      <c r="Z1592" s="349">
        <v>0</v>
      </c>
      <c r="AA1592" s="350">
        <v>2.5166666666666666</v>
      </c>
      <c r="AB1592" s="350"/>
      <c r="AC1592" s="350"/>
      <c r="AD1592" s="350"/>
      <c r="AE1592" s="349">
        <v>0</v>
      </c>
      <c r="AF1592" s="349">
        <v>0</v>
      </c>
      <c r="AG1592" s="349">
        <v>0</v>
      </c>
      <c r="AH1592" s="351">
        <v>2.5166666666666666</v>
      </c>
      <c r="AI1592" s="351"/>
      <c r="AJ1592" s="351"/>
      <c r="AK1592" s="351"/>
      <c r="AL1592" s="352">
        <v>1</v>
      </c>
      <c r="AM1592" s="352">
        <v>0</v>
      </c>
      <c r="AN1592" s="352">
        <v>0</v>
      </c>
      <c r="AO1592" s="352">
        <v>0</v>
      </c>
    </row>
    <row r="1593" spans="1:41" hidden="1">
      <c r="A1593" s="342">
        <v>111</v>
      </c>
      <c r="B1593" s="277" t="s">
        <v>123</v>
      </c>
      <c r="C1593" s="277">
        <v>0</v>
      </c>
      <c r="D1593" s="343" t="s">
        <v>19343</v>
      </c>
      <c r="E1593" s="277" t="s">
        <v>123</v>
      </c>
      <c r="F1593" s="344">
        <v>45398</v>
      </c>
      <c r="G1593" s="277">
        <v>2024</v>
      </c>
      <c r="H1593" s="383" t="s">
        <v>16838</v>
      </c>
      <c r="I1593" s="277" t="s">
        <v>16839</v>
      </c>
      <c r="J1593" s="277" t="s">
        <v>3</v>
      </c>
      <c r="K1593" s="278">
        <v>129175.67999999999</v>
      </c>
      <c r="L1593" s="383">
        <v>1</v>
      </c>
      <c r="M1593" s="384">
        <v>129175.67999999999</v>
      </c>
      <c r="N1593" s="277" t="s">
        <v>20155</v>
      </c>
      <c r="O1593" s="277" t="s">
        <v>17949</v>
      </c>
      <c r="P1593" s="890">
        <v>45435</v>
      </c>
      <c r="Q1593" s="347">
        <v>56016</v>
      </c>
      <c r="R1593" s="347">
        <v>9600</v>
      </c>
      <c r="S1593" s="347">
        <v>0</v>
      </c>
      <c r="T1593" s="347">
        <v>0</v>
      </c>
      <c r="U1593" s="347">
        <v>65616</v>
      </c>
      <c r="V1593" s="348"/>
      <c r="W1593" s="349">
        <v>111511.67999999999</v>
      </c>
      <c r="X1593" s="349">
        <v>17664</v>
      </c>
      <c r="Y1593" s="349">
        <v>0</v>
      </c>
      <c r="Z1593" s="349">
        <v>0</v>
      </c>
      <c r="AA1593" s="350">
        <v>1.9907112253641814</v>
      </c>
      <c r="AB1593" s="350">
        <v>1.84</v>
      </c>
      <c r="AC1593" s="350"/>
      <c r="AD1593" s="350"/>
      <c r="AE1593" s="349">
        <v>0</v>
      </c>
      <c r="AF1593" s="349">
        <v>0</v>
      </c>
      <c r="AG1593" s="349">
        <v>0</v>
      </c>
      <c r="AH1593" s="351">
        <v>1.9907112253641814</v>
      </c>
      <c r="AI1593" s="351">
        <v>1.84</v>
      </c>
      <c r="AJ1593" s="351"/>
      <c r="AK1593" s="351"/>
      <c r="AL1593" s="352" t="s">
        <v>20345</v>
      </c>
      <c r="AM1593" s="352" t="s">
        <v>20346</v>
      </c>
      <c r="AN1593" s="352">
        <v>0</v>
      </c>
      <c r="AO1593" s="352">
        <v>0</v>
      </c>
    </row>
    <row r="1594" spans="1:41" hidden="1">
      <c r="A1594" s="342">
        <v>112</v>
      </c>
      <c r="B1594" s="277" t="s">
        <v>124</v>
      </c>
      <c r="C1594" s="277">
        <v>0</v>
      </c>
      <c r="D1594" s="343" t="s">
        <v>19344</v>
      </c>
      <c r="E1594" s="277" t="s">
        <v>124</v>
      </c>
      <c r="F1594" s="344">
        <v>45398</v>
      </c>
      <c r="G1594" s="277">
        <v>2024</v>
      </c>
      <c r="H1594" s="383" t="s">
        <v>17309</v>
      </c>
      <c r="I1594" s="277" t="s">
        <v>17310</v>
      </c>
      <c r="J1594" s="277" t="s">
        <v>3</v>
      </c>
      <c r="K1594" s="278">
        <v>41856</v>
      </c>
      <c r="L1594" s="383">
        <v>1</v>
      </c>
      <c r="M1594" s="384">
        <v>41856</v>
      </c>
      <c r="N1594" s="277" t="s">
        <v>20155</v>
      </c>
      <c r="O1594" s="277" t="s">
        <v>18248</v>
      </c>
      <c r="P1594" s="890">
        <v>45406</v>
      </c>
      <c r="Q1594" s="347">
        <v>19200</v>
      </c>
      <c r="R1594" s="347">
        <v>0</v>
      </c>
      <c r="S1594" s="347">
        <v>0</v>
      </c>
      <c r="T1594" s="347">
        <v>0</v>
      </c>
      <c r="U1594" s="347">
        <v>19200</v>
      </c>
      <c r="V1594" s="348"/>
      <c r="W1594" s="349">
        <v>41856</v>
      </c>
      <c r="X1594" s="349">
        <v>0</v>
      </c>
      <c r="Y1594" s="349">
        <v>0</v>
      </c>
      <c r="Z1594" s="349">
        <v>0</v>
      </c>
      <c r="AA1594" s="350">
        <v>2.1800000000000002</v>
      </c>
      <c r="AB1594" s="350"/>
      <c r="AC1594" s="350"/>
      <c r="AD1594" s="350"/>
      <c r="AE1594" s="349">
        <v>0</v>
      </c>
      <c r="AF1594" s="349">
        <v>0</v>
      </c>
      <c r="AG1594" s="349">
        <v>0</v>
      </c>
      <c r="AH1594" s="351">
        <v>2.1800000000000002</v>
      </c>
      <c r="AI1594" s="351"/>
      <c r="AJ1594" s="351"/>
      <c r="AK1594" s="351"/>
      <c r="AL1594" s="352" t="s">
        <v>20345</v>
      </c>
      <c r="AM1594" s="352">
        <v>0</v>
      </c>
      <c r="AN1594" s="352">
        <v>0</v>
      </c>
      <c r="AO1594" s="352">
        <v>0</v>
      </c>
    </row>
    <row r="1595" spans="1:41" hidden="1">
      <c r="A1595" s="342">
        <v>113</v>
      </c>
      <c r="B1595" s="277" t="s">
        <v>125</v>
      </c>
      <c r="C1595" s="277">
        <v>0</v>
      </c>
      <c r="D1595" s="343" t="s">
        <v>19345</v>
      </c>
      <c r="E1595" s="277" t="s">
        <v>125</v>
      </c>
      <c r="F1595" s="344">
        <v>45398</v>
      </c>
      <c r="G1595" s="277">
        <v>2024</v>
      </c>
      <c r="H1595" s="383" t="s">
        <v>17309</v>
      </c>
      <c r="I1595" s="277" t="s">
        <v>17310</v>
      </c>
      <c r="J1595" s="277" t="s">
        <v>3</v>
      </c>
      <c r="K1595" s="278">
        <v>41856</v>
      </c>
      <c r="L1595" s="383">
        <v>1</v>
      </c>
      <c r="M1595" s="384">
        <v>41856</v>
      </c>
      <c r="N1595" s="277" t="s">
        <v>20155</v>
      </c>
      <c r="O1595" s="277" t="s">
        <v>20373</v>
      </c>
      <c r="P1595" s="890">
        <v>45406</v>
      </c>
      <c r="Q1595" s="347">
        <v>19200</v>
      </c>
      <c r="R1595" s="347">
        <v>0</v>
      </c>
      <c r="S1595" s="347">
        <v>0</v>
      </c>
      <c r="T1595" s="347">
        <v>0</v>
      </c>
      <c r="U1595" s="347">
        <v>19200</v>
      </c>
      <c r="V1595" s="348"/>
      <c r="W1595" s="349">
        <v>41856</v>
      </c>
      <c r="X1595" s="349">
        <v>0</v>
      </c>
      <c r="Y1595" s="349">
        <v>0</v>
      </c>
      <c r="Z1595" s="349">
        <v>0</v>
      </c>
      <c r="AA1595" s="350">
        <v>2.1800000000000002</v>
      </c>
      <c r="AB1595" s="350" t="e">
        <v>#DIV/0!</v>
      </c>
      <c r="AC1595" s="350" t="e">
        <v>#DIV/0!</v>
      </c>
      <c r="AD1595" s="350" t="e">
        <v>#DIV/0!</v>
      </c>
      <c r="AE1595" s="349">
        <v>0</v>
      </c>
      <c r="AF1595" s="349">
        <v>0</v>
      </c>
      <c r="AG1595" s="349">
        <v>0</v>
      </c>
      <c r="AH1595" s="351">
        <v>2.1800000000000002</v>
      </c>
      <c r="AI1595" s="351"/>
      <c r="AJ1595" s="351"/>
      <c r="AK1595" s="351"/>
      <c r="AL1595" s="352" t="s">
        <v>20345</v>
      </c>
      <c r="AM1595" s="352">
        <v>0</v>
      </c>
      <c r="AN1595" s="352">
        <v>0</v>
      </c>
      <c r="AO1595" s="352">
        <v>0</v>
      </c>
    </row>
    <row r="1596" spans="1:41" hidden="1">
      <c r="A1596" s="342">
        <v>114</v>
      </c>
      <c r="B1596" s="277" t="s">
        <v>126</v>
      </c>
      <c r="C1596" s="277">
        <v>0</v>
      </c>
      <c r="D1596" s="343" t="s">
        <v>19346</v>
      </c>
      <c r="E1596" s="277" t="s">
        <v>126</v>
      </c>
      <c r="F1596" s="344">
        <v>45398</v>
      </c>
      <c r="G1596" s="277">
        <v>2024</v>
      </c>
      <c r="H1596" s="383" t="s">
        <v>17309</v>
      </c>
      <c r="I1596" s="277" t="s">
        <v>17310</v>
      </c>
      <c r="J1596" s="277" t="s">
        <v>3</v>
      </c>
      <c r="K1596" s="278">
        <v>44700</v>
      </c>
      <c r="L1596" s="383">
        <v>1</v>
      </c>
      <c r="M1596" s="384">
        <v>44700</v>
      </c>
      <c r="N1596" s="277" t="s">
        <v>20155</v>
      </c>
      <c r="O1596" s="277" t="s">
        <v>17854</v>
      </c>
      <c r="P1596" s="890">
        <v>45406</v>
      </c>
      <c r="Q1596" s="347">
        <v>21000</v>
      </c>
      <c r="R1596" s="347">
        <v>0</v>
      </c>
      <c r="S1596" s="347">
        <v>0</v>
      </c>
      <c r="T1596" s="347">
        <v>0</v>
      </c>
      <c r="U1596" s="347">
        <v>21000</v>
      </c>
      <c r="V1596" s="348"/>
      <c r="W1596" s="349">
        <v>44700</v>
      </c>
      <c r="X1596" s="349">
        <v>0</v>
      </c>
      <c r="Y1596" s="349">
        <v>0</v>
      </c>
      <c r="Z1596" s="349">
        <v>0</v>
      </c>
      <c r="AA1596" s="350">
        <v>2.1285714285714286</v>
      </c>
      <c r="AB1596" s="350"/>
      <c r="AC1596" s="350"/>
      <c r="AD1596" s="350"/>
      <c r="AE1596" s="349">
        <v>0</v>
      </c>
      <c r="AF1596" s="349">
        <v>0</v>
      </c>
      <c r="AG1596" s="349">
        <v>0</v>
      </c>
      <c r="AH1596" s="351">
        <v>2.1285714285714286</v>
      </c>
      <c r="AI1596" s="351"/>
      <c r="AJ1596" s="351"/>
      <c r="AK1596" s="351"/>
      <c r="AL1596" s="352" t="s">
        <v>20345</v>
      </c>
      <c r="AM1596" s="352">
        <v>0</v>
      </c>
      <c r="AN1596" s="352">
        <v>0</v>
      </c>
      <c r="AO1596" s="352">
        <v>0</v>
      </c>
    </row>
    <row r="1597" spans="1:41" hidden="1">
      <c r="A1597" s="342">
        <v>115</v>
      </c>
      <c r="B1597" s="277" t="s">
        <v>127</v>
      </c>
      <c r="C1597" s="277">
        <v>0</v>
      </c>
      <c r="D1597" s="343" t="s">
        <v>19347</v>
      </c>
      <c r="E1597" s="277" t="s">
        <v>127</v>
      </c>
      <c r="F1597" s="344">
        <v>45398</v>
      </c>
      <c r="G1597" s="277">
        <v>2024</v>
      </c>
      <c r="H1597" s="383" t="s">
        <v>17309</v>
      </c>
      <c r="I1597" s="277" t="s">
        <v>17310</v>
      </c>
      <c r="J1597" s="277" t="s">
        <v>3</v>
      </c>
      <c r="K1597" s="278">
        <v>871395</v>
      </c>
      <c r="L1597" s="383">
        <v>1</v>
      </c>
      <c r="M1597" s="384">
        <v>871395</v>
      </c>
      <c r="N1597" s="277" t="s">
        <v>20155</v>
      </c>
      <c r="O1597" s="277" t="s">
        <v>20321</v>
      </c>
      <c r="P1597" s="890">
        <v>45411</v>
      </c>
      <c r="Q1597" s="347">
        <v>173250</v>
      </c>
      <c r="R1597" s="347">
        <v>15000</v>
      </c>
      <c r="S1597" s="347">
        <v>300000</v>
      </c>
      <c r="T1597" s="347">
        <v>0</v>
      </c>
      <c r="U1597" s="347">
        <v>488250</v>
      </c>
      <c r="V1597" s="348"/>
      <c r="W1597" s="349">
        <v>350895</v>
      </c>
      <c r="X1597" s="349">
        <v>25500</v>
      </c>
      <c r="Y1597" s="349">
        <v>495000</v>
      </c>
      <c r="Z1597" s="349">
        <v>0</v>
      </c>
      <c r="AA1597" s="350">
        <v>2.0253679653679653</v>
      </c>
      <c r="AB1597" s="350">
        <v>1.7</v>
      </c>
      <c r="AC1597" s="350">
        <v>1.65</v>
      </c>
      <c r="AD1597" s="350"/>
      <c r="AE1597" s="349">
        <v>0</v>
      </c>
      <c r="AF1597" s="349">
        <v>0</v>
      </c>
      <c r="AG1597" s="349">
        <v>0</v>
      </c>
      <c r="AH1597" s="351">
        <v>2.0253679653679653</v>
      </c>
      <c r="AI1597" s="351">
        <v>1.7</v>
      </c>
      <c r="AJ1597" s="351">
        <v>1.65</v>
      </c>
      <c r="AK1597" s="351">
        <v>0</v>
      </c>
      <c r="AL1597" s="352" t="s">
        <v>20345</v>
      </c>
      <c r="AM1597" s="352" t="s">
        <v>20348</v>
      </c>
      <c r="AN1597" s="352" t="s">
        <v>20347</v>
      </c>
      <c r="AO1597" s="352">
        <v>0</v>
      </c>
    </row>
    <row r="1598" spans="1:41" hidden="1">
      <c r="A1598" s="342">
        <v>116</v>
      </c>
      <c r="B1598" s="277" t="s">
        <v>128</v>
      </c>
      <c r="C1598" s="277">
        <v>0</v>
      </c>
      <c r="D1598" s="343" t="s">
        <v>19348</v>
      </c>
      <c r="E1598" s="277" t="s">
        <v>128</v>
      </c>
      <c r="F1598" s="344">
        <v>45398</v>
      </c>
      <c r="G1598" s="277">
        <v>2024</v>
      </c>
      <c r="H1598" s="383" t="s">
        <v>16957</v>
      </c>
      <c r="I1598" s="277" t="s">
        <v>16958</v>
      </c>
      <c r="J1598" s="277" t="s">
        <v>16401</v>
      </c>
      <c r="K1598" s="278">
        <v>110046.212575</v>
      </c>
      <c r="L1598" s="383">
        <v>3.1568499999999999</v>
      </c>
      <c r="M1598" s="384">
        <v>34859.5</v>
      </c>
      <c r="N1598" s="277" t="s">
        <v>20155</v>
      </c>
      <c r="O1598" s="277" t="s">
        <v>20161</v>
      </c>
      <c r="P1598" s="890">
        <v>45404</v>
      </c>
      <c r="Q1598" s="347">
        <v>40300</v>
      </c>
      <c r="R1598" s="347">
        <v>0</v>
      </c>
      <c r="S1598" s="347">
        <v>0</v>
      </c>
      <c r="T1598" s="347">
        <v>0</v>
      </c>
      <c r="U1598" s="347">
        <v>40300</v>
      </c>
      <c r="V1598" s="348"/>
      <c r="W1598" s="349">
        <v>110046.212575</v>
      </c>
      <c r="X1598" s="349">
        <v>0</v>
      </c>
      <c r="Y1598" s="349">
        <v>0</v>
      </c>
      <c r="Z1598" s="349">
        <v>0</v>
      </c>
      <c r="AA1598" s="350">
        <v>2.73067525</v>
      </c>
      <c r="AB1598" s="350"/>
      <c r="AC1598" s="350"/>
      <c r="AD1598" s="350"/>
      <c r="AE1598" s="349">
        <v>1777.665</v>
      </c>
      <c r="AF1598" s="349">
        <v>15106.004999999999</v>
      </c>
      <c r="AG1598" s="349">
        <v>0.37483883374689825</v>
      </c>
      <c r="AH1598" s="351">
        <v>2.3558364162531018</v>
      </c>
      <c r="AI1598" s="351"/>
      <c r="AJ1598" s="351"/>
      <c r="AK1598" s="351"/>
      <c r="AL1598" s="352" t="s">
        <v>20345</v>
      </c>
      <c r="AM1598" s="352">
        <v>0</v>
      </c>
      <c r="AN1598" s="352">
        <v>0</v>
      </c>
      <c r="AO1598" s="352">
        <v>0</v>
      </c>
    </row>
    <row r="1599" spans="1:41" hidden="1">
      <c r="A1599" s="342">
        <v>117</v>
      </c>
      <c r="B1599" s="277" t="s">
        <v>129</v>
      </c>
      <c r="C1599" s="277">
        <v>0</v>
      </c>
      <c r="D1599" s="343" t="s">
        <v>19349</v>
      </c>
      <c r="E1599" s="277" t="s">
        <v>129</v>
      </c>
      <c r="F1599" s="344">
        <v>45404</v>
      </c>
      <c r="G1599" s="277">
        <v>2024</v>
      </c>
      <c r="H1599" s="383" t="s">
        <v>17299</v>
      </c>
      <c r="I1599" s="277" t="s">
        <v>17300</v>
      </c>
      <c r="J1599" s="277" t="s">
        <v>16482</v>
      </c>
      <c r="K1599" s="278">
        <v>301410.87690000003</v>
      </c>
      <c r="L1599" s="383">
        <v>3.38565</v>
      </c>
      <c r="M1599" s="384">
        <v>89026</v>
      </c>
      <c r="N1599" s="277" t="s">
        <v>20155</v>
      </c>
      <c r="O1599" s="277" t="s">
        <v>20321</v>
      </c>
      <c r="P1599" s="890" t="s">
        <v>20374</v>
      </c>
      <c r="Q1599" s="347">
        <v>134400</v>
      </c>
      <c r="R1599" s="347">
        <v>0</v>
      </c>
      <c r="S1599" s="347">
        <v>0</v>
      </c>
      <c r="T1599" s="347">
        <v>0</v>
      </c>
      <c r="U1599" s="347">
        <v>134400</v>
      </c>
      <c r="V1599" s="348"/>
      <c r="W1599" s="349">
        <v>301410.87689999997</v>
      </c>
      <c r="X1599" s="349">
        <v>0</v>
      </c>
      <c r="Y1599" s="349">
        <v>0</v>
      </c>
      <c r="Z1599" s="349">
        <v>0</v>
      </c>
      <c r="AA1599" s="350">
        <v>2.2426404531249999</v>
      </c>
      <c r="AB1599" s="350"/>
      <c r="AC1599" s="350"/>
      <c r="AD1599" s="350"/>
      <c r="AE1599" s="349">
        <v>6666.375</v>
      </c>
      <c r="AF1599" s="349">
        <v>73925.850000000006</v>
      </c>
      <c r="AG1599" s="349">
        <v>0.55004352678571433</v>
      </c>
      <c r="AH1599" s="351">
        <v>1.6925969263392857</v>
      </c>
      <c r="AI1599" s="351"/>
      <c r="AJ1599" s="351"/>
      <c r="AK1599" s="351"/>
      <c r="AL1599" s="352" t="s">
        <v>20345</v>
      </c>
      <c r="AM1599" s="352">
        <v>0</v>
      </c>
      <c r="AN1599" s="352">
        <v>0</v>
      </c>
      <c r="AO1599" s="352">
        <v>0</v>
      </c>
    </row>
    <row r="1600" spans="1:41" hidden="1">
      <c r="A1600" s="342">
        <v>118</v>
      </c>
      <c r="B1600" s="277" t="s">
        <v>130</v>
      </c>
      <c r="C1600" s="277">
        <v>0</v>
      </c>
      <c r="D1600" s="343" t="s">
        <v>19350</v>
      </c>
      <c r="E1600" s="277" t="s">
        <v>130</v>
      </c>
      <c r="F1600" s="344">
        <v>45405</v>
      </c>
      <c r="G1600" s="277">
        <v>2024</v>
      </c>
      <c r="H1600" s="383" t="s">
        <v>16643</v>
      </c>
      <c r="I1600" s="277" t="s">
        <v>16644</v>
      </c>
      <c r="J1600" s="277" t="s">
        <v>16482</v>
      </c>
      <c r="K1600" s="278">
        <v>90351.1829</v>
      </c>
      <c r="L1600" s="383">
        <v>3.3690500000000001</v>
      </c>
      <c r="M1600" s="384">
        <v>26818</v>
      </c>
      <c r="N1600" s="277" t="s">
        <v>20155</v>
      </c>
      <c r="O1600" s="277" t="s">
        <v>18227</v>
      </c>
      <c r="P1600" s="890">
        <v>45414</v>
      </c>
      <c r="Q1600" s="347">
        <v>0</v>
      </c>
      <c r="R1600" s="347">
        <v>40800</v>
      </c>
      <c r="S1600" s="347">
        <v>0</v>
      </c>
      <c r="T1600" s="347">
        <v>0</v>
      </c>
      <c r="U1600" s="347">
        <v>40800</v>
      </c>
      <c r="V1600" s="348"/>
      <c r="W1600" s="349">
        <v>0</v>
      </c>
      <c r="X1600" s="349">
        <v>90351.1829</v>
      </c>
      <c r="Y1600" s="349">
        <v>0</v>
      </c>
      <c r="Z1600" s="349">
        <v>0</v>
      </c>
      <c r="AA1600" s="350"/>
      <c r="AB1600" s="350">
        <v>2.2144897769607845</v>
      </c>
      <c r="AC1600" s="350"/>
      <c r="AD1600" s="350"/>
      <c r="AE1600" s="349">
        <v>2134.35</v>
      </c>
      <c r="AF1600" s="349">
        <v>11180.4</v>
      </c>
      <c r="AG1600" s="349">
        <v>0.27402941176470585</v>
      </c>
      <c r="AH1600" s="351"/>
      <c r="AI1600" s="351">
        <v>1.9404603651960786</v>
      </c>
      <c r="AJ1600" s="351"/>
      <c r="AK1600" s="351"/>
      <c r="AL1600" s="352">
        <v>0</v>
      </c>
      <c r="AM1600" s="352" t="s">
        <v>20346</v>
      </c>
      <c r="AN1600" s="352">
        <v>0</v>
      </c>
      <c r="AO1600" s="352">
        <v>0</v>
      </c>
    </row>
    <row r="1601" spans="1:41" hidden="1">
      <c r="A1601" s="342">
        <v>119</v>
      </c>
      <c r="B1601" s="277" t="s">
        <v>131</v>
      </c>
      <c r="C1601" s="277">
        <v>0</v>
      </c>
      <c r="D1601" s="343" t="s">
        <v>19351</v>
      </c>
      <c r="E1601" s="277" t="s">
        <v>131</v>
      </c>
      <c r="F1601" s="344">
        <v>45405</v>
      </c>
      <c r="G1601" s="277">
        <v>2024</v>
      </c>
      <c r="H1601" s="383" t="s">
        <v>17372</v>
      </c>
      <c r="I1601" s="277" t="s">
        <v>17373</v>
      </c>
      <c r="J1601" s="277" t="s">
        <v>16401</v>
      </c>
      <c r="K1601" s="278">
        <v>53217.233</v>
      </c>
      <c r="L1601" s="383">
        <v>3.1103000000000001</v>
      </c>
      <c r="M1601" s="384">
        <v>17110</v>
      </c>
      <c r="N1601" s="277" t="s">
        <v>20155</v>
      </c>
      <c r="O1601" s="277" t="s">
        <v>20319</v>
      </c>
      <c r="P1601" s="890">
        <v>45450</v>
      </c>
      <c r="Q1601" s="347">
        <v>3000</v>
      </c>
      <c r="R1601" s="347">
        <v>16800</v>
      </c>
      <c r="S1601" s="347">
        <v>6240</v>
      </c>
      <c r="T1601" s="347">
        <v>500</v>
      </c>
      <c r="U1601" s="347">
        <v>26540</v>
      </c>
      <c r="V1601" s="348"/>
      <c r="W1601" s="349">
        <v>6158.3939999999993</v>
      </c>
      <c r="X1601" s="349">
        <v>32023.648799999995</v>
      </c>
      <c r="Y1601" s="349">
        <v>10189.342799999999</v>
      </c>
      <c r="Z1601" s="349">
        <v>4845.8473999999987</v>
      </c>
      <c r="AA1601" s="350">
        <v>2.0527979999999997</v>
      </c>
      <c r="AB1601" s="350">
        <v>1.9061695714285711</v>
      </c>
      <c r="AC1601" s="350">
        <v>1.6329074999999997</v>
      </c>
      <c r="AD1601" s="350">
        <v>9.6916947999999969</v>
      </c>
      <c r="AE1601" s="349">
        <v>0</v>
      </c>
      <c r="AF1601" s="349">
        <v>2059.56</v>
      </c>
      <c r="AG1601" s="349">
        <v>7.7602110022607376E-2</v>
      </c>
      <c r="AH1601" s="351">
        <v>1.9751958899773923</v>
      </c>
      <c r="AI1601" s="351">
        <v>1.8285674614059637</v>
      </c>
      <c r="AJ1601" s="351">
        <v>1.5553053899773923</v>
      </c>
      <c r="AK1601" s="351">
        <v>9.6140926899773902</v>
      </c>
      <c r="AL1601" s="352" t="s">
        <v>20345</v>
      </c>
      <c r="AM1601" s="352" t="s">
        <v>20348</v>
      </c>
      <c r="AN1601" s="352" t="s">
        <v>20347</v>
      </c>
      <c r="AO1601" s="352">
        <v>1</v>
      </c>
    </row>
    <row r="1602" spans="1:41" hidden="1">
      <c r="A1602" s="342">
        <v>120</v>
      </c>
      <c r="B1602" s="277" t="s">
        <v>132</v>
      </c>
      <c r="C1602" s="277">
        <v>0</v>
      </c>
      <c r="D1602" s="343" t="s">
        <v>19353</v>
      </c>
      <c r="E1602" s="277" t="s">
        <v>132</v>
      </c>
      <c r="F1602" s="344">
        <v>45407</v>
      </c>
      <c r="G1602" s="277">
        <v>2024</v>
      </c>
      <c r="H1602" s="383" t="s">
        <v>17017</v>
      </c>
      <c r="I1602" s="277" t="s">
        <v>17018</v>
      </c>
      <c r="J1602" s="277" t="s">
        <v>3</v>
      </c>
      <c r="K1602" s="278">
        <v>60252.800000000003</v>
      </c>
      <c r="L1602" s="383">
        <v>1</v>
      </c>
      <c r="M1602" s="384">
        <v>60252.800000000003</v>
      </c>
      <c r="N1602" s="277" t="s">
        <v>20155</v>
      </c>
      <c r="O1602" s="277" t="s">
        <v>20368</v>
      </c>
      <c r="P1602" s="890">
        <v>45415</v>
      </c>
      <c r="Q1602" s="347">
        <v>2880</v>
      </c>
      <c r="R1602" s="347">
        <v>7584</v>
      </c>
      <c r="S1602" s="347">
        <v>6000</v>
      </c>
      <c r="T1602" s="347">
        <v>2720</v>
      </c>
      <c r="U1602" s="347">
        <v>19184</v>
      </c>
      <c r="V1602" s="348"/>
      <c r="W1602" s="349">
        <v>7776</v>
      </c>
      <c r="X1602" s="349">
        <v>19612.8</v>
      </c>
      <c r="Y1602" s="349">
        <v>15600</v>
      </c>
      <c r="Z1602" s="349">
        <v>17264</v>
      </c>
      <c r="AA1602" s="350">
        <v>2.7</v>
      </c>
      <c r="AB1602" s="350">
        <v>2.5860759493670886</v>
      </c>
      <c r="AC1602" s="350">
        <v>2.6</v>
      </c>
      <c r="AD1602" s="350">
        <v>6.3470588235294114</v>
      </c>
      <c r="AE1602" s="349">
        <v>0</v>
      </c>
      <c r="AF1602" s="349">
        <v>0</v>
      </c>
      <c r="AG1602" s="349">
        <v>0</v>
      </c>
      <c r="AH1602" s="351">
        <v>2.7</v>
      </c>
      <c r="AI1602" s="351">
        <v>2.5860759493670886</v>
      </c>
      <c r="AJ1602" s="351">
        <v>2.6</v>
      </c>
      <c r="AK1602" s="351">
        <v>6.3470588235294114</v>
      </c>
      <c r="AL1602" s="352">
        <v>1</v>
      </c>
      <c r="AM1602" s="352">
        <v>1</v>
      </c>
      <c r="AN1602" s="352">
        <v>1</v>
      </c>
      <c r="AO1602" s="352">
        <v>1</v>
      </c>
    </row>
    <row r="1603" spans="1:41" hidden="1">
      <c r="A1603" s="342">
        <v>121</v>
      </c>
      <c r="B1603" s="277" t="s">
        <v>133</v>
      </c>
      <c r="C1603" s="277">
        <v>0</v>
      </c>
      <c r="D1603" s="343" t="s">
        <v>19354</v>
      </c>
      <c r="E1603" s="277" t="s">
        <v>133</v>
      </c>
      <c r="F1603" s="344">
        <v>45407</v>
      </c>
      <c r="G1603" s="277">
        <v>2024</v>
      </c>
      <c r="H1603" s="383" t="s">
        <v>16880</v>
      </c>
      <c r="I1603" s="277" t="s">
        <v>16881</v>
      </c>
      <c r="J1603" s="277" t="s">
        <v>16401</v>
      </c>
      <c r="K1603" s="278">
        <v>89321.490730999998</v>
      </c>
      <c r="L1603" s="383">
        <v>3.1360999999999999</v>
      </c>
      <c r="M1603" s="384">
        <v>28481.71</v>
      </c>
      <c r="N1603" s="277" t="s">
        <v>20155</v>
      </c>
      <c r="O1603" s="277" t="s">
        <v>20156</v>
      </c>
      <c r="P1603" s="890">
        <v>45419</v>
      </c>
      <c r="Q1603" s="347">
        <v>5288</v>
      </c>
      <c r="R1603" s="347">
        <v>15320</v>
      </c>
      <c r="S1603" s="347">
        <v>0</v>
      </c>
      <c r="T1603" s="347">
        <v>0</v>
      </c>
      <c r="U1603" s="347">
        <v>20608</v>
      </c>
      <c r="V1603" s="348"/>
      <c r="W1603" s="349">
        <v>17822.8828096</v>
      </c>
      <c r="X1603" s="349">
        <v>71498.595377000005</v>
      </c>
      <c r="Y1603" s="349">
        <v>0</v>
      </c>
      <c r="Z1603" s="349">
        <v>0</v>
      </c>
      <c r="AA1603" s="350">
        <v>3.370439260514372</v>
      </c>
      <c r="AB1603" s="350">
        <v>4.6670101421018284</v>
      </c>
      <c r="AC1603" s="350"/>
      <c r="AD1603" s="350"/>
      <c r="AE1603" s="349">
        <v>0</v>
      </c>
      <c r="AF1603" s="349">
        <v>2274.37</v>
      </c>
      <c r="AG1603" s="349">
        <v>0.11036345108695651</v>
      </c>
      <c r="AH1603" s="351">
        <v>3.2600758094274154</v>
      </c>
      <c r="AI1603" s="351">
        <v>4.5566466910148717</v>
      </c>
      <c r="AJ1603" s="351"/>
      <c r="AK1603" s="351"/>
      <c r="AL1603" s="352">
        <v>1</v>
      </c>
      <c r="AM1603" s="352">
        <v>1</v>
      </c>
      <c r="AN1603" s="352">
        <v>0</v>
      </c>
      <c r="AO1603" s="352">
        <v>0</v>
      </c>
    </row>
    <row r="1604" spans="1:41" hidden="1">
      <c r="A1604" s="342">
        <v>122</v>
      </c>
      <c r="B1604" s="277" t="s">
        <v>134</v>
      </c>
      <c r="C1604" s="277">
        <v>0</v>
      </c>
      <c r="D1604" s="343" t="s">
        <v>19355</v>
      </c>
      <c r="E1604" s="277" t="s">
        <v>134</v>
      </c>
      <c r="F1604" s="344">
        <v>45408</v>
      </c>
      <c r="G1604" s="277">
        <v>2024</v>
      </c>
      <c r="H1604" s="383" t="s">
        <v>16384</v>
      </c>
      <c r="I1604" s="277" t="s">
        <v>16385</v>
      </c>
      <c r="J1604" s="277" t="s">
        <v>3</v>
      </c>
      <c r="K1604" s="278">
        <v>44622.48</v>
      </c>
      <c r="L1604" s="383">
        <v>1</v>
      </c>
      <c r="M1604" s="384">
        <v>44622.48</v>
      </c>
      <c r="N1604" s="277" t="s">
        <v>20155</v>
      </c>
      <c r="O1604" s="277" t="s">
        <v>18094</v>
      </c>
      <c r="P1604" s="890">
        <v>45415</v>
      </c>
      <c r="Q1604" s="347">
        <v>22008</v>
      </c>
      <c r="R1604" s="347">
        <v>0</v>
      </c>
      <c r="S1604" s="347">
        <v>0</v>
      </c>
      <c r="T1604" s="347">
        <v>0</v>
      </c>
      <c r="U1604" s="347">
        <v>22008</v>
      </c>
      <c r="V1604" s="348"/>
      <c r="W1604" s="349">
        <v>44622.48</v>
      </c>
      <c r="X1604" s="349">
        <v>0</v>
      </c>
      <c r="Y1604" s="349">
        <v>0</v>
      </c>
      <c r="Z1604" s="349">
        <v>0</v>
      </c>
      <c r="AA1604" s="350">
        <v>2.0275572519083971</v>
      </c>
      <c r="AB1604" s="350"/>
      <c r="AC1604" s="350"/>
      <c r="AD1604" s="350"/>
      <c r="AE1604" s="349">
        <v>0</v>
      </c>
      <c r="AF1604" s="349">
        <v>0</v>
      </c>
      <c r="AG1604" s="349">
        <v>0</v>
      </c>
      <c r="AH1604" s="351">
        <v>2.0275572519083971</v>
      </c>
      <c r="AI1604" s="351"/>
      <c r="AJ1604" s="351"/>
      <c r="AK1604" s="351"/>
      <c r="AL1604" s="352" t="s">
        <v>20345</v>
      </c>
      <c r="AM1604" s="352">
        <v>0</v>
      </c>
      <c r="AN1604" s="352">
        <v>0</v>
      </c>
      <c r="AO1604" s="352">
        <v>0</v>
      </c>
    </row>
    <row r="1605" spans="1:41" hidden="1">
      <c r="A1605" s="342">
        <v>123</v>
      </c>
      <c r="B1605" s="277" t="s">
        <v>135</v>
      </c>
      <c r="C1605" s="277">
        <v>0</v>
      </c>
      <c r="D1605" s="343" t="s">
        <v>19356</v>
      </c>
      <c r="E1605" s="277" t="s">
        <v>135</v>
      </c>
      <c r="F1605" s="344">
        <v>45408</v>
      </c>
      <c r="G1605" s="277">
        <v>2024</v>
      </c>
      <c r="H1605" s="383" t="s">
        <v>16838</v>
      </c>
      <c r="I1605" s="277" t="s">
        <v>16839</v>
      </c>
      <c r="J1605" s="277" t="s">
        <v>3</v>
      </c>
      <c r="K1605" s="278">
        <v>88472.16</v>
      </c>
      <c r="L1605" s="383">
        <v>1</v>
      </c>
      <c r="M1605" s="384">
        <v>88472.16</v>
      </c>
      <c r="N1605" s="277" t="s">
        <v>20155</v>
      </c>
      <c r="O1605" s="277" t="s">
        <v>17949</v>
      </c>
      <c r="P1605" s="890">
        <v>45412</v>
      </c>
      <c r="Q1605" s="347">
        <v>44016</v>
      </c>
      <c r="R1605" s="347">
        <v>0</v>
      </c>
      <c r="S1605" s="347">
        <v>0</v>
      </c>
      <c r="T1605" s="347">
        <v>0</v>
      </c>
      <c r="U1605" s="347">
        <v>44016</v>
      </c>
      <c r="V1605" s="348"/>
      <c r="W1605" s="349">
        <v>88472.16</v>
      </c>
      <c r="X1605" s="349">
        <v>0</v>
      </c>
      <c r="Y1605" s="349">
        <v>0</v>
      </c>
      <c r="Z1605" s="349">
        <v>0</v>
      </c>
      <c r="AA1605" s="350">
        <v>2.0100000000000002</v>
      </c>
      <c r="AB1605" s="350"/>
      <c r="AC1605" s="350"/>
      <c r="AD1605" s="350"/>
      <c r="AE1605" s="349">
        <v>0</v>
      </c>
      <c r="AF1605" s="349">
        <v>0</v>
      </c>
      <c r="AG1605" s="349">
        <v>0</v>
      </c>
      <c r="AH1605" s="351">
        <v>2.0100000000000002</v>
      </c>
      <c r="AI1605" s="351"/>
      <c r="AJ1605" s="351"/>
      <c r="AK1605" s="351"/>
      <c r="AL1605" s="352" t="s">
        <v>20345</v>
      </c>
      <c r="AM1605" s="352">
        <v>0</v>
      </c>
      <c r="AN1605" s="352">
        <v>0</v>
      </c>
      <c r="AO1605" s="352">
        <v>0</v>
      </c>
    </row>
    <row r="1606" spans="1:41" hidden="1">
      <c r="A1606" s="342">
        <v>124</v>
      </c>
      <c r="B1606" s="277" t="s">
        <v>136</v>
      </c>
      <c r="C1606" s="277">
        <v>0</v>
      </c>
      <c r="D1606" s="343" t="s">
        <v>19357</v>
      </c>
      <c r="E1606" s="277" t="s">
        <v>136</v>
      </c>
      <c r="F1606" s="344">
        <v>45408</v>
      </c>
      <c r="G1606" s="277">
        <v>2024</v>
      </c>
      <c r="H1606" s="383" t="s">
        <v>17309</v>
      </c>
      <c r="I1606" s="277" t="s">
        <v>17310</v>
      </c>
      <c r="J1606" s="277" t="s">
        <v>3</v>
      </c>
      <c r="K1606" s="278">
        <v>43430</v>
      </c>
      <c r="L1606" s="383">
        <v>1</v>
      </c>
      <c r="M1606" s="384">
        <v>43430</v>
      </c>
      <c r="N1606" s="277" t="s">
        <v>20155</v>
      </c>
      <c r="O1606" s="277" t="s">
        <v>18227</v>
      </c>
      <c r="P1606" s="890">
        <v>45412</v>
      </c>
      <c r="Q1606" s="347">
        <v>0</v>
      </c>
      <c r="R1606" s="347">
        <v>0</v>
      </c>
      <c r="S1606" s="347">
        <v>26000</v>
      </c>
      <c r="T1606" s="347">
        <v>0</v>
      </c>
      <c r="U1606" s="347">
        <v>26000</v>
      </c>
      <c r="V1606" s="348"/>
      <c r="W1606" s="349">
        <v>0</v>
      </c>
      <c r="X1606" s="349">
        <v>0</v>
      </c>
      <c r="Y1606" s="349">
        <v>43430</v>
      </c>
      <c r="Z1606" s="349">
        <v>0</v>
      </c>
      <c r="AA1606" s="350"/>
      <c r="AB1606" s="350"/>
      <c r="AC1606" s="350">
        <v>1.6703846153846154</v>
      </c>
      <c r="AD1606" s="350"/>
      <c r="AE1606" s="349">
        <v>0</v>
      </c>
      <c r="AF1606" s="349">
        <v>0</v>
      </c>
      <c r="AG1606" s="349">
        <v>0</v>
      </c>
      <c r="AH1606" s="351"/>
      <c r="AI1606" s="351"/>
      <c r="AJ1606" s="351">
        <v>1.6703846153846154</v>
      </c>
      <c r="AK1606" s="351"/>
      <c r="AL1606" s="352">
        <v>0</v>
      </c>
      <c r="AM1606" s="352">
        <v>0</v>
      </c>
      <c r="AN1606" s="352" t="s">
        <v>20347</v>
      </c>
      <c r="AO1606" s="352">
        <v>0</v>
      </c>
    </row>
    <row r="1607" spans="1:41" hidden="1">
      <c r="A1607" s="342">
        <v>125</v>
      </c>
      <c r="B1607" s="277" t="s">
        <v>137</v>
      </c>
      <c r="C1607" s="277">
        <v>0</v>
      </c>
      <c r="D1607" s="343" t="s">
        <v>19358</v>
      </c>
      <c r="E1607" s="277" t="s">
        <v>137</v>
      </c>
      <c r="F1607" s="344">
        <v>45408</v>
      </c>
      <c r="G1607" s="277">
        <v>2024</v>
      </c>
      <c r="H1607" s="383" t="s">
        <v>16444</v>
      </c>
      <c r="I1607" s="277" t="s">
        <v>16445</v>
      </c>
      <c r="J1607" s="277" t="s">
        <v>3</v>
      </c>
      <c r="K1607" s="278">
        <v>87696</v>
      </c>
      <c r="L1607" s="383">
        <v>1</v>
      </c>
      <c r="M1607" s="384">
        <v>87696</v>
      </c>
      <c r="N1607" s="277" t="s">
        <v>20155</v>
      </c>
      <c r="O1607" s="277" t="s">
        <v>20173</v>
      </c>
      <c r="P1607" s="890">
        <v>45414</v>
      </c>
      <c r="Q1607" s="347">
        <v>43200</v>
      </c>
      <c r="R1607" s="347">
        <v>0</v>
      </c>
      <c r="S1607" s="347">
        <v>0</v>
      </c>
      <c r="T1607" s="347">
        <v>0</v>
      </c>
      <c r="U1607" s="347">
        <v>43200</v>
      </c>
      <c r="V1607" s="348"/>
      <c r="W1607" s="349">
        <v>87696</v>
      </c>
      <c r="X1607" s="349">
        <v>0</v>
      </c>
      <c r="Y1607" s="349">
        <v>0</v>
      </c>
      <c r="Z1607" s="349">
        <v>0</v>
      </c>
      <c r="AA1607" s="350">
        <v>2.0299999999999998</v>
      </c>
      <c r="AB1607" s="350"/>
      <c r="AC1607" s="350"/>
      <c r="AD1607" s="350"/>
      <c r="AE1607" s="349">
        <v>0</v>
      </c>
      <c r="AF1607" s="349">
        <v>0</v>
      </c>
      <c r="AG1607" s="349">
        <v>0</v>
      </c>
      <c r="AH1607" s="351">
        <v>2.0299999999999998</v>
      </c>
      <c r="AI1607" s="351"/>
      <c r="AJ1607" s="351"/>
      <c r="AK1607" s="351"/>
      <c r="AL1607" s="352" t="s">
        <v>20345</v>
      </c>
      <c r="AM1607" s="352">
        <v>0</v>
      </c>
      <c r="AN1607" s="352">
        <v>0</v>
      </c>
      <c r="AO1607" s="352">
        <v>0</v>
      </c>
    </row>
    <row r="1608" spans="1:41" hidden="1">
      <c r="A1608" s="342">
        <v>126</v>
      </c>
      <c r="B1608" s="277" t="s">
        <v>138</v>
      </c>
      <c r="C1608" s="277">
        <v>0</v>
      </c>
      <c r="D1608" s="343" t="s">
        <v>19359</v>
      </c>
      <c r="E1608" s="277" t="s">
        <v>138</v>
      </c>
      <c r="F1608" s="344">
        <v>45415</v>
      </c>
      <c r="G1608" s="277">
        <v>2024</v>
      </c>
      <c r="H1608" s="383" t="s">
        <v>16384</v>
      </c>
      <c r="I1608" s="277" t="s">
        <v>16385</v>
      </c>
      <c r="J1608" s="277" t="s">
        <v>3</v>
      </c>
      <c r="K1608" s="278">
        <v>78720</v>
      </c>
      <c r="L1608" s="383">
        <v>1</v>
      </c>
      <c r="M1608" s="384">
        <v>78720</v>
      </c>
      <c r="N1608" s="277" t="s">
        <v>20155</v>
      </c>
      <c r="O1608" s="277" t="s">
        <v>17965</v>
      </c>
      <c r="P1608" s="890">
        <v>45421</v>
      </c>
      <c r="Q1608" s="347">
        <v>38400</v>
      </c>
      <c r="R1608" s="347">
        <v>0</v>
      </c>
      <c r="S1608" s="347">
        <v>0</v>
      </c>
      <c r="T1608" s="347">
        <v>0</v>
      </c>
      <c r="U1608" s="347">
        <v>38400</v>
      </c>
      <c r="V1608" s="348"/>
      <c r="W1608" s="349">
        <v>78720</v>
      </c>
      <c r="X1608" s="349">
        <v>0</v>
      </c>
      <c r="Y1608" s="349">
        <v>0</v>
      </c>
      <c r="Z1608" s="349">
        <v>0</v>
      </c>
      <c r="AA1608" s="350">
        <v>2.0499999999999998</v>
      </c>
      <c r="AB1608" s="350"/>
      <c r="AC1608" s="350"/>
      <c r="AD1608" s="350"/>
      <c r="AE1608" s="349">
        <v>0</v>
      </c>
      <c r="AF1608" s="349">
        <v>0</v>
      </c>
      <c r="AG1608" s="349">
        <v>0</v>
      </c>
      <c r="AH1608" s="351">
        <v>2.0499999999999998</v>
      </c>
      <c r="AI1608" s="351"/>
      <c r="AJ1608" s="351"/>
      <c r="AK1608" s="351"/>
      <c r="AL1608" s="352" t="s">
        <v>20345</v>
      </c>
      <c r="AM1608" s="352">
        <v>0</v>
      </c>
      <c r="AN1608" s="352">
        <v>0</v>
      </c>
      <c r="AO1608" s="352">
        <v>0</v>
      </c>
    </row>
    <row r="1609" spans="1:41" hidden="1">
      <c r="A1609" s="342">
        <v>127</v>
      </c>
      <c r="B1609" s="277" t="s">
        <v>139</v>
      </c>
      <c r="C1609" s="277">
        <v>0</v>
      </c>
      <c r="D1609" s="343" t="s">
        <v>19360</v>
      </c>
      <c r="E1609" s="277" t="s">
        <v>139</v>
      </c>
      <c r="F1609" s="344">
        <v>45415</v>
      </c>
      <c r="G1609" s="277">
        <v>2024</v>
      </c>
      <c r="H1609" s="383" t="s">
        <v>16384</v>
      </c>
      <c r="I1609" s="277" t="s">
        <v>16385</v>
      </c>
      <c r="J1609" s="277" t="s">
        <v>3</v>
      </c>
      <c r="K1609" s="278">
        <v>43420</v>
      </c>
      <c r="L1609" s="383">
        <v>1</v>
      </c>
      <c r="M1609" s="384">
        <v>43420</v>
      </c>
      <c r="N1609" s="277" t="s">
        <v>20155</v>
      </c>
      <c r="O1609" s="277" t="s">
        <v>20319</v>
      </c>
      <c r="P1609" s="890">
        <v>45420</v>
      </c>
      <c r="Q1609" s="347">
        <v>0</v>
      </c>
      <c r="R1609" s="347">
        <v>0</v>
      </c>
      <c r="S1609" s="347">
        <v>26000</v>
      </c>
      <c r="T1609" s="347">
        <v>0</v>
      </c>
      <c r="U1609" s="347">
        <v>26000</v>
      </c>
      <c r="V1609" s="348"/>
      <c r="W1609" s="349">
        <v>0</v>
      </c>
      <c r="X1609" s="349">
        <v>0</v>
      </c>
      <c r="Y1609" s="349">
        <v>43420</v>
      </c>
      <c r="Z1609" s="349">
        <v>0</v>
      </c>
      <c r="AA1609" s="350"/>
      <c r="AB1609" s="350"/>
      <c r="AC1609" s="350">
        <v>1.67</v>
      </c>
      <c r="AD1609" s="350"/>
      <c r="AE1609" s="349">
        <v>0</v>
      </c>
      <c r="AF1609" s="349">
        <v>0</v>
      </c>
      <c r="AG1609" s="349">
        <v>0</v>
      </c>
      <c r="AH1609" s="351"/>
      <c r="AI1609" s="351"/>
      <c r="AJ1609" s="351">
        <v>1.67</v>
      </c>
      <c r="AK1609" s="351"/>
      <c r="AL1609" s="352">
        <v>0</v>
      </c>
      <c r="AM1609" s="352">
        <v>0</v>
      </c>
      <c r="AN1609" s="352" t="s">
        <v>20347</v>
      </c>
      <c r="AO1609" s="352">
        <v>0</v>
      </c>
    </row>
    <row r="1610" spans="1:41" hidden="1">
      <c r="A1610" s="342">
        <v>128</v>
      </c>
      <c r="B1610" s="277" t="s">
        <v>140</v>
      </c>
      <c r="C1610" s="277">
        <v>0</v>
      </c>
      <c r="D1610" s="343" t="s">
        <v>19361</v>
      </c>
      <c r="E1610" s="277" t="s">
        <v>140</v>
      </c>
      <c r="F1610" s="344">
        <v>45415</v>
      </c>
      <c r="G1610" s="277">
        <v>2024</v>
      </c>
      <c r="H1610" s="383" t="s">
        <v>16444</v>
      </c>
      <c r="I1610" s="277" t="s">
        <v>16445</v>
      </c>
      <c r="J1610" s="277" t="s">
        <v>3</v>
      </c>
      <c r="K1610" s="278">
        <v>38976</v>
      </c>
      <c r="L1610" s="383">
        <v>1</v>
      </c>
      <c r="M1610" s="384">
        <v>38976</v>
      </c>
      <c r="N1610" s="277" t="s">
        <v>20155</v>
      </c>
      <c r="O1610" s="277" t="s">
        <v>18248</v>
      </c>
      <c r="P1610" s="890">
        <v>45427</v>
      </c>
      <c r="Q1610" s="347">
        <v>19200</v>
      </c>
      <c r="R1610" s="347">
        <v>0</v>
      </c>
      <c r="S1610" s="347">
        <v>0</v>
      </c>
      <c r="T1610" s="347">
        <v>0</v>
      </c>
      <c r="U1610" s="347">
        <v>19200</v>
      </c>
      <c r="V1610" s="348"/>
      <c r="W1610" s="349">
        <v>38976</v>
      </c>
      <c r="X1610" s="349">
        <v>0</v>
      </c>
      <c r="Y1610" s="349">
        <v>0</v>
      </c>
      <c r="Z1610" s="349">
        <v>0</v>
      </c>
      <c r="AA1610" s="350">
        <v>2.0299999999999998</v>
      </c>
      <c r="AB1610" s="350"/>
      <c r="AC1610" s="350"/>
      <c r="AD1610" s="350"/>
      <c r="AE1610" s="349">
        <v>0</v>
      </c>
      <c r="AF1610" s="349">
        <v>0</v>
      </c>
      <c r="AG1610" s="349">
        <v>0</v>
      </c>
      <c r="AH1610" s="351">
        <v>2.0299999999999998</v>
      </c>
      <c r="AI1610" s="351"/>
      <c r="AJ1610" s="351"/>
      <c r="AK1610" s="351"/>
      <c r="AL1610" s="352" t="s">
        <v>20345</v>
      </c>
      <c r="AM1610" s="352">
        <v>0</v>
      </c>
      <c r="AN1610" s="352">
        <v>0</v>
      </c>
      <c r="AO1610" s="352">
        <v>0</v>
      </c>
    </row>
    <row r="1611" spans="1:41" hidden="1">
      <c r="A1611" s="342">
        <v>129</v>
      </c>
      <c r="B1611" s="277" t="s">
        <v>141</v>
      </c>
      <c r="C1611" s="277">
        <v>0</v>
      </c>
      <c r="D1611" s="343" t="s">
        <v>19362</v>
      </c>
      <c r="E1611" s="277" t="s">
        <v>141</v>
      </c>
      <c r="F1611" s="344">
        <v>45419</v>
      </c>
      <c r="G1611" s="277">
        <v>2024</v>
      </c>
      <c r="H1611" s="383" t="s">
        <v>17278</v>
      </c>
      <c r="I1611" s="277" t="s">
        <v>17279</v>
      </c>
      <c r="J1611" s="277" t="s">
        <v>16482</v>
      </c>
      <c r="K1611" s="278">
        <v>264108.86275199999</v>
      </c>
      <c r="L1611" s="383">
        <v>3.3813499999999999</v>
      </c>
      <c r="M1611" s="384">
        <v>78107.520000000004</v>
      </c>
      <c r="N1611" s="277" t="s">
        <v>20155</v>
      </c>
      <c r="O1611" s="277" t="s">
        <v>20173</v>
      </c>
      <c r="P1611" s="890">
        <v>45429</v>
      </c>
      <c r="Q1611" s="347">
        <v>0</v>
      </c>
      <c r="R1611" s="347">
        <v>66240</v>
      </c>
      <c r="S1611" s="347">
        <v>72384</v>
      </c>
      <c r="T1611" s="347">
        <v>0</v>
      </c>
      <c r="U1611" s="347">
        <v>138624</v>
      </c>
      <c r="V1611" s="348"/>
      <c r="W1611" s="349">
        <v>0</v>
      </c>
      <c r="X1611" s="349">
        <v>134388.3744</v>
      </c>
      <c r="Y1611" s="349">
        <v>129720.48835199999</v>
      </c>
      <c r="Z1611" s="349">
        <v>0</v>
      </c>
      <c r="AA1611" s="350"/>
      <c r="AB1611" s="350">
        <v>2.02881</v>
      </c>
      <c r="AC1611" s="350">
        <v>1.7921154999999998</v>
      </c>
      <c r="AD1611" s="350"/>
      <c r="AE1611" s="349">
        <v>7842.1637499999997</v>
      </c>
      <c r="AF1611" s="349">
        <v>41951.453000000001</v>
      </c>
      <c r="AG1611" s="349">
        <v>0.30262763302169898</v>
      </c>
      <c r="AH1611" s="351"/>
      <c r="AI1611" s="351">
        <v>1.726182366978301</v>
      </c>
      <c r="AJ1611" s="351">
        <v>1.4894878669783007</v>
      </c>
      <c r="AK1611" s="351"/>
      <c r="AL1611" s="352">
        <v>0</v>
      </c>
      <c r="AM1611" s="352" t="s">
        <v>20348</v>
      </c>
      <c r="AN1611" s="352" t="s">
        <v>20347</v>
      </c>
      <c r="AO1611" s="352">
        <v>0</v>
      </c>
    </row>
    <row r="1612" spans="1:41" hidden="1">
      <c r="A1612" s="342">
        <v>130</v>
      </c>
      <c r="B1612" s="277" t="s">
        <v>142</v>
      </c>
      <c r="C1612" s="277">
        <v>0</v>
      </c>
      <c r="D1612" s="343" t="s">
        <v>19363</v>
      </c>
      <c r="E1612" s="277" t="s">
        <v>142</v>
      </c>
      <c r="F1612" s="344">
        <v>45419</v>
      </c>
      <c r="G1612" s="277">
        <v>2024</v>
      </c>
      <c r="H1612" s="383" t="s">
        <v>16838</v>
      </c>
      <c r="I1612" s="277" t="s">
        <v>16839</v>
      </c>
      <c r="J1612" s="277" t="s">
        <v>3</v>
      </c>
      <c r="K1612" s="278">
        <v>191394</v>
      </c>
      <c r="L1612" s="383">
        <v>1</v>
      </c>
      <c r="M1612" s="384">
        <v>191394</v>
      </c>
      <c r="N1612" s="277" t="s">
        <v>20155</v>
      </c>
      <c r="O1612" s="277" t="s">
        <v>17771</v>
      </c>
      <c r="P1612" s="890">
        <v>45425</v>
      </c>
      <c r="Q1612" s="347">
        <v>3600</v>
      </c>
      <c r="R1612" s="347">
        <v>22200</v>
      </c>
      <c r="S1612" s="347">
        <v>84000</v>
      </c>
      <c r="T1612" s="347">
        <v>0</v>
      </c>
      <c r="U1612" s="347">
        <v>109800</v>
      </c>
      <c r="V1612" s="348"/>
      <c r="W1612" s="349">
        <v>7128</v>
      </c>
      <c r="X1612" s="349">
        <v>40626</v>
      </c>
      <c r="Y1612" s="349">
        <v>143640</v>
      </c>
      <c r="Z1612" s="349">
        <v>0</v>
      </c>
      <c r="AA1612" s="350">
        <v>1.98</v>
      </c>
      <c r="AB1612" s="350">
        <v>1.83</v>
      </c>
      <c r="AC1612" s="350">
        <v>1.71</v>
      </c>
      <c r="AD1612" s="350"/>
      <c r="AE1612" s="349">
        <v>0</v>
      </c>
      <c r="AF1612" s="349">
        <v>0</v>
      </c>
      <c r="AG1612" s="349">
        <v>0</v>
      </c>
      <c r="AH1612" s="351">
        <v>1.98</v>
      </c>
      <c r="AI1612" s="351">
        <v>1.83</v>
      </c>
      <c r="AJ1612" s="351">
        <v>1.71</v>
      </c>
      <c r="AK1612" s="351"/>
      <c r="AL1612" s="352" t="s">
        <v>20345</v>
      </c>
      <c r="AM1612" s="352" t="s">
        <v>20348</v>
      </c>
      <c r="AN1612" s="352" t="s">
        <v>20347</v>
      </c>
      <c r="AO1612" s="352">
        <v>0</v>
      </c>
    </row>
    <row r="1613" spans="1:41" hidden="1">
      <c r="A1613" s="604">
        <v>131</v>
      </c>
      <c r="B1613" s="605" t="s">
        <v>143</v>
      </c>
      <c r="C1613" s="605">
        <v>0</v>
      </c>
      <c r="D1613" s="606" t="s">
        <v>19364</v>
      </c>
      <c r="E1613" s="605" t="s">
        <v>143</v>
      </c>
      <c r="F1613" s="607">
        <v>45419</v>
      </c>
      <c r="G1613" s="605">
        <v>2024</v>
      </c>
      <c r="H1613" s="605" t="s">
        <v>16783</v>
      </c>
      <c r="I1613" s="605" t="s">
        <v>16784</v>
      </c>
      <c r="J1613" s="605" t="s">
        <v>16401</v>
      </c>
      <c r="K1613" s="608">
        <v>391653.68075</v>
      </c>
      <c r="L1613" s="605">
        <v>3.1308500000000001</v>
      </c>
      <c r="M1613" s="609">
        <v>125095</v>
      </c>
      <c r="N1613" s="605" t="s">
        <v>20155</v>
      </c>
      <c r="O1613" s="605" t="s">
        <v>17939</v>
      </c>
      <c r="P1613" s="889">
        <v>45425</v>
      </c>
      <c r="Q1613" s="610">
        <v>0</v>
      </c>
      <c r="R1613" s="610">
        <v>62000</v>
      </c>
      <c r="S1613" s="610">
        <v>26000</v>
      </c>
      <c r="T1613" s="610">
        <v>0</v>
      </c>
      <c r="U1613" s="610">
        <v>88000</v>
      </c>
      <c r="V1613" s="611"/>
      <c r="W1613" s="612">
        <v>0</v>
      </c>
      <c r="X1613" s="612">
        <v>0</v>
      </c>
      <c r="Y1613" s="612">
        <v>0</v>
      </c>
      <c r="Z1613" s="612">
        <v>391653.68074999994</v>
      </c>
      <c r="AA1613" s="612"/>
      <c r="AB1613" s="612">
        <v>0</v>
      </c>
      <c r="AC1613" s="612">
        <v>0</v>
      </c>
      <c r="AD1613" s="612"/>
      <c r="AE1613" s="612">
        <v>0</v>
      </c>
      <c r="AF1613" s="612">
        <v>0</v>
      </c>
      <c r="AG1613" s="612">
        <v>0</v>
      </c>
      <c r="AH1613" s="613"/>
      <c r="AI1613" s="613"/>
      <c r="AJ1613" s="613"/>
      <c r="AK1613" s="613"/>
      <c r="AL1613" s="614" t="s">
        <v>20345</v>
      </c>
      <c r="AM1613" s="614" t="s">
        <v>20345</v>
      </c>
      <c r="AN1613" s="614" t="s">
        <v>20345</v>
      </c>
      <c r="AO1613" s="614">
        <v>0</v>
      </c>
    </row>
    <row r="1614" spans="1:41" hidden="1">
      <c r="A1614" s="342">
        <v>132</v>
      </c>
      <c r="B1614" s="277" t="s">
        <v>144</v>
      </c>
      <c r="C1614" s="277">
        <v>0</v>
      </c>
      <c r="D1614" s="343" t="s">
        <v>19365</v>
      </c>
      <c r="E1614" s="277" t="s">
        <v>144</v>
      </c>
      <c r="F1614" s="344">
        <v>45420</v>
      </c>
      <c r="G1614" s="277">
        <v>2024</v>
      </c>
      <c r="H1614" s="383" t="s">
        <v>17276</v>
      </c>
      <c r="I1614" s="277" t="s">
        <v>17277</v>
      </c>
      <c r="J1614" s="277" t="s">
        <v>16482</v>
      </c>
      <c r="K1614" s="278">
        <v>45425.412900000003</v>
      </c>
      <c r="L1614" s="383">
        <v>3.37635</v>
      </c>
      <c r="M1614" s="384">
        <v>13454</v>
      </c>
      <c r="N1614" s="277" t="s">
        <v>20155</v>
      </c>
      <c r="O1614" s="277" t="s">
        <v>20297</v>
      </c>
      <c r="P1614" s="890">
        <v>45426</v>
      </c>
      <c r="Q1614" s="347">
        <v>19200</v>
      </c>
      <c r="R1614" s="347">
        <v>0</v>
      </c>
      <c r="S1614" s="347">
        <v>0</v>
      </c>
      <c r="T1614" s="347">
        <v>0</v>
      </c>
      <c r="U1614" s="347">
        <v>19200</v>
      </c>
      <c r="V1614" s="348"/>
      <c r="W1614" s="349">
        <v>45425.412899999996</v>
      </c>
      <c r="X1614" s="349">
        <v>0</v>
      </c>
      <c r="Y1614" s="349">
        <v>0</v>
      </c>
      <c r="Z1614" s="349">
        <v>0</v>
      </c>
      <c r="AA1614" s="350">
        <v>2.3659069218749997</v>
      </c>
      <c r="AB1614" s="350"/>
      <c r="AC1614" s="350"/>
      <c r="AD1614" s="350"/>
      <c r="AE1614" s="349">
        <v>1043.46</v>
      </c>
      <c r="AF1614" s="349">
        <v>5300.34</v>
      </c>
      <c r="AG1614" s="349">
        <v>0.276059375</v>
      </c>
      <c r="AH1614" s="351">
        <v>2.0898475468749997</v>
      </c>
      <c r="AI1614" s="351"/>
      <c r="AJ1614" s="351"/>
      <c r="AK1614" s="351"/>
      <c r="AL1614" s="352" t="s">
        <v>20345</v>
      </c>
      <c r="AM1614" s="352">
        <v>0</v>
      </c>
      <c r="AN1614" s="352">
        <v>0</v>
      </c>
      <c r="AO1614" s="352">
        <v>0</v>
      </c>
    </row>
    <row r="1615" spans="1:41" hidden="1">
      <c r="A1615" s="342">
        <v>133</v>
      </c>
      <c r="B1615" s="277" t="s">
        <v>145</v>
      </c>
      <c r="C1615" s="277">
        <v>0</v>
      </c>
      <c r="D1615" s="343" t="s">
        <v>19366</v>
      </c>
      <c r="E1615" s="277" t="s">
        <v>145</v>
      </c>
      <c r="F1615" s="344">
        <v>45420</v>
      </c>
      <c r="G1615" s="277">
        <v>2024</v>
      </c>
      <c r="H1615" s="383" t="s">
        <v>16643</v>
      </c>
      <c r="I1615" s="277" t="s">
        <v>16644</v>
      </c>
      <c r="J1615" s="277" t="s">
        <v>16482</v>
      </c>
      <c r="K1615" s="278">
        <v>91701.665999999997</v>
      </c>
      <c r="L1615" s="383">
        <v>3.37635</v>
      </c>
      <c r="M1615" s="384">
        <v>27160</v>
      </c>
      <c r="N1615" s="277" t="s">
        <v>20155</v>
      </c>
      <c r="O1615" s="277" t="s">
        <v>18227</v>
      </c>
      <c r="P1615" s="890">
        <v>45426</v>
      </c>
      <c r="Q1615" s="347">
        <v>0</v>
      </c>
      <c r="R1615" s="347">
        <v>40800</v>
      </c>
      <c r="S1615" s="347">
        <v>0</v>
      </c>
      <c r="T1615" s="347">
        <v>0</v>
      </c>
      <c r="U1615" s="347">
        <v>40800</v>
      </c>
      <c r="V1615" s="348"/>
      <c r="W1615" s="349">
        <v>0</v>
      </c>
      <c r="X1615" s="349">
        <v>91701.665999999997</v>
      </c>
      <c r="Y1615" s="349">
        <v>0</v>
      </c>
      <c r="Z1615" s="349">
        <v>0</v>
      </c>
      <c r="AA1615" s="350"/>
      <c r="AB1615" s="350">
        <v>2.2475898529411764</v>
      </c>
      <c r="AC1615" s="350"/>
      <c r="AD1615" s="350"/>
      <c r="AE1615" s="349">
        <v>2908.12</v>
      </c>
      <c r="AF1615" s="349">
        <v>14328.915000000001</v>
      </c>
      <c r="AG1615" s="349">
        <v>0.35119889705882357</v>
      </c>
      <c r="AH1615" s="351"/>
      <c r="AI1615" s="351">
        <v>1.8963909558823528</v>
      </c>
      <c r="AJ1615" s="351"/>
      <c r="AK1615" s="351"/>
      <c r="AL1615" s="352">
        <v>0</v>
      </c>
      <c r="AM1615" s="352" t="s">
        <v>20346</v>
      </c>
      <c r="AN1615" s="352">
        <v>0</v>
      </c>
      <c r="AO1615" s="352">
        <v>0</v>
      </c>
    </row>
    <row r="1616" spans="1:41" hidden="1">
      <c r="A1616" s="342">
        <v>134</v>
      </c>
      <c r="B1616" s="277" t="s">
        <v>146</v>
      </c>
      <c r="C1616" s="277">
        <v>0</v>
      </c>
      <c r="D1616" s="343" t="s">
        <v>19367</v>
      </c>
      <c r="E1616" s="277" t="s">
        <v>146</v>
      </c>
      <c r="F1616" s="344">
        <v>45420</v>
      </c>
      <c r="G1616" s="277">
        <v>2024</v>
      </c>
      <c r="H1616" s="383" t="s">
        <v>17304</v>
      </c>
      <c r="I1616" s="277" t="s">
        <v>17305</v>
      </c>
      <c r="J1616" s="277" t="s">
        <v>17306</v>
      </c>
      <c r="K1616" s="278">
        <v>90753.731315000012</v>
      </c>
      <c r="L1616" s="383">
        <v>2.28505</v>
      </c>
      <c r="M1616" s="384">
        <v>39716.300000000003</v>
      </c>
      <c r="N1616" s="277" t="s">
        <v>20155</v>
      </c>
      <c r="O1616" s="277" t="s">
        <v>17954</v>
      </c>
      <c r="P1616" s="890">
        <v>45429</v>
      </c>
      <c r="Q1616" s="347">
        <v>0</v>
      </c>
      <c r="R1616" s="347">
        <v>15231</v>
      </c>
      <c r="S1616" s="347">
        <v>0</v>
      </c>
      <c r="T1616" s="347">
        <v>6300</v>
      </c>
      <c r="U1616" s="347">
        <v>21531</v>
      </c>
      <c r="V1616" s="348"/>
      <c r="W1616" s="349">
        <v>0</v>
      </c>
      <c r="X1616" s="349">
        <v>51724.010279111739</v>
      </c>
      <c r="Y1616" s="349">
        <v>0</v>
      </c>
      <c r="Z1616" s="349">
        <v>39038.861235888253</v>
      </c>
      <c r="AA1616" s="350" t="e">
        <v>#DIV/0!</v>
      </c>
      <c r="AB1616" s="350">
        <v>3.3959694228292125</v>
      </c>
      <c r="AC1616" s="350" t="e">
        <v>#DIV/0!</v>
      </c>
      <c r="AD1616" s="350">
        <v>6.1966446406171833</v>
      </c>
      <c r="AE1616" s="349">
        <v>1828.365</v>
      </c>
      <c r="AF1616" s="349">
        <v>14006.61</v>
      </c>
      <c r="AG1616" s="349">
        <v>0.65053225581719387</v>
      </c>
      <c r="AH1616" s="351"/>
      <c r="AI1616" s="351">
        <v>2.7454371670120188</v>
      </c>
      <c r="AJ1616" s="351"/>
      <c r="AK1616" s="351">
        <v>5.5461123847999891</v>
      </c>
      <c r="AL1616" s="352">
        <v>0</v>
      </c>
      <c r="AM1616" s="352">
        <v>1</v>
      </c>
      <c r="AN1616" s="352">
        <v>0</v>
      </c>
      <c r="AO1616" s="352">
        <v>1</v>
      </c>
    </row>
    <row r="1617" spans="1:41" hidden="1">
      <c r="A1617" s="342">
        <v>135</v>
      </c>
      <c r="B1617" s="277" t="s">
        <v>147</v>
      </c>
      <c r="C1617" s="277">
        <v>0</v>
      </c>
      <c r="D1617" s="343" t="s">
        <v>19368</v>
      </c>
      <c r="E1617" s="277" t="s">
        <v>147</v>
      </c>
      <c r="F1617" s="344">
        <v>45420</v>
      </c>
      <c r="G1617" s="277">
        <v>2024</v>
      </c>
      <c r="H1617" s="383" t="s">
        <v>16957</v>
      </c>
      <c r="I1617" s="277" t="s">
        <v>16958</v>
      </c>
      <c r="J1617" s="277" t="s">
        <v>16401</v>
      </c>
      <c r="K1617" s="278">
        <v>114897.25455</v>
      </c>
      <c r="L1617" s="383">
        <v>3.1158999999999999</v>
      </c>
      <c r="M1617" s="384">
        <v>36874.5</v>
      </c>
      <c r="N1617" s="277" t="s">
        <v>20155</v>
      </c>
      <c r="O1617" s="277" t="s">
        <v>20161</v>
      </c>
      <c r="P1617" s="890">
        <v>45435</v>
      </c>
      <c r="Q1617" s="347">
        <v>40300</v>
      </c>
      <c r="R1617" s="347">
        <v>0</v>
      </c>
      <c r="S1617" s="347">
        <v>0</v>
      </c>
      <c r="T1617" s="347">
        <v>0</v>
      </c>
      <c r="U1617" s="347">
        <v>40300</v>
      </c>
      <c r="V1617" s="348"/>
      <c r="W1617" s="349">
        <v>114897.25455</v>
      </c>
      <c r="X1617" s="349">
        <v>0</v>
      </c>
      <c r="Y1617" s="349">
        <v>0</v>
      </c>
      <c r="Z1617" s="349">
        <v>0</v>
      </c>
      <c r="AA1617" s="350">
        <v>2.8510485000000001</v>
      </c>
      <c r="AB1617" s="350"/>
      <c r="AC1617" s="350"/>
      <c r="AD1617" s="350"/>
      <c r="AE1617" s="349">
        <v>1762.68</v>
      </c>
      <c r="AF1617" s="349">
        <v>14123.36</v>
      </c>
      <c r="AG1617" s="349">
        <v>0.3504555831265509</v>
      </c>
      <c r="AH1617" s="351">
        <v>2.5005929168734493</v>
      </c>
      <c r="AI1617" s="351"/>
      <c r="AJ1617" s="351"/>
      <c r="AK1617" s="351"/>
      <c r="AL1617" s="352">
        <v>1</v>
      </c>
      <c r="AM1617" s="352">
        <v>0</v>
      </c>
      <c r="AN1617" s="352">
        <v>0</v>
      </c>
      <c r="AO1617" s="352">
        <v>0</v>
      </c>
    </row>
    <row r="1618" spans="1:41" hidden="1">
      <c r="A1618" s="342">
        <v>136</v>
      </c>
      <c r="B1618" s="277" t="s">
        <v>148</v>
      </c>
      <c r="C1618" s="277">
        <v>0</v>
      </c>
      <c r="D1618" s="343" t="s">
        <v>19369</v>
      </c>
      <c r="E1618" s="277" t="s">
        <v>148</v>
      </c>
      <c r="F1618" s="344">
        <v>45420</v>
      </c>
      <c r="G1618" s="277">
        <v>2024</v>
      </c>
      <c r="H1618" s="383" t="s">
        <v>16957</v>
      </c>
      <c r="I1618" s="277" t="s">
        <v>16958</v>
      </c>
      <c r="J1618" s="277" t="s">
        <v>16401</v>
      </c>
      <c r="K1618" s="278">
        <v>49978.518524999999</v>
      </c>
      <c r="L1618" s="383">
        <v>3.1396500000000001</v>
      </c>
      <c r="M1618" s="384">
        <v>15918.5</v>
      </c>
      <c r="N1618" s="277" t="s">
        <v>20155</v>
      </c>
      <c r="O1618" s="277" t="s">
        <v>20161</v>
      </c>
      <c r="P1618" s="890">
        <v>45422</v>
      </c>
      <c r="Q1618" s="347">
        <v>20150</v>
      </c>
      <c r="R1618" s="347">
        <v>0</v>
      </c>
      <c r="S1618" s="347">
        <v>0</v>
      </c>
      <c r="T1618" s="347">
        <v>0</v>
      </c>
      <c r="U1618" s="347">
        <v>20150</v>
      </c>
      <c r="V1618" s="348"/>
      <c r="W1618" s="349">
        <v>49978.518524999992</v>
      </c>
      <c r="X1618" s="349">
        <v>0</v>
      </c>
      <c r="Y1618" s="349">
        <v>0</v>
      </c>
      <c r="Z1618" s="349">
        <v>0</v>
      </c>
      <c r="AA1618" s="350">
        <v>2.4803234999999995</v>
      </c>
      <c r="AB1618" s="350"/>
      <c r="AC1618" s="350"/>
      <c r="AD1618" s="350"/>
      <c r="AE1618" s="349">
        <v>879.95249999999999</v>
      </c>
      <c r="AF1618" s="349">
        <v>7624.835</v>
      </c>
      <c r="AG1618" s="349">
        <v>0.37840372208436723</v>
      </c>
      <c r="AH1618" s="351">
        <v>2.101919777915632</v>
      </c>
      <c r="AI1618" s="351"/>
      <c r="AJ1618" s="351"/>
      <c r="AK1618" s="351"/>
      <c r="AL1618" s="352" t="s">
        <v>20345</v>
      </c>
      <c r="AM1618" s="352">
        <v>0</v>
      </c>
      <c r="AN1618" s="352">
        <v>0</v>
      </c>
      <c r="AO1618" s="352">
        <v>0</v>
      </c>
    </row>
    <row r="1619" spans="1:41" hidden="1">
      <c r="A1619" s="342">
        <v>137</v>
      </c>
      <c r="B1619" s="277" t="s">
        <v>149</v>
      </c>
      <c r="C1619" s="277">
        <v>0</v>
      </c>
      <c r="D1619" s="343" t="s">
        <v>19370</v>
      </c>
      <c r="E1619" s="277" t="s">
        <v>149</v>
      </c>
      <c r="F1619" s="344">
        <v>45420</v>
      </c>
      <c r="G1619" s="277">
        <v>2024</v>
      </c>
      <c r="H1619" s="383" t="s">
        <v>17248</v>
      </c>
      <c r="I1619" s="277" t="s">
        <v>17249</v>
      </c>
      <c r="J1619" s="277" t="s">
        <v>16401</v>
      </c>
      <c r="K1619" s="278">
        <v>74603.482358000008</v>
      </c>
      <c r="L1619" s="383">
        <v>3.1219000000000001</v>
      </c>
      <c r="M1619" s="384">
        <v>23896.82</v>
      </c>
      <c r="N1619" s="277" t="s">
        <v>20155</v>
      </c>
      <c r="O1619" s="277" t="s">
        <v>17954</v>
      </c>
      <c r="P1619" s="890">
        <v>45429</v>
      </c>
      <c r="Q1619" s="347">
        <v>0</v>
      </c>
      <c r="R1619" s="347">
        <v>23971</v>
      </c>
      <c r="S1619" s="347">
        <v>0</v>
      </c>
      <c r="T1619" s="347">
        <v>0</v>
      </c>
      <c r="U1619" s="347">
        <v>23971</v>
      </c>
      <c r="V1619" s="348"/>
      <c r="W1619" s="349">
        <v>0</v>
      </c>
      <c r="X1619" s="349">
        <v>74601.54677999999</v>
      </c>
      <c r="Y1619" s="349">
        <v>0</v>
      </c>
      <c r="Z1619" s="349">
        <v>0</v>
      </c>
      <c r="AA1619" s="350"/>
      <c r="AB1619" s="350">
        <v>3.1121583071211041</v>
      </c>
      <c r="AC1619" s="350"/>
      <c r="AD1619" s="350"/>
      <c r="AE1619" s="349">
        <v>1744.8719999999998</v>
      </c>
      <c r="AF1619" s="349">
        <v>16178.61</v>
      </c>
      <c r="AG1619" s="349">
        <v>0.67492428350924039</v>
      </c>
      <c r="AH1619" s="351"/>
      <c r="AI1619" s="351">
        <v>2.4372340236118637</v>
      </c>
      <c r="AJ1619" s="351"/>
      <c r="AK1619" s="351"/>
      <c r="AL1619" s="352">
        <v>0</v>
      </c>
      <c r="AM1619" s="352" t="s">
        <v>20356</v>
      </c>
      <c r="AN1619" s="352">
        <v>0</v>
      </c>
      <c r="AO1619" s="352">
        <v>0</v>
      </c>
    </row>
    <row r="1620" spans="1:41" hidden="1">
      <c r="A1620" s="342">
        <v>138</v>
      </c>
      <c r="B1620" s="277" t="s">
        <v>150</v>
      </c>
      <c r="C1620" s="277">
        <v>0</v>
      </c>
      <c r="D1620" s="343" t="s">
        <v>19371</v>
      </c>
      <c r="E1620" s="277" t="s">
        <v>150</v>
      </c>
      <c r="F1620" s="344">
        <v>45421</v>
      </c>
      <c r="G1620" s="277">
        <v>2024</v>
      </c>
      <c r="H1620" s="383" t="s">
        <v>16700</v>
      </c>
      <c r="I1620" s="277" t="s">
        <v>16701</v>
      </c>
      <c r="J1620" s="277" t="s">
        <v>16401</v>
      </c>
      <c r="K1620" s="278">
        <v>86540.534249999997</v>
      </c>
      <c r="L1620" s="383">
        <v>3.3811499999999999</v>
      </c>
      <c r="M1620" s="384">
        <v>25595</v>
      </c>
      <c r="N1620" s="277" t="s">
        <v>20155</v>
      </c>
      <c r="O1620" s="277" t="s">
        <v>20375</v>
      </c>
      <c r="P1620" s="890">
        <v>45436</v>
      </c>
      <c r="Q1620" s="347">
        <v>40500</v>
      </c>
      <c r="R1620" s="347">
        <v>0</v>
      </c>
      <c r="S1620" s="347">
        <v>0</v>
      </c>
      <c r="T1620" s="347">
        <v>0</v>
      </c>
      <c r="U1620" s="347">
        <v>40500</v>
      </c>
      <c r="V1620" s="348"/>
      <c r="W1620" s="349">
        <v>86540.534249999997</v>
      </c>
      <c r="X1620" s="349">
        <v>0</v>
      </c>
      <c r="Y1620" s="349">
        <v>0</v>
      </c>
      <c r="Z1620" s="349">
        <v>0</v>
      </c>
      <c r="AA1620" s="350">
        <v>2.1368033148148147</v>
      </c>
      <c r="AB1620" s="350"/>
      <c r="AC1620" s="350"/>
      <c r="AD1620" s="350"/>
      <c r="AE1620" s="349">
        <v>1455.2</v>
      </c>
      <c r="AF1620" s="349">
        <v>8058.8</v>
      </c>
      <c r="AG1620" s="349">
        <v>0.19898271604938272</v>
      </c>
      <c r="AH1620" s="351">
        <v>1.937820598765432</v>
      </c>
      <c r="AI1620" s="351"/>
      <c r="AJ1620" s="351"/>
      <c r="AK1620" s="351"/>
      <c r="AL1620" s="352" t="s">
        <v>20345</v>
      </c>
      <c r="AM1620" s="352">
        <v>0</v>
      </c>
      <c r="AN1620" s="352">
        <v>0</v>
      </c>
      <c r="AO1620" s="352">
        <v>0</v>
      </c>
    </row>
    <row r="1621" spans="1:41" hidden="1">
      <c r="A1621" s="342">
        <v>139</v>
      </c>
      <c r="B1621" s="277" t="s">
        <v>151</v>
      </c>
      <c r="C1621" s="277">
        <v>0</v>
      </c>
      <c r="D1621" s="343" t="s">
        <v>19372</v>
      </c>
      <c r="E1621" s="277" t="s">
        <v>151</v>
      </c>
      <c r="F1621" s="344">
        <v>45421</v>
      </c>
      <c r="G1621" s="277">
        <v>2024</v>
      </c>
      <c r="H1621" s="383" t="s">
        <v>17336</v>
      </c>
      <c r="I1621" s="277" t="s">
        <v>17337</v>
      </c>
      <c r="J1621" s="277" t="s">
        <v>16401</v>
      </c>
      <c r="K1621" s="278">
        <v>57405.196800000005</v>
      </c>
      <c r="L1621" s="383">
        <v>3.1120000000000001</v>
      </c>
      <c r="M1621" s="384">
        <v>18446.400000000001</v>
      </c>
      <c r="N1621" s="277" t="s">
        <v>20155</v>
      </c>
      <c r="O1621" s="277" t="s">
        <v>17939</v>
      </c>
      <c r="P1621" s="890">
        <v>45432</v>
      </c>
      <c r="Q1621" s="347">
        <v>0</v>
      </c>
      <c r="R1621" s="347">
        <v>20496</v>
      </c>
      <c r="S1621" s="347">
        <v>0</v>
      </c>
      <c r="T1621" s="347">
        <v>0</v>
      </c>
      <c r="U1621" s="347">
        <v>20496</v>
      </c>
      <c r="V1621" s="348"/>
      <c r="W1621" s="349">
        <v>0</v>
      </c>
      <c r="X1621" s="349">
        <v>57405.196799999998</v>
      </c>
      <c r="Y1621" s="349">
        <v>0</v>
      </c>
      <c r="Z1621" s="349">
        <v>0</v>
      </c>
      <c r="AA1621" s="350"/>
      <c r="AB1621" s="350">
        <v>2.8007999999999997</v>
      </c>
      <c r="AC1621" s="350"/>
      <c r="AD1621" s="350"/>
      <c r="AE1621" s="349">
        <v>0</v>
      </c>
      <c r="AF1621" s="349">
        <v>0</v>
      </c>
      <c r="AG1621" s="349">
        <v>0</v>
      </c>
      <c r="AH1621" s="351"/>
      <c r="AI1621" s="351">
        <v>2.8007999999999997</v>
      </c>
      <c r="AJ1621" s="351"/>
      <c r="AK1621" s="351"/>
      <c r="AL1621" s="352">
        <v>0</v>
      </c>
      <c r="AM1621" s="352" t="s">
        <v>20348</v>
      </c>
      <c r="AN1621" s="352">
        <v>0</v>
      </c>
      <c r="AO1621" s="352">
        <v>0</v>
      </c>
    </row>
    <row r="1622" spans="1:41" hidden="1">
      <c r="A1622" s="342">
        <v>140</v>
      </c>
      <c r="B1622" s="277" t="s">
        <v>152</v>
      </c>
      <c r="C1622" s="277">
        <v>0</v>
      </c>
      <c r="D1622" s="343" t="s">
        <v>19373</v>
      </c>
      <c r="E1622" s="277" t="s">
        <v>152</v>
      </c>
      <c r="F1622" s="344">
        <v>45421</v>
      </c>
      <c r="G1622" s="277">
        <v>2024</v>
      </c>
      <c r="H1622" s="383" t="s">
        <v>17336</v>
      </c>
      <c r="I1622" s="277" t="s">
        <v>17337</v>
      </c>
      <c r="J1622" s="277" t="s">
        <v>16401</v>
      </c>
      <c r="K1622" s="278">
        <v>57432.084480000005</v>
      </c>
      <c r="L1622" s="383">
        <v>3.1120000000000001</v>
      </c>
      <c r="M1622" s="384">
        <v>18455.04</v>
      </c>
      <c r="N1622" s="277" t="s">
        <v>20155</v>
      </c>
      <c r="O1622" s="277" t="s">
        <v>17939</v>
      </c>
      <c r="P1622" s="890">
        <v>45432</v>
      </c>
      <c r="Q1622" s="347">
        <v>0</v>
      </c>
      <c r="R1622" s="347">
        <v>20506</v>
      </c>
      <c r="S1622" s="347">
        <v>0</v>
      </c>
      <c r="T1622" s="347">
        <v>0</v>
      </c>
      <c r="U1622" s="347">
        <v>20506</v>
      </c>
      <c r="V1622" s="348"/>
      <c r="W1622" s="349">
        <v>0</v>
      </c>
      <c r="X1622" s="349">
        <v>57432.084479999998</v>
      </c>
      <c r="Y1622" s="349">
        <v>0</v>
      </c>
      <c r="Z1622" s="349">
        <v>0</v>
      </c>
      <c r="AA1622" s="350"/>
      <c r="AB1622" s="350">
        <v>2.8007453662342727</v>
      </c>
      <c r="AC1622" s="350"/>
      <c r="AD1622" s="350"/>
      <c r="AE1622" s="349">
        <v>0</v>
      </c>
      <c r="AF1622" s="349">
        <v>0</v>
      </c>
      <c r="AG1622" s="349">
        <v>0</v>
      </c>
      <c r="AH1622" s="351"/>
      <c r="AI1622" s="351">
        <v>2.8007453662342727</v>
      </c>
      <c r="AJ1622" s="351"/>
      <c r="AK1622" s="351"/>
      <c r="AL1622" s="352">
        <v>0</v>
      </c>
      <c r="AM1622" s="352" t="s">
        <v>20348</v>
      </c>
      <c r="AN1622" s="352">
        <v>0</v>
      </c>
      <c r="AO1622" s="352">
        <v>0</v>
      </c>
    </row>
    <row r="1623" spans="1:41" hidden="1">
      <c r="A1623" s="342">
        <v>141</v>
      </c>
      <c r="B1623" s="277" t="s">
        <v>153</v>
      </c>
      <c r="C1623" s="277">
        <v>0</v>
      </c>
      <c r="D1623" s="343" t="s">
        <v>19374</v>
      </c>
      <c r="E1623" s="277" t="s">
        <v>153</v>
      </c>
      <c r="F1623" s="344">
        <v>45421</v>
      </c>
      <c r="G1623" s="277">
        <v>2024</v>
      </c>
      <c r="H1623" s="383" t="s">
        <v>16444</v>
      </c>
      <c r="I1623" s="277" t="s">
        <v>16445</v>
      </c>
      <c r="J1623" s="277" t="s">
        <v>3</v>
      </c>
      <c r="K1623" s="278">
        <v>110064</v>
      </c>
      <c r="L1623" s="383">
        <v>1</v>
      </c>
      <c r="M1623" s="384">
        <v>110064</v>
      </c>
      <c r="N1623" s="277" t="s">
        <v>20155</v>
      </c>
      <c r="O1623" s="277" t="s">
        <v>18248</v>
      </c>
      <c r="P1623" s="890">
        <v>45427</v>
      </c>
      <c r="Q1623" s="347">
        <v>36000</v>
      </c>
      <c r="R1623" s="347">
        <v>20100</v>
      </c>
      <c r="S1623" s="347">
        <v>0</v>
      </c>
      <c r="T1623" s="347">
        <v>0</v>
      </c>
      <c r="U1623" s="347">
        <v>56100</v>
      </c>
      <c r="V1623" s="348"/>
      <c r="W1623" s="349">
        <v>73080</v>
      </c>
      <c r="X1623" s="349">
        <v>36984</v>
      </c>
      <c r="Y1623" s="349">
        <v>0</v>
      </c>
      <c r="Z1623" s="349">
        <v>0</v>
      </c>
      <c r="AA1623" s="350">
        <v>2.0299999999999998</v>
      </c>
      <c r="AB1623" s="350">
        <v>1.84</v>
      </c>
      <c r="AC1623" s="350"/>
      <c r="AD1623" s="350"/>
      <c r="AE1623" s="349">
        <v>0</v>
      </c>
      <c r="AF1623" s="349">
        <v>0</v>
      </c>
      <c r="AG1623" s="349">
        <v>0</v>
      </c>
      <c r="AH1623" s="351">
        <v>2.0299999999999998</v>
      </c>
      <c r="AI1623" s="351">
        <v>1.84</v>
      </c>
      <c r="AJ1623" s="351"/>
      <c r="AK1623" s="351"/>
      <c r="AL1623" s="352" t="s">
        <v>20345</v>
      </c>
      <c r="AM1623" s="352" t="s">
        <v>20346</v>
      </c>
      <c r="AN1623" s="352">
        <v>0</v>
      </c>
      <c r="AO1623" s="352">
        <v>0</v>
      </c>
    </row>
    <row r="1624" spans="1:41" hidden="1">
      <c r="A1624" s="342">
        <v>142</v>
      </c>
      <c r="B1624" s="277" t="s">
        <v>154</v>
      </c>
      <c r="C1624" s="277">
        <v>0</v>
      </c>
      <c r="D1624" s="343" t="s">
        <v>19375</v>
      </c>
      <c r="E1624" s="277" t="s">
        <v>154</v>
      </c>
      <c r="F1624" s="344">
        <v>45421</v>
      </c>
      <c r="G1624" s="277">
        <v>2024</v>
      </c>
      <c r="H1624" s="383" t="s">
        <v>16444</v>
      </c>
      <c r="I1624" s="277" t="s">
        <v>16445</v>
      </c>
      <c r="J1624" s="277" t="s">
        <v>3</v>
      </c>
      <c r="K1624" s="278">
        <v>110064</v>
      </c>
      <c r="L1624" s="383">
        <v>1</v>
      </c>
      <c r="M1624" s="384">
        <v>110064</v>
      </c>
      <c r="N1624" s="277" t="s">
        <v>20155</v>
      </c>
      <c r="O1624" s="277" t="s">
        <v>18248</v>
      </c>
      <c r="P1624" s="890">
        <v>45427</v>
      </c>
      <c r="Q1624" s="347">
        <v>36000</v>
      </c>
      <c r="R1624" s="347">
        <v>20100</v>
      </c>
      <c r="S1624" s="347">
        <v>0</v>
      </c>
      <c r="T1624" s="347">
        <v>0</v>
      </c>
      <c r="U1624" s="347">
        <v>56100</v>
      </c>
      <c r="V1624" s="348"/>
      <c r="W1624" s="349">
        <v>73080</v>
      </c>
      <c r="X1624" s="349">
        <v>36984</v>
      </c>
      <c r="Y1624" s="349">
        <v>0</v>
      </c>
      <c r="Z1624" s="349">
        <v>0</v>
      </c>
      <c r="AA1624" s="350">
        <v>2.0299999999999998</v>
      </c>
      <c r="AB1624" s="350">
        <v>1.84</v>
      </c>
      <c r="AC1624" s="350"/>
      <c r="AD1624" s="350"/>
      <c r="AE1624" s="349">
        <v>0</v>
      </c>
      <c r="AF1624" s="349">
        <v>0</v>
      </c>
      <c r="AG1624" s="349">
        <v>0</v>
      </c>
      <c r="AH1624" s="351">
        <v>2.0299999999999998</v>
      </c>
      <c r="AI1624" s="351">
        <v>1.84</v>
      </c>
      <c r="AJ1624" s="351"/>
      <c r="AK1624" s="351"/>
      <c r="AL1624" s="352" t="s">
        <v>20345</v>
      </c>
      <c r="AM1624" s="352" t="s">
        <v>20346</v>
      </c>
      <c r="AN1624" s="352">
        <v>0</v>
      </c>
      <c r="AO1624" s="352">
        <v>0</v>
      </c>
    </row>
    <row r="1625" spans="1:41" hidden="1">
      <c r="A1625" s="342">
        <v>143</v>
      </c>
      <c r="B1625" s="277" t="s">
        <v>155</v>
      </c>
      <c r="C1625" s="277">
        <v>0</v>
      </c>
      <c r="D1625" s="343" t="s">
        <v>19376</v>
      </c>
      <c r="E1625" s="277" t="s">
        <v>155</v>
      </c>
      <c r="F1625" s="344">
        <v>45422</v>
      </c>
      <c r="G1625" s="277">
        <v>2024</v>
      </c>
      <c r="H1625" s="383" t="s">
        <v>16384</v>
      </c>
      <c r="I1625" s="277" t="s">
        <v>16385</v>
      </c>
      <c r="J1625" s="277" t="s">
        <v>3</v>
      </c>
      <c r="K1625" s="278">
        <v>478039.32</v>
      </c>
      <c r="L1625" s="383">
        <v>1</v>
      </c>
      <c r="M1625" s="384">
        <v>478039.32</v>
      </c>
      <c r="N1625" s="277" t="s">
        <v>20155</v>
      </c>
      <c r="O1625" s="277" t="s">
        <v>17949</v>
      </c>
      <c r="P1625" s="890">
        <v>45433</v>
      </c>
      <c r="Q1625" s="347">
        <v>195182</v>
      </c>
      <c r="R1625" s="347">
        <v>44100</v>
      </c>
      <c r="S1625" s="347">
        <v>0</v>
      </c>
      <c r="T1625" s="347">
        <v>0</v>
      </c>
      <c r="U1625" s="347">
        <v>239282</v>
      </c>
      <c r="V1625" s="348"/>
      <c r="W1625" s="349">
        <v>396013.32</v>
      </c>
      <c r="X1625" s="349">
        <v>82026</v>
      </c>
      <c r="Y1625" s="349">
        <v>0</v>
      </c>
      <c r="Z1625" s="349">
        <v>0</v>
      </c>
      <c r="AA1625" s="350">
        <v>2.028943857527846</v>
      </c>
      <c r="AB1625" s="350">
        <v>1.86</v>
      </c>
      <c r="AC1625" s="350"/>
      <c r="AD1625" s="350"/>
      <c r="AE1625" s="349">
        <v>0</v>
      </c>
      <c r="AF1625" s="349">
        <v>0</v>
      </c>
      <c r="AG1625" s="349">
        <v>0</v>
      </c>
      <c r="AH1625" s="351">
        <v>2.028943857527846</v>
      </c>
      <c r="AI1625" s="351">
        <v>1.86</v>
      </c>
      <c r="AJ1625" s="351"/>
      <c r="AK1625" s="351"/>
      <c r="AL1625" s="352" t="s">
        <v>20345</v>
      </c>
      <c r="AM1625" s="352" t="s">
        <v>20346</v>
      </c>
      <c r="AN1625" s="352">
        <v>0</v>
      </c>
      <c r="AO1625" s="352">
        <v>0</v>
      </c>
    </row>
    <row r="1626" spans="1:41" hidden="1">
      <c r="A1626" s="342">
        <v>144</v>
      </c>
      <c r="B1626" s="277" t="s">
        <v>156</v>
      </c>
      <c r="C1626" s="277">
        <v>0</v>
      </c>
      <c r="D1626" s="343" t="s">
        <v>19377</v>
      </c>
      <c r="E1626" s="277" t="s">
        <v>156</v>
      </c>
      <c r="F1626" s="344">
        <v>45422</v>
      </c>
      <c r="G1626" s="277">
        <v>2024</v>
      </c>
      <c r="H1626" s="383" t="s">
        <v>16384</v>
      </c>
      <c r="I1626" s="277" t="s">
        <v>16385</v>
      </c>
      <c r="J1626" s="277" t="s">
        <v>3</v>
      </c>
      <c r="K1626" s="278">
        <v>43205.440000000002</v>
      </c>
      <c r="L1626" s="383">
        <v>1</v>
      </c>
      <c r="M1626" s="384">
        <v>43205.440000000002</v>
      </c>
      <c r="N1626" s="277" t="s">
        <v>20155</v>
      </c>
      <c r="O1626" s="277" t="s">
        <v>20376</v>
      </c>
      <c r="P1626" s="890">
        <v>45429</v>
      </c>
      <c r="Q1626" s="347">
        <v>0</v>
      </c>
      <c r="R1626" s="347">
        <v>19032</v>
      </c>
      <c r="S1626" s="347">
        <v>0</v>
      </c>
      <c r="T1626" s="347">
        <v>1000</v>
      </c>
      <c r="U1626" s="347">
        <v>20032</v>
      </c>
      <c r="V1626" s="348"/>
      <c r="W1626" s="349">
        <v>0</v>
      </c>
      <c r="X1626" s="349">
        <v>32005.439999999999</v>
      </c>
      <c r="Y1626" s="349">
        <v>0</v>
      </c>
      <c r="Z1626" s="349">
        <v>11200</v>
      </c>
      <c r="AA1626" s="350"/>
      <c r="AB1626" s="350">
        <v>1.6816645649432533</v>
      </c>
      <c r="AC1626" s="350"/>
      <c r="AD1626" s="350">
        <v>11.2</v>
      </c>
      <c r="AE1626" s="349">
        <v>0</v>
      </c>
      <c r="AF1626" s="349">
        <v>0</v>
      </c>
      <c r="AG1626" s="349">
        <v>0</v>
      </c>
      <c r="AH1626" s="351"/>
      <c r="AI1626" s="351">
        <v>1.6816645649432533</v>
      </c>
      <c r="AJ1626" s="351"/>
      <c r="AK1626" s="351">
        <v>11.2</v>
      </c>
      <c r="AL1626" s="352">
        <v>0</v>
      </c>
      <c r="AM1626" s="352" t="s">
        <v>20348</v>
      </c>
      <c r="AN1626" s="352">
        <v>0</v>
      </c>
      <c r="AO1626" s="352">
        <v>1</v>
      </c>
    </row>
    <row r="1627" spans="1:41" hidden="1">
      <c r="A1627" s="342">
        <v>145</v>
      </c>
      <c r="B1627" s="277" t="s">
        <v>157</v>
      </c>
      <c r="C1627" s="277">
        <v>0</v>
      </c>
      <c r="D1627" s="343" t="s">
        <v>19378</v>
      </c>
      <c r="E1627" s="277" t="s">
        <v>157</v>
      </c>
      <c r="F1627" s="344">
        <v>45422</v>
      </c>
      <c r="G1627" s="277">
        <v>2024</v>
      </c>
      <c r="H1627" s="383" t="s">
        <v>16384</v>
      </c>
      <c r="I1627" s="277" t="s">
        <v>16385</v>
      </c>
      <c r="J1627" s="277" t="s">
        <v>3</v>
      </c>
      <c r="K1627" s="278">
        <v>131439.20000000001</v>
      </c>
      <c r="L1627" s="383">
        <v>1</v>
      </c>
      <c r="M1627" s="384">
        <v>131439.20000000001</v>
      </c>
      <c r="N1627" s="277" t="s">
        <v>20155</v>
      </c>
      <c r="O1627" s="277" t="s">
        <v>17777</v>
      </c>
      <c r="P1627" s="890">
        <v>45428</v>
      </c>
      <c r="Q1627" s="347">
        <v>0</v>
      </c>
      <c r="R1627" s="347">
        <v>58020</v>
      </c>
      <c r="S1627" s="347">
        <v>0</v>
      </c>
      <c r="T1627" s="347">
        <v>2000</v>
      </c>
      <c r="U1627" s="347">
        <v>60020</v>
      </c>
      <c r="V1627" s="348"/>
      <c r="W1627" s="349">
        <v>0</v>
      </c>
      <c r="X1627" s="349">
        <v>91279.2</v>
      </c>
      <c r="Y1627" s="349">
        <v>0</v>
      </c>
      <c r="Z1627" s="349">
        <v>40160</v>
      </c>
      <c r="AA1627" s="350"/>
      <c r="AB1627" s="350">
        <v>1.5732368148914166</v>
      </c>
      <c r="AC1627" s="350"/>
      <c r="AD1627" s="350">
        <v>20.079999999999998</v>
      </c>
      <c r="AE1627" s="349">
        <v>0</v>
      </c>
      <c r="AF1627" s="349">
        <v>0</v>
      </c>
      <c r="AG1627" s="349">
        <v>0</v>
      </c>
      <c r="AH1627" s="351"/>
      <c r="AI1627" s="351">
        <v>1.5732368148914166</v>
      </c>
      <c r="AJ1627" s="351"/>
      <c r="AK1627" s="351">
        <v>20.079999999999998</v>
      </c>
      <c r="AL1627" s="352">
        <v>0</v>
      </c>
      <c r="AM1627" s="352" t="s">
        <v>20348</v>
      </c>
      <c r="AN1627" s="352">
        <v>0</v>
      </c>
      <c r="AO1627" s="352">
        <v>1</v>
      </c>
    </row>
    <row r="1628" spans="1:41" hidden="1">
      <c r="A1628" s="342">
        <v>146</v>
      </c>
      <c r="B1628" s="277" t="s">
        <v>158</v>
      </c>
      <c r="C1628" s="277">
        <v>0</v>
      </c>
      <c r="D1628" s="343" t="s">
        <v>19379</v>
      </c>
      <c r="E1628" s="277" t="s">
        <v>158</v>
      </c>
      <c r="F1628" s="344">
        <v>45426</v>
      </c>
      <c r="G1628" s="277">
        <v>2024</v>
      </c>
      <c r="H1628" s="383" t="s">
        <v>16444</v>
      </c>
      <c r="I1628" s="277" t="s">
        <v>16445</v>
      </c>
      <c r="J1628" s="277" t="s">
        <v>3</v>
      </c>
      <c r="K1628" s="278">
        <v>39632.5</v>
      </c>
      <c r="L1628" s="383">
        <v>1</v>
      </c>
      <c r="M1628" s="384">
        <v>39632.5</v>
      </c>
      <c r="N1628" s="277" t="s">
        <v>20155</v>
      </c>
      <c r="O1628" s="277" t="s">
        <v>17693</v>
      </c>
      <c r="P1628" s="890">
        <v>45429</v>
      </c>
      <c r="Q1628" s="347">
        <v>20750</v>
      </c>
      <c r="R1628" s="347">
        <v>0</v>
      </c>
      <c r="S1628" s="347">
        <v>0</v>
      </c>
      <c r="T1628" s="347">
        <v>0</v>
      </c>
      <c r="U1628" s="347">
        <v>20750</v>
      </c>
      <c r="V1628" s="348"/>
      <c r="W1628" s="349">
        <v>39632.5</v>
      </c>
      <c r="X1628" s="349">
        <v>0</v>
      </c>
      <c r="Y1628" s="349">
        <v>0</v>
      </c>
      <c r="Z1628" s="349">
        <v>0</v>
      </c>
      <c r="AA1628" s="350">
        <v>1.91</v>
      </c>
      <c r="AB1628" s="350"/>
      <c r="AC1628" s="350"/>
      <c r="AD1628" s="350"/>
      <c r="AE1628" s="349">
        <v>0</v>
      </c>
      <c r="AF1628" s="349">
        <v>0</v>
      </c>
      <c r="AG1628" s="349">
        <v>0</v>
      </c>
      <c r="AH1628" s="351">
        <v>1.91</v>
      </c>
      <c r="AI1628" s="351"/>
      <c r="AJ1628" s="351"/>
      <c r="AK1628" s="351"/>
      <c r="AL1628" s="352" t="s">
        <v>20345</v>
      </c>
      <c r="AM1628" s="352">
        <v>0</v>
      </c>
      <c r="AN1628" s="352">
        <v>0</v>
      </c>
      <c r="AO1628" s="352">
        <v>0</v>
      </c>
    </row>
    <row r="1629" spans="1:41" hidden="1">
      <c r="A1629" s="342">
        <v>147</v>
      </c>
      <c r="B1629" s="277" t="s">
        <v>159</v>
      </c>
      <c r="C1629" s="277">
        <v>0</v>
      </c>
      <c r="D1629" s="343" t="s">
        <v>19380</v>
      </c>
      <c r="E1629" s="277" t="s">
        <v>159</v>
      </c>
      <c r="F1629" s="344">
        <v>45426</v>
      </c>
      <c r="G1629" s="277">
        <v>2024</v>
      </c>
      <c r="H1629" s="383" t="s">
        <v>17309</v>
      </c>
      <c r="I1629" s="277" t="s">
        <v>17310</v>
      </c>
      <c r="J1629" s="277" t="s">
        <v>3</v>
      </c>
      <c r="K1629" s="278">
        <v>194880</v>
      </c>
      <c r="L1629" s="383">
        <v>1</v>
      </c>
      <c r="M1629" s="384">
        <v>194880</v>
      </c>
      <c r="N1629" s="277" t="s">
        <v>20155</v>
      </c>
      <c r="O1629" s="277" t="s">
        <v>20321</v>
      </c>
      <c r="P1629" s="890">
        <v>45434</v>
      </c>
      <c r="Q1629" s="347">
        <v>96000</v>
      </c>
      <c r="R1629" s="347">
        <v>0</v>
      </c>
      <c r="S1629" s="347">
        <v>0</v>
      </c>
      <c r="T1629" s="347">
        <v>0</v>
      </c>
      <c r="U1629" s="347">
        <v>96000</v>
      </c>
      <c r="V1629" s="348"/>
      <c r="W1629" s="349">
        <v>194880</v>
      </c>
      <c r="X1629" s="349">
        <v>0</v>
      </c>
      <c r="Y1629" s="349">
        <v>0</v>
      </c>
      <c r="Z1629" s="349">
        <v>0</v>
      </c>
      <c r="AA1629" s="350">
        <v>2.0299999999999998</v>
      </c>
      <c r="AB1629" s="350" t="e">
        <v>#DIV/0!</v>
      </c>
      <c r="AC1629" s="350" t="e">
        <v>#DIV/0!</v>
      </c>
      <c r="AD1629" s="350" t="e">
        <v>#DIV/0!</v>
      </c>
      <c r="AE1629" s="349">
        <v>0</v>
      </c>
      <c r="AF1629" s="349">
        <v>0</v>
      </c>
      <c r="AG1629" s="349">
        <v>0</v>
      </c>
      <c r="AH1629" s="351">
        <v>2.0299999999999998</v>
      </c>
      <c r="AI1629" s="351"/>
      <c r="AJ1629" s="351"/>
      <c r="AK1629" s="351"/>
      <c r="AL1629" s="352" t="s">
        <v>20345</v>
      </c>
      <c r="AM1629" s="352">
        <v>0</v>
      </c>
      <c r="AN1629" s="352">
        <v>0</v>
      </c>
      <c r="AO1629" s="352">
        <v>0</v>
      </c>
    </row>
    <row r="1630" spans="1:41" hidden="1">
      <c r="A1630" s="342">
        <v>148</v>
      </c>
      <c r="B1630" s="277" t="s">
        <v>160</v>
      </c>
      <c r="C1630" s="277">
        <v>0</v>
      </c>
      <c r="D1630" s="343" t="s">
        <v>19381</v>
      </c>
      <c r="E1630" s="277" t="s">
        <v>160</v>
      </c>
      <c r="F1630" s="344">
        <v>45426</v>
      </c>
      <c r="G1630" s="277">
        <v>2024</v>
      </c>
      <c r="H1630" s="383" t="s">
        <v>17342</v>
      </c>
      <c r="I1630" s="277" t="s">
        <v>17343</v>
      </c>
      <c r="J1630" s="277" t="s">
        <v>16482</v>
      </c>
      <c r="K1630" s="278">
        <v>4752.3139154999999</v>
      </c>
      <c r="L1630" s="383">
        <v>3.37635</v>
      </c>
      <c r="M1630" s="384">
        <v>1407.53</v>
      </c>
      <c r="N1630" s="277" t="s">
        <v>20155</v>
      </c>
      <c r="O1630" s="277" t="s">
        <v>16394</v>
      </c>
      <c r="P1630" s="890">
        <v>45443</v>
      </c>
      <c r="Q1630" s="347">
        <v>0</v>
      </c>
      <c r="R1630" s="347">
        <v>5736</v>
      </c>
      <c r="S1630" s="347">
        <v>2400</v>
      </c>
      <c r="T1630" s="347">
        <v>0</v>
      </c>
      <c r="U1630" s="347">
        <v>8136</v>
      </c>
      <c r="V1630" s="348"/>
      <c r="W1630" s="349">
        <v>0</v>
      </c>
      <c r="X1630" s="349">
        <v>3350.4466427999996</v>
      </c>
      <c r="Y1630" s="349">
        <v>1401.86052</v>
      </c>
      <c r="Z1630" s="349">
        <v>0</v>
      </c>
      <c r="AA1630" s="350"/>
      <c r="AB1630" s="350">
        <v>0.58410854999999995</v>
      </c>
      <c r="AC1630" s="350">
        <v>0.58410854999999995</v>
      </c>
      <c r="AD1630" s="350"/>
      <c r="AE1630" s="349">
        <v>0</v>
      </c>
      <c r="AF1630" s="349">
        <v>0</v>
      </c>
      <c r="AG1630" s="349">
        <v>0</v>
      </c>
      <c r="AH1630" s="351"/>
      <c r="AI1630" s="351">
        <v>0.58410854999999995</v>
      </c>
      <c r="AJ1630" s="351">
        <v>0.58410854999999995</v>
      </c>
      <c r="AK1630" s="351"/>
      <c r="AL1630" s="352">
        <v>0</v>
      </c>
      <c r="AM1630" s="352">
        <v>1</v>
      </c>
      <c r="AN1630" s="352">
        <v>1</v>
      </c>
      <c r="AO1630" s="352">
        <v>0</v>
      </c>
    </row>
    <row r="1631" spans="1:41" hidden="1">
      <c r="A1631" s="342">
        <v>149</v>
      </c>
      <c r="B1631" s="277" t="s">
        <v>161</v>
      </c>
      <c r="C1631" s="277">
        <v>0</v>
      </c>
      <c r="D1631" s="343" t="s">
        <v>19382</v>
      </c>
      <c r="E1631" s="277" t="s">
        <v>161</v>
      </c>
      <c r="F1631" s="344">
        <v>45426</v>
      </c>
      <c r="G1631" s="277">
        <v>2024</v>
      </c>
      <c r="H1631" s="383" t="s">
        <v>17342</v>
      </c>
      <c r="I1631" s="277" t="s">
        <v>17343</v>
      </c>
      <c r="J1631" s="277" t="s">
        <v>16482</v>
      </c>
      <c r="K1631" s="278">
        <v>27222.250735499998</v>
      </c>
      <c r="L1631" s="383">
        <v>3.3805499999999999</v>
      </c>
      <c r="M1631" s="384">
        <v>8052.61</v>
      </c>
      <c r="N1631" s="277" t="s">
        <v>20155</v>
      </c>
      <c r="O1631" s="277" t="s">
        <v>16394</v>
      </c>
      <c r="P1631" s="890">
        <v>45443</v>
      </c>
      <c r="Q1631" s="347">
        <v>0</v>
      </c>
      <c r="R1631" s="347">
        <v>8504</v>
      </c>
      <c r="S1631" s="347">
        <v>0</v>
      </c>
      <c r="T1631" s="347">
        <v>0</v>
      </c>
      <c r="U1631" s="347">
        <v>8504</v>
      </c>
      <c r="V1631" s="348"/>
      <c r="W1631" s="349">
        <v>0</v>
      </c>
      <c r="X1631" s="349">
        <v>32312.378676</v>
      </c>
      <c r="Y1631" s="349">
        <v>0</v>
      </c>
      <c r="Z1631" s="349">
        <v>0</v>
      </c>
      <c r="AA1631" s="350"/>
      <c r="AB1631" s="350">
        <v>3.7996682356538098</v>
      </c>
      <c r="AC1631" s="350"/>
      <c r="AD1631" s="350"/>
      <c r="AE1631" s="349">
        <v>1857.3449999999998</v>
      </c>
      <c r="AF1631" s="349">
        <v>25390.6</v>
      </c>
      <c r="AG1631" s="349">
        <v>2.9857243650047036</v>
      </c>
      <c r="AH1631" s="351"/>
      <c r="AI1631" s="351">
        <v>0.81394387064910623</v>
      </c>
      <c r="AJ1631" s="351"/>
      <c r="AK1631" s="351"/>
      <c r="AL1631" s="352">
        <v>0</v>
      </c>
      <c r="AM1631" s="352">
        <v>1</v>
      </c>
      <c r="AN1631" s="352">
        <v>0</v>
      </c>
      <c r="AO1631" s="352">
        <v>0</v>
      </c>
    </row>
    <row r="1632" spans="1:41" hidden="1">
      <c r="A1632" s="342">
        <v>150</v>
      </c>
      <c r="B1632" s="277" t="s">
        <v>162</v>
      </c>
      <c r="C1632" s="277">
        <v>0</v>
      </c>
      <c r="D1632" s="343" t="s">
        <v>19383</v>
      </c>
      <c r="E1632" s="277" t="s">
        <v>162</v>
      </c>
      <c r="F1632" s="344">
        <v>45427</v>
      </c>
      <c r="G1632" s="277">
        <v>2024</v>
      </c>
      <c r="H1632" s="383" t="s">
        <v>17132</v>
      </c>
      <c r="I1632" s="277" t="s">
        <v>17133</v>
      </c>
      <c r="J1632" s="277" t="s">
        <v>3</v>
      </c>
      <c r="K1632" s="278">
        <v>297659.52000000002</v>
      </c>
      <c r="L1632" s="383">
        <v>1</v>
      </c>
      <c r="M1632" s="384">
        <v>297659.52000000002</v>
      </c>
      <c r="N1632" s="277" t="s">
        <v>20155</v>
      </c>
      <c r="O1632" s="277" t="s">
        <v>17939</v>
      </c>
      <c r="P1632" s="890">
        <v>45454</v>
      </c>
      <c r="Q1632" s="347">
        <v>160032</v>
      </c>
      <c r="R1632" s="347">
        <v>0</v>
      </c>
      <c r="S1632" s="347">
        <v>0</v>
      </c>
      <c r="T1632" s="347">
        <v>0</v>
      </c>
      <c r="U1632" s="347">
        <v>160032</v>
      </c>
      <c r="V1632" s="348"/>
      <c r="W1632" s="349">
        <v>297659.52000000002</v>
      </c>
      <c r="X1632" s="349">
        <v>0</v>
      </c>
      <c r="Y1632" s="349">
        <v>0</v>
      </c>
      <c r="Z1632" s="349">
        <v>0</v>
      </c>
      <c r="AA1632" s="350">
        <v>1.86</v>
      </c>
      <c r="AB1632" s="350"/>
      <c r="AC1632" s="350"/>
      <c r="AD1632" s="350"/>
      <c r="AE1632" s="349">
        <v>0</v>
      </c>
      <c r="AF1632" s="349">
        <v>0</v>
      </c>
      <c r="AG1632" s="349">
        <v>0</v>
      </c>
      <c r="AH1632" s="351">
        <v>1.86</v>
      </c>
      <c r="AI1632" s="351">
        <v>0</v>
      </c>
      <c r="AJ1632" s="351">
        <v>0</v>
      </c>
      <c r="AK1632" s="351">
        <v>0</v>
      </c>
      <c r="AL1632" s="352" t="s">
        <v>20345</v>
      </c>
      <c r="AM1632" s="352">
        <v>0</v>
      </c>
      <c r="AN1632" s="352">
        <v>0</v>
      </c>
      <c r="AO1632" s="352">
        <v>0</v>
      </c>
    </row>
    <row r="1633" spans="1:41" hidden="1">
      <c r="A1633" s="342">
        <v>151</v>
      </c>
      <c r="B1633" s="277" t="s">
        <v>163</v>
      </c>
      <c r="C1633" s="277">
        <v>0</v>
      </c>
      <c r="D1633" s="343" t="s">
        <v>19384</v>
      </c>
      <c r="E1633" s="277" t="s">
        <v>163</v>
      </c>
      <c r="F1633" s="344">
        <v>45432</v>
      </c>
      <c r="G1633" s="277">
        <v>2024</v>
      </c>
      <c r="H1633" s="383" t="s">
        <v>17309</v>
      </c>
      <c r="I1633" s="277" t="s">
        <v>17310</v>
      </c>
      <c r="J1633" s="277" t="s">
        <v>3</v>
      </c>
      <c r="K1633" s="278">
        <v>493700</v>
      </c>
      <c r="L1633" s="383">
        <v>1</v>
      </c>
      <c r="M1633" s="384">
        <v>493700</v>
      </c>
      <c r="N1633" s="277" t="s">
        <v>20155</v>
      </c>
      <c r="O1633" s="277" t="s">
        <v>20321</v>
      </c>
      <c r="P1633" s="890">
        <v>45441</v>
      </c>
      <c r="Q1633" s="347">
        <v>70000</v>
      </c>
      <c r="R1633" s="347">
        <v>30000</v>
      </c>
      <c r="S1633" s="347">
        <v>180000</v>
      </c>
      <c r="T1633" s="347">
        <v>0</v>
      </c>
      <c r="U1633" s="347">
        <v>280000</v>
      </c>
      <c r="V1633" s="348"/>
      <c r="W1633" s="349">
        <v>142100</v>
      </c>
      <c r="X1633" s="349">
        <v>51000</v>
      </c>
      <c r="Y1633" s="349">
        <v>300600</v>
      </c>
      <c r="Z1633" s="349">
        <v>0</v>
      </c>
      <c r="AA1633" s="350">
        <v>2.0299999999999998</v>
      </c>
      <c r="AB1633" s="350">
        <v>1.7</v>
      </c>
      <c r="AC1633" s="350">
        <v>1.67</v>
      </c>
      <c r="AD1633" s="350"/>
      <c r="AE1633" s="349">
        <v>0</v>
      </c>
      <c r="AF1633" s="349">
        <v>0</v>
      </c>
      <c r="AG1633" s="349">
        <v>0</v>
      </c>
      <c r="AH1633" s="351">
        <v>2.0299999999999998</v>
      </c>
      <c r="AI1633" s="351">
        <v>1.7</v>
      </c>
      <c r="AJ1633" s="351">
        <v>1.67</v>
      </c>
      <c r="AK1633" s="351"/>
      <c r="AL1633" s="352" t="s">
        <v>20345</v>
      </c>
      <c r="AM1633" s="352" t="s">
        <v>20348</v>
      </c>
      <c r="AN1633" s="352" t="s">
        <v>20347</v>
      </c>
      <c r="AO1633" s="352">
        <v>0</v>
      </c>
    </row>
    <row r="1634" spans="1:41" hidden="1">
      <c r="A1634" s="342">
        <v>152</v>
      </c>
      <c r="B1634" s="277" t="s">
        <v>164</v>
      </c>
      <c r="C1634" s="277">
        <v>0</v>
      </c>
      <c r="D1634" s="343" t="s">
        <v>19385</v>
      </c>
      <c r="E1634" s="277" t="s">
        <v>164</v>
      </c>
      <c r="F1634" s="344">
        <v>45432</v>
      </c>
      <c r="G1634" s="277">
        <v>2024</v>
      </c>
      <c r="H1634" s="383" t="s">
        <v>17309</v>
      </c>
      <c r="I1634" s="277" t="s">
        <v>17310</v>
      </c>
      <c r="J1634" s="277" t="s">
        <v>3</v>
      </c>
      <c r="K1634" s="278">
        <v>118656</v>
      </c>
      <c r="L1634" s="383">
        <v>1</v>
      </c>
      <c r="M1634" s="384">
        <v>118656</v>
      </c>
      <c r="N1634" s="277" t="s">
        <v>20155</v>
      </c>
      <c r="O1634" s="277" t="s">
        <v>18248</v>
      </c>
      <c r="P1634" s="890">
        <v>45435</v>
      </c>
      <c r="Q1634" s="347">
        <v>57600</v>
      </c>
      <c r="R1634" s="347">
        <v>0</v>
      </c>
      <c r="S1634" s="347">
        <v>0</v>
      </c>
      <c r="T1634" s="347">
        <v>0</v>
      </c>
      <c r="U1634" s="347">
        <v>57600</v>
      </c>
      <c r="V1634" s="348"/>
      <c r="W1634" s="349">
        <v>118656</v>
      </c>
      <c r="X1634" s="349">
        <v>0</v>
      </c>
      <c r="Y1634" s="349">
        <v>0</v>
      </c>
      <c r="Z1634" s="349">
        <v>0</v>
      </c>
      <c r="AA1634" s="350">
        <v>2.06</v>
      </c>
      <c r="AB1634" s="350"/>
      <c r="AC1634" s="350"/>
      <c r="AD1634" s="350"/>
      <c r="AE1634" s="349">
        <v>0</v>
      </c>
      <c r="AF1634" s="349">
        <v>0</v>
      </c>
      <c r="AG1634" s="349">
        <v>0</v>
      </c>
      <c r="AH1634" s="351">
        <v>2.06</v>
      </c>
      <c r="AI1634" s="351"/>
      <c r="AJ1634" s="351"/>
      <c r="AK1634" s="351"/>
      <c r="AL1634" s="352" t="s">
        <v>20345</v>
      </c>
      <c r="AM1634" s="352">
        <v>0</v>
      </c>
      <c r="AN1634" s="352">
        <v>0</v>
      </c>
      <c r="AO1634" s="352">
        <v>0</v>
      </c>
    </row>
    <row r="1635" spans="1:41" hidden="1">
      <c r="A1635" s="342">
        <v>153</v>
      </c>
      <c r="B1635" s="277" t="s">
        <v>165</v>
      </c>
      <c r="C1635" s="277">
        <v>0</v>
      </c>
      <c r="D1635" s="343" t="s">
        <v>19386</v>
      </c>
      <c r="E1635" s="277" t="s">
        <v>165</v>
      </c>
      <c r="F1635" s="344">
        <v>45432</v>
      </c>
      <c r="G1635" s="277">
        <v>2024</v>
      </c>
      <c r="H1635" s="383" t="s">
        <v>16880</v>
      </c>
      <c r="I1635" s="277" t="s">
        <v>16881</v>
      </c>
      <c r="J1635" s="277" t="s">
        <v>16401</v>
      </c>
      <c r="K1635" s="278">
        <v>80052.730889999992</v>
      </c>
      <c r="L1635" s="383">
        <v>3.1229</v>
      </c>
      <c r="M1635" s="384">
        <v>25634.1</v>
      </c>
      <c r="N1635" s="277" t="s">
        <v>20155</v>
      </c>
      <c r="O1635" s="277" t="s">
        <v>20156</v>
      </c>
      <c r="P1635" s="890">
        <v>45440</v>
      </c>
      <c r="Q1635" s="347">
        <v>9900</v>
      </c>
      <c r="R1635" s="347">
        <v>10200</v>
      </c>
      <c r="S1635" s="347">
        <v>0</v>
      </c>
      <c r="T1635" s="347">
        <v>0</v>
      </c>
      <c r="U1635" s="347">
        <v>20100</v>
      </c>
      <c r="V1635" s="348"/>
      <c r="W1635" s="349">
        <v>33607.40064</v>
      </c>
      <c r="X1635" s="349">
        <v>46445.330250000014</v>
      </c>
      <c r="Y1635" s="349">
        <v>0</v>
      </c>
      <c r="Z1635" s="349">
        <v>0</v>
      </c>
      <c r="AA1635" s="350">
        <v>3.3946869333333334</v>
      </c>
      <c r="AB1635" s="350">
        <v>4.5534637500000015</v>
      </c>
      <c r="AC1635" s="350"/>
      <c r="AD1635" s="350"/>
      <c r="AE1635" s="349">
        <v>0</v>
      </c>
      <c r="AF1635" s="349">
        <v>2276.9699999999998</v>
      </c>
      <c r="AG1635" s="349">
        <v>0.1132820895522388</v>
      </c>
      <c r="AH1635" s="351">
        <v>3.2814048437810945</v>
      </c>
      <c r="AI1635" s="351">
        <v>4.4401816604477631</v>
      </c>
      <c r="AJ1635" s="351"/>
      <c r="AK1635" s="351"/>
      <c r="AL1635" s="352">
        <v>1</v>
      </c>
      <c r="AM1635" s="352">
        <v>1</v>
      </c>
      <c r="AN1635" s="352">
        <v>0</v>
      </c>
      <c r="AO1635" s="352">
        <v>0</v>
      </c>
    </row>
    <row r="1636" spans="1:41" hidden="1">
      <c r="A1636" s="342">
        <v>154</v>
      </c>
      <c r="B1636" s="277" t="s">
        <v>166</v>
      </c>
      <c r="C1636" s="277">
        <v>0</v>
      </c>
      <c r="D1636" s="343" t="s">
        <v>19387</v>
      </c>
      <c r="E1636" s="277" t="s">
        <v>166</v>
      </c>
      <c r="F1636" s="344">
        <v>45432</v>
      </c>
      <c r="G1636" s="277">
        <v>2024</v>
      </c>
      <c r="H1636" s="383" t="s">
        <v>16904</v>
      </c>
      <c r="I1636" s="277" t="s">
        <v>16905</v>
      </c>
      <c r="J1636" s="277" t="s">
        <v>16482</v>
      </c>
      <c r="K1636" s="278">
        <v>78722.930660999991</v>
      </c>
      <c r="L1636" s="383">
        <v>3.38565</v>
      </c>
      <c r="M1636" s="384">
        <v>23251.94</v>
      </c>
      <c r="N1636" s="277" t="s">
        <v>20155</v>
      </c>
      <c r="O1636" s="277" t="s">
        <v>20160</v>
      </c>
      <c r="P1636" s="890">
        <v>45442</v>
      </c>
      <c r="Q1636" s="347">
        <v>0</v>
      </c>
      <c r="R1636" s="347">
        <v>17496</v>
      </c>
      <c r="S1636" s="347">
        <v>7500</v>
      </c>
      <c r="T1636" s="347">
        <v>0</v>
      </c>
      <c r="U1636" s="347">
        <v>24996</v>
      </c>
      <c r="V1636" s="348"/>
      <c r="W1636" s="349">
        <v>0</v>
      </c>
      <c r="X1636" s="349">
        <v>55386.647252874689</v>
      </c>
      <c r="Y1636" s="349">
        <v>23336.283408125302</v>
      </c>
      <c r="Z1636" s="349">
        <v>0</v>
      </c>
      <c r="AA1636" s="350"/>
      <c r="AB1636" s="350">
        <v>3.1656748544167059</v>
      </c>
      <c r="AC1636" s="350">
        <v>3.111504454416707</v>
      </c>
      <c r="AD1636" s="350"/>
      <c r="AE1636" s="349">
        <v>3727.1</v>
      </c>
      <c r="AF1636" s="349">
        <v>16659.919999999998</v>
      </c>
      <c r="AG1636" s="349">
        <v>0.66650344055048805</v>
      </c>
      <c r="AH1636" s="351"/>
      <c r="AI1636" s="351">
        <v>2.4991714138662178</v>
      </c>
      <c r="AJ1636" s="351">
        <v>2.4450010138662188</v>
      </c>
      <c r="AK1636" s="351"/>
      <c r="AL1636" s="352">
        <v>0</v>
      </c>
      <c r="AM1636" s="352">
        <v>1</v>
      </c>
      <c r="AN1636" s="352">
        <v>1</v>
      </c>
      <c r="AO1636" s="352">
        <v>0</v>
      </c>
    </row>
    <row r="1637" spans="1:41" hidden="1">
      <c r="A1637" s="342">
        <v>155</v>
      </c>
      <c r="B1637" s="277" t="s">
        <v>167</v>
      </c>
      <c r="C1637" s="277">
        <v>0</v>
      </c>
      <c r="D1637" s="343" t="s">
        <v>19388</v>
      </c>
      <c r="E1637" s="277" t="s">
        <v>167</v>
      </c>
      <c r="F1637" s="344">
        <v>45433</v>
      </c>
      <c r="G1637" s="277">
        <v>2024</v>
      </c>
      <c r="H1637" s="383" t="s">
        <v>16444</v>
      </c>
      <c r="I1637" s="277" t="s">
        <v>16445</v>
      </c>
      <c r="J1637" s="277" t="s">
        <v>3</v>
      </c>
      <c r="K1637" s="278">
        <v>87696</v>
      </c>
      <c r="L1637" s="383">
        <v>1</v>
      </c>
      <c r="M1637" s="384">
        <v>87696</v>
      </c>
      <c r="N1637" s="277" t="s">
        <v>20155</v>
      </c>
      <c r="O1637" s="277" t="s">
        <v>20173</v>
      </c>
      <c r="P1637" s="890">
        <v>45442</v>
      </c>
      <c r="Q1637" s="347">
        <v>43200</v>
      </c>
      <c r="R1637" s="347">
        <v>0</v>
      </c>
      <c r="S1637" s="347">
        <v>0</v>
      </c>
      <c r="T1637" s="347">
        <v>0</v>
      </c>
      <c r="U1637" s="347">
        <v>43200</v>
      </c>
      <c r="V1637" s="348"/>
      <c r="W1637" s="349">
        <v>87696</v>
      </c>
      <c r="X1637" s="349">
        <v>0</v>
      </c>
      <c r="Y1637" s="349">
        <v>0</v>
      </c>
      <c r="Z1637" s="349">
        <v>0</v>
      </c>
      <c r="AA1637" s="350">
        <v>2.0299999999999998</v>
      </c>
      <c r="AB1637" s="350"/>
      <c r="AC1637" s="350"/>
      <c r="AD1637" s="350"/>
      <c r="AE1637" s="349">
        <v>0</v>
      </c>
      <c r="AF1637" s="349">
        <v>0</v>
      </c>
      <c r="AG1637" s="349">
        <v>0</v>
      </c>
      <c r="AH1637" s="351">
        <v>2.0299999999999998</v>
      </c>
      <c r="AI1637" s="351"/>
      <c r="AJ1637" s="351"/>
      <c r="AK1637" s="351"/>
      <c r="AL1637" s="352" t="s">
        <v>20345</v>
      </c>
      <c r="AM1637" s="352">
        <v>0</v>
      </c>
      <c r="AN1637" s="352">
        <v>0</v>
      </c>
      <c r="AO1637" s="352">
        <v>0</v>
      </c>
    </row>
    <row r="1638" spans="1:41" hidden="1">
      <c r="A1638" s="342">
        <v>156</v>
      </c>
      <c r="B1638" s="277" t="s">
        <v>168</v>
      </c>
      <c r="C1638" s="277">
        <v>0</v>
      </c>
      <c r="D1638" s="343" t="s">
        <v>19389</v>
      </c>
      <c r="E1638" s="277" t="s">
        <v>168</v>
      </c>
      <c r="F1638" s="344">
        <v>45433</v>
      </c>
      <c r="G1638" s="277">
        <v>2024</v>
      </c>
      <c r="H1638" s="383" t="s">
        <v>16444</v>
      </c>
      <c r="I1638" s="277" t="s">
        <v>16445</v>
      </c>
      <c r="J1638" s="277" t="s">
        <v>3</v>
      </c>
      <c r="K1638" s="278">
        <v>39632.5</v>
      </c>
      <c r="L1638" s="383">
        <v>1</v>
      </c>
      <c r="M1638" s="384">
        <v>39632.5</v>
      </c>
      <c r="N1638" s="277" t="s">
        <v>20155</v>
      </c>
      <c r="O1638" s="277" t="s">
        <v>17693</v>
      </c>
      <c r="P1638" s="890">
        <v>45439</v>
      </c>
      <c r="Q1638" s="347">
        <v>20750</v>
      </c>
      <c r="R1638" s="347">
        <v>0</v>
      </c>
      <c r="S1638" s="347">
        <v>0</v>
      </c>
      <c r="T1638" s="347">
        <v>0</v>
      </c>
      <c r="U1638" s="347">
        <v>20750</v>
      </c>
      <c r="V1638" s="348"/>
      <c r="W1638" s="349">
        <v>39632.5</v>
      </c>
      <c r="X1638" s="349">
        <v>0</v>
      </c>
      <c r="Y1638" s="349">
        <v>0</v>
      </c>
      <c r="Z1638" s="349">
        <v>0</v>
      </c>
      <c r="AA1638" s="350">
        <v>1.91</v>
      </c>
      <c r="AB1638" s="350"/>
      <c r="AC1638" s="350"/>
      <c r="AD1638" s="350"/>
      <c r="AE1638" s="349">
        <v>0</v>
      </c>
      <c r="AF1638" s="349">
        <v>0</v>
      </c>
      <c r="AG1638" s="349">
        <v>0</v>
      </c>
      <c r="AH1638" s="351">
        <v>1.91</v>
      </c>
      <c r="AI1638" s="351"/>
      <c r="AJ1638" s="351"/>
      <c r="AK1638" s="351"/>
      <c r="AL1638" s="352" t="s">
        <v>20345</v>
      </c>
      <c r="AM1638" s="352">
        <v>0</v>
      </c>
      <c r="AN1638" s="352">
        <v>0</v>
      </c>
      <c r="AO1638" s="352">
        <v>0</v>
      </c>
    </row>
    <row r="1639" spans="1:41" hidden="1">
      <c r="A1639" s="342">
        <v>157</v>
      </c>
      <c r="B1639" s="277" t="s">
        <v>169</v>
      </c>
      <c r="C1639" s="277">
        <v>0</v>
      </c>
      <c r="D1639" s="343" t="s">
        <v>19390</v>
      </c>
      <c r="E1639" s="277" t="s">
        <v>169</v>
      </c>
      <c r="F1639" s="344">
        <v>45439</v>
      </c>
      <c r="G1639" s="277">
        <v>2024</v>
      </c>
      <c r="H1639" s="383" t="s">
        <v>16823</v>
      </c>
      <c r="I1639" s="277" t="s">
        <v>16824</v>
      </c>
      <c r="J1639" s="277" t="s">
        <v>16401</v>
      </c>
      <c r="K1639" s="278">
        <v>87539.961599999995</v>
      </c>
      <c r="L1639" s="383">
        <v>3.1122000000000001</v>
      </c>
      <c r="M1639" s="384">
        <v>28128</v>
      </c>
      <c r="N1639" s="277" t="s">
        <v>20155</v>
      </c>
      <c r="O1639" s="277" t="s">
        <v>17965</v>
      </c>
      <c r="P1639" s="890">
        <v>45442</v>
      </c>
      <c r="Q1639" s="347">
        <v>38400</v>
      </c>
      <c r="R1639" s="347">
        <v>0</v>
      </c>
      <c r="S1639" s="347">
        <v>0</v>
      </c>
      <c r="T1639" s="347">
        <v>0</v>
      </c>
      <c r="U1639" s="347">
        <v>38400</v>
      </c>
      <c r="V1639" s="348"/>
      <c r="W1639" s="349">
        <v>87539.961599999995</v>
      </c>
      <c r="X1639" s="349">
        <v>0</v>
      </c>
      <c r="Y1639" s="349">
        <v>0</v>
      </c>
      <c r="Z1639" s="349">
        <v>0</v>
      </c>
      <c r="AA1639" s="350">
        <v>2.2796864999999999</v>
      </c>
      <c r="AB1639" s="350"/>
      <c r="AC1639" s="350"/>
      <c r="AD1639" s="350"/>
      <c r="AE1639" s="349">
        <v>1617.0374999999999</v>
      </c>
      <c r="AF1639" s="349">
        <v>9235.25</v>
      </c>
      <c r="AG1639" s="349">
        <v>0.24050130208333334</v>
      </c>
      <c r="AH1639" s="351">
        <v>2.0391851979166664</v>
      </c>
      <c r="AI1639" s="351"/>
      <c r="AJ1639" s="351"/>
      <c r="AK1639" s="351"/>
      <c r="AL1639" s="352" t="s">
        <v>20345</v>
      </c>
      <c r="AM1639" s="352">
        <v>0</v>
      </c>
      <c r="AN1639" s="352">
        <v>0</v>
      </c>
      <c r="AO1639" s="352">
        <v>0</v>
      </c>
    </row>
    <row r="1640" spans="1:41" hidden="1">
      <c r="A1640" s="342">
        <v>158</v>
      </c>
      <c r="B1640" s="277" t="s">
        <v>170</v>
      </c>
      <c r="C1640" s="277">
        <v>0</v>
      </c>
      <c r="D1640" s="343" t="s">
        <v>19391</v>
      </c>
      <c r="E1640" s="277" t="s">
        <v>170</v>
      </c>
      <c r="F1640" s="344">
        <v>45440</v>
      </c>
      <c r="G1640" s="277">
        <v>2024</v>
      </c>
      <c r="H1640" s="383" t="s">
        <v>17259</v>
      </c>
      <c r="I1640" s="277" t="s">
        <v>17260</v>
      </c>
      <c r="J1640" s="277" t="s">
        <v>16401</v>
      </c>
      <c r="K1640" s="278">
        <v>94633.987800000003</v>
      </c>
      <c r="L1640" s="383">
        <v>3.1103000000000001</v>
      </c>
      <c r="M1640" s="384">
        <v>30426</v>
      </c>
      <c r="N1640" s="277" t="s">
        <v>20155</v>
      </c>
      <c r="O1640" s="277" t="s">
        <v>17261</v>
      </c>
      <c r="P1640" s="890">
        <v>45450</v>
      </c>
      <c r="Q1640" s="347">
        <v>4800</v>
      </c>
      <c r="R1640" s="347">
        <v>34200</v>
      </c>
      <c r="S1640" s="347">
        <v>0</v>
      </c>
      <c r="T1640" s="347">
        <v>0</v>
      </c>
      <c r="U1640" s="347">
        <v>39000</v>
      </c>
      <c r="V1640" s="348"/>
      <c r="W1640" s="349">
        <v>12489.050769230767</v>
      </c>
      <c r="X1640" s="349">
        <v>77740.752230769227</v>
      </c>
      <c r="Y1640" s="349">
        <v>0</v>
      </c>
      <c r="Z1640" s="349">
        <v>4404.1847999999991</v>
      </c>
      <c r="AA1640" s="350">
        <v>2.6018855769230766</v>
      </c>
      <c r="AB1640" s="350">
        <v>2.2731214102564103</v>
      </c>
      <c r="AC1640" s="350"/>
      <c r="AD1640" s="350"/>
      <c r="AE1640" s="349">
        <v>4921.25</v>
      </c>
      <c r="AF1640" s="349">
        <v>22932.125</v>
      </c>
      <c r="AG1640" s="349">
        <v>0.58800320512820514</v>
      </c>
      <c r="AH1640" s="351">
        <v>2.0138823717948715</v>
      </c>
      <c r="AI1640" s="351">
        <v>1.6851182051282052</v>
      </c>
      <c r="AJ1640" s="351"/>
      <c r="AK1640" s="351"/>
      <c r="AL1640" s="352" t="s">
        <v>20345</v>
      </c>
      <c r="AM1640" s="352" t="s">
        <v>20348</v>
      </c>
      <c r="AN1640" s="352">
        <v>0</v>
      </c>
      <c r="AO1640" s="352">
        <v>0</v>
      </c>
    </row>
    <row r="1641" spans="1:41" hidden="1">
      <c r="A1641" s="342">
        <v>159</v>
      </c>
      <c r="B1641" s="277" t="s">
        <v>171</v>
      </c>
      <c r="C1641" s="277">
        <v>0</v>
      </c>
      <c r="D1641" s="343" t="s">
        <v>19392</v>
      </c>
      <c r="E1641" s="277" t="s">
        <v>171</v>
      </c>
      <c r="F1641" s="344">
        <v>45440</v>
      </c>
      <c r="G1641" s="277">
        <v>2024</v>
      </c>
      <c r="H1641" s="383" t="s">
        <v>17017</v>
      </c>
      <c r="I1641" s="277" t="s">
        <v>17018</v>
      </c>
      <c r="J1641" s="277" t="s">
        <v>3</v>
      </c>
      <c r="K1641" s="278">
        <v>37420.160000000003</v>
      </c>
      <c r="L1641" s="383">
        <v>1</v>
      </c>
      <c r="M1641" s="384">
        <v>37420.160000000003</v>
      </c>
      <c r="N1641" s="277" t="s">
        <v>20155</v>
      </c>
      <c r="O1641" s="277" t="s">
        <v>17889</v>
      </c>
      <c r="P1641" s="890">
        <v>45469</v>
      </c>
      <c r="Q1641" s="347">
        <v>5760</v>
      </c>
      <c r="R1641" s="347">
        <v>4421</v>
      </c>
      <c r="S1641" s="347">
        <v>2880</v>
      </c>
      <c r="T1641" s="347">
        <v>560</v>
      </c>
      <c r="U1641" s="347">
        <v>13621</v>
      </c>
      <c r="V1641" s="348"/>
      <c r="W1641" s="349">
        <v>14976</v>
      </c>
      <c r="X1641" s="349">
        <v>11936.16</v>
      </c>
      <c r="Y1641" s="349">
        <v>7344</v>
      </c>
      <c r="Z1641" s="349">
        <v>3164</v>
      </c>
      <c r="AA1641" s="350">
        <v>2.6</v>
      </c>
      <c r="AB1641" s="350">
        <v>2.6998778556887584</v>
      </c>
      <c r="AC1641" s="350">
        <v>2.5499999999999998</v>
      </c>
      <c r="AD1641" s="350">
        <v>5.65</v>
      </c>
      <c r="AE1641" s="349">
        <v>0</v>
      </c>
      <c r="AF1641" s="349">
        <v>0</v>
      </c>
      <c r="AG1641" s="349">
        <v>0</v>
      </c>
      <c r="AH1641" s="351">
        <v>2.6</v>
      </c>
      <c r="AI1641" s="351">
        <v>2.6998778556887584</v>
      </c>
      <c r="AJ1641" s="351">
        <v>2.5499999999999998</v>
      </c>
      <c r="AK1641" s="351">
        <v>5.65</v>
      </c>
      <c r="AL1641" s="352">
        <v>1</v>
      </c>
      <c r="AM1641" s="352">
        <v>1</v>
      </c>
      <c r="AN1641" s="352">
        <v>1</v>
      </c>
      <c r="AO1641" s="352">
        <v>1</v>
      </c>
    </row>
    <row r="1642" spans="1:41" hidden="1">
      <c r="A1642" s="342">
        <v>160</v>
      </c>
      <c r="B1642" s="277" t="s">
        <v>172</v>
      </c>
      <c r="C1642" s="277">
        <v>0</v>
      </c>
      <c r="D1642" s="343" t="s">
        <v>19393</v>
      </c>
      <c r="E1642" s="277" t="s">
        <v>172</v>
      </c>
      <c r="F1642" s="344">
        <v>45440</v>
      </c>
      <c r="G1642" s="277">
        <v>2024</v>
      </c>
      <c r="H1642" s="383" t="s">
        <v>17226</v>
      </c>
      <c r="I1642" s="277" t="s">
        <v>17227</v>
      </c>
      <c r="J1642" s="277" t="s">
        <v>3</v>
      </c>
      <c r="K1642" s="278">
        <v>214072</v>
      </c>
      <c r="L1642" s="383">
        <v>1</v>
      </c>
      <c r="M1642" s="384">
        <v>214072</v>
      </c>
      <c r="N1642" s="277" t="s">
        <v>20155</v>
      </c>
      <c r="O1642" s="277" t="s">
        <v>17689</v>
      </c>
      <c r="P1642" s="890">
        <v>45446</v>
      </c>
      <c r="Q1642" s="347">
        <v>0</v>
      </c>
      <c r="R1642" s="347">
        <v>70800</v>
      </c>
      <c r="S1642" s="347">
        <v>3840</v>
      </c>
      <c r="T1642" s="347">
        <v>3200</v>
      </c>
      <c r="U1642" s="347">
        <v>77840</v>
      </c>
      <c r="V1642" s="348"/>
      <c r="W1642" s="349">
        <v>0</v>
      </c>
      <c r="X1642" s="349">
        <v>188280</v>
      </c>
      <c r="Y1642" s="349">
        <v>9792</v>
      </c>
      <c r="Z1642" s="349">
        <v>16000</v>
      </c>
      <c r="AA1642" s="350"/>
      <c r="AB1642" s="350">
        <v>2.659322033898305</v>
      </c>
      <c r="AC1642" s="350">
        <v>2.5499999999999998</v>
      </c>
      <c r="AD1642" s="350">
        <v>5</v>
      </c>
      <c r="AE1642" s="349">
        <v>0</v>
      </c>
      <c r="AF1642" s="349">
        <v>0</v>
      </c>
      <c r="AG1642" s="349">
        <v>0</v>
      </c>
      <c r="AH1642" s="351">
        <v>0</v>
      </c>
      <c r="AI1642" s="351">
        <v>2.659322033898305</v>
      </c>
      <c r="AJ1642" s="351">
        <v>2.5499999999999998</v>
      </c>
      <c r="AK1642" s="351">
        <v>5</v>
      </c>
      <c r="AL1642" s="352">
        <v>0</v>
      </c>
      <c r="AM1642" s="352">
        <v>1</v>
      </c>
      <c r="AN1642" s="352">
        <v>1</v>
      </c>
      <c r="AO1642" s="352">
        <v>1</v>
      </c>
    </row>
    <row r="1643" spans="1:41" hidden="1">
      <c r="A1643" s="342">
        <v>161</v>
      </c>
      <c r="B1643" s="277" t="s">
        <v>173</v>
      </c>
      <c r="C1643" s="277">
        <v>0</v>
      </c>
      <c r="D1643" s="343" t="s">
        <v>19394</v>
      </c>
      <c r="E1643" s="277" t="s">
        <v>173</v>
      </c>
      <c r="F1643" s="344">
        <v>45446</v>
      </c>
      <c r="G1643" s="277">
        <v>2024</v>
      </c>
      <c r="H1643" s="383" t="s">
        <v>16823</v>
      </c>
      <c r="I1643" s="277" t="s">
        <v>16824</v>
      </c>
      <c r="J1643" s="277" t="s">
        <v>16401</v>
      </c>
      <c r="K1643" s="278">
        <v>62954.124749999995</v>
      </c>
      <c r="L1643" s="383">
        <v>3.1337999999999999</v>
      </c>
      <c r="M1643" s="384">
        <v>20088.75</v>
      </c>
      <c r="N1643" s="277" t="s">
        <v>20155</v>
      </c>
      <c r="O1643" s="277" t="s">
        <v>20312</v>
      </c>
      <c r="P1643" s="890">
        <v>45456</v>
      </c>
      <c r="Q1643" s="347">
        <v>16500</v>
      </c>
      <c r="R1643" s="347">
        <v>11250</v>
      </c>
      <c r="S1643" s="347">
        <v>0</v>
      </c>
      <c r="T1643" s="347">
        <v>0</v>
      </c>
      <c r="U1643" s="347">
        <v>27750</v>
      </c>
      <c r="V1643" s="348"/>
      <c r="W1643" s="349">
        <v>38138.235121621627</v>
      </c>
      <c r="X1643" s="349">
        <v>24770.392753378379</v>
      </c>
      <c r="Y1643" s="349">
        <v>0</v>
      </c>
      <c r="Z1643" s="349">
        <v>0</v>
      </c>
      <c r="AA1643" s="350">
        <v>2.3114081891891893</v>
      </c>
      <c r="AB1643" s="350">
        <v>2.2018126891891892</v>
      </c>
      <c r="AC1643" s="350"/>
      <c r="AD1643" s="350"/>
      <c r="AE1643" s="349">
        <v>1742.51</v>
      </c>
      <c r="AF1643" s="349">
        <v>8714.34</v>
      </c>
      <c r="AG1643" s="349">
        <v>0.31403027027027025</v>
      </c>
      <c r="AH1643" s="351">
        <v>1.9973779189189191</v>
      </c>
      <c r="AI1643" s="351">
        <v>1.887782418918919</v>
      </c>
      <c r="AJ1643" s="351"/>
      <c r="AK1643" s="351"/>
      <c r="AL1643" s="352" t="s">
        <v>20345</v>
      </c>
      <c r="AM1643" s="352" t="s">
        <v>20346</v>
      </c>
      <c r="AN1643" s="352">
        <v>0</v>
      </c>
      <c r="AO1643" s="352">
        <v>0</v>
      </c>
    </row>
    <row r="1644" spans="1:41" hidden="1">
      <c r="A1644" s="342">
        <v>162</v>
      </c>
      <c r="B1644" s="277" t="s">
        <v>174</v>
      </c>
      <c r="C1644" s="277">
        <v>0</v>
      </c>
      <c r="D1644" s="343" t="s">
        <v>19395</v>
      </c>
      <c r="E1644" s="277" t="s">
        <v>174</v>
      </c>
      <c r="F1644" s="344">
        <v>45446</v>
      </c>
      <c r="G1644" s="277">
        <v>2024</v>
      </c>
      <c r="H1644" s="383" t="s">
        <v>16384</v>
      </c>
      <c r="I1644" s="277" t="s">
        <v>16385</v>
      </c>
      <c r="J1644" s="277" t="s">
        <v>3</v>
      </c>
      <c r="K1644" s="278">
        <v>119808</v>
      </c>
      <c r="L1644" s="383">
        <v>1</v>
      </c>
      <c r="M1644" s="384">
        <v>119808</v>
      </c>
      <c r="N1644" s="277" t="s">
        <v>20155</v>
      </c>
      <c r="O1644" s="277" t="s">
        <v>17965</v>
      </c>
      <c r="P1644" s="890">
        <v>45453</v>
      </c>
      <c r="Q1644" s="347">
        <v>57600</v>
      </c>
      <c r="R1644" s="347">
        <v>0</v>
      </c>
      <c r="S1644" s="347">
        <v>0</v>
      </c>
      <c r="T1644" s="347">
        <v>0</v>
      </c>
      <c r="U1644" s="347">
        <v>57600</v>
      </c>
      <c r="V1644" s="348"/>
      <c r="W1644" s="349">
        <v>119808</v>
      </c>
      <c r="X1644" s="349">
        <v>0</v>
      </c>
      <c r="Y1644" s="349">
        <v>0</v>
      </c>
      <c r="Z1644" s="349">
        <v>0</v>
      </c>
      <c r="AA1644" s="350">
        <v>2.08</v>
      </c>
      <c r="AB1644" s="350"/>
      <c r="AC1644" s="350"/>
      <c r="AD1644" s="350"/>
      <c r="AE1644" s="349">
        <v>0</v>
      </c>
      <c r="AF1644" s="349">
        <v>0</v>
      </c>
      <c r="AG1644" s="349">
        <v>0</v>
      </c>
      <c r="AH1644" s="351">
        <v>2.08</v>
      </c>
      <c r="AI1644" s="351">
        <v>0</v>
      </c>
      <c r="AJ1644" s="351">
        <v>0</v>
      </c>
      <c r="AK1644" s="351">
        <v>0</v>
      </c>
      <c r="AL1644" s="352" t="s">
        <v>20345</v>
      </c>
      <c r="AM1644" s="352">
        <v>0</v>
      </c>
      <c r="AN1644" s="352">
        <v>0</v>
      </c>
      <c r="AO1644" s="352">
        <v>0</v>
      </c>
    </row>
    <row r="1645" spans="1:41" hidden="1">
      <c r="A1645" s="342">
        <v>163</v>
      </c>
      <c r="B1645" s="277" t="s">
        <v>175</v>
      </c>
      <c r="C1645" s="277">
        <v>0</v>
      </c>
      <c r="D1645" s="343" t="s">
        <v>19396</v>
      </c>
      <c r="E1645" s="277" t="s">
        <v>175</v>
      </c>
      <c r="F1645" s="344">
        <v>45446</v>
      </c>
      <c r="G1645" s="277">
        <v>2024</v>
      </c>
      <c r="H1645" s="383" t="s">
        <v>16384</v>
      </c>
      <c r="I1645" s="277" t="s">
        <v>16385</v>
      </c>
      <c r="J1645" s="277" t="s">
        <v>3</v>
      </c>
      <c r="K1645" s="278">
        <v>39552</v>
      </c>
      <c r="L1645" s="383">
        <v>1</v>
      </c>
      <c r="M1645" s="384">
        <v>39552</v>
      </c>
      <c r="N1645" s="277" t="s">
        <v>20155</v>
      </c>
      <c r="O1645" s="277" t="s">
        <v>17965</v>
      </c>
      <c r="P1645" s="890">
        <v>45454</v>
      </c>
      <c r="Q1645" s="347">
        <v>19200</v>
      </c>
      <c r="R1645" s="347">
        <v>0</v>
      </c>
      <c r="S1645" s="347">
        <v>0</v>
      </c>
      <c r="T1645" s="347">
        <v>0</v>
      </c>
      <c r="U1645" s="347">
        <v>19200</v>
      </c>
      <c r="V1645" s="348"/>
      <c r="W1645" s="349">
        <v>39552</v>
      </c>
      <c r="X1645" s="349">
        <v>0</v>
      </c>
      <c r="Y1645" s="349">
        <v>0</v>
      </c>
      <c r="Z1645" s="349">
        <v>0</v>
      </c>
      <c r="AA1645" s="350">
        <v>2.06</v>
      </c>
      <c r="AB1645" s="350"/>
      <c r="AC1645" s="350"/>
      <c r="AD1645" s="350"/>
      <c r="AE1645" s="349">
        <v>0</v>
      </c>
      <c r="AF1645" s="349">
        <v>0</v>
      </c>
      <c r="AG1645" s="349">
        <v>0</v>
      </c>
      <c r="AH1645" s="351">
        <v>2.06</v>
      </c>
      <c r="AI1645" s="351">
        <v>0</v>
      </c>
      <c r="AJ1645" s="351">
        <v>0</v>
      </c>
      <c r="AK1645" s="351">
        <v>0</v>
      </c>
      <c r="AL1645" s="352" t="s">
        <v>20345</v>
      </c>
      <c r="AM1645" s="352">
        <v>0</v>
      </c>
      <c r="AN1645" s="352">
        <v>0</v>
      </c>
      <c r="AO1645" s="352">
        <v>0</v>
      </c>
    </row>
    <row r="1646" spans="1:41" hidden="1">
      <c r="A1646" s="342">
        <v>164</v>
      </c>
      <c r="B1646" s="277" t="s">
        <v>176</v>
      </c>
      <c r="C1646" s="277">
        <v>0</v>
      </c>
      <c r="D1646" s="343" t="s">
        <v>19397</v>
      </c>
      <c r="E1646" s="277" t="s">
        <v>176</v>
      </c>
      <c r="F1646" s="344">
        <v>45447</v>
      </c>
      <c r="G1646" s="277">
        <v>2024</v>
      </c>
      <c r="H1646" s="383" t="s">
        <v>16470</v>
      </c>
      <c r="I1646" s="277" t="s">
        <v>16471</v>
      </c>
      <c r="J1646" s="277" t="s">
        <v>16401</v>
      </c>
      <c r="K1646" s="278">
        <v>524291.30527500005</v>
      </c>
      <c r="L1646" s="383">
        <v>3.1065</v>
      </c>
      <c r="M1646" s="384">
        <v>168772.35</v>
      </c>
      <c r="N1646" s="277" t="s">
        <v>20155</v>
      </c>
      <c r="O1646" s="277" t="s">
        <v>18227</v>
      </c>
      <c r="P1646" s="890">
        <v>45454</v>
      </c>
      <c r="Q1646" s="347">
        <v>11544</v>
      </c>
      <c r="R1646" s="347">
        <v>238810</v>
      </c>
      <c r="S1646" s="347">
        <v>30000</v>
      </c>
      <c r="T1646" s="347">
        <v>0</v>
      </c>
      <c r="U1646" s="347">
        <v>280354</v>
      </c>
      <c r="V1646" s="348"/>
      <c r="W1646" s="349">
        <v>20078.956724855008</v>
      </c>
      <c r="X1646" s="349">
        <v>443326.65283804783</v>
      </c>
      <c r="Y1646" s="349">
        <v>60235.505262097198</v>
      </c>
      <c r="Z1646" s="349">
        <v>0</v>
      </c>
      <c r="AA1646" s="350">
        <v>1.7393413656319308</v>
      </c>
      <c r="AB1646" s="350">
        <v>1.8563990320256598</v>
      </c>
      <c r="AC1646" s="350">
        <v>2.0078501754032398</v>
      </c>
      <c r="AD1646" s="350"/>
      <c r="AE1646" s="349">
        <v>16170.375</v>
      </c>
      <c r="AF1646" s="349">
        <v>79105.600000000006</v>
      </c>
      <c r="AG1646" s="349">
        <v>0.28216326501494543</v>
      </c>
      <c r="AH1646" s="351">
        <v>1.4571781006169853</v>
      </c>
      <c r="AI1646" s="351">
        <v>1.5742357670107143</v>
      </c>
      <c r="AJ1646" s="351">
        <v>1.7256869103882944</v>
      </c>
      <c r="AK1646" s="351"/>
      <c r="AL1646" s="352" t="s">
        <v>20345</v>
      </c>
      <c r="AM1646" s="352" t="s">
        <v>20346</v>
      </c>
      <c r="AN1646" s="352" t="s">
        <v>20347</v>
      </c>
      <c r="AO1646" s="352">
        <v>0</v>
      </c>
    </row>
    <row r="1647" spans="1:41" hidden="1">
      <c r="A1647" s="342">
        <v>165</v>
      </c>
      <c r="B1647" s="277" t="s">
        <v>177</v>
      </c>
      <c r="C1647" s="277">
        <v>0</v>
      </c>
      <c r="D1647" s="343" t="s">
        <v>19398</v>
      </c>
      <c r="E1647" s="277" t="s">
        <v>177</v>
      </c>
      <c r="F1647" s="344">
        <v>45447</v>
      </c>
      <c r="G1647" s="277">
        <v>2024</v>
      </c>
      <c r="H1647" s="383" t="s">
        <v>16904</v>
      </c>
      <c r="I1647" s="277" t="s">
        <v>16905</v>
      </c>
      <c r="J1647" s="277" t="s">
        <v>16482</v>
      </c>
      <c r="K1647" s="278">
        <v>79029.892549000011</v>
      </c>
      <c r="L1647" s="383">
        <v>3.3705500000000002</v>
      </c>
      <c r="M1647" s="384">
        <v>23447.18</v>
      </c>
      <c r="N1647" s="277" t="s">
        <v>20155</v>
      </c>
      <c r="O1647" s="277" t="s">
        <v>20160</v>
      </c>
      <c r="P1647" s="890">
        <v>45456</v>
      </c>
      <c r="Q1647" s="347">
        <v>0</v>
      </c>
      <c r="R1647" s="347">
        <v>17712</v>
      </c>
      <c r="S1647" s="347">
        <v>7500</v>
      </c>
      <c r="T1647" s="347">
        <v>0</v>
      </c>
      <c r="U1647" s="347">
        <v>25212</v>
      </c>
      <c r="V1647" s="348"/>
      <c r="W1647" s="349">
        <v>0</v>
      </c>
      <c r="X1647" s="349">
        <v>55733.39612771252</v>
      </c>
      <c r="Y1647" s="349">
        <v>23296.49642128748</v>
      </c>
      <c r="Z1647" s="349">
        <v>0</v>
      </c>
      <c r="AA1647" s="350"/>
      <c r="AB1647" s="350">
        <v>3.1466461228383311</v>
      </c>
      <c r="AC1647" s="350">
        <v>3.1061995228383306</v>
      </c>
      <c r="AD1647" s="350"/>
      <c r="AE1647" s="349">
        <v>3769.4</v>
      </c>
      <c r="AF1647" s="349">
        <v>16224.08</v>
      </c>
      <c r="AG1647" s="349">
        <v>0.64350626685705214</v>
      </c>
      <c r="AH1647" s="351"/>
      <c r="AI1647" s="351">
        <v>2.5031398559812787</v>
      </c>
      <c r="AJ1647" s="351">
        <v>2.4626932559812786</v>
      </c>
      <c r="AK1647" s="351"/>
      <c r="AL1647" s="352">
        <v>0</v>
      </c>
      <c r="AM1647" s="352">
        <v>1</v>
      </c>
      <c r="AN1647" s="352">
        <v>1</v>
      </c>
      <c r="AO1647" s="352">
        <v>0</v>
      </c>
    </row>
    <row r="1648" spans="1:41" hidden="1">
      <c r="A1648" s="342">
        <v>166</v>
      </c>
      <c r="B1648" s="277" t="s">
        <v>178</v>
      </c>
      <c r="C1648" s="277">
        <v>0</v>
      </c>
      <c r="D1648" s="343" t="s">
        <v>19399</v>
      </c>
      <c r="E1648" s="277" t="s">
        <v>178</v>
      </c>
      <c r="F1648" s="344">
        <v>45447</v>
      </c>
      <c r="G1648" s="277">
        <v>2024</v>
      </c>
      <c r="H1648" s="383" t="s">
        <v>16643</v>
      </c>
      <c r="I1648" s="277" t="s">
        <v>16644</v>
      </c>
      <c r="J1648" s="277" t="s">
        <v>16482</v>
      </c>
      <c r="K1648" s="278">
        <v>102452.22975</v>
      </c>
      <c r="L1648" s="383">
        <v>3.37025</v>
      </c>
      <c r="M1648" s="384">
        <v>30399</v>
      </c>
      <c r="N1648" s="277" t="s">
        <v>20155</v>
      </c>
      <c r="O1648" s="277" t="s">
        <v>18227</v>
      </c>
      <c r="P1648" s="890">
        <v>45455</v>
      </c>
      <c r="Q1648" s="347">
        <v>0</v>
      </c>
      <c r="R1648" s="347">
        <v>40800</v>
      </c>
      <c r="S1648" s="347">
        <v>5000</v>
      </c>
      <c r="T1648" s="347">
        <v>0</v>
      </c>
      <c r="U1648" s="347">
        <v>45800</v>
      </c>
      <c r="V1648" s="348"/>
      <c r="W1648" s="349">
        <v>0</v>
      </c>
      <c r="X1648" s="349">
        <v>91625.117659388648</v>
      </c>
      <c r="Y1648" s="349">
        <v>10827.112090611354</v>
      </c>
      <c r="Z1648" s="349">
        <v>0</v>
      </c>
      <c r="AA1648" s="350"/>
      <c r="AB1648" s="350">
        <v>2.2457136681222707</v>
      </c>
      <c r="AC1648" s="350">
        <v>2.1654224181222705</v>
      </c>
      <c r="AD1648" s="350"/>
      <c r="AE1648" s="349">
        <v>2669.52</v>
      </c>
      <c r="AF1648" s="349">
        <v>13947.11</v>
      </c>
      <c r="AG1648" s="349">
        <v>0.30452205240174673</v>
      </c>
      <c r="AH1648" s="351"/>
      <c r="AI1648" s="351">
        <v>1.941191615720524</v>
      </c>
      <c r="AJ1648" s="351">
        <v>1.8609003657205239</v>
      </c>
      <c r="AK1648" s="351"/>
      <c r="AL1648" s="352">
        <v>0</v>
      </c>
      <c r="AM1648" s="352" t="s">
        <v>20346</v>
      </c>
      <c r="AN1648" s="352" t="s">
        <v>20347</v>
      </c>
      <c r="AO1648" s="352">
        <v>0</v>
      </c>
    </row>
    <row r="1649" spans="1:41" hidden="1">
      <c r="A1649" s="342">
        <v>167</v>
      </c>
      <c r="B1649" s="277" t="s">
        <v>179</v>
      </c>
      <c r="C1649" s="277">
        <v>0</v>
      </c>
      <c r="D1649" s="343" t="s">
        <v>19400</v>
      </c>
      <c r="E1649" s="277" t="s">
        <v>179</v>
      </c>
      <c r="F1649" s="344">
        <v>45447</v>
      </c>
      <c r="G1649" s="277">
        <v>2024</v>
      </c>
      <c r="H1649" s="383" t="s">
        <v>17321</v>
      </c>
      <c r="I1649" s="277" t="s">
        <v>17322</v>
      </c>
      <c r="J1649" s="277" t="s">
        <v>16401</v>
      </c>
      <c r="K1649" s="278">
        <v>139065.58575</v>
      </c>
      <c r="L1649" s="383">
        <v>3.1310500000000001</v>
      </c>
      <c r="M1649" s="384">
        <v>44415</v>
      </c>
      <c r="N1649" s="277" t="s">
        <v>20155</v>
      </c>
      <c r="O1649" s="277" t="s">
        <v>17939</v>
      </c>
      <c r="P1649" s="890">
        <v>45456</v>
      </c>
      <c r="Q1649" s="347">
        <v>0</v>
      </c>
      <c r="R1649" s="347">
        <v>0</v>
      </c>
      <c r="S1649" s="347">
        <v>0</v>
      </c>
      <c r="T1649" s="347">
        <v>22500</v>
      </c>
      <c r="U1649" s="347">
        <v>22500</v>
      </c>
      <c r="V1649" s="348"/>
      <c r="W1649" s="349">
        <v>0</v>
      </c>
      <c r="X1649" s="349">
        <v>0</v>
      </c>
      <c r="Y1649" s="349">
        <v>0</v>
      </c>
      <c r="Z1649" s="349">
        <v>139065.58575</v>
      </c>
      <c r="AA1649" s="350"/>
      <c r="AB1649" s="350"/>
      <c r="AC1649" s="350"/>
      <c r="AD1649" s="350">
        <v>6.1806926999999998</v>
      </c>
      <c r="AE1649" s="349">
        <v>0</v>
      </c>
      <c r="AF1649" s="349">
        <v>0</v>
      </c>
      <c r="AG1649" s="349">
        <v>0</v>
      </c>
      <c r="AH1649" s="351">
        <v>0</v>
      </c>
      <c r="AI1649" s="351">
        <v>0</v>
      </c>
      <c r="AJ1649" s="351">
        <v>0</v>
      </c>
      <c r="AK1649" s="351">
        <v>6.1806926999999998</v>
      </c>
      <c r="AL1649" s="352">
        <v>0</v>
      </c>
      <c r="AM1649" s="352">
        <v>0</v>
      </c>
      <c r="AN1649" s="352">
        <v>0</v>
      </c>
      <c r="AO1649" s="352">
        <v>1</v>
      </c>
    </row>
    <row r="1650" spans="1:41" hidden="1">
      <c r="A1650" s="342">
        <v>168</v>
      </c>
      <c r="B1650" s="277" t="s">
        <v>180</v>
      </c>
      <c r="C1650" s="277">
        <v>0</v>
      </c>
      <c r="D1650" s="343" t="s">
        <v>19401</v>
      </c>
      <c r="E1650" s="277" t="s">
        <v>180</v>
      </c>
      <c r="F1650" s="344">
        <v>45448</v>
      </c>
      <c r="G1650" s="277">
        <v>2024</v>
      </c>
      <c r="H1650" s="383" t="s">
        <v>16838</v>
      </c>
      <c r="I1650" s="277" t="s">
        <v>16839</v>
      </c>
      <c r="J1650" s="277" t="s">
        <v>3</v>
      </c>
      <c r="K1650" s="278">
        <v>294012.5</v>
      </c>
      <c r="L1650" s="383">
        <v>1</v>
      </c>
      <c r="M1650" s="384">
        <v>294012.5</v>
      </c>
      <c r="N1650" s="277" t="s">
        <v>20155</v>
      </c>
      <c r="O1650" s="277" t="s">
        <v>17771</v>
      </c>
      <c r="P1650" s="890">
        <v>45457</v>
      </c>
      <c r="Q1650" s="347">
        <v>22550</v>
      </c>
      <c r="R1650" s="347">
        <v>28620</v>
      </c>
      <c r="S1650" s="347">
        <v>112000</v>
      </c>
      <c r="T1650" s="347">
        <v>0</v>
      </c>
      <c r="U1650" s="347">
        <v>163170</v>
      </c>
      <c r="V1650" s="348"/>
      <c r="W1650" s="349">
        <v>44566.5</v>
      </c>
      <c r="X1650" s="349">
        <v>47214</v>
      </c>
      <c r="Y1650" s="349">
        <v>192080</v>
      </c>
      <c r="Z1650" s="349">
        <v>10152</v>
      </c>
      <c r="AA1650" s="350">
        <v>1.9763414634146341</v>
      </c>
      <c r="AB1650" s="350">
        <v>1.6496855345911949</v>
      </c>
      <c r="AC1650" s="350">
        <v>1.7150000000000001</v>
      </c>
      <c r="AD1650" s="350"/>
      <c r="AE1650" s="349">
        <v>0</v>
      </c>
      <c r="AF1650" s="349">
        <v>0</v>
      </c>
      <c r="AG1650" s="349">
        <v>0</v>
      </c>
      <c r="AH1650" s="351">
        <v>1.9763414634146341</v>
      </c>
      <c r="AI1650" s="351">
        <v>1.6496855345911949</v>
      </c>
      <c r="AJ1650" s="351">
        <v>1.7150000000000001</v>
      </c>
      <c r="AK1650" s="351">
        <v>0</v>
      </c>
      <c r="AL1650" s="352" t="s">
        <v>20345</v>
      </c>
      <c r="AM1650" s="352" t="s">
        <v>20346</v>
      </c>
      <c r="AN1650" s="352" t="s">
        <v>20347</v>
      </c>
      <c r="AO1650" s="352">
        <v>0</v>
      </c>
    </row>
    <row r="1651" spans="1:41" hidden="1">
      <c r="A1651" s="342">
        <v>169</v>
      </c>
      <c r="B1651" s="277" t="s">
        <v>181</v>
      </c>
      <c r="C1651" s="277">
        <v>0</v>
      </c>
      <c r="D1651" s="343" t="s">
        <v>19402</v>
      </c>
      <c r="E1651" s="277" t="s">
        <v>181</v>
      </c>
      <c r="F1651" s="618">
        <v>45453</v>
      </c>
      <c r="G1651" s="619">
        <v>2024</v>
      </c>
      <c r="H1651" s="383" t="s">
        <v>17299</v>
      </c>
      <c r="I1651" s="277" t="s">
        <v>17300</v>
      </c>
      <c r="J1651" s="277" t="s">
        <v>16482</v>
      </c>
      <c r="K1651" s="278">
        <v>174055.20200000002</v>
      </c>
      <c r="L1651" s="383">
        <v>3.3705500000000002</v>
      </c>
      <c r="M1651" s="384">
        <v>51640</v>
      </c>
      <c r="N1651" s="277" t="s">
        <v>20155</v>
      </c>
      <c r="O1651" s="277" t="s">
        <v>20321</v>
      </c>
      <c r="P1651" s="890">
        <v>45456</v>
      </c>
      <c r="Q1651" s="347">
        <v>76800</v>
      </c>
      <c r="R1651" s="347">
        <v>0</v>
      </c>
      <c r="S1651" s="347">
        <v>0</v>
      </c>
      <c r="T1651" s="347">
        <v>0</v>
      </c>
      <c r="U1651" s="347">
        <v>76800</v>
      </c>
      <c r="V1651" s="348"/>
      <c r="W1651" s="349">
        <v>174055.20199999999</v>
      </c>
      <c r="X1651" s="349">
        <v>0</v>
      </c>
      <c r="Y1651" s="349">
        <v>0</v>
      </c>
      <c r="Z1651" s="349">
        <v>0</v>
      </c>
      <c r="AA1651" s="350">
        <v>2.2663437760416665</v>
      </c>
      <c r="AB1651" s="350"/>
      <c r="AC1651" s="350"/>
      <c r="AD1651" s="350"/>
      <c r="AE1651" s="349">
        <v>3750.04</v>
      </c>
      <c r="AF1651" s="349">
        <v>21219.99</v>
      </c>
      <c r="AG1651" s="349">
        <v>0.276301953125</v>
      </c>
      <c r="AH1651" s="351">
        <v>1.9900418229166665</v>
      </c>
      <c r="AI1651" s="351"/>
      <c r="AJ1651" s="351"/>
      <c r="AK1651" s="351"/>
      <c r="AL1651" s="352" t="s">
        <v>20345</v>
      </c>
      <c r="AM1651" s="352">
        <v>0</v>
      </c>
      <c r="AN1651" s="352">
        <v>0</v>
      </c>
      <c r="AO1651" s="352">
        <v>0</v>
      </c>
    </row>
    <row r="1652" spans="1:41" hidden="1">
      <c r="A1652" s="342">
        <v>170</v>
      </c>
      <c r="B1652" s="277" t="s">
        <v>182</v>
      </c>
      <c r="C1652" s="277">
        <v>0</v>
      </c>
      <c r="D1652" s="343" t="s">
        <v>19403</v>
      </c>
      <c r="E1652" s="277" t="s">
        <v>182</v>
      </c>
      <c r="F1652" s="618">
        <v>45453</v>
      </c>
      <c r="G1652" s="619">
        <v>2024</v>
      </c>
      <c r="H1652" s="383" t="s">
        <v>17017</v>
      </c>
      <c r="I1652" s="277" t="s">
        <v>17018</v>
      </c>
      <c r="J1652" s="277" t="s">
        <v>3</v>
      </c>
      <c r="K1652" s="278">
        <v>51250</v>
      </c>
      <c r="L1652" s="383">
        <v>1</v>
      </c>
      <c r="M1652" s="384">
        <v>51250</v>
      </c>
      <c r="N1652" s="277" t="s">
        <v>20155</v>
      </c>
      <c r="O1652" s="277" t="s">
        <v>20370</v>
      </c>
      <c r="P1652" s="890">
        <v>45462</v>
      </c>
      <c r="Q1652" s="347">
        <v>0</v>
      </c>
      <c r="R1652" s="347">
        <v>20500</v>
      </c>
      <c r="S1652" s="347">
        <v>0</v>
      </c>
      <c r="T1652" s="347">
        <v>0</v>
      </c>
      <c r="U1652" s="347">
        <v>20500</v>
      </c>
      <c r="V1652" s="348"/>
      <c r="W1652" s="349">
        <v>0</v>
      </c>
      <c r="X1652" s="349">
        <v>51250</v>
      </c>
      <c r="Y1652" s="349">
        <v>0</v>
      </c>
      <c r="Z1652" s="349">
        <v>0</v>
      </c>
      <c r="AA1652" s="350"/>
      <c r="AB1652" s="350">
        <v>2.5</v>
      </c>
      <c r="AC1652" s="350"/>
      <c r="AD1652" s="350"/>
      <c r="AE1652" s="349">
        <v>0</v>
      </c>
      <c r="AF1652" s="349">
        <v>0</v>
      </c>
      <c r="AG1652" s="349">
        <v>0</v>
      </c>
      <c r="AH1652" s="351">
        <v>0</v>
      </c>
      <c r="AI1652" s="351">
        <v>2.5</v>
      </c>
      <c r="AJ1652" s="351">
        <v>0</v>
      </c>
      <c r="AK1652" s="351">
        <v>0</v>
      </c>
      <c r="AL1652" s="352">
        <v>0</v>
      </c>
      <c r="AM1652" s="352" t="s">
        <v>20345</v>
      </c>
      <c r="AN1652" s="352">
        <v>0</v>
      </c>
      <c r="AO1652" s="352">
        <v>0</v>
      </c>
    </row>
    <row r="1653" spans="1:41" hidden="1">
      <c r="A1653" s="342">
        <v>171</v>
      </c>
      <c r="B1653" s="277" t="s">
        <v>183</v>
      </c>
      <c r="C1653" s="277">
        <v>0</v>
      </c>
      <c r="D1653" s="343" t="s">
        <v>19404</v>
      </c>
      <c r="E1653" s="277" t="s">
        <v>183</v>
      </c>
      <c r="F1653" s="618">
        <v>45453</v>
      </c>
      <c r="G1653" s="619">
        <v>2024</v>
      </c>
      <c r="H1653" s="383" t="s">
        <v>17349</v>
      </c>
      <c r="I1653" s="277" t="s">
        <v>17350</v>
      </c>
      <c r="J1653" s="277" t="s">
        <v>16401</v>
      </c>
      <c r="K1653" s="278">
        <v>48272.679000000004</v>
      </c>
      <c r="L1653" s="383">
        <v>3.1468500000000001</v>
      </c>
      <c r="M1653" s="384">
        <v>15340</v>
      </c>
      <c r="N1653" s="277" t="s">
        <v>20155</v>
      </c>
      <c r="O1653" s="277" t="s">
        <v>20377</v>
      </c>
      <c r="P1653" s="890">
        <v>45467</v>
      </c>
      <c r="Q1653" s="347">
        <v>0</v>
      </c>
      <c r="R1653" s="347">
        <v>0</v>
      </c>
      <c r="S1653" s="347">
        <v>26000</v>
      </c>
      <c r="T1653" s="347">
        <v>0</v>
      </c>
      <c r="U1653" s="347">
        <v>26000</v>
      </c>
      <c r="V1653" s="348"/>
      <c r="W1653" s="349">
        <v>0</v>
      </c>
      <c r="X1653" s="349">
        <v>0</v>
      </c>
      <c r="Y1653" s="349">
        <v>48272.679000000004</v>
      </c>
      <c r="Z1653" s="349">
        <v>0</v>
      </c>
      <c r="AA1653" s="350"/>
      <c r="AB1653" s="350"/>
      <c r="AC1653" s="350">
        <v>1.8566415000000001</v>
      </c>
      <c r="AD1653" s="350"/>
      <c r="AE1653" s="349">
        <v>1184.425</v>
      </c>
      <c r="AF1653" s="349">
        <v>6469.05</v>
      </c>
      <c r="AG1653" s="349">
        <v>0.24880961538461538</v>
      </c>
      <c r="AH1653" s="351"/>
      <c r="AI1653" s="351"/>
      <c r="AJ1653" s="351">
        <v>1.6078318846153847</v>
      </c>
      <c r="AK1653" s="351"/>
      <c r="AL1653" s="352">
        <v>0</v>
      </c>
      <c r="AM1653" s="352">
        <v>0</v>
      </c>
      <c r="AN1653" s="352" t="s">
        <v>20347</v>
      </c>
      <c r="AO1653" s="352">
        <v>0</v>
      </c>
    </row>
    <row r="1654" spans="1:41" hidden="1">
      <c r="A1654" s="342">
        <v>172</v>
      </c>
      <c r="B1654" s="277" t="s">
        <v>184</v>
      </c>
      <c r="C1654" s="277">
        <v>0</v>
      </c>
      <c r="D1654" s="343" t="s">
        <v>19405</v>
      </c>
      <c r="E1654" s="277" t="s">
        <v>184</v>
      </c>
      <c r="F1654" s="618">
        <v>45456</v>
      </c>
      <c r="G1654" s="619">
        <v>2024</v>
      </c>
      <c r="H1654" s="383" t="s">
        <v>17309</v>
      </c>
      <c r="I1654" s="277" t="s">
        <v>17310</v>
      </c>
      <c r="J1654" s="277" t="s">
        <v>3</v>
      </c>
      <c r="K1654" s="278">
        <v>58256</v>
      </c>
      <c r="L1654" s="383">
        <v>1</v>
      </c>
      <c r="M1654" s="384">
        <v>58256</v>
      </c>
      <c r="N1654" s="277" t="s">
        <v>20155</v>
      </c>
      <c r="O1654" s="277" t="s">
        <v>17238</v>
      </c>
      <c r="P1654" s="890">
        <v>45468</v>
      </c>
      <c r="Q1654" s="347">
        <v>20800</v>
      </c>
      <c r="R1654" s="347">
        <v>800</v>
      </c>
      <c r="S1654" s="347">
        <v>0</v>
      </c>
      <c r="T1654" s="347">
        <v>0</v>
      </c>
      <c r="U1654" s="347">
        <v>21600</v>
      </c>
      <c r="V1654" s="348"/>
      <c r="W1654" s="349">
        <v>55952</v>
      </c>
      <c r="X1654" s="349">
        <v>2304</v>
      </c>
      <c r="Y1654" s="349">
        <v>0</v>
      </c>
      <c r="Z1654" s="349">
        <v>0</v>
      </c>
      <c r="AA1654" s="350">
        <v>2.69</v>
      </c>
      <c r="AB1654" s="350">
        <v>2.88</v>
      </c>
      <c r="AC1654" s="350"/>
      <c r="AD1654" s="350"/>
      <c r="AE1654" s="349">
        <v>0</v>
      </c>
      <c r="AF1654" s="349">
        <v>0</v>
      </c>
      <c r="AG1654" s="349">
        <v>0</v>
      </c>
      <c r="AH1654" s="351">
        <v>2.69</v>
      </c>
      <c r="AI1654" s="351">
        <v>2.88</v>
      </c>
      <c r="AJ1654" s="351">
        <v>0</v>
      </c>
      <c r="AK1654" s="351">
        <v>0</v>
      </c>
      <c r="AL1654" s="352">
        <v>1</v>
      </c>
      <c r="AM1654" s="352">
        <v>1</v>
      </c>
      <c r="AN1654" s="352">
        <v>0</v>
      </c>
      <c r="AO1654" s="352">
        <v>0</v>
      </c>
    </row>
    <row r="1655" spans="1:41" hidden="1">
      <c r="A1655" s="342">
        <v>173</v>
      </c>
      <c r="B1655" s="277" t="s">
        <v>185</v>
      </c>
      <c r="C1655" s="277">
        <v>0</v>
      </c>
      <c r="D1655" s="343" t="s">
        <v>19406</v>
      </c>
      <c r="E1655" s="277" t="s">
        <v>185</v>
      </c>
      <c r="F1655" s="618">
        <v>45456</v>
      </c>
      <c r="G1655" s="619">
        <v>2024</v>
      </c>
      <c r="H1655" s="383" t="s">
        <v>17309</v>
      </c>
      <c r="I1655" s="277" t="s">
        <v>17310</v>
      </c>
      <c r="J1655" s="277" t="s">
        <v>3</v>
      </c>
      <c r="K1655" s="278">
        <v>817085</v>
      </c>
      <c r="L1655" s="383">
        <v>1</v>
      </c>
      <c r="M1655" s="384">
        <v>817085</v>
      </c>
      <c r="N1655" s="277" t="s">
        <v>20155</v>
      </c>
      <c r="O1655" s="277" t="s">
        <v>20321</v>
      </c>
      <c r="P1655" s="890" t="s">
        <v>20378</v>
      </c>
      <c r="Q1655" s="347">
        <v>155000</v>
      </c>
      <c r="R1655" s="347">
        <v>0</v>
      </c>
      <c r="S1655" s="347">
        <v>300000</v>
      </c>
      <c r="T1655" s="347">
        <v>0</v>
      </c>
      <c r="U1655" s="347">
        <v>455000</v>
      </c>
      <c r="V1655" s="348"/>
      <c r="W1655" s="349">
        <v>319085</v>
      </c>
      <c r="X1655" s="349">
        <v>0</v>
      </c>
      <c r="Y1655" s="349">
        <v>498000</v>
      </c>
      <c r="Z1655" s="349">
        <v>0</v>
      </c>
      <c r="AA1655" s="350">
        <v>2.0586129032258063</v>
      </c>
      <c r="AB1655" s="350"/>
      <c r="AC1655" s="350">
        <v>1.66</v>
      </c>
      <c r="AD1655" s="350"/>
      <c r="AE1655" s="349">
        <v>0</v>
      </c>
      <c r="AF1655" s="349">
        <v>0</v>
      </c>
      <c r="AG1655" s="349">
        <v>0</v>
      </c>
      <c r="AH1655" s="351">
        <v>2.0586129032258063</v>
      </c>
      <c r="AI1655" s="351">
        <v>0</v>
      </c>
      <c r="AJ1655" s="351">
        <v>1.66</v>
      </c>
      <c r="AK1655" s="351">
        <v>0</v>
      </c>
      <c r="AL1655" s="352" t="s">
        <v>20345</v>
      </c>
      <c r="AM1655" s="352">
        <v>0</v>
      </c>
      <c r="AN1655" s="352" t="s">
        <v>20347</v>
      </c>
      <c r="AO1655" s="352">
        <v>0</v>
      </c>
    </row>
    <row r="1656" spans="1:41" hidden="1">
      <c r="A1656" s="342">
        <v>174</v>
      </c>
      <c r="B1656" s="277" t="s">
        <v>186</v>
      </c>
      <c r="C1656" s="277">
        <v>0</v>
      </c>
      <c r="D1656" s="343" t="s">
        <v>19407</v>
      </c>
      <c r="E1656" s="277" t="s">
        <v>186</v>
      </c>
      <c r="F1656" s="618">
        <v>45462</v>
      </c>
      <c r="G1656" s="619">
        <v>2024</v>
      </c>
      <c r="H1656" s="383" t="s">
        <v>16384</v>
      </c>
      <c r="I1656" s="277" t="s">
        <v>16385</v>
      </c>
      <c r="J1656" s="277" t="s">
        <v>3</v>
      </c>
      <c r="K1656" s="278">
        <v>79104</v>
      </c>
      <c r="L1656" s="383">
        <v>1</v>
      </c>
      <c r="M1656" s="384">
        <v>79104</v>
      </c>
      <c r="N1656" s="277" t="s">
        <v>20155</v>
      </c>
      <c r="O1656" s="277" t="s">
        <v>17965</v>
      </c>
      <c r="P1656" s="890">
        <v>45467</v>
      </c>
      <c r="Q1656" s="347">
        <v>38400</v>
      </c>
      <c r="R1656" s="347">
        <v>0</v>
      </c>
      <c r="S1656" s="347">
        <v>0</v>
      </c>
      <c r="T1656" s="347">
        <v>0</v>
      </c>
      <c r="U1656" s="347">
        <v>38400</v>
      </c>
      <c r="V1656" s="348"/>
      <c r="W1656" s="349">
        <v>79104</v>
      </c>
      <c r="X1656" s="349">
        <v>0</v>
      </c>
      <c r="Y1656" s="349">
        <v>0</v>
      </c>
      <c r="Z1656" s="349">
        <v>0</v>
      </c>
      <c r="AA1656" s="350">
        <v>2.06</v>
      </c>
      <c r="AB1656" s="350"/>
      <c r="AC1656" s="350"/>
      <c r="AD1656" s="350"/>
      <c r="AE1656" s="349">
        <v>0</v>
      </c>
      <c r="AF1656" s="349">
        <v>0</v>
      </c>
      <c r="AG1656" s="349">
        <v>0</v>
      </c>
      <c r="AH1656" s="351">
        <v>2.06</v>
      </c>
      <c r="AI1656" s="351">
        <v>0</v>
      </c>
      <c r="AJ1656" s="351">
        <v>0</v>
      </c>
      <c r="AK1656" s="351">
        <v>0</v>
      </c>
      <c r="AL1656" s="352" t="s">
        <v>20345</v>
      </c>
      <c r="AM1656" s="352">
        <v>0</v>
      </c>
      <c r="AN1656" s="352">
        <v>0</v>
      </c>
      <c r="AO1656" s="352">
        <v>0</v>
      </c>
    </row>
    <row r="1657" spans="1:41" hidden="1">
      <c r="A1657" s="342">
        <v>175</v>
      </c>
      <c r="B1657" s="277" t="s">
        <v>187</v>
      </c>
      <c r="C1657" s="277">
        <v>0</v>
      </c>
      <c r="D1657" s="343" t="s">
        <v>19408</v>
      </c>
      <c r="E1657" s="277" t="s">
        <v>187</v>
      </c>
      <c r="F1657" s="618">
        <v>45462</v>
      </c>
      <c r="G1657" s="619">
        <v>2024</v>
      </c>
      <c r="H1657" s="383" t="s">
        <v>17278</v>
      </c>
      <c r="I1657" s="277" t="s">
        <v>17279</v>
      </c>
      <c r="J1657" s="277" t="s">
        <v>16482</v>
      </c>
      <c r="K1657" s="278">
        <v>260443.65391200001</v>
      </c>
      <c r="L1657" s="383">
        <v>3.3678499999999998</v>
      </c>
      <c r="M1657" s="384">
        <v>77332.320000000007</v>
      </c>
      <c r="N1657" s="277" t="s">
        <v>20155</v>
      </c>
      <c r="O1657" s="277" t="s">
        <v>20173</v>
      </c>
      <c r="P1657" s="890">
        <v>45469</v>
      </c>
      <c r="Q1657" s="347">
        <v>0</v>
      </c>
      <c r="R1657" s="347">
        <v>44544</v>
      </c>
      <c r="S1657" s="347">
        <v>94656</v>
      </c>
      <c r="T1657" s="347">
        <v>0</v>
      </c>
      <c r="U1657" s="347">
        <v>139200</v>
      </c>
      <c r="V1657" s="348"/>
      <c r="W1657" s="349">
        <v>0</v>
      </c>
      <c r="X1657" s="349">
        <v>88298.560728000026</v>
      </c>
      <c r="Y1657" s="349">
        <v>172145.093184</v>
      </c>
      <c r="Z1657" s="349">
        <v>0</v>
      </c>
      <c r="AA1657" s="350"/>
      <c r="AB1657" s="350">
        <v>1.9822773151939661</v>
      </c>
      <c r="AC1657" s="350">
        <v>1.8186389999999999</v>
      </c>
      <c r="AD1657" s="350"/>
      <c r="AE1657" s="349">
        <v>8129.9949999999999</v>
      </c>
      <c r="AF1657" s="349">
        <v>41734.777999999998</v>
      </c>
      <c r="AG1657" s="349">
        <v>0.29981880747126438</v>
      </c>
      <c r="AH1657" s="351"/>
      <c r="AI1657" s="351">
        <v>1.6824585077227017</v>
      </c>
      <c r="AJ1657" s="351">
        <v>1.5188201925287355</v>
      </c>
      <c r="AK1657" s="351"/>
      <c r="AL1657" s="352">
        <v>0</v>
      </c>
      <c r="AM1657" s="352" t="s">
        <v>20348</v>
      </c>
      <c r="AN1657" s="352" t="s">
        <v>20347</v>
      </c>
      <c r="AO1657" s="352">
        <v>0</v>
      </c>
    </row>
    <row r="1658" spans="1:41" hidden="1">
      <c r="A1658" s="342">
        <v>176</v>
      </c>
      <c r="B1658" s="277" t="s">
        <v>188</v>
      </c>
      <c r="C1658" s="277">
        <v>0</v>
      </c>
      <c r="D1658" s="343" t="s">
        <v>19409</v>
      </c>
      <c r="E1658" s="277" t="s">
        <v>188</v>
      </c>
      <c r="F1658" s="618">
        <v>45462</v>
      </c>
      <c r="G1658" s="619">
        <v>2024</v>
      </c>
      <c r="H1658" s="383" t="s">
        <v>17226</v>
      </c>
      <c r="I1658" s="277" t="s">
        <v>17227</v>
      </c>
      <c r="J1658" s="277" t="s">
        <v>3</v>
      </c>
      <c r="K1658" s="278">
        <v>138540</v>
      </c>
      <c r="L1658" s="383">
        <v>1</v>
      </c>
      <c r="M1658" s="384">
        <v>138540</v>
      </c>
      <c r="N1658" s="277" t="s">
        <v>20155</v>
      </c>
      <c r="O1658" s="277" t="s">
        <v>17689</v>
      </c>
      <c r="P1658" s="890">
        <v>45468</v>
      </c>
      <c r="Q1658" s="347">
        <v>54000</v>
      </c>
      <c r="R1658" s="347">
        <v>0</v>
      </c>
      <c r="S1658" s="347">
        <v>0</v>
      </c>
      <c r="T1658" s="347">
        <v>0</v>
      </c>
      <c r="U1658" s="347">
        <v>54000</v>
      </c>
      <c r="V1658" s="348"/>
      <c r="W1658" s="349">
        <v>138540</v>
      </c>
      <c r="X1658" s="349">
        <v>0</v>
      </c>
      <c r="Y1658" s="349">
        <v>0</v>
      </c>
      <c r="Z1658" s="349">
        <v>0</v>
      </c>
      <c r="AA1658" s="350">
        <v>2.5655555555555556</v>
      </c>
      <c r="AB1658" s="350"/>
      <c r="AC1658" s="350"/>
      <c r="AD1658" s="350"/>
      <c r="AE1658" s="349">
        <v>0</v>
      </c>
      <c r="AF1658" s="349">
        <v>0</v>
      </c>
      <c r="AG1658" s="349">
        <v>0</v>
      </c>
      <c r="AH1658" s="351">
        <v>2.5655555555555556</v>
      </c>
      <c r="AI1658" s="351">
        <v>0</v>
      </c>
      <c r="AJ1658" s="351">
        <v>0</v>
      </c>
      <c r="AK1658" s="351">
        <v>0</v>
      </c>
      <c r="AL1658" s="352">
        <v>1</v>
      </c>
      <c r="AM1658" s="352">
        <v>0</v>
      </c>
      <c r="AN1658" s="352">
        <v>0</v>
      </c>
      <c r="AO1658" s="352">
        <v>0</v>
      </c>
    </row>
    <row r="1659" spans="1:41" hidden="1">
      <c r="A1659" s="342">
        <v>177</v>
      </c>
      <c r="B1659" s="277" t="s">
        <v>189</v>
      </c>
      <c r="C1659" s="277">
        <v>0</v>
      </c>
      <c r="D1659" s="343" t="s">
        <v>19410</v>
      </c>
      <c r="E1659" s="277" t="s">
        <v>189</v>
      </c>
      <c r="F1659" s="618">
        <v>45462</v>
      </c>
      <c r="G1659" s="619">
        <v>2024</v>
      </c>
      <c r="H1659" s="383" t="s">
        <v>17226</v>
      </c>
      <c r="I1659" s="277" t="s">
        <v>17227</v>
      </c>
      <c r="J1659" s="277" t="s">
        <v>3</v>
      </c>
      <c r="K1659" s="278">
        <v>287752</v>
      </c>
      <c r="L1659" s="383">
        <v>1</v>
      </c>
      <c r="M1659" s="384">
        <v>287752</v>
      </c>
      <c r="N1659" s="277" t="s">
        <v>20155</v>
      </c>
      <c r="O1659" s="277" t="s">
        <v>17689</v>
      </c>
      <c r="P1659" s="890">
        <v>45467</v>
      </c>
      <c r="Q1659" s="347">
        <v>0</v>
      </c>
      <c r="R1659" s="347">
        <v>75600</v>
      </c>
      <c r="S1659" s="347">
        <v>27840</v>
      </c>
      <c r="T1659" s="347">
        <v>3200</v>
      </c>
      <c r="U1659" s="347">
        <v>106640</v>
      </c>
      <c r="V1659" s="348"/>
      <c r="W1659" s="349">
        <v>0</v>
      </c>
      <c r="X1659" s="349">
        <v>200760</v>
      </c>
      <c r="Y1659" s="349">
        <v>70992</v>
      </c>
      <c r="Z1659" s="349">
        <v>16000</v>
      </c>
      <c r="AA1659" s="350"/>
      <c r="AB1659" s="350">
        <v>2.6555555555555554</v>
      </c>
      <c r="AC1659" s="350">
        <v>2.5499999999999998</v>
      </c>
      <c r="AD1659" s="350">
        <v>5</v>
      </c>
      <c r="AE1659" s="349">
        <v>0</v>
      </c>
      <c r="AF1659" s="349">
        <v>0</v>
      </c>
      <c r="AG1659" s="349">
        <v>0</v>
      </c>
      <c r="AH1659" s="351">
        <v>0</v>
      </c>
      <c r="AI1659" s="351">
        <v>2.6555555555555554</v>
      </c>
      <c r="AJ1659" s="351">
        <v>2.5499999999999998</v>
      </c>
      <c r="AK1659" s="351">
        <v>5</v>
      </c>
      <c r="AL1659" s="352">
        <v>0</v>
      </c>
      <c r="AM1659" s="352">
        <v>1</v>
      </c>
      <c r="AN1659" s="352">
        <v>1</v>
      </c>
      <c r="AO1659" s="352">
        <v>1</v>
      </c>
    </row>
    <row r="1660" spans="1:41" hidden="1">
      <c r="A1660" s="342">
        <v>178</v>
      </c>
      <c r="B1660" s="277" t="s">
        <v>190</v>
      </c>
      <c r="C1660" s="277">
        <v>0</v>
      </c>
      <c r="D1660" s="343" t="s">
        <v>19411</v>
      </c>
      <c r="E1660" s="277" t="s">
        <v>190</v>
      </c>
      <c r="F1660" s="618">
        <v>45462</v>
      </c>
      <c r="G1660" s="619">
        <v>2024</v>
      </c>
      <c r="H1660" s="383" t="s">
        <v>17017</v>
      </c>
      <c r="I1660" s="277" t="s">
        <v>17018</v>
      </c>
      <c r="J1660" s="277" t="s">
        <v>3</v>
      </c>
      <c r="K1660" s="278">
        <v>50225</v>
      </c>
      <c r="L1660" s="383">
        <v>1</v>
      </c>
      <c r="M1660" s="384">
        <v>50225</v>
      </c>
      <c r="N1660" s="277" t="s">
        <v>20155</v>
      </c>
      <c r="O1660" s="277" t="s">
        <v>20364</v>
      </c>
      <c r="P1660" s="890">
        <v>45467</v>
      </c>
      <c r="Q1660" s="347">
        <v>0</v>
      </c>
      <c r="R1660" s="347">
        <v>20500</v>
      </c>
      <c r="S1660" s="347">
        <v>0</v>
      </c>
      <c r="T1660" s="347">
        <v>0</v>
      </c>
      <c r="U1660" s="347">
        <v>20500</v>
      </c>
      <c r="V1660" s="348"/>
      <c r="W1660" s="349">
        <v>0</v>
      </c>
      <c r="X1660" s="349">
        <v>50225</v>
      </c>
      <c r="Y1660" s="349">
        <v>0</v>
      </c>
      <c r="Z1660" s="349">
        <v>0</v>
      </c>
      <c r="AA1660" s="350"/>
      <c r="AB1660" s="350">
        <v>2.4500000000000002</v>
      </c>
      <c r="AC1660" s="350"/>
      <c r="AD1660" s="350"/>
      <c r="AE1660" s="349">
        <v>0</v>
      </c>
      <c r="AF1660" s="349">
        <v>0</v>
      </c>
      <c r="AG1660" s="349">
        <v>0</v>
      </c>
      <c r="AH1660" s="351">
        <v>0</v>
      </c>
      <c r="AI1660" s="351">
        <v>2.4500000000000002</v>
      </c>
      <c r="AJ1660" s="351">
        <v>0</v>
      </c>
      <c r="AK1660" s="351">
        <v>0</v>
      </c>
      <c r="AL1660" s="352">
        <v>0</v>
      </c>
      <c r="AM1660" s="352">
        <v>1</v>
      </c>
      <c r="AN1660" s="352">
        <v>0</v>
      </c>
      <c r="AO1660" s="352">
        <v>0</v>
      </c>
    </row>
    <row r="1661" spans="1:41" hidden="1">
      <c r="A1661" s="342">
        <v>179</v>
      </c>
      <c r="B1661" s="277" t="s">
        <v>191</v>
      </c>
      <c r="C1661" s="277">
        <v>0</v>
      </c>
      <c r="D1661" s="343" t="s">
        <v>19412</v>
      </c>
      <c r="E1661" s="277" t="s">
        <v>191</v>
      </c>
      <c r="F1661" s="618">
        <v>45462</v>
      </c>
      <c r="G1661" s="619">
        <v>2024</v>
      </c>
      <c r="H1661" s="383" t="s">
        <v>16470</v>
      </c>
      <c r="I1661" s="277" t="s">
        <v>16471</v>
      </c>
      <c r="J1661" s="277" t="s">
        <v>16401</v>
      </c>
      <c r="K1661" s="278">
        <v>613642.19806000008</v>
      </c>
      <c r="L1661" s="383">
        <v>3.1396000000000002</v>
      </c>
      <c r="M1661" s="384">
        <v>195452.35</v>
      </c>
      <c r="N1661" s="277" t="s">
        <v>20155</v>
      </c>
      <c r="O1661" s="277" t="s">
        <v>18227</v>
      </c>
      <c r="P1661" s="890">
        <v>45471</v>
      </c>
      <c r="Q1661" s="347">
        <v>11280</v>
      </c>
      <c r="R1661" s="347">
        <v>238810</v>
      </c>
      <c r="S1661" s="347">
        <v>30000</v>
      </c>
      <c r="T1661" s="347">
        <v>0</v>
      </c>
      <c r="U1661" s="347">
        <v>280090</v>
      </c>
      <c r="V1661" s="348"/>
      <c r="W1661" s="349">
        <v>26505.305020369164</v>
      </c>
      <c r="X1661" s="349">
        <v>525593.92453864869</v>
      </c>
      <c r="Y1661" s="349">
        <v>60883.652500981829</v>
      </c>
      <c r="Z1661" s="349">
        <v>0</v>
      </c>
      <c r="AA1661" s="350">
        <v>2.3497610833660607</v>
      </c>
      <c r="AB1661" s="350">
        <v>2.2008874190303951</v>
      </c>
      <c r="AC1661" s="350">
        <v>2.0294550833660612</v>
      </c>
      <c r="AD1661" s="350"/>
      <c r="AE1661" s="349">
        <v>17298.775000000001</v>
      </c>
      <c r="AF1661" s="349">
        <v>84154.52</v>
      </c>
      <c r="AG1661" s="349">
        <v>0.30045528223071155</v>
      </c>
      <c r="AH1661" s="351">
        <v>2.0493058011353491</v>
      </c>
      <c r="AI1661" s="351">
        <v>1.9004321367996835</v>
      </c>
      <c r="AJ1661" s="351">
        <v>1.7289998011353496</v>
      </c>
      <c r="AK1661" s="351"/>
      <c r="AL1661" s="352" t="s">
        <v>20345</v>
      </c>
      <c r="AM1661" s="352" t="s">
        <v>20346</v>
      </c>
      <c r="AN1661" s="352" t="s">
        <v>20347</v>
      </c>
      <c r="AO1661" s="352">
        <v>0</v>
      </c>
    </row>
    <row r="1662" spans="1:41" hidden="1">
      <c r="A1662" s="342">
        <v>180</v>
      </c>
      <c r="B1662" s="277" t="s">
        <v>192</v>
      </c>
      <c r="C1662" s="277">
        <v>0</v>
      </c>
      <c r="D1662" s="343" t="s">
        <v>19413</v>
      </c>
      <c r="E1662" s="277" t="s">
        <v>192</v>
      </c>
      <c r="F1662" s="618">
        <v>45462</v>
      </c>
      <c r="G1662" s="619">
        <v>2024</v>
      </c>
      <c r="H1662" s="383" t="s">
        <v>16957</v>
      </c>
      <c r="I1662" s="277" t="s">
        <v>16958</v>
      </c>
      <c r="J1662" s="277" t="s">
        <v>16401</v>
      </c>
      <c r="K1662" s="278">
        <v>49549.514949999997</v>
      </c>
      <c r="L1662" s="383">
        <v>3.1126999999999998</v>
      </c>
      <c r="M1662" s="384">
        <v>15918.5</v>
      </c>
      <c r="N1662" s="277" t="s">
        <v>20155</v>
      </c>
      <c r="O1662" s="277" t="s">
        <v>20161</v>
      </c>
      <c r="P1662" s="890">
        <v>45499</v>
      </c>
      <c r="Q1662" s="347">
        <v>20150</v>
      </c>
      <c r="R1662" s="347">
        <v>0</v>
      </c>
      <c r="S1662" s="347">
        <v>0</v>
      </c>
      <c r="T1662" s="347">
        <v>0</v>
      </c>
      <c r="U1662" s="347">
        <v>20150</v>
      </c>
      <c r="V1662" s="348"/>
      <c r="W1662" s="349">
        <v>49549.514950000004</v>
      </c>
      <c r="X1662" s="349">
        <v>0</v>
      </c>
      <c r="Y1662" s="349">
        <v>0</v>
      </c>
      <c r="Z1662" s="349">
        <v>0</v>
      </c>
      <c r="AA1662" s="350">
        <v>2.4590330000000002</v>
      </c>
      <c r="AB1662" s="350"/>
      <c r="AC1662" s="350"/>
      <c r="AD1662" s="350"/>
      <c r="AE1662" s="349">
        <v>871.35</v>
      </c>
      <c r="AF1662" s="349">
        <v>7275.9</v>
      </c>
      <c r="AG1662" s="349">
        <v>0.36108684863523571</v>
      </c>
      <c r="AH1662" s="351">
        <v>2.0979461513647646</v>
      </c>
      <c r="AI1662" s="351"/>
      <c r="AJ1662" s="351"/>
      <c r="AK1662" s="351"/>
      <c r="AL1662" s="352" t="s">
        <v>20345</v>
      </c>
      <c r="AM1662" s="352">
        <v>0</v>
      </c>
      <c r="AN1662" s="352">
        <v>0</v>
      </c>
      <c r="AO1662" s="352">
        <v>0</v>
      </c>
    </row>
    <row r="1663" spans="1:41" hidden="1">
      <c r="A1663" s="342">
        <v>181</v>
      </c>
      <c r="B1663" s="277" t="s">
        <v>193</v>
      </c>
      <c r="C1663" s="277">
        <v>0</v>
      </c>
      <c r="D1663" s="343" t="s">
        <v>19414</v>
      </c>
      <c r="E1663" s="277" t="s">
        <v>193</v>
      </c>
      <c r="F1663" s="618">
        <v>45462</v>
      </c>
      <c r="G1663" s="619">
        <v>2024</v>
      </c>
      <c r="H1663" s="383" t="s">
        <v>17374</v>
      </c>
      <c r="I1663" s="277" t="s">
        <v>17375</v>
      </c>
      <c r="J1663" s="277" t="s">
        <v>16482</v>
      </c>
      <c r="K1663" s="278">
        <v>253767.49299999999</v>
      </c>
      <c r="L1663" s="383">
        <v>3.3687999999999998</v>
      </c>
      <c r="M1663" s="384">
        <v>75328.75</v>
      </c>
      <c r="N1663" s="277" t="s">
        <v>20155</v>
      </c>
      <c r="O1663" s="277" t="s">
        <v>20173</v>
      </c>
      <c r="P1663" s="890">
        <v>45471</v>
      </c>
      <c r="Q1663" s="347">
        <v>0</v>
      </c>
      <c r="R1663" s="347">
        <v>99050</v>
      </c>
      <c r="S1663" s="347">
        <v>35000</v>
      </c>
      <c r="T1663" s="347">
        <v>0</v>
      </c>
      <c r="U1663" s="347">
        <v>134050</v>
      </c>
      <c r="V1663" s="348"/>
      <c r="W1663" s="349">
        <v>0</v>
      </c>
      <c r="X1663" s="349">
        <v>191865.79300000001</v>
      </c>
      <c r="Y1663" s="349">
        <v>61901.7</v>
      </c>
      <c r="Z1663" s="349">
        <v>0</v>
      </c>
      <c r="AA1663" s="350"/>
      <c r="AB1663" s="350">
        <v>1.93706</v>
      </c>
      <c r="AC1663" s="350">
        <v>1.7686199999999999</v>
      </c>
      <c r="AD1663" s="350"/>
      <c r="AE1663" s="349">
        <v>8138.4375</v>
      </c>
      <c r="AF1663" s="349">
        <v>33161.25</v>
      </c>
      <c r="AG1663" s="349">
        <v>0.24737970906378218</v>
      </c>
      <c r="AH1663" s="351"/>
      <c r="AI1663" s="351">
        <v>1.6896802909362179</v>
      </c>
      <c r="AJ1663" s="351">
        <v>1.5212402909362177</v>
      </c>
      <c r="AK1663" s="351"/>
      <c r="AL1663" s="352">
        <v>0</v>
      </c>
      <c r="AM1663" s="352" t="s">
        <v>20348</v>
      </c>
      <c r="AN1663" s="352" t="s">
        <v>20347</v>
      </c>
      <c r="AO1663" s="352">
        <v>0</v>
      </c>
    </row>
    <row r="1664" spans="1:41" hidden="1">
      <c r="A1664" s="342">
        <v>182</v>
      </c>
      <c r="B1664" s="277" t="s">
        <v>194</v>
      </c>
      <c r="C1664" s="277">
        <v>0</v>
      </c>
      <c r="D1664" s="343" t="s">
        <v>19415</v>
      </c>
      <c r="E1664" s="277" t="s">
        <v>194</v>
      </c>
      <c r="F1664" s="618">
        <v>45462</v>
      </c>
      <c r="G1664" s="619">
        <v>2024</v>
      </c>
      <c r="H1664" s="383" t="s">
        <v>16838</v>
      </c>
      <c r="I1664" s="277" t="s">
        <v>16839</v>
      </c>
      <c r="J1664" s="277" t="s">
        <v>3</v>
      </c>
      <c r="K1664" s="278">
        <v>143550</v>
      </c>
      <c r="L1664" s="383">
        <v>1</v>
      </c>
      <c r="M1664" s="384">
        <v>143550</v>
      </c>
      <c r="N1664" s="277" t="s">
        <v>20155</v>
      </c>
      <c r="O1664" s="277" t="s">
        <v>20321</v>
      </c>
      <c r="P1664" s="890">
        <v>45468</v>
      </c>
      <c r="Q1664" s="347">
        <v>0</v>
      </c>
      <c r="R1664" s="347">
        <v>90000</v>
      </c>
      <c r="S1664" s="347">
        <v>0</v>
      </c>
      <c r="T1664" s="347">
        <v>0</v>
      </c>
      <c r="U1664" s="347">
        <v>90000</v>
      </c>
      <c r="V1664" s="348"/>
      <c r="W1664" s="349">
        <v>0</v>
      </c>
      <c r="X1664" s="349">
        <v>143550</v>
      </c>
      <c r="Y1664" s="349">
        <v>0</v>
      </c>
      <c r="Z1664" s="349">
        <v>0</v>
      </c>
      <c r="AA1664" s="350"/>
      <c r="AB1664" s="350">
        <v>1.595</v>
      </c>
      <c r="AC1664" s="350"/>
      <c r="AD1664" s="350"/>
      <c r="AE1664" s="349">
        <v>0</v>
      </c>
      <c r="AF1664" s="349">
        <v>0</v>
      </c>
      <c r="AG1664" s="349">
        <v>0</v>
      </c>
      <c r="AH1664" s="351">
        <v>0</v>
      </c>
      <c r="AI1664" s="351">
        <v>1.595</v>
      </c>
      <c r="AJ1664" s="351">
        <v>0</v>
      </c>
      <c r="AK1664" s="351">
        <v>0</v>
      </c>
      <c r="AL1664" s="352">
        <v>0</v>
      </c>
      <c r="AM1664" s="352" t="s">
        <v>20347</v>
      </c>
      <c r="AN1664" s="352">
        <v>0</v>
      </c>
      <c r="AO1664" s="352">
        <v>0</v>
      </c>
    </row>
    <row r="1665" spans="1:41" hidden="1">
      <c r="A1665" s="342">
        <v>183</v>
      </c>
      <c r="B1665" s="277" t="s">
        <v>195</v>
      </c>
      <c r="C1665" s="277">
        <v>0</v>
      </c>
      <c r="D1665" s="343" t="s">
        <v>19416</v>
      </c>
      <c r="E1665" s="277" t="s">
        <v>195</v>
      </c>
      <c r="F1665" s="618">
        <v>45462</v>
      </c>
      <c r="G1665" s="619">
        <v>2024</v>
      </c>
      <c r="H1665" s="383" t="s">
        <v>16444</v>
      </c>
      <c r="I1665" s="277" t="s">
        <v>16445</v>
      </c>
      <c r="J1665" s="277" t="s">
        <v>3</v>
      </c>
      <c r="K1665" s="278">
        <v>44136</v>
      </c>
      <c r="L1665" s="383">
        <v>1</v>
      </c>
      <c r="M1665" s="384">
        <v>44136</v>
      </c>
      <c r="N1665" s="277" t="s">
        <v>20155</v>
      </c>
      <c r="O1665" s="277" t="s">
        <v>17693</v>
      </c>
      <c r="P1665" s="890">
        <v>45488</v>
      </c>
      <c r="Q1665" s="347">
        <v>21600</v>
      </c>
      <c r="R1665" s="347">
        <v>0</v>
      </c>
      <c r="S1665" s="347">
        <v>0</v>
      </c>
      <c r="T1665" s="347">
        <v>0</v>
      </c>
      <c r="U1665" s="347">
        <v>21600</v>
      </c>
      <c r="V1665" s="348"/>
      <c r="W1665" s="349">
        <v>44136</v>
      </c>
      <c r="X1665" s="349">
        <v>0</v>
      </c>
      <c r="Y1665" s="349">
        <v>0</v>
      </c>
      <c r="Z1665" s="349">
        <v>0</v>
      </c>
      <c r="AA1665" s="350">
        <v>2.0433333333333334</v>
      </c>
      <c r="AB1665" s="350"/>
      <c r="AC1665" s="350"/>
      <c r="AD1665" s="350"/>
      <c r="AE1665" s="349">
        <v>0</v>
      </c>
      <c r="AF1665" s="349">
        <v>0</v>
      </c>
      <c r="AG1665" s="349">
        <v>0</v>
      </c>
      <c r="AH1665" s="351">
        <v>2.0433333333333334</v>
      </c>
      <c r="AI1665" s="351">
        <v>0</v>
      </c>
      <c r="AJ1665" s="351">
        <v>0</v>
      </c>
      <c r="AK1665" s="351">
        <v>0</v>
      </c>
      <c r="AL1665" s="352" t="s">
        <v>20345</v>
      </c>
      <c r="AM1665" s="352">
        <v>0</v>
      </c>
      <c r="AN1665" s="352">
        <v>0</v>
      </c>
      <c r="AO1665" s="352">
        <v>0</v>
      </c>
    </row>
    <row r="1666" spans="1:41" hidden="1">
      <c r="A1666" s="342" t="s">
        <v>196</v>
      </c>
      <c r="B1666" s="277" t="s">
        <v>196</v>
      </c>
      <c r="C1666" s="277">
        <v>0</v>
      </c>
      <c r="D1666" s="343" t="s">
        <v>19417</v>
      </c>
      <c r="E1666" s="277" t="s">
        <v>196</v>
      </c>
      <c r="F1666" s="618">
        <v>45462</v>
      </c>
      <c r="G1666" s="619">
        <v>2024</v>
      </c>
      <c r="H1666" s="383" t="s">
        <v>16904</v>
      </c>
      <c r="I1666" s="277" t="s">
        <v>16905</v>
      </c>
      <c r="J1666" s="277" t="s">
        <v>16482</v>
      </c>
      <c r="K1666" s="278">
        <v>75079.677607999998</v>
      </c>
      <c r="L1666" s="383">
        <v>3.3668499999999999</v>
      </c>
      <c r="M1666" s="384">
        <v>22299.68</v>
      </c>
      <c r="N1666" s="277" t="s">
        <v>20155</v>
      </c>
      <c r="O1666" s="277" t="s">
        <v>20160</v>
      </c>
      <c r="P1666" s="890">
        <v>45464</v>
      </c>
      <c r="Q1666" s="347">
        <v>0</v>
      </c>
      <c r="R1666" s="347">
        <v>17712</v>
      </c>
      <c r="S1666" s="347">
        <v>6000</v>
      </c>
      <c r="T1666" s="347">
        <v>0</v>
      </c>
      <c r="U1666" s="347">
        <v>23712</v>
      </c>
      <c r="V1666" s="348"/>
      <c r="W1666" s="349">
        <v>0</v>
      </c>
      <c r="X1666" s="349">
        <v>56308.125760834009</v>
      </c>
      <c r="Y1666" s="349">
        <v>18771.551847165993</v>
      </c>
      <c r="Z1666" s="349">
        <v>0</v>
      </c>
      <c r="AA1666" s="350"/>
      <c r="AB1666" s="350">
        <v>3.1790947245276655</v>
      </c>
      <c r="AC1666" s="350">
        <v>3.1285919745276654</v>
      </c>
      <c r="AD1666" s="350"/>
      <c r="AE1666" s="349">
        <v>3732.9749999999999</v>
      </c>
      <c r="AF1666" s="349">
        <v>16704.595000000001</v>
      </c>
      <c r="AG1666" s="349">
        <v>0.70447853407557359</v>
      </c>
      <c r="AH1666" s="351"/>
      <c r="AI1666" s="351">
        <v>2.474616190452092</v>
      </c>
      <c r="AJ1666" s="351">
        <v>2.4241134404520919</v>
      </c>
      <c r="AK1666" s="351"/>
      <c r="AL1666" s="352">
        <v>0</v>
      </c>
      <c r="AM1666" s="352">
        <v>1</v>
      </c>
      <c r="AN1666" s="352">
        <v>1</v>
      </c>
      <c r="AO1666" s="352">
        <v>0</v>
      </c>
    </row>
    <row r="1667" spans="1:41" hidden="1">
      <c r="A1667" s="342" t="s">
        <v>197</v>
      </c>
      <c r="B1667" s="277" t="s">
        <v>197</v>
      </c>
      <c r="C1667" s="277">
        <v>0</v>
      </c>
      <c r="D1667" s="343" t="s">
        <v>19418</v>
      </c>
      <c r="E1667" s="277" t="s">
        <v>197</v>
      </c>
      <c r="F1667" s="618">
        <v>45462</v>
      </c>
      <c r="G1667" s="619">
        <v>2024</v>
      </c>
      <c r="H1667" s="383" t="s">
        <v>16643</v>
      </c>
      <c r="I1667" s="277" t="s">
        <v>16644</v>
      </c>
      <c r="J1667" s="277" t="s">
        <v>16482</v>
      </c>
      <c r="K1667" s="278">
        <v>104908.5275</v>
      </c>
      <c r="L1667" s="383">
        <v>3.3678499999999998</v>
      </c>
      <c r="M1667" s="384">
        <v>31150</v>
      </c>
      <c r="N1667" s="277" t="s">
        <v>20155</v>
      </c>
      <c r="O1667" s="277" t="s">
        <v>18227</v>
      </c>
      <c r="P1667" s="890">
        <v>45468</v>
      </c>
      <c r="Q1667" s="347">
        <v>0</v>
      </c>
      <c r="R1667" s="347">
        <v>45000</v>
      </c>
      <c r="S1667" s="347">
        <v>0</v>
      </c>
      <c r="T1667" s="347">
        <v>0</v>
      </c>
      <c r="U1667" s="347">
        <v>45000</v>
      </c>
      <c r="V1667" s="348"/>
      <c r="W1667" s="349">
        <v>0</v>
      </c>
      <c r="X1667" s="349">
        <v>104908.52750000001</v>
      </c>
      <c r="Y1667" s="349">
        <v>0</v>
      </c>
      <c r="Z1667" s="349">
        <v>0</v>
      </c>
      <c r="AA1667" s="350"/>
      <c r="AB1667" s="350">
        <v>2.3313006111111112</v>
      </c>
      <c r="AC1667" s="350"/>
      <c r="AD1667" s="350"/>
      <c r="AE1667" s="349">
        <v>2946.76</v>
      </c>
      <c r="AF1667" s="349">
        <v>15197.145</v>
      </c>
      <c r="AG1667" s="349">
        <v>0.33771433333333334</v>
      </c>
      <c r="AH1667" s="351"/>
      <c r="AI1667" s="351">
        <v>1.9935862777777777</v>
      </c>
      <c r="AJ1667" s="351"/>
      <c r="AK1667" s="351"/>
      <c r="AL1667" s="352">
        <v>0</v>
      </c>
      <c r="AM1667" s="352" t="s">
        <v>20346</v>
      </c>
      <c r="AN1667" s="352">
        <v>0</v>
      </c>
      <c r="AO1667" s="352">
        <v>0</v>
      </c>
    </row>
    <row r="1668" spans="1:41" hidden="1">
      <c r="A1668" s="342" t="s">
        <v>198</v>
      </c>
      <c r="B1668" s="277" t="s">
        <v>198</v>
      </c>
      <c r="C1668" s="277">
        <v>0</v>
      </c>
      <c r="D1668" s="343" t="s">
        <v>19419</v>
      </c>
      <c r="E1668" s="277" t="s">
        <v>198</v>
      </c>
      <c r="F1668" s="618">
        <v>45467</v>
      </c>
      <c r="G1668" s="619">
        <v>2024</v>
      </c>
      <c r="H1668" s="383" t="s">
        <v>16444</v>
      </c>
      <c r="I1668" s="277" t="s">
        <v>16445</v>
      </c>
      <c r="J1668" s="277" t="s">
        <v>3</v>
      </c>
      <c r="K1668" s="278">
        <v>44716.08</v>
      </c>
      <c r="L1668" s="383">
        <v>1</v>
      </c>
      <c r="M1668" s="384">
        <v>44716.08</v>
      </c>
      <c r="N1668" s="277" t="s">
        <v>20155</v>
      </c>
      <c r="O1668" s="277" t="s">
        <v>17693</v>
      </c>
      <c r="P1668" s="890">
        <v>45488</v>
      </c>
      <c r="Q1668" s="347">
        <v>22008</v>
      </c>
      <c r="R1668" s="347">
        <v>0</v>
      </c>
      <c r="S1668" s="347">
        <v>0</v>
      </c>
      <c r="T1668" s="347">
        <v>0</v>
      </c>
      <c r="U1668" s="347">
        <v>22008</v>
      </c>
      <c r="V1668" s="348"/>
      <c r="W1668" s="349">
        <v>44716.08</v>
      </c>
      <c r="X1668" s="349">
        <v>0</v>
      </c>
      <c r="Y1668" s="349">
        <v>0</v>
      </c>
      <c r="Z1668" s="349">
        <v>0</v>
      </c>
      <c r="AA1668" s="350">
        <v>2.0318102508178844</v>
      </c>
      <c r="AB1668" s="350"/>
      <c r="AC1668" s="350"/>
      <c r="AD1668" s="350"/>
      <c r="AE1668" s="349">
        <v>0</v>
      </c>
      <c r="AF1668" s="349">
        <v>0</v>
      </c>
      <c r="AG1668" s="349">
        <v>0</v>
      </c>
      <c r="AH1668" s="351">
        <v>2.0318102508178844</v>
      </c>
      <c r="AI1668" s="351">
        <v>0</v>
      </c>
      <c r="AJ1668" s="351">
        <v>0</v>
      </c>
      <c r="AK1668" s="351">
        <v>0</v>
      </c>
      <c r="AL1668" s="352" t="s">
        <v>20345</v>
      </c>
      <c r="AM1668" s="352">
        <v>0</v>
      </c>
      <c r="AN1668" s="352">
        <v>0</v>
      </c>
      <c r="AO1668" s="352">
        <v>0</v>
      </c>
    </row>
    <row r="1669" spans="1:41" hidden="1">
      <c r="A1669" s="342" t="s">
        <v>199</v>
      </c>
      <c r="B1669" s="277" t="s">
        <v>199</v>
      </c>
      <c r="C1669" s="277">
        <v>0</v>
      </c>
      <c r="D1669" s="343" t="s">
        <v>19420</v>
      </c>
      <c r="E1669" s="277" t="s">
        <v>199</v>
      </c>
      <c r="F1669" s="618">
        <v>45467</v>
      </c>
      <c r="G1669" s="619">
        <v>2024</v>
      </c>
      <c r="H1669" s="383" t="s">
        <v>16957</v>
      </c>
      <c r="I1669" s="277" t="s">
        <v>16958</v>
      </c>
      <c r="J1669" s="277" t="s">
        <v>16401</v>
      </c>
      <c r="K1669" s="278">
        <v>115166.43840000001</v>
      </c>
      <c r="L1669" s="383">
        <v>3.1232000000000002</v>
      </c>
      <c r="M1669" s="384">
        <v>36874.5</v>
      </c>
      <c r="N1669" s="277" t="s">
        <v>20155</v>
      </c>
      <c r="O1669" s="277" t="s">
        <v>20161</v>
      </c>
      <c r="P1669" s="890">
        <v>45484</v>
      </c>
      <c r="Q1669" s="347">
        <v>40300</v>
      </c>
      <c r="R1669" s="347">
        <v>0</v>
      </c>
      <c r="S1669" s="347">
        <v>0</v>
      </c>
      <c r="T1669" s="347">
        <v>0</v>
      </c>
      <c r="U1669" s="347">
        <v>40300</v>
      </c>
      <c r="V1669" s="348"/>
      <c r="W1669" s="349">
        <v>115166.4384</v>
      </c>
      <c r="X1669" s="349">
        <v>0</v>
      </c>
      <c r="Y1669" s="349">
        <v>0</v>
      </c>
      <c r="Z1669" s="349">
        <v>0</v>
      </c>
      <c r="AA1669" s="350">
        <v>2.8577279999999998</v>
      </c>
      <c r="AB1669" s="350"/>
      <c r="AC1669" s="350"/>
      <c r="AD1669" s="350"/>
      <c r="AE1669" s="349">
        <v>1742.7</v>
      </c>
      <c r="AF1669" s="349">
        <v>14658.7</v>
      </c>
      <c r="AG1669" s="349">
        <v>0.36373945409429281</v>
      </c>
      <c r="AH1669" s="351">
        <v>2.4939885459057072</v>
      </c>
      <c r="AI1669" s="351"/>
      <c r="AJ1669" s="351"/>
      <c r="AK1669" s="351"/>
      <c r="AL1669" s="352">
        <v>1</v>
      </c>
      <c r="AM1669" s="352">
        <v>0</v>
      </c>
      <c r="AN1669" s="352">
        <v>0</v>
      </c>
      <c r="AO1669" s="352">
        <v>0</v>
      </c>
    </row>
    <row r="1670" spans="1:41" hidden="1">
      <c r="A1670" s="342" t="s">
        <v>200</v>
      </c>
      <c r="B1670" s="277" t="s">
        <v>200</v>
      </c>
      <c r="C1670" s="277">
        <v>0</v>
      </c>
      <c r="D1670" s="343" t="s">
        <v>19421</v>
      </c>
      <c r="E1670" s="277" t="s">
        <v>200</v>
      </c>
      <c r="F1670" s="618">
        <v>45475</v>
      </c>
      <c r="G1670" s="619">
        <v>2024</v>
      </c>
      <c r="H1670" s="383" t="s">
        <v>17299</v>
      </c>
      <c r="I1670" s="277" t="s">
        <v>17300</v>
      </c>
      <c r="J1670" s="277" t="s">
        <v>16482</v>
      </c>
      <c r="K1670" s="278">
        <v>86611.107400000008</v>
      </c>
      <c r="L1670" s="383">
        <v>3.3795500000000001</v>
      </c>
      <c r="M1670" s="384">
        <v>25628</v>
      </c>
      <c r="N1670" s="277" t="s">
        <v>20155</v>
      </c>
      <c r="O1670" s="277" t="s">
        <v>20321</v>
      </c>
      <c r="P1670" s="890">
        <v>45484</v>
      </c>
      <c r="Q1670" s="347">
        <v>38400</v>
      </c>
      <c r="R1670" s="347">
        <v>0</v>
      </c>
      <c r="S1670" s="347">
        <v>0</v>
      </c>
      <c r="T1670" s="347">
        <v>0</v>
      </c>
      <c r="U1670" s="347">
        <v>38400</v>
      </c>
      <c r="V1670" s="348"/>
      <c r="W1670" s="349">
        <v>86611.107399999994</v>
      </c>
      <c r="X1670" s="349">
        <v>0</v>
      </c>
      <c r="Y1670" s="349">
        <v>0</v>
      </c>
      <c r="Z1670" s="349">
        <v>0</v>
      </c>
      <c r="AA1670" s="350">
        <v>2.2554975885416666</v>
      </c>
      <c r="AB1670" s="350"/>
      <c r="AC1670" s="350"/>
      <c r="AD1670" s="350"/>
      <c r="AE1670" s="349">
        <v>1411.9849999999999</v>
      </c>
      <c r="AF1670" s="349">
        <v>8916.7950000000001</v>
      </c>
      <c r="AG1670" s="349">
        <v>0.23220820312500001</v>
      </c>
      <c r="AH1670" s="351">
        <v>2.0232893854166667</v>
      </c>
      <c r="AI1670" s="351"/>
      <c r="AJ1670" s="351"/>
      <c r="AK1670" s="351"/>
      <c r="AL1670" s="352" t="s">
        <v>20345</v>
      </c>
      <c r="AM1670" s="352">
        <v>0</v>
      </c>
      <c r="AN1670" s="352">
        <v>0</v>
      </c>
      <c r="AO1670" s="352">
        <v>0</v>
      </c>
    </row>
    <row r="1671" spans="1:41" hidden="1">
      <c r="A1671" s="342" t="s">
        <v>201</v>
      </c>
      <c r="B1671" s="277" t="s">
        <v>201</v>
      </c>
      <c r="C1671" s="277">
        <v>0</v>
      </c>
      <c r="D1671" s="343" t="s">
        <v>19422</v>
      </c>
      <c r="E1671" s="277" t="s">
        <v>201</v>
      </c>
      <c r="F1671" s="618">
        <v>45475</v>
      </c>
      <c r="G1671" s="619">
        <v>2024</v>
      </c>
      <c r="H1671" s="383" t="s">
        <v>16838</v>
      </c>
      <c r="I1671" s="277" t="s">
        <v>16839</v>
      </c>
      <c r="J1671" s="277" t="s">
        <v>3</v>
      </c>
      <c r="K1671" s="278">
        <v>143080</v>
      </c>
      <c r="L1671" s="383">
        <v>1</v>
      </c>
      <c r="M1671" s="384">
        <v>143080</v>
      </c>
      <c r="N1671" s="277" t="s">
        <v>20155</v>
      </c>
      <c r="O1671" s="277" t="s">
        <v>17771</v>
      </c>
      <c r="P1671" s="890">
        <v>45485</v>
      </c>
      <c r="Q1671" s="347">
        <v>0</v>
      </c>
      <c r="R1671" s="347">
        <v>0</v>
      </c>
      <c r="S1671" s="347">
        <v>84000</v>
      </c>
      <c r="T1671" s="347">
        <v>0</v>
      </c>
      <c r="U1671" s="347">
        <v>84000</v>
      </c>
      <c r="V1671" s="348"/>
      <c r="W1671" s="349">
        <v>0</v>
      </c>
      <c r="X1671" s="349">
        <v>0</v>
      </c>
      <c r="Y1671" s="349">
        <v>143080</v>
      </c>
      <c r="Z1671" s="349">
        <v>0</v>
      </c>
      <c r="AA1671" s="350"/>
      <c r="AB1671" s="350"/>
      <c r="AC1671" s="350">
        <v>1.7033333333333334</v>
      </c>
      <c r="AD1671" s="350"/>
      <c r="AE1671" s="349">
        <v>0</v>
      </c>
      <c r="AF1671" s="349">
        <v>0</v>
      </c>
      <c r="AG1671" s="349">
        <v>0</v>
      </c>
      <c r="AH1671" s="351">
        <v>0</v>
      </c>
      <c r="AI1671" s="351">
        <v>0</v>
      </c>
      <c r="AJ1671" s="351">
        <v>1.7033333333333334</v>
      </c>
      <c r="AK1671" s="351">
        <v>0</v>
      </c>
      <c r="AL1671" s="352">
        <v>0</v>
      </c>
      <c r="AM1671" s="352">
        <v>0</v>
      </c>
      <c r="AN1671" s="352" t="s">
        <v>20347</v>
      </c>
      <c r="AO1671" s="352">
        <v>0</v>
      </c>
    </row>
    <row r="1672" spans="1:41" hidden="1">
      <c r="A1672" s="342" t="s">
        <v>202</v>
      </c>
      <c r="B1672" s="277" t="s">
        <v>202</v>
      </c>
      <c r="C1672" s="277">
        <v>0</v>
      </c>
      <c r="D1672" s="343" t="s">
        <v>19423</v>
      </c>
      <c r="E1672" s="277" t="s">
        <v>202</v>
      </c>
      <c r="F1672" s="618">
        <v>45475</v>
      </c>
      <c r="G1672" s="619">
        <v>2024</v>
      </c>
      <c r="H1672" s="383" t="s">
        <v>17376</v>
      </c>
      <c r="I1672" s="277" t="s">
        <v>17377</v>
      </c>
      <c r="J1672" s="277" t="s">
        <v>3</v>
      </c>
      <c r="K1672" s="278">
        <v>215562.90404000002</v>
      </c>
      <c r="L1672" s="383">
        <v>3.1240000000000001</v>
      </c>
      <c r="M1672" s="384">
        <v>69002.210000000006</v>
      </c>
      <c r="N1672" s="277" t="s">
        <v>20155</v>
      </c>
      <c r="O1672" s="277" t="s">
        <v>17939</v>
      </c>
      <c r="P1672" s="890">
        <v>45483</v>
      </c>
      <c r="Q1672" s="347">
        <v>100003</v>
      </c>
      <c r="R1672" s="347">
        <v>0</v>
      </c>
      <c r="S1672" s="347">
        <v>0</v>
      </c>
      <c r="T1672" s="347">
        <v>0</v>
      </c>
      <c r="U1672" s="347">
        <v>100003</v>
      </c>
      <c r="V1672" s="348"/>
      <c r="W1672" s="349">
        <v>215562.89779199997</v>
      </c>
      <c r="X1672" s="349">
        <v>0</v>
      </c>
      <c r="Y1672" s="349">
        <v>0</v>
      </c>
      <c r="Z1672" s="349">
        <v>0</v>
      </c>
      <c r="AA1672" s="350">
        <v>2.1555643109906701</v>
      </c>
      <c r="AB1672" s="350"/>
      <c r="AC1672" s="350"/>
      <c r="AD1672" s="350"/>
      <c r="AE1672" s="349">
        <v>0</v>
      </c>
      <c r="AF1672" s="349">
        <v>0</v>
      </c>
      <c r="AG1672" s="349">
        <v>0</v>
      </c>
      <c r="AH1672" s="351">
        <v>2.1555643109906701</v>
      </c>
      <c r="AI1672" s="351">
        <v>0</v>
      </c>
      <c r="AJ1672" s="351">
        <v>0</v>
      </c>
      <c r="AK1672" s="351">
        <v>0</v>
      </c>
      <c r="AL1672" s="352" t="s">
        <v>20345</v>
      </c>
      <c r="AM1672" s="352">
        <v>0</v>
      </c>
      <c r="AN1672" s="352">
        <v>0</v>
      </c>
      <c r="AO1672" s="352">
        <v>0</v>
      </c>
    </row>
    <row r="1673" spans="1:41" hidden="1">
      <c r="A1673" s="342" t="s">
        <v>203</v>
      </c>
      <c r="B1673" s="277" t="s">
        <v>203</v>
      </c>
      <c r="C1673" s="277">
        <v>0</v>
      </c>
      <c r="D1673" s="343" t="s">
        <v>19425</v>
      </c>
      <c r="E1673" s="277" t="s">
        <v>203</v>
      </c>
      <c r="F1673" s="618">
        <v>45478</v>
      </c>
      <c r="G1673" s="619">
        <v>2024</v>
      </c>
      <c r="H1673" s="383" t="s">
        <v>17354</v>
      </c>
      <c r="I1673" s="277" t="s">
        <v>17355</v>
      </c>
      <c r="J1673" s="277" t="s">
        <v>16482</v>
      </c>
      <c r="K1673" s="278">
        <v>186786.10725</v>
      </c>
      <c r="L1673" s="383">
        <v>3.3810500000000001</v>
      </c>
      <c r="M1673" s="384">
        <v>55245</v>
      </c>
      <c r="N1673" s="277" t="s">
        <v>20155</v>
      </c>
      <c r="O1673" s="277" t="s">
        <v>20321</v>
      </c>
      <c r="P1673" s="890">
        <v>45496</v>
      </c>
      <c r="Q1673" s="347">
        <v>81000</v>
      </c>
      <c r="R1673" s="347">
        <v>0</v>
      </c>
      <c r="S1673" s="347">
        <v>0</v>
      </c>
      <c r="T1673" s="347">
        <v>0</v>
      </c>
      <c r="U1673" s="347">
        <v>81000</v>
      </c>
      <c r="V1673" s="348"/>
      <c r="W1673" s="349">
        <v>186786.10725</v>
      </c>
      <c r="X1673" s="349">
        <v>0</v>
      </c>
      <c r="Y1673" s="349">
        <v>0</v>
      </c>
      <c r="Z1673" s="349">
        <v>0</v>
      </c>
      <c r="AA1673" s="350">
        <v>2.306001324074074</v>
      </c>
      <c r="AB1673" s="350"/>
      <c r="AC1673" s="350"/>
      <c r="AD1673" s="350"/>
      <c r="AE1673" s="349">
        <v>3919.1624999999999</v>
      </c>
      <c r="AF1673" s="349">
        <v>20498.794999999998</v>
      </c>
      <c r="AG1673" s="349">
        <v>0.25307154320987651</v>
      </c>
      <c r="AH1673" s="351">
        <v>2.0529297808641975</v>
      </c>
      <c r="AI1673" s="351"/>
      <c r="AJ1673" s="351"/>
      <c r="AK1673" s="351"/>
      <c r="AL1673" s="352" t="s">
        <v>20345</v>
      </c>
      <c r="AM1673" s="352">
        <v>0</v>
      </c>
      <c r="AN1673" s="352">
        <v>0</v>
      </c>
      <c r="AO1673" s="352">
        <v>0</v>
      </c>
    </row>
    <row r="1674" spans="1:41" hidden="1">
      <c r="A1674" s="342" t="s">
        <v>204</v>
      </c>
      <c r="B1674" s="277" t="s">
        <v>204</v>
      </c>
      <c r="C1674" s="277">
        <v>0</v>
      </c>
      <c r="D1674" s="343" t="s">
        <v>19426</v>
      </c>
      <c r="E1674" s="277" t="s">
        <v>204</v>
      </c>
      <c r="F1674" s="618">
        <v>45481</v>
      </c>
      <c r="G1674" s="619">
        <v>2024</v>
      </c>
      <c r="H1674" s="383" t="s">
        <v>16880</v>
      </c>
      <c r="I1674" s="277" t="s">
        <v>16881</v>
      </c>
      <c r="J1674" s="277" t="s">
        <v>16401</v>
      </c>
      <c r="K1674" s="278">
        <v>87353.350480000008</v>
      </c>
      <c r="L1674" s="383">
        <v>3.1240000000000001</v>
      </c>
      <c r="M1674" s="384">
        <v>27962.02</v>
      </c>
      <c r="N1674" s="277" t="s">
        <v>20155</v>
      </c>
      <c r="O1674" s="277" t="s">
        <v>20156</v>
      </c>
      <c r="P1674" s="890">
        <v>45484</v>
      </c>
      <c r="Q1674" s="347">
        <v>11100</v>
      </c>
      <c r="R1674" s="347">
        <v>10820</v>
      </c>
      <c r="S1674" s="347">
        <v>0</v>
      </c>
      <c r="T1674" s="347">
        <v>0</v>
      </c>
      <c r="U1674" s="347">
        <v>21920</v>
      </c>
      <c r="V1674" s="348"/>
      <c r="W1674" s="349">
        <v>37885.372799999997</v>
      </c>
      <c r="X1674" s="349">
        <v>49467.977680000011</v>
      </c>
      <c r="Y1674" s="349">
        <v>0</v>
      </c>
      <c r="Z1674" s="349">
        <v>0</v>
      </c>
      <c r="AA1674" s="350">
        <v>3.4130966486486485</v>
      </c>
      <c r="AB1674" s="350">
        <v>4.5719018188539753</v>
      </c>
      <c r="AC1674" s="350"/>
      <c r="AD1674" s="350"/>
      <c r="AE1674" s="349">
        <v>0</v>
      </c>
      <c r="AF1674" s="349">
        <v>2455.4699999999998</v>
      </c>
      <c r="AG1674" s="349">
        <v>0.11201961678832116</v>
      </c>
      <c r="AH1674" s="351">
        <v>3.3010770318603275</v>
      </c>
      <c r="AI1674" s="351">
        <v>4.4598822020656543</v>
      </c>
      <c r="AJ1674" s="351"/>
      <c r="AK1674" s="351"/>
      <c r="AL1674" s="352">
        <v>1</v>
      </c>
      <c r="AM1674" s="352">
        <v>1</v>
      </c>
      <c r="AN1674" s="352">
        <v>0</v>
      </c>
      <c r="AO1674" s="352">
        <v>0</v>
      </c>
    </row>
    <row r="1675" spans="1:41" hidden="1">
      <c r="A1675" s="342" t="s">
        <v>205</v>
      </c>
      <c r="B1675" s="277" t="s">
        <v>205</v>
      </c>
      <c r="C1675" s="277">
        <v>0</v>
      </c>
      <c r="D1675" s="343" t="s">
        <v>19427</v>
      </c>
      <c r="E1675" s="277" t="s">
        <v>205</v>
      </c>
      <c r="F1675" s="618">
        <v>45481</v>
      </c>
      <c r="G1675" s="619">
        <v>2024</v>
      </c>
      <c r="H1675" s="383" t="s">
        <v>16880</v>
      </c>
      <c r="I1675" s="277" t="s">
        <v>16881</v>
      </c>
      <c r="J1675" s="277" t="s">
        <v>16401</v>
      </c>
      <c r="K1675" s="278">
        <v>92680.583864999993</v>
      </c>
      <c r="L1675" s="383">
        <v>3.1042999999999998</v>
      </c>
      <c r="M1675" s="384">
        <v>29855.55</v>
      </c>
      <c r="N1675" s="277" t="s">
        <v>20155</v>
      </c>
      <c r="O1675" s="277" t="s">
        <v>20156</v>
      </c>
      <c r="P1675" s="890">
        <v>45491</v>
      </c>
      <c r="Q1675" s="347">
        <v>7500</v>
      </c>
      <c r="R1675" s="347">
        <v>15000</v>
      </c>
      <c r="S1675" s="347">
        <v>0</v>
      </c>
      <c r="T1675" s="347">
        <v>0</v>
      </c>
      <c r="U1675" s="347">
        <v>22500</v>
      </c>
      <c r="V1675" s="348"/>
      <c r="W1675" s="349">
        <v>24824.466239999998</v>
      </c>
      <c r="X1675" s="349">
        <v>67856.117624999999</v>
      </c>
      <c r="Y1675" s="349">
        <v>0</v>
      </c>
      <c r="Z1675" s="349">
        <v>0</v>
      </c>
      <c r="AA1675" s="350">
        <v>3.3099288319999998</v>
      </c>
      <c r="AB1675" s="350">
        <v>4.5237411749999996</v>
      </c>
      <c r="AC1675" s="350"/>
      <c r="AD1675" s="350"/>
      <c r="AE1675" s="349">
        <v>0</v>
      </c>
      <c r="AF1675" s="349">
        <v>2455.4699999999998</v>
      </c>
      <c r="AG1675" s="349">
        <v>0.10913199999999999</v>
      </c>
      <c r="AH1675" s="351">
        <v>3.200796832</v>
      </c>
      <c r="AI1675" s="351">
        <v>4.4146091749999998</v>
      </c>
      <c r="AJ1675" s="351"/>
      <c r="AK1675" s="351"/>
      <c r="AL1675" s="352">
        <v>1</v>
      </c>
      <c r="AM1675" s="352">
        <v>1</v>
      </c>
      <c r="AN1675" s="352">
        <v>0</v>
      </c>
      <c r="AO1675" s="352">
        <v>0</v>
      </c>
    </row>
    <row r="1676" spans="1:41" hidden="1">
      <c r="A1676" s="342" t="s">
        <v>206</v>
      </c>
      <c r="B1676" s="277" t="s">
        <v>206</v>
      </c>
      <c r="C1676" s="277">
        <v>0</v>
      </c>
      <c r="D1676" s="343" t="s">
        <v>19428</v>
      </c>
      <c r="E1676" s="277" t="s">
        <v>206</v>
      </c>
      <c r="F1676" s="618">
        <v>45481</v>
      </c>
      <c r="G1676" s="619">
        <v>2024</v>
      </c>
      <c r="H1676" s="383" t="s">
        <v>16880</v>
      </c>
      <c r="I1676" s="277" t="s">
        <v>16881</v>
      </c>
      <c r="J1676" s="277" t="s">
        <v>16401</v>
      </c>
      <c r="K1676" s="278">
        <v>68681.023263999989</v>
      </c>
      <c r="L1676" s="383">
        <v>3.1042999999999998</v>
      </c>
      <c r="M1676" s="384">
        <v>22124.48</v>
      </c>
      <c r="N1676" s="277" t="s">
        <v>20155</v>
      </c>
      <c r="O1676" s="277" t="s">
        <v>20156</v>
      </c>
      <c r="P1676" s="890">
        <v>45491</v>
      </c>
      <c r="Q1676" s="347">
        <v>20750</v>
      </c>
      <c r="R1676" s="347">
        <v>0</v>
      </c>
      <c r="S1676" s="347">
        <v>0</v>
      </c>
      <c r="T1676" s="347">
        <v>0</v>
      </c>
      <c r="U1676" s="347">
        <v>20750</v>
      </c>
      <c r="V1676" s="348"/>
      <c r="W1676" s="349">
        <v>68681.023264000003</v>
      </c>
      <c r="X1676" s="349">
        <v>0</v>
      </c>
      <c r="Y1676" s="349">
        <v>0</v>
      </c>
      <c r="Z1676" s="349">
        <v>0</v>
      </c>
      <c r="AA1676" s="350">
        <v>3.3099288320000002</v>
      </c>
      <c r="AB1676" s="350"/>
      <c r="AC1676" s="350"/>
      <c r="AD1676" s="350"/>
      <c r="AE1676" s="349">
        <v>0</v>
      </c>
      <c r="AF1676" s="349">
        <v>2455.4699999999998</v>
      </c>
      <c r="AG1676" s="349">
        <v>0.11833590361445782</v>
      </c>
      <c r="AH1676" s="351">
        <v>3.1915929283855422</v>
      </c>
      <c r="AI1676" s="351"/>
      <c r="AJ1676" s="351"/>
      <c r="AK1676" s="351"/>
      <c r="AL1676" s="352">
        <v>1</v>
      </c>
      <c r="AM1676" s="352">
        <v>0</v>
      </c>
      <c r="AN1676" s="352">
        <v>0</v>
      </c>
      <c r="AO1676" s="352">
        <v>0</v>
      </c>
    </row>
    <row r="1677" spans="1:41" hidden="1">
      <c r="A1677" s="342" t="s">
        <v>207</v>
      </c>
      <c r="B1677" s="277" t="s">
        <v>207</v>
      </c>
      <c r="C1677" s="277">
        <v>0</v>
      </c>
      <c r="D1677" s="343" t="s">
        <v>19429</v>
      </c>
      <c r="E1677" s="277" t="s">
        <v>207</v>
      </c>
      <c r="F1677" s="618">
        <v>45482</v>
      </c>
      <c r="G1677" s="619">
        <v>2024</v>
      </c>
      <c r="H1677" s="383" t="s">
        <v>16904</v>
      </c>
      <c r="I1677" s="277" t="s">
        <v>16905</v>
      </c>
      <c r="J1677" s="277" t="s">
        <v>16482</v>
      </c>
      <c r="K1677" s="278">
        <v>79286.639169999995</v>
      </c>
      <c r="L1677" s="383">
        <v>3.3815</v>
      </c>
      <c r="M1677" s="384">
        <v>23447.18</v>
      </c>
      <c r="N1677" s="277" t="s">
        <v>20155</v>
      </c>
      <c r="O1677" s="277" t="s">
        <v>20160</v>
      </c>
      <c r="P1677" s="890">
        <v>45485</v>
      </c>
      <c r="Q1677" s="347">
        <v>0</v>
      </c>
      <c r="R1677" s="347">
        <v>17712</v>
      </c>
      <c r="S1677" s="347">
        <v>7500</v>
      </c>
      <c r="T1677" s="347">
        <v>0</v>
      </c>
      <c r="U1677" s="347">
        <v>25212</v>
      </c>
      <c r="V1677" s="348"/>
      <c r="W1677" s="349">
        <v>0</v>
      </c>
      <c r="X1677" s="349">
        <v>55914.458769595425</v>
      </c>
      <c r="Y1677" s="349">
        <v>23372.180400404566</v>
      </c>
      <c r="Z1677" s="349">
        <v>0</v>
      </c>
      <c r="AA1677" s="350"/>
      <c r="AB1677" s="350">
        <v>3.156868720053942</v>
      </c>
      <c r="AC1677" s="350">
        <v>3.116290720053942</v>
      </c>
      <c r="AD1677" s="350"/>
      <c r="AE1677" s="349">
        <v>3701.25</v>
      </c>
      <c r="AF1677" s="349">
        <v>16533.95</v>
      </c>
      <c r="AG1677" s="349">
        <v>0.65579684277328254</v>
      </c>
      <c r="AH1677" s="351"/>
      <c r="AI1677" s="351">
        <v>2.5010718772806593</v>
      </c>
      <c r="AJ1677" s="351">
        <v>2.4604938772806593</v>
      </c>
      <c r="AK1677" s="351"/>
      <c r="AL1677" s="352">
        <v>0</v>
      </c>
      <c r="AM1677" s="352">
        <v>1</v>
      </c>
      <c r="AN1677" s="352">
        <v>1</v>
      </c>
      <c r="AO1677" s="352">
        <v>0</v>
      </c>
    </row>
    <row r="1678" spans="1:41" hidden="1">
      <c r="A1678" s="342" t="s">
        <v>208</v>
      </c>
      <c r="B1678" s="277" t="s">
        <v>208</v>
      </c>
      <c r="C1678" s="277">
        <v>0</v>
      </c>
      <c r="D1678" s="343" t="s">
        <v>19430</v>
      </c>
      <c r="E1678" s="277" t="s">
        <v>208</v>
      </c>
      <c r="F1678" s="618">
        <v>45482</v>
      </c>
      <c r="G1678" s="619">
        <v>2024</v>
      </c>
      <c r="H1678" s="383" t="s">
        <v>16904</v>
      </c>
      <c r="I1678" s="277" t="s">
        <v>16905</v>
      </c>
      <c r="J1678" s="277" t="s">
        <v>16482</v>
      </c>
      <c r="K1678" s="278">
        <v>79285.466811000006</v>
      </c>
      <c r="L1678" s="383">
        <v>3.3814500000000001</v>
      </c>
      <c r="M1678" s="384">
        <v>23447.18</v>
      </c>
      <c r="N1678" s="277" t="s">
        <v>20155</v>
      </c>
      <c r="O1678" s="277" t="s">
        <v>20160</v>
      </c>
      <c r="P1678" s="890">
        <v>45485</v>
      </c>
      <c r="Q1678" s="347">
        <v>0</v>
      </c>
      <c r="R1678" s="347">
        <v>17712</v>
      </c>
      <c r="S1678" s="347">
        <v>7500</v>
      </c>
      <c r="T1678" s="347">
        <v>0</v>
      </c>
      <c r="U1678" s="347">
        <v>25212</v>
      </c>
      <c r="V1678" s="348"/>
      <c r="W1678" s="349">
        <v>0</v>
      </c>
      <c r="X1678" s="349">
        <v>55913.631999541169</v>
      </c>
      <c r="Y1678" s="349">
        <v>23371.83481145883</v>
      </c>
      <c r="Z1678" s="349">
        <v>0</v>
      </c>
      <c r="AA1678" s="350"/>
      <c r="AB1678" s="350">
        <v>3.1568220415278438</v>
      </c>
      <c r="AC1678" s="350">
        <v>3.1162446415278438</v>
      </c>
      <c r="AD1678" s="350"/>
      <c r="AE1678" s="349">
        <v>3701.25</v>
      </c>
      <c r="AF1678" s="349">
        <v>16566.75</v>
      </c>
      <c r="AG1678" s="349">
        <v>0.65709781056639693</v>
      </c>
      <c r="AH1678" s="351"/>
      <c r="AI1678" s="351">
        <v>2.4997242309614469</v>
      </c>
      <c r="AJ1678" s="351">
        <v>2.4591468309614468</v>
      </c>
      <c r="AK1678" s="351"/>
      <c r="AL1678" s="352">
        <v>0</v>
      </c>
      <c r="AM1678" s="352">
        <v>1</v>
      </c>
      <c r="AN1678" s="352">
        <v>1</v>
      </c>
      <c r="AO1678" s="352">
        <v>0</v>
      </c>
    </row>
    <row r="1679" spans="1:41" hidden="1">
      <c r="A1679" s="342" t="s">
        <v>209</v>
      </c>
      <c r="B1679" s="277" t="s">
        <v>209</v>
      </c>
      <c r="C1679" s="277">
        <v>0</v>
      </c>
      <c r="D1679" s="343" t="s">
        <v>19431</v>
      </c>
      <c r="E1679" s="277" t="s">
        <v>209</v>
      </c>
      <c r="F1679" s="618">
        <v>45482</v>
      </c>
      <c r="G1679" s="619">
        <v>2024</v>
      </c>
      <c r="H1679" s="383" t="s">
        <v>16560</v>
      </c>
      <c r="I1679" s="277" t="s">
        <v>16561</v>
      </c>
      <c r="J1679" s="277" t="s">
        <v>16482</v>
      </c>
      <c r="K1679" s="278">
        <v>237127.6875</v>
      </c>
      <c r="L1679" s="383">
        <v>3.3815</v>
      </c>
      <c r="M1679" s="384">
        <v>70125</v>
      </c>
      <c r="N1679" s="277" t="s">
        <v>20155</v>
      </c>
      <c r="O1679" s="277" t="s">
        <v>17801</v>
      </c>
      <c r="P1679" s="890">
        <v>45485</v>
      </c>
      <c r="Q1679" s="347">
        <v>0</v>
      </c>
      <c r="R1679" s="347">
        <v>0</v>
      </c>
      <c r="S1679" s="347">
        <v>137500</v>
      </c>
      <c r="T1679" s="347">
        <v>0</v>
      </c>
      <c r="U1679" s="347">
        <v>137500</v>
      </c>
      <c r="V1679" s="348"/>
      <c r="W1679" s="349">
        <v>0</v>
      </c>
      <c r="X1679" s="349">
        <v>0</v>
      </c>
      <c r="Y1679" s="349">
        <v>237127.68749999997</v>
      </c>
      <c r="Z1679" s="349">
        <v>0</v>
      </c>
      <c r="AA1679" s="350"/>
      <c r="AB1679" s="350"/>
      <c r="AC1679" s="350">
        <v>1.7245649999999997</v>
      </c>
      <c r="AD1679" s="350"/>
      <c r="AE1679" s="349">
        <v>4312.5</v>
      </c>
      <c r="AF1679" s="349">
        <v>26049.5</v>
      </c>
      <c r="AG1679" s="349">
        <v>0.18945090909090909</v>
      </c>
      <c r="AH1679" s="351"/>
      <c r="AI1679" s="351"/>
      <c r="AJ1679" s="351">
        <v>1.5351140909090906</v>
      </c>
      <c r="AK1679" s="351"/>
      <c r="AL1679" s="352">
        <v>0</v>
      </c>
      <c r="AM1679" s="352">
        <v>0</v>
      </c>
      <c r="AN1679" s="352" t="s">
        <v>20347</v>
      </c>
      <c r="AO1679" s="352">
        <v>0</v>
      </c>
    </row>
    <row r="1680" spans="1:41" hidden="1">
      <c r="A1680" s="342" t="s">
        <v>210</v>
      </c>
      <c r="B1680" s="277" t="s">
        <v>210</v>
      </c>
      <c r="C1680" s="277">
        <v>0</v>
      </c>
      <c r="D1680" s="343" t="s">
        <v>19432</v>
      </c>
      <c r="E1680" s="277" t="s">
        <v>210</v>
      </c>
      <c r="F1680" s="618">
        <v>45482</v>
      </c>
      <c r="G1680" s="619">
        <v>2024</v>
      </c>
      <c r="H1680" s="383" t="s">
        <v>16560</v>
      </c>
      <c r="I1680" s="277" t="s">
        <v>16561</v>
      </c>
      <c r="J1680" s="277" t="s">
        <v>16482</v>
      </c>
      <c r="K1680" s="278">
        <v>237127.6875</v>
      </c>
      <c r="L1680" s="383">
        <v>3.3815</v>
      </c>
      <c r="M1680" s="384">
        <v>70125</v>
      </c>
      <c r="N1680" s="277" t="s">
        <v>20155</v>
      </c>
      <c r="O1680" s="277" t="s">
        <v>17801</v>
      </c>
      <c r="P1680" s="890">
        <v>45486</v>
      </c>
      <c r="Q1680" s="347">
        <v>0</v>
      </c>
      <c r="R1680" s="347">
        <v>0</v>
      </c>
      <c r="S1680" s="347">
        <v>137500</v>
      </c>
      <c r="T1680" s="347">
        <v>0</v>
      </c>
      <c r="U1680" s="347">
        <v>137500</v>
      </c>
      <c r="V1680" s="348"/>
      <c r="W1680" s="349">
        <v>0</v>
      </c>
      <c r="X1680" s="349">
        <v>0</v>
      </c>
      <c r="Y1680" s="349">
        <v>237127.68749999997</v>
      </c>
      <c r="Z1680" s="349">
        <v>0</v>
      </c>
      <c r="AA1680" s="350"/>
      <c r="AB1680" s="350"/>
      <c r="AC1680" s="350">
        <v>1.7245649999999997</v>
      </c>
      <c r="AD1680" s="350"/>
      <c r="AE1680" s="349">
        <v>4312.5</v>
      </c>
      <c r="AF1680" s="349">
        <v>25322.62</v>
      </c>
      <c r="AG1680" s="349">
        <v>0.18416450909090909</v>
      </c>
      <c r="AH1680" s="351"/>
      <c r="AI1680" s="351"/>
      <c r="AJ1680" s="351">
        <v>1.5404004909090907</v>
      </c>
      <c r="AK1680" s="351"/>
      <c r="AL1680" s="352">
        <v>0</v>
      </c>
      <c r="AM1680" s="352">
        <v>0</v>
      </c>
      <c r="AN1680" s="352" t="s">
        <v>20347</v>
      </c>
      <c r="AO1680" s="352">
        <v>0</v>
      </c>
    </row>
    <row r="1681" spans="1:41" hidden="1">
      <c r="A1681" s="342" t="s">
        <v>211</v>
      </c>
      <c r="B1681" s="277" t="s">
        <v>211</v>
      </c>
      <c r="C1681" s="277">
        <v>0</v>
      </c>
      <c r="D1681" s="343" t="s">
        <v>19433</v>
      </c>
      <c r="E1681" s="277" t="s">
        <v>211</v>
      </c>
      <c r="F1681" s="618">
        <v>45482</v>
      </c>
      <c r="G1681" s="619">
        <v>2024</v>
      </c>
      <c r="H1681" s="383" t="s">
        <v>16384</v>
      </c>
      <c r="I1681" s="277" t="s">
        <v>16385</v>
      </c>
      <c r="J1681" s="277" t="s">
        <v>3</v>
      </c>
      <c r="K1681" s="278">
        <v>879200</v>
      </c>
      <c r="L1681" s="383">
        <v>1</v>
      </c>
      <c r="M1681" s="384">
        <v>879200</v>
      </c>
      <c r="N1681" s="277" t="s">
        <v>20155</v>
      </c>
      <c r="O1681" s="277" t="s">
        <v>17801</v>
      </c>
      <c r="P1681" s="890">
        <v>45502</v>
      </c>
      <c r="Q1681" s="347">
        <v>0</v>
      </c>
      <c r="R1681" s="347">
        <v>0</v>
      </c>
      <c r="S1681" s="347">
        <v>560000</v>
      </c>
      <c r="T1681" s="347">
        <v>0</v>
      </c>
      <c r="U1681" s="347">
        <v>560000</v>
      </c>
      <c r="V1681" s="348"/>
      <c r="W1681" s="349">
        <v>0</v>
      </c>
      <c r="X1681" s="349">
        <v>0</v>
      </c>
      <c r="Y1681" s="349">
        <v>879200</v>
      </c>
      <c r="Z1681" s="349">
        <v>0</v>
      </c>
      <c r="AA1681" s="350"/>
      <c r="AB1681" s="350"/>
      <c r="AC1681" s="350">
        <v>1.57</v>
      </c>
      <c r="AD1681" s="350"/>
      <c r="AE1681" s="349">
        <v>0</v>
      </c>
      <c r="AF1681" s="349">
        <v>0</v>
      </c>
      <c r="AG1681" s="349">
        <v>0</v>
      </c>
      <c r="AH1681" s="351">
        <v>0</v>
      </c>
      <c r="AI1681" s="351">
        <v>0</v>
      </c>
      <c r="AJ1681" s="351">
        <v>1.57</v>
      </c>
      <c r="AK1681" s="351">
        <v>0</v>
      </c>
      <c r="AL1681" s="352">
        <v>0</v>
      </c>
      <c r="AM1681" s="352">
        <v>0</v>
      </c>
      <c r="AN1681" s="352" t="s">
        <v>20347</v>
      </c>
      <c r="AO1681" s="352">
        <v>0</v>
      </c>
    </row>
    <row r="1682" spans="1:41" hidden="1">
      <c r="A1682" s="342" t="s">
        <v>212</v>
      </c>
      <c r="B1682" s="277" t="s">
        <v>212</v>
      </c>
      <c r="C1682" s="277">
        <v>0</v>
      </c>
      <c r="D1682" s="343" t="s">
        <v>19434</v>
      </c>
      <c r="E1682" s="277" t="s">
        <v>212</v>
      </c>
      <c r="F1682" s="618">
        <v>45483</v>
      </c>
      <c r="G1682" s="619">
        <v>2024</v>
      </c>
      <c r="H1682" s="383" t="s">
        <v>16560</v>
      </c>
      <c r="I1682" s="277" t="s">
        <v>16561</v>
      </c>
      <c r="J1682" s="277" t="s">
        <v>16482</v>
      </c>
      <c r="K1682" s="278">
        <v>228322.125</v>
      </c>
      <c r="L1682" s="383">
        <v>3.3825500000000002</v>
      </c>
      <c r="M1682" s="384">
        <v>67500</v>
      </c>
      <c r="N1682" s="277" t="s">
        <v>20155</v>
      </c>
      <c r="O1682" s="277" t="s">
        <v>17801</v>
      </c>
      <c r="P1682" s="890">
        <v>45491</v>
      </c>
      <c r="Q1682" s="347">
        <v>0</v>
      </c>
      <c r="R1682" s="347">
        <v>125000</v>
      </c>
      <c r="S1682" s="347">
        <v>0</v>
      </c>
      <c r="T1682" s="347">
        <v>0</v>
      </c>
      <c r="U1682" s="347">
        <v>125000</v>
      </c>
      <c r="V1682" s="348"/>
      <c r="W1682" s="349">
        <v>0</v>
      </c>
      <c r="X1682" s="349">
        <v>228322.125</v>
      </c>
      <c r="Y1682" s="349">
        <v>0</v>
      </c>
      <c r="Z1682" s="349">
        <v>0</v>
      </c>
      <c r="AA1682" s="350"/>
      <c r="AB1682" s="350">
        <v>1.8265769999999999</v>
      </c>
      <c r="AC1682" s="350"/>
      <c r="AD1682" s="350"/>
      <c r="AE1682" s="349">
        <v>6497.1925000000001</v>
      </c>
      <c r="AF1682" s="349">
        <v>34230.370000000003</v>
      </c>
      <c r="AG1682" s="349">
        <v>0.27384296000000002</v>
      </c>
      <c r="AH1682" s="351"/>
      <c r="AI1682" s="351">
        <v>1.5527340399999998</v>
      </c>
      <c r="AJ1682" s="351"/>
      <c r="AK1682" s="351"/>
      <c r="AL1682" s="352">
        <v>0</v>
      </c>
      <c r="AM1682" s="352" t="s">
        <v>20348</v>
      </c>
      <c r="AN1682" s="352">
        <v>0</v>
      </c>
      <c r="AO1682" s="352">
        <v>0</v>
      </c>
    </row>
    <row r="1683" spans="1:41" hidden="1">
      <c r="A1683" s="342" t="s">
        <v>213</v>
      </c>
      <c r="B1683" s="277" t="s">
        <v>213</v>
      </c>
      <c r="C1683" s="277">
        <v>0</v>
      </c>
      <c r="D1683" s="343" t="s">
        <v>19435</v>
      </c>
      <c r="E1683" s="277" t="s">
        <v>213</v>
      </c>
      <c r="F1683" s="618">
        <v>45483</v>
      </c>
      <c r="G1683" s="619">
        <v>2024</v>
      </c>
      <c r="H1683" s="383" t="s">
        <v>16444</v>
      </c>
      <c r="I1683" s="277" t="s">
        <v>16445</v>
      </c>
      <c r="J1683" s="277" t="s">
        <v>3</v>
      </c>
      <c r="K1683" s="278">
        <v>38976</v>
      </c>
      <c r="L1683" s="383">
        <v>1</v>
      </c>
      <c r="M1683" s="384">
        <v>38976</v>
      </c>
      <c r="N1683" s="277" t="s">
        <v>20155</v>
      </c>
      <c r="O1683" s="277" t="s">
        <v>17965</v>
      </c>
      <c r="P1683" s="890">
        <v>45490</v>
      </c>
      <c r="Q1683" s="347">
        <v>19200</v>
      </c>
      <c r="R1683" s="347">
        <v>0</v>
      </c>
      <c r="S1683" s="347">
        <v>0</v>
      </c>
      <c r="T1683" s="347">
        <v>0</v>
      </c>
      <c r="U1683" s="347">
        <v>19200</v>
      </c>
      <c r="V1683" s="348"/>
      <c r="W1683" s="349">
        <v>38976</v>
      </c>
      <c r="X1683" s="349">
        <v>0</v>
      </c>
      <c r="Y1683" s="349">
        <v>0</v>
      </c>
      <c r="Z1683" s="349">
        <v>0</v>
      </c>
      <c r="AA1683" s="350">
        <v>2.0299999999999998</v>
      </c>
      <c r="AB1683" s="350"/>
      <c r="AC1683" s="350"/>
      <c r="AD1683" s="350"/>
      <c r="AE1683" s="349">
        <v>0</v>
      </c>
      <c r="AF1683" s="349">
        <v>0</v>
      </c>
      <c r="AG1683" s="349">
        <v>0</v>
      </c>
      <c r="AH1683" s="351">
        <v>2.0299999999999998</v>
      </c>
      <c r="AI1683" s="351">
        <v>0</v>
      </c>
      <c r="AJ1683" s="351">
        <v>0</v>
      </c>
      <c r="AK1683" s="351">
        <v>0</v>
      </c>
      <c r="AL1683" s="352" t="s">
        <v>20345</v>
      </c>
      <c r="AM1683" s="352">
        <v>0</v>
      </c>
      <c r="AN1683" s="352">
        <v>0</v>
      </c>
      <c r="AO1683" s="352">
        <v>0</v>
      </c>
    </row>
    <row r="1684" spans="1:41" hidden="1">
      <c r="A1684" s="342" t="s">
        <v>214</v>
      </c>
      <c r="B1684" s="277" t="s">
        <v>214</v>
      </c>
      <c r="C1684" s="277">
        <v>0</v>
      </c>
      <c r="D1684" s="343" t="s">
        <v>19436</v>
      </c>
      <c r="E1684" s="277" t="s">
        <v>214</v>
      </c>
      <c r="F1684" s="618">
        <v>45485</v>
      </c>
      <c r="G1684" s="619">
        <v>2024</v>
      </c>
      <c r="H1684" s="383" t="s">
        <v>17017</v>
      </c>
      <c r="I1684" s="277" t="s">
        <v>17018</v>
      </c>
      <c r="J1684" s="277" t="s">
        <v>3</v>
      </c>
      <c r="K1684" s="278">
        <v>78925</v>
      </c>
      <c r="L1684" s="383">
        <v>1</v>
      </c>
      <c r="M1684" s="384">
        <v>78925</v>
      </c>
      <c r="N1684" s="277" t="s">
        <v>20155</v>
      </c>
      <c r="O1684" s="277" t="s">
        <v>20307</v>
      </c>
      <c r="P1684" s="890">
        <v>45497</v>
      </c>
      <c r="Q1684" s="347">
        <v>0</v>
      </c>
      <c r="R1684" s="347">
        <v>41000</v>
      </c>
      <c r="S1684" s="347">
        <v>0</v>
      </c>
      <c r="T1684" s="347">
        <v>0</v>
      </c>
      <c r="U1684" s="347">
        <v>41000</v>
      </c>
      <c r="V1684" s="348"/>
      <c r="W1684" s="349">
        <v>0</v>
      </c>
      <c r="X1684" s="349">
        <v>78925</v>
      </c>
      <c r="Y1684" s="349">
        <v>0</v>
      </c>
      <c r="Z1684" s="349">
        <v>0</v>
      </c>
      <c r="AA1684" s="350"/>
      <c r="AB1684" s="350">
        <v>1.925</v>
      </c>
      <c r="AC1684" s="350"/>
      <c r="AD1684" s="350"/>
      <c r="AE1684" s="349">
        <v>0</v>
      </c>
      <c r="AF1684" s="349">
        <v>0</v>
      </c>
      <c r="AG1684" s="349">
        <v>0</v>
      </c>
      <c r="AH1684" s="351">
        <v>0</v>
      </c>
      <c r="AI1684" s="351">
        <v>1.925</v>
      </c>
      <c r="AJ1684" s="351">
        <v>0</v>
      </c>
      <c r="AK1684" s="351">
        <v>0</v>
      </c>
      <c r="AL1684" s="352">
        <v>0</v>
      </c>
      <c r="AM1684" s="352">
        <v>1</v>
      </c>
      <c r="AN1684" s="352">
        <v>0</v>
      </c>
      <c r="AO1684" s="352">
        <v>0</v>
      </c>
    </row>
    <row r="1685" spans="1:41" hidden="1">
      <c r="A1685" s="342" t="s">
        <v>215</v>
      </c>
      <c r="B1685" s="277" t="s">
        <v>215</v>
      </c>
      <c r="C1685" s="277">
        <v>0</v>
      </c>
      <c r="D1685" s="343" t="s">
        <v>19437</v>
      </c>
      <c r="E1685" s="277" t="s">
        <v>215</v>
      </c>
      <c r="F1685" s="618">
        <v>45485</v>
      </c>
      <c r="G1685" s="619">
        <v>2024</v>
      </c>
      <c r="H1685" s="383" t="s">
        <v>17017</v>
      </c>
      <c r="I1685" s="277" t="s">
        <v>17018</v>
      </c>
      <c r="J1685" s="277" t="s">
        <v>3</v>
      </c>
      <c r="K1685" s="278">
        <v>39462.5</v>
      </c>
      <c r="L1685" s="383">
        <v>1</v>
      </c>
      <c r="M1685" s="384">
        <v>39462.5</v>
      </c>
      <c r="N1685" s="277" t="s">
        <v>20155</v>
      </c>
      <c r="O1685" s="277" t="s">
        <v>20307</v>
      </c>
      <c r="P1685" s="890">
        <v>45497</v>
      </c>
      <c r="Q1685" s="347">
        <v>0</v>
      </c>
      <c r="R1685" s="347">
        <v>20500</v>
      </c>
      <c r="S1685" s="347">
        <v>0</v>
      </c>
      <c r="T1685" s="347">
        <v>0</v>
      </c>
      <c r="U1685" s="347">
        <v>20500</v>
      </c>
      <c r="V1685" s="348"/>
      <c r="W1685" s="349">
        <v>0</v>
      </c>
      <c r="X1685" s="349">
        <v>39462.5</v>
      </c>
      <c r="Y1685" s="349">
        <v>0</v>
      </c>
      <c r="Z1685" s="349">
        <v>0</v>
      </c>
      <c r="AA1685" s="350"/>
      <c r="AB1685" s="350">
        <v>1.925</v>
      </c>
      <c r="AC1685" s="350"/>
      <c r="AD1685" s="350"/>
      <c r="AE1685" s="349">
        <v>0</v>
      </c>
      <c r="AF1685" s="349">
        <v>0</v>
      </c>
      <c r="AG1685" s="349">
        <v>0</v>
      </c>
      <c r="AH1685" s="351">
        <v>0</v>
      </c>
      <c r="AI1685" s="351">
        <v>1.925</v>
      </c>
      <c r="AJ1685" s="351">
        <v>0</v>
      </c>
      <c r="AK1685" s="351">
        <v>0</v>
      </c>
      <c r="AL1685" s="352">
        <v>0</v>
      </c>
      <c r="AM1685" s="352">
        <v>1</v>
      </c>
      <c r="AN1685" s="352">
        <v>0</v>
      </c>
      <c r="AO1685" s="352">
        <v>0</v>
      </c>
    </row>
    <row r="1686" spans="1:41" hidden="1">
      <c r="A1686" s="342" t="s">
        <v>216</v>
      </c>
      <c r="B1686" s="277" t="s">
        <v>216</v>
      </c>
      <c r="C1686" s="277">
        <v>0</v>
      </c>
      <c r="D1686" s="343" t="s">
        <v>19438</v>
      </c>
      <c r="E1686" s="277" t="s">
        <v>216</v>
      </c>
      <c r="F1686" s="618">
        <v>45485</v>
      </c>
      <c r="G1686" s="619">
        <v>2024</v>
      </c>
      <c r="H1686" s="383" t="s">
        <v>17017</v>
      </c>
      <c r="I1686" s="277" t="s">
        <v>17018</v>
      </c>
      <c r="J1686" s="277" t="s">
        <v>3</v>
      </c>
      <c r="K1686" s="278">
        <v>119831.25</v>
      </c>
      <c r="L1686" s="383">
        <v>1</v>
      </c>
      <c r="M1686" s="384">
        <v>119831.25</v>
      </c>
      <c r="N1686" s="277" t="s">
        <v>20155</v>
      </c>
      <c r="O1686" s="277" t="s">
        <v>20307</v>
      </c>
      <c r="P1686" s="890">
        <v>45496</v>
      </c>
      <c r="Q1686" s="347">
        <v>62250</v>
      </c>
      <c r="R1686" s="347">
        <v>0</v>
      </c>
      <c r="S1686" s="347">
        <v>0</v>
      </c>
      <c r="T1686" s="347">
        <v>0</v>
      </c>
      <c r="U1686" s="347">
        <v>62250</v>
      </c>
      <c r="V1686" s="348"/>
      <c r="W1686" s="349">
        <v>119831.25</v>
      </c>
      <c r="X1686" s="349">
        <v>0</v>
      </c>
      <c r="Y1686" s="349">
        <v>0</v>
      </c>
      <c r="Z1686" s="349">
        <v>0</v>
      </c>
      <c r="AA1686" s="350">
        <v>1.925</v>
      </c>
      <c r="AB1686" s="350"/>
      <c r="AC1686" s="350"/>
      <c r="AD1686" s="350"/>
      <c r="AE1686" s="349">
        <v>0</v>
      </c>
      <c r="AF1686" s="349">
        <v>0</v>
      </c>
      <c r="AG1686" s="349">
        <v>0</v>
      </c>
      <c r="AH1686" s="351">
        <v>1.925</v>
      </c>
      <c r="AI1686" s="351">
        <v>0</v>
      </c>
      <c r="AJ1686" s="351">
        <v>0</v>
      </c>
      <c r="AK1686" s="351">
        <v>0</v>
      </c>
      <c r="AL1686" s="352">
        <v>1</v>
      </c>
      <c r="AM1686" s="352">
        <v>0</v>
      </c>
      <c r="AN1686" s="352">
        <v>0</v>
      </c>
      <c r="AO1686" s="352">
        <v>0</v>
      </c>
    </row>
    <row r="1687" spans="1:41" hidden="1">
      <c r="A1687" s="342" t="s">
        <v>217</v>
      </c>
      <c r="B1687" s="277" t="s">
        <v>217</v>
      </c>
      <c r="C1687" s="277">
        <v>0</v>
      </c>
      <c r="D1687" s="343" t="s">
        <v>19439</v>
      </c>
      <c r="E1687" s="277" t="s">
        <v>217</v>
      </c>
      <c r="F1687" s="618">
        <v>45486</v>
      </c>
      <c r="G1687" s="619">
        <v>2024</v>
      </c>
      <c r="H1687" s="383" t="s">
        <v>17376</v>
      </c>
      <c r="I1687" s="277" t="s">
        <v>17377</v>
      </c>
      <c r="J1687" s="277" t="s">
        <v>3</v>
      </c>
      <c r="K1687" s="278">
        <v>292602.00847</v>
      </c>
      <c r="L1687" s="383">
        <v>3.1000999999999999</v>
      </c>
      <c r="M1687" s="384">
        <v>94384.7</v>
      </c>
      <c r="N1687" s="277" t="s">
        <v>20155</v>
      </c>
      <c r="O1687" s="277" t="s">
        <v>17939</v>
      </c>
      <c r="P1687" s="890">
        <v>45503</v>
      </c>
      <c r="Q1687" s="347">
        <v>130003</v>
      </c>
      <c r="R1687" s="347">
        <v>0</v>
      </c>
      <c r="S1687" s="347">
        <v>9005</v>
      </c>
      <c r="T1687" s="347">
        <v>0</v>
      </c>
      <c r="U1687" s="347">
        <v>139008</v>
      </c>
      <c r="V1687" s="348"/>
      <c r="W1687" s="349">
        <v>278085.81502079993</v>
      </c>
      <c r="X1687" s="349">
        <v>0</v>
      </c>
      <c r="Y1687" s="349">
        <v>14516.205849600001</v>
      </c>
      <c r="Z1687" s="349">
        <v>0</v>
      </c>
      <c r="AA1687" s="350">
        <v>2.1390722907994424</v>
      </c>
      <c r="AB1687" s="350"/>
      <c r="AC1687" s="350">
        <v>1.6120161965130484</v>
      </c>
      <c r="AD1687" s="350"/>
      <c r="AE1687" s="349">
        <v>0</v>
      </c>
      <c r="AF1687" s="349">
        <v>0</v>
      </c>
      <c r="AG1687" s="349">
        <v>0</v>
      </c>
      <c r="AH1687" s="351">
        <v>2.1390722907994424</v>
      </c>
      <c r="AI1687" s="351">
        <v>0</v>
      </c>
      <c r="AJ1687" s="351">
        <v>1.6120161965130484</v>
      </c>
      <c r="AK1687" s="351">
        <v>0</v>
      </c>
      <c r="AL1687" s="352" t="s">
        <v>20345</v>
      </c>
      <c r="AM1687" s="352">
        <v>0</v>
      </c>
      <c r="AN1687" s="352" t="s">
        <v>20347</v>
      </c>
      <c r="AO1687" s="352">
        <v>0</v>
      </c>
    </row>
    <row r="1688" spans="1:41" hidden="1">
      <c r="A1688" s="342" t="s">
        <v>218</v>
      </c>
      <c r="B1688" s="277" t="s">
        <v>218</v>
      </c>
      <c r="C1688" s="277">
        <v>0</v>
      </c>
      <c r="D1688" s="343" t="s">
        <v>19440</v>
      </c>
      <c r="E1688" s="277" t="s">
        <v>218</v>
      </c>
      <c r="F1688" s="618">
        <v>45489</v>
      </c>
      <c r="G1688" s="619">
        <v>2024</v>
      </c>
      <c r="H1688" s="383" t="s">
        <v>16783</v>
      </c>
      <c r="I1688" s="277" t="s">
        <v>16784</v>
      </c>
      <c r="J1688" s="277" t="s">
        <v>16401</v>
      </c>
      <c r="K1688" s="278">
        <v>792537.34089599992</v>
      </c>
      <c r="L1688" s="383">
        <v>3.1000999999999999</v>
      </c>
      <c r="M1688" s="384">
        <v>255648.96</v>
      </c>
      <c r="N1688" s="277" t="s">
        <v>20155</v>
      </c>
      <c r="O1688" s="277" t="s">
        <v>17939</v>
      </c>
      <c r="P1688" s="890">
        <v>45495</v>
      </c>
      <c r="Q1688" s="347">
        <v>54000</v>
      </c>
      <c r="R1688" s="347">
        <v>233818</v>
      </c>
      <c r="S1688" s="347">
        <v>77395</v>
      </c>
      <c r="T1688" s="347">
        <v>0</v>
      </c>
      <c r="U1688" s="347">
        <v>365213</v>
      </c>
      <c r="V1688" s="348"/>
      <c r="W1688" s="349">
        <v>117183.77999999998</v>
      </c>
      <c r="X1688" s="349">
        <v>507400.55923200003</v>
      </c>
      <c r="Y1688" s="349">
        <v>167953.00166400001</v>
      </c>
      <c r="Z1688" s="349">
        <v>0</v>
      </c>
      <c r="AA1688" s="350">
        <v>2.1700699999999995</v>
      </c>
      <c r="AB1688" s="350">
        <v>2.1700662875912036</v>
      </c>
      <c r="AC1688" s="350">
        <v>2.1700756077782803</v>
      </c>
      <c r="AD1688" s="350"/>
      <c r="AE1688" s="349">
        <v>0</v>
      </c>
      <c r="AF1688" s="349">
        <v>0</v>
      </c>
      <c r="AG1688" s="349">
        <v>0</v>
      </c>
      <c r="AH1688" s="351">
        <v>2.1700699999999995</v>
      </c>
      <c r="AI1688" s="351">
        <v>2.1700662875912036</v>
      </c>
      <c r="AJ1688" s="351">
        <v>2.1700756077782803</v>
      </c>
      <c r="AK1688" s="351">
        <v>0</v>
      </c>
      <c r="AL1688" s="352" t="s">
        <v>20345</v>
      </c>
      <c r="AM1688" s="352" t="s">
        <v>20345</v>
      </c>
      <c r="AN1688" s="352" t="s">
        <v>20345</v>
      </c>
      <c r="AO1688" s="352">
        <v>0</v>
      </c>
    </row>
    <row r="1689" spans="1:41" hidden="1">
      <c r="A1689" s="342" t="s">
        <v>219</v>
      </c>
      <c r="B1689" s="277" t="s">
        <v>219</v>
      </c>
      <c r="C1689" s="277">
        <v>0</v>
      </c>
      <c r="D1689" s="343" t="s">
        <v>19441</v>
      </c>
      <c r="E1689" s="277" t="s">
        <v>219</v>
      </c>
      <c r="F1689" s="618">
        <v>45490</v>
      </c>
      <c r="G1689" s="619">
        <v>2024</v>
      </c>
      <c r="H1689" s="383" t="s">
        <v>17302</v>
      </c>
      <c r="I1689" s="277" t="s">
        <v>17303</v>
      </c>
      <c r="J1689" s="277" t="s">
        <v>16482</v>
      </c>
      <c r="K1689" s="278">
        <v>92720.023217499998</v>
      </c>
      <c r="L1689" s="383">
        <v>3.3842500000000002</v>
      </c>
      <c r="M1689" s="384">
        <v>27397.51</v>
      </c>
      <c r="N1689" s="277" t="s">
        <v>20155</v>
      </c>
      <c r="O1689" s="277" t="s">
        <v>16394</v>
      </c>
      <c r="P1689" s="890">
        <v>45492</v>
      </c>
      <c r="Q1689" s="347">
        <v>0</v>
      </c>
      <c r="R1689" s="347">
        <v>18696</v>
      </c>
      <c r="S1689" s="347">
        <v>4800</v>
      </c>
      <c r="T1689" s="347">
        <v>1120</v>
      </c>
      <c r="U1689" s="347">
        <v>24616</v>
      </c>
      <c r="V1689" s="348"/>
      <c r="W1689" s="349">
        <v>0</v>
      </c>
      <c r="X1689" s="349">
        <v>69056.917564030533</v>
      </c>
      <c r="Y1689" s="349">
        <v>17628.162082677933</v>
      </c>
      <c r="Z1689" s="349">
        <v>6034.9503392915176</v>
      </c>
      <c r="AA1689" s="350"/>
      <c r="AB1689" s="350">
        <v>3.6936733827573027</v>
      </c>
      <c r="AC1689" s="350">
        <v>3.6725337672245693</v>
      </c>
      <c r="AD1689" s="350">
        <v>5.3883485172245695</v>
      </c>
      <c r="AE1689" s="349">
        <v>1855.7204999999999</v>
      </c>
      <c r="AF1689" s="349">
        <v>30947.107</v>
      </c>
      <c r="AG1689" s="349">
        <v>1.2571947920051998</v>
      </c>
      <c r="AH1689" s="351"/>
      <c r="AI1689" s="351">
        <v>2.4364785907521029</v>
      </c>
      <c r="AJ1689" s="351">
        <v>2.4153389752193695</v>
      </c>
      <c r="AK1689" s="351">
        <v>4.1311537252193702</v>
      </c>
      <c r="AL1689" s="352">
        <v>0</v>
      </c>
      <c r="AM1689" s="352">
        <v>1</v>
      </c>
      <c r="AN1689" s="352">
        <v>1</v>
      </c>
      <c r="AO1689" s="352">
        <v>1</v>
      </c>
    </row>
    <row r="1690" spans="1:41" hidden="1">
      <c r="A1690" s="342" t="s">
        <v>220</v>
      </c>
      <c r="B1690" s="277" t="s">
        <v>220</v>
      </c>
      <c r="C1690" s="277">
        <v>0</v>
      </c>
      <c r="D1690" s="343" t="s">
        <v>19442</v>
      </c>
      <c r="E1690" s="277" t="s">
        <v>220</v>
      </c>
      <c r="F1690" s="618">
        <v>45490</v>
      </c>
      <c r="G1690" s="619">
        <v>2024</v>
      </c>
      <c r="H1690" s="383" t="s">
        <v>17379</v>
      </c>
      <c r="I1690" s="277" t="s">
        <v>17380</v>
      </c>
      <c r="J1690" s="277" t="s">
        <v>3</v>
      </c>
      <c r="K1690" s="278">
        <v>79300</v>
      </c>
      <c r="L1690" s="383">
        <v>1</v>
      </c>
      <c r="M1690" s="384">
        <v>79300</v>
      </c>
      <c r="N1690" s="277" t="s">
        <v>20155</v>
      </c>
      <c r="O1690" s="277" t="s">
        <v>18227</v>
      </c>
      <c r="P1690" s="890">
        <v>45505</v>
      </c>
      <c r="Q1690" s="347">
        <v>0</v>
      </c>
      <c r="R1690" s="347">
        <v>0</v>
      </c>
      <c r="S1690" s="347">
        <v>52000</v>
      </c>
      <c r="T1690" s="347">
        <v>0</v>
      </c>
      <c r="U1690" s="347">
        <v>52000</v>
      </c>
      <c r="V1690" s="348"/>
      <c r="W1690" s="349">
        <v>0</v>
      </c>
      <c r="X1690" s="349">
        <v>0</v>
      </c>
      <c r="Y1690" s="349">
        <v>79300</v>
      </c>
      <c r="Z1690" s="349">
        <v>0</v>
      </c>
      <c r="AA1690" s="350"/>
      <c r="AB1690" s="350"/>
      <c r="AC1690" s="350">
        <v>1.5249999999999999</v>
      </c>
      <c r="AD1690" s="350"/>
      <c r="AE1690" s="349">
        <v>0</v>
      </c>
      <c r="AF1690" s="349">
        <v>0</v>
      </c>
      <c r="AG1690" s="349">
        <v>0</v>
      </c>
      <c r="AH1690" s="351">
        <v>0</v>
      </c>
      <c r="AI1690" s="351">
        <v>0</v>
      </c>
      <c r="AJ1690" s="351">
        <v>1.5249999999999999</v>
      </c>
      <c r="AK1690" s="351">
        <v>0</v>
      </c>
      <c r="AL1690" s="352">
        <v>0</v>
      </c>
      <c r="AM1690" s="352">
        <v>0</v>
      </c>
      <c r="AN1690" s="352" t="s">
        <v>20347</v>
      </c>
      <c r="AO1690" s="352">
        <v>0</v>
      </c>
    </row>
    <row r="1691" spans="1:41" hidden="1">
      <c r="A1691" s="342" t="s">
        <v>221</v>
      </c>
      <c r="B1691" s="277" t="s">
        <v>221</v>
      </c>
      <c r="C1691" s="277">
        <v>0</v>
      </c>
      <c r="D1691" s="343" t="s">
        <v>19444</v>
      </c>
      <c r="E1691" s="277" t="s">
        <v>221</v>
      </c>
      <c r="F1691" s="618">
        <v>45490</v>
      </c>
      <c r="G1691" s="619">
        <v>2024</v>
      </c>
      <c r="H1691" s="383" t="s">
        <v>17299</v>
      </c>
      <c r="I1691" s="277" t="s">
        <v>17300</v>
      </c>
      <c r="J1691" s="277" t="s">
        <v>16482</v>
      </c>
      <c r="K1691" s="278">
        <v>86731.559000000008</v>
      </c>
      <c r="L1691" s="383">
        <v>3.3842500000000002</v>
      </c>
      <c r="M1691" s="384">
        <v>25628</v>
      </c>
      <c r="N1691" s="277" t="s">
        <v>20155</v>
      </c>
      <c r="O1691" s="277" t="s">
        <v>20321</v>
      </c>
      <c r="P1691" s="890">
        <v>45492</v>
      </c>
      <c r="Q1691" s="347">
        <v>38400</v>
      </c>
      <c r="R1691" s="347">
        <v>0</v>
      </c>
      <c r="S1691" s="347">
        <v>0</v>
      </c>
      <c r="T1691" s="347">
        <v>0</v>
      </c>
      <c r="U1691" s="347">
        <v>38400</v>
      </c>
      <c r="V1691" s="348"/>
      <c r="W1691" s="349">
        <v>86731.559000000008</v>
      </c>
      <c r="X1691" s="349">
        <v>0</v>
      </c>
      <c r="Y1691" s="349">
        <v>0</v>
      </c>
      <c r="Z1691" s="349">
        <v>0</v>
      </c>
      <c r="AA1691" s="350">
        <v>2.2586343489583336</v>
      </c>
      <c r="AB1691" s="350"/>
      <c r="AC1691" s="350"/>
      <c r="AD1691" s="350"/>
      <c r="AE1691" s="349">
        <v>1395.9649999999999</v>
      </c>
      <c r="AF1691" s="349">
        <v>8892.4549999999999</v>
      </c>
      <c r="AG1691" s="349">
        <v>0.23157434895833334</v>
      </c>
      <c r="AH1691" s="351">
        <v>2.0270600000000001</v>
      </c>
      <c r="AI1691" s="351"/>
      <c r="AJ1691" s="351"/>
      <c r="AK1691" s="351"/>
      <c r="AL1691" s="352" t="s">
        <v>20345</v>
      </c>
      <c r="AM1691" s="352">
        <v>0</v>
      </c>
      <c r="AN1691" s="352">
        <v>0</v>
      </c>
      <c r="AO1691" s="352">
        <v>0</v>
      </c>
    </row>
    <row r="1692" spans="1:41" hidden="1">
      <c r="A1692" s="342" t="s">
        <v>222</v>
      </c>
      <c r="B1692" s="277" t="s">
        <v>222</v>
      </c>
      <c r="C1692" s="277">
        <v>0</v>
      </c>
      <c r="D1692" s="343" t="s">
        <v>19445</v>
      </c>
      <c r="E1692" s="277" t="s">
        <v>222</v>
      </c>
      <c r="F1692" s="618">
        <v>45490</v>
      </c>
      <c r="G1692" s="619">
        <v>2024</v>
      </c>
      <c r="H1692" s="383" t="s">
        <v>17226</v>
      </c>
      <c r="I1692" s="277" t="s">
        <v>17227</v>
      </c>
      <c r="J1692" s="277" t="s">
        <v>3</v>
      </c>
      <c r="K1692" s="278">
        <v>139440</v>
      </c>
      <c r="L1692" s="383">
        <v>1</v>
      </c>
      <c r="M1692" s="384">
        <v>139440</v>
      </c>
      <c r="N1692" s="277" t="s">
        <v>20155</v>
      </c>
      <c r="O1692" s="277" t="s">
        <v>17689</v>
      </c>
      <c r="P1692" s="890">
        <v>45504</v>
      </c>
      <c r="Q1692" s="347">
        <v>54000</v>
      </c>
      <c r="R1692" s="347">
        <v>0</v>
      </c>
      <c r="S1692" s="347">
        <v>0</v>
      </c>
      <c r="T1692" s="347">
        <v>0</v>
      </c>
      <c r="U1692" s="347">
        <v>54000</v>
      </c>
      <c r="V1692" s="348"/>
      <c r="W1692" s="349">
        <v>139440</v>
      </c>
      <c r="X1692" s="349">
        <v>0</v>
      </c>
      <c r="Y1692" s="349">
        <v>0</v>
      </c>
      <c r="Z1692" s="349">
        <v>0</v>
      </c>
      <c r="AA1692" s="350">
        <v>2.5822222222222222</v>
      </c>
      <c r="AB1692" s="350"/>
      <c r="AC1692" s="350"/>
      <c r="AD1692" s="350"/>
      <c r="AE1692" s="349">
        <v>0</v>
      </c>
      <c r="AF1692" s="349">
        <v>0</v>
      </c>
      <c r="AG1692" s="349">
        <v>0</v>
      </c>
      <c r="AH1692" s="351">
        <v>2.5822222222222222</v>
      </c>
      <c r="AI1692" s="351">
        <v>0</v>
      </c>
      <c r="AJ1692" s="351">
        <v>0</v>
      </c>
      <c r="AK1692" s="351">
        <v>0</v>
      </c>
      <c r="AL1692" s="352">
        <v>1</v>
      </c>
      <c r="AM1692" s="352">
        <v>0</v>
      </c>
      <c r="AN1692" s="352">
        <v>0</v>
      </c>
      <c r="AO1692" s="352">
        <v>0</v>
      </c>
    </row>
    <row r="1693" spans="1:41" hidden="1">
      <c r="A1693" s="342" t="s">
        <v>223</v>
      </c>
      <c r="B1693" s="277" t="s">
        <v>223</v>
      </c>
      <c r="C1693" s="277">
        <v>0</v>
      </c>
      <c r="D1693" s="343" t="s">
        <v>19446</v>
      </c>
      <c r="E1693" s="277" t="s">
        <v>223</v>
      </c>
      <c r="F1693" s="618">
        <v>45496</v>
      </c>
      <c r="G1693" s="619">
        <v>2024</v>
      </c>
      <c r="H1693" s="383" t="s">
        <v>17276</v>
      </c>
      <c r="I1693" s="277" t="s">
        <v>17277</v>
      </c>
      <c r="J1693" s="277" t="s">
        <v>16482</v>
      </c>
      <c r="K1693" s="278">
        <v>166144.42019999999</v>
      </c>
      <c r="L1693" s="383">
        <v>3.3744499999999999</v>
      </c>
      <c r="M1693" s="384">
        <v>49236</v>
      </c>
      <c r="N1693" s="277" t="s">
        <v>20155</v>
      </c>
      <c r="O1693" s="277" t="s">
        <v>20297</v>
      </c>
      <c r="P1693" s="890">
        <v>45504</v>
      </c>
      <c r="Q1693" s="347">
        <v>19200</v>
      </c>
      <c r="R1693" s="347">
        <v>56000</v>
      </c>
      <c r="S1693" s="347">
        <v>0</v>
      </c>
      <c r="T1693" s="347">
        <v>0</v>
      </c>
      <c r="U1693" s="347">
        <v>75200</v>
      </c>
      <c r="V1693" s="348"/>
      <c r="W1693" s="349">
        <v>44214.0542106383</v>
      </c>
      <c r="X1693" s="349">
        <v>121930.3659893617</v>
      </c>
      <c r="Y1693" s="349">
        <v>0</v>
      </c>
      <c r="Z1693" s="349">
        <v>0</v>
      </c>
      <c r="AA1693" s="350">
        <v>2.3028153234707447</v>
      </c>
      <c r="AB1693" s="350">
        <v>2.1773279640957446</v>
      </c>
      <c r="AC1693" s="350"/>
      <c r="AD1693" s="350"/>
      <c r="AE1693" s="349">
        <v>4942.3500000000004</v>
      </c>
      <c r="AF1693" s="349">
        <v>24810.53</v>
      </c>
      <c r="AG1693" s="349">
        <v>0.32992726063829786</v>
      </c>
      <c r="AH1693" s="351">
        <v>1.9728880628324468</v>
      </c>
      <c r="AI1693" s="351">
        <v>1.8474007034574467</v>
      </c>
      <c r="AJ1693" s="351"/>
      <c r="AK1693" s="351"/>
      <c r="AL1693" s="352" t="s">
        <v>20345</v>
      </c>
      <c r="AM1693" s="352" t="s">
        <v>20345</v>
      </c>
      <c r="AN1693" s="352">
        <v>0</v>
      </c>
      <c r="AO1693" s="352">
        <v>0</v>
      </c>
    </row>
    <row r="1694" spans="1:41" hidden="1">
      <c r="A1694" s="342" t="s">
        <v>224</v>
      </c>
      <c r="B1694" s="277" t="s">
        <v>224</v>
      </c>
      <c r="C1694" s="277">
        <v>0</v>
      </c>
      <c r="D1694" s="343" t="s">
        <v>19447</v>
      </c>
      <c r="E1694" s="277" t="s">
        <v>224</v>
      </c>
      <c r="F1694" s="618">
        <v>45497</v>
      </c>
      <c r="G1694" s="619">
        <v>2024</v>
      </c>
      <c r="H1694" s="383" t="s">
        <v>16972</v>
      </c>
      <c r="I1694" s="277" t="s">
        <v>16973</v>
      </c>
      <c r="J1694" s="277" t="s">
        <v>3</v>
      </c>
      <c r="K1694" s="278">
        <v>217897.5</v>
      </c>
      <c r="L1694" s="383">
        <v>1</v>
      </c>
      <c r="M1694" s="384">
        <v>217897.5</v>
      </c>
      <c r="N1694" s="277" t="s">
        <v>20155</v>
      </c>
      <c r="O1694" s="277" t="s">
        <v>17801</v>
      </c>
      <c r="P1694" s="890">
        <v>45504</v>
      </c>
      <c r="Q1694" s="347">
        <v>0</v>
      </c>
      <c r="R1694" s="347">
        <v>133500</v>
      </c>
      <c r="S1694" s="347">
        <v>0</v>
      </c>
      <c r="T1694" s="347">
        <v>0</v>
      </c>
      <c r="U1694" s="347">
        <v>133500</v>
      </c>
      <c r="V1694" s="348"/>
      <c r="W1694" s="349">
        <v>0</v>
      </c>
      <c r="X1694" s="349">
        <v>217897.5</v>
      </c>
      <c r="Y1694" s="349">
        <v>0</v>
      </c>
      <c r="Z1694" s="349">
        <v>0</v>
      </c>
      <c r="AA1694" s="350" t="e">
        <v>#DIV/0!</v>
      </c>
      <c r="AB1694" s="350">
        <v>1.632191011235955</v>
      </c>
      <c r="AC1694" s="350" t="e">
        <v>#DIV/0!</v>
      </c>
      <c r="AD1694" s="350" t="e">
        <v>#DIV/0!</v>
      </c>
      <c r="AE1694" s="349">
        <v>0</v>
      </c>
      <c r="AF1694" s="349">
        <v>0</v>
      </c>
      <c r="AG1694" s="349">
        <v>0</v>
      </c>
      <c r="AH1694" s="351"/>
      <c r="AI1694" s="351">
        <v>1.632191011235955</v>
      </c>
      <c r="AJ1694" s="351"/>
      <c r="AK1694" s="351"/>
      <c r="AL1694" s="352">
        <v>0</v>
      </c>
      <c r="AM1694" s="352" t="s">
        <v>20348</v>
      </c>
      <c r="AN1694" s="352">
        <v>0</v>
      </c>
      <c r="AO1694" s="352">
        <v>0</v>
      </c>
    </row>
    <row r="1695" spans="1:41" hidden="1">
      <c r="A1695" s="342" t="s">
        <v>225</v>
      </c>
      <c r="B1695" s="277" t="s">
        <v>225</v>
      </c>
      <c r="C1695" s="277">
        <v>0</v>
      </c>
      <c r="D1695" s="343" t="s">
        <v>19448</v>
      </c>
      <c r="E1695" s="277" t="s">
        <v>225</v>
      </c>
      <c r="F1695" s="618">
        <v>45497</v>
      </c>
      <c r="G1695" s="619">
        <v>2024</v>
      </c>
      <c r="H1695" s="383" t="s">
        <v>16838</v>
      </c>
      <c r="I1695" s="277" t="s">
        <v>16839</v>
      </c>
      <c r="J1695" s="277" t="s">
        <v>3</v>
      </c>
      <c r="K1695" s="278">
        <v>95729.2</v>
      </c>
      <c r="L1695" s="383">
        <v>1</v>
      </c>
      <c r="M1695" s="384">
        <v>95729.2</v>
      </c>
      <c r="N1695" s="277" t="s">
        <v>20155</v>
      </c>
      <c r="O1695" s="277" t="s">
        <v>17949</v>
      </c>
      <c r="P1695" s="890">
        <v>45502</v>
      </c>
      <c r="Q1695" s="347">
        <v>528</v>
      </c>
      <c r="R1695" s="347">
        <v>47400</v>
      </c>
      <c r="S1695" s="347">
        <v>5000</v>
      </c>
      <c r="T1695" s="347">
        <v>0</v>
      </c>
      <c r="U1695" s="347">
        <v>52928</v>
      </c>
      <c r="V1695" s="348"/>
      <c r="W1695" s="349">
        <v>0</v>
      </c>
      <c r="X1695" s="349">
        <v>87829.2</v>
      </c>
      <c r="Y1695" s="349">
        <v>7900</v>
      </c>
      <c r="Z1695" s="349">
        <v>0</v>
      </c>
      <c r="AA1695" s="350">
        <v>0</v>
      </c>
      <c r="AB1695" s="350">
        <v>1.8529367088607593</v>
      </c>
      <c r="AC1695" s="350">
        <v>1.58</v>
      </c>
      <c r="AD1695" s="350"/>
      <c r="AE1695" s="349">
        <v>0</v>
      </c>
      <c r="AF1695" s="349">
        <v>0</v>
      </c>
      <c r="AG1695" s="349">
        <v>0</v>
      </c>
      <c r="AH1695" s="351">
        <v>0</v>
      </c>
      <c r="AI1695" s="351">
        <v>1.8529367088607593</v>
      </c>
      <c r="AJ1695" s="351">
        <v>1.58</v>
      </c>
      <c r="AK1695" s="351">
        <v>0</v>
      </c>
      <c r="AL1695" s="352" t="s">
        <v>20345</v>
      </c>
      <c r="AM1695" s="352" t="s">
        <v>20346</v>
      </c>
      <c r="AN1695" s="352" t="s">
        <v>20347</v>
      </c>
      <c r="AO1695" s="352">
        <v>0</v>
      </c>
    </row>
    <row r="1696" spans="1:41" hidden="1">
      <c r="A1696" s="342" t="s">
        <v>226</v>
      </c>
      <c r="B1696" s="277" t="s">
        <v>226</v>
      </c>
      <c r="C1696" s="277">
        <v>0</v>
      </c>
      <c r="D1696" s="343" t="s">
        <v>19449</v>
      </c>
      <c r="E1696" s="277" t="s">
        <v>226</v>
      </c>
      <c r="F1696" s="618">
        <v>45497</v>
      </c>
      <c r="G1696" s="619">
        <v>2024</v>
      </c>
      <c r="H1696" s="383" t="s">
        <v>16384</v>
      </c>
      <c r="I1696" s="277" t="s">
        <v>16385</v>
      </c>
      <c r="J1696" s="277" t="s">
        <v>3</v>
      </c>
      <c r="K1696" s="278">
        <v>79104</v>
      </c>
      <c r="L1696" s="383">
        <v>1</v>
      </c>
      <c r="M1696" s="384">
        <v>79104</v>
      </c>
      <c r="N1696" s="277" t="s">
        <v>20155</v>
      </c>
      <c r="O1696" s="277" t="s">
        <v>17965</v>
      </c>
      <c r="P1696" s="890">
        <v>45503</v>
      </c>
      <c r="Q1696" s="347">
        <v>38400</v>
      </c>
      <c r="R1696" s="347">
        <v>0</v>
      </c>
      <c r="S1696" s="347">
        <v>0</v>
      </c>
      <c r="T1696" s="347">
        <v>0</v>
      </c>
      <c r="U1696" s="347">
        <v>38400</v>
      </c>
      <c r="V1696" s="348"/>
      <c r="W1696" s="349">
        <v>79104</v>
      </c>
      <c r="X1696" s="349">
        <v>0</v>
      </c>
      <c r="Y1696" s="349">
        <v>0</v>
      </c>
      <c r="Z1696" s="349">
        <v>0</v>
      </c>
      <c r="AA1696" s="350">
        <v>2.06</v>
      </c>
      <c r="AB1696" s="350"/>
      <c r="AC1696" s="350"/>
      <c r="AD1696" s="350"/>
      <c r="AE1696" s="349">
        <v>0</v>
      </c>
      <c r="AF1696" s="349">
        <v>0</v>
      </c>
      <c r="AG1696" s="349">
        <v>0</v>
      </c>
      <c r="AH1696" s="351">
        <v>2.06</v>
      </c>
      <c r="AI1696" s="351">
        <v>0</v>
      </c>
      <c r="AJ1696" s="351">
        <v>0</v>
      </c>
      <c r="AK1696" s="351">
        <v>0</v>
      </c>
      <c r="AL1696" s="352" t="s">
        <v>20345</v>
      </c>
      <c r="AM1696" s="352">
        <v>0</v>
      </c>
      <c r="AN1696" s="352">
        <v>0</v>
      </c>
      <c r="AO1696" s="352">
        <v>0</v>
      </c>
    </row>
    <row r="1697" spans="1:41" hidden="1">
      <c r="A1697" s="342" t="s">
        <v>227</v>
      </c>
      <c r="B1697" s="277" t="s">
        <v>227</v>
      </c>
      <c r="C1697" s="277">
        <v>0</v>
      </c>
      <c r="D1697" s="343" t="s">
        <v>19450</v>
      </c>
      <c r="E1697" s="277" t="s">
        <v>227</v>
      </c>
      <c r="F1697" s="618">
        <v>45499</v>
      </c>
      <c r="G1697" s="619">
        <v>2024</v>
      </c>
      <c r="H1697" s="383" t="s">
        <v>16444</v>
      </c>
      <c r="I1697" s="277" t="s">
        <v>16445</v>
      </c>
      <c r="J1697" s="277" t="s">
        <v>3</v>
      </c>
      <c r="K1697" s="278">
        <v>88992</v>
      </c>
      <c r="L1697" s="383">
        <v>1</v>
      </c>
      <c r="M1697" s="384">
        <v>88992</v>
      </c>
      <c r="N1697" s="277" t="s">
        <v>20155</v>
      </c>
      <c r="O1697" s="277" t="s">
        <v>17949</v>
      </c>
      <c r="P1697" s="890">
        <v>45504</v>
      </c>
      <c r="Q1697" s="347">
        <v>43200</v>
      </c>
      <c r="R1697" s="347">
        <v>0</v>
      </c>
      <c r="S1697" s="347">
        <v>0</v>
      </c>
      <c r="T1697" s="347">
        <v>0</v>
      </c>
      <c r="U1697" s="347">
        <v>43200</v>
      </c>
      <c r="V1697" s="348"/>
      <c r="W1697" s="349">
        <v>88992</v>
      </c>
      <c r="X1697" s="349">
        <v>0</v>
      </c>
      <c r="Y1697" s="349">
        <v>0</v>
      </c>
      <c r="Z1697" s="349">
        <v>0</v>
      </c>
      <c r="AA1697" s="350">
        <v>2.06</v>
      </c>
      <c r="AB1697" s="350"/>
      <c r="AC1697" s="350"/>
      <c r="AD1697" s="350"/>
      <c r="AE1697" s="349">
        <v>0</v>
      </c>
      <c r="AF1697" s="349">
        <v>0</v>
      </c>
      <c r="AG1697" s="349">
        <v>0</v>
      </c>
      <c r="AH1697" s="351">
        <v>2.06</v>
      </c>
      <c r="AI1697" s="351">
        <v>0</v>
      </c>
      <c r="AJ1697" s="351">
        <v>0</v>
      </c>
      <c r="AK1697" s="351">
        <v>0</v>
      </c>
      <c r="AL1697" s="352" t="s">
        <v>20345</v>
      </c>
      <c r="AM1697" s="352">
        <v>0</v>
      </c>
      <c r="AN1697" s="352">
        <v>0</v>
      </c>
      <c r="AO1697" s="352">
        <v>0</v>
      </c>
    </row>
    <row r="1698" spans="1:41" hidden="1">
      <c r="A1698" s="342" t="s">
        <v>228</v>
      </c>
      <c r="B1698" s="277" t="s">
        <v>228</v>
      </c>
      <c r="C1698" s="277">
        <v>0</v>
      </c>
      <c r="D1698" s="343" t="s">
        <v>19451</v>
      </c>
      <c r="E1698" s="277" t="s">
        <v>228</v>
      </c>
      <c r="F1698" s="618">
        <v>45499</v>
      </c>
      <c r="G1698" s="619">
        <v>2024</v>
      </c>
      <c r="H1698" s="383" t="s">
        <v>16444</v>
      </c>
      <c r="I1698" s="277" t="s">
        <v>16445</v>
      </c>
      <c r="J1698" s="277" t="s">
        <v>3</v>
      </c>
      <c r="K1698" s="278">
        <v>88472.16</v>
      </c>
      <c r="L1698" s="383">
        <v>1</v>
      </c>
      <c r="M1698" s="384">
        <v>88472.16</v>
      </c>
      <c r="N1698" s="277" t="s">
        <v>20155</v>
      </c>
      <c r="O1698" s="277" t="s">
        <v>17949</v>
      </c>
      <c r="P1698" s="890">
        <v>45504</v>
      </c>
      <c r="Q1698" s="347">
        <v>44016</v>
      </c>
      <c r="R1698" s="347">
        <v>0</v>
      </c>
      <c r="S1698" s="347">
        <v>0</v>
      </c>
      <c r="T1698" s="347">
        <v>0</v>
      </c>
      <c r="U1698" s="347">
        <v>44016</v>
      </c>
      <c r="V1698" s="348"/>
      <c r="W1698" s="349">
        <v>88472.16</v>
      </c>
      <c r="X1698" s="349">
        <v>0</v>
      </c>
      <c r="Y1698" s="349">
        <v>0</v>
      </c>
      <c r="Z1698" s="349">
        <v>0</v>
      </c>
      <c r="AA1698" s="350">
        <v>2.0100000000000002</v>
      </c>
      <c r="AB1698" s="350"/>
      <c r="AC1698" s="350"/>
      <c r="AD1698" s="350"/>
      <c r="AE1698" s="349">
        <v>0</v>
      </c>
      <c r="AF1698" s="349">
        <v>0</v>
      </c>
      <c r="AG1698" s="349">
        <v>0</v>
      </c>
      <c r="AH1698" s="351">
        <v>2.0100000000000002</v>
      </c>
      <c r="AI1698" s="351">
        <v>0</v>
      </c>
      <c r="AJ1698" s="351">
        <v>0</v>
      </c>
      <c r="AK1698" s="351">
        <v>0</v>
      </c>
      <c r="AL1698" s="352" t="s">
        <v>20345</v>
      </c>
      <c r="AM1698" s="352">
        <v>0</v>
      </c>
      <c r="AN1698" s="352">
        <v>0</v>
      </c>
      <c r="AO1698" s="352">
        <v>0</v>
      </c>
    </row>
    <row r="1699" spans="1:41" hidden="1">
      <c r="A1699" s="342" t="s">
        <v>229</v>
      </c>
      <c r="B1699" s="277" t="s">
        <v>229</v>
      </c>
      <c r="C1699" s="277">
        <v>0</v>
      </c>
      <c r="D1699" s="343" t="s">
        <v>19452</v>
      </c>
      <c r="E1699" s="277" t="s">
        <v>229</v>
      </c>
      <c r="F1699" s="618">
        <v>45504</v>
      </c>
      <c r="G1699" s="619">
        <v>2024</v>
      </c>
      <c r="H1699" s="383" t="s">
        <v>17156</v>
      </c>
      <c r="I1699" s="277" t="s">
        <v>17157</v>
      </c>
      <c r="J1699" s="277" t="s">
        <v>3</v>
      </c>
      <c r="K1699" s="278">
        <v>126000</v>
      </c>
      <c r="L1699" s="383">
        <v>1</v>
      </c>
      <c r="M1699" s="384">
        <v>126000</v>
      </c>
      <c r="N1699" s="277" t="s">
        <v>20155</v>
      </c>
      <c r="O1699" s="277" t="s">
        <v>20161</v>
      </c>
      <c r="P1699" s="890">
        <v>45513</v>
      </c>
      <c r="Q1699" s="347">
        <v>60000</v>
      </c>
      <c r="R1699" s="347">
        <v>0</v>
      </c>
      <c r="S1699" s="347">
        <v>0</v>
      </c>
      <c r="T1699" s="347">
        <v>0</v>
      </c>
      <c r="U1699" s="347">
        <v>60000</v>
      </c>
      <c r="V1699" s="348"/>
      <c r="W1699" s="349">
        <v>126000</v>
      </c>
      <c r="X1699" s="349">
        <v>0</v>
      </c>
      <c r="Y1699" s="349">
        <v>0</v>
      </c>
      <c r="Z1699" s="349">
        <v>0</v>
      </c>
      <c r="AA1699" s="350">
        <v>2.1</v>
      </c>
      <c r="AB1699" s="350"/>
      <c r="AC1699" s="350"/>
      <c r="AD1699" s="350"/>
      <c r="AE1699" s="349">
        <v>0</v>
      </c>
      <c r="AF1699" s="349">
        <v>0</v>
      </c>
      <c r="AG1699" s="349">
        <v>0</v>
      </c>
      <c r="AH1699" s="351">
        <v>2.1</v>
      </c>
      <c r="AI1699" s="351">
        <v>0</v>
      </c>
      <c r="AJ1699" s="351">
        <v>0</v>
      </c>
      <c r="AK1699" s="351">
        <v>0</v>
      </c>
      <c r="AL1699" s="352" t="s">
        <v>20345</v>
      </c>
      <c r="AM1699" s="352">
        <v>0</v>
      </c>
      <c r="AN1699" s="352">
        <v>0</v>
      </c>
      <c r="AO1699" s="352">
        <v>0</v>
      </c>
    </row>
    <row r="1700" spans="1:41" hidden="1">
      <c r="A1700" s="342" t="s">
        <v>230</v>
      </c>
      <c r="B1700" s="277" t="s">
        <v>230</v>
      </c>
      <c r="C1700" s="277">
        <v>0</v>
      </c>
      <c r="D1700" s="343" t="s">
        <v>19453</v>
      </c>
      <c r="E1700" s="277" t="s">
        <v>230</v>
      </c>
      <c r="F1700" s="618">
        <v>45506</v>
      </c>
      <c r="G1700" s="619">
        <v>2024</v>
      </c>
      <c r="H1700" s="383" t="s">
        <v>16783</v>
      </c>
      <c r="I1700" s="277" t="s">
        <v>16784</v>
      </c>
      <c r="J1700" s="277" t="s">
        <v>16401</v>
      </c>
      <c r="K1700" s="278">
        <v>573594.02284799994</v>
      </c>
      <c r="L1700" s="383">
        <v>3.0743499999999999</v>
      </c>
      <c r="M1700" s="384">
        <v>186574.07999999999</v>
      </c>
      <c r="N1700" s="277" t="s">
        <v>20155</v>
      </c>
      <c r="O1700" s="277" t="s">
        <v>17939</v>
      </c>
      <c r="P1700" s="890">
        <v>45520</v>
      </c>
      <c r="Q1700" s="347">
        <v>54000</v>
      </c>
      <c r="R1700" s="347">
        <v>161731</v>
      </c>
      <c r="S1700" s="347">
        <v>50803</v>
      </c>
      <c r="T1700" s="347">
        <v>0</v>
      </c>
      <c r="U1700" s="347">
        <v>266534</v>
      </c>
      <c r="V1700" s="348"/>
      <c r="W1700" s="349">
        <v>116210.42999999998</v>
      </c>
      <c r="X1700" s="349">
        <v>348052.82030399999</v>
      </c>
      <c r="Y1700" s="349">
        <v>109330.77254400002</v>
      </c>
      <c r="Z1700" s="349">
        <v>0</v>
      </c>
      <c r="AA1700" s="350">
        <v>2.1520449999999998</v>
      </c>
      <c r="AB1700" s="350">
        <v>2.1520476612646924</v>
      </c>
      <c r="AC1700" s="350">
        <v>2.1520534721177889</v>
      </c>
      <c r="AD1700" s="350"/>
      <c r="AE1700" s="349">
        <v>0</v>
      </c>
      <c r="AF1700" s="349">
        <v>0</v>
      </c>
      <c r="AG1700" s="349">
        <v>0</v>
      </c>
      <c r="AH1700" s="351">
        <v>2.1520449999999998</v>
      </c>
      <c r="AI1700" s="351">
        <v>2.1520476612646924</v>
      </c>
      <c r="AJ1700" s="351">
        <v>2.1520534721177889</v>
      </c>
      <c r="AK1700" s="351">
        <v>0</v>
      </c>
      <c r="AL1700" s="352" t="s">
        <v>20345</v>
      </c>
      <c r="AM1700" s="352" t="s">
        <v>20345</v>
      </c>
      <c r="AN1700" s="352" t="s">
        <v>20345</v>
      </c>
      <c r="AO1700" s="352">
        <v>0</v>
      </c>
    </row>
    <row r="1701" spans="1:41" hidden="1">
      <c r="A1701" s="342" t="s">
        <v>231</v>
      </c>
      <c r="B1701" s="277" t="s">
        <v>231</v>
      </c>
      <c r="C1701" s="277">
        <v>0</v>
      </c>
      <c r="D1701" s="343" t="s">
        <v>19454</v>
      </c>
      <c r="E1701" s="277" t="s">
        <v>231</v>
      </c>
      <c r="F1701" s="618">
        <v>45509</v>
      </c>
      <c r="G1701" s="619">
        <v>2024</v>
      </c>
      <c r="H1701" s="383" t="s">
        <v>16444</v>
      </c>
      <c r="I1701" s="277" t="s">
        <v>16445</v>
      </c>
      <c r="J1701" s="277" t="s">
        <v>3</v>
      </c>
      <c r="K1701" s="278">
        <v>88992</v>
      </c>
      <c r="L1701" s="383">
        <v>1</v>
      </c>
      <c r="M1701" s="384">
        <v>88992</v>
      </c>
      <c r="N1701" s="277" t="s">
        <v>20155</v>
      </c>
      <c r="O1701" s="277" t="s">
        <v>17949</v>
      </c>
      <c r="P1701" s="890">
        <v>45512</v>
      </c>
      <c r="Q1701" s="347">
        <v>43200</v>
      </c>
      <c r="R1701" s="347">
        <v>0</v>
      </c>
      <c r="S1701" s="347">
        <v>0</v>
      </c>
      <c r="T1701" s="347">
        <v>0</v>
      </c>
      <c r="U1701" s="347">
        <v>43200</v>
      </c>
      <c r="V1701" s="348"/>
      <c r="W1701" s="349">
        <v>88992</v>
      </c>
      <c r="X1701" s="349">
        <v>0</v>
      </c>
      <c r="Y1701" s="349">
        <v>0</v>
      </c>
      <c r="Z1701" s="349">
        <v>0</v>
      </c>
      <c r="AA1701" s="350">
        <v>2.06</v>
      </c>
      <c r="AB1701" s="350"/>
      <c r="AC1701" s="350"/>
      <c r="AD1701" s="350"/>
      <c r="AE1701" s="349">
        <v>0</v>
      </c>
      <c r="AF1701" s="349">
        <v>0</v>
      </c>
      <c r="AG1701" s="349">
        <v>0</v>
      </c>
      <c r="AH1701" s="351">
        <v>2.06</v>
      </c>
      <c r="AI1701" s="351">
        <v>0</v>
      </c>
      <c r="AJ1701" s="351">
        <v>0</v>
      </c>
      <c r="AK1701" s="351">
        <v>0</v>
      </c>
      <c r="AL1701" s="352" t="s">
        <v>20345</v>
      </c>
      <c r="AM1701" s="352">
        <v>0</v>
      </c>
      <c r="AN1701" s="352">
        <v>0</v>
      </c>
      <c r="AO1701" s="352">
        <v>0</v>
      </c>
    </row>
    <row r="1702" spans="1:41" hidden="1">
      <c r="A1702" s="342" t="s">
        <v>232</v>
      </c>
      <c r="B1702" s="277" t="s">
        <v>232</v>
      </c>
      <c r="C1702" s="277">
        <v>0</v>
      </c>
      <c r="D1702" s="343" t="s">
        <v>19455</v>
      </c>
      <c r="E1702" s="277" t="s">
        <v>232</v>
      </c>
      <c r="F1702" s="618">
        <v>45509</v>
      </c>
      <c r="G1702" s="619">
        <v>2024</v>
      </c>
      <c r="H1702" s="383" t="s">
        <v>16957</v>
      </c>
      <c r="I1702" s="277" t="s">
        <v>16958</v>
      </c>
      <c r="J1702" s="277" t="s">
        <v>16401</v>
      </c>
      <c r="K1702" s="278">
        <v>113879.51835</v>
      </c>
      <c r="L1702" s="383">
        <v>3.0882999999999998</v>
      </c>
      <c r="M1702" s="384">
        <v>36874.5</v>
      </c>
      <c r="N1702" s="277" t="s">
        <v>20155</v>
      </c>
      <c r="O1702" s="277" t="s">
        <v>20161</v>
      </c>
      <c r="P1702" s="890">
        <v>45518</v>
      </c>
      <c r="Q1702" s="347">
        <v>40300</v>
      </c>
      <c r="R1702" s="347">
        <v>0</v>
      </c>
      <c r="S1702" s="347">
        <v>0</v>
      </c>
      <c r="T1702" s="347">
        <v>0</v>
      </c>
      <c r="U1702" s="347">
        <v>40300</v>
      </c>
      <c r="V1702" s="348"/>
      <c r="W1702" s="349">
        <v>113879.51835000001</v>
      </c>
      <c r="X1702" s="349">
        <v>0</v>
      </c>
      <c r="Y1702" s="349">
        <v>0</v>
      </c>
      <c r="Z1702" s="349">
        <v>0</v>
      </c>
      <c r="AA1702" s="350">
        <v>2.8257945000000002</v>
      </c>
      <c r="AB1702" s="350"/>
      <c r="AC1702" s="350"/>
      <c r="AD1702" s="350"/>
      <c r="AE1702" s="349">
        <v>2884.15</v>
      </c>
      <c r="AF1702" s="349">
        <v>13786.93</v>
      </c>
      <c r="AG1702" s="349">
        <v>0.34210744416873451</v>
      </c>
      <c r="AH1702" s="351">
        <v>2.4836870558312656</v>
      </c>
      <c r="AI1702" s="351"/>
      <c r="AJ1702" s="351"/>
      <c r="AK1702" s="351"/>
      <c r="AL1702" s="352">
        <v>1</v>
      </c>
      <c r="AM1702" s="352">
        <v>0</v>
      </c>
      <c r="AN1702" s="352">
        <v>0</v>
      </c>
      <c r="AO1702" s="352">
        <v>0</v>
      </c>
    </row>
    <row r="1703" spans="1:41" hidden="1">
      <c r="A1703" s="342" t="s">
        <v>233</v>
      </c>
      <c r="B1703" s="277" t="s">
        <v>233</v>
      </c>
      <c r="C1703" s="277">
        <v>0</v>
      </c>
      <c r="D1703" s="343" t="s">
        <v>19456</v>
      </c>
      <c r="E1703" s="277" t="s">
        <v>233</v>
      </c>
      <c r="F1703" s="618">
        <v>45509</v>
      </c>
      <c r="G1703" s="619">
        <v>2024</v>
      </c>
      <c r="H1703" s="383" t="s">
        <v>16957</v>
      </c>
      <c r="I1703" s="277" t="s">
        <v>16958</v>
      </c>
      <c r="J1703" s="277" t="s">
        <v>16401</v>
      </c>
      <c r="K1703" s="278">
        <v>49161.10355</v>
      </c>
      <c r="L1703" s="383">
        <v>3.0882999999999998</v>
      </c>
      <c r="M1703" s="384">
        <v>15918.5</v>
      </c>
      <c r="N1703" s="277" t="s">
        <v>20155</v>
      </c>
      <c r="O1703" s="277" t="s">
        <v>20161</v>
      </c>
      <c r="P1703" s="890">
        <v>45518</v>
      </c>
      <c r="Q1703" s="347">
        <v>20150</v>
      </c>
      <c r="R1703" s="347">
        <v>0</v>
      </c>
      <c r="S1703" s="347">
        <v>0</v>
      </c>
      <c r="T1703" s="347">
        <v>0</v>
      </c>
      <c r="U1703" s="347">
        <v>20150</v>
      </c>
      <c r="V1703" s="348"/>
      <c r="W1703" s="349">
        <v>49161.103550000007</v>
      </c>
      <c r="X1703" s="349">
        <v>0</v>
      </c>
      <c r="Y1703" s="349">
        <v>0</v>
      </c>
      <c r="Z1703" s="349">
        <v>0</v>
      </c>
      <c r="AA1703" s="350">
        <v>2.4397570000000002</v>
      </c>
      <c r="AB1703" s="350"/>
      <c r="AC1703" s="350"/>
      <c r="AD1703" s="350"/>
      <c r="AE1703" s="349">
        <v>865.245</v>
      </c>
      <c r="AF1703" s="349">
        <v>7292.53</v>
      </c>
      <c r="AG1703" s="349">
        <v>0.36191215880893302</v>
      </c>
      <c r="AH1703" s="351">
        <v>2.0778448411910673</v>
      </c>
      <c r="AI1703" s="351"/>
      <c r="AJ1703" s="351"/>
      <c r="AK1703" s="351"/>
      <c r="AL1703" s="352" t="s">
        <v>20345</v>
      </c>
      <c r="AM1703" s="352">
        <v>0</v>
      </c>
      <c r="AN1703" s="352">
        <v>0</v>
      </c>
      <c r="AO1703" s="352">
        <v>0</v>
      </c>
    </row>
    <row r="1704" spans="1:41" hidden="1">
      <c r="A1704" s="342" t="s">
        <v>234</v>
      </c>
      <c r="B1704" s="277" t="s">
        <v>234</v>
      </c>
      <c r="C1704" s="277">
        <v>0</v>
      </c>
      <c r="D1704" s="343" t="s">
        <v>19457</v>
      </c>
      <c r="E1704" s="277" t="s">
        <v>234</v>
      </c>
      <c r="F1704" s="618">
        <v>45513</v>
      </c>
      <c r="G1704" s="619">
        <v>2024</v>
      </c>
      <c r="H1704" s="383" t="s">
        <v>16384</v>
      </c>
      <c r="I1704" s="277" t="s">
        <v>16385</v>
      </c>
      <c r="J1704" s="277" t="s">
        <v>3</v>
      </c>
      <c r="K1704" s="278">
        <v>132720</v>
      </c>
      <c r="L1704" s="383">
        <v>1</v>
      </c>
      <c r="M1704" s="384">
        <v>132720</v>
      </c>
      <c r="N1704" s="277" t="s">
        <v>20155</v>
      </c>
      <c r="O1704" s="277" t="s">
        <v>17777</v>
      </c>
      <c r="P1704" s="890">
        <v>45526</v>
      </c>
      <c r="Q1704" s="347">
        <v>0</v>
      </c>
      <c r="R1704" s="347">
        <v>0</v>
      </c>
      <c r="S1704" s="347">
        <v>84000</v>
      </c>
      <c r="T1704" s="347">
        <v>0</v>
      </c>
      <c r="U1704" s="347">
        <v>84000</v>
      </c>
      <c r="V1704" s="348"/>
      <c r="W1704" s="349">
        <v>0</v>
      </c>
      <c r="X1704" s="349">
        <v>0</v>
      </c>
      <c r="Y1704" s="349">
        <v>132720</v>
      </c>
      <c r="Z1704" s="349">
        <v>0</v>
      </c>
      <c r="AA1704" s="350"/>
      <c r="AB1704" s="350"/>
      <c r="AC1704" s="350">
        <v>1.58</v>
      </c>
      <c r="AD1704" s="350"/>
      <c r="AE1704" s="349">
        <v>0</v>
      </c>
      <c r="AF1704" s="349">
        <v>0</v>
      </c>
      <c r="AG1704" s="349">
        <v>0</v>
      </c>
      <c r="AH1704" s="351">
        <v>0</v>
      </c>
      <c r="AI1704" s="351">
        <v>0</v>
      </c>
      <c r="AJ1704" s="351">
        <v>1.58</v>
      </c>
      <c r="AK1704" s="351">
        <v>0</v>
      </c>
      <c r="AL1704" s="352">
        <v>0</v>
      </c>
      <c r="AM1704" s="352">
        <v>0</v>
      </c>
      <c r="AN1704" s="352" t="s">
        <v>20347</v>
      </c>
      <c r="AO1704" s="352">
        <v>0</v>
      </c>
    </row>
    <row r="1705" spans="1:41" hidden="1">
      <c r="A1705" s="342" t="s">
        <v>235</v>
      </c>
      <c r="B1705" s="277" t="s">
        <v>235</v>
      </c>
      <c r="C1705" s="277">
        <v>0</v>
      </c>
      <c r="D1705" s="343" t="s">
        <v>19458</v>
      </c>
      <c r="E1705" s="277" t="s">
        <v>235</v>
      </c>
      <c r="F1705" s="618">
        <v>45513</v>
      </c>
      <c r="G1705" s="619">
        <v>2024</v>
      </c>
      <c r="H1705" s="383" t="s">
        <v>16972</v>
      </c>
      <c r="I1705" s="277" t="s">
        <v>16973</v>
      </c>
      <c r="J1705" s="277" t="s">
        <v>3</v>
      </c>
      <c r="K1705" s="278">
        <v>417200</v>
      </c>
      <c r="L1705" s="383">
        <v>1</v>
      </c>
      <c r="M1705" s="384">
        <v>417200</v>
      </c>
      <c r="N1705" s="277" t="s">
        <v>20155</v>
      </c>
      <c r="O1705" s="277" t="s">
        <v>17801</v>
      </c>
      <c r="P1705" s="890">
        <v>45525</v>
      </c>
      <c r="Q1705" s="347">
        <v>0</v>
      </c>
      <c r="R1705" s="347">
        <v>0</v>
      </c>
      <c r="S1705" s="347">
        <v>280000</v>
      </c>
      <c r="T1705" s="347">
        <v>0</v>
      </c>
      <c r="U1705" s="347">
        <v>280000</v>
      </c>
      <c r="V1705" s="348"/>
      <c r="W1705" s="349">
        <v>0</v>
      </c>
      <c r="X1705" s="349">
        <v>0</v>
      </c>
      <c r="Y1705" s="349">
        <v>417200</v>
      </c>
      <c r="Z1705" s="349">
        <v>0</v>
      </c>
      <c r="AA1705" s="350"/>
      <c r="AB1705" s="350"/>
      <c r="AC1705" s="350">
        <v>1.49</v>
      </c>
      <c r="AD1705" s="350"/>
      <c r="AE1705" s="349">
        <v>0</v>
      </c>
      <c r="AF1705" s="349">
        <v>0</v>
      </c>
      <c r="AG1705" s="349">
        <v>0</v>
      </c>
      <c r="AH1705" s="351">
        <v>0</v>
      </c>
      <c r="AI1705" s="351">
        <v>0</v>
      </c>
      <c r="AJ1705" s="351">
        <v>1.49</v>
      </c>
      <c r="AK1705" s="351">
        <v>0</v>
      </c>
      <c r="AL1705" s="352">
        <v>0</v>
      </c>
      <c r="AM1705" s="352">
        <v>0</v>
      </c>
      <c r="AN1705" s="352" t="s">
        <v>20347</v>
      </c>
      <c r="AO1705" s="352">
        <v>0</v>
      </c>
    </row>
    <row r="1706" spans="1:41" hidden="1">
      <c r="A1706" s="342" t="s">
        <v>236</v>
      </c>
      <c r="B1706" s="277" t="s">
        <v>236</v>
      </c>
      <c r="C1706" s="277">
        <v>0</v>
      </c>
      <c r="D1706" s="343" t="s">
        <v>19459</v>
      </c>
      <c r="E1706" s="277" t="s">
        <v>236</v>
      </c>
      <c r="F1706" s="618">
        <v>45518</v>
      </c>
      <c r="G1706" s="619">
        <v>2024</v>
      </c>
      <c r="H1706" s="383" t="s">
        <v>17374</v>
      </c>
      <c r="I1706" s="277" t="s">
        <v>17375</v>
      </c>
      <c r="J1706" s="277" t="s">
        <v>16482</v>
      </c>
      <c r="K1706" s="278">
        <v>252074.50904999999</v>
      </c>
      <c r="L1706" s="383">
        <v>3.3843000000000001</v>
      </c>
      <c r="M1706" s="384">
        <v>74483.5</v>
      </c>
      <c r="N1706" s="277" t="s">
        <v>20155</v>
      </c>
      <c r="O1706" s="277" t="s">
        <v>20173</v>
      </c>
      <c r="P1706" s="890">
        <v>45535</v>
      </c>
      <c r="Q1706" s="347">
        <v>0</v>
      </c>
      <c r="R1706" s="347">
        <v>99050</v>
      </c>
      <c r="S1706" s="347">
        <v>35000</v>
      </c>
      <c r="T1706" s="347">
        <v>0</v>
      </c>
      <c r="U1706" s="347">
        <v>134050</v>
      </c>
      <c r="V1706" s="348"/>
      <c r="W1706" s="349">
        <v>0</v>
      </c>
      <c r="X1706" s="349">
        <v>191072.50154999999</v>
      </c>
      <c r="Y1706" s="349">
        <v>61002.0075</v>
      </c>
      <c r="Z1706" s="349">
        <v>0</v>
      </c>
      <c r="AA1706" s="350"/>
      <c r="AB1706" s="350">
        <v>1.9290509999999998</v>
      </c>
      <c r="AC1706" s="350">
        <v>1.7429144999999999</v>
      </c>
      <c r="AD1706" s="350"/>
      <c r="AE1706" s="349">
        <v>6330.19</v>
      </c>
      <c r="AF1706" s="349">
        <v>33826.618999999999</v>
      </c>
      <c r="AG1706" s="349">
        <v>0.25234329727713539</v>
      </c>
      <c r="AH1706" s="351"/>
      <c r="AI1706" s="351">
        <v>1.6767077027228645</v>
      </c>
      <c r="AJ1706" s="351">
        <v>1.4905712027228646</v>
      </c>
      <c r="AK1706" s="351"/>
      <c r="AL1706" s="352">
        <v>0</v>
      </c>
      <c r="AM1706" s="352" t="s">
        <v>20348</v>
      </c>
      <c r="AN1706" s="352" t="s">
        <v>20347</v>
      </c>
      <c r="AO1706" s="352">
        <v>0</v>
      </c>
    </row>
    <row r="1707" spans="1:41" hidden="1">
      <c r="A1707" s="342" t="s">
        <v>237</v>
      </c>
      <c r="B1707" s="277" t="s">
        <v>237</v>
      </c>
      <c r="C1707" s="277">
        <v>0</v>
      </c>
      <c r="D1707" s="343" t="s">
        <v>19460</v>
      </c>
      <c r="E1707" s="277" t="s">
        <v>237</v>
      </c>
      <c r="F1707" s="618">
        <v>45518</v>
      </c>
      <c r="G1707" s="619">
        <v>2024</v>
      </c>
      <c r="H1707" s="383" t="s">
        <v>17359</v>
      </c>
      <c r="I1707" s="277" t="s">
        <v>17360</v>
      </c>
      <c r="J1707" s="277" t="s">
        <v>16401</v>
      </c>
      <c r="K1707" s="278">
        <v>42639.613305000006</v>
      </c>
      <c r="L1707" s="383">
        <v>3.0515500000000002</v>
      </c>
      <c r="M1707" s="384">
        <v>13973.1</v>
      </c>
      <c r="N1707" s="277" t="s">
        <v>20155</v>
      </c>
      <c r="O1707" s="277" t="s">
        <v>18094</v>
      </c>
      <c r="P1707" s="890">
        <v>45538</v>
      </c>
      <c r="Q1707" s="347">
        <v>10660</v>
      </c>
      <c r="R1707" s="347">
        <v>8500</v>
      </c>
      <c r="S1707" s="347">
        <v>0</v>
      </c>
      <c r="T1707" s="347">
        <v>0</v>
      </c>
      <c r="U1707" s="347">
        <v>19160</v>
      </c>
      <c r="V1707" s="348"/>
      <c r="W1707" s="349">
        <v>25504.045188089767</v>
      </c>
      <c r="X1707" s="349">
        <v>17089.794866910226</v>
      </c>
      <c r="Y1707" s="349">
        <v>0</v>
      </c>
      <c r="Z1707" s="349">
        <v>0</v>
      </c>
      <c r="AA1707" s="350">
        <v>2.3924995486012914</v>
      </c>
      <c r="AB1707" s="350">
        <v>2.0105641019894382</v>
      </c>
      <c r="AC1707" s="350"/>
      <c r="AD1707" s="350"/>
      <c r="AE1707" s="349">
        <v>1448.01</v>
      </c>
      <c r="AF1707" s="349">
        <v>7020.64</v>
      </c>
      <c r="AG1707" s="349">
        <v>0.36642171189979122</v>
      </c>
      <c r="AH1707" s="351">
        <v>2.0260778367015</v>
      </c>
      <c r="AI1707" s="351">
        <v>1.644142390089647</v>
      </c>
      <c r="AJ1707" s="351"/>
      <c r="AK1707" s="351"/>
      <c r="AL1707" s="352" t="s">
        <v>20345</v>
      </c>
      <c r="AM1707" s="352" t="s">
        <v>20346</v>
      </c>
      <c r="AN1707" s="352" t="s">
        <v>20347</v>
      </c>
      <c r="AO1707" s="352">
        <v>0</v>
      </c>
    </row>
    <row r="1708" spans="1:41" hidden="1">
      <c r="A1708" s="342" t="s">
        <v>238</v>
      </c>
      <c r="B1708" s="277" t="s">
        <v>238</v>
      </c>
      <c r="C1708" s="277">
        <v>0</v>
      </c>
      <c r="D1708" s="343" t="s">
        <v>19461</v>
      </c>
      <c r="E1708" s="277" t="s">
        <v>238</v>
      </c>
      <c r="F1708" s="618">
        <v>45518</v>
      </c>
      <c r="G1708" s="619">
        <v>2024</v>
      </c>
      <c r="H1708" s="383" t="s">
        <v>16384</v>
      </c>
      <c r="I1708" s="277" t="s">
        <v>16385</v>
      </c>
      <c r="J1708" s="277" t="s">
        <v>3</v>
      </c>
      <c r="K1708" s="278">
        <v>197760</v>
      </c>
      <c r="L1708" s="383">
        <v>1</v>
      </c>
      <c r="M1708" s="384">
        <v>197760</v>
      </c>
      <c r="N1708" s="277" t="s">
        <v>20155</v>
      </c>
      <c r="O1708" s="277" t="s">
        <v>17965</v>
      </c>
      <c r="P1708" s="890">
        <v>45525</v>
      </c>
      <c r="Q1708" s="347">
        <v>96000</v>
      </c>
      <c r="R1708" s="347">
        <v>0</v>
      </c>
      <c r="S1708" s="347">
        <v>0</v>
      </c>
      <c r="T1708" s="347">
        <v>0</v>
      </c>
      <c r="U1708" s="347">
        <v>96000</v>
      </c>
      <c r="V1708" s="348"/>
      <c r="W1708" s="349">
        <v>197760</v>
      </c>
      <c r="X1708" s="349">
        <v>0</v>
      </c>
      <c r="Y1708" s="349">
        <v>0</v>
      </c>
      <c r="Z1708" s="349">
        <v>0</v>
      </c>
      <c r="AA1708" s="350">
        <v>2.06</v>
      </c>
      <c r="AB1708" s="350"/>
      <c r="AC1708" s="350"/>
      <c r="AD1708" s="350"/>
      <c r="AE1708" s="349">
        <v>0</v>
      </c>
      <c r="AF1708" s="349">
        <v>0</v>
      </c>
      <c r="AG1708" s="349">
        <v>0</v>
      </c>
      <c r="AH1708" s="351">
        <v>2.06</v>
      </c>
      <c r="AI1708" s="351">
        <v>0</v>
      </c>
      <c r="AJ1708" s="351">
        <v>0</v>
      </c>
      <c r="AK1708" s="351">
        <v>0</v>
      </c>
      <c r="AL1708" s="352" t="s">
        <v>20345</v>
      </c>
      <c r="AM1708" s="352">
        <v>0</v>
      </c>
      <c r="AN1708" s="352">
        <v>0</v>
      </c>
      <c r="AO1708" s="352">
        <v>0</v>
      </c>
    </row>
    <row r="1709" spans="1:41" hidden="1">
      <c r="A1709" s="342" t="s">
        <v>239</v>
      </c>
      <c r="B1709" s="277" t="s">
        <v>239</v>
      </c>
      <c r="C1709" s="277">
        <v>0</v>
      </c>
      <c r="D1709" s="343" t="s">
        <v>19462</v>
      </c>
      <c r="E1709" s="277" t="s">
        <v>239</v>
      </c>
      <c r="F1709" s="618">
        <v>45518</v>
      </c>
      <c r="G1709" s="619">
        <v>2024</v>
      </c>
      <c r="H1709" s="383" t="s">
        <v>16880</v>
      </c>
      <c r="I1709" s="277" t="s">
        <v>16881</v>
      </c>
      <c r="J1709" s="277" t="s">
        <v>16401</v>
      </c>
      <c r="K1709" s="278">
        <v>98519.184175999995</v>
      </c>
      <c r="L1709" s="383">
        <v>3.0518000000000001</v>
      </c>
      <c r="M1709" s="384">
        <v>32282.32</v>
      </c>
      <c r="N1709" s="277" t="s">
        <v>20155</v>
      </c>
      <c r="O1709" s="277" t="s">
        <v>20379</v>
      </c>
      <c r="P1709" s="890">
        <v>45526</v>
      </c>
      <c r="Q1709" s="347">
        <v>0</v>
      </c>
      <c r="R1709" s="347">
        <v>22070</v>
      </c>
      <c r="S1709" s="347">
        <v>0</v>
      </c>
      <c r="T1709" s="347">
        <v>0</v>
      </c>
      <c r="U1709" s="347">
        <v>22070</v>
      </c>
      <c r="V1709" s="348"/>
      <c r="W1709" s="349">
        <v>0</v>
      </c>
      <c r="X1709" s="349">
        <v>98519.184176000024</v>
      </c>
      <c r="Y1709" s="349">
        <v>0</v>
      </c>
      <c r="Z1709" s="349">
        <v>0</v>
      </c>
      <c r="AA1709" s="350"/>
      <c r="AB1709" s="350">
        <v>4.4639412857272323</v>
      </c>
      <c r="AC1709" s="350"/>
      <c r="AD1709" s="350"/>
      <c r="AE1709" s="349">
        <v>0</v>
      </c>
      <c r="AF1709" s="349">
        <v>2455.4699999999998</v>
      </c>
      <c r="AG1709" s="349">
        <v>0.11125826914363389</v>
      </c>
      <c r="AH1709" s="351"/>
      <c r="AI1709" s="351">
        <v>4.3526830165835984</v>
      </c>
      <c r="AJ1709" s="351"/>
      <c r="AK1709" s="351"/>
      <c r="AL1709" s="352">
        <v>0</v>
      </c>
      <c r="AM1709" s="352">
        <v>1</v>
      </c>
      <c r="AN1709" s="352">
        <v>0</v>
      </c>
      <c r="AO1709" s="352">
        <v>0</v>
      </c>
    </row>
    <row r="1710" spans="1:41" hidden="1">
      <c r="A1710" s="342" t="s">
        <v>240</v>
      </c>
      <c r="B1710" s="277" t="s">
        <v>240</v>
      </c>
      <c r="C1710" s="277">
        <v>0</v>
      </c>
      <c r="D1710" s="343" t="s">
        <v>19463</v>
      </c>
      <c r="E1710" s="277" t="s">
        <v>240</v>
      </c>
      <c r="F1710" s="618">
        <v>45518</v>
      </c>
      <c r="G1710" s="619">
        <v>2024</v>
      </c>
      <c r="H1710" s="383" t="s">
        <v>16838</v>
      </c>
      <c r="I1710" s="277" t="s">
        <v>16839</v>
      </c>
      <c r="J1710" s="277" t="s">
        <v>3</v>
      </c>
      <c r="K1710" s="278">
        <v>222075</v>
      </c>
      <c r="L1710" s="383">
        <v>1</v>
      </c>
      <c r="M1710" s="384">
        <v>222075</v>
      </c>
      <c r="N1710" s="277" t="s">
        <v>20155</v>
      </c>
      <c r="O1710" s="277" t="s">
        <v>20321</v>
      </c>
      <c r="P1710" s="890">
        <v>45538</v>
      </c>
      <c r="Q1710" s="347">
        <v>0</v>
      </c>
      <c r="R1710" s="347">
        <v>135000</v>
      </c>
      <c r="S1710" s="347">
        <v>0</v>
      </c>
      <c r="T1710" s="347">
        <v>0</v>
      </c>
      <c r="U1710" s="347">
        <v>135000</v>
      </c>
      <c r="V1710" s="348"/>
      <c r="W1710" s="349">
        <v>0</v>
      </c>
      <c r="X1710" s="349">
        <v>222075</v>
      </c>
      <c r="Y1710" s="349">
        <v>0</v>
      </c>
      <c r="Z1710" s="349">
        <v>0</v>
      </c>
      <c r="AA1710" s="350"/>
      <c r="AB1710" s="350">
        <v>1.645</v>
      </c>
      <c r="AC1710" s="350"/>
      <c r="AD1710" s="350"/>
      <c r="AE1710" s="349">
        <v>0</v>
      </c>
      <c r="AF1710" s="349">
        <v>0</v>
      </c>
      <c r="AG1710" s="349">
        <v>0</v>
      </c>
      <c r="AH1710" s="351">
        <v>0</v>
      </c>
      <c r="AI1710" s="351">
        <v>1.645</v>
      </c>
      <c r="AJ1710" s="351">
        <v>0</v>
      </c>
      <c r="AK1710" s="351">
        <v>0</v>
      </c>
      <c r="AL1710" s="352">
        <v>0</v>
      </c>
      <c r="AM1710" s="352" t="s">
        <v>20347</v>
      </c>
      <c r="AN1710" s="352">
        <v>0</v>
      </c>
      <c r="AO1710" s="352">
        <v>0</v>
      </c>
    </row>
    <row r="1711" spans="1:41" hidden="1">
      <c r="A1711" s="342" t="s">
        <v>241</v>
      </c>
      <c r="B1711" s="277" t="s">
        <v>241</v>
      </c>
      <c r="C1711" s="277">
        <v>0</v>
      </c>
      <c r="D1711" s="343" t="s">
        <v>19464</v>
      </c>
      <c r="E1711" s="277" t="s">
        <v>241</v>
      </c>
      <c r="F1711" s="618">
        <v>45518</v>
      </c>
      <c r="G1711" s="619">
        <v>2024</v>
      </c>
      <c r="H1711" s="383" t="s">
        <v>17309</v>
      </c>
      <c r="I1711" s="277" t="s">
        <v>17310</v>
      </c>
      <c r="J1711" s="277" t="s">
        <v>3</v>
      </c>
      <c r="K1711" s="278">
        <v>56856</v>
      </c>
      <c r="L1711" s="383">
        <v>1</v>
      </c>
      <c r="M1711" s="384">
        <v>56856</v>
      </c>
      <c r="N1711" s="277" t="s">
        <v>20155</v>
      </c>
      <c r="O1711" s="277" t="s">
        <v>18248</v>
      </c>
      <c r="P1711" s="890">
        <v>45526</v>
      </c>
      <c r="Q1711" s="347">
        <v>27600</v>
      </c>
      <c r="R1711" s="347">
        <v>0</v>
      </c>
      <c r="S1711" s="347">
        <v>0</v>
      </c>
      <c r="T1711" s="347">
        <v>0</v>
      </c>
      <c r="U1711" s="347">
        <v>27600</v>
      </c>
      <c r="V1711" s="348"/>
      <c r="W1711" s="349">
        <v>56856</v>
      </c>
      <c r="X1711" s="349">
        <v>0</v>
      </c>
      <c r="Y1711" s="349">
        <v>0</v>
      </c>
      <c r="Z1711" s="349">
        <v>0</v>
      </c>
      <c r="AA1711" s="350">
        <v>2.06</v>
      </c>
      <c r="AB1711" s="350"/>
      <c r="AC1711" s="350"/>
      <c r="AD1711" s="350"/>
      <c r="AE1711" s="349">
        <v>0</v>
      </c>
      <c r="AF1711" s="349">
        <v>0</v>
      </c>
      <c r="AG1711" s="349">
        <v>0</v>
      </c>
      <c r="AH1711" s="351">
        <v>2.06</v>
      </c>
      <c r="AI1711" s="351">
        <v>0</v>
      </c>
      <c r="AJ1711" s="351">
        <v>0</v>
      </c>
      <c r="AK1711" s="351">
        <v>0</v>
      </c>
      <c r="AL1711" s="352" t="s">
        <v>20345</v>
      </c>
      <c r="AM1711" s="352">
        <v>0</v>
      </c>
      <c r="AN1711" s="352">
        <v>0</v>
      </c>
      <c r="AO1711" s="352">
        <v>0</v>
      </c>
    </row>
    <row r="1712" spans="1:41" hidden="1">
      <c r="A1712" s="342" t="s">
        <v>242</v>
      </c>
      <c r="B1712" s="277" t="s">
        <v>242</v>
      </c>
      <c r="C1712" s="277">
        <v>0</v>
      </c>
      <c r="D1712" s="343" t="s">
        <v>19465</v>
      </c>
      <c r="E1712" s="277" t="s">
        <v>242</v>
      </c>
      <c r="F1712" s="618">
        <v>45518</v>
      </c>
      <c r="G1712" s="619">
        <v>2024</v>
      </c>
      <c r="H1712" s="383" t="s">
        <v>16444</v>
      </c>
      <c r="I1712" s="277" t="s">
        <v>16445</v>
      </c>
      <c r="J1712" s="277" t="s">
        <v>3</v>
      </c>
      <c r="K1712" s="278">
        <v>88992</v>
      </c>
      <c r="L1712" s="383">
        <v>1</v>
      </c>
      <c r="M1712" s="384">
        <v>88992</v>
      </c>
      <c r="N1712" s="277" t="s">
        <v>20155</v>
      </c>
      <c r="O1712" s="277" t="s">
        <v>20173</v>
      </c>
      <c r="P1712" s="890">
        <v>45526</v>
      </c>
      <c r="Q1712" s="347">
        <v>43200</v>
      </c>
      <c r="R1712" s="347">
        <v>0</v>
      </c>
      <c r="S1712" s="347">
        <v>0</v>
      </c>
      <c r="T1712" s="347">
        <v>0</v>
      </c>
      <c r="U1712" s="347">
        <v>43200</v>
      </c>
      <c r="V1712" s="348"/>
      <c r="W1712" s="349">
        <v>88992</v>
      </c>
      <c r="X1712" s="349">
        <v>0</v>
      </c>
      <c r="Y1712" s="349">
        <v>0</v>
      </c>
      <c r="Z1712" s="349">
        <v>0</v>
      </c>
      <c r="AA1712" s="350">
        <v>2.06</v>
      </c>
      <c r="AB1712" s="350" t="e">
        <v>#DIV/0!</v>
      </c>
      <c r="AC1712" s="350" t="e">
        <v>#DIV/0!</v>
      </c>
      <c r="AD1712" s="350" t="e">
        <v>#DIV/0!</v>
      </c>
      <c r="AE1712" s="349">
        <v>0</v>
      </c>
      <c r="AF1712" s="349">
        <v>0</v>
      </c>
      <c r="AG1712" s="349">
        <v>0</v>
      </c>
      <c r="AH1712" s="351">
        <v>2.06</v>
      </c>
      <c r="AI1712" s="351"/>
      <c r="AJ1712" s="351"/>
      <c r="AK1712" s="351"/>
      <c r="AL1712" s="352" t="s">
        <v>20345</v>
      </c>
      <c r="AM1712" s="352">
        <v>0</v>
      </c>
      <c r="AN1712" s="352">
        <v>0</v>
      </c>
      <c r="AO1712" s="352">
        <v>0</v>
      </c>
    </row>
    <row r="1713" spans="1:41" hidden="1">
      <c r="A1713" s="342" t="s">
        <v>243</v>
      </c>
      <c r="B1713" s="277" t="s">
        <v>243</v>
      </c>
      <c r="C1713" s="277">
        <v>0</v>
      </c>
      <c r="D1713" s="343" t="s">
        <v>19466</v>
      </c>
      <c r="E1713" s="277" t="s">
        <v>243</v>
      </c>
      <c r="F1713" s="618">
        <v>45518</v>
      </c>
      <c r="G1713" s="619">
        <v>2024</v>
      </c>
      <c r="H1713" s="383" t="s">
        <v>16904</v>
      </c>
      <c r="I1713" s="277" t="s">
        <v>16905</v>
      </c>
      <c r="J1713" s="277" t="s">
        <v>16482</v>
      </c>
      <c r="K1713" s="278">
        <v>79587.935433000006</v>
      </c>
      <c r="L1713" s="383">
        <v>3.3943500000000002</v>
      </c>
      <c r="M1713" s="384">
        <v>23447.18</v>
      </c>
      <c r="N1713" s="277" t="s">
        <v>20155</v>
      </c>
      <c r="O1713" s="277" t="s">
        <v>20160</v>
      </c>
      <c r="P1713" s="890">
        <v>45532</v>
      </c>
      <c r="Q1713" s="347">
        <v>0</v>
      </c>
      <c r="R1713" s="347">
        <v>17712</v>
      </c>
      <c r="S1713" s="347">
        <v>7500</v>
      </c>
      <c r="T1713" s="347">
        <v>0</v>
      </c>
      <c r="U1713" s="347">
        <v>25212</v>
      </c>
      <c r="V1713" s="348"/>
      <c r="W1713" s="349">
        <v>0</v>
      </c>
      <c r="X1713" s="349">
        <v>56126.938673540222</v>
      </c>
      <c r="Y1713" s="349">
        <v>23460.996759459777</v>
      </c>
      <c r="Z1713" s="349">
        <v>0</v>
      </c>
      <c r="AA1713" s="350"/>
      <c r="AB1713" s="350">
        <v>3.1688651012613045</v>
      </c>
      <c r="AC1713" s="350">
        <v>3.1281329012613037</v>
      </c>
      <c r="AD1713" s="350"/>
      <c r="AE1713" s="349">
        <v>3729.6</v>
      </c>
      <c r="AF1713" s="349">
        <v>16990.68</v>
      </c>
      <c r="AG1713" s="349">
        <v>0.67391242265587814</v>
      </c>
      <c r="AH1713" s="351"/>
      <c r="AI1713" s="351">
        <v>2.4949526786054266</v>
      </c>
      <c r="AJ1713" s="351">
        <v>2.4542204786054258</v>
      </c>
      <c r="AK1713" s="351"/>
      <c r="AL1713" s="352">
        <v>0</v>
      </c>
      <c r="AM1713" s="352">
        <v>1</v>
      </c>
      <c r="AN1713" s="352">
        <v>1</v>
      </c>
      <c r="AO1713" s="352">
        <v>0</v>
      </c>
    </row>
    <row r="1714" spans="1:41" hidden="1">
      <c r="A1714" s="342" t="s">
        <v>244</v>
      </c>
      <c r="B1714" s="277" t="s">
        <v>244</v>
      </c>
      <c r="C1714" s="277">
        <v>0</v>
      </c>
      <c r="D1714" s="343" t="s">
        <v>19467</v>
      </c>
      <c r="E1714" s="277" t="s">
        <v>244</v>
      </c>
      <c r="F1714" s="618">
        <v>45518</v>
      </c>
      <c r="G1714" s="619">
        <v>2024</v>
      </c>
      <c r="H1714" s="383" t="s">
        <v>17299</v>
      </c>
      <c r="I1714" s="277" t="s">
        <v>17300</v>
      </c>
      <c r="J1714" s="277" t="s">
        <v>16482</v>
      </c>
      <c r="K1714" s="278">
        <v>299489.1361</v>
      </c>
      <c r="L1714" s="383">
        <v>3.3896500000000001</v>
      </c>
      <c r="M1714" s="384">
        <v>88354</v>
      </c>
      <c r="N1714" s="277" t="s">
        <v>20155</v>
      </c>
      <c r="O1714" s="277" t="s">
        <v>20321</v>
      </c>
      <c r="P1714" s="890">
        <v>45527</v>
      </c>
      <c r="Q1714" s="347">
        <v>134400</v>
      </c>
      <c r="R1714" s="347">
        <v>0</v>
      </c>
      <c r="S1714" s="347">
        <v>0</v>
      </c>
      <c r="T1714" s="347">
        <v>0</v>
      </c>
      <c r="U1714" s="347">
        <v>134400</v>
      </c>
      <c r="V1714" s="348"/>
      <c r="W1714" s="349">
        <v>299489.1361</v>
      </c>
      <c r="X1714" s="349">
        <v>0</v>
      </c>
      <c r="Y1714" s="349">
        <v>0</v>
      </c>
      <c r="Z1714" s="349">
        <v>0</v>
      </c>
      <c r="AA1714" s="350">
        <v>2.2283417864583335</v>
      </c>
      <c r="AB1714" s="350"/>
      <c r="AC1714" s="350"/>
      <c r="AD1714" s="350"/>
      <c r="AE1714" s="349">
        <v>5150.4250000000002</v>
      </c>
      <c r="AF1714" s="349">
        <v>31322.63</v>
      </c>
      <c r="AG1714" s="349">
        <v>0.23305528273809525</v>
      </c>
      <c r="AH1714" s="351">
        <v>1.9952865037202383</v>
      </c>
      <c r="AI1714" s="351"/>
      <c r="AJ1714" s="351"/>
      <c r="AK1714" s="351"/>
      <c r="AL1714" s="352" t="s">
        <v>20345</v>
      </c>
      <c r="AM1714" s="352">
        <v>0</v>
      </c>
      <c r="AN1714" s="352">
        <v>0</v>
      </c>
      <c r="AO1714" s="352">
        <v>0</v>
      </c>
    </row>
    <row r="1715" spans="1:41" hidden="1">
      <c r="A1715" s="342" t="s">
        <v>245</v>
      </c>
      <c r="B1715" s="277" t="s">
        <v>245</v>
      </c>
      <c r="C1715" s="277">
        <v>0</v>
      </c>
      <c r="D1715" s="343" t="s">
        <v>19468</v>
      </c>
      <c r="E1715" s="277" t="s">
        <v>245</v>
      </c>
      <c r="F1715" s="618">
        <v>45523</v>
      </c>
      <c r="G1715" s="619">
        <v>2024</v>
      </c>
      <c r="H1715" s="383" t="s">
        <v>16444</v>
      </c>
      <c r="I1715" s="277" t="s">
        <v>16445</v>
      </c>
      <c r="J1715" s="277" t="s">
        <v>3</v>
      </c>
      <c r="K1715" s="278">
        <v>88480</v>
      </c>
      <c r="L1715" s="383">
        <v>1</v>
      </c>
      <c r="M1715" s="384">
        <v>88480</v>
      </c>
      <c r="N1715" s="277" t="s">
        <v>20155</v>
      </c>
      <c r="O1715" s="277" t="s">
        <v>20173</v>
      </c>
      <c r="P1715" s="890">
        <v>45531</v>
      </c>
      <c r="Q1715" s="347">
        <v>0</v>
      </c>
      <c r="R1715" s="347">
        <v>0</v>
      </c>
      <c r="S1715" s="347">
        <v>56000</v>
      </c>
      <c r="T1715" s="347">
        <v>0</v>
      </c>
      <c r="U1715" s="347">
        <v>56000</v>
      </c>
      <c r="V1715" s="348"/>
      <c r="W1715" s="349">
        <v>0</v>
      </c>
      <c r="X1715" s="349">
        <v>0</v>
      </c>
      <c r="Y1715" s="349">
        <v>88480</v>
      </c>
      <c r="Z1715" s="349">
        <v>0</v>
      </c>
      <c r="AA1715" s="350"/>
      <c r="AB1715" s="350"/>
      <c r="AC1715" s="350">
        <v>1.58</v>
      </c>
      <c r="AD1715" s="350"/>
      <c r="AE1715" s="349">
        <v>0</v>
      </c>
      <c r="AF1715" s="349">
        <v>0</v>
      </c>
      <c r="AG1715" s="349">
        <v>0</v>
      </c>
      <c r="AH1715" s="351">
        <v>0</v>
      </c>
      <c r="AI1715" s="351">
        <v>0</v>
      </c>
      <c r="AJ1715" s="351">
        <v>1.58</v>
      </c>
      <c r="AK1715" s="351">
        <v>0</v>
      </c>
      <c r="AL1715" s="352">
        <v>0</v>
      </c>
      <c r="AM1715" s="352">
        <v>0</v>
      </c>
      <c r="AN1715" s="352" t="s">
        <v>20347</v>
      </c>
      <c r="AO1715" s="352">
        <v>0</v>
      </c>
    </row>
    <row r="1716" spans="1:41" hidden="1">
      <c r="A1716" s="342" t="s">
        <v>246</v>
      </c>
      <c r="B1716" s="277" t="s">
        <v>246</v>
      </c>
      <c r="C1716" s="277">
        <v>0</v>
      </c>
      <c r="D1716" s="343" t="s">
        <v>19469</v>
      </c>
      <c r="E1716" s="277" t="s">
        <v>246</v>
      </c>
      <c r="F1716" s="618">
        <v>45524</v>
      </c>
      <c r="G1716" s="619">
        <v>2024</v>
      </c>
      <c r="H1716" s="383" t="s">
        <v>17354</v>
      </c>
      <c r="I1716" s="277" t="s">
        <v>17355</v>
      </c>
      <c r="J1716" s="277" t="s">
        <v>16482</v>
      </c>
      <c r="K1716" s="278">
        <v>124873.9565</v>
      </c>
      <c r="L1716" s="383">
        <v>3.3905500000000002</v>
      </c>
      <c r="M1716" s="384">
        <v>36830</v>
      </c>
      <c r="N1716" s="277" t="s">
        <v>20155</v>
      </c>
      <c r="O1716" s="277" t="s">
        <v>20321</v>
      </c>
      <c r="P1716" s="890">
        <v>45531</v>
      </c>
      <c r="Q1716" s="347">
        <v>54000</v>
      </c>
      <c r="R1716" s="347">
        <v>0</v>
      </c>
      <c r="S1716" s="347">
        <v>0</v>
      </c>
      <c r="T1716" s="347">
        <v>0</v>
      </c>
      <c r="U1716" s="347">
        <v>54000</v>
      </c>
      <c r="V1716" s="348"/>
      <c r="W1716" s="349">
        <v>124873.9565</v>
      </c>
      <c r="X1716" s="349">
        <v>0</v>
      </c>
      <c r="Y1716" s="349">
        <v>0</v>
      </c>
      <c r="Z1716" s="349">
        <v>0</v>
      </c>
      <c r="AA1716" s="350">
        <v>2.3124806759259258</v>
      </c>
      <c r="AB1716" s="350"/>
      <c r="AC1716" s="350"/>
      <c r="AD1716" s="350"/>
      <c r="AE1716" s="349">
        <v>2555.85</v>
      </c>
      <c r="AF1716" s="349">
        <v>13637.43</v>
      </c>
      <c r="AG1716" s="349">
        <v>0.25254500000000002</v>
      </c>
      <c r="AH1716" s="351">
        <v>2.0599356759259257</v>
      </c>
      <c r="AI1716" s="351"/>
      <c r="AJ1716" s="351"/>
      <c r="AK1716" s="351"/>
      <c r="AL1716" s="352" t="s">
        <v>20345</v>
      </c>
      <c r="AM1716" s="352">
        <v>0</v>
      </c>
      <c r="AN1716" s="352">
        <v>0</v>
      </c>
      <c r="AO1716" s="352">
        <v>0</v>
      </c>
    </row>
    <row r="1717" spans="1:41" hidden="1">
      <c r="A1717" s="342" t="s">
        <v>247</v>
      </c>
      <c r="B1717" s="277" t="s">
        <v>247</v>
      </c>
      <c r="C1717" s="277">
        <v>0</v>
      </c>
      <c r="D1717" s="343" t="s">
        <v>19470</v>
      </c>
      <c r="E1717" s="277" t="s">
        <v>247</v>
      </c>
      <c r="F1717" s="618">
        <v>45524</v>
      </c>
      <c r="G1717" s="619">
        <v>2024</v>
      </c>
      <c r="H1717" s="383" t="s">
        <v>17302</v>
      </c>
      <c r="I1717" s="277" t="s">
        <v>17303</v>
      </c>
      <c r="J1717" s="277" t="s">
        <v>16482</v>
      </c>
      <c r="K1717" s="278">
        <v>76041.015224999996</v>
      </c>
      <c r="L1717" s="383">
        <v>3.3922500000000002</v>
      </c>
      <c r="M1717" s="384">
        <v>22416.1</v>
      </c>
      <c r="N1717" s="277" t="s">
        <v>20155</v>
      </c>
      <c r="O1717" s="277" t="s">
        <v>16394</v>
      </c>
      <c r="P1717" s="890">
        <v>45527</v>
      </c>
      <c r="Q1717" s="347">
        <v>0</v>
      </c>
      <c r="R1717" s="347">
        <v>16152</v>
      </c>
      <c r="S1717" s="347">
        <v>6000</v>
      </c>
      <c r="T1717" s="347">
        <v>0</v>
      </c>
      <c r="U1717" s="347">
        <v>22152</v>
      </c>
      <c r="V1717" s="348"/>
      <c r="W1717" s="349">
        <v>0</v>
      </c>
      <c r="X1717" s="349">
        <v>55603.156752000003</v>
      </c>
      <c r="Y1717" s="349">
        <v>20434.914000000001</v>
      </c>
      <c r="Z1717" s="349">
        <v>0</v>
      </c>
      <c r="AA1717" s="350"/>
      <c r="AB1717" s="350">
        <v>3.4424936077265973</v>
      </c>
      <c r="AC1717" s="350">
        <v>3.4058190000000002</v>
      </c>
      <c r="AD1717" s="350"/>
      <c r="AE1717" s="349">
        <v>1863.3015</v>
      </c>
      <c r="AF1717" s="349">
        <v>34889.784</v>
      </c>
      <c r="AG1717" s="349">
        <v>1.5750173347778982</v>
      </c>
      <c r="AH1717" s="351"/>
      <c r="AI1717" s="351">
        <v>1.8674762729486991</v>
      </c>
      <c r="AJ1717" s="351">
        <v>1.830801665222102</v>
      </c>
      <c r="AK1717" s="351"/>
      <c r="AL1717" s="352">
        <v>0</v>
      </c>
      <c r="AM1717" s="352">
        <v>1</v>
      </c>
      <c r="AN1717" s="352">
        <v>1</v>
      </c>
      <c r="AO1717" s="352">
        <v>0</v>
      </c>
    </row>
    <row r="1718" spans="1:41" hidden="1">
      <c r="A1718" s="342" t="s">
        <v>248</v>
      </c>
      <c r="B1718" s="277" t="s">
        <v>248</v>
      </c>
      <c r="C1718" s="277">
        <v>0</v>
      </c>
      <c r="D1718" s="343" t="s">
        <v>19471</v>
      </c>
      <c r="E1718" s="277" t="s">
        <v>248</v>
      </c>
      <c r="F1718" s="618">
        <v>45524</v>
      </c>
      <c r="G1718" s="619">
        <v>2024</v>
      </c>
      <c r="H1718" s="383" t="s">
        <v>17302</v>
      </c>
      <c r="I1718" s="277" t="s">
        <v>17303</v>
      </c>
      <c r="J1718" s="277" t="s">
        <v>16482</v>
      </c>
      <c r="K1718" s="278">
        <v>86139.506017499996</v>
      </c>
      <c r="L1718" s="383">
        <v>3.3922500000000002</v>
      </c>
      <c r="M1718" s="384">
        <v>25393.03</v>
      </c>
      <c r="N1718" s="277" t="s">
        <v>20155</v>
      </c>
      <c r="O1718" s="277" t="s">
        <v>16394</v>
      </c>
      <c r="P1718" s="890">
        <v>45527</v>
      </c>
      <c r="Q1718" s="347">
        <v>0</v>
      </c>
      <c r="R1718" s="347">
        <v>12384</v>
      </c>
      <c r="S1718" s="347">
        <v>6000</v>
      </c>
      <c r="T1718" s="347">
        <v>4060</v>
      </c>
      <c r="U1718" s="347">
        <v>22444</v>
      </c>
      <c r="V1718" s="348"/>
      <c r="W1718" s="349">
        <v>0</v>
      </c>
      <c r="X1718" s="349">
        <v>38647.551456000001</v>
      </c>
      <c r="Y1718" s="349">
        <v>20434.914000000001</v>
      </c>
      <c r="Z1718" s="349">
        <v>27057.047346000007</v>
      </c>
      <c r="AA1718" s="350"/>
      <c r="AB1718" s="350">
        <v>3.1207648139534885</v>
      </c>
      <c r="AC1718" s="350">
        <v>3.4058190000000002</v>
      </c>
      <c r="AD1718" s="350">
        <v>6.6642973758620707</v>
      </c>
      <c r="AE1718" s="349">
        <v>1863.3015</v>
      </c>
      <c r="AF1718" s="349">
        <v>35887.332000000002</v>
      </c>
      <c r="AG1718" s="349">
        <v>1.598972197469257</v>
      </c>
      <c r="AH1718" s="351"/>
      <c r="AI1718" s="351">
        <v>1.5217926164842315</v>
      </c>
      <c r="AJ1718" s="351">
        <v>1.8068468025307431</v>
      </c>
      <c r="AK1718" s="351">
        <v>5.0653251783928139</v>
      </c>
      <c r="AL1718" s="352">
        <v>0</v>
      </c>
      <c r="AM1718" s="352">
        <v>1</v>
      </c>
      <c r="AN1718" s="352">
        <v>1</v>
      </c>
      <c r="AO1718" s="352">
        <v>1</v>
      </c>
    </row>
    <row r="1719" spans="1:41" hidden="1">
      <c r="A1719" s="342" t="s">
        <v>249</v>
      </c>
      <c r="B1719" s="277" t="s">
        <v>249</v>
      </c>
      <c r="C1719" s="277">
        <v>0</v>
      </c>
      <c r="D1719" s="343" t="s">
        <v>19472</v>
      </c>
      <c r="E1719" s="277" t="s">
        <v>249</v>
      </c>
      <c r="F1719" s="618">
        <v>45525</v>
      </c>
      <c r="G1719" s="619">
        <v>2024</v>
      </c>
      <c r="H1719" s="383" t="s">
        <v>16384</v>
      </c>
      <c r="I1719" s="277" t="s">
        <v>16385</v>
      </c>
      <c r="J1719" s="277" t="s">
        <v>3</v>
      </c>
      <c r="K1719" s="278">
        <v>118127.08</v>
      </c>
      <c r="L1719" s="383">
        <v>1</v>
      </c>
      <c r="M1719" s="384">
        <v>118127.08</v>
      </c>
      <c r="N1719" s="277" t="s">
        <v>20155</v>
      </c>
      <c r="O1719" s="277" t="s">
        <v>17771</v>
      </c>
      <c r="P1719" s="890">
        <v>45540</v>
      </c>
      <c r="Q1719" s="347">
        <v>22008</v>
      </c>
      <c r="R1719" s="347">
        <v>12420</v>
      </c>
      <c r="S1719" s="347">
        <v>29380</v>
      </c>
      <c r="T1719" s="347">
        <v>0</v>
      </c>
      <c r="U1719" s="347">
        <v>63808</v>
      </c>
      <c r="V1719" s="348"/>
      <c r="W1719" s="349">
        <v>44616.480000000003</v>
      </c>
      <c r="X1719" s="349">
        <v>23101.200000000001</v>
      </c>
      <c r="Y1719" s="349">
        <v>50409.4</v>
      </c>
      <c r="Z1719" s="349">
        <v>0</v>
      </c>
      <c r="AA1719" s="350">
        <v>2.0272846237731734</v>
      </c>
      <c r="AB1719" s="350">
        <v>1.86</v>
      </c>
      <c r="AC1719" s="350">
        <v>1.7157726344452009</v>
      </c>
      <c r="AD1719" s="350"/>
      <c r="AE1719" s="349">
        <v>0</v>
      </c>
      <c r="AF1719" s="349">
        <v>0</v>
      </c>
      <c r="AG1719" s="349">
        <v>0</v>
      </c>
      <c r="AH1719" s="351">
        <v>2.0272846237731734</v>
      </c>
      <c r="AI1719" s="351">
        <v>1.86</v>
      </c>
      <c r="AJ1719" s="351">
        <v>1.7157726344452009</v>
      </c>
      <c r="AK1719" s="351">
        <v>0</v>
      </c>
      <c r="AL1719" s="352" t="s">
        <v>20345</v>
      </c>
      <c r="AM1719" s="352" t="s">
        <v>20346</v>
      </c>
      <c r="AN1719" s="352" t="s">
        <v>20347</v>
      </c>
      <c r="AO1719" s="352">
        <v>0</v>
      </c>
    </row>
    <row r="1720" spans="1:41" hidden="1">
      <c r="A1720" s="342" t="s">
        <v>250</v>
      </c>
      <c r="B1720" s="277" t="s">
        <v>250</v>
      </c>
      <c r="C1720" s="277">
        <v>0</v>
      </c>
      <c r="D1720" s="343" t="s">
        <v>19473</v>
      </c>
      <c r="E1720" s="277" t="s">
        <v>250</v>
      </c>
      <c r="F1720" s="618">
        <v>45525</v>
      </c>
      <c r="G1720" s="619">
        <v>2024</v>
      </c>
      <c r="H1720" s="383" t="s">
        <v>16972</v>
      </c>
      <c r="I1720" s="277" t="s">
        <v>16973</v>
      </c>
      <c r="J1720" s="277" t="s">
        <v>3</v>
      </c>
      <c r="K1720" s="278">
        <v>115200</v>
      </c>
      <c r="L1720" s="383">
        <v>1</v>
      </c>
      <c r="M1720" s="384">
        <v>115200</v>
      </c>
      <c r="N1720" s="277" t="s">
        <v>20155</v>
      </c>
      <c r="O1720" s="277" t="s">
        <v>17801</v>
      </c>
      <c r="P1720" s="890">
        <v>45538</v>
      </c>
      <c r="Q1720" s="347">
        <v>57600</v>
      </c>
      <c r="R1720" s="347">
        <v>0</v>
      </c>
      <c r="S1720" s="347">
        <v>0</v>
      </c>
      <c r="T1720" s="347">
        <v>0</v>
      </c>
      <c r="U1720" s="347">
        <v>57600</v>
      </c>
      <c r="V1720" s="348"/>
      <c r="W1720" s="349">
        <v>115200</v>
      </c>
      <c r="X1720" s="349">
        <v>0</v>
      </c>
      <c r="Y1720" s="349">
        <v>0</v>
      </c>
      <c r="Z1720" s="349">
        <v>0</v>
      </c>
      <c r="AA1720" s="350">
        <v>2</v>
      </c>
      <c r="AB1720" s="350"/>
      <c r="AC1720" s="350"/>
      <c r="AD1720" s="350"/>
      <c r="AE1720" s="349">
        <v>0</v>
      </c>
      <c r="AF1720" s="349">
        <v>0</v>
      </c>
      <c r="AG1720" s="349">
        <v>0</v>
      </c>
      <c r="AH1720" s="351">
        <v>2</v>
      </c>
      <c r="AI1720" s="351">
        <v>0</v>
      </c>
      <c r="AJ1720" s="351">
        <v>0</v>
      </c>
      <c r="AK1720" s="351">
        <v>0</v>
      </c>
      <c r="AL1720" s="352" t="s">
        <v>20345</v>
      </c>
      <c r="AM1720" s="352">
        <v>0</v>
      </c>
      <c r="AN1720" s="352">
        <v>0</v>
      </c>
      <c r="AO1720" s="352">
        <v>0</v>
      </c>
    </row>
    <row r="1721" spans="1:41" hidden="1">
      <c r="A1721" s="342" t="s">
        <v>251</v>
      </c>
      <c r="B1721" s="277" t="s">
        <v>251</v>
      </c>
      <c r="C1721" s="277">
        <v>0</v>
      </c>
      <c r="D1721" s="343" t="s">
        <v>19474</v>
      </c>
      <c r="E1721" s="277" t="s">
        <v>251</v>
      </c>
      <c r="F1721" s="618">
        <v>45525</v>
      </c>
      <c r="G1721" s="619">
        <v>2024</v>
      </c>
      <c r="H1721" s="383" t="s">
        <v>17259</v>
      </c>
      <c r="I1721" s="277" t="s">
        <v>17260</v>
      </c>
      <c r="J1721" s="277" t="s">
        <v>16401</v>
      </c>
      <c r="K1721" s="278">
        <v>138466.70730000001</v>
      </c>
      <c r="L1721" s="383">
        <v>3.0393500000000002</v>
      </c>
      <c r="M1721" s="384">
        <v>45558</v>
      </c>
      <c r="N1721" s="277" t="s">
        <v>20155</v>
      </c>
      <c r="O1721" s="277" t="s">
        <v>17261</v>
      </c>
      <c r="P1721" s="890">
        <v>45533</v>
      </c>
      <c r="Q1721" s="347">
        <v>0</v>
      </c>
      <c r="R1721" s="347">
        <v>57600</v>
      </c>
      <c r="S1721" s="347">
        <v>0</v>
      </c>
      <c r="T1721" s="347">
        <v>0</v>
      </c>
      <c r="U1721" s="347">
        <v>57600</v>
      </c>
      <c r="V1721" s="348"/>
      <c r="W1721" s="349">
        <v>0</v>
      </c>
      <c r="X1721" s="349">
        <v>125555.54849999999</v>
      </c>
      <c r="Y1721" s="349">
        <v>0</v>
      </c>
      <c r="Z1721" s="349">
        <v>12911.158799999999</v>
      </c>
      <c r="AA1721" s="350" t="e">
        <v>#DIV/0!</v>
      </c>
      <c r="AB1721" s="350">
        <v>2.1797838281249997</v>
      </c>
      <c r="AC1721" s="350" t="e">
        <v>#DIV/0!</v>
      </c>
      <c r="AD1721" s="350" t="e">
        <v>#DIV/0!</v>
      </c>
      <c r="AE1721" s="349">
        <v>6858.75</v>
      </c>
      <c r="AF1721" s="349">
        <v>32359</v>
      </c>
      <c r="AG1721" s="349">
        <v>0.5617881944444445</v>
      </c>
      <c r="AH1721" s="351"/>
      <c r="AI1721" s="351">
        <v>1.6179956336805552</v>
      </c>
      <c r="AJ1721" s="351"/>
      <c r="AK1721" s="351"/>
      <c r="AL1721" s="352">
        <v>0</v>
      </c>
      <c r="AM1721" s="352" t="s">
        <v>20348</v>
      </c>
      <c r="AN1721" s="352">
        <v>0</v>
      </c>
      <c r="AO1721" s="352">
        <v>0</v>
      </c>
    </row>
    <row r="1722" spans="1:41" hidden="1">
      <c r="A1722" s="342" t="s">
        <v>252</v>
      </c>
      <c r="B1722" s="277" t="s">
        <v>252</v>
      </c>
      <c r="C1722" s="277">
        <v>0</v>
      </c>
      <c r="D1722" s="343" t="s">
        <v>19475</v>
      </c>
      <c r="E1722" s="277" t="s">
        <v>252</v>
      </c>
      <c r="F1722" s="618">
        <v>45526</v>
      </c>
      <c r="G1722" s="619">
        <v>2024</v>
      </c>
      <c r="H1722" s="383" t="s">
        <v>16904</v>
      </c>
      <c r="I1722" s="277" t="s">
        <v>16905</v>
      </c>
      <c r="J1722" s="277" t="s">
        <v>16482</v>
      </c>
      <c r="K1722" s="278">
        <v>78497.330778000003</v>
      </c>
      <c r="L1722" s="383">
        <v>3.3943500000000002</v>
      </c>
      <c r="M1722" s="384">
        <v>23125.88</v>
      </c>
      <c r="N1722" s="277" t="s">
        <v>20155</v>
      </c>
      <c r="O1722" s="277" t="s">
        <v>20160</v>
      </c>
      <c r="P1722" s="890">
        <v>45532</v>
      </c>
      <c r="Q1722" s="347">
        <v>0</v>
      </c>
      <c r="R1722" s="347">
        <v>18792</v>
      </c>
      <c r="S1722" s="347">
        <v>6000</v>
      </c>
      <c r="T1722" s="347">
        <v>0</v>
      </c>
      <c r="U1722" s="347">
        <v>24792</v>
      </c>
      <c r="V1722" s="348"/>
      <c r="W1722" s="349">
        <v>0</v>
      </c>
      <c r="X1722" s="349">
        <v>59731.471291068738</v>
      </c>
      <c r="Y1722" s="349">
        <v>18765.859486931269</v>
      </c>
      <c r="Z1722" s="349">
        <v>0</v>
      </c>
      <c r="AA1722" s="350"/>
      <c r="AB1722" s="350">
        <v>3.1785584978218782</v>
      </c>
      <c r="AC1722" s="350">
        <v>3.1276432478218781</v>
      </c>
      <c r="AD1722" s="350"/>
      <c r="AE1722" s="349">
        <v>3729.6</v>
      </c>
      <c r="AF1722" s="349">
        <v>16994.88</v>
      </c>
      <c r="AG1722" s="349">
        <v>0.68549854791868348</v>
      </c>
      <c r="AH1722" s="351"/>
      <c r="AI1722" s="351">
        <v>2.4930599499031949</v>
      </c>
      <c r="AJ1722" s="351">
        <v>2.4421446999031948</v>
      </c>
      <c r="AK1722" s="351"/>
      <c r="AL1722" s="352">
        <v>0</v>
      </c>
      <c r="AM1722" s="352">
        <v>1</v>
      </c>
      <c r="AN1722" s="352">
        <v>1</v>
      </c>
      <c r="AO1722" s="352">
        <v>0</v>
      </c>
    </row>
    <row r="1723" spans="1:41" hidden="1">
      <c r="A1723" s="342" t="s">
        <v>253</v>
      </c>
      <c r="B1723" s="277" t="s">
        <v>253</v>
      </c>
      <c r="C1723" s="277">
        <v>0</v>
      </c>
      <c r="D1723" s="343" t="s">
        <v>19476</v>
      </c>
      <c r="E1723" s="277" t="s">
        <v>253</v>
      </c>
      <c r="F1723" s="618">
        <v>45526</v>
      </c>
      <c r="G1723" s="619">
        <v>2024</v>
      </c>
      <c r="H1723" s="383" t="s">
        <v>16904</v>
      </c>
      <c r="I1723" s="277" t="s">
        <v>16905</v>
      </c>
      <c r="J1723" s="277" t="s">
        <v>16482</v>
      </c>
      <c r="K1723" s="278">
        <v>76199.831037000011</v>
      </c>
      <c r="L1723" s="383">
        <v>3.3943500000000002</v>
      </c>
      <c r="M1723" s="384">
        <v>22449.02</v>
      </c>
      <c r="N1723" s="277" t="s">
        <v>20155</v>
      </c>
      <c r="O1723" s="277" t="s">
        <v>20160</v>
      </c>
      <c r="P1723" s="890">
        <v>45532</v>
      </c>
      <c r="Q1723" s="347">
        <v>0</v>
      </c>
      <c r="R1723" s="347">
        <v>19368</v>
      </c>
      <c r="S1723" s="347">
        <v>4500</v>
      </c>
      <c r="T1723" s="347">
        <v>0</v>
      </c>
      <c r="U1723" s="347">
        <v>23868</v>
      </c>
      <c r="V1723" s="348"/>
      <c r="W1723" s="349">
        <v>0</v>
      </c>
      <c r="X1723" s="349">
        <v>61998.610431230758</v>
      </c>
      <c r="Y1723" s="349">
        <v>14201.220605769229</v>
      </c>
      <c r="Z1723" s="349">
        <v>0</v>
      </c>
      <c r="AA1723" s="350"/>
      <c r="AB1723" s="350">
        <v>3.2010848012820508</v>
      </c>
      <c r="AC1723" s="350">
        <v>3.1558268012820507</v>
      </c>
      <c r="AD1723" s="350"/>
      <c r="AE1723" s="349">
        <v>3729.6</v>
      </c>
      <c r="AF1723" s="349">
        <v>16974.88</v>
      </c>
      <c r="AG1723" s="349">
        <v>0.71119825708061002</v>
      </c>
      <c r="AH1723" s="351"/>
      <c r="AI1723" s="351">
        <v>2.4898865442014406</v>
      </c>
      <c r="AJ1723" s="351">
        <v>2.4446285442014406</v>
      </c>
      <c r="AK1723" s="351"/>
      <c r="AL1723" s="352">
        <v>0</v>
      </c>
      <c r="AM1723" s="352">
        <v>1</v>
      </c>
      <c r="AN1723" s="352">
        <v>1</v>
      </c>
      <c r="AO1723" s="352">
        <v>0</v>
      </c>
    </row>
    <row r="1724" spans="1:41" hidden="1">
      <c r="A1724" s="342" t="s">
        <v>254</v>
      </c>
      <c r="B1724" s="277" t="s">
        <v>254</v>
      </c>
      <c r="C1724" s="277">
        <v>0</v>
      </c>
      <c r="D1724" s="343" t="s">
        <v>19477</v>
      </c>
      <c r="E1724" s="277" t="s">
        <v>254</v>
      </c>
      <c r="F1724" s="618">
        <v>45530</v>
      </c>
      <c r="G1724" s="619">
        <v>2024</v>
      </c>
      <c r="H1724" s="383" t="s">
        <v>16560</v>
      </c>
      <c r="I1724" s="277" t="s">
        <v>16561</v>
      </c>
      <c r="J1724" s="277" t="s">
        <v>16482</v>
      </c>
      <c r="K1724" s="278">
        <v>278336.7</v>
      </c>
      <c r="L1724" s="383">
        <v>3.3943500000000002</v>
      </c>
      <c r="M1724" s="384">
        <v>82000</v>
      </c>
      <c r="N1724" s="277" t="s">
        <v>20155</v>
      </c>
      <c r="O1724" s="277" t="s">
        <v>17801</v>
      </c>
      <c r="P1724" s="890">
        <v>45533</v>
      </c>
      <c r="Q1724" s="347">
        <v>0</v>
      </c>
      <c r="R1724" s="347">
        <v>0</v>
      </c>
      <c r="S1724" s="347">
        <v>165000</v>
      </c>
      <c r="T1724" s="347">
        <v>0</v>
      </c>
      <c r="U1724" s="347">
        <v>165000</v>
      </c>
      <c r="V1724" s="348"/>
      <c r="W1724" s="349">
        <v>0</v>
      </c>
      <c r="X1724" s="349">
        <v>0</v>
      </c>
      <c r="Y1724" s="349">
        <v>278331.26904000004</v>
      </c>
      <c r="Z1724" s="349">
        <v>0</v>
      </c>
      <c r="AA1724" s="350"/>
      <c r="AB1724" s="350"/>
      <c r="AC1724" s="350">
        <v>1.6868561760000003</v>
      </c>
      <c r="AD1724" s="350"/>
      <c r="AE1724" s="349">
        <v>4652.2124999999996</v>
      </c>
      <c r="AF1724" s="349">
        <v>32319.526000000002</v>
      </c>
      <c r="AG1724" s="349">
        <v>0.19587591515151517</v>
      </c>
      <c r="AH1724" s="351"/>
      <c r="AI1724" s="351"/>
      <c r="AJ1724" s="351">
        <v>1.490980260848485</v>
      </c>
      <c r="AK1724" s="351"/>
      <c r="AL1724" s="352">
        <v>0</v>
      </c>
      <c r="AM1724" s="352">
        <v>0</v>
      </c>
      <c r="AN1724" s="352" t="s">
        <v>20347</v>
      </c>
      <c r="AO1724" s="352">
        <v>0</v>
      </c>
    </row>
    <row r="1725" spans="1:41" hidden="1">
      <c r="A1725" s="342" t="s">
        <v>255</v>
      </c>
      <c r="B1725" s="277" t="s">
        <v>255</v>
      </c>
      <c r="C1725" s="277">
        <v>0</v>
      </c>
      <c r="D1725" s="343" t="s">
        <v>19478</v>
      </c>
      <c r="E1725" s="277" t="s">
        <v>255</v>
      </c>
      <c r="F1725" s="618">
        <v>45530</v>
      </c>
      <c r="G1725" s="619">
        <v>2024</v>
      </c>
      <c r="H1725" s="383" t="s">
        <v>17376</v>
      </c>
      <c r="I1725" s="277" t="s">
        <v>17377</v>
      </c>
      <c r="J1725" s="277" t="s">
        <v>3</v>
      </c>
      <c r="K1725" s="278">
        <v>147126.24</v>
      </c>
      <c r="L1725" s="383">
        <v>1</v>
      </c>
      <c r="M1725" s="384">
        <v>147126.24</v>
      </c>
      <c r="N1725" s="277" t="s">
        <v>20155</v>
      </c>
      <c r="O1725" s="277" t="s">
        <v>17939</v>
      </c>
      <c r="P1725" s="890">
        <v>45535</v>
      </c>
      <c r="Q1725" s="347">
        <v>66504</v>
      </c>
      <c r="R1725" s="347">
        <v>0</v>
      </c>
      <c r="S1725" s="347">
        <v>3005</v>
      </c>
      <c r="T1725" s="347">
        <v>0</v>
      </c>
      <c r="U1725" s="347">
        <v>69509</v>
      </c>
      <c r="V1725" s="348"/>
      <c r="W1725" s="349">
        <v>142318.56</v>
      </c>
      <c r="X1725" s="349">
        <v>0</v>
      </c>
      <c r="Y1725" s="349">
        <v>4807.68</v>
      </c>
      <c r="Z1725" s="349">
        <v>0</v>
      </c>
      <c r="AA1725" s="350">
        <v>2.14</v>
      </c>
      <c r="AB1725" s="350"/>
      <c r="AC1725" s="350">
        <v>1.5998935108153078</v>
      </c>
      <c r="AD1725" s="350"/>
      <c r="AE1725" s="349">
        <v>0</v>
      </c>
      <c r="AF1725" s="349">
        <v>0</v>
      </c>
      <c r="AG1725" s="349">
        <v>0</v>
      </c>
      <c r="AH1725" s="351">
        <v>2.14</v>
      </c>
      <c r="AI1725" s="351">
        <v>0</v>
      </c>
      <c r="AJ1725" s="351">
        <v>1.5998935108153078</v>
      </c>
      <c r="AK1725" s="351">
        <v>0</v>
      </c>
      <c r="AL1725" s="352" t="s">
        <v>20345</v>
      </c>
      <c r="AM1725" s="352">
        <v>0</v>
      </c>
      <c r="AN1725" s="352" t="s">
        <v>20347</v>
      </c>
      <c r="AO1725" s="352">
        <v>0</v>
      </c>
    </row>
    <row r="1726" spans="1:41" hidden="1">
      <c r="A1726" s="342" t="s">
        <v>256</v>
      </c>
      <c r="B1726" s="277" t="s">
        <v>256</v>
      </c>
      <c r="C1726" s="277">
        <v>0</v>
      </c>
      <c r="D1726" s="343" t="s">
        <v>19479</v>
      </c>
      <c r="E1726" s="277" t="s">
        <v>256</v>
      </c>
      <c r="F1726" s="618">
        <v>45530</v>
      </c>
      <c r="G1726" s="619">
        <v>2024</v>
      </c>
      <c r="H1726" s="383" t="s">
        <v>17376</v>
      </c>
      <c r="I1726" s="277" t="s">
        <v>17377</v>
      </c>
      <c r="J1726" s="277" t="s">
        <v>3</v>
      </c>
      <c r="K1726" s="278">
        <v>214042.8</v>
      </c>
      <c r="L1726" s="383">
        <v>1</v>
      </c>
      <c r="M1726" s="384">
        <v>214042.8</v>
      </c>
      <c r="N1726" s="277" t="s">
        <v>20155</v>
      </c>
      <c r="O1726" s="277" t="s">
        <v>17939</v>
      </c>
      <c r="P1726" s="890">
        <v>45561</v>
      </c>
      <c r="Q1726" s="347">
        <v>100020</v>
      </c>
      <c r="R1726" s="347">
        <v>0</v>
      </c>
      <c r="S1726" s="347">
        <v>0</v>
      </c>
      <c r="T1726" s="347">
        <v>0</v>
      </c>
      <c r="U1726" s="347">
        <v>100020</v>
      </c>
      <c r="V1726" s="348"/>
      <c r="W1726" s="349">
        <v>214042.8</v>
      </c>
      <c r="X1726" s="349">
        <v>0</v>
      </c>
      <c r="Y1726" s="349">
        <v>0</v>
      </c>
      <c r="Z1726" s="349">
        <v>0</v>
      </c>
      <c r="AA1726" s="350">
        <v>2.1399999999999997</v>
      </c>
      <c r="AB1726" s="350"/>
      <c r="AC1726" s="350"/>
      <c r="AD1726" s="350"/>
      <c r="AE1726" s="349">
        <v>0</v>
      </c>
      <c r="AF1726" s="349">
        <v>0</v>
      </c>
      <c r="AG1726" s="349">
        <v>0</v>
      </c>
      <c r="AH1726" s="351">
        <v>2.1399999999999997</v>
      </c>
      <c r="AI1726" s="351">
        <v>0</v>
      </c>
      <c r="AJ1726" s="351">
        <v>0</v>
      </c>
      <c r="AK1726" s="351">
        <v>0</v>
      </c>
      <c r="AL1726" s="352" t="s">
        <v>20345</v>
      </c>
      <c r="AM1726" s="352">
        <v>0</v>
      </c>
      <c r="AN1726" s="352">
        <v>0</v>
      </c>
      <c r="AO1726" s="352">
        <v>0</v>
      </c>
    </row>
    <row r="1727" spans="1:41" hidden="1">
      <c r="A1727" s="342" t="s">
        <v>257</v>
      </c>
      <c r="B1727" s="277" t="s">
        <v>257</v>
      </c>
      <c r="C1727" s="277">
        <v>0</v>
      </c>
      <c r="D1727" s="343" t="s">
        <v>19480</v>
      </c>
      <c r="E1727" s="277" t="s">
        <v>257</v>
      </c>
      <c r="F1727" s="618">
        <v>45530</v>
      </c>
      <c r="G1727" s="619">
        <v>2024</v>
      </c>
      <c r="H1727" s="383" t="s">
        <v>16560</v>
      </c>
      <c r="I1727" s="277" t="s">
        <v>16561</v>
      </c>
      <c r="J1727" s="277" t="s">
        <v>16482</v>
      </c>
      <c r="K1727" s="278">
        <v>277512.60000000003</v>
      </c>
      <c r="L1727" s="383">
        <v>3.3843000000000001</v>
      </c>
      <c r="M1727" s="384">
        <v>82000</v>
      </c>
      <c r="N1727" s="277" t="s">
        <v>20155</v>
      </c>
      <c r="O1727" s="277" t="s">
        <v>17801</v>
      </c>
      <c r="P1727" s="890">
        <v>45535</v>
      </c>
      <c r="Q1727" s="347">
        <v>0</v>
      </c>
      <c r="R1727" s="347">
        <v>0</v>
      </c>
      <c r="S1727" s="347">
        <v>165000</v>
      </c>
      <c r="T1727" s="347">
        <v>0</v>
      </c>
      <c r="U1727" s="347">
        <v>165000</v>
      </c>
      <c r="V1727" s="348"/>
      <c r="W1727" s="349">
        <v>0</v>
      </c>
      <c r="X1727" s="349">
        <v>0</v>
      </c>
      <c r="Y1727" s="349">
        <v>277507.18512000004</v>
      </c>
      <c r="Z1727" s="349">
        <v>0</v>
      </c>
      <c r="AA1727" s="350"/>
      <c r="AB1727" s="350"/>
      <c r="AC1727" s="350">
        <v>1.6818617280000003</v>
      </c>
      <c r="AD1727" s="350"/>
      <c r="AE1727" s="349">
        <v>4652.2124999999996</v>
      </c>
      <c r="AF1727" s="349">
        <v>32319.526000000002</v>
      </c>
      <c r="AG1727" s="349">
        <v>0.19587591515151517</v>
      </c>
      <c r="AH1727" s="351"/>
      <c r="AI1727" s="351"/>
      <c r="AJ1727" s="351">
        <v>1.4859858128484851</v>
      </c>
      <c r="AK1727" s="351"/>
      <c r="AL1727" s="352">
        <v>0</v>
      </c>
      <c r="AM1727" s="352">
        <v>0</v>
      </c>
      <c r="AN1727" s="352" t="s">
        <v>20347</v>
      </c>
      <c r="AO1727" s="352">
        <v>0</v>
      </c>
    </row>
    <row r="1728" spans="1:41" hidden="1">
      <c r="A1728" s="342" t="s">
        <v>258</v>
      </c>
      <c r="B1728" s="277" t="s">
        <v>258</v>
      </c>
      <c r="C1728" s="277">
        <v>0</v>
      </c>
      <c r="D1728" s="343" t="s">
        <v>19481</v>
      </c>
      <c r="E1728" s="277" t="s">
        <v>258</v>
      </c>
      <c r="F1728" s="618">
        <v>45530</v>
      </c>
      <c r="G1728" s="619">
        <v>2024</v>
      </c>
      <c r="H1728" s="383" t="s">
        <v>17278</v>
      </c>
      <c r="I1728" s="277" t="s">
        <v>17279</v>
      </c>
      <c r="J1728" s="277" t="s">
        <v>16482</v>
      </c>
      <c r="K1728" s="278">
        <v>506351.60700000002</v>
      </c>
      <c r="L1728" s="383">
        <v>3.3912499999999999</v>
      </c>
      <c r="M1728" s="384">
        <v>149311.20000000001</v>
      </c>
      <c r="N1728" s="277" t="s">
        <v>20155</v>
      </c>
      <c r="O1728" s="277" t="s">
        <v>20173</v>
      </c>
      <c r="P1728" s="890">
        <v>45535</v>
      </c>
      <c r="Q1728" s="347">
        <v>21600</v>
      </c>
      <c r="R1728" s="347">
        <v>111360</v>
      </c>
      <c r="S1728" s="347">
        <v>139200</v>
      </c>
      <c r="T1728" s="347">
        <v>0</v>
      </c>
      <c r="U1728" s="347">
        <v>272160</v>
      </c>
      <c r="V1728" s="348"/>
      <c r="W1728" s="349">
        <v>47979.404999999999</v>
      </c>
      <c r="X1728" s="349">
        <v>215260.27200000003</v>
      </c>
      <c r="Y1728" s="349">
        <v>243111.93</v>
      </c>
      <c r="Z1728" s="349">
        <v>0</v>
      </c>
      <c r="AA1728" s="350">
        <v>2.2212687500000001</v>
      </c>
      <c r="AB1728" s="350">
        <v>1.9330125000000002</v>
      </c>
      <c r="AC1728" s="350">
        <v>1.74649375</v>
      </c>
      <c r="AD1728" s="350" t="e">
        <v>#DIV/0!</v>
      </c>
      <c r="AE1728" s="349">
        <v>11598.721250000001</v>
      </c>
      <c r="AF1728" s="349">
        <v>41734.777999999998</v>
      </c>
      <c r="AG1728" s="349">
        <v>0.1533464800117578</v>
      </c>
      <c r="AH1728" s="351">
        <v>2.0679222699882422</v>
      </c>
      <c r="AI1728" s="351">
        <v>1.7796660199882424</v>
      </c>
      <c r="AJ1728" s="351">
        <v>1.5931472699882421</v>
      </c>
      <c r="AK1728" s="351"/>
      <c r="AL1728" s="352" t="s">
        <v>20345</v>
      </c>
      <c r="AM1728" s="352" t="s">
        <v>20348</v>
      </c>
      <c r="AN1728" s="352" t="s">
        <v>20347</v>
      </c>
      <c r="AO1728" s="352">
        <v>0</v>
      </c>
    </row>
    <row r="1729" spans="1:41" hidden="1">
      <c r="A1729" s="342" t="s">
        <v>259</v>
      </c>
      <c r="B1729" s="277" t="s">
        <v>259</v>
      </c>
      <c r="C1729" s="277">
        <v>0</v>
      </c>
      <c r="D1729" s="343" t="s">
        <v>19482</v>
      </c>
      <c r="E1729" s="277" t="s">
        <v>259</v>
      </c>
      <c r="F1729" s="618">
        <v>45530</v>
      </c>
      <c r="G1729" s="619">
        <v>2024</v>
      </c>
      <c r="H1729" s="383" t="s">
        <v>17304</v>
      </c>
      <c r="I1729" s="277" t="s">
        <v>17305</v>
      </c>
      <c r="J1729" s="277" t="s">
        <v>17306</v>
      </c>
      <c r="K1729" s="278">
        <v>73499.162506000008</v>
      </c>
      <c r="L1729" s="383">
        <v>2.2676500000000002</v>
      </c>
      <c r="M1729" s="384">
        <v>32412.04</v>
      </c>
      <c r="N1729" s="277" t="s">
        <v>20155</v>
      </c>
      <c r="O1729" s="277" t="s">
        <v>17238</v>
      </c>
      <c r="P1729" s="890">
        <v>45535</v>
      </c>
      <c r="Q1729" s="347">
        <v>0</v>
      </c>
      <c r="R1729" s="347">
        <v>0</v>
      </c>
      <c r="S1729" s="347">
        <v>23608</v>
      </c>
      <c r="T1729" s="347">
        <v>0</v>
      </c>
      <c r="U1729" s="347">
        <v>23608</v>
      </c>
      <c r="V1729" s="348"/>
      <c r="W1729" s="349">
        <v>0</v>
      </c>
      <c r="X1729" s="349">
        <v>0</v>
      </c>
      <c r="Y1729" s="349">
        <v>73499.162505999993</v>
      </c>
      <c r="Z1729" s="349">
        <v>0</v>
      </c>
      <c r="AA1729" s="350"/>
      <c r="AB1729" s="350"/>
      <c r="AC1729" s="350">
        <v>3.1133159312944763</v>
      </c>
      <c r="AD1729" s="350"/>
      <c r="AE1729" s="349">
        <v>1943.6999999999998</v>
      </c>
      <c r="AF1729" s="349">
        <v>14687.2</v>
      </c>
      <c r="AG1729" s="349">
        <v>0.62212809217214504</v>
      </c>
      <c r="AH1729" s="351"/>
      <c r="AI1729" s="351"/>
      <c r="AJ1729" s="351">
        <v>2.4911878391223312</v>
      </c>
      <c r="AK1729" s="351"/>
      <c r="AL1729" s="352">
        <v>0</v>
      </c>
      <c r="AM1729" s="352">
        <v>0</v>
      </c>
      <c r="AN1729" s="352">
        <v>1</v>
      </c>
      <c r="AO1729" s="352">
        <v>0</v>
      </c>
    </row>
    <row r="1730" spans="1:41" hidden="1">
      <c r="A1730" s="342" t="s">
        <v>260</v>
      </c>
      <c r="B1730" s="277" t="s">
        <v>260</v>
      </c>
      <c r="C1730" s="277">
        <v>0</v>
      </c>
      <c r="D1730" s="343" t="s">
        <v>19483</v>
      </c>
      <c r="E1730" s="277" t="s">
        <v>260</v>
      </c>
      <c r="F1730" s="618">
        <v>45530</v>
      </c>
      <c r="G1730" s="619">
        <v>2024</v>
      </c>
      <c r="H1730" s="383" t="s">
        <v>17304</v>
      </c>
      <c r="I1730" s="277" t="s">
        <v>17305</v>
      </c>
      <c r="J1730" s="277" t="s">
        <v>17306</v>
      </c>
      <c r="K1730" s="278">
        <v>82792.037559000004</v>
      </c>
      <c r="L1730" s="383">
        <v>2.2676500000000002</v>
      </c>
      <c r="M1730" s="384">
        <v>36510.06</v>
      </c>
      <c r="N1730" s="277" t="s">
        <v>20155</v>
      </c>
      <c r="O1730" s="277" t="s">
        <v>17954</v>
      </c>
      <c r="P1730" s="890">
        <v>45535</v>
      </c>
      <c r="Q1730" s="347">
        <v>2500</v>
      </c>
      <c r="R1730" s="347">
        <v>17150</v>
      </c>
      <c r="S1730" s="347">
        <v>4320</v>
      </c>
      <c r="T1730" s="347">
        <v>1400</v>
      </c>
      <c r="U1730" s="347">
        <v>25370</v>
      </c>
      <c r="V1730" s="348"/>
      <c r="W1730" s="349">
        <v>8396.1149034292466</v>
      </c>
      <c r="X1730" s="349">
        <v>50042.581556524638</v>
      </c>
      <c r="Y1730" s="349">
        <v>14018.674153125736</v>
      </c>
      <c r="Z1730" s="349">
        <v>10334.666945920377</v>
      </c>
      <c r="AA1730" s="350">
        <v>3.3584459613716988</v>
      </c>
      <c r="AB1730" s="350">
        <v>2.917934784637005</v>
      </c>
      <c r="AC1730" s="350">
        <v>3.2450634613716982</v>
      </c>
      <c r="AD1730" s="350">
        <v>7.3819049613716974</v>
      </c>
      <c r="AE1730" s="349">
        <v>1664.7</v>
      </c>
      <c r="AF1730" s="349">
        <v>13090.4</v>
      </c>
      <c r="AG1730" s="349">
        <v>0.51597950335041387</v>
      </c>
      <c r="AH1730" s="351">
        <v>2.8424664580212848</v>
      </c>
      <c r="AI1730" s="351">
        <v>2.401955281286591</v>
      </c>
      <c r="AJ1730" s="351">
        <v>2.7290839580212842</v>
      </c>
      <c r="AK1730" s="351">
        <v>6.8659254580212838</v>
      </c>
      <c r="AL1730" s="352">
        <v>1</v>
      </c>
      <c r="AM1730" s="352">
        <v>1</v>
      </c>
      <c r="AN1730" s="352">
        <v>1</v>
      </c>
      <c r="AO1730" s="352">
        <v>1</v>
      </c>
    </row>
    <row r="1731" spans="1:41" hidden="1">
      <c r="A1731" s="342" t="s">
        <v>261</v>
      </c>
      <c r="B1731" s="277" t="s">
        <v>261</v>
      </c>
      <c r="C1731" s="277">
        <v>0</v>
      </c>
      <c r="D1731" s="343" t="s">
        <v>19484</v>
      </c>
      <c r="E1731" s="277" t="s">
        <v>261</v>
      </c>
      <c r="F1731" s="618">
        <v>45530</v>
      </c>
      <c r="G1731" s="619">
        <v>2024</v>
      </c>
      <c r="H1731" s="383" t="s">
        <v>17299</v>
      </c>
      <c r="I1731" s="277" t="s">
        <v>17300</v>
      </c>
      <c r="J1731" s="277" t="s">
        <v>16482</v>
      </c>
      <c r="K1731" s="278">
        <v>216832.101</v>
      </c>
      <c r="L1731" s="383">
        <v>3.3843000000000001</v>
      </c>
      <c r="M1731" s="384">
        <v>64070</v>
      </c>
      <c r="N1731" s="277" t="s">
        <v>20155</v>
      </c>
      <c r="O1731" s="277" t="s">
        <v>20321</v>
      </c>
      <c r="P1731" s="890">
        <v>45534</v>
      </c>
      <c r="Q1731" s="347">
        <v>96000</v>
      </c>
      <c r="R1731" s="347">
        <v>0</v>
      </c>
      <c r="S1731" s="347">
        <v>0</v>
      </c>
      <c r="T1731" s="347">
        <v>0</v>
      </c>
      <c r="U1731" s="347">
        <v>96000</v>
      </c>
      <c r="V1731" s="348"/>
      <c r="W1731" s="349">
        <v>216832.10099999997</v>
      </c>
      <c r="X1731" s="349">
        <v>0</v>
      </c>
      <c r="Y1731" s="349">
        <v>0</v>
      </c>
      <c r="Z1731" s="349">
        <v>0</v>
      </c>
      <c r="AA1731" s="350">
        <v>2.2586677187499995</v>
      </c>
      <c r="AB1731" s="350"/>
      <c r="AC1731" s="350"/>
      <c r="AD1731" s="350"/>
      <c r="AE1731" s="349">
        <v>3681.25</v>
      </c>
      <c r="AF1731" s="349">
        <v>22813.4</v>
      </c>
      <c r="AG1731" s="349">
        <v>0.23763958333333335</v>
      </c>
      <c r="AH1731" s="351">
        <v>2.0210281354166661</v>
      </c>
      <c r="AI1731" s="351"/>
      <c r="AJ1731" s="351"/>
      <c r="AK1731" s="351"/>
      <c r="AL1731" s="352" t="s">
        <v>20345</v>
      </c>
      <c r="AM1731" s="352">
        <v>0</v>
      </c>
      <c r="AN1731" s="352">
        <v>0</v>
      </c>
      <c r="AO1731" s="352">
        <v>0</v>
      </c>
    </row>
    <row r="1732" spans="1:41" hidden="1">
      <c r="A1732" s="342" t="s">
        <v>262</v>
      </c>
      <c r="B1732" s="277" t="s">
        <v>262</v>
      </c>
      <c r="C1732" s="277">
        <v>0</v>
      </c>
      <c r="D1732" s="343" t="s">
        <v>19485</v>
      </c>
      <c r="E1732" s="277" t="s">
        <v>262</v>
      </c>
      <c r="F1732" s="618">
        <v>45530</v>
      </c>
      <c r="G1732" s="619">
        <v>2024</v>
      </c>
      <c r="H1732" s="383" t="s">
        <v>16444</v>
      </c>
      <c r="I1732" s="277" t="s">
        <v>16445</v>
      </c>
      <c r="J1732" s="277" t="s">
        <v>3</v>
      </c>
      <c r="K1732" s="278">
        <v>91240.4</v>
      </c>
      <c r="L1732" s="383">
        <v>1</v>
      </c>
      <c r="M1732" s="384">
        <v>91240.4</v>
      </c>
      <c r="N1732" s="277" t="s">
        <v>20155</v>
      </c>
      <c r="O1732" s="277" t="s">
        <v>20173</v>
      </c>
      <c r="P1732" s="890">
        <v>45532</v>
      </c>
      <c r="Q1732" s="347">
        <v>0</v>
      </c>
      <c r="R1732" s="347">
        <v>52040</v>
      </c>
      <c r="S1732" s="347">
        <v>0</v>
      </c>
      <c r="T1732" s="347">
        <v>0</v>
      </c>
      <c r="U1732" s="347">
        <v>52040</v>
      </c>
      <c r="V1732" s="348"/>
      <c r="W1732" s="349">
        <v>0</v>
      </c>
      <c r="X1732" s="349">
        <v>91240.4</v>
      </c>
      <c r="Y1732" s="349">
        <v>0</v>
      </c>
      <c r="Z1732" s="349">
        <v>0</v>
      </c>
      <c r="AA1732" s="350"/>
      <c r="AB1732" s="350">
        <v>1.7532744043043811</v>
      </c>
      <c r="AC1732" s="350"/>
      <c r="AD1732" s="350"/>
      <c r="AE1732" s="349">
        <v>0</v>
      </c>
      <c r="AF1732" s="349">
        <v>0</v>
      </c>
      <c r="AG1732" s="349">
        <v>0</v>
      </c>
      <c r="AH1732" s="351">
        <v>0</v>
      </c>
      <c r="AI1732" s="351">
        <v>1.7532744043043811</v>
      </c>
      <c r="AJ1732" s="351">
        <v>0</v>
      </c>
      <c r="AK1732" s="351">
        <v>0</v>
      </c>
      <c r="AL1732" s="352">
        <v>0</v>
      </c>
      <c r="AM1732" s="352" t="s">
        <v>20348</v>
      </c>
      <c r="AN1732" s="352">
        <v>0</v>
      </c>
      <c r="AO1732" s="352">
        <v>0</v>
      </c>
    </row>
    <row r="1733" spans="1:41" hidden="1">
      <c r="A1733" s="342" t="s">
        <v>263</v>
      </c>
      <c r="B1733" s="277" t="s">
        <v>263</v>
      </c>
      <c r="C1733" s="277">
        <v>0</v>
      </c>
      <c r="D1733" s="343" t="s">
        <v>19486</v>
      </c>
      <c r="E1733" s="277" t="s">
        <v>263</v>
      </c>
      <c r="F1733" s="618">
        <v>45532</v>
      </c>
      <c r="G1733" s="619">
        <v>2024</v>
      </c>
      <c r="H1733" s="383" t="s">
        <v>17017</v>
      </c>
      <c r="I1733" s="277" t="s">
        <v>17018</v>
      </c>
      <c r="J1733" s="277" t="s">
        <v>3</v>
      </c>
      <c r="K1733" s="278">
        <v>60600</v>
      </c>
      <c r="L1733" s="383">
        <v>1</v>
      </c>
      <c r="M1733" s="384">
        <v>60600</v>
      </c>
      <c r="N1733" s="277" t="s">
        <v>20155</v>
      </c>
      <c r="O1733" s="277" t="s">
        <v>20380</v>
      </c>
      <c r="P1733" s="890">
        <v>45546</v>
      </c>
      <c r="Q1733" s="347">
        <v>0</v>
      </c>
      <c r="R1733" s="347">
        <v>5000</v>
      </c>
      <c r="S1733" s="347">
        <v>6000</v>
      </c>
      <c r="T1733" s="347">
        <v>5500</v>
      </c>
      <c r="U1733" s="347">
        <v>16500</v>
      </c>
      <c r="V1733" s="348"/>
      <c r="W1733" s="349">
        <v>0</v>
      </c>
      <c r="X1733" s="349">
        <v>11900</v>
      </c>
      <c r="Y1733" s="349">
        <v>13500</v>
      </c>
      <c r="Z1733" s="349">
        <v>35200</v>
      </c>
      <c r="AA1733" s="350"/>
      <c r="AB1733" s="350">
        <v>2.38</v>
      </c>
      <c r="AC1733" s="350">
        <v>2.25</v>
      </c>
      <c r="AD1733" s="350">
        <v>6.4</v>
      </c>
      <c r="AE1733" s="349">
        <v>0</v>
      </c>
      <c r="AF1733" s="349">
        <v>0</v>
      </c>
      <c r="AG1733" s="349">
        <v>0</v>
      </c>
      <c r="AH1733" s="351">
        <v>0</v>
      </c>
      <c r="AI1733" s="351">
        <v>2.38</v>
      </c>
      <c r="AJ1733" s="351">
        <v>2.25</v>
      </c>
      <c r="AK1733" s="351">
        <v>6.4</v>
      </c>
      <c r="AL1733" s="352">
        <v>0</v>
      </c>
      <c r="AM1733" s="352">
        <v>1</v>
      </c>
      <c r="AN1733" s="352">
        <v>1</v>
      </c>
      <c r="AO1733" s="352">
        <v>1</v>
      </c>
    </row>
    <row r="1734" spans="1:41" hidden="1">
      <c r="A1734" s="342" t="s">
        <v>264</v>
      </c>
      <c r="B1734" s="277" t="s">
        <v>264</v>
      </c>
      <c r="C1734" s="277">
        <v>0</v>
      </c>
      <c r="D1734" s="343" t="s">
        <v>19487</v>
      </c>
      <c r="E1734" s="277" t="s">
        <v>264</v>
      </c>
      <c r="F1734" s="618">
        <v>45532</v>
      </c>
      <c r="G1734" s="619">
        <v>2024</v>
      </c>
      <c r="H1734" s="383" t="s">
        <v>16838</v>
      </c>
      <c r="I1734" s="277" t="s">
        <v>16839</v>
      </c>
      <c r="J1734" s="277" t="s">
        <v>3</v>
      </c>
      <c r="K1734" s="278">
        <v>42408</v>
      </c>
      <c r="L1734" s="383">
        <v>1</v>
      </c>
      <c r="M1734" s="384">
        <v>42408</v>
      </c>
      <c r="N1734" s="277" t="s">
        <v>20155</v>
      </c>
      <c r="O1734" s="277" t="s">
        <v>17771</v>
      </c>
      <c r="P1734" s="890">
        <v>45541</v>
      </c>
      <c r="Q1734" s="347">
        <v>0</v>
      </c>
      <c r="R1734" s="347">
        <v>22800</v>
      </c>
      <c r="S1734" s="347">
        <v>0</v>
      </c>
      <c r="T1734" s="347">
        <v>0</v>
      </c>
      <c r="U1734" s="347">
        <v>22800</v>
      </c>
      <c r="V1734" s="348"/>
      <c r="W1734" s="349">
        <v>0</v>
      </c>
      <c r="X1734" s="349">
        <v>42408</v>
      </c>
      <c r="Y1734" s="349">
        <v>0</v>
      </c>
      <c r="Z1734" s="349">
        <v>0</v>
      </c>
      <c r="AA1734" s="350"/>
      <c r="AB1734" s="350">
        <v>1.86</v>
      </c>
      <c r="AC1734" s="350"/>
      <c r="AD1734" s="350"/>
      <c r="AE1734" s="349">
        <v>0</v>
      </c>
      <c r="AF1734" s="349">
        <v>0</v>
      </c>
      <c r="AG1734" s="349">
        <v>0</v>
      </c>
      <c r="AH1734" s="351">
        <v>0</v>
      </c>
      <c r="AI1734" s="351">
        <v>1.86</v>
      </c>
      <c r="AJ1734" s="351">
        <v>0</v>
      </c>
      <c r="AK1734" s="351">
        <v>0</v>
      </c>
      <c r="AL1734" s="352">
        <v>0</v>
      </c>
      <c r="AM1734" s="352" t="s">
        <v>20346</v>
      </c>
      <c r="AN1734" s="352">
        <v>0</v>
      </c>
      <c r="AO1734" s="352">
        <v>0</v>
      </c>
    </row>
    <row r="1735" spans="1:41" hidden="1">
      <c r="A1735" s="342" t="s">
        <v>265</v>
      </c>
      <c r="B1735" s="277" t="s">
        <v>265</v>
      </c>
      <c r="C1735" s="277">
        <v>0</v>
      </c>
      <c r="D1735" s="343" t="s">
        <v>19488</v>
      </c>
      <c r="E1735" s="277" t="s">
        <v>265</v>
      </c>
      <c r="F1735" s="618">
        <v>45532</v>
      </c>
      <c r="G1735" s="619">
        <v>2024</v>
      </c>
      <c r="H1735" s="383" t="s">
        <v>16783</v>
      </c>
      <c r="I1735" s="277" t="s">
        <v>16784</v>
      </c>
      <c r="J1735" s="277" t="s">
        <v>16401</v>
      </c>
      <c r="K1735" s="278">
        <v>119223.31680000002</v>
      </c>
      <c r="L1735" s="383">
        <v>3.0510000000000002</v>
      </c>
      <c r="M1735" s="384">
        <v>39076.800000000003</v>
      </c>
      <c r="N1735" s="277" t="s">
        <v>20155</v>
      </c>
      <c r="O1735" s="277" t="s">
        <v>17939</v>
      </c>
      <c r="P1735" s="890">
        <v>45535</v>
      </c>
      <c r="Q1735" s="347">
        <v>0</v>
      </c>
      <c r="R1735" s="347">
        <v>41424</v>
      </c>
      <c r="S1735" s="347">
        <v>14400</v>
      </c>
      <c r="T1735" s="347">
        <v>0</v>
      </c>
      <c r="U1735" s="347">
        <v>55824</v>
      </c>
      <c r="V1735" s="348"/>
      <c r="W1735" s="349">
        <v>0</v>
      </c>
      <c r="X1735" s="349">
        <v>88469.236799999999</v>
      </c>
      <c r="Y1735" s="349">
        <v>30754.080000000005</v>
      </c>
      <c r="Z1735" s="349">
        <v>0</v>
      </c>
      <c r="AA1735" s="350"/>
      <c r="AB1735" s="350">
        <v>2.1356999999999999</v>
      </c>
      <c r="AC1735" s="350">
        <v>2.1357000000000004</v>
      </c>
      <c r="AD1735" s="350"/>
      <c r="AE1735" s="349">
        <v>0</v>
      </c>
      <c r="AF1735" s="349">
        <v>0</v>
      </c>
      <c r="AG1735" s="349">
        <v>0</v>
      </c>
      <c r="AH1735" s="351">
        <v>0</v>
      </c>
      <c r="AI1735" s="351">
        <v>2.1356999999999999</v>
      </c>
      <c r="AJ1735" s="351">
        <v>2.1357000000000004</v>
      </c>
      <c r="AK1735" s="351">
        <v>0</v>
      </c>
      <c r="AL1735" s="352">
        <v>0</v>
      </c>
      <c r="AM1735" s="352" t="s">
        <v>20345</v>
      </c>
      <c r="AN1735" s="352" t="s">
        <v>20345</v>
      </c>
      <c r="AO1735" s="352">
        <v>0</v>
      </c>
    </row>
    <row r="1736" spans="1:41" hidden="1">
      <c r="A1736" s="342" t="s">
        <v>266</v>
      </c>
      <c r="B1736" s="277" t="s">
        <v>266</v>
      </c>
      <c r="C1736" s="277">
        <v>0</v>
      </c>
      <c r="D1736" s="343" t="s">
        <v>19489</v>
      </c>
      <c r="E1736" s="277" t="s">
        <v>266</v>
      </c>
      <c r="F1736" s="618">
        <v>45534</v>
      </c>
      <c r="G1736" s="619">
        <v>2024</v>
      </c>
      <c r="H1736" s="383" t="s">
        <v>16972</v>
      </c>
      <c r="I1736" s="277" t="s">
        <v>16973</v>
      </c>
      <c r="J1736" s="277" t="s">
        <v>3</v>
      </c>
      <c r="K1736" s="278">
        <v>478500</v>
      </c>
      <c r="L1736" s="383">
        <v>1</v>
      </c>
      <c r="M1736" s="384">
        <v>478500</v>
      </c>
      <c r="N1736" s="277" t="s">
        <v>20155</v>
      </c>
      <c r="O1736" s="277" t="s">
        <v>17801</v>
      </c>
      <c r="P1736" s="890">
        <v>45540</v>
      </c>
      <c r="Q1736" s="347">
        <v>0</v>
      </c>
      <c r="R1736" s="347">
        <v>0</v>
      </c>
      <c r="S1736" s="347">
        <v>330000</v>
      </c>
      <c r="T1736" s="347">
        <v>0</v>
      </c>
      <c r="U1736" s="347">
        <v>330000</v>
      </c>
      <c r="V1736" s="348"/>
      <c r="W1736" s="349">
        <v>0</v>
      </c>
      <c r="X1736" s="349">
        <v>0</v>
      </c>
      <c r="Y1736" s="349">
        <v>478500</v>
      </c>
      <c r="Z1736" s="349">
        <v>0</v>
      </c>
      <c r="AA1736" s="350"/>
      <c r="AB1736" s="350"/>
      <c r="AC1736" s="350">
        <v>1.45</v>
      </c>
      <c r="AD1736" s="350"/>
      <c r="AE1736" s="349">
        <v>0</v>
      </c>
      <c r="AF1736" s="349">
        <v>0</v>
      </c>
      <c r="AG1736" s="349">
        <v>0</v>
      </c>
      <c r="AH1736" s="351">
        <v>0</v>
      </c>
      <c r="AI1736" s="351">
        <v>0</v>
      </c>
      <c r="AJ1736" s="351">
        <v>1.45</v>
      </c>
      <c r="AK1736" s="351">
        <v>0</v>
      </c>
      <c r="AL1736" s="352">
        <v>0</v>
      </c>
      <c r="AM1736" s="352">
        <v>0</v>
      </c>
      <c r="AN1736" s="352" t="s">
        <v>20347</v>
      </c>
      <c r="AO1736" s="352">
        <v>0</v>
      </c>
    </row>
    <row r="1737" spans="1:41" hidden="1">
      <c r="A1737" s="342" t="s">
        <v>267</v>
      </c>
      <c r="B1737" s="277" t="s">
        <v>267</v>
      </c>
      <c r="C1737" s="277">
        <v>0</v>
      </c>
      <c r="D1737" s="343" t="s">
        <v>19490</v>
      </c>
      <c r="E1737" s="277" t="s">
        <v>267</v>
      </c>
      <c r="F1737" s="618">
        <v>45537</v>
      </c>
      <c r="G1737" s="619">
        <v>2024</v>
      </c>
      <c r="H1737" s="383" t="s">
        <v>17354</v>
      </c>
      <c r="I1737" s="277" t="s">
        <v>17355</v>
      </c>
      <c r="J1737" s="277" t="s">
        <v>16482</v>
      </c>
      <c r="K1737" s="278">
        <v>111780.44074999999</v>
      </c>
      <c r="L1737" s="383">
        <v>3.38165</v>
      </c>
      <c r="M1737" s="384">
        <v>33055</v>
      </c>
      <c r="N1737" s="277" t="s">
        <v>20155</v>
      </c>
      <c r="O1737" s="277" t="s">
        <v>20321</v>
      </c>
      <c r="P1737" s="890">
        <v>45541</v>
      </c>
      <c r="Q1737" s="347">
        <v>0</v>
      </c>
      <c r="R1737" s="347">
        <v>55000</v>
      </c>
      <c r="S1737" s="347">
        <v>0</v>
      </c>
      <c r="T1737" s="347">
        <v>0</v>
      </c>
      <c r="U1737" s="347">
        <v>55000</v>
      </c>
      <c r="V1737" s="348"/>
      <c r="W1737" s="349">
        <v>0</v>
      </c>
      <c r="X1737" s="349">
        <v>111780.44075000002</v>
      </c>
      <c r="Y1737" s="349">
        <v>0</v>
      </c>
      <c r="Z1737" s="349">
        <v>0</v>
      </c>
      <c r="AA1737" s="350"/>
      <c r="AB1737" s="350">
        <v>2.0323716500000004</v>
      </c>
      <c r="AC1737" s="350"/>
      <c r="AD1737" s="350"/>
      <c r="AE1737" s="349">
        <v>2648.6</v>
      </c>
      <c r="AF1737" s="349">
        <v>14634.26</v>
      </c>
      <c r="AG1737" s="349">
        <v>0.26607745454545456</v>
      </c>
      <c r="AH1737" s="351"/>
      <c r="AI1737" s="351">
        <v>1.7662941954545459</v>
      </c>
      <c r="AJ1737" s="351"/>
      <c r="AK1737" s="351"/>
      <c r="AL1737" s="352">
        <v>0</v>
      </c>
      <c r="AM1737" s="352" t="s">
        <v>20347</v>
      </c>
      <c r="AN1737" s="352">
        <v>0</v>
      </c>
      <c r="AO1737" s="352">
        <v>0</v>
      </c>
    </row>
    <row r="1738" spans="1:41" hidden="1">
      <c r="A1738" s="342" t="s">
        <v>268</v>
      </c>
      <c r="B1738" s="277" t="s">
        <v>268</v>
      </c>
      <c r="C1738" s="277">
        <v>0</v>
      </c>
      <c r="D1738" s="343" t="s">
        <v>19491</v>
      </c>
      <c r="E1738" s="277" t="s">
        <v>268</v>
      </c>
      <c r="F1738" s="618">
        <v>45538</v>
      </c>
      <c r="G1738" s="619">
        <v>2024</v>
      </c>
      <c r="H1738" s="383" t="s">
        <v>16444</v>
      </c>
      <c r="I1738" s="277" t="s">
        <v>16445</v>
      </c>
      <c r="J1738" s="277" t="s">
        <v>3</v>
      </c>
      <c r="K1738" s="278">
        <v>39552</v>
      </c>
      <c r="L1738" s="383">
        <v>1</v>
      </c>
      <c r="M1738" s="384">
        <v>39552</v>
      </c>
      <c r="N1738" s="277" t="s">
        <v>20155</v>
      </c>
      <c r="O1738" s="277" t="s">
        <v>18248</v>
      </c>
      <c r="P1738" s="890">
        <v>45540</v>
      </c>
      <c r="Q1738" s="347">
        <v>19200</v>
      </c>
      <c r="R1738" s="347">
        <v>0</v>
      </c>
      <c r="S1738" s="347">
        <v>0</v>
      </c>
      <c r="T1738" s="347">
        <v>0</v>
      </c>
      <c r="U1738" s="347">
        <v>19200</v>
      </c>
      <c r="V1738" s="348"/>
      <c r="W1738" s="349">
        <v>39552</v>
      </c>
      <c r="X1738" s="349">
        <v>0</v>
      </c>
      <c r="Y1738" s="349">
        <v>0</v>
      </c>
      <c r="Z1738" s="349">
        <v>0</v>
      </c>
      <c r="AA1738" s="350">
        <v>2.06</v>
      </c>
      <c r="AB1738" s="350"/>
      <c r="AC1738" s="350"/>
      <c r="AD1738" s="350"/>
      <c r="AE1738" s="349">
        <v>0</v>
      </c>
      <c r="AF1738" s="349">
        <v>0</v>
      </c>
      <c r="AG1738" s="349">
        <v>0</v>
      </c>
      <c r="AH1738" s="351">
        <v>2.06</v>
      </c>
      <c r="AI1738" s="351">
        <v>0</v>
      </c>
      <c r="AJ1738" s="351">
        <v>0</v>
      </c>
      <c r="AK1738" s="351">
        <v>0</v>
      </c>
      <c r="AL1738" s="352" t="s">
        <v>20345</v>
      </c>
      <c r="AM1738" s="352">
        <v>0</v>
      </c>
      <c r="AN1738" s="352">
        <v>0</v>
      </c>
      <c r="AO1738" s="352">
        <v>0</v>
      </c>
    </row>
    <row r="1739" spans="1:41" hidden="1">
      <c r="A1739" s="342" t="s">
        <v>269</v>
      </c>
      <c r="B1739" s="277" t="s">
        <v>269</v>
      </c>
      <c r="C1739" s="277">
        <v>0</v>
      </c>
      <c r="D1739" s="343" t="s">
        <v>19492</v>
      </c>
      <c r="E1739" s="277" t="s">
        <v>269</v>
      </c>
      <c r="F1739" s="618">
        <v>45539</v>
      </c>
      <c r="G1739" s="619">
        <v>2024</v>
      </c>
      <c r="H1739" s="383" t="s">
        <v>17302</v>
      </c>
      <c r="I1739" s="277" t="s">
        <v>17303</v>
      </c>
      <c r="J1739" s="277" t="s">
        <v>16482</v>
      </c>
      <c r="K1739" s="278">
        <v>80719.1821605</v>
      </c>
      <c r="L1739" s="383">
        <v>3.3845499999999999</v>
      </c>
      <c r="M1739" s="384">
        <v>23849.31</v>
      </c>
      <c r="N1739" s="277" t="s">
        <v>20155</v>
      </c>
      <c r="O1739" s="277" t="s">
        <v>16394</v>
      </c>
      <c r="P1739" s="890">
        <v>45545</v>
      </c>
      <c r="Q1739" s="347">
        <v>1600</v>
      </c>
      <c r="R1739" s="347">
        <v>19176</v>
      </c>
      <c r="S1739" s="347">
        <v>0</v>
      </c>
      <c r="T1739" s="347">
        <v>1680</v>
      </c>
      <c r="U1739" s="347">
        <v>22456</v>
      </c>
      <c r="V1739" s="348"/>
      <c r="W1739" s="349">
        <v>5669.7981600000003</v>
      </c>
      <c r="X1739" s="349">
        <v>63688.891468799993</v>
      </c>
      <c r="Y1739" s="349">
        <v>0</v>
      </c>
      <c r="Z1739" s="349">
        <v>11360.4993008</v>
      </c>
      <c r="AA1739" s="350">
        <v>3.5436238500000004</v>
      </c>
      <c r="AB1739" s="350">
        <v>3.3212813657071334</v>
      </c>
      <c r="AC1739" s="350"/>
      <c r="AD1739" s="350">
        <v>6.7622019647619052</v>
      </c>
      <c r="AE1739" s="349">
        <v>10303.23</v>
      </c>
      <c r="AF1739" s="349">
        <v>27369.210999999999</v>
      </c>
      <c r="AG1739" s="349">
        <v>1.2187927947987174</v>
      </c>
      <c r="AH1739" s="351">
        <v>2.3248310552012832</v>
      </c>
      <c r="AI1739" s="351">
        <v>2.1024885709084158</v>
      </c>
      <c r="AJ1739" s="351"/>
      <c r="AK1739" s="351">
        <v>5.543409169963188</v>
      </c>
      <c r="AL1739" s="352">
        <v>1</v>
      </c>
      <c r="AM1739" s="352">
        <v>1</v>
      </c>
      <c r="AN1739" s="352">
        <v>0</v>
      </c>
      <c r="AO1739" s="352">
        <v>1</v>
      </c>
    </row>
    <row r="1740" spans="1:41" hidden="1">
      <c r="A1740" s="342" t="s">
        <v>270</v>
      </c>
      <c r="B1740" s="277" t="s">
        <v>270</v>
      </c>
      <c r="C1740" s="277">
        <v>0</v>
      </c>
      <c r="D1740" s="343" t="s">
        <v>19493</v>
      </c>
      <c r="E1740" s="277" t="s">
        <v>270</v>
      </c>
      <c r="F1740" s="618">
        <v>45541</v>
      </c>
      <c r="G1740" s="619">
        <v>2024</v>
      </c>
      <c r="H1740" s="383" t="s">
        <v>17342</v>
      </c>
      <c r="I1740" s="277" t="s">
        <v>17343</v>
      </c>
      <c r="J1740" s="277" t="s">
        <v>16482</v>
      </c>
      <c r="K1740" s="278">
        <v>65946.267276999992</v>
      </c>
      <c r="L1740" s="383">
        <v>3.3830499999999999</v>
      </c>
      <c r="M1740" s="384">
        <v>19493.14</v>
      </c>
      <c r="N1740" s="277" t="s">
        <v>20155</v>
      </c>
      <c r="O1740" s="277" t="s">
        <v>16394</v>
      </c>
      <c r="P1740" s="890">
        <v>45542</v>
      </c>
      <c r="Q1740" s="347">
        <v>0</v>
      </c>
      <c r="R1740" s="347">
        <v>16248</v>
      </c>
      <c r="S1740" s="347">
        <v>7200</v>
      </c>
      <c r="T1740" s="347">
        <v>560</v>
      </c>
      <c r="U1740" s="347">
        <v>24008</v>
      </c>
      <c r="V1740" s="348"/>
      <c r="W1740" s="349">
        <v>0</v>
      </c>
      <c r="X1740" s="349">
        <v>43985.382340926757</v>
      </c>
      <c r="Y1740" s="349">
        <v>19456.76670705765</v>
      </c>
      <c r="Z1740" s="349">
        <v>2504.1317612155949</v>
      </c>
      <c r="AA1740" s="350"/>
      <c r="AB1740" s="350">
        <v>2.7071259441732369</v>
      </c>
      <c r="AC1740" s="350">
        <v>2.7023287093135626</v>
      </c>
      <c r="AD1740" s="350">
        <v>4.471663859313562</v>
      </c>
      <c r="AE1740" s="349">
        <v>1858.4279999999999</v>
      </c>
      <c r="AF1740" s="349">
        <v>13642.495999999999</v>
      </c>
      <c r="AG1740" s="349">
        <v>0.56824791736087965</v>
      </c>
      <c r="AH1740" s="351"/>
      <c r="AI1740" s="351">
        <v>2.1388780268123573</v>
      </c>
      <c r="AJ1740" s="351">
        <v>2.134080791952683</v>
      </c>
      <c r="AK1740" s="351">
        <v>3.9034159419526824</v>
      </c>
      <c r="AL1740" s="352">
        <v>0</v>
      </c>
      <c r="AM1740" s="352">
        <v>1</v>
      </c>
      <c r="AN1740" s="352">
        <v>1</v>
      </c>
      <c r="AO1740" s="352">
        <v>1</v>
      </c>
    </row>
    <row r="1741" spans="1:41" hidden="1">
      <c r="A1741" s="342" t="s">
        <v>271</v>
      </c>
      <c r="B1741" s="277" t="s">
        <v>271</v>
      </c>
      <c r="C1741" s="277">
        <v>0</v>
      </c>
      <c r="D1741" s="343" t="s">
        <v>19494</v>
      </c>
      <c r="E1741" s="277" t="s">
        <v>271</v>
      </c>
      <c r="F1741" s="618">
        <v>45541</v>
      </c>
      <c r="G1741" s="619">
        <v>2024</v>
      </c>
      <c r="H1741" s="383" t="s">
        <v>17342</v>
      </c>
      <c r="I1741" s="277" t="s">
        <v>17343</v>
      </c>
      <c r="J1741" s="277" t="s">
        <v>16482</v>
      </c>
      <c r="K1741" s="278">
        <v>72638.955091999989</v>
      </c>
      <c r="L1741" s="383">
        <v>3.3830499999999999</v>
      </c>
      <c r="M1741" s="384">
        <v>21471.439999999999</v>
      </c>
      <c r="N1741" s="277" t="s">
        <v>20155</v>
      </c>
      <c r="O1741" s="277" t="s">
        <v>16394</v>
      </c>
      <c r="P1741" s="890">
        <v>45542</v>
      </c>
      <c r="Q1741" s="347">
        <v>0</v>
      </c>
      <c r="R1741" s="347">
        <v>14832</v>
      </c>
      <c r="S1741" s="347">
        <v>6000</v>
      </c>
      <c r="T1741" s="347">
        <v>3000</v>
      </c>
      <c r="U1741" s="347">
        <v>23832</v>
      </c>
      <c r="V1741" s="348"/>
      <c r="W1741" s="349">
        <v>0</v>
      </c>
      <c r="X1741" s="349">
        <v>39401.056294978851</v>
      </c>
      <c r="Y1741" s="349">
        <v>16235.825902014099</v>
      </c>
      <c r="Z1741" s="349">
        <v>17002.072895007052</v>
      </c>
      <c r="AA1741" s="350"/>
      <c r="AB1741" s="350">
        <v>2.6564897717758127</v>
      </c>
      <c r="AC1741" s="350">
        <v>2.7059709836690167</v>
      </c>
      <c r="AD1741" s="350">
        <v>5.6673576316690175</v>
      </c>
      <c r="AE1741" s="349">
        <v>1858.4279999999999</v>
      </c>
      <c r="AF1741" s="349">
        <v>13642.495999999999</v>
      </c>
      <c r="AG1741" s="349">
        <v>0.57244444444444442</v>
      </c>
      <c r="AH1741" s="351"/>
      <c r="AI1741" s="351">
        <v>2.0840453273313684</v>
      </c>
      <c r="AJ1741" s="351">
        <v>2.1335265392245724</v>
      </c>
      <c r="AK1741" s="351">
        <v>5.0949131872245728</v>
      </c>
      <c r="AL1741" s="352">
        <v>0</v>
      </c>
      <c r="AM1741" s="352">
        <v>1</v>
      </c>
      <c r="AN1741" s="352">
        <v>1</v>
      </c>
      <c r="AO1741" s="352">
        <v>1</v>
      </c>
    </row>
    <row r="1742" spans="1:41" hidden="1">
      <c r="A1742" s="342" t="s">
        <v>272</v>
      </c>
      <c r="B1742" s="277" t="s">
        <v>272</v>
      </c>
      <c r="C1742" s="277">
        <v>0</v>
      </c>
      <c r="D1742" s="343" t="s">
        <v>19495</v>
      </c>
      <c r="E1742" s="277" t="s">
        <v>272</v>
      </c>
      <c r="F1742" s="618">
        <v>45541</v>
      </c>
      <c r="G1742" s="619">
        <v>2024</v>
      </c>
      <c r="H1742" s="383" t="s">
        <v>16972</v>
      </c>
      <c r="I1742" s="277" t="s">
        <v>16973</v>
      </c>
      <c r="J1742" s="277" t="s">
        <v>3</v>
      </c>
      <c r="K1742" s="278">
        <v>404250</v>
      </c>
      <c r="L1742" s="383">
        <v>1</v>
      </c>
      <c r="M1742" s="384">
        <v>404250</v>
      </c>
      <c r="N1742" s="277" t="s">
        <v>20155</v>
      </c>
      <c r="O1742" s="277" t="s">
        <v>17801</v>
      </c>
      <c r="P1742" s="890">
        <v>45547</v>
      </c>
      <c r="Q1742" s="347">
        <v>0</v>
      </c>
      <c r="R1742" s="347">
        <v>0</v>
      </c>
      <c r="S1742" s="347">
        <v>275000</v>
      </c>
      <c r="T1742" s="347">
        <v>0</v>
      </c>
      <c r="U1742" s="347">
        <v>275000</v>
      </c>
      <c r="V1742" s="348"/>
      <c r="W1742" s="349">
        <v>0</v>
      </c>
      <c r="X1742" s="349">
        <v>0</v>
      </c>
      <c r="Y1742" s="349">
        <v>404250</v>
      </c>
      <c r="Z1742" s="349">
        <v>0</v>
      </c>
      <c r="AA1742" s="350"/>
      <c r="AB1742" s="350"/>
      <c r="AC1742" s="350">
        <v>1.47</v>
      </c>
      <c r="AD1742" s="350"/>
      <c r="AE1742" s="349">
        <v>0</v>
      </c>
      <c r="AF1742" s="349">
        <v>0</v>
      </c>
      <c r="AG1742" s="349">
        <v>0</v>
      </c>
      <c r="AH1742" s="351">
        <v>0</v>
      </c>
      <c r="AI1742" s="351">
        <v>0</v>
      </c>
      <c r="AJ1742" s="351">
        <v>1.47</v>
      </c>
      <c r="AK1742" s="351">
        <v>0</v>
      </c>
      <c r="AL1742" s="352">
        <v>0</v>
      </c>
      <c r="AM1742" s="352">
        <v>0</v>
      </c>
      <c r="AN1742" s="352" t="s">
        <v>20347</v>
      </c>
      <c r="AO1742" s="352">
        <v>0</v>
      </c>
    </row>
    <row r="1743" spans="1:41" hidden="1">
      <c r="A1743" s="342" t="s">
        <v>273</v>
      </c>
      <c r="B1743" s="277" t="s">
        <v>273</v>
      </c>
      <c r="C1743" s="277">
        <v>0</v>
      </c>
      <c r="D1743" s="343" t="s">
        <v>19496</v>
      </c>
      <c r="E1743" s="277" t="s">
        <v>273</v>
      </c>
      <c r="F1743" s="618">
        <v>45546</v>
      </c>
      <c r="G1743" s="619">
        <v>2024</v>
      </c>
      <c r="H1743" s="383" t="s">
        <v>16904</v>
      </c>
      <c r="I1743" s="277" t="s">
        <v>16905</v>
      </c>
      <c r="J1743" s="277" t="s">
        <v>16482</v>
      </c>
      <c r="K1743" s="278">
        <v>78022.093944000007</v>
      </c>
      <c r="L1743" s="383">
        <v>3.3738000000000001</v>
      </c>
      <c r="M1743" s="384">
        <v>23125.88</v>
      </c>
      <c r="N1743" s="277" t="s">
        <v>20155</v>
      </c>
      <c r="O1743" s="277" t="s">
        <v>20160</v>
      </c>
      <c r="P1743" s="890">
        <v>45548</v>
      </c>
      <c r="Q1743" s="347">
        <v>0</v>
      </c>
      <c r="R1743" s="347">
        <v>18792</v>
      </c>
      <c r="S1743" s="347">
        <v>6000</v>
      </c>
      <c r="T1743" s="347">
        <v>0</v>
      </c>
      <c r="U1743" s="347">
        <v>24792</v>
      </c>
      <c r="V1743" s="348"/>
      <c r="W1743" s="349">
        <v>0</v>
      </c>
      <c r="X1743" s="349">
        <v>59369.846315732822</v>
      </c>
      <c r="Y1743" s="349">
        <v>18652.247628267185</v>
      </c>
      <c r="Z1743" s="349">
        <v>0</v>
      </c>
      <c r="AA1743" s="350"/>
      <c r="AB1743" s="350">
        <v>3.1593149380445307</v>
      </c>
      <c r="AC1743" s="350">
        <v>3.1087079380445308</v>
      </c>
      <c r="AD1743" s="350"/>
      <c r="AE1743" s="349">
        <v>3710.4</v>
      </c>
      <c r="AF1743" s="349">
        <v>16390.52</v>
      </c>
      <c r="AG1743" s="349">
        <v>0.66112132946111646</v>
      </c>
      <c r="AH1743" s="351"/>
      <c r="AI1743" s="351">
        <v>2.4981936085834144</v>
      </c>
      <c r="AJ1743" s="351">
        <v>2.4475866085834141</v>
      </c>
      <c r="AK1743" s="351"/>
      <c r="AL1743" s="352">
        <v>0</v>
      </c>
      <c r="AM1743" s="352">
        <v>1</v>
      </c>
      <c r="AN1743" s="352">
        <v>1</v>
      </c>
      <c r="AO1743" s="352">
        <v>0</v>
      </c>
    </row>
    <row r="1744" spans="1:41" hidden="1">
      <c r="A1744" s="342" t="s">
        <v>274</v>
      </c>
      <c r="B1744" s="277" t="s">
        <v>274</v>
      </c>
      <c r="C1744" s="277">
        <v>0</v>
      </c>
      <c r="D1744" s="343" t="s">
        <v>19497</v>
      </c>
      <c r="E1744" s="277" t="s">
        <v>274</v>
      </c>
      <c r="F1744" s="618">
        <v>45546</v>
      </c>
      <c r="G1744" s="619">
        <v>2024</v>
      </c>
      <c r="H1744" s="383" t="s">
        <v>16823</v>
      </c>
      <c r="I1744" s="277" t="s">
        <v>16824</v>
      </c>
      <c r="J1744" s="277" t="s">
        <v>16401</v>
      </c>
      <c r="K1744" s="278">
        <v>60108.481984999999</v>
      </c>
      <c r="L1744" s="383">
        <v>3.0410499999999998</v>
      </c>
      <c r="M1744" s="384">
        <v>19765.7</v>
      </c>
      <c r="N1744" s="277" t="s">
        <v>20155</v>
      </c>
      <c r="O1744" s="277" t="s">
        <v>17965</v>
      </c>
      <c r="P1744" s="890">
        <v>45553</v>
      </c>
      <c r="Q1744" s="347">
        <v>7800</v>
      </c>
      <c r="R1744" s="347">
        <v>20220</v>
      </c>
      <c r="S1744" s="347">
        <v>0</v>
      </c>
      <c r="T1744" s="347">
        <v>0</v>
      </c>
      <c r="U1744" s="347">
        <v>28020</v>
      </c>
      <c r="V1744" s="348"/>
      <c r="W1744" s="349">
        <v>17331.653745396146</v>
      </c>
      <c r="X1744" s="349">
        <v>42776.828239603856</v>
      </c>
      <c r="Y1744" s="349">
        <v>0</v>
      </c>
      <c r="Z1744" s="349">
        <v>0</v>
      </c>
      <c r="AA1744" s="350">
        <v>2.2220068904354036</v>
      </c>
      <c r="AB1744" s="350">
        <v>2.1155701404354033</v>
      </c>
      <c r="AC1744" s="350"/>
      <c r="AD1744" s="350"/>
      <c r="AE1744" s="349">
        <v>1744.365</v>
      </c>
      <c r="AF1744" s="349">
        <v>8592.76</v>
      </c>
      <c r="AG1744" s="349">
        <v>0.30666523911491794</v>
      </c>
      <c r="AH1744" s="351">
        <v>1.9153416513204857</v>
      </c>
      <c r="AI1744" s="351">
        <v>1.8089049013204854</v>
      </c>
      <c r="AJ1744" s="351"/>
      <c r="AK1744" s="351"/>
      <c r="AL1744" s="352" t="s">
        <v>20345</v>
      </c>
      <c r="AM1744" s="352" t="s">
        <v>20346</v>
      </c>
      <c r="AN1744" s="352">
        <v>0</v>
      </c>
      <c r="AO1744" s="352">
        <v>0</v>
      </c>
    </row>
    <row r="1745" spans="1:41" hidden="1">
      <c r="A1745" s="342" t="s">
        <v>275</v>
      </c>
      <c r="B1745" s="277" t="s">
        <v>275</v>
      </c>
      <c r="C1745" s="277">
        <v>0</v>
      </c>
      <c r="D1745" s="343" t="s">
        <v>19498</v>
      </c>
      <c r="E1745" s="277" t="s">
        <v>275</v>
      </c>
      <c r="F1745" s="618">
        <v>45546</v>
      </c>
      <c r="G1745" s="619">
        <v>2024</v>
      </c>
      <c r="H1745" s="383" t="s">
        <v>16838</v>
      </c>
      <c r="I1745" s="277" t="s">
        <v>16839</v>
      </c>
      <c r="J1745" s="277" t="s">
        <v>3</v>
      </c>
      <c r="K1745" s="278">
        <v>180000</v>
      </c>
      <c r="L1745" s="383">
        <v>1</v>
      </c>
      <c r="M1745" s="384">
        <v>180000</v>
      </c>
      <c r="N1745" s="277" t="s">
        <v>20155</v>
      </c>
      <c r="O1745" s="277" t="s">
        <v>20321</v>
      </c>
      <c r="P1745" s="890">
        <v>45555</v>
      </c>
      <c r="Q1745" s="347">
        <v>0</v>
      </c>
      <c r="R1745" s="347">
        <v>112500</v>
      </c>
      <c r="S1745" s="347">
        <v>0</v>
      </c>
      <c r="T1745" s="347">
        <v>0</v>
      </c>
      <c r="U1745" s="347">
        <v>112500</v>
      </c>
      <c r="V1745" s="348"/>
      <c r="W1745" s="349">
        <v>0</v>
      </c>
      <c r="X1745" s="349">
        <v>180000</v>
      </c>
      <c r="Y1745" s="349">
        <v>0</v>
      </c>
      <c r="Z1745" s="349">
        <v>0</v>
      </c>
      <c r="AA1745" s="350"/>
      <c r="AB1745" s="350">
        <v>1.6</v>
      </c>
      <c r="AC1745" s="350"/>
      <c r="AD1745" s="350"/>
      <c r="AE1745" s="349">
        <v>0</v>
      </c>
      <c r="AF1745" s="349">
        <v>0</v>
      </c>
      <c r="AG1745" s="349">
        <v>0</v>
      </c>
      <c r="AH1745" s="351">
        <v>0</v>
      </c>
      <c r="AI1745" s="351">
        <v>1.6</v>
      </c>
      <c r="AJ1745" s="351">
        <v>0</v>
      </c>
      <c r="AK1745" s="351">
        <v>0</v>
      </c>
      <c r="AL1745" s="352">
        <v>0</v>
      </c>
      <c r="AM1745" s="352" t="s">
        <v>20346</v>
      </c>
      <c r="AN1745" s="352">
        <v>0</v>
      </c>
      <c r="AO1745" s="352">
        <v>0</v>
      </c>
    </row>
    <row r="1746" spans="1:41" hidden="1">
      <c r="A1746" s="342" t="s">
        <v>276</v>
      </c>
      <c r="B1746" s="277" t="s">
        <v>276</v>
      </c>
      <c r="C1746" s="277">
        <v>0</v>
      </c>
      <c r="D1746" s="343" t="s">
        <v>19499</v>
      </c>
      <c r="E1746" s="277" t="s">
        <v>276</v>
      </c>
      <c r="F1746" s="618">
        <v>45546</v>
      </c>
      <c r="G1746" s="619">
        <v>2024</v>
      </c>
      <c r="H1746" s="383" t="s">
        <v>17309</v>
      </c>
      <c r="I1746" s="277" t="s">
        <v>17310</v>
      </c>
      <c r="J1746" s="277" t="s">
        <v>3</v>
      </c>
      <c r="K1746" s="278">
        <v>229600</v>
      </c>
      <c r="L1746" s="383">
        <v>1</v>
      </c>
      <c r="M1746" s="384">
        <v>229600</v>
      </c>
      <c r="N1746" s="277" t="s">
        <v>20155</v>
      </c>
      <c r="O1746" s="277" t="s">
        <v>17854</v>
      </c>
      <c r="P1746" s="890">
        <v>45559</v>
      </c>
      <c r="Q1746" s="347">
        <v>112000</v>
      </c>
      <c r="R1746" s="347">
        <v>0</v>
      </c>
      <c r="S1746" s="347">
        <v>0</v>
      </c>
      <c r="T1746" s="347">
        <v>0</v>
      </c>
      <c r="U1746" s="347">
        <v>112000</v>
      </c>
      <c r="V1746" s="348"/>
      <c r="W1746" s="349">
        <v>229600</v>
      </c>
      <c r="X1746" s="349">
        <v>0</v>
      </c>
      <c r="Y1746" s="349">
        <v>0</v>
      </c>
      <c r="Z1746" s="349">
        <v>0</v>
      </c>
      <c r="AA1746" s="350">
        <v>2.0499999999999998</v>
      </c>
      <c r="AB1746" s="350"/>
      <c r="AC1746" s="350"/>
      <c r="AD1746" s="350"/>
      <c r="AE1746" s="349">
        <v>0</v>
      </c>
      <c r="AF1746" s="349">
        <v>0</v>
      </c>
      <c r="AG1746" s="349">
        <v>0</v>
      </c>
      <c r="AH1746" s="351">
        <v>2.0499999999999998</v>
      </c>
      <c r="AI1746" s="351">
        <v>0</v>
      </c>
      <c r="AJ1746" s="351">
        <v>0</v>
      </c>
      <c r="AK1746" s="351">
        <v>0</v>
      </c>
      <c r="AL1746" s="352" t="s">
        <v>20345</v>
      </c>
      <c r="AM1746" s="352">
        <v>0</v>
      </c>
      <c r="AN1746" s="352">
        <v>0</v>
      </c>
      <c r="AO1746" s="352">
        <v>0</v>
      </c>
    </row>
    <row r="1747" spans="1:41" hidden="1">
      <c r="A1747" s="342" t="s">
        <v>277</v>
      </c>
      <c r="B1747" s="277" t="s">
        <v>277</v>
      </c>
      <c r="C1747" s="277">
        <v>0</v>
      </c>
      <c r="D1747" s="343" t="s">
        <v>19500</v>
      </c>
      <c r="E1747" s="277" t="s">
        <v>277</v>
      </c>
      <c r="F1747" s="618">
        <v>45546</v>
      </c>
      <c r="G1747" s="619">
        <v>2024</v>
      </c>
      <c r="H1747" s="383" t="s">
        <v>17299</v>
      </c>
      <c r="I1747" s="277" t="s">
        <v>17300</v>
      </c>
      <c r="J1747" s="277" t="s">
        <v>16482</v>
      </c>
      <c r="K1747" s="278">
        <v>129695.61960000001</v>
      </c>
      <c r="L1747" s="383">
        <v>3.3738000000000001</v>
      </c>
      <c r="M1747" s="384">
        <v>38442</v>
      </c>
      <c r="N1747" s="277" t="s">
        <v>20155</v>
      </c>
      <c r="O1747" s="277" t="s">
        <v>20321</v>
      </c>
      <c r="P1747" s="890">
        <v>45548</v>
      </c>
      <c r="Q1747" s="347">
        <v>57600</v>
      </c>
      <c r="R1747" s="347">
        <v>0</v>
      </c>
      <c r="S1747" s="347">
        <v>0</v>
      </c>
      <c r="T1747" s="347">
        <v>0</v>
      </c>
      <c r="U1747" s="347">
        <v>57600</v>
      </c>
      <c r="V1747" s="348"/>
      <c r="W1747" s="349">
        <v>129695.61960000001</v>
      </c>
      <c r="X1747" s="349">
        <v>0</v>
      </c>
      <c r="Y1747" s="349">
        <v>0</v>
      </c>
      <c r="Z1747" s="349">
        <v>0</v>
      </c>
      <c r="AA1747" s="350">
        <v>2.2516600625000001</v>
      </c>
      <c r="AB1747" s="350"/>
      <c r="AC1747" s="350"/>
      <c r="AD1747" s="350"/>
      <c r="AE1747" s="349">
        <v>2551.7249999999999</v>
      </c>
      <c r="AF1747" s="349">
        <v>14956.254999999999</v>
      </c>
      <c r="AG1747" s="349">
        <v>0.2596572048611111</v>
      </c>
      <c r="AH1747" s="351">
        <v>1.9920028576388891</v>
      </c>
      <c r="AI1747" s="351"/>
      <c r="AJ1747" s="351"/>
      <c r="AK1747" s="351"/>
      <c r="AL1747" s="352" t="s">
        <v>20345</v>
      </c>
      <c r="AM1747" s="352">
        <v>0</v>
      </c>
      <c r="AN1747" s="352">
        <v>0</v>
      </c>
      <c r="AO1747" s="352">
        <v>0</v>
      </c>
    </row>
    <row r="1748" spans="1:41" hidden="1">
      <c r="A1748" s="342" t="s">
        <v>278</v>
      </c>
      <c r="B1748" s="277" t="s">
        <v>278</v>
      </c>
      <c r="C1748" s="277">
        <v>0</v>
      </c>
      <c r="D1748" s="343" t="s">
        <v>19501</v>
      </c>
      <c r="E1748" s="277" t="s">
        <v>278</v>
      </c>
      <c r="F1748" s="618">
        <v>45547</v>
      </c>
      <c r="G1748" s="619">
        <v>2024</v>
      </c>
      <c r="H1748" s="383" t="s">
        <v>17354</v>
      </c>
      <c r="I1748" s="277" t="s">
        <v>17355</v>
      </c>
      <c r="J1748" s="277" t="s">
        <v>16482</v>
      </c>
      <c r="K1748" s="278">
        <v>185529.61799999999</v>
      </c>
      <c r="L1748" s="383">
        <v>3.3880499999999998</v>
      </c>
      <c r="M1748" s="384">
        <v>54760</v>
      </c>
      <c r="N1748" s="277" t="s">
        <v>20155</v>
      </c>
      <c r="O1748" s="277" t="s">
        <v>20321</v>
      </c>
      <c r="P1748" s="890">
        <v>45558</v>
      </c>
      <c r="Q1748" s="347">
        <v>0</v>
      </c>
      <c r="R1748" s="347">
        <v>0</v>
      </c>
      <c r="S1748" s="347">
        <v>104000</v>
      </c>
      <c r="T1748" s="347">
        <v>0</v>
      </c>
      <c r="U1748" s="347">
        <v>104000</v>
      </c>
      <c r="V1748" s="348"/>
      <c r="W1748" s="349">
        <v>0</v>
      </c>
      <c r="X1748" s="349">
        <v>0</v>
      </c>
      <c r="Y1748" s="349">
        <v>185529.61800000002</v>
      </c>
      <c r="Z1748" s="349">
        <v>0</v>
      </c>
      <c r="AA1748" s="350"/>
      <c r="AB1748" s="350"/>
      <c r="AC1748" s="350">
        <v>1.7839386346153847</v>
      </c>
      <c r="AD1748" s="350"/>
      <c r="AE1748" s="349">
        <v>3401.2</v>
      </c>
      <c r="AF1748" s="349">
        <v>19793.419999999998</v>
      </c>
      <c r="AG1748" s="349">
        <v>0.19032134615384613</v>
      </c>
      <c r="AH1748" s="351"/>
      <c r="AI1748" s="351"/>
      <c r="AJ1748" s="351">
        <v>1.5936172884615385</v>
      </c>
      <c r="AK1748" s="351"/>
      <c r="AL1748" s="352">
        <v>0</v>
      </c>
      <c r="AM1748" s="352">
        <v>0</v>
      </c>
      <c r="AN1748" s="352" t="s">
        <v>20347</v>
      </c>
      <c r="AO1748" s="352">
        <v>0</v>
      </c>
    </row>
    <row r="1749" spans="1:41" hidden="1">
      <c r="A1749" s="342" t="s">
        <v>279</v>
      </c>
      <c r="B1749" s="277" t="s">
        <v>279</v>
      </c>
      <c r="C1749" s="277">
        <v>0</v>
      </c>
      <c r="D1749" s="343" t="s">
        <v>19502</v>
      </c>
      <c r="E1749" s="277" t="s">
        <v>279</v>
      </c>
      <c r="F1749" s="618">
        <v>45547</v>
      </c>
      <c r="G1749" s="619">
        <v>2024</v>
      </c>
      <c r="H1749" s="383" t="s">
        <v>16444</v>
      </c>
      <c r="I1749" s="277" t="s">
        <v>16445</v>
      </c>
      <c r="J1749" s="277" t="s">
        <v>3</v>
      </c>
      <c r="K1749" s="278">
        <v>76416</v>
      </c>
      <c r="L1749" s="383">
        <v>1</v>
      </c>
      <c r="M1749" s="384">
        <v>76416</v>
      </c>
      <c r="N1749" s="277" t="s">
        <v>20155</v>
      </c>
      <c r="O1749" s="277" t="s">
        <v>18248</v>
      </c>
      <c r="P1749" s="890">
        <v>45554</v>
      </c>
      <c r="Q1749" s="347">
        <v>38400</v>
      </c>
      <c r="R1749" s="347">
        <v>0</v>
      </c>
      <c r="S1749" s="347">
        <v>0</v>
      </c>
      <c r="T1749" s="347">
        <v>0</v>
      </c>
      <c r="U1749" s="347">
        <v>38400</v>
      </c>
      <c r="V1749" s="348"/>
      <c r="W1749" s="349">
        <v>76416</v>
      </c>
      <c r="X1749" s="349">
        <v>0</v>
      </c>
      <c r="Y1749" s="349">
        <v>0</v>
      </c>
      <c r="Z1749" s="349">
        <v>0</v>
      </c>
      <c r="AA1749" s="350">
        <v>1.99</v>
      </c>
      <c r="AB1749" s="350"/>
      <c r="AC1749" s="350"/>
      <c r="AD1749" s="350"/>
      <c r="AE1749" s="349">
        <v>0</v>
      </c>
      <c r="AF1749" s="349">
        <v>0</v>
      </c>
      <c r="AG1749" s="349">
        <v>0</v>
      </c>
      <c r="AH1749" s="351">
        <v>1.99</v>
      </c>
      <c r="AI1749" s="351">
        <v>0</v>
      </c>
      <c r="AJ1749" s="351">
        <v>0</v>
      </c>
      <c r="AK1749" s="351">
        <v>0</v>
      </c>
      <c r="AL1749" s="352" t="s">
        <v>20345</v>
      </c>
      <c r="AM1749" s="352">
        <v>0</v>
      </c>
      <c r="AN1749" s="352">
        <v>0</v>
      </c>
      <c r="AO1749" s="352">
        <v>0</v>
      </c>
    </row>
    <row r="1750" spans="1:41" hidden="1">
      <c r="A1750" s="342" t="s">
        <v>280</v>
      </c>
      <c r="B1750" s="277" t="s">
        <v>280</v>
      </c>
      <c r="C1750" s="277">
        <v>0</v>
      </c>
      <c r="D1750" s="343" t="s">
        <v>19503</v>
      </c>
      <c r="E1750" s="277" t="s">
        <v>280</v>
      </c>
      <c r="F1750" s="618">
        <v>45548</v>
      </c>
      <c r="G1750" s="619">
        <v>2024</v>
      </c>
      <c r="H1750" s="383" t="s">
        <v>17209</v>
      </c>
      <c r="I1750" s="277" t="s">
        <v>17210</v>
      </c>
      <c r="J1750" s="277" t="s">
        <v>16401</v>
      </c>
      <c r="K1750" s="278">
        <v>57402.321360000009</v>
      </c>
      <c r="L1750" s="383">
        <v>3.0468000000000002</v>
      </c>
      <c r="M1750" s="384">
        <v>18840.2</v>
      </c>
      <c r="N1750" s="277" t="s">
        <v>20155</v>
      </c>
      <c r="O1750" s="277" t="s">
        <v>20168</v>
      </c>
      <c r="P1750" s="890">
        <v>45561</v>
      </c>
      <c r="Q1750" s="347">
        <v>0</v>
      </c>
      <c r="R1750" s="347">
        <v>19680</v>
      </c>
      <c r="S1750" s="347">
        <v>0</v>
      </c>
      <c r="T1750" s="347">
        <v>3000</v>
      </c>
      <c r="U1750" s="347">
        <v>22680</v>
      </c>
      <c r="V1750" s="348"/>
      <c r="W1750" s="349">
        <v>0</v>
      </c>
      <c r="X1750" s="349">
        <v>45015.054608253966</v>
      </c>
      <c r="Y1750" s="349">
        <v>0</v>
      </c>
      <c r="Z1750" s="349">
        <v>12416.516031746032</v>
      </c>
      <c r="AA1750" s="350" t="e">
        <v>#DIV/0!</v>
      </c>
      <c r="AB1750" s="350">
        <v>2.2873503357852627</v>
      </c>
      <c r="AC1750" s="350" t="e">
        <v>#DIV/0!</v>
      </c>
      <c r="AD1750" s="350">
        <v>4.1388386772486774</v>
      </c>
      <c r="AE1750" s="349">
        <v>709.125</v>
      </c>
      <c r="AF1750" s="349">
        <v>6755.3</v>
      </c>
      <c r="AG1750" s="349">
        <v>0.29785273368606702</v>
      </c>
      <c r="AH1750" s="351"/>
      <c r="AI1750" s="351">
        <v>1.9894976020991957</v>
      </c>
      <c r="AJ1750" s="351"/>
      <c r="AK1750" s="351">
        <v>3.8409859435626101</v>
      </c>
      <c r="AL1750" s="352">
        <v>0</v>
      </c>
      <c r="AM1750" s="352">
        <v>1</v>
      </c>
      <c r="AN1750" s="352">
        <v>0</v>
      </c>
      <c r="AO1750" s="352">
        <v>1</v>
      </c>
    </row>
    <row r="1751" spans="1:41" hidden="1">
      <c r="A1751" s="342" t="s">
        <v>281</v>
      </c>
      <c r="B1751" s="277" t="s">
        <v>281</v>
      </c>
      <c r="C1751" s="277">
        <v>0</v>
      </c>
      <c r="D1751" s="343" t="s">
        <v>19504</v>
      </c>
      <c r="E1751" s="277" t="s">
        <v>281</v>
      </c>
      <c r="F1751" s="618">
        <v>45554</v>
      </c>
      <c r="G1751" s="619">
        <v>2024</v>
      </c>
      <c r="H1751" s="383" t="s">
        <v>17342</v>
      </c>
      <c r="I1751" s="277" t="s">
        <v>17343</v>
      </c>
      <c r="J1751" s="277" t="s">
        <v>16482</v>
      </c>
      <c r="K1751" s="278">
        <v>63195.295346999999</v>
      </c>
      <c r="L1751" s="383">
        <v>3.3850500000000001</v>
      </c>
      <c r="M1751" s="384">
        <v>18668.939999999999</v>
      </c>
      <c r="N1751" s="277" t="s">
        <v>20155</v>
      </c>
      <c r="O1751" s="277" t="s">
        <v>16394</v>
      </c>
      <c r="P1751" s="890">
        <v>45560</v>
      </c>
      <c r="Q1751" s="347">
        <v>0</v>
      </c>
      <c r="R1751" s="347">
        <v>17112</v>
      </c>
      <c r="S1751" s="347">
        <v>6000</v>
      </c>
      <c r="T1751" s="347">
        <v>0</v>
      </c>
      <c r="U1751" s="347">
        <v>23112</v>
      </c>
      <c r="V1751" s="348"/>
      <c r="W1751" s="349">
        <v>0</v>
      </c>
      <c r="X1751" s="349">
        <v>46875.172864685665</v>
      </c>
      <c r="Y1751" s="349">
        <v>16320.12925241433</v>
      </c>
      <c r="Z1751" s="349">
        <v>0</v>
      </c>
      <c r="AA1751" s="350"/>
      <c r="AB1751" s="350">
        <v>2.7393158523074841</v>
      </c>
      <c r="AC1751" s="350">
        <v>2.720021542069055</v>
      </c>
      <c r="AD1751" s="350"/>
      <c r="AE1751" s="349">
        <v>1827.7920000000001</v>
      </c>
      <c r="AF1751" s="349">
        <v>12186.28</v>
      </c>
      <c r="AG1751" s="349">
        <v>0.52727068189685011</v>
      </c>
      <c r="AH1751" s="351"/>
      <c r="AI1751" s="351">
        <v>2.2120451704106339</v>
      </c>
      <c r="AJ1751" s="351">
        <v>2.1927508601722048</v>
      </c>
      <c r="AK1751" s="351"/>
      <c r="AL1751" s="352">
        <v>0</v>
      </c>
      <c r="AM1751" s="352">
        <v>1</v>
      </c>
      <c r="AN1751" s="352">
        <v>1</v>
      </c>
      <c r="AO1751" s="352">
        <v>0</v>
      </c>
    </row>
    <row r="1752" spans="1:41" hidden="1">
      <c r="A1752" s="342" t="s">
        <v>282</v>
      </c>
      <c r="B1752" s="277" t="s">
        <v>282</v>
      </c>
      <c r="C1752" s="277">
        <v>0</v>
      </c>
      <c r="D1752" s="343" t="s">
        <v>19505</v>
      </c>
      <c r="E1752" s="277" t="s">
        <v>282</v>
      </c>
      <c r="F1752" s="618">
        <v>45554</v>
      </c>
      <c r="G1752" s="619">
        <v>2024</v>
      </c>
      <c r="H1752" s="383" t="s">
        <v>17384</v>
      </c>
      <c r="I1752" s="277" t="s">
        <v>17385</v>
      </c>
      <c r="J1752" s="277" t="s">
        <v>3</v>
      </c>
      <c r="K1752" s="278">
        <v>71808</v>
      </c>
      <c r="L1752" s="383">
        <v>1</v>
      </c>
      <c r="M1752" s="384">
        <v>71808</v>
      </c>
      <c r="N1752" s="277" t="s">
        <v>20155</v>
      </c>
      <c r="O1752" s="277" t="s">
        <v>18248</v>
      </c>
      <c r="P1752" s="890">
        <v>45559</v>
      </c>
      <c r="Q1752" s="347">
        <v>38400</v>
      </c>
      <c r="R1752" s="347">
        <v>0</v>
      </c>
      <c r="S1752" s="347">
        <v>0</v>
      </c>
      <c r="T1752" s="347">
        <v>0</v>
      </c>
      <c r="U1752" s="347">
        <v>38400</v>
      </c>
      <c r="V1752" s="348"/>
      <c r="W1752" s="349">
        <v>71808</v>
      </c>
      <c r="X1752" s="349">
        <v>0</v>
      </c>
      <c r="Y1752" s="349">
        <v>0</v>
      </c>
      <c r="Z1752" s="349">
        <v>0</v>
      </c>
      <c r="AA1752" s="350">
        <v>1.87</v>
      </c>
      <c r="AB1752" s="350"/>
      <c r="AC1752" s="350"/>
      <c r="AD1752" s="350"/>
      <c r="AE1752" s="349">
        <v>0</v>
      </c>
      <c r="AF1752" s="349">
        <v>0</v>
      </c>
      <c r="AG1752" s="349">
        <v>0</v>
      </c>
      <c r="AH1752" s="351">
        <v>1.87</v>
      </c>
      <c r="AI1752" s="351">
        <v>0</v>
      </c>
      <c r="AJ1752" s="351">
        <v>0</v>
      </c>
      <c r="AK1752" s="351">
        <v>0</v>
      </c>
      <c r="AL1752" s="352" t="s">
        <v>20356</v>
      </c>
      <c r="AM1752" s="352">
        <v>0</v>
      </c>
      <c r="AN1752" s="352">
        <v>0</v>
      </c>
      <c r="AO1752" s="352">
        <v>0</v>
      </c>
    </row>
    <row r="1753" spans="1:41" hidden="1">
      <c r="A1753" s="342" t="s">
        <v>283</v>
      </c>
      <c r="B1753" s="277" t="s">
        <v>283</v>
      </c>
      <c r="C1753" s="277">
        <v>0</v>
      </c>
      <c r="D1753" s="343" t="s">
        <v>19506</v>
      </c>
      <c r="E1753" s="277" t="s">
        <v>283</v>
      </c>
      <c r="F1753" s="618">
        <v>45555</v>
      </c>
      <c r="G1753" s="619">
        <v>2024</v>
      </c>
      <c r="H1753" s="383" t="s">
        <v>16904</v>
      </c>
      <c r="I1753" s="277" t="s">
        <v>16905</v>
      </c>
      <c r="J1753" s="277" t="s">
        <v>16482</v>
      </c>
      <c r="K1753" s="278">
        <v>80500.456812999997</v>
      </c>
      <c r="L1753" s="383">
        <v>3.3855499999999998</v>
      </c>
      <c r="M1753" s="384">
        <v>23777.66</v>
      </c>
      <c r="N1753" s="277" t="s">
        <v>20155</v>
      </c>
      <c r="O1753" s="277" t="s">
        <v>20160</v>
      </c>
      <c r="P1753" s="890">
        <v>45561</v>
      </c>
      <c r="Q1753" s="347">
        <v>0</v>
      </c>
      <c r="R1753" s="347">
        <v>18144</v>
      </c>
      <c r="S1753" s="347">
        <v>7500</v>
      </c>
      <c r="T1753" s="347">
        <v>0</v>
      </c>
      <c r="U1753" s="347">
        <v>25644</v>
      </c>
      <c r="V1753" s="348"/>
      <c r="W1753" s="349">
        <v>0</v>
      </c>
      <c r="X1753" s="349">
        <v>57172.389492398695</v>
      </c>
      <c r="Y1753" s="349">
        <v>23328.067320601309</v>
      </c>
      <c r="Z1753" s="349">
        <v>0</v>
      </c>
      <c r="AA1753" s="350"/>
      <c r="AB1753" s="350">
        <v>3.1510355760801749</v>
      </c>
      <c r="AC1753" s="350">
        <v>3.1104089760801745</v>
      </c>
      <c r="AD1753" s="350"/>
      <c r="AE1753" s="349">
        <v>3703.2</v>
      </c>
      <c r="AF1753" s="349">
        <v>18640.810000000001</v>
      </c>
      <c r="AG1753" s="349">
        <v>0.72690726875682421</v>
      </c>
      <c r="AH1753" s="351"/>
      <c r="AI1753" s="351">
        <v>2.4241283073233508</v>
      </c>
      <c r="AJ1753" s="351">
        <v>2.3835017073233504</v>
      </c>
      <c r="AK1753" s="351"/>
      <c r="AL1753" s="352">
        <v>0</v>
      </c>
      <c r="AM1753" s="352">
        <v>1</v>
      </c>
      <c r="AN1753" s="352">
        <v>1</v>
      </c>
      <c r="AO1753" s="352">
        <v>0</v>
      </c>
    </row>
    <row r="1754" spans="1:41" hidden="1">
      <c r="A1754" s="342" t="s">
        <v>284</v>
      </c>
      <c r="B1754" s="277" t="s">
        <v>284</v>
      </c>
      <c r="C1754" s="277">
        <v>0</v>
      </c>
      <c r="D1754" s="343" t="s">
        <v>19507</v>
      </c>
      <c r="E1754" s="277" t="s">
        <v>284</v>
      </c>
      <c r="F1754" s="618">
        <v>45555</v>
      </c>
      <c r="G1754" s="619">
        <v>2024</v>
      </c>
      <c r="H1754" s="383" t="s">
        <v>16444</v>
      </c>
      <c r="I1754" s="277" t="s">
        <v>16445</v>
      </c>
      <c r="J1754" s="277" t="s">
        <v>3</v>
      </c>
      <c r="K1754" s="278">
        <v>85391.039999999994</v>
      </c>
      <c r="L1754" s="383">
        <v>1</v>
      </c>
      <c r="M1754" s="384">
        <v>85391.039999999994</v>
      </c>
      <c r="N1754" s="277" t="s">
        <v>20155</v>
      </c>
      <c r="O1754" s="277" t="s">
        <v>17801</v>
      </c>
      <c r="P1754" s="890">
        <v>45561</v>
      </c>
      <c r="Q1754" s="347">
        <v>44016</v>
      </c>
      <c r="R1754" s="347">
        <v>0</v>
      </c>
      <c r="S1754" s="347">
        <v>0</v>
      </c>
      <c r="T1754" s="347">
        <v>0</v>
      </c>
      <c r="U1754" s="347">
        <v>44016</v>
      </c>
      <c r="V1754" s="348"/>
      <c r="W1754" s="349">
        <v>85391.039999999994</v>
      </c>
      <c r="X1754" s="349">
        <v>0</v>
      </c>
      <c r="Y1754" s="349">
        <v>0</v>
      </c>
      <c r="Z1754" s="349">
        <v>0</v>
      </c>
      <c r="AA1754" s="350">
        <v>1.94</v>
      </c>
      <c r="AB1754" s="350"/>
      <c r="AC1754" s="350"/>
      <c r="AD1754" s="350"/>
      <c r="AE1754" s="349">
        <v>0</v>
      </c>
      <c r="AF1754" s="349">
        <v>0</v>
      </c>
      <c r="AG1754" s="349">
        <v>0</v>
      </c>
      <c r="AH1754" s="351">
        <v>1.94</v>
      </c>
      <c r="AI1754" s="351">
        <v>0</v>
      </c>
      <c r="AJ1754" s="351">
        <v>0</v>
      </c>
      <c r="AK1754" s="351">
        <v>0</v>
      </c>
      <c r="AL1754" s="352" t="s">
        <v>20356</v>
      </c>
      <c r="AM1754" s="352">
        <v>0</v>
      </c>
      <c r="AN1754" s="352">
        <v>0</v>
      </c>
      <c r="AO1754" s="352">
        <v>0</v>
      </c>
    </row>
    <row r="1755" spans="1:41" hidden="1">
      <c r="A1755" s="342" t="s">
        <v>285</v>
      </c>
      <c r="B1755" s="277" t="s">
        <v>285</v>
      </c>
      <c r="C1755" s="277">
        <v>0</v>
      </c>
      <c r="D1755" s="343" t="s">
        <v>19508</v>
      </c>
      <c r="E1755" s="277" t="s">
        <v>285</v>
      </c>
      <c r="F1755" s="618">
        <v>45555</v>
      </c>
      <c r="G1755" s="619">
        <v>2024</v>
      </c>
      <c r="H1755" s="383" t="s">
        <v>16444</v>
      </c>
      <c r="I1755" s="277" t="s">
        <v>16445</v>
      </c>
      <c r="J1755" s="277" t="s">
        <v>3</v>
      </c>
      <c r="K1755" s="278">
        <v>101024.4</v>
      </c>
      <c r="L1755" s="383">
        <v>1</v>
      </c>
      <c r="M1755" s="384">
        <v>101024.4</v>
      </c>
      <c r="N1755" s="277" t="s">
        <v>20155</v>
      </c>
      <c r="O1755" s="277" t="s">
        <v>17801</v>
      </c>
      <c r="P1755" s="890">
        <v>45560</v>
      </c>
      <c r="Q1755" s="347">
        <v>19600</v>
      </c>
      <c r="R1755" s="347">
        <v>36240</v>
      </c>
      <c r="S1755" s="347">
        <v>0</v>
      </c>
      <c r="T1755" s="347">
        <v>0</v>
      </c>
      <c r="U1755" s="347">
        <v>55840</v>
      </c>
      <c r="V1755" s="348"/>
      <c r="W1755" s="349">
        <v>39204</v>
      </c>
      <c r="X1755" s="349">
        <v>61820.4</v>
      </c>
      <c r="Y1755" s="349">
        <v>0</v>
      </c>
      <c r="Z1755" s="349">
        <v>0</v>
      </c>
      <c r="AA1755" s="350">
        <v>2.0002040816326532</v>
      </c>
      <c r="AB1755" s="350">
        <v>1.705860927152318</v>
      </c>
      <c r="AC1755" s="350" t="e">
        <v>#DIV/0!</v>
      </c>
      <c r="AD1755" s="350" t="e">
        <v>#DIV/0!</v>
      </c>
      <c r="AE1755" s="349">
        <v>0</v>
      </c>
      <c r="AF1755" s="349">
        <v>0</v>
      </c>
      <c r="AG1755" s="349">
        <v>0</v>
      </c>
      <c r="AH1755" s="351">
        <v>2.0002040816326532</v>
      </c>
      <c r="AI1755" s="351">
        <v>1.705860927152318</v>
      </c>
      <c r="AJ1755" s="351"/>
      <c r="AK1755" s="351"/>
      <c r="AL1755" s="352" t="s">
        <v>20356</v>
      </c>
      <c r="AM1755" s="352" t="s">
        <v>20348</v>
      </c>
      <c r="AN1755" s="352">
        <v>0</v>
      </c>
      <c r="AO1755" s="352">
        <v>0</v>
      </c>
    </row>
    <row r="1756" spans="1:41" hidden="1">
      <c r="A1756" s="342" t="s">
        <v>286</v>
      </c>
      <c r="B1756" s="277" t="s">
        <v>286</v>
      </c>
      <c r="C1756" s="277">
        <v>0</v>
      </c>
      <c r="D1756" s="343" t="s">
        <v>19509</v>
      </c>
      <c r="E1756" s="277" t="s">
        <v>286</v>
      </c>
      <c r="F1756" s="618">
        <v>45555</v>
      </c>
      <c r="G1756" s="619">
        <v>2024</v>
      </c>
      <c r="H1756" s="383" t="s">
        <v>17304</v>
      </c>
      <c r="I1756" s="277" t="s">
        <v>17305</v>
      </c>
      <c r="J1756" s="277" t="s">
        <v>17306</v>
      </c>
      <c r="K1756" s="278">
        <v>51347.653332000009</v>
      </c>
      <c r="L1756" s="383">
        <v>2.2593000000000001</v>
      </c>
      <c r="M1756" s="384">
        <v>22727.24</v>
      </c>
      <c r="N1756" s="277" t="s">
        <v>20155</v>
      </c>
      <c r="O1756" s="277" t="s">
        <v>17954</v>
      </c>
      <c r="P1756" s="890">
        <v>45611</v>
      </c>
      <c r="Q1756" s="347">
        <v>0</v>
      </c>
      <c r="R1756" s="347">
        <v>11715</v>
      </c>
      <c r="S1756" s="347">
        <v>3280</v>
      </c>
      <c r="T1756" s="347">
        <v>800</v>
      </c>
      <c r="U1756" s="347">
        <v>15795</v>
      </c>
      <c r="V1756" s="348"/>
      <c r="W1756" s="349">
        <v>0</v>
      </c>
      <c r="X1756" s="349">
        <v>36091.298423102904</v>
      </c>
      <c r="Y1756" s="349">
        <v>9199.7219838176643</v>
      </c>
      <c r="Z1756" s="349">
        <v>6056.6293101994306</v>
      </c>
      <c r="AA1756" s="350" t="e">
        <v>#DIV/0!</v>
      </c>
      <c r="AB1756" s="350">
        <v>3.0807766472985834</v>
      </c>
      <c r="AC1756" s="350">
        <v>2.804793287749288</v>
      </c>
      <c r="AD1756" s="350">
        <v>7.5707866377492881</v>
      </c>
      <c r="AE1756" s="349">
        <v>1284.7199999999998</v>
      </c>
      <c r="AF1756" s="349">
        <v>9495.91</v>
      </c>
      <c r="AG1756" s="349">
        <v>0.6011972143083254</v>
      </c>
      <c r="AH1756" s="351"/>
      <c r="AI1756" s="351">
        <v>2.4795794329902581</v>
      </c>
      <c r="AJ1756" s="351">
        <v>2.2035960734409628</v>
      </c>
      <c r="AK1756" s="351">
        <v>6.9695894234409623</v>
      </c>
      <c r="AL1756" s="352">
        <v>0</v>
      </c>
      <c r="AM1756" s="352">
        <v>1</v>
      </c>
      <c r="AN1756" s="352">
        <v>1</v>
      </c>
      <c r="AO1756" s="352">
        <v>1</v>
      </c>
    </row>
    <row r="1757" spans="1:41" hidden="1">
      <c r="A1757" s="342" t="s">
        <v>287</v>
      </c>
      <c r="B1757" s="277" t="s">
        <v>287</v>
      </c>
      <c r="C1757" s="277">
        <v>0</v>
      </c>
      <c r="D1757" s="343" t="s">
        <v>19510</v>
      </c>
      <c r="E1757" s="277" t="s">
        <v>287</v>
      </c>
      <c r="F1757" s="618">
        <v>45559</v>
      </c>
      <c r="G1757" s="619">
        <v>2024</v>
      </c>
      <c r="H1757" s="383" t="s">
        <v>16957</v>
      </c>
      <c r="I1757" s="277" t="s">
        <v>16958</v>
      </c>
      <c r="J1757" s="277" t="s">
        <v>16401</v>
      </c>
      <c r="K1757" s="278">
        <v>112151.94802500001</v>
      </c>
      <c r="L1757" s="383">
        <v>3.0414500000000002</v>
      </c>
      <c r="M1757" s="384">
        <v>36874.5</v>
      </c>
      <c r="N1757" s="277" t="s">
        <v>20155</v>
      </c>
      <c r="O1757" s="277" t="s">
        <v>20161</v>
      </c>
      <c r="P1757" s="890">
        <v>45563</v>
      </c>
      <c r="Q1757" s="347">
        <v>40300</v>
      </c>
      <c r="R1757" s="347">
        <v>0</v>
      </c>
      <c r="S1757" s="347">
        <v>0</v>
      </c>
      <c r="T1757" s="347">
        <v>0</v>
      </c>
      <c r="U1757" s="347">
        <v>40300</v>
      </c>
      <c r="V1757" s="348"/>
      <c r="W1757" s="349">
        <v>112151.94802500001</v>
      </c>
      <c r="X1757" s="349">
        <v>0</v>
      </c>
      <c r="Y1757" s="349">
        <v>0</v>
      </c>
      <c r="Z1757" s="349">
        <v>0</v>
      </c>
      <c r="AA1757" s="350">
        <v>2.7829267500000001</v>
      </c>
      <c r="AB1757" s="350"/>
      <c r="AC1757" s="350"/>
      <c r="AD1757" s="350"/>
      <c r="AE1757" s="349">
        <v>1723.8300000000002</v>
      </c>
      <c r="AF1757" s="349">
        <v>13447.91</v>
      </c>
      <c r="AG1757" s="349">
        <v>0.33369503722084365</v>
      </c>
      <c r="AH1757" s="351">
        <v>2.4492317127791563</v>
      </c>
      <c r="AI1757" s="351"/>
      <c r="AJ1757" s="351"/>
      <c r="AK1757" s="351"/>
      <c r="AL1757" s="352" t="s">
        <v>20356</v>
      </c>
      <c r="AM1757" s="352">
        <v>0</v>
      </c>
      <c r="AN1757" s="352">
        <v>0</v>
      </c>
      <c r="AO1757" s="352">
        <v>0</v>
      </c>
    </row>
    <row r="1758" spans="1:41" hidden="1">
      <c r="A1758" s="342" t="s">
        <v>288</v>
      </c>
      <c r="B1758" s="277" t="s">
        <v>288</v>
      </c>
      <c r="C1758" s="277">
        <v>0</v>
      </c>
      <c r="D1758" s="343" t="s">
        <v>19511</v>
      </c>
      <c r="E1758" s="277" t="s">
        <v>288</v>
      </c>
      <c r="F1758" s="618">
        <v>45560</v>
      </c>
      <c r="G1758" s="619">
        <v>2024</v>
      </c>
      <c r="H1758" s="383" t="s">
        <v>16972</v>
      </c>
      <c r="I1758" s="277" t="s">
        <v>16973</v>
      </c>
      <c r="J1758" s="277" t="s">
        <v>3</v>
      </c>
      <c r="K1758" s="278">
        <v>398750</v>
      </c>
      <c r="L1758" s="383">
        <v>1</v>
      </c>
      <c r="M1758" s="384">
        <v>398750</v>
      </c>
      <c r="N1758" s="277" t="s">
        <v>20155</v>
      </c>
      <c r="O1758" s="277" t="s">
        <v>17801</v>
      </c>
      <c r="P1758" s="890">
        <v>45567</v>
      </c>
      <c r="Q1758" s="347">
        <v>0</v>
      </c>
      <c r="R1758" s="347">
        <v>0</v>
      </c>
      <c r="S1758" s="347">
        <v>275000</v>
      </c>
      <c r="T1758" s="347">
        <v>0</v>
      </c>
      <c r="U1758" s="347">
        <v>275000</v>
      </c>
      <c r="V1758" s="348"/>
      <c r="W1758" s="349">
        <v>0</v>
      </c>
      <c r="X1758" s="349">
        <v>0</v>
      </c>
      <c r="Y1758" s="349">
        <v>398750</v>
      </c>
      <c r="Z1758" s="349">
        <v>0</v>
      </c>
      <c r="AA1758" s="350" t="e">
        <v>#DIV/0!</v>
      </c>
      <c r="AB1758" s="350" t="e">
        <v>#DIV/0!</v>
      </c>
      <c r="AC1758" s="350">
        <v>1.45</v>
      </c>
      <c r="AD1758" s="350" t="e">
        <v>#DIV/0!</v>
      </c>
      <c r="AE1758" s="349">
        <v>0</v>
      </c>
      <c r="AF1758" s="349">
        <v>0</v>
      </c>
      <c r="AG1758" s="349">
        <v>0</v>
      </c>
      <c r="AH1758" s="351"/>
      <c r="AI1758" s="351"/>
      <c r="AJ1758" s="351">
        <v>1.45</v>
      </c>
      <c r="AK1758" s="351"/>
      <c r="AL1758" s="352">
        <v>0</v>
      </c>
      <c r="AM1758" s="352">
        <v>0</v>
      </c>
      <c r="AN1758" s="352" t="s">
        <v>20347</v>
      </c>
      <c r="AO1758" s="352">
        <v>0</v>
      </c>
    </row>
    <row r="1759" spans="1:41" hidden="1">
      <c r="A1759" s="342" t="s">
        <v>289</v>
      </c>
      <c r="B1759" s="277" t="s">
        <v>289</v>
      </c>
      <c r="C1759" s="277">
        <v>0</v>
      </c>
      <c r="D1759" s="343" t="s">
        <v>19512</v>
      </c>
      <c r="E1759" s="277" t="s">
        <v>289</v>
      </c>
      <c r="F1759" s="618">
        <v>45561</v>
      </c>
      <c r="G1759" s="619">
        <v>2024</v>
      </c>
      <c r="H1759" s="383" t="s">
        <v>17299</v>
      </c>
      <c r="I1759" s="277" t="s">
        <v>17300</v>
      </c>
      <c r="J1759" s="277" t="s">
        <v>16482</v>
      </c>
      <c r="K1759" s="278">
        <v>88907.262999999992</v>
      </c>
      <c r="L1759" s="383">
        <v>3.3651499999999999</v>
      </c>
      <c r="M1759" s="384">
        <v>26420</v>
      </c>
      <c r="N1759" s="277" t="s">
        <v>20155</v>
      </c>
      <c r="O1759" s="277" t="s">
        <v>20321</v>
      </c>
      <c r="P1759" s="890">
        <v>45594</v>
      </c>
      <c r="Q1759" s="347">
        <v>0</v>
      </c>
      <c r="R1759" s="347">
        <v>0</v>
      </c>
      <c r="S1759" s="347">
        <v>52000</v>
      </c>
      <c r="T1759" s="347">
        <v>0</v>
      </c>
      <c r="U1759" s="347">
        <v>52000</v>
      </c>
      <c r="V1759" s="348"/>
      <c r="W1759" s="349">
        <v>0</v>
      </c>
      <c r="X1759" s="349">
        <v>0</v>
      </c>
      <c r="Y1759" s="349">
        <v>93618.473000000013</v>
      </c>
      <c r="Z1759" s="349">
        <v>0</v>
      </c>
      <c r="AA1759" s="350" t="e">
        <v>#DIV/0!</v>
      </c>
      <c r="AB1759" s="350" t="e">
        <v>#DIV/0!</v>
      </c>
      <c r="AC1759" s="350">
        <v>1.8003552500000002</v>
      </c>
      <c r="AD1759" s="350" t="e">
        <v>#DIV/0!</v>
      </c>
      <c r="AE1759" s="349">
        <v>2258.6849999999999</v>
      </c>
      <c r="AF1759" s="349">
        <v>11801.305</v>
      </c>
      <c r="AG1759" s="349">
        <v>0.22694817307692308</v>
      </c>
      <c r="AH1759" s="351"/>
      <c r="AI1759" s="351"/>
      <c r="AJ1759" s="351">
        <v>1.573407076923077</v>
      </c>
      <c r="AK1759" s="351"/>
      <c r="AL1759" s="352">
        <v>0</v>
      </c>
      <c r="AM1759" s="352">
        <v>0</v>
      </c>
      <c r="AN1759" s="352" t="s">
        <v>20347</v>
      </c>
      <c r="AO1759" s="352">
        <v>0</v>
      </c>
    </row>
    <row r="1760" spans="1:41" hidden="1">
      <c r="A1760" s="342" t="s">
        <v>290</v>
      </c>
      <c r="B1760" s="277" t="s">
        <v>290</v>
      </c>
      <c r="C1760" s="277">
        <v>0</v>
      </c>
      <c r="D1760" s="343" t="s">
        <v>19513</v>
      </c>
      <c r="E1760" s="277" t="s">
        <v>290</v>
      </c>
      <c r="F1760" s="618">
        <v>45561</v>
      </c>
      <c r="G1760" s="619">
        <v>2024</v>
      </c>
      <c r="H1760" s="383" t="s">
        <v>17299</v>
      </c>
      <c r="I1760" s="277" t="s">
        <v>17300</v>
      </c>
      <c r="J1760" s="277" t="s">
        <v>16482</v>
      </c>
      <c r="K1760" s="278">
        <v>612243.821</v>
      </c>
      <c r="L1760" s="383">
        <v>3.3601000000000001</v>
      </c>
      <c r="M1760" s="384">
        <v>182210</v>
      </c>
      <c r="N1760" s="277" t="s">
        <v>20155</v>
      </c>
      <c r="O1760" s="277" t="s">
        <v>20321</v>
      </c>
      <c r="P1760" s="890">
        <v>45610</v>
      </c>
      <c r="Q1760" s="347">
        <v>0</v>
      </c>
      <c r="R1760" s="347">
        <v>0</v>
      </c>
      <c r="S1760" s="347">
        <v>338000</v>
      </c>
      <c r="T1760" s="347">
        <v>0</v>
      </c>
      <c r="U1760" s="347">
        <v>338000</v>
      </c>
      <c r="V1760" s="348"/>
      <c r="W1760" s="349">
        <v>0</v>
      </c>
      <c r="X1760" s="349">
        <v>0</v>
      </c>
      <c r="Y1760" s="349">
        <v>640804.67099999986</v>
      </c>
      <c r="Z1760" s="349">
        <v>0</v>
      </c>
      <c r="AA1760" s="350" t="e">
        <v>#DIV/0!</v>
      </c>
      <c r="AB1760" s="350" t="e">
        <v>#DIV/0!</v>
      </c>
      <c r="AC1760" s="350">
        <v>1.8958718076923073</v>
      </c>
      <c r="AD1760" s="350" t="e">
        <v>#DIV/0!</v>
      </c>
      <c r="AE1760" s="349">
        <v>20720.7</v>
      </c>
      <c r="AF1760" s="349">
        <v>103408.48</v>
      </c>
      <c r="AG1760" s="349">
        <v>0.30594224852071006</v>
      </c>
      <c r="AH1760" s="351"/>
      <c r="AI1760" s="351"/>
      <c r="AJ1760" s="351">
        <v>1.5899295591715972</v>
      </c>
      <c r="AK1760" s="351"/>
      <c r="AL1760" s="352">
        <v>0</v>
      </c>
      <c r="AM1760" s="352">
        <v>0</v>
      </c>
      <c r="AN1760" s="352" t="s">
        <v>20347</v>
      </c>
      <c r="AO1760" s="352">
        <v>0</v>
      </c>
    </row>
    <row r="1761" spans="1:41" hidden="1">
      <c r="A1761" s="342" t="s">
        <v>291</v>
      </c>
      <c r="B1761" s="277" t="s">
        <v>291</v>
      </c>
      <c r="C1761" s="277">
        <v>0</v>
      </c>
      <c r="D1761" s="343" t="s">
        <v>19514</v>
      </c>
      <c r="E1761" s="277" t="s">
        <v>291</v>
      </c>
      <c r="F1761" s="618">
        <v>45562</v>
      </c>
      <c r="G1761" s="619">
        <v>2024</v>
      </c>
      <c r="H1761" s="383" t="s">
        <v>16444</v>
      </c>
      <c r="I1761" s="277" t="s">
        <v>16445</v>
      </c>
      <c r="J1761" s="277" t="s">
        <v>3</v>
      </c>
      <c r="K1761" s="278">
        <v>94360</v>
      </c>
      <c r="L1761" s="383">
        <v>1</v>
      </c>
      <c r="M1761" s="384">
        <v>94360</v>
      </c>
      <c r="N1761" s="277" t="s">
        <v>20155</v>
      </c>
      <c r="O1761" s="277" t="s">
        <v>20173</v>
      </c>
      <c r="P1761" s="890">
        <v>45574</v>
      </c>
      <c r="Q1761" s="347">
        <v>0</v>
      </c>
      <c r="R1761" s="347">
        <v>56000</v>
      </c>
      <c r="S1761" s="347">
        <v>0</v>
      </c>
      <c r="T1761" s="347">
        <v>0</v>
      </c>
      <c r="U1761" s="347">
        <v>56000</v>
      </c>
      <c r="V1761" s="348"/>
      <c r="W1761" s="349">
        <v>0</v>
      </c>
      <c r="X1761" s="349">
        <v>94360</v>
      </c>
      <c r="Y1761" s="349">
        <v>0</v>
      </c>
      <c r="Z1761" s="349">
        <v>0</v>
      </c>
      <c r="AA1761" s="350" t="e">
        <v>#DIV/0!</v>
      </c>
      <c r="AB1761" s="350">
        <v>1.6850000000000001</v>
      </c>
      <c r="AC1761" s="350" t="e">
        <v>#DIV/0!</v>
      </c>
      <c r="AD1761" s="350" t="e">
        <v>#DIV/0!</v>
      </c>
      <c r="AE1761" s="349">
        <v>0</v>
      </c>
      <c r="AF1761" s="349">
        <v>0</v>
      </c>
      <c r="AG1761" s="349">
        <v>0</v>
      </c>
      <c r="AH1761" s="351"/>
      <c r="AI1761" s="351">
        <v>1.6850000000000001</v>
      </c>
      <c r="AJ1761" s="351"/>
      <c r="AK1761" s="351"/>
      <c r="AL1761" s="352">
        <v>0</v>
      </c>
      <c r="AM1761" s="352" t="s">
        <v>20348</v>
      </c>
      <c r="AN1761" s="352">
        <v>0</v>
      </c>
      <c r="AO1761" s="352">
        <v>0</v>
      </c>
    </row>
    <row r="1762" spans="1:41" hidden="1">
      <c r="A1762" s="342" t="s">
        <v>292</v>
      </c>
      <c r="B1762" s="277" t="s">
        <v>292</v>
      </c>
      <c r="C1762" s="277">
        <v>0</v>
      </c>
      <c r="D1762" s="343" t="s">
        <v>19515</v>
      </c>
      <c r="E1762" s="277" t="s">
        <v>292</v>
      </c>
      <c r="F1762" s="618">
        <v>45562</v>
      </c>
      <c r="G1762" s="619">
        <v>2024</v>
      </c>
      <c r="H1762" s="383" t="s">
        <v>16444</v>
      </c>
      <c r="I1762" s="277" t="s">
        <v>16445</v>
      </c>
      <c r="J1762" s="277" t="s">
        <v>3</v>
      </c>
      <c r="K1762" s="278">
        <v>208000</v>
      </c>
      <c r="L1762" s="383">
        <v>1</v>
      </c>
      <c r="M1762" s="384">
        <v>208000</v>
      </c>
      <c r="N1762" s="277" t="s">
        <v>20155</v>
      </c>
      <c r="O1762" s="277" t="s">
        <v>17771</v>
      </c>
      <c r="P1762" s="890">
        <v>45568</v>
      </c>
      <c r="Q1762" s="347">
        <v>0</v>
      </c>
      <c r="R1762" s="347">
        <v>0</v>
      </c>
      <c r="S1762" s="347">
        <v>130000</v>
      </c>
      <c r="T1762" s="347">
        <v>0</v>
      </c>
      <c r="U1762" s="347">
        <v>130000</v>
      </c>
      <c r="V1762" s="348"/>
      <c r="W1762" s="349">
        <v>0</v>
      </c>
      <c r="X1762" s="349">
        <v>0</v>
      </c>
      <c r="Y1762" s="349">
        <v>208000</v>
      </c>
      <c r="Z1762" s="349">
        <v>0</v>
      </c>
      <c r="AA1762" s="350" t="e">
        <v>#DIV/0!</v>
      </c>
      <c r="AB1762" s="350" t="e">
        <v>#DIV/0!</v>
      </c>
      <c r="AC1762" s="350">
        <v>1.6</v>
      </c>
      <c r="AD1762" s="350" t="e">
        <v>#DIV/0!</v>
      </c>
      <c r="AE1762" s="349">
        <v>0</v>
      </c>
      <c r="AF1762" s="349">
        <v>0</v>
      </c>
      <c r="AG1762" s="349">
        <v>0</v>
      </c>
      <c r="AH1762" s="351"/>
      <c r="AI1762" s="351"/>
      <c r="AJ1762" s="351">
        <v>1.6</v>
      </c>
      <c r="AK1762" s="351"/>
      <c r="AL1762" s="352">
        <v>0</v>
      </c>
      <c r="AM1762" s="352">
        <v>0</v>
      </c>
      <c r="AN1762" s="352" t="s">
        <v>20347</v>
      </c>
      <c r="AO1762" s="352">
        <v>0</v>
      </c>
    </row>
    <row r="1763" spans="1:41" hidden="1">
      <c r="A1763" s="342" t="s">
        <v>293</v>
      </c>
      <c r="B1763" s="277" t="s">
        <v>293</v>
      </c>
      <c r="C1763" s="277">
        <v>0</v>
      </c>
      <c r="D1763" s="343" t="s">
        <v>19516</v>
      </c>
      <c r="E1763" s="277" t="s">
        <v>293</v>
      </c>
      <c r="F1763" s="618">
        <v>45562</v>
      </c>
      <c r="G1763" s="619">
        <v>2024</v>
      </c>
      <c r="H1763" s="383" t="s">
        <v>16384</v>
      </c>
      <c r="I1763" s="277" t="s">
        <v>16385</v>
      </c>
      <c r="J1763" s="277" t="s">
        <v>3</v>
      </c>
      <c r="K1763" s="278">
        <v>76896</v>
      </c>
      <c r="L1763" s="383">
        <v>1</v>
      </c>
      <c r="M1763" s="384">
        <v>76896</v>
      </c>
      <c r="N1763" s="277" t="s">
        <v>20155</v>
      </c>
      <c r="O1763" s="277" t="s">
        <v>18248</v>
      </c>
      <c r="P1763" s="890">
        <v>45567</v>
      </c>
      <c r="Q1763" s="347">
        <v>0</v>
      </c>
      <c r="R1763" s="347">
        <v>43200</v>
      </c>
      <c r="S1763" s="347">
        <v>0</v>
      </c>
      <c r="T1763" s="347">
        <v>0</v>
      </c>
      <c r="U1763" s="347">
        <v>43200</v>
      </c>
      <c r="V1763" s="348"/>
      <c r="W1763" s="349">
        <v>0</v>
      </c>
      <c r="X1763" s="349">
        <v>76896</v>
      </c>
      <c r="Y1763" s="349">
        <v>0</v>
      </c>
      <c r="Z1763" s="349">
        <v>0</v>
      </c>
      <c r="AA1763" s="350" t="e">
        <v>#DIV/0!</v>
      </c>
      <c r="AB1763" s="350">
        <v>1.78</v>
      </c>
      <c r="AC1763" s="350" t="e">
        <v>#DIV/0!</v>
      </c>
      <c r="AD1763" s="350" t="e">
        <v>#DIV/0!</v>
      </c>
      <c r="AE1763" s="349">
        <v>0</v>
      </c>
      <c r="AF1763" s="349">
        <v>0</v>
      </c>
      <c r="AG1763" s="349">
        <v>0</v>
      </c>
      <c r="AH1763" s="351"/>
      <c r="AI1763" s="351">
        <v>1.78</v>
      </c>
      <c r="AJ1763" s="351"/>
      <c r="AK1763" s="351"/>
      <c r="AL1763" s="352">
        <v>0</v>
      </c>
      <c r="AM1763" s="352" t="s">
        <v>20346</v>
      </c>
      <c r="AN1763" s="352">
        <v>0</v>
      </c>
      <c r="AO1763" s="352">
        <v>0</v>
      </c>
    </row>
    <row r="1764" spans="1:41" hidden="1">
      <c r="A1764" s="342" t="s">
        <v>294</v>
      </c>
      <c r="B1764" s="277" t="s">
        <v>294</v>
      </c>
      <c r="C1764" s="277">
        <v>0</v>
      </c>
      <c r="D1764" s="343" t="s">
        <v>19517</v>
      </c>
      <c r="E1764" s="277" t="s">
        <v>294</v>
      </c>
      <c r="F1764" s="618">
        <v>45567</v>
      </c>
      <c r="G1764" s="619">
        <v>2024</v>
      </c>
      <c r="H1764" s="383" t="s">
        <v>17156</v>
      </c>
      <c r="I1764" s="277" t="s">
        <v>17157</v>
      </c>
      <c r="J1764" s="277" t="s">
        <v>3</v>
      </c>
      <c r="K1764" s="278">
        <v>95530</v>
      </c>
      <c r="L1764" s="383">
        <v>1</v>
      </c>
      <c r="M1764" s="384">
        <v>95530</v>
      </c>
      <c r="N1764" s="277" t="s">
        <v>20155</v>
      </c>
      <c r="O1764" s="277" t="s">
        <v>20161</v>
      </c>
      <c r="P1764" s="890">
        <v>45572</v>
      </c>
      <c r="Q1764" s="347">
        <v>0</v>
      </c>
      <c r="R1764" s="347">
        <v>41000</v>
      </c>
      <c r="S1764" s="347">
        <v>0</v>
      </c>
      <c r="T1764" s="347">
        <v>0</v>
      </c>
      <c r="U1764" s="347">
        <v>41000</v>
      </c>
      <c r="V1764" s="348"/>
      <c r="W1764" s="349">
        <v>0</v>
      </c>
      <c r="X1764" s="349">
        <v>95530</v>
      </c>
      <c r="Y1764" s="349">
        <v>0</v>
      </c>
      <c r="Z1764" s="349">
        <v>0</v>
      </c>
      <c r="AA1764" s="350" t="e">
        <v>#DIV/0!</v>
      </c>
      <c r="AB1764" s="350">
        <v>2.33</v>
      </c>
      <c r="AC1764" s="350" t="e">
        <v>#DIV/0!</v>
      </c>
      <c r="AD1764" s="350" t="e">
        <v>#DIV/0!</v>
      </c>
      <c r="AE1764" s="349">
        <v>0</v>
      </c>
      <c r="AF1764" s="349">
        <v>0</v>
      </c>
      <c r="AG1764" s="349">
        <v>0</v>
      </c>
      <c r="AH1764" s="351"/>
      <c r="AI1764" s="351">
        <v>2.33</v>
      </c>
      <c r="AJ1764" s="351"/>
      <c r="AK1764" s="351"/>
      <c r="AL1764" s="352">
        <v>0</v>
      </c>
      <c r="AM1764" s="352">
        <v>1</v>
      </c>
      <c r="AN1764" s="352">
        <v>0</v>
      </c>
      <c r="AO1764" s="352">
        <v>0</v>
      </c>
    </row>
    <row r="1765" spans="1:41" hidden="1">
      <c r="A1765" s="342" t="s">
        <v>295</v>
      </c>
      <c r="B1765" s="277" t="s">
        <v>295</v>
      </c>
      <c r="C1765" s="277">
        <v>0</v>
      </c>
      <c r="D1765" s="343" t="s">
        <v>19518</v>
      </c>
      <c r="E1765" s="277" t="s">
        <v>295</v>
      </c>
      <c r="F1765" s="618">
        <v>45567</v>
      </c>
      <c r="G1765" s="619">
        <v>2024</v>
      </c>
      <c r="H1765" s="383" t="s">
        <v>16384</v>
      </c>
      <c r="I1765" s="277" t="s">
        <v>16385</v>
      </c>
      <c r="J1765" s="277" t="s">
        <v>3</v>
      </c>
      <c r="K1765" s="278">
        <v>76416</v>
      </c>
      <c r="L1765" s="383">
        <v>1</v>
      </c>
      <c r="M1765" s="384">
        <v>76416</v>
      </c>
      <c r="N1765" s="277" t="s">
        <v>20155</v>
      </c>
      <c r="O1765" s="277" t="s">
        <v>17965</v>
      </c>
      <c r="P1765" s="890">
        <v>45574</v>
      </c>
      <c r="Q1765" s="347">
        <v>38400</v>
      </c>
      <c r="R1765" s="347">
        <v>0</v>
      </c>
      <c r="S1765" s="347">
        <v>0</v>
      </c>
      <c r="T1765" s="347">
        <v>0</v>
      </c>
      <c r="U1765" s="347">
        <v>38400</v>
      </c>
      <c r="V1765" s="348"/>
      <c r="W1765" s="349">
        <v>76416</v>
      </c>
      <c r="X1765" s="349">
        <v>0</v>
      </c>
      <c r="Y1765" s="349">
        <v>0</v>
      </c>
      <c r="Z1765" s="349">
        <v>0</v>
      </c>
      <c r="AA1765" s="350">
        <v>1.99</v>
      </c>
      <c r="AB1765" s="350" t="e">
        <v>#DIV/0!</v>
      </c>
      <c r="AC1765" s="350" t="e">
        <v>#DIV/0!</v>
      </c>
      <c r="AD1765" s="350" t="e">
        <v>#DIV/0!</v>
      </c>
      <c r="AE1765" s="349">
        <v>0</v>
      </c>
      <c r="AF1765" s="349">
        <v>0</v>
      </c>
      <c r="AG1765" s="349">
        <v>0</v>
      </c>
      <c r="AH1765" s="351">
        <v>1.99</v>
      </c>
      <c r="AI1765" s="351"/>
      <c r="AJ1765" s="351"/>
      <c r="AK1765" s="351"/>
      <c r="AL1765" s="352" t="s">
        <v>20356</v>
      </c>
      <c r="AM1765" s="352">
        <v>0</v>
      </c>
      <c r="AN1765" s="352">
        <v>0</v>
      </c>
      <c r="AO1765" s="352">
        <v>0</v>
      </c>
    </row>
    <row r="1766" spans="1:41" hidden="1">
      <c r="A1766" s="342" t="s">
        <v>296</v>
      </c>
      <c r="B1766" s="277" t="s">
        <v>296</v>
      </c>
      <c r="C1766" s="277">
        <v>0</v>
      </c>
      <c r="D1766" s="343" t="s">
        <v>19519</v>
      </c>
      <c r="E1766" s="277" t="s">
        <v>296</v>
      </c>
      <c r="F1766" s="618">
        <v>45567</v>
      </c>
      <c r="G1766" s="619">
        <v>2024</v>
      </c>
      <c r="H1766" s="383" t="s">
        <v>16384</v>
      </c>
      <c r="I1766" s="277" t="s">
        <v>16385</v>
      </c>
      <c r="J1766" s="277" t="s">
        <v>3</v>
      </c>
      <c r="K1766" s="278">
        <v>130704</v>
      </c>
      <c r="L1766" s="383">
        <v>1</v>
      </c>
      <c r="M1766" s="384">
        <v>130704</v>
      </c>
      <c r="N1766" s="277" t="s">
        <v>20155</v>
      </c>
      <c r="O1766" s="277" t="s">
        <v>17777</v>
      </c>
      <c r="P1766" s="890">
        <v>45579</v>
      </c>
      <c r="Q1766" s="347">
        <v>0</v>
      </c>
      <c r="R1766" s="347">
        <v>65400</v>
      </c>
      <c r="S1766" s="347">
        <v>0</v>
      </c>
      <c r="T1766" s="347">
        <v>3000</v>
      </c>
      <c r="U1766" s="347">
        <v>68400</v>
      </c>
      <c r="V1766" s="348"/>
      <c r="W1766" s="349">
        <v>0</v>
      </c>
      <c r="X1766" s="349">
        <v>115104</v>
      </c>
      <c r="Y1766" s="349">
        <v>0</v>
      </c>
      <c r="Z1766" s="349">
        <v>15600</v>
      </c>
      <c r="AA1766" s="350" t="e">
        <v>#DIV/0!</v>
      </c>
      <c r="AB1766" s="350">
        <v>1.76</v>
      </c>
      <c r="AC1766" s="350" t="e">
        <v>#DIV/0!</v>
      </c>
      <c r="AD1766" s="350">
        <v>5.2</v>
      </c>
      <c r="AE1766" s="349">
        <v>0</v>
      </c>
      <c r="AF1766" s="349">
        <v>0</v>
      </c>
      <c r="AG1766" s="349">
        <v>0</v>
      </c>
      <c r="AH1766" s="351"/>
      <c r="AI1766" s="351">
        <v>1.76</v>
      </c>
      <c r="AJ1766" s="351"/>
      <c r="AK1766" s="351">
        <v>5.2</v>
      </c>
      <c r="AL1766" s="352">
        <v>0</v>
      </c>
      <c r="AM1766" s="352" t="s">
        <v>20346</v>
      </c>
      <c r="AN1766" s="352">
        <v>0</v>
      </c>
      <c r="AO1766" s="352">
        <v>1</v>
      </c>
    </row>
    <row r="1767" spans="1:41" hidden="1">
      <c r="A1767" s="342" t="s">
        <v>297</v>
      </c>
      <c r="B1767" s="277" t="s">
        <v>297</v>
      </c>
      <c r="C1767" s="277">
        <v>0</v>
      </c>
      <c r="D1767" s="343" t="s">
        <v>19520</v>
      </c>
      <c r="E1767" s="277" t="s">
        <v>297</v>
      </c>
      <c r="F1767" s="618">
        <v>45567</v>
      </c>
      <c r="G1767" s="619">
        <v>2024</v>
      </c>
      <c r="H1767" s="383" t="s">
        <v>17342</v>
      </c>
      <c r="I1767" s="277" t="s">
        <v>17343</v>
      </c>
      <c r="J1767" s="277" t="s">
        <v>16482</v>
      </c>
      <c r="K1767" s="278">
        <v>71585.474887500008</v>
      </c>
      <c r="L1767" s="383">
        <v>3.3787500000000001</v>
      </c>
      <c r="M1767" s="384">
        <v>21186.97</v>
      </c>
      <c r="N1767" s="277" t="s">
        <v>20155</v>
      </c>
      <c r="O1767" s="277" t="s">
        <v>16394</v>
      </c>
      <c r="P1767" s="890">
        <v>45569</v>
      </c>
      <c r="Q1767" s="347">
        <v>0</v>
      </c>
      <c r="R1767" s="347">
        <v>17568</v>
      </c>
      <c r="S1767" s="347">
        <v>3600</v>
      </c>
      <c r="T1767" s="347">
        <v>2800</v>
      </c>
      <c r="U1767" s="347">
        <v>23968</v>
      </c>
      <c r="V1767" s="348"/>
      <c r="W1767" s="349">
        <v>0</v>
      </c>
      <c r="X1767" s="349">
        <v>47012.219055901202</v>
      </c>
      <c r="Y1767" s="349">
        <v>9769.7264479305741</v>
      </c>
      <c r="Z1767" s="349">
        <v>14803.522626168224</v>
      </c>
      <c r="AA1767" s="350" t="e">
        <v>#DIV/0!</v>
      </c>
      <c r="AB1767" s="350">
        <v>2.6760142905226094</v>
      </c>
      <c r="AC1767" s="350">
        <v>2.7138129022029371</v>
      </c>
      <c r="AD1767" s="350">
        <v>5.2869723664886514</v>
      </c>
      <c r="AE1767" s="349">
        <v>1809.7439999999999</v>
      </c>
      <c r="AF1767" s="349">
        <v>12064.96</v>
      </c>
      <c r="AG1767" s="349">
        <v>0.5033778371161548</v>
      </c>
      <c r="AH1767" s="351"/>
      <c r="AI1767" s="351">
        <v>2.1726364534064544</v>
      </c>
      <c r="AJ1767" s="351">
        <v>2.2104350650867826</v>
      </c>
      <c r="AK1767" s="351">
        <v>4.7835945293724969</v>
      </c>
      <c r="AL1767" s="352">
        <v>0</v>
      </c>
      <c r="AM1767" s="352">
        <v>1</v>
      </c>
      <c r="AN1767" s="352">
        <v>1</v>
      </c>
      <c r="AO1767" s="352">
        <v>1</v>
      </c>
    </row>
    <row r="1768" spans="1:41" hidden="1">
      <c r="A1768" s="342" t="s">
        <v>298</v>
      </c>
      <c r="B1768" s="277" t="s">
        <v>298</v>
      </c>
      <c r="C1768" s="277">
        <v>0</v>
      </c>
      <c r="D1768" s="343" t="s">
        <v>19521</v>
      </c>
      <c r="E1768" s="277" t="s">
        <v>298</v>
      </c>
      <c r="F1768" s="618">
        <v>45572</v>
      </c>
      <c r="G1768" s="619">
        <v>2024</v>
      </c>
      <c r="H1768" s="383" t="s">
        <v>17259</v>
      </c>
      <c r="I1768" s="277" t="s">
        <v>17260</v>
      </c>
      <c r="J1768" s="277" t="s">
        <v>16401</v>
      </c>
      <c r="K1768" s="278">
        <v>138266.21899999998</v>
      </c>
      <c r="L1768" s="383">
        <v>3.0718999999999999</v>
      </c>
      <c r="M1768" s="384">
        <v>45010</v>
      </c>
      <c r="N1768" s="277" t="s">
        <v>20155</v>
      </c>
      <c r="O1768" s="277" t="s">
        <v>17261</v>
      </c>
      <c r="P1768" s="890">
        <v>45575</v>
      </c>
      <c r="Q1768" s="347">
        <v>0</v>
      </c>
      <c r="R1768" s="347">
        <v>55400</v>
      </c>
      <c r="S1768" s="347">
        <v>0</v>
      </c>
      <c r="T1768" s="347">
        <v>1000</v>
      </c>
      <c r="U1768" s="347">
        <v>56400</v>
      </c>
      <c r="V1768" s="348"/>
      <c r="W1768" s="349">
        <v>0</v>
      </c>
      <c r="X1768" s="349">
        <v>121071.09535106384</v>
      </c>
      <c r="Y1768" s="349">
        <v>0</v>
      </c>
      <c r="Z1768" s="349">
        <v>17195.123648936173</v>
      </c>
      <c r="AA1768" s="350" t="e">
        <v>#DIV/0!</v>
      </c>
      <c r="AB1768" s="350">
        <v>2.1853988330516936</v>
      </c>
      <c r="AC1768" s="350" t="e">
        <v>#DIV/0!</v>
      </c>
      <c r="AD1768" s="350">
        <v>17.195123648936171</v>
      </c>
      <c r="AE1768" s="349">
        <v>6945.0375000000004</v>
      </c>
      <c r="AF1768" s="349">
        <v>32196.115000000002</v>
      </c>
      <c r="AG1768" s="349">
        <v>0.57085310283687951</v>
      </c>
      <c r="AH1768" s="351"/>
      <c r="AI1768" s="351">
        <v>1.6145457302148141</v>
      </c>
      <c r="AJ1768" s="351"/>
      <c r="AK1768" s="351">
        <v>16.624270546099293</v>
      </c>
      <c r="AL1768" s="352">
        <v>0</v>
      </c>
      <c r="AM1768" s="352" t="s">
        <v>20348</v>
      </c>
      <c r="AN1768" s="352">
        <v>0</v>
      </c>
      <c r="AO1768" s="352">
        <v>1</v>
      </c>
    </row>
    <row r="1769" spans="1:41" hidden="1">
      <c r="A1769" s="342" t="s">
        <v>299</v>
      </c>
      <c r="B1769" s="277" t="s">
        <v>299</v>
      </c>
      <c r="C1769" s="277">
        <v>0</v>
      </c>
      <c r="D1769" s="343" t="s">
        <v>19522</v>
      </c>
      <c r="E1769" s="277" t="s">
        <v>299</v>
      </c>
      <c r="F1769" s="618">
        <v>45572</v>
      </c>
      <c r="G1769" s="619">
        <v>2024</v>
      </c>
      <c r="H1769" s="383" t="s">
        <v>16957</v>
      </c>
      <c r="I1769" s="277" t="s">
        <v>16958</v>
      </c>
      <c r="J1769" s="277" t="s">
        <v>16401</v>
      </c>
      <c r="K1769" s="278">
        <v>48965.306000000004</v>
      </c>
      <c r="L1769" s="383">
        <v>3.0760000000000001</v>
      </c>
      <c r="M1769" s="384">
        <v>15918.5</v>
      </c>
      <c r="N1769" s="277" t="s">
        <v>20155</v>
      </c>
      <c r="O1769" s="277" t="s">
        <v>20161</v>
      </c>
      <c r="P1769" s="890">
        <v>45575</v>
      </c>
      <c r="Q1769" s="347">
        <v>20150</v>
      </c>
      <c r="R1769" s="347">
        <v>0</v>
      </c>
      <c r="S1769" s="347">
        <v>0</v>
      </c>
      <c r="T1769" s="347">
        <v>0</v>
      </c>
      <c r="U1769" s="347">
        <v>20150</v>
      </c>
      <c r="V1769" s="348"/>
      <c r="W1769" s="349">
        <v>48965.306000000004</v>
      </c>
      <c r="X1769" s="349">
        <v>0</v>
      </c>
      <c r="Y1769" s="349">
        <v>0</v>
      </c>
      <c r="Z1769" s="349">
        <v>0</v>
      </c>
      <c r="AA1769" s="350">
        <v>2.4300400000000004</v>
      </c>
      <c r="AB1769" s="350" t="e">
        <v>#DIV/0!</v>
      </c>
      <c r="AC1769" s="350" t="e">
        <v>#DIV/0!</v>
      </c>
      <c r="AD1769" s="350" t="e">
        <v>#DIV/0!</v>
      </c>
      <c r="AE1769" s="349">
        <v>871.07249999999988</v>
      </c>
      <c r="AF1769" s="349">
        <v>7360.8149999999996</v>
      </c>
      <c r="AG1769" s="349">
        <v>0.36530099255583126</v>
      </c>
      <c r="AH1769" s="351">
        <v>2.0647390074441692</v>
      </c>
      <c r="AI1769" s="351"/>
      <c r="AJ1769" s="351"/>
      <c r="AK1769" s="351"/>
      <c r="AL1769" s="352">
        <v>1</v>
      </c>
      <c r="AM1769" s="352">
        <v>0</v>
      </c>
      <c r="AN1769" s="352">
        <v>0</v>
      </c>
      <c r="AO1769" s="352">
        <v>0</v>
      </c>
    </row>
    <row r="1770" spans="1:41" hidden="1">
      <c r="A1770" s="342" t="s">
        <v>300</v>
      </c>
      <c r="B1770" s="277" t="s">
        <v>300</v>
      </c>
      <c r="C1770" s="277">
        <v>0</v>
      </c>
      <c r="D1770" s="343" t="s">
        <v>19523</v>
      </c>
      <c r="E1770" s="277" t="s">
        <v>300</v>
      </c>
      <c r="F1770" s="618">
        <v>45572</v>
      </c>
      <c r="G1770" s="619">
        <v>2024</v>
      </c>
      <c r="H1770" s="383" t="s">
        <v>17276</v>
      </c>
      <c r="I1770" s="277" t="s">
        <v>17277</v>
      </c>
      <c r="J1770" s="277" t="s">
        <v>16482</v>
      </c>
      <c r="K1770" s="278">
        <v>63685.209599999995</v>
      </c>
      <c r="L1770" s="383">
        <v>3.3727999999999998</v>
      </c>
      <c r="M1770" s="384">
        <v>18882</v>
      </c>
      <c r="N1770" s="277" t="s">
        <v>20155</v>
      </c>
      <c r="O1770" s="277" t="s">
        <v>20297</v>
      </c>
      <c r="P1770" s="890">
        <v>45581</v>
      </c>
      <c r="Q1770" s="347">
        <v>0</v>
      </c>
      <c r="R1770" s="347">
        <v>27600</v>
      </c>
      <c r="S1770" s="347">
        <v>0</v>
      </c>
      <c r="T1770" s="347">
        <v>0</v>
      </c>
      <c r="U1770" s="347">
        <v>27600</v>
      </c>
      <c r="V1770" s="348"/>
      <c r="W1770" s="349">
        <v>0</v>
      </c>
      <c r="X1770" s="349">
        <v>59253.350399999988</v>
      </c>
      <c r="Y1770" s="349">
        <v>0</v>
      </c>
      <c r="Z1770" s="349">
        <v>4431.8591999999999</v>
      </c>
      <c r="AA1770" s="350" t="e">
        <v>#DIV/0!</v>
      </c>
      <c r="AB1770" s="350">
        <v>2.1468605217391299</v>
      </c>
      <c r="AC1770" s="350" t="e">
        <v>#DIV/0!</v>
      </c>
      <c r="AD1770" s="350" t="e">
        <v>#DIV/0!</v>
      </c>
      <c r="AE1770" s="349">
        <v>1810.675</v>
      </c>
      <c r="AF1770" s="349">
        <v>8990.6149999999998</v>
      </c>
      <c r="AG1770" s="349">
        <v>0.32574692028985508</v>
      </c>
      <c r="AH1770" s="351"/>
      <c r="AI1770" s="351">
        <v>1.8211136014492748</v>
      </c>
      <c r="AJ1770" s="351"/>
      <c r="AK1770" s="351"/>
      <c r="AL1770" s="352">
        <v>0</v>
      </c>
      <c r="AM1770" s="352" t="s">
        <v>20346</v>
      </c>
      <c r="AN1770" s="352">
        <v>0</v>
      </c>
      <c r="AO1770" s="352">
        <v>0</v>
      </c>
    </row>
    <row r="1771" spans="1:41" hidden="1">
      <c r="A1771" s="342" t="s">
        <v>301</v>
      </c>
      <c r="B1771" s="277" t="s">
        <v>301</v>
      </c>
      <c r="C1771" s="277">
        <v>0</v>
      </c>
      <c r="D1771" s="343" t="s">
        <v>19524</v>
      </c>
      <c r="E1771" s="277" t="s">
        <v>301</v>
      </c>
      <c r="F1771" s="618">
        <v>45572</v>
      </c>
      <c r="G1771" s="619">
        <v>2024</v>
      </c>
      <c r="H1771" s="383" t="s">
        <v>16880</v>
      </c>
      <c r="I1771" s="277" t="s">
        <v>16881</v>
      </c>
      <c r="J1771" s="277" t="s">
        <v>16401</v>
      </c>
      <c r="K1771" s="278">
        <v>79993.457391000004</v>
      </c>
      <c r="L1771" s="383">
        <v>3.0819000000000001</v>
      </c>
      <c r="M1771" s="384">
        <v>25955.89</v>
      </c>
      <c r="N1771" s="277" t="s">
        <v>20155</v>
      </c>
      <c r="O1771" s="277" t="s">
        <v>20379</v>
      </c>
      <c r="P1771" s="890">
        <v>45581</v>
      </c>
      <c r="Q1771" s="347">
        <v>5500</v>
      </c>
      <c r="R1771" s="347">
        <v>13800</v>
      </c>
      <c r="S1771" s="347">
        <v>0</v>
      </c>
      <c r="T1771" s="347">
        <v>0</v>
      </c>
      <c r="U1771" s="347">
        <v>19300</v>
      </c>
      <c r="V1771" s="348"/>
      <c r="W1771" s="349">
        <v>18174.395766000001</v>
      </c>
      <c r="X1771" s="349">
        <v>61819.061624999995</v>
      </c>
      <c r="Y1771" s="349">
        <v>0</v>
      </c>
      <c r="Z1771" s="349">
        <v>0</v>
      </c>
      <c r="AA1771" s="350">
        <v>3.304435593818182</v>
      </c>
      <c r="AB1771" s="350">
        <v>4.4796421467391303</v>
      </c>
      <c r="AC1771" s="350" t="e">
        <v>#DIV/0!</v>
      </c>
      <c r="AD1771" s="350" t="e">
        <v>#DIV/0!</v>
      </c>
      <c r="AE1771" s="349">
        <v>0</v>
      </c>
      <c r="AF1771" s="349">
        <v>2381.37</v>
      </c>
      <c r="AG1771" s="349">
        <v>0.12338704663212435</v>
      </c>
      <c r="AH1771" s="351">
        <v>3.1810485471860575</v>
      </c>
      <c r="AI1771" s="351">
        <v>4.3562551001070062</v>
      </c>
      <c r="AJ1771" s="351"/>
      <c r="AK1771" s="351"/>
      <c r="AL1771" s="352">
        <v>0</v>
      </c>
      <c r="AM1771" s="352">
        <v>1</v>
      </c>
      <c r="AN1771" s="352">
        <v>0</v>
      </c>
      <c r="AO1771" s="352">
        <v>0</v>
      </c>
    </row>
    <row r="1772" spans="1:41" hidden="1">
      <c r="A1772" s="342" t="s">
        <v>302</v>
      </c>
      <c r="B1772" s="277" t="s">
        <v>302</v>
      </c>
      <c r="C1772" s="277">
        <v>0</v>
      </c>
      <c r="D1772" s="343" t="s">
        <v>19525</v>
      </c>
      <c r="E1772" s="277" t="s">
        <v>302</v>
      </c>
      <c r="F1772" s="618">
        <v>45572</v>
      </c>
      <c r="G1772" s="619">
        <v>2024</v>
      </c>
      <c r="H1772" s="383" t="s">
        <v>17309</v>
      </c>
      <c r="I1772" s="277" t="s">
        <v>17310</v>
      </c>
      <c r="J1772" s="277" t="s">
        <v>3</v>
      </c>
      <c r="K1772" s="278">
        <v>644220</v>
      </c>
      <c r="L1772" s="383">
        <v>1</v>
      </c>
      <c r="M1772" s="384">
        <v>644220</v>
      </c>
      <c r="N1772" s="277" t="s">
        <v>20155</v>
      </c>
      <c r="O1772" s="277" t="s">
        <v>20321</v>
      </c>
      <c r="P1772" s="890">
        <v>45590</v>
      </c>
      <c r="Q1772" s="347">
        <v>132000</v>
      </c>
      <c r="R1772" s="347">
        <v>30000</v>
      </c>
      <c r="S1772" s="347">
        <v>210000</v>
      </c>
      <c r="T1772" s="347">
        <v>0</v>
      </c>
      <c r="U1772" s="347">
        <v>372000</v>
      </c>
      <c r="V1772" s="348"/>
      <c r="W1772" s="349">
        <v>259320</v>
      </c>
      <c r="X1772" s="349">
        <v>48900</v>
      </c>
      <c r="Y1772" s="349">
        <v>336000</v>
      </c>
      <c r="Z1772" s="349">
        <v>0</v>
      </c>
      <c r="AA1772" s="350">
        <v>1.9645454545454546</v>
      </c>
      <c r="AB1772" s="350">
        <v>1.63</v>
      </c>
      <c r="AC1772" s="350">
        <v>1.6</v>
      </c>
      <c r="AD1772" s="350" t="e">
        <v>#DIV/0!</v>
      </c>
      <c r="AE1772" s="349">
        <v>0</v>
      </c>
      <c r="AF1772" s="349">
        <v>0</v>
      </c>
      <c r="AG1772" s="349">
        <v>0</v>
      </c>
      <c r="AH1772" s="351">
        <v>1.9645454545454546</v>
      </c>
      <c r="AI1772" s="351">
        <v>1.63</v>
      </c>
      <c r="AJ1772" s="351">
        <v>1.6</v>
      </c>
      <c r="AK1772" s="351"/>
      <c r="AL1772" s="352">
        <v>0</v>
      </c>
      <c r="AM1772" s="352" t="s">
        <v>20348</v>
      </c>
      <c r="AN1772" s="352" t="s">
        <v>20347</v>
      </c>
      <c r="AO1772" s="352">
        <v>0</v>
      </c>
    </row>
    <row r="1773" spans="1:41" hidden="1">
      <c r="A1773" s="342" t="s">
        <v>303</v>
      </c>
      <c r="B1773" s="277" t="s">
        <v>303</v>
      </c>
      <c r="C1773" s="277">
        <v>0</v>
      </c>
      <c r="D1773" s="343" t="s">
        <v>19526</v>
      </c>
      <c r="E1773" s="277" t="s">
        <v>303</v>
      </c>
      <c r="F1773" s="618">
        <v>45572</v>
      </c>
      <c r="G1773" s="619">
        <v>2024</v>
      </c>
      <c r="H1773" s="383" t="s">
        <v>16972</v>
      </c>
      <c r="I1773" s="277" t="s">
        <v>16973</v>
      </c>
      <c r="J1773" s="277" t="s">
        <v>3</v>
      </c>
      <c r="K1773" s="278">
        <v>398750</v>
      </c>
      <c r="L1773" s="383">
        <v>1</v>
      </c>
      <c r="M1773" s="384">
        <v>398750</v>
      </c>
      <c r="N1773" s="277" t="s">
        <v>20155</v>
      </c>
      <c r="O1773" s="277" t="s">
        <v>17801</v>
      </c>
      <c r="P1773" s="890">
        <v>45582</v>
      </c>
      <c r="Q1773" s="347">
        <v>0</v>
      </c>
      <c r="R1773" s="347">
        <v>0</v>
      </c>
      <c r="S1773" s="347">
        <v>275000</v>
      </c>
      <c r="T1773" s="347">
        <v>0</v>
      </c>
      <c r="U1773" s="347">
        <v>275000</v>
      </c>
      <c r="V1773" s="348"/>
      <c r="W1773" s="349">
        <v>0</v>
      </c>
      <c r="X1773" s="349">
        <v>0</v>
      </c>
      <c r="Y1773" s="349">
        <v>398750</v>
      </c>
      <c r="Z1773" s="349">
        <v>0</v>
      </c>
      <c r="AA1773" s="350" t="e">
        <v>#DIV/0!</v>
      </c>
      <c r="AB1773" s="350" t="e">
        <v>#DIV/0!</v>
      </c>
      <c r="AC1773" s="350">
        <v>1.45</v>
      </c>
      <c r="AD1773" s="350" t="e">
        <v>#DIV/0!</v>
      </c>
      <c r="AE1773" s="349">
        <v>0</v>
      </c>
      <c r="AF1773" s="349">
        <v>0</v>
      </c>
      <c r="AG1773" s="349">
        <v>0</v>
      </c>
      <c r="AH1773" s="351"/>
      <c r="AI1773" s="351"/>
      <c r="AJ1773" s="351">
        <v>1.45</v>
      </c>
      <c r="AK1773" s="351"/>
      <c r="AL1773" s="352">
        <v>0</v>
      </c>
      <c r="AM1773" s="352">
        <v>0</v>
      </c>
      <c r="AN1773" s="352" t="s">
        <v>20347</v>
      </c>
      <c r="AO1773" s="352">
        <v>0</v>
      </c>
    </row>
    <row r="1774" spans="1:41" hidden="1">
      <c r="A1774" s="342" t="s">
        <v>304</v>
      </c>
      <c r="B1774" s="277" t="s">
        <v>304</v>
      </c>
      <c r="C1774" s="277">
        <v>0</v>
      </c>
      <c r="D1774" s="343" t="s">
        <v>19527</v>
      </c>
      <c r="E1774" s="277" t="s">
        <v>304</v>
      </c>
      <c r="F1774" s="618">
        <v>45574</v>
      </c>
      <c r="G1774" s="619">
        <v>2024</v>
      </c>
      <c r="H1774" s="383" t="s">
        <v>17379</v>
      </c>
      <c r="I1774" s="277" t="s">
        <v>17380</v>
      </c>
      <c r="J1774" s="277" t="s">
        <v>3</v>
      </c>
      <c r="K1774" s="278">
        <v>153920</v>
      </c>
      <c r="L1774" s="383">
        <v>1</v>
      </c>
      <c r="M1774" s="384">
        <v>153920</v>
      </c>
      <c r="N1774" s="277" t="s">
        <v>20155</v>
      </c>
      <c r="O1774" s="277" t="s">
        <v>20159</v>
      </c>
      <c r="P1774" s="890">
        <v>45588</v>
      </c>
      <c r="Q1774" s="347">
        <v>0</v>
      </c>
      <c r="R1774" s="347">
        <v>0</v>
      </c>
      <c r="S1774" s="347">
        <v>104000</v>
      </c>
      <c r="T1774" s="347">
        <v>0</v>
      </c>
      <c r="U1774" s="347">
        <v>104000</v>
      </c>
      <c r="V1774" s="348"/>
      <c r="W1774" s="349">
        <v>0</v>
      </c>
      <c r="X1774" s="349">
        <v>0</v>
      </c>
      <c r="Y1774" s="349">
        <v>153920</v>
      </c>
      <c r="Z1774" s="349">
        <v>0</v>
      </c>
      <c r="AA1774" s="350" t="e">
        <v>#DIV/0!</v>
      </c>
      <c r="AB1774" s="350" t="e">
        <v>#DIV/0!</v>
      </c>
      <c r="AC1774" s="350">
        <v>1.48</v>
      </c>
      <c r="AD1774" s="350" t="e">
        <v>#DIV/0!</v>
      </c>
      <c r="AE1774" s="349">
        <v>0</v>
      </c>
      <c r="AF1774" s="349">
        <v>0</v>
      </c>
      <c r="AG1774" s="349">
        <v>0</v>
      </c>
      <c r="AH1774" s="351"/>
      <c r="AI1774" s="351"/>
      <c r="AJ1774" s="351">
        <v>1.48</v>
      </c>
      <c r="AK1774" s="351"/>
      <c r="AL1774" s="352">
        <v>0</v>
      </c>
      <c r="AM1774" s="352">
        <v>0</v>
      </c>
      <c r="AN1774" s="352" t="s">
        <v>20347</v>
      </c>
      <c r="AO1774" s="352">
        <v>0</v>
      </c>
    </row>
    <row r="1775" spans="1:41" hidden="1">
      <c r="A1775" s="342" t="s">
        <v>305</v>
      </c>
      <c r="B1775" s="277" t="s">
        <v>305</v>
      </c>
      <c r="C1775" s="277">
        <v>0</v>
      </c>
      <c r="D1775" s="343" t="s">
        <v>19528</v>
      </c>
      <c r="E1775" s="277" t="s">
        <v>305</v>
      </c>
      <c r="F1775" s="618">
        <v>45575</v>
      </c>
      <c r="G1775" s="619">
        <v>2024</v>
      </c>
      <c r="H1775" s="383" t="s">
        <v>16783</v>
      </c>
      <c r="I1775" s="277" t="s">
        <v>16784</v>
      </c>
      <c r="J1775" s="277" t="s">
        <v>16401</v>
      </c>
      <c r="K1775" s="278">
        <v>857624.32504799997</v>
      </c>
      <c r="L1775" s="383">
        <v>3.0853999999999999</v>
      </c>
      <c r="M1775" s="384">
        <v>277962.12</v>
      </c>
      <c r="N1775" s="277" t="s">
        <v>20155</v>
      </c>
      <c r="O1775" s="277" t="s">
        <v>17939</v>
      </c>
      <c r="P1775" s="890">
        <v>45581</v>
      </c>
      <c r="Q1775" s="347">
        <v>20532</v>
      </c>
      <c r="R1775" s="347">
        <v>35000</v>
      </c>
      <c r="S1775" s="347">
        <v>48900</v>
      </c>
      <c r="T1775" s="347">
        <v>83000</v>
      </c>
      <c r="U1775" s="347">
        <v>187432</v>
      </c>
      <c r="V1775" s="348"/>
      <c r="W1775" s="349">
        <v>73485.342047999991</v>
      </c>
      <c r="X1775" s="349">
        <v>0</v>
      </c>
      <c r="Y1775" s="349">
        <v>0</v>
      </c>
      <c r="Z1775" s="349">
        <v>784138.98300000012</v>
      </c>
      <c r="AA1775" s="350">
        <v>3.5790639999999994</v>
      </c>
      <c r="AB1775" s="350">
        <v>0</v>
      </c>
      <c r="AC1775" s="350">
        <v>0</v>
      </c>
      <c r="AD1775" s="350">
        <v>9.4474576265060257</v>
      </c>
      <c r="AE1775" s="349">
        <v>0</v>
      </c>
      <c r="AF1775" s="349">
        <v>0</v>
      </c>
      <c r="AG1775" s="349">
        <v>0</v>
      </c>
      <c r="AH1775" s="351">
        <v>3.5790639999999994</v>
      </c>
      <c r="AI1775" s="351">
        <v>0</v>
      </c>
      <c r="AJ1775" s="351">
        <v>0</v>
      </c>
      <c r="AK1775" s="351">
        <v>9.4474576265060257</v>
      </c>
      <c r="AL1775" s="352" t="s">
        <v>20356</v>
      </c>
      <c r="AM1775" s="352" t="s">
        <v>20345</v>
      </c>
      <c r="AN1775" s="352" t="s">
        <v>20345</v>
      </c>
      <c r="AO1775" s="352">
        <v>1</v>
      </c>
    </row>
    <row r="1776" spans="1:41" hidden="1">
      <c r="A1776" s="342" t="s">
        <v>306</v>
      </c>
      <c r="B1776" s="277" t="s">
        <v>306</v>
      </c>
      <c r="C1776" s="277">
        <v>0</v>
      </c>
      <c r="D1776" s="343" t="s">
        <v>19529</v>
      </c>
      <c r="E1776" s="277" t="s">
        <v>306</v>
      </c>
      <c r="F1776" s="618">
        <v>45575</v>
      </c>
      <c r="G1776" s="619">
        <v>2024</v>
      </c>
      <c r="H1776" s="383" t="s">
        <v>17386</v>
      </c>
      <c r="I1776" s="277" t="s">
        <v>17387</v>
      </c>
      <c r="J1776" s="277" t="s">
        <v>3</v>
      </c>
      <c r="K1776" s="278">
        <v>80340</v>
      </c>
      <c r="L1776" s="383">
        <v>1</v>
      </c>
      <c r="M1776" s="384">
        <v>80340</v>
      </c>
      <c r="N1776" s="277" t="s">
        <v>20155</v>
      </c>
      <c r="O1776" s="277" t="s">
        <v>20195</v>
      </c>
      <c r="P1776" s="890">
        <v>45651</v>
      </c>
      <c r="Q1776" s="347">
        <v>0</v>
      </c>
      <c r="R1776" s="347">
        <v>0</v>
      </c>
      <c r="S1776" s="347">
        <v>52000</v>
      </c>
      <c r="T1776" s="347">
        <v>0</v>
      </c>
      <c r="U1776" s="347">
        <v>52000</v>
      </c>
      <c r="V1776" s="348"/>
      <c r="W1776" s="349">
        <v>0</v>
      </c>
      <c r="X1776" s="349">
        <v>0</v>
      </c>
      <c r="Y1776" s="349">
        <v>79300</v>
      </c>
      <c r="Z1776" s="349">
        <v>0</v>
      </c>
      <c r="AA1776" s="350" t="e">
        <v>#DIV/0!</v>
      </c>
      <c r="AB1776" s="350" t="e">
        <v>#DIV/0!</v>
      </c>
      <c r="AC1776" s="350">
        <v>1.5249999999999999</v>
      </c>
      <c r="AD1776" s="350" t="e">
        <v>#DIV/0!</v>
      </c>
      <c r="AE1776" s="349">
        <v>0</v>
      </c>
      <c r="AF1776" s="349">
        <v>0</v>
      </c>
      <c r="AG1776" s="349">
        <v>0</v>
      </c>
      <c r="AH1776" s="351"/>
      <c r="AI1776" s="351"/>
      <c r="AJ1776" s="351">
        <v>1.5249999999999999</v>
      </c>
      <c r="AK1776" s="351"/>
      <c r="AL1776" s="352">
        <v>0</v>
      </c>
      <c r="AM1776" s="352">
        <v>0</v>
      </c>
      <c r="AN1776" s="352" t="s">
        <v>20347</v>
      </c>
      <c r="AO1776" s="352">
        <v>0</v>
      </c>
    </row>
    <row r="1777" spans="1:41" hidden="1">
      <c r="A1777" s="342" t="s">
        <v>307</v>
      </c>
      <c r="B1777" s="277" t="s">
        <v>307</v>
      </c>
      <c r="C1777" s="277">
        <v>0</v>
      </c>
      <c r="D1777" s="343" t="s">
        <v>19531</v>
      </c>
      <c r="E1777" s="277" t="s">
        <v>307</v>
      </c>
      <c r="F1777" s="618">
        <v>45575</v>
      </c>
      <c r="G1777" s="619">
        <v>2024</v>
      </c>
      <c r="H1777" s="383" t="s">
        <v>17342</v>
      </c>
      <c r="I1777" s="277" t="s">
        <v>17343</v>
      </c>
      <c r="J1777" s="277" t="s">
        <v>16482</v>
      </c>
      <c r="K1777" s="278">
        <v>61897.558045000005</v>
      </c>
      <c r="L1777" s="383">
        <v>3.3735499999999998</v>
      </c>
      <c r="M1777" s="384">
        <v>18347.900000000001</v>
      </c>
      <c r="N1777" s="277" t="s">
        <v>20155</v>
      </c>
      <c r="O1777" s="277" t="s">
        <v>16394</v>
      </c>
      <c r="P1777" s="890">
        <v>45569</v>
      </c>
      <c r="Q1777" s="347">
        <v>1600</v>
      </c>
      <c r="R1777" s="347">
        <v>18264</v>
      </c>
      <c r="S1777" s="347">
        <v>2400</v>
      </c>
      <c r="T1777" s="347">
        <v>0</v>
      </c>
      <c r="U1777" s="347">
        <v>22264</v>
      </c>
      <c r="V1777" s="348"/>
      <c r="W1777" s="349">
        <v>4440.6498073445928</v>
      </c>
      <c r="X1777" s="349">
        <v>49481.045184438524</v>
      </c>
      <c r="Y1777" s="349">
        <v>6596.2025510168887</v>
      </c>
      <c r="Z1777" s="349">
        <v>1379.6470079999999</v>
      </c>
      <c r="AA1777" s="350">
        <v>2.7754061295903707</v>
      </c>
      <c r="AB1777" s="350">
        <v>2.7092118475929983</v>
      </c>
      <c r="AC1777" s="350">
        <v>2.7484177295903702</v>
      </c>
      <c r="AD1777" s="350" t="e">
        <v>#DIV/0!</v>
      </c>
      <c r="AE1777" s="349">
        <v>1815.1439999999998</v>
      </c>
      <c r="AF1777" s="349">
        <v>12100.96</v>
      </c>
      <c r="AG1777" s="349">
        <v>0.54352137980596471</v>
      </c>
      <c r="AH1777" s="351">
        <v>2.2318847497844061</v>
      </c>
      <c r="AI1777" s="351">
        <v>2.1656904677870337</v>
      </c>
      <c r="AJ1777" s="351">
        <v>2.2048963497844056</v>
      </c>
      <c r="AK1777" s="351"/>
      <c r="AL1777" s="352">
        <v>1</v>
      </c>
      <c r="AM1777" s="352">
        <v>1</v>
      </c>
      <c r="AN1777" s="352">
        <v>1</v>
      </c>
      <c r="AO1777" s="352">
        <v>0</v>
      </c>
    </row>
    <row r="1778" spans="1:41" hidden="1">
      <c r="A1778" s="342" t="s">
        <v>308</v>
      </c>
      <c r="B1778" s="277" t="s">
        <v>308</v>
      </c>
      <c r="C1778" s="277">
        <v>0</v>
      </c>
      <c r="D1778" s="343" t="s">
        <v>19532</v>
      </c>
      <c r="E1778" s="277" t="s">
        <v>308</v>
      </c>
      <c r="F1778" s="618">
        <v>45579</v>
      </c>
      <c r="G1778" s="619">
        <v>2024</v>
      </c>
      <c r="H1778" s="383" t="s">
        <v>16904</v>
      </c>
      <c r="I1778" s="277" t="s">
        <v>16905</v>
      </c>
      <c r="J1778" s="277" t="s">
        <v>16482</v>
      </c>
      <c r="K1778" s="278">
        <v>69309.00585999999</v>
      </c>
      <c r="L1778" s="383">
        <v>3.3678499999999998</v>
      </c>
      <c r="M1778" s="384">
        <v>20579.599999999999</v>
      </c>
      <c r="N1778" s="277" t="s">
        <v>20155</v>
      </c>
      <c r="O1778" s="277" t="s">
        <v>20160</v>
      </c>
      <c r="P1778" s="890">
        <v>45583</v>
      </c>
      <c r="Q1778" s="347">
        <v>0</v>
      </c>
      <c r="R1778" s="347">
        <v>22680</v>
      </c>
      <c r="S1778" s="347">
        <v>0</v>
      </c>
      <c r="T1778" s="347">
        <v>0</v>
      </c>
      <c r="U1778" s="347">
        <v>22680</v>
      </c>
      <c r="V1778" s="348"/>
      <c r="W1778" s="349">
        <v>0</v>
      </c>
      <c r="X1778" s="349">
        <v>69309.005860000005</v>
      </c>
      <c r="Y1778" s="349">
        <v>0</v>
      </c>
      <c r="Z1778" s="349">
        <v>0</v>
      </c>
      <c r="AA1778" s="350" t="e">
        <v>#DIV/0!</v>
      </c>
      <c r="AB1778" s="350">
        <v>3.055952639329806</v>
      </c>
      <c r="AC1778" s="350" t="e">
        <v>#DIV/0!</v>
      </c>
      <c r="AD1778" s="350" t="e">
        <v>#DIV/0!</v>
      </c>
      <c r="AE1778" s="349">
        <v>3796.8</v>
      </c>
      <c r="AF1778" s="349">
        <v>18351.61</v>
      </c>
      <c r="AG1778" s="349">
        <v>0.80915388007054678</v>
      </c>
      <c r="AH1778" s="351"/>
      <c r="AI1778" s="351">
        <v>2.2467987592592591</v>
      </c>
      <c r="AJ1778" s="351"/>
      <c r="AK1778" s="351"/>
      <c r="AL1778" s="352">
        <v>0</v>
      </c>
      <c r="AM1778" s="352">
        <v>1</v>
      </c>
      <c r="AN1778" s="352">
        <v>0</v>
      </c>
      <c r="AO1778" s="352">
        <v>0</v>
      </c>
    </row>
    <row r="1779" spans="1:41" hidden="1">
      <c r="A1779" s="342" t="s">
        <v>309</v>
      </c>
      <c r="B1779" s="277" t="s">
        <v>309</v>
      </c>
      <c r="C1779" s="277">
        <v>0</v>
      </c>
      <c r="D1779" s="343" t="s">
        <v>19533</v>
      </c>
      <c r="E1779" s="277" t="s">
        <v>309</v>
      </c>
      <c r="F1779" s="618">
        <v>45579</v>
      </c>
      <c r="G1779" s="619">
        <v>2024</v>
      </c>
      <c r="H1779" s="383" t="s">
        <v>16957</v>
      </c>
      <c r="I1779" s="277" t="s">
        <v>16958</v>
      </c>
      <c r="J1779" s="277" t="s">
        <v>16401</v>
      </c>
      <c r="K1779" s="278">
        <v>114454.76054999999</v>
      </c>
      <c r="L1779" s="383">
        <v>3.1038999999999999</v>
      </c>
      <c r="M1779" s="384">
        <v>36874.5</v>
      </c>
      <c r="N1779" s="277" t="s">
        <v>20155</v>
      </c>
      <c r="O1779" s="277" t="s">
        <v>20161</v>
      </c>
      <c r="P1779" s="890">
        <v>45589</v>
      </c>
      <c r="Q1779" s="347">
        <v>40300</v>
      </c>
      <c r="R1779" s="347">
        <v>0</v>
      </c>
      <c r="S1779" s="347">
        <v>0</v>
      </c>
      <c r="T1779" s="347">
        <v>0</v>
      </c>
      <c r="U1779" s="347">
        <v>40300</v>
      </c>
      <c r="V1779" s="348"/>
      <c r="W1779" s="349">
        <v>114454.76054999999</v>
      </c>
      <c r="X1779" s="349">
        <v>0</v>
      </c>
      <c r="Y1779" s="349">
        <v>0</v>
      </c>
      <c r="Z1779" s="349">
        <v>0</v>
      </c>
      <c r="AA1779" s="350">
        <v>2.8400684999999997</v>
      </c>
      <c r="AB1779" s="350" t="e">
        <v>#DIV/0!</v>
      </c>
      <c r="AC1779" s="350" t="e">
        <v>#DIV/0!</v>
      </c>
      <c r="AD1779" s="350" t="e">
        <v>#DIV/0!</v>
      </c>
      <c r="AE1779" s="349">
        <v>1753.2449999999999</v>
      </c>
      <c r="AF1779" s="349">
        <v>13645.665000000001</v>
      </c>
      <c r="AG1779" s="349">
        <v>0.33860210918114148</v>
      </c>
      <c r="AH1779" s="351">
        <v>2.5014663908188584</v>
      </c>
      <c r="AI1779" s="351"/>
      <c r="AJ1779" s="351"/>
      <c r="AK1779" s="351"/>
      <c r="AL1779" s="352">
        <v>1</v>
      </c>
      <c r="AM1779" s="352">
        <v>0</v>
      </c>
      <c r="AN1779" s="352">
        <v>0</v>
      </c>
      <c r="AO1779" s="352">
        <v>0</v>
      </c>
    </row>
    <row r="1780" spans="1:41" hidden="1">
      <c r="A1780" s="342" t="s">
        <v>310</v>
      </c>
      <c r="B1780" s="277" t="s">
        <v>310</v>
      </c>
      <c r="C1780" s="277">
        <v>0</v>
      </c>
      <c r="D1780" s="343" t="s">
        <v>19534</v>
      </c>
      <c r="E1780" s="277" t="s">
        <v>310</v>
      </c>
      <c r="F1780" s="618">
        <v>45579</v>
      </c>
      <c r="G1780" s="619">
        <v>2024</v>
      </c>
      <c r="H1780" s="383" t="s">
        <v>16444</v>
      </c>
      <c r="I1780" s="277" t="s">
        <v>16445</v>
      </c>
      <c r="J1780" s="277" t="s">
        <v>3</v>
      </c>
      <c r="K1780" s="278">
        <v>38208</v>
      </c>
      <c r="L1780" s="383">
        <v>1</v>
      </c>
      <c r="M1780" s="384">
        <v>38208</v>
      </c>
      <c r="N1780" s="277" t="s">
        <v>20155</v>
      </c>
      <c r="O1780" s="277" t="s">
        <v>18248</v>
      </c>
      <c r="P1780" s="890">
        <v>45582</v>
      </c>
      <c r="Q1780" s="347">
        <v>19200</v>
      </c>
      <c r="R1780" s="347">
        <v>0</v>
      </c>
      <c r="S1780" s="347">
        <v>0</v>
      </c>
      <c r="T1780" s="347">
        <v>0</v>
      </c>
      <c r="U1780" s="347">
        <v>19200</v>
      </c>
      <c r="V1780" s="348"/>
      <c r="W1780" s="349">
        <v>38208</v>
      </c>
      <c r="X1780" s="349">
        <v>0</v>
      </c>
      <c r="Y1780" s="349">
        <v>0</v>
      </c>
      <c r="Z1780" s="349">
        <v>0</v>
      </c>
      <c r="AA1780" s="350">
        <v>1.99</v>
      </c>
      <c r="AB1780" s="350" t="e">
        <v>#DIV/0!</v>
      </c>
      <c r="AC1780" s="350" t="e">
        <v>#DIV/0!</v>
      </c>
      <c r="AD1780" s="350" t="e">
        <v>#DIV/0!</v>
      </c>
      <c r="AE1780" s="349">
        <v>0</v>
      </c>
      <c r="AF1780" s="349">
        <v>0</v>
      </c>
      <c r="AG1780" s="349">
        <v>0</v>
      </c>
      <c r="AH1780" s="351">
        <v>1.99</v>
      </c>
      <c r="AI1780" s="351"/>
      <c r="AJ1780" s="351"/>
      <c r="AK1780" s="351"/>
      <c r="AL1780" s="352" t="s">
        <v>20356</v>
      </c>
      <c r="AM1780" s="352">
        <v>0</v>
      </c>
      <c r="AN1780" s="352">
        <v>0</v>
      </c>
      <c r="AO1780" s="352">
        <v>0</v>
      </c>
    </row>
    <row r="1781" spans="1:41" hidden="1">
      <c r="A1781" s="342" t="s">
        <v>311</v>
      </c>
      <c r="B1781" s="277" t="s">
        <v>311</v>
      </c>
      <c r="C1781" s="277">
        <v>0</v>
      </c>
      <c r="D1781" s="343" t="s">
        <v>19535</v>
      </c>
      <c r="E1781" s="277" t="s">
        <v>311</v>
      </c>
      <c r="F1781" s="618">
        <v>45580</v>
      </c>
      <c r="G1781" s="619">
        <v>2024</v>
      </c>
      <c r="H1781" s="383" t="s">
        <v>16838</v>
      </c>
      <c r="I1781" s="277" t="s">
        <v>16839</v>
      </c>
      <c r="J1781" s="277" t="s">
        <v>3</v>
      </c>
      <c r="K1781" s="278">
        <v>139500</v>
      </c>
      <c r="L1781" s="383">
        <v>1</v>
      </c>
      <c r="M1781" s="384">
        <v>139500</v>
      </c>
      <c r="N1781" s="277" t="s">
        <v>20155</v>
      </c>
      <c r="O1781" s="277" t="s">
        <v>20321</v>
      </c>
      <c r="P1781" s="890">
        <v>45590</v>
      </c>
      <c r="Q1781" s="347">
        <v>0</v>
      </c>
      <c r="R1781" s="347">
        <v>90000</v>
      </c>
      <c r="S1781" s="347">
        <v>0</v>
      </c>
      <c r="T1781" s="347">
        <v>0</v>
      </c>
      <c r="U1781" s="347">
        <v>90000</v>
      </c>
      <c r="V1781" s="348"/>
      <c r="W1781" s="349">
        <v>0</v>
      </c>
      <c r="X1781" s="349">
        <v>139500</v>
      </c>
      <c r="Y1781" s="349">
        <v>0</v>
      </c>
      <c r="Z1781" s="349">
        <v>0</v>
      </c>
      <c r="AA1781" s="350" t="e">
        <v>#DIV/0!</v>
      </c>
      <c r="AB1781" s="350">
        <v>1.55</v>
      </c>
      <c r="AC1781" s="350" t="e">
        <v>#DIV/0!</v>
      </c>
      <c r="AD1781" s="350" t="e">
        <v>#DIV/0!</v>
      </c>
      <c r="AE1781" s="349">
        <v>0</v>
      </c>
      <c r="AF1781" s="349">
        <v>0</v>
      </c>
      <c r="AG1781" s="349">
        <v>0</v>
      </c>
      <c r="AH1781" s="351"/>
      <c r="AI1781" s="351">
        <v>1.55</v>
      </c>
      <c r="AJ1781" s="351"/>
      <c r="AK1781" s="351"/>
      <c r="AL1781" s="352">
        <v>0</v>
      </c>
      <c r="AM1781" s="352" t="s">
        <v>20348</v>
      </c>
      <c r="AN1781" s="352">
        <v>0</v>
      </c>
      <c r="AO1781" s="352">
        <v>0</v>
      </c>
    </row>
    <row r="1782" spans="1:41" hidden="1">
      <c r="A1782" s="342" t="s">
        <v>312</v>
      </c>
      <c r="B1782" s="277" t="s">
        <v>312</v>
      </c>
      <c r="C1782" s="277">
        <v>0</v>
      </c>
      <c r="D1782" s="343" t="s">
        <v>19536</v>
      </c>
      <c r="E1782" s="277" t="s">
        <v>312</v>
      </c>
      <c r="F1782" s="618">
        <v>45580</v>
      </c>
      <c r="G1782" s="619">
        <v>2024</v>
      </c>
      <c r="H1782" s="383" t="s">
        <v>17278</v>
      </c>
      <c r="I1782" s="277" t="s">
        <v>17279</v>
      </c>
      <c r="J1782" s="277" t="s">
        <v>16482</v>
      </c>
      <c r="K1782" s="278">
        <v>487777.78022399999</v>
      </c>
      <c r="L1782" s="383">
        <v>3.3641999999999999</v>
      </c>
      <c r="M1782" s="384">
        <v>144990.72</v>
      </c>
      <c r="N1782" s="277" t="s">
        <v>20155</v>
      </c>
      <c r="O1782" s="277" t="s">
        <v>20173</v>
      </c>
      <c r="P1782" s="890">
        <v>45596</v>
      </c>
      <c r="Q1782" s="347">
        <v>0</v>
      </c>
      <c r="R1782" s="347">
        <v>155904</v>
      </c>
      <c r="S1782" s="347">
        <v>122496</v>
      </c>
      <c r="T1782" s="347">
        <v>0</v>
      </c>
      <c r="U1782" s="347">
        <v>278400</v>
      </c>
      <c r="V1782" s="348"/>
      <c r="W1782" s="349">
        <v>0</v>
      </c>
      <c r="X1782" s="349">
        <v>285869.51097600011</v>
      </c>
      <c r="Y1782" s="349">
        <v>201944.51692800003</v>
      </c>
      <c r="Z1782" s="349">
        <v>0</v>
      </c>
      <c r="AA1782" s="350" t="e">
        <v>#DIV/0!</v>
      </c>
      <c r="AB1782" s="350">
        <v>1.8336252500000008</v>
      </c>
      <c r="AC1782" s="350">
        <v>1.6485805000000002</v>
      </c>
      <c r="AD1782" s="350" t="e">
        <v>#DIV/0!</v>
      </c>
      <c r="AE1782" s="349">
        <v>13853.254999999999</v>
      </c>
      <c r="AF1782" s="349">
        <v>72333.119999999995</v>
      </c>
      <c r="AG1782" s="349">
        <v>0.25981724137931034</v>
      </c>
      <c r="AH1782" s="351"/>
      <c r="AI1782" s="351">
        <v>1.5738080086206905</v>
      </c>
      <c r="AJ1782" s="351">
        <v>1.3887632586206899</v>
      </c>
      <c r="AK1782" s="351"/>
      <c r="AL1782" s="352">
        <v>0</v>
      </c>
      <c r="AM1782" s="352" t="s">
        <v>20348</v>
      </c>
      <c r="AN1782" s="352" t="s">
        <v>20347</v>
      </c>
      <c r="AO1782" s="352">
        <v>0</v>
      </c>
    </row>
    <row r="1783" spans="1:41" hidden="1">
      <c r="A1783" s="342" t="s">
        <v>313</v>
      </c>
      <c r="B1783" s="277" t="s">
        <v>313</v>
      </c>
      <c r="C1783" s="277">
        <v>0</v>
      </c>
      <c r="D1783" s="343" t="s">
        <v>19537</v>
      </c>
      <c r="E1783" s="277" t="s">
        <v>313</v>
      </c>
      <c r="F1783" s="618">
        <v>45580</v>
      </c>
      <c r="G1783" s="619">
        <v>2024</v>
      </c>
      <c r="H1783" s="383" t="s">
        <v>16444</v>
      </c>
      <c r="I1783" s="277" t="s">
        <v>16445</v>
      </c>
      <c r="J1783" s="277" t="s">
        <v>3</v>
      </c>
      <c r="K1783" s="278">
        <v>75924</v>
      </c>
      <c r="L1783" s="383">
        <v>1</v>
      </c>
      <c r="M1783" s="384">
        <v>75924</v>
      </c>
      <c r="N1783" s="277" t="s">
        <v>20155</v>
      </c>
      <c r="O1783" s="277" t="s">
        <v>18248</v>
      </c>
      <c r="P1783" s="890">
        <v>45588</v>
      </c>
      <c r="Q1783" s="347">
        <v>0</v>
      </c>
      <c r="R1783" s="347">
        <v>44400</v>
      </c>
      <c r="S1783" s="347">
        <v>0</v>
      </c>
      <c r="T1783" s="347">
        <v>0</v>
      </c>
      <c r="U1783" s="347">
        <v>44400</v>
      </c>
      <c r="V1783" s="348"/>
      <c r="W1783" s="349">
        <v>0</v>
      </c>
      <c r="X1783" s="349">
        <v>75924</v>
      </c>
      <c r="Y1783" s="349">
        <v>0</v>
      </c>
      <c r="Z1783" s="349">
        <v>0</v>
      </c>
      <c r="AA1783" s="350" t="e">
        <v>#DIV/0!</v>
      </c>
      <c r="AB1783" s="350">
        <v>1.71</v>
      </c>
      <c r="AC1783" s="350" t="e">
        <v>#DIV/0!</v>
      </c>
      <c r="AD1783" s="350" t="e">
        <v>#DIV/0!</v>
      </c>
      <c r="AE1783" s="349">
        <v>0</v>
      </c>
      <c r="AF1783" s="349">
        <v>0</v>
      </c>
      <c r="AG1783" s="349">
        <v>0</v>
      </c>
      <c r="AH1783" s="351"/>
      <c r="AI1783" s="351">
        <v>1.71</v>
      </c>
      <c r="AJ1783" s="351"/>
      <c r="AK1783" s="351"/>
      <c r="AL1783" s="352">
        <v>0</v>
      </c>
      <c r="AM1783" s="352" t="s">
        <v>20346</v>
      </c>
      <c r="AN1783" s="352">
        <v>0</v>
      </c>
      <c r="AO1783" s="352">
        <v>0</v>
      </c>
    </row>
    <row r="1784" spans="1:41" hidden="1">
      <c r="A1784" s="342" t="s">
        <v>314</v>
      </c>
      <c r="B1784" s="277" t="s">
        <v>314</v>
      </c>
      <c r="C1784" s="277">
        <v>0</v>
      </c>
      <c r="D1784" s="343" t="s">
        <v>19538</v>
      </c>
      <c r="E1784" s="277" t="s">
        <v>314</v>
      </c>
      <c r="F1784" s="618">
        <v>45581</v>
      </c>
      <c r="G1784" s="619">
        <v>2024</v>
      </c>
      <c r="H1784" s="383" t="s">
        <v>17304</v>
      </c>
      <c r="I1784" s="277" t="s">
        <v>17305</v>
      </c>
      <c r="J1784" s="277" t="s">
        <v>17306</v>
      </c>
      <c r="K1784" s="278">
        <v>72620.79622199999</v>
      </c>
      <c r="L1784" s="383">
        <v>2.2405499999999998</v>
      </c>
      <c r="M1784" s="384">
        <v>32412.04</v>
      </c>
      <c r="N1784" s="277" t="s">
        <v>20155</v>
      </c>
      <c r="O1784" s="277" t="s">
        <v>17238</v>
      </c>
      <c r="P1784" s="890">
        <v>45596</v>
      </c>
      <c r="Q1784" s="347">
        <v>0</v>
      </c>
      <c r="R1784" s="347">
        <v>0</v>
      </c>
      <c r="S1784" s="347">
        <v>23608</v>
      </c>
      <c r="T1784" s="347">
        <v>0</v>
      </c>
      <c r="U1784" s="347">
        <v>23608</v>
      </c>
      <c r="V1784" s="348"/>
      <c r="W1784" s="349">
        <v>0</v>
      </c>
      <c r="X1784" s="349">
        <v>0</v>
      </c>
      <c r="Y1784" s="349">
        <v>72620.796222000004</v>
      </c>
      <c r="Z1784" s="349">
        <v>0</v>
      </c>
      <c r="AA1784" s="350" t="e">
        <v>#DIV/0!</v>
      </c>
      <c r="AB1784" s="350" t="e">
        <v>#DIV/0!</v>
      </c>
      <c r="AC1784" s="350">
        <v>3.0761096332599123</v>
      </c>
      <c r="AD1784" s="350" t="e">
        <v>#DIV/0!</v>
      </c>
      <c r="AE1784" s="349">
        <v>2173.7624999999998</v>
      </c>
      <c r="AF1784" s="349">
        <v>16275.725</v>
      </c>
      <c r="AG1784" s="349">
        <v>0.68941566418163336</v>
      </c>
      <c r="AH1784" s="351"/>
      <c r="AI1784" s="351"/>
      <c r="AJ1784" s="351">
        <v>2.3866939690782791</v>
      </c>
      <c r="AK1784" s="351"/>
      <c r="AL1784" s="352">
        <v>0</v>
      </c>
      <c r="AM1784" s="352">
        <v>0</v>
      </c>
      <c r="AN1784" s="352">
        <v>1</v>
      </c>
      <c r="AO1784" s="352">
        <v>0</v>
      </c>
    </row>
    <row r="1785" spans="1:41" hidden="1">
      <c r="A1785" s="342" t="s">
        <v>315</v>
      </c>
      <c r="B1785" s="277" t="s">
        <v>315</v>
      </c>
      <c r="C1785" s="277">
        <v>0</v>
      </c>
      <c r="D1785" s="343" t="s">
        <v>19539</v>
      </c>
      <c r="E1785" s="277" t="s">
        <v>315</v>
      </c>
      <c r="F1785" s="618">
        <v>45582</v>
      </c>
      <c r="G1785" s="619">
        <v>2024</v>
      </c>
      <c r="H1785" s="383" t="s">
        <v>16480</v>
      </c>
      <c r="I1785" s="277" t="s">
        <v>16481</v>
      </c>
      <c r="J1785" s="277" t="s">
        <v>16482</v>
      </c>
      <c r="K1785" s="278">
        <v>69253.440939999986</v>
      </c>
      <c r="L1785" s="383">
        <v>3.3651499999999999</v>
      </c>
      <c r="M1785" s="384">
        <v>20579.599999999999</v>
      </c>
      <c r="N1785" s="277" t="s">
        <v>20155</v>
      </c>
      <c r="O1785" s="277" t="s">
        <v>20160</v>
      </c>
      <c r="P1785" s="890">
        <v>45594</v>
      </c>
      <c r="Q1785" s="347">
        <v>0</v>
      </c>
      <c r="R1785" s="347">
        <v>22680</v>
      </c>
      <c r="S1785" s="347">
        <v>0</v>
      </c>
      <c r="T1785" s="347">
        <v>0</v>
      </c>
      <c r="U1785" s="347">
        <v>22680</v>
      </c>
      <c r="V1785" s="348"/>
      <c r="W1785" s="349">
        <v>0</v>
      </c>
      <c r="X1785" s="349">
        <v>69253.44094</v>
      </c>
      <c r="Y1785" s="349">
        <v>0</v>
      </c>
      <c r="Z1785" s="349">
        <v>0</v>
      </c>
      <c r="AA1785" s="350" t="e">
        <v>#DIV/0!</v>
      </c>
      <c r="AB1785" s="350">
        <v>3.0535026869488537</v>
      </c>
      <c r="AC1785" s="350" t="e">
        <v>#DIV/0!</v>
      </c>
      <c r="AD1785" s="350" t="e">
        <v>#DIV/0!</v>
      </c>
      <c r="AE1785" s="349">
        <v>3778.8</v>
      </c>
      <c r="AF1785" s="349">
        <v>16305.115</v>
      </c>
      <c r="AG1785" s="349">
        <v>0.7189204144620811</v>
      </c>
      <c r="AH1785" s="351"/>
      <c r="AI1785" s="351">
        <v>2.3345822724867729</v>
      </c>
      <c r="AJ1785" s="351"/>
      <c r="AK1785" s="351"/>
      <c r="AL1785" s="352">
        <v>0</v>
      </c>
      <c r="AM1785" s="352">
        <v>1</v>
      </c>
      <c r="AN1785" s="352">
        <v>0</v>
      </c>
      <c r="AO1785" s="352">
        <v>0</v>
      </c>
    </row>
    <row r="1786" spans="1:41" hidden="1">
      <c r="A1786" s="342" t="s">
        <v>316</v>
      </c>
      <c r="B1786" s="277" t="s">
        <v>316</v>
      </c>
      <c r="C1786" s="277">
        <v>0</v>
      </c>
      <c r="D1786" s="343" t="s">
        <v>19540</v>
      </c>
      <c r="E1786" s="277" t="s">
        <v>316</v>
      </c>
      <c r="F1786" s="618">
        <v>45582</v>
      </c>
      <c r="G1786" s="619">
        <v>2024</v>
      </c>
      <c r="H1786" s="383" t="s">
        <v>17342</v>
      </c>
      <c r="I1786" s="277" t="s">
        <v>17343</v>
      </c>
      <c r="J1786" s="277" t="s">
        <v>16482</v>
      </c>
      <c r="K1786" s="278">
        <v>59497.111669999998</v>
      </c>
      <c r="L1786" s="383">
        <v>3.3678499999999998</v>
      </c>
      <c r="M1786" s="384">
        <v>17666.2</v>
      </c>
      <c r="N1786" s="277" t="s">
        <v>20155</v>
      </c>
      <c r="O1786" s="277" t="s">
        <v>16394</v>
      </c>
      <c r="P1786" s="890">
        <v>45583</v>
      </c>
      <c r="Q1786" s="347">
        <v>0</v>
      </c>
      <c r="R1786" s="347">
        <v>17952</v>
      </c>
      <c r="S1786" s="347">
        <v>2400</v>
      </c>
      <c r="T1786" s="347">
        <v>560</v>
      </c>
      <c r="U1786" s="347">
        <v>20912</v>
      </c>
      <c r="V1786" s="348"/>
      <c r="W1786" s="349">
        <v>0</v>
      </c>
      <c r="X1786" s="349">
        <v>50284.978060763278</v>
      </c>
      <c r="Y1786" s="349">
        <v>6669.5551167865342</v>
      </c>
      <c r="Z1786" s="349">
        <v>2542.6054352501915</v>
      </c>
      <c r="AA1786" s="350" t="e">
        <v>#DIV/0!</v>
      </c>
      <c r="AB1786" s="350">
        <v>2.8010794374311097</v>
      </c>
      <c r="AC1786" s="350">
        <v>2.7789812986610558</v>
      </c>
      <c r="AD1786" s="350">
        <v>4.5403668486610558</v>
      </c>
      <c r="AE1786" s="349">
        <v>1278.2774999999999</v>
      </c>
      <c r="AF1786" s="349">
        <v>12064.96</v>
      </c>
      <c r="AG1786" s="349">
        <v>0.57693955623565418</v>
      </c>
      <c r="AH1786" s="351"/>
      <c r="AI1786" s="351">
        <v>2.2241398811954554</v>
      </c>
      <c r="AJ1786" s="351">
        <v>2.2020417424254015</v>
      </c>
      <c r="AK1786" s="351">
        <v>3.9634272924254015</v>
      </c>
      <c r="AL1786" s="352">
        <v>0</v>
      </c>
      <c r="AM1786" s="352">
        <v>1</v>
      </c>
      <c r="AN1786" s="352">
        <v>1</v>
      </c>
      <c r="AO1786" s="352">
        <v>1</v>
      </c>
    </row>
    <row r="1787" spans="1:41" hidden="1">
      <c r="A1787" s="342" t="s">
        <v>317</v>
      </c>
      <c r="B1787" s="277" t="s">
        <v>317</v>
      </c>
      <c r="C1787" s="277">
        <v>0</v>
      </c>
      <c r="D1787" s="343" t="s">
        <v>19541</v>
      </c>
      <c r="E1787" s="277" t="s">
        <v>317</v>
      </c>
      <c r="F1787" s="618">
        <v>45582</v>
      </c>
      <c r="G1787" s="619">
        <v>2024</v>
      </c>
      <c r="H1787" s="383" t="s">
        <v>16838</v>
      </c>
      <c r="I1787" s="277" t="s">
        <v>16839</v>
      </c>
      <c r="J1787" s="277" t="s">
        <v>3</v>
      </c>
      <c r="K1787" s="278">
        <v>180000</v>
      </c>
      <c r="L1787" s="383">
        <v>1</v>
      </c>
      <c r="M1787" s="384">
        <v>180000</v>
      </c>
      <c r="N1787" s="277" t="s">
        <v>20155</v>
      </c>
      <c r="O1787" s="277" t="s">
        <v>20321</v>
      </c>
      <c r="P1787" s="890">
        <v>45588</v>
      </c>
      <c r="Q1787" s="347">
        <v>0</v>
      </c>
      <c r="R1787" s="347">
        <v>112500</v>
      </c>
      <c r="S1787" s="347">
        <v>0</v>
      </c>
      <c r="T1787" s="347">
        <v>0</v>
      </c>
      <c r="U1787" s="347">
        <v>112500</v>
      </c>
      <c r="V1787" s="348"/>
      <c r="W1787" s="349">
        <v>0</v>
      </c>
      <c r="X1787" s="349">
        <v>180000</v>
      </c>
      <c r="Y1787" s="349">
        <v>0</v>
      </c>
      <c r="Z1787" s="349">
        <v>0</v>
      </c>
      <c r="AA1787" s="350" t="e">
        <v>#DIV/0!</v>
      </c>
      <c r="AB1787" s="350">
        <v>1.6</v>
      </c>
      <c r="AC1787" s="350" t="e">
        <v>#DIV/0!</v>
      </c>
      <c r="AD1787" s="350" t="e">
        <v>#DIV/0!</v>
      </c>
      <c r="AE1787" s="349">
        <v>0</v>
      </c>
      <c r="AF1787" s="349">
        <v>0</v>
      </c>
      <c r="AG1787" s="349">
        <v>0</v>
      </c>
      <c r="AH1787" s="351"/>
      <c r="AI1787" s="351">
        <v>1.6</v>
      </c>
      <c r="AJ1787" s="351"/>
      <c r="AK1787" s="351"/>
      <c r="AL1787" s="352">
        <v>0</v>
      </c>
      <c r="AM1787" s="352" t="s">
        <v>20348</v>
      </c>
      <c r="AN1787" s="352">
        <v>0</v>
      </c>
      <c r="AO1787" s="352">
        <v>0</v>
      </c>
    </row>
    <row r="1788" spans="1:41" hidden="1">
      <c r="A1788" s="342" t="s">
        <v>318</v>
      </c>
      <c r="B1788" s="277" t="s">
        <v>318</v>
      </c>
      <c r="C1788" s="277">
        <v>0</v>
      </c>
      <c r="D1788" s="343" t="s">
        <v>19542</v>
      </c>
      <c r="E1788" s="277" t="s">
        <v>318</v>
      </c>
      <c r="F1788" s="618">
        <v>45583</v>
      </c>
      <c r="G1788" s="619">
        <v>2024</v>
      </c>
      <c r="H1788" s="383" t="s">
        <v>16957</v>
      </c>
      <c r="I1788" s="277" t="s">
        <v>16958</v>
      </c>
      <c r="J1788" s="277" t="s">
        <v>16401</v>
      </c>
      <c r="K1788" s="278">
        <v>49409.432150000001</v>
      </c>
      <c r="L1788" s="383">
        <v>3.1038999999999999</v>
      </c>
      <c r="M1788" s="384">
        <v>15918.5</v>
      </c>
      <c r="N1788" s="277" t="s">
        <v>20155</v>
      </c>
      <c r="O1788" s="277" t="s">
        <v>20161</v>
      </c>
      <c r="P1788" s="890">
        <v>45589</v>
      </c>
      <c r="Q1788" s="347">
        <v>20150</v>
      </c>
      <c r="R1788" s="347">
        <v>0</v>
      </c>
      <c r="S1788" s="347">
        <v>0</v>
      </c>
      <c r="T1788" s="347">
        <v>0</v>
      </c>
      <c r="U1788" s="347">
        <v>20150</v>
      </c>
      <c r="V1788" s="348"/>
      <c r="W1788" s="349">
        <v>49409.432150000001</v>
      </c>
      <c r="X1788" s="349">
        <v>0</v>
      </c>
      <c r="Y1788" s="349">
        <v>0</v>
      </c>
      <c r="Z1788" s="349">
        <v>0</v>
      </c>
      <c r="AA1788" s="350">
        <v>2.4520810000000002</v>
      </c>
      <c r="AB1788" s="350" t="e">
        <v>#DIV/0!</v>
      </c>
      <c r="AC1788" s="350" t="e">
        <v>#DIV/0!</v>
      </c>
      <c r="AD1788" s="350" t="e">
        <v>#DIV/0!</v>
      </c>
      <c r="AE1788" s="349">
        <v>876.62249999999995</v>
      </c>
      <c r="AF1788" s="349">
        <v>7050.915</v>
      </c>
      <c r="AG1788" s="349">
        <v>0.34992133995037222</v>
      </c>
      <c r="AH1788" s="351">
        <v>2.1021596600496277</v>
      </c>
      <c r="AI1788" s="351"/>
      <c r="AJ1788" s="351"/>
      <c r="AK1788" s="351"/>
      <c r="AL1788" s="352">
        <v>1</v>
      </c>
      <c r="AM1788" s="352">
        <v>0</v>
      </c>
      <c r="AN1788" s="352">
        <v>0</v>
      </c>
      <c r="AO1788" s="352">
        <v>0</v>
      </c>
    </row>
    <row r="1789" spans="1:41" hidden="1">
      <c r="A1789" s="342" t="s">
        <v>319</v>
      </c>
      <c r="B1789" s="277" t="s">
        <v>319</v>
      </c>
      <c r="C1789" s="277">
        <v>0</v>
      </c>
      <c r="D1789" s="343" t="s">
        <v>19543</v>
      </c>
      <c r="E1789" s="277" t="s">
        <v>319</v>
      </c>
      <c r="F1789" s="618">
        <v>45583</v>
      </c>
      <c r="G1789" s="619">
        <v>2024</v>
      </c>
      <c r="H1789" s="383" t="s">
        <v>17276</v>
      </c>
      <c r="I1789" s="277" t="s">
        <v>17277</v>
      </c>
      <c r="J1789" s="277" t="s">
        <v>16482</v>
      </c>
      <c r="K1789" s="278">
        <v>89857.73060000001</v>
      </c>
      <c r="L1789" s="383">
        <v>3.3644500000000002</v>
      </c>
      <c r="M1789" s="384">
        <v>26708</v>
      </c>
      <c r="N1789" s="277" t="s">
        <v>20155</v>
      </c>
      <c r="O1789" s="277" t="s">
        <v>20297</v>
      </c>
      <c r="P1789" s="890">
        <v>45596</v>
      </c>
      <c r="Q1789" s="347">
        <v>38400</v>
      </c>
      <c r="R1789" s="347">
        <v>0</v>
      </c>
      <c r="S1789" s="347">
        <v>0</v>
      </c>
      <c r="T1789" s="347">
        <v>0</v>
      </c>
      <c r="U1789" s="347">
        <v>38400</v>
      </c>
      <c r="V1789" s="348"/>
      <c r="W1789" s="349">
        <v>89857.730599999995</v>
      </c>
      <c r="X1789" s="349">
        <v>0</v>
      </c>
      <c r="Y1789" s="349">
        <v>0</v>
      </c>
      <c r="Z1789" s="349">
        <v>0</v>
      </c>
      <c r="AA1789" s="350">
        <v>2.3400450677083331</v>
      </c>
      <c r="AB1789" s="350" t="e">
        <v>#DIV/0!</v>
      </c>
      <c r="AC1789" s="350" t="e">
        <v>#DIV/0!</v>
      </c>
      <c r="AD1789" s="350" t="e">
        <v>#DIV/0!</v>
      </c>
      <c r="AE1789" s="349">
        <v>3125.3825000000002</v>
      </c>
      <c r="AF1789" s="349">
        <v>15373.945</v>
      </c>
      <c r="AG1789" s="349">
        <v>0.40036315104166664</v>
      </c>
      <c r="AH1789" s="351">
        <v>1.9396819166666663</v>
      </c>
      <c r="AI1789" s="351"/>
      <c r="AJ1789" s="351"/>
      <c r="AK1789" s="351"/>
      <c r="AL1789" s="352" t="s">
        <v>20356</v>
      </c>
      <c r="AM1789" s="352">
        <v>0</v>
      </c>
      <c r="AN1789" s="352">
        <v>0</v>
      </c>
      <c r="AO1789" s="352">
        <v>0</v>
      </c>
    </row>
    <row r="1790" spans="1:41" hidden="1">
      <c r="A1790" s="342" t="s">
        <v>320</v>
      </c>
      <c r="B1790" s="277" t="s">
        <v>320</v>
      </c>
      <c r="C1790" s="277">
        <v>0</v>
      </c>
      <c r="D1790" s="343" t="s">
        <v>19544</v>
      </c>
      <c r="E1790" s="277" t="s">
        <v>320</v>
      </c>
      <c r="F1790" s="618">
        <v>45583</v>
      </c>
      <c r="G1790" s="619">
        <v>2024</v>
      </c>
      <c r="H1790" s="383" t="s">
        <v>16444</v>
      </c>
      <c r="I1790" s="277" t="s">
        <v>16445</v>
      </c>
      <c r="J1790" s="277" t="s">
        <v>3</v>
      </c>
      <c r="K1790" s="278">
        <v>39632.5</v>
      </c>
      <c r="L1790" s="383">
        <v>1</v>
      </c>
      <c r="M1790" s="384">
        <v>39632.5</v>
      </c>
      <c r="N1790" s="277" t="s">
        <v>20155</v>
      </c>
      <c r="O1790" s="277" t="s">
        <v>17693</v>
      </c>
      <c r="P1790" s="890">
        <v>45589</v>
      </c>
      <c r="Q1790" s="347">
        <v>20750</v>
      </c>
      <c r="R1790" s="347">
        <v>0</v>
      </c>
      <c r="S1790" s="347">
        <v>0</v>
      </c>
      <c r="T1790" s="347">
        <v>0</v>
      </c>
      <c r="U1790" s="347">
        <v>20750</v>
      </c>
      <c r="V1790" s="348"/>
      <c r="W1790" s="349">
        <v>39632.5</v>
      </c>
      <c r="X1790" s="349">
        <v>0</v>
      </c>
      <c r="Y1790" s="349">
        <v>0</v>
      </c>
      <c r="Z1790" s="349">
        <v>0</v>
      </c>
      <c r="AA1790" s="350">
        <v>1.91</v>
      </c>
      <c r="AB1790" s="350" t="e">
        <v>#DIV/0!</v>
      </c>
      <c r="AC1790" s="350" t="e">
        <v>#DIV/0!</v>
      </c>
      <c r="AD1790" s="350" t="e">
        <v>#DIV/0!</v>
      </c>
      <c r="AE1790" s="349">
        <v>0</v>
      </c>
      <c r="AF1790" s="349">
        <v>0</v>
      </c>
      <c r="AG1790" s="349">
        <v>0</v>
      </c>
      <c r="AH1790" s="351">
        <v>1.91</v>
      </c>
      <c r="AI1790" s="351"/>
      <c r="AJ1790" s="351"/>
      <c r="AK1790" s="351"/>
      <c r="AL1790" s="352" t="s">
        <v>20356</v>
      </c>
      <c r="AM1790" s="352">
        <v>0</v>
      </c>
      <c r="AN1790" s="352">
        <v>0</v>
      </c>
      <c r="AO1790" s="352">
        <v>0</v>
      </c>
    </row>
    <row r="1791" spans="1:41" hidden="1">
      <c r="A1791" s="342" t="s">
        <v>321</v>
      </c>
      <c r="B1791" s="277" t="s">
        <v>321</v>
      </c>
      <c r="C1791" s="277">
        <v>0</v>
      </c>
      <c r="D1791" s="343" t="s">
        <v>19545</v>
      </c>
      <c r="E1791" s="277" t="s">
        <v>321</v>
      </c>
      <c r="F1791" s="618">
        <v>45583</v>
      </c>
      <c r="G1791" s="619">
        <v>2024</v>
      </c>
      <c r="H1791" s="383" t="s">
        <v>16384</v>
      </c>
      <c r="I1791" s="277" t="s">
        <v>16385</v>
      </c>
      <c r="J1791" s="277" t="s">
        <v>3</v>
      </c>
      <c r="K1791" s="278">
        <v>206194.06</v>
      </c>
      <c r="L1791" s="383">
        <v>1</v>
      </c>
      <c r="M1791" s="384">
        <v>206194.06</v>
      </c>
      <c r="N1791" s="277" t="s">
        <v>20155</v>
      </c>
      <c r="O1791" s="277" t="s">
        <v>17949</v>
      </c>
      <c r="P1791" s="890">
        <v>45595</v>
      </c>
      <c r="Q1791" s="347">
        <v>86774</v>
      </c>
      <c r="R1791" s="347">
        <v>22500</v>
      </c>
      <c r="S1791" s="347">
        <v>0</v>
      </c>
      <c r="T1791" s="347">
        <v>0</v>
      </c>
      <c r="U1791" s="347">
        <v>109274</v>
      </c>
      <c r="V1791" s="348"/>
      <c r="W1791" s="349">
        <v>167719.06</v>
      </c>
      <c r="X1791" s="349">
        <v>38475</v>
      </c>
      <c r="Y1791" s="349">
        <v>0</v>
      </c>
      <c r="Z1791" s="349">
        <v>0</v>
      </c>
      <c r="AA1791" s="350">
        <v>1.9328261921773804</v>
      </c>
      <c r="AB1791" s="350">
        <v>1.71</v>
      </c>
      <c r="AC1791" s="350" t="e">
        <v>#DIV/0!</v>
      </c>
      <c r="AD1791" s="350" t="e">
        <v>#DIV/0!</v>
      </c>
      <c r="AE1791" s="349">
        <v>0</v>
      </c>
      <c r="AF1791" s="349">
        <v>0</v>
      </c>
      <c r="AG1791" s="349">
        <v>0</v>
      </c>
      <c r="AH1791" s="351">
        <v>1.9328261921773804</v>
      </c>
      <c r="AI1791" s="351">
        <v>1.71</v>
      </c>
      <c r="AJ1791" s="351"/>
      <c r="AK1791" s="351"/>
      <c r="AL1791" s="352" t="s">
        <v>20356</v>
      </c>
      <c r="AM1791" s="352" t="s">
        <v>20346</v>
      </c>
      <c r="AN1791" s="352">
        <v>0</v>
      </c>
      <c r="AO1791" s="352">
        <v>0</v>
      </c>
    </row>
    <row r="1792" spans="1:41" hidden="1">
      <c r="A1792" s="342" t="s">
        <v>322</v>
      </c>
      <c r="B1792" s="277" t="s">
        <v>322</v>
      </c>
      <c r="C1792" s="277">
        <v>0</v>
      </c>
      <c r="D1792" s="343" t="s">
        <v>19546</v>
      </c>
      <c r="E1792" s="277" t="s">
        <v>322</v>
      </c>
      <c r="F1792" s="618">
        <v>45583</v>
      </c>
      <c r="G1792" s="619">
        <v>2024</v>
      </c>
      <c r="H1792" s="383" t="s">
        <v>16838</v>
      </c>
      <c r="I1792" s="277" t="s">
        <v>16839</v>
      </c>
      <c r="J1792" s="277" t="s">
        <v>3</v>
      </c>
      <c r="K1792" s="278">
        <v>40558</v>
      </c>
      <c r="L1792" s="383">
        <v>1</v>
      </c>
      <c r="M1792" s="384">
        <v>40558</v>
      </c>
      <c r="N1792" s="277" t="s">
        <v>20155</v>
      </c>
      <c r="O1792" s="277" t="s">
        <v>17771</v>
      </c>
      <c r="P1792" s="890">
        <v>45593</v>
      </c>
      <c r="Q1792" s="347">
        <v>21200</v>
      </c>
      <c r="R1792" s="347">
        <v>0</v>
      </c>
      <c r="S1792" s="347">
        <v>0</v>
      </c>
      <c r="T1792" s="347">
        <v>0</v>
      </c>
      <c r="U1792" s="347">
        <v>21200</v>
      </c>
      <c r="V1792" s="348"/>
      <c r="W1792" s="349">
        <v>40558</v>
      </c>
      <c r="X1792" s="349">
        <v>0</v>
      </c>
      <c r="Y1792" s="349">
        <v>0</v>
      </c>
      <c r="Z1792" s="349">
        <v>0</v>
      </c>
      <c r="AA1792" s="350">
        <v>1.9131132075471697</v>
      </c>
      <c r="AB1792" s="350" t="e">
        <v>#DIV/0!</v>
      </c>
      <c r="AC1792" s="350" t="e">
        <v>#DIV/0!</v>
      </c>
      <c r="AD1792" s="350" t="e">
        <v>#DIV/0!</v>
      </c>
      <c r="AE1792" s="349">
        <v>0</v>
      </c>
      <c r="AF1792" s="349">
        <v>0</v>
      </c>
      <c r="AG1792" s="349">
        <v>0</v>
      </c>
      <c r="AH1792" s="351">
        <v>1.9131132075471697</v>
      </c>
      <c r="AI1792" s="351"/>
      <c r="AJ1792" s="351"/>
      <c r="AK1792" s="351"/>
      <c r="AL1792" s="352" t="s">
        <v>20356</v>
      </c>
      <c r="AM1792" s="352">
        <v>0</v>
      </c>
      <c r="AN1792" s="352">
        <v>0</v>
      </c>
      <c r="AO1792" s="352">
        <v>0</v>
      </c>
    </row>
    <row r="1793" spans="1:41" hidden="1">
      <c r="A1793" s="342" t="s">
        <v>323</v>
      </c>
      <c r="B1793" s="277" t="s">
        <v>323</v>
      </c>
      <c r="C1793" s="277">
        <v>0</v>
      </c>
      <c r="D1793" s="343" t="s">
        <v>19547</v>
      </c>
      <c r="E1793" s="277" t="s">
        <v>323</v>
      </c>
      <c r="F1793" s="618">
        <v>45583</v>
      </c>
      <c r="G1793" s="619">
        <v>2024</v>
      </c>
      <c r="H1793" s="383" t="s">
        <v>16838</v>
      </c>
      <c r="I1793" s="277" t="s">
        <v>16839</v>
      </c>
      <c r="J1793" s="277" t="s">
        <v>3</v>
      </c>
      <c r="K1793" s="278">
        <v>91160</v>
      </c>
      <c r="L1793" s="383">
        <v>1</v>
      </c>
      <c r="M1793" s="384">
        <v>91160</v>
      </c>
      <c r="N1793" s="277" t="s">
        <v>20155</v>
      </c>
      <c r="O1793" s="277" t="s">
        <v>17771</v>
      </c>
      <c r="P1793" s="890">
        <v>45590</v>
      </c>
      <c r="Q1793" s="347">
        <v>0</v>
      </c>
      <c r="R1793" s="347">
        <v>0</v>
      </c>
      <c r="S1793" s="347">
        <v>56000</v>
      </c>
      <c r="T1793" s="347">
        <v>0</v>
      </c>
      <c r="U1793" s="347">
        <v>56000</v>
      </c>
      <c r="V1793" s="348"/>
      <c r="W1793" s="349">
        <v>0</v>
      </c>
      <c r="X1793" s="349">
        <v>0</v>
      </c>
      <c r="Y1793" s="349">
        <v>91160</v>
      </c>
      <c r="Z1793" s="349">
        <v>0</v>
      </c>
      <c r="AA1793" s="350" t="e">
        <v>#DIV/0!</v>
      </c>
      <c r="AB1793" s="350" t="e">
        <v>#DIV/0!</v>
      </c>
      <c r="AC1793" s="350">
        <v>1.6278571428571429</v>
      </c>
      <c r="AD1793" s="350" t="e">
        <v>#DIV/0!</v>
      </c>
      <c r="AE1793" s="349">
        <v>0</v>
      </c>
      <c r="AF1793" s="349">
        <v>0</v>
      </c>
      <c r="AG1793" s="349">
        <v>0</v>
      </c>
      <c r="AH1793" s="351"/>
      <c r="AI1793" s="351"/>
      <c r="AJ1793" s="351">
        <v>1.6278571428571429</v>
      </c>
      <c r="AK1793" s="351"/>
      <c r="AL1793" s="352">
        <v>0</v>
      </c>
      <c r="AM1793" s="352">
        <v>0</v>
      </c>
      <c r="AN1793" s="352" t="s">
        <v>20347</v>
      </c>
      <c r="AO1793" s="352">
        <v>0</v>
      </c>
    </row>
    <row r="1794" spans="1:41" hidden="1">
      <c r="A1794" s="342" t="s">
        <v>324</v>
      </c>
      <c r="B1794" s="277" t="s">
        <v>324</v>
      </c>
      <c r="C1794" s="277">
        <v>0</v>
      </c>
      <c r="D1794" s="343" t="s">
        <v>19548</v>
      </c>
      <c r="E1794" s="277" t="s">
        <v>324</v>
      </c>
      <c r="F1794" s="618">
        <v>45583</v>
      </c>
      <c r="G1794" s="619">
        <v>2024</v>
      </c>
      <c r="H1794" s="383" t="s">
        <v>17342</v>
      </c>
      <c r="I1794" s="277" t="s">
        <v>17343</v>
      </c>
      <c r="J1794" s="277" t="s">
        <v>16482</v>
      </c>
      <c r="K1794" s="278">
        <v>16705.453603499998</v>
      </c>
      <c r="L1794" s="383">
        <v>3.3646500000000001</v>
      </c>
      <c r="M1794" s="384">
        <v>4964.99</v>
      </c>
      <c r="N1794" s="277" t="s">
        <v>20155</v>
      </c>
      <c r="O1794" s="277" t="s">
        <v>16394</v>
      </c>
      <c r="P1794" s="890">
        <v>45588</v>
      </c>
      <c r="Q1794" s="347">
        <v>0</v>
      </c>
      <c r="R1794" s="347">
        <v>18408</v>
      </c>
      <c r="S1794" s="347">
        <v>6000</v>
      </c>
      <c r="T1794" s="347">
        <v>0</v>
      </c>
      <c r="U1794" s="347">
        <v>24408</v>
      </c>
      <c r="V1794" s="348"/>
      <c r="W1794" s="349">
        <v>0</v>
      </c>
      <c r="X1794" s="349">
        <v>12211.66071</v>
      </c>
      <c r="Y1794" s="349">
        <v>3936.6405</v>
      </c>
      <c r="Z1794" s="349">
        <v>557.18603999999993</v>
      </c>
      <c r="AA1794" s="350" t="e">
        <v>#DIV/0!</v>
      </c>
      <c r="AB1794" s="350">
        <v>0.66338878259452416</v>
      </c>
      <c r="AC1794" s="350">
        <v>0.65610674999999996</v>
      </c>
      <c r="AD1794" s="350" t="e">
        <v>#DIV/0!</v>
      </c>
      <c r="AE1794" s="349">
        <v>0</v>
      </c>
      <c r="AF1794" s="349">
        <v>0</v>
      </c>
      <c r="AG1794" s="349">
        <v>0</v>
      </c>
      <c r="AH1794" s="351"/>
      <c r="AI1794" s="351">
        <v>0.66338878259452416</v>
      </c>
      <c r="AJ1794" s="351">
        <v>0.65610674999999996</v>
      </c>
      <c r="AK1794" s="351"/>
      <c r="AL1794" s="352">
        <v>0</v>
      </c>
      <c r="AM1794" s="352">
        <v>1</v>
      </c>
      <c r="AN1794" s="352">
        <v>1</v>
      </c>
      <c r="AO1794" s="352">
        <v>0</v>
      </c>
    </row>
    <row r="1795" spans="1:41" hidden="1">
      <c r="A1795" s="342" t="s">
        <v>325</v>
      </c>
      <c r="B1795" s="277" t="s">
        <v>325</v>
      </c>
      <c r="C1795" s="277">
        <v>0</v>
      </c>
      <c r="D1795" s="343" t="s">
        <v>19549</v>
      </c>
      <c r="E1795" s="277" t="s">
        <v>325</v>
      </c>
      <c r="F1795" s="618">
        <v>45583</v>
      </c>
      <c r="G1795" s="619">
        <v>2024</v>
      </c>
      <c r="H1795" s="383" t="s">
        <v>17342</v>
      </c>
      <c r="I1795" s="277" t="s">
        <v>17343</v>
      </c>
      <c r="J1795" s="277" t="s">
        <v>16482</v>
      </c>
      <c r="K1795" s="278">
        <v>17817.268549500001</v>
      </c>
      <c r="L1795" s="383">
        <v>3.3646500000000001</v>
      </c>
      <c r="M1795" s="384">
        <v>5295.43</v>
      </c>
      <c r="N1795" s="277" t="s">
        <v>20155</v>
      </c>
      <c r="O1795" s="277" t="s">
        <v>16394</v>
      </c>
      <c r="P1795" s="890">
        <v>45588</v>
      </c>
      <c r="Q1795" s="347">
        <v>0</v>
      </c>
      <c r="R1795" s="347">
        <v>16872</v>
      </c>
      <c r="S1795" s="347">
        <v>3600</v>
      </c>
      <c r="T1795" s="347">
        <v>2240</v>
      </c>
      <c r="U1795" s="347">
        <v>22712</v>
      </c>
      <c r="V1795" s="348"/>
      <c r="W1795" s="349">
        <v>0</v>
      </c>
      <c r="X1795" s="349">
        <v>11001.597984000002</v>
      </c>
      <c r="Y1795" s="349">
        <v>2361.9843000000001</v>
      </c>
      <c r="Z1795" s="349">
        <v>4453.7199119999996</v>
      </c>
      <c r="AA1795" s="350" t="e">
        <v>#DIV/0!</v>
      </c>
      <c r="AB1795" s="350">
        <v>0.65206246941678536</v>
      </c>
      <c r="AC1795" s="350">
        <v>0.65610675000000007</v>
      </c>
      <c r="AD1795" s="350">
        <v>1.9882678178571427</v>
      </c>
      <c r="AE1795" s="349">
        <v>0</v>
      </c>
      <c r="AF1795" s="349">
        <v>0</v>
      </c>
      <c r="AG1795" s="349">
        <v>0</v>
      </c>
      <c r="AH1795" s="351"/>
      <c r="AI1795" s="351">
        <v>0.65206246941678536</v>
      </c>
      <c r="AJ1795" s="351">
        <v>0.65610675000000007</v>
      </c>
      <c r="AK1795" s="351">
        <v>1.9882678178571427</v>
      </c>
      <c r="AL1795" s="352">
        <v>0</v>
      </c>
      <c r="AM1795" s="352">
        <v>1</v>
      </c>
      <c r="AN1795" s="352">
        <v>1</v>
      </c>
      <c r="AO1795" s="352">
        <v>1</v>
      </c>
    </row>
    <row r="1796" spans="1:41" hidden="1">
      <c r="A1796" s="342" t="s">
        <v>326</v>
      </c>
      <c r="B1796" s="277" t="s">
        <v>326</v>
      </c>
      <c r="C1796" s="277">
        <v>0</v>
      </c>
      <c r="D1796" s="343" t="s">
        <v>19550</v>
      </c>
      <c r="E1796" s="277" t="s">
        <v>326</v>
      </c>
      <c r="F1796" s="618">
        <v>45586</v>
      </c>
      <c r="G1796" s="619">
        <v>2024</v>
      </c>
      <c r="H1796" s="383" t="s">
        <v>16444</v>
      </c>
      <c r="I1796" s="277" t="s">
        <v>16445</v>
      </c>
      <c r="J1796" s="277" t="s">
        <v>3</v>
      </c>
      <c r="K1796" s="278">
        <v>39632.5</v>
      </c>
      <c r="L1796" s="383">
        <v>1</v>
      </c>
      <c r="M1796" s="384">
        <v>39632.5</v>
      </c>
      <c r="N1796" s="277" t="s">
        <v>20155</v>
      </c>
      <c r="O1796" s="277" t="s">
        <v>17693</v>
      </c>
      <c r="P1796" s="890">
        <v>45589</v>
      </c>
      <c r="Q1796" s="347">
        <v>20750</v>
      </c>
      <c r="R1796" s="347">
        <v>0</v>
      </c>
      <c r="S1796" s="347">
        <v>0</v>
      </c>
      <c r="T1796" s="347">
        <v>0</v>
      </c>
      <c r="U1796" s="347">
        <v>20750</v>
      </c>
      <c r="V1796" s="348"/>
      <c r="W1796" s="349">
        <v>39632.5</v>
      </c>
      <c r="X1796" s="349">
        <v>0</v>
      </c>
      <c r="Y1796" s="349">
        <v>0</v>
      </c>
      <c r="Z1796" s="349">
        <v>0</v>
      </c>
      <c r="AA1796" s="350">
        <v>1.91</v>
      </c>
      <c r="AB1796" s="350" t="e">
        <v>#DIV/0!</v>
      </c>
      <c r="AC1796" s="350" t="e">
        <v>#DIV/0!</v>
      </c>
      <c r="AD1796" s="350" t="e">
        <v>#DIV/0!</v>
      </c>
      <c r="AE1796" s="349">
        <v>0</v>
      </c>
      <c r="AF1796" s="349">
        <v>0</v>
      </c>
      <c r="AG1796" s="349">
        <v>0</v>
      </c>
      <c r="AH1796" s="351">
        <v>1.91</v>
      </c>
      <c r="AI1796" s="351"/>
      <c r="AJ1796" s="351"/>
      <c r="AK1796" s="351"/>
      <c r="AL1796" s="352" t="s">
        <v>20356</v>
      </c>
      <c r="AM1796" s="352">
        <v>0</v>
      </c>
      <c r="AN1796" s="352">
        <v>0</v>
      </c>
      <c r="AO1796" s="352">
        <v>0</v>
      </c>
    </row>
    <row r="1797" spans="1:41" hidden="1">
      <c r="A1797" s="342" t="s">
        <v>327</v>
      </c>
      <c r="B1797" s="277" t="s">
        <v>327</v>
      </c>
      <c r="C1797" s="277">
        <v>0</v>
      </c>
      <c r="D1797" s="343" t="s">
        <v>19551</v>
      </c>
      <c r="E1797" s="277" t="s">
        <v>327</v>
      </c>
      <c r="F1797" s="618">
        <v>45586</v>
      </c>
      <c r="G1797" s="619">
        <v>2024</v>
      </c>
      <c r="H1797" s="383" t="s">
        <v>17156</v>
      </c>
      <c r="I1797" s="277" t="s">
        <v>17157</v>
      </c>
      <c r="J1797" s="277" t="s">
        <v>3</v>
      </c>
      <c r="K1797" s="278">
        <v>40500</v>
      </c>
      <c r="L1797" s="383">
        <v>1</v>
      </c>
      <c r="M1797" s="384">
        <v>40500</v>
      </c>
      <c r="N1797" s="277" t="s">
        <v>20155</v>
      </c>
      <c r="O1797" s="277" t="s">
        <v>20161</v>
      </c>
      <c r="P1797" s="890">
        <v>45607</v>
      </c>
      <c r="Q1797" s="347">
        <v>20000</v>
      </c>
      <c r="R1797" s="347">
        <v>0</v>
      </c>
      <c r="S1797" s="347">
        <v>0</v>
      </c>
      <c r="T1797" s="347">
        <v>0</v>
      </c>
      <c r="U1797" s="347">
        <v>20000</v>
      </c>
      <c r="V1797" s="348"/>
      <c r="W1797" s="349">
        <v>40500</v>
      </c>
      <c r="X1797" s="349">
        <v>0</v>
      </c>
      <c r="Y1797" s="349">
        <v>0</v>
      </c>
      <c r="Z1797" s="349">
        <v>0</v>
      </c>
      <c r="AA1797" s="350">
        <v>2.0249999999999999</v>
      </c>
      <c r="AB1797" s="350" t="e">
        <v>#DIV/0!</v>
      </c>
      <c r="AC1797" s="350" t="e">
        <v>#DIV/0!</v>
      </c>
      <c r="AD1797" s="350" t="e">
        <v>#DIV/0!</v>
      </c>
      <c r="AE1797" s="349">
        <v>0</v>
      </c>
      <c r="AF1797" s="349">
        <v>0</v>
      </c>
      <c r="AG1797" s="349">
        <v>0</v>
      </c>
      <c r="AH1797" s="351">
        <v>2.0249999999999999</v>
      </c>
      <c r="AI1797" s="351"/>
      <c r="AJ1797" s="351"/>
      <c r="AK1797" s="351"/>
      <c r="AL1797" s="352">
        <v>1</v>
      </c>
      <c r="AM1797" s="352">
        <v>0</v>
      </c>
      <c r="AN1797" s="352">
        <v>0</v>
      </c>
      <c r="AO1797" s="352">
        <v>0</v>
      </c>
    </row>
    <row r="1798" spans="1:41" hidden="1">
      <c r="A1798" s="342" t="s">
        <v>328</v>
      </c>
      <c r="B1798" s="277" t="s">
        <v>328</v>
      </c>
      <c r="C1798" s="277">
        <v>0</v>
      </c>
      <c r="D1798" s="343" t="s">
        <v>19552</v>
      </c>
      <c r="E1798" s="277" t="s">
        <v>328</v>
      </c>
      <c r="F1798" s="618">
        <v>45587</v>
      </c>
      <c r="G1798" s="619">
        <v>2024</v>
      </c>
      <c r="H1798" s="383" t="s">
        <v>17342</v>
      </c>
      <c r="I1798" s="277" t="s">
        <v>17343</v>
      </c>
      <c r="J1798" s="277" t="s">
        <v>16482</v>
      </c>
      <c r="K1798" s="278">
        <v>17510.580701999999</v>
      </c>
      <c r="L1798" s="383">
        <v>3.3646500000000001</v>
      </c>
      <c r="M1798" s="384">
        <v>5204.28</v>
      </c>
      <c r="N1798" s="277" t="s">
        <v>20155</v>
      </c>
      <c r="O1798" s="277" t="s">
        <v>16394</v>
      </c>
      <c r="P1798" s="890">
        <v>45589</v>
      </c>
      <c r="Q1798" s="347">
        <v>1600</v>
      </c>
      <c r="R1798" s="347">
        <v>18696</v>
      </c>
      <c r="S1798" s="347">
        <v>2400</v>
      </c>
      <c r="T1798" s="347">
        <v>560</v>
      </c>
      <c r="U1798" s="347">
        <v>23256</v>
      </c>
      <c r="V1798" s="348"/>
      <c r="W1798" s="349">
        <v>1076.6880000000001</v>
      </c>
      <c r="X1798" s="349">
        <v>11635.094286</v>
      </c>
      <c r="Y1798" s="349">
        <v>1574.6561999999999</v>
      </c>
      <c r="Z1798" s="349">
        <v>3224.1422159999997</v>
      </c>
      <c r="AA1798" s="350">
        <v>0.67293000000000003</v>
      </c>
      <c r="AB1798" s="350">
        <v>0.62233067426187416</v>
      </c>
      <c r="AC1798" s="350">
        <v>0.65610674999999996</v>
      </c>
      <c r="AD1798" s="350">
        <v>5.7573968142857135</v>
      </c>
      <c r="AE1798" s="349">
        <v>0</v>
      </c>
      <c r="AF1798" s="349">
        <v>0</v>
      </c>
      <c r="AG1798" s="349">
        <v>0</v>
      </c>
      <c r="AH1798" s="351">
        <v>0.67293000000000003</v>
      </c>
      <c r="AI1798" s="351">
        <v>0.62233067426187416</v>
      </c>
      <c r="AJ1798" s="351">
        <v>0.65610674999999996</v>
      </c>
      <c r="AK1798" s="351">
        <v>5.7573968142857135</v>
      </c>
      <c r="AL1798" s="352">
        <v>1</v>
      </c>
      <c r="AM1798" s="352">
        <v>1</v>
      </c>
      <c r="AN1798" s="352">
        <v>1</v>
      </c>
      <c r="AO1798" s="352">
        <v>1</v>
      </c>
    </row>
    <row r="1799" spans="1:41" hidden="1">
      <c r="A1799" s="342" t="s">
        <v>329</v>
      </c>
      <c r="B1799" s="277" t="s">
        <v>329</v>
      </c>
      <c r="C1799" s="277">
        <v>0</v>
      </c>
      <c r="D1799" s="343" t="s">
        <v>19553</v>
      </c>
      <c r="E1799" s="277" t="s">
        <v>329</v>
      </c>
      <c r="F1799" s="618">
        <v>45587</v>
      </c>
      <c r="G1799" s="619">
        <v>2024</v>
      </c>
      <c r="H1799" s="383" t="s">
        <v>17342</v>
      </c>
      <c r="I1799" s="277" t="s">
        <v>17343</v>
      </c>
      <c r="J1799" s="277" t="s">
        <v>16482</v>
      </c>
      <c r="K1799" s="278">
        <v>42391.326289500001</v>
      </c>
      <c r="L1799" s="383">
        <v>3.3646500000000001</v>
      </c>
      <c r="M1799" s="384">
        <v>12599.03</v>
      </c>
      <c r="N1799" s="277" t="s">
        <v>20155</v>
      </c>
      <c r="O1799" s="277" t="s">
        <v>16394</v>
      </c>
      <c r="P1799" s="890">
        <v>45589</v>
      </c>
      <c r="Q1799" s="347">
        <v>0</v>
      </c>
      <c r="R1799" s="347">
        <v>32664</v>
      </c>
      <c r="S1799" s="347">
        <v>7200</v>
      </c>
      <c r="T1799" s="347">
        <v>6160</v>
      </c>
      <c r="U1799" s="347">
        <v>46024</v>
      </c>
      <c r="V1799" s="348"/>
      <c r="W1799" s="349">
        <v>0</v>
      </c>
      <c r="X1799" s="349">
        <v>20116.838592000004</v>
      </c>
      <c r="Y1799" s="349">
        <v>4723.9686000000002</v>
      </c>
      <c r="Z1799" s="349">
        <v>17550.552744000001</v>
      </c>
      <c r="AA1799" s="350" t="e">
        <v>#DIV/0!</v>
      </c>
      <c r="AB1799" s="350">
        <v>0.61587186480529033</v>
      </c>
      <c r="AC1799" s="350">
        <v>0.65610675000000007</v>
      </c>
      <c r="AD1799" s="350">
        <v>2.8491157051948051</v>
      </c>
      <c r="AE1799" s="349">
        <v>0</v>
      </c>
      <c r="AF1799" s="349">
        <v>0</v>
      </c>
      <c r="AG1799" s="349">
        <v>0</v>
      </c>
      <c r="AH1799" s="351"/>
      <c r="AI1799" s="351">
        <v>0.61587186480529033</v>
      </c>
      <c r="AJ1799" s="351">
        <v>0.65610675000000007</v>
      </c>
      <c r="AK1799" s="351">
        <v>2.8491157051948051</v>
      </c>
      <c r="AL1799" s="352">
        <v>0</v>
      </c>
      <c r="AM1799" s="352">
        <v>1</v>
      </c>
      <c r="AN1799" s="352">
        <v>1</v>
      </c>
      <c r="AO1799" s="352">
        <v>1</v>
      </c>
    </row>
    <row r="1800" spans="1:41" hidden="1">
      <c r="A1800" s="342" t="s">
        <v>330</v>
      </c>
      <c r="B1800" s="277" t="s">
        <v>330</v>
      </c>
      <c r="C1800" s="277">
        <v>0</v>
      </c>
      <c r="D1800" s="343" t="s">
        <v>19554</v>
      </c>
      <c r="E1800" s="277" t="s">
        <v>330</v>
      </c>
      <c r="F1800" s="618">
        <v>45590</v>
      </c>
      <c r="G1800" s="619">
        <v>2024</v>
      </c>
      <c r="H1800" s="383" t="s">
        <v>17342</v>
      </c>
      <c r="I1800" s="277" t="s">
        <v>17343</v>
      </c>
      <c r="J1800" s="277" t="s">
        <v>16482</v>
      </c>
      <c r="K1800" s="278">
        <v>15809.819706</v>
      </c>
      <c r="L1800" s="383">
        <v>3.3644500000000002</v>
      </c>
      <c r="M1800" s="384">
        <v>4699.08</v>
      </c>
      <c r="N1800" s="277" t="s">
        <v>20155</v>
      </c>
      <c r="O1800" s="277" t="s">
        <v>16394</v>
      </c>
      <c r="P1800" s="890">
        <v>45594</v>
      </c>
      <c r="Q1800" s="347">
        <v>0</v>
      </c>
      <c r="R1800" s="347">
        <v>17664</v>
      </c>
      <c r="S1800" s="347">
        <v>6000</v>
      </c>
      <c r="T1800" s="347">
        <v>0</v>
      </c>
      <c r="U1800" s="347">
        <v>23664</v>
      </c>
      <c r="V1800" s="348"/>
      <c r="W1800" s="349">
        <v>0</v>
      </c>
      <c r="X1800" s="349">
        <v>11873.413205999997</v>
      </c>
      <c r="Y1800" s="349">
        <v>3936.4065000000001</v>
      </c>
      <c r="Z1800" s="349">
        <v>0</v>
      </c>
      <c r="AA1800" s="350" t="e">
        <v>#DIV/0!</v>
      </c>
      <c r="AB1800" s="350">
        <v>0.67218145414402164</v>
      </c>
      <c r="AC1800" s="350">
        <v>0.65606775000000006</v>
      </c>
      <c r="AD1800" s="350" t="e">
        <v>#DIV/0!</v>
      </c>
      <c r="AE1800" s="349">
        <v>0</v>
      </c>
      <c r="AF1800" s="349">
        <v>0</v>
      </c>
      <c r="AG1800" s="349">
        <v>0</v>
      </c>
      <c r="AH1800" s="351"/>
      <c r="AI1800" s="351">
        <v>0.67218145414402164</v>
      </c>
      <c r="AJ1800" s="351">
        <v>0.65606775000000006</v>
      </c>
      <c r="AK1800" s="351"/>
      <c r="AL1800" s="352">
        <v>0</v>
      </c>
      <c r="AM1800" s="352">
        <v>1</v>
      </c>
      <c r="AN1800" s="352">
        <v>1</v>
      </c>
      <c r="AO1800" s="352">
        <v>0</v>
      </c>
    </row>
    <row r="1801" spans="1:41" hidden="1">
      <c r="A1801" s="342" t="s">
        <v>331</v>
      </c>
      <c r="B1801" s="277" t="s">
        <v>331</v>
      </c>
      <c r="C1801" s="277">
        <v>0</v>
      </c>
      <c r="D1801" s="343" t="s">
        <v>19555</v>
      </c>
      <c r="E1801" s="277" t="s">
        <v>331</v>
      </c>
      <c r="F1801" s="618">
        <v>45590</v>
      </c>
      <c r="G1801" s="619">
        <v>2024</v>
      </c>
      <c r="H1801" s="383"/>
      <c r="I1801" s="277" t="e">
        <v>#N/A</v>
      </c>
      <c r="J1801" s="277" t="e">
        <v>#N/A</v>
      </c>
      <c r="K1801" s="278">
        <v>315000</v>
      </c>
      <c r="L1801" s="383">
        <v>1</v>
      </c>
      <c r="M1801" s="384">
        <v>315000</v>
      </c>
      <c r="N1801" s="277" t="s">
        <v>20155</v>
      </c>
      <c r="O1801" s="277" t="s">
        <v>17939</v>
      </c>
      <c r="P1801" s="890">
        <v>45597</v>
      </c>
      <c r="Q1801" s="347">
        <v>150000</v>
      </c>
      <c r="R1801" s="347">
        <v>0</v>
      </c>
      <c r="S1801" s="347">
        <v>0</v>
      </c>
      <c r="T1801" s="347">
        <v>0</v>
      </c>
      <c r="U1801" s="347">
        <v>150000</v>
      </c>
      <c r="V1801" s="348"/>
      <c r="W1801" s="349">
        <v>315000</v>
      </c>
      <c r="X1801" s="349">
        <v>0</v>
      </c>
      <c r="Y1801" s="349">
        <v>0</v>
      </c>
      <c r="Z1801" s="349">
        <v>0</v>
      </c>
      <c r="AA1801" s="350">
        <v>2.1</v>
      </c>
      <c r="AB1801" s="350" t="e">
        <v>#DIV/0!</v>
      </c>
      <c r="AC1801" s="350" t="e">
        <v>#DIV/0!</v>
      </c>
      <c r="AD1801" s="350" t="e">
        <v>#DIV/0!</v>
      </c>
      <c r="AE1801" s="349">
        <v>0</v>
      </c>
      <c r="AF1801" s="349">
        <v>0</v>
      </c>
      <c r="AG1801" s="349">
        <v>0</v>
      </c>
      <c r="AH1801" s="351">
        <v>2.1</v>
      </c>
      <c r="AI1801" s="351"/>
      <c r="AJ1801" s="351"/>
      <c r="AK1801" s="351"/>
      <c r="AL1801" s="352" t="s">
        <v>20356</v>
      </c>
      <c r="AM1801" s="352">
        <v>0</v>
      </c>
      <c r="AN1801" s="352">
        <v>0</v>
      </c>
      <c r="AO1801" s="352">
        <v>0</v>
      </c>
    </row>
    <row r="1802" spans="1:41" hidden="1">
      <c r="A1802" s="342" t="s">
        <v>332</v>
      </c>
      <c r="B1802" s="277" t="s">
        <v>332</v>
      </c>
      <c r="C1802" s="277">
        <v>0</v>
      </c>
      <c r="D1802" s="343" t="s">
        <v>19556</v>
      </c>
      <c r="E1802" s="277" t="s">
        <v>332</v>
      </c>
      <c r="F1802" s="618">
        <v>45593</v>
      </c>
      <c r="G1802" s="619">
        <v>2024</v>
      </c>
      <c r="H1802" s="383" t="s">
        <v>16444</v>
      </c>
      <c r="I1802" s="277" t="s">
        <v>16445</v>
      </c>
      <c r="J1802" s="277" t="s">
        <v>3</v>
      </c>
      <c r="K1802" s="278">
        <v>39632.5</v>
      </c>
      <c r="L1802" s="383">
        <v>1</v>
      </c>
      <c r="M1802" s="384">
        <v>39632.5</v>
      </c>
      <c r="N1802" s="277" t="s">
        <v>20155</v>
      </c>
      <c r="O1802" s="277" t="s">
        <v>17693</v>
      </c>
      <c r="P1802" s="890">
        <v>45616</v>
      </c>
      <c r="Q1802" s="347">
        <v>20750</v>
      </c>
      <c r="R1802" s="347">
        <v>0</v>
      </c>
      <c r="S1802" s="347">
        <v>0</v>
      </c>
      <c r="T1802" s="347">
        <v>0</v>
      </c>
      <c r="U1802" s="347">
        <v>20750</v>
      </c>
      <c r="V1802" s="348"/>
      <c r="W1802" s="349">
        <v>39632.5</v>
      </c>
      <c r="X1802" s="349">
        <v>0</v>
      </c>
      <c r="Y1802" s="349">
        <v>0</v>
      </c>
      <c r="Z1802" s="349">
        <v>0</v>
      </c>
      <c r="AA1802" s="350">
        <v>1.91</v>
      </c>
      <c r="AB1802" s="350" t="e">
        <v>#DIV/0!</v>
      </c>
      <c r="AC1802" s="350" t="e">
        <v>#DIV/0!</v>
      </c>
      <c r="AD1802" s="350" t="e">
        <v>#DIV/0!</v>
      </c>
      <c r="AE1802" s="349">
        <v>0</v>
      </c>
      <c r="AF1802" s="349">
        <v>0</v>
      </c>
      <c r="AG1802" s="349">
        <v>0</v>
      </c>
      <c r="AH1802" s="351">
        <v>1.91</v>
      </c>
      <c r="AI1802" s="351"/>
      <c r="AJ1802" s="351"/>
      <c r="AK1802" s="351"/>
      <c r="AL1802" s="352" t="s">
        <v>20356</v>
      </c>
      <c r="AM1802" s="352">
        <v>0</v>
      </c>
      <c r="AN1802" s="352">
        <v>0</v>
      </c>
      <c r="AO1802" s="352">
        <v>0</v>
      </c>
    </row>
    <row r="1803" spans="1:41" hidden="1">
      <c r="A1803" s="342" t="s">
        <v>333</v>
      </c>
      <c r="B1803" s="277" t="s">
        <v>333</v>
      </c>
      <c r="C1803" s="277">
        <v>0</v>
      </c>
      <c r="D1803" s="343" t="s">
        <v>19557</v>
      </c>
      <c r="E1803" s="277" t="s">
        <v>333</v>
      </c>
      <c r="F1803" s="618">
        <v>45593</v>
      </c>
      <c r="G1803" s="619">
        <v>2024</v>
      </c>
      <c r="H1803" s="383" t="s">
        <v>17017</v>
      </c>
      <c r="I1803" s="277" t="s">
        <v>17018</v>
      </c>
      <c r="J1803" s="277" t="s">
        <v>3</v>
      </c>
      <c r="K1803" s="278">
        <v>45100</v>
      </c>
      <c r="L1803" s="383">
        <v>1</v>
      </c>
      <c r="M1803" s="384">
        <v>45100</v>
      </c>
      <c r="N1803" s="277" t="s">
        <v>20155</v>
      </c>
      <c r="O1803" s="277" t="s">
        <v>20350</v>
      </c>
      <c r="P1803" s="890">
        <v>45596</v>
      </c>
      <c r="Q1803" s="347">
        <v>0</v>
      </c>
      <c r="R1803" s="347">
        <v>20500</v>
      </c>
      <c r="S1803" s="347">
        <v>0</v>
      </c>
      <c r="T1803" s="347">
        <v>0</v>
      </c>
      <c r="U1803" s="347">
        <v>20500</v>
      </c>
      <c r="V1803" s="348"/>
      <c r="W1803" s="349">
        <v>0</v>
      </c>
      <c r="X1803" s="349">
        <v>45100</v>
      </c>
      <c r="Y1803" s="349">
        <v>0</v>
      </c>
      <c r="Z1803" s="349">
        <v>0</v>
      </c>
      <c r="AA1803" s="350" t="e">
        <v>#DIV/0!</v>
      </c>
      <c r="AB1803" s="350">
        <v>2.2000000000000002</v>
      </c>
      <c r="AC1803" s="350" t="e">
        <v>#DIV/0!</v>
      </c>
      <c r="AD1803" s="350" t="e">
        <v>#DIV/0!</v>
      </c>
      <c r="AE1803" s="349">
        <v>0</v>
      </c>
      <c r="AF1803" s="349">
        <v>0</v>
      </c>
      <c r="AG1803" s="349">
        <v>0</v>
      </c>
      <c r="AH1803" s="351"/>
      <c r="AI1803" s="351">
        <v>2.2000000000000002</v>
      </c>
      <c r="AJ1803" s="351"/>
      <c r="AK1803" s="351"/>
      <c r="AL1803" s="352">
        <v>0</v>
      </c>
      <c r="AM1803" s="352">
        <v>1</v>
      </c>
      <c r="AN1803" s="352">
        <v>0</v>
      </c>
      <c r="AO1803" s="352">
        <v>0</v>
      </c>
    </row>
    <row r="1804" spans="1:41" hidden="1">
      <c r="A1804" s="342" t="s">
        <v>334</v>
      </c>
      <c r="B1804" s="277" t="s">
        <v>334</v>
      </c>
      <c r="C1804" s="277">
        <v>0</v>
      </c>
      <c r="D1804" s="343" t="s">
        <v>19558</v>
      </c>
      <c r="E1804" s="277" t="s">
        <v>334</v>
      </c>
      <c r="F1804" s="618">
        <v>45593</v>
      </c>
      <c r="G1804" s="619">
        <v>2024</v>
      </c>
      <c r="H1804" s="383" t="s">
        <v>16444</v>
      </c>
      <c r="I1804" s="277" t="s">
        <v>16445</v>
      </c>
      <c r="J1804" s="277" t="s">
        <v>3</v>
      </c>
      <c r="K1804" s="278">
        <v>38208</v>
      </c>
      <c r="L1804" s="383">
        <v>1</v>
      </c>
      <c r="M1804" s="384">
        <v>38208</v>
      </c>
      <c r="N1804" s="277" t="s">
        <v>20155</v>
      </c>
      <c r="O1804" s="277" t="s">
        <v>18248</v>
      </c>
      <c r="P1804" s="890">
        <v>45596</v>
      </c>
      <c r="Q1804" s="347">
        <v>19200</v>
      </c>
      <c r="R1804" s="347">
        <v>0</v>
      </c>
      <c r="S1804" s="347">
        <v>0</v>
      </c>
      <c r="T1804" s="347">
        <v>0</v>
      </c>
      <c r="U1804" s="347">
        <v>19200</v>
      </c>
      <c r="V1804" s="348"/>
      <c r="W1804" s="349">
        <v>38208</v>
      </c>
      <c r="X1804" s="349">
        <v>0</v>
      </c>
      <c r="Y1804" s="349">
        <v>0</v>
      </c>
      <c r="Z1804" s="349">
        <v>0</v>
      </c>
      <c r="AA1804" s="350">
        <v>1.99</v>
      </c>
      <c r="AB1804" s="350" t="e">
        <v>#DIV/0!</v>
      </c>
      <c r="AC1804" s="350" t="e">
        <v>#DIV/0!</v>
      </c>
      <c r="AD1804" s="350" t="e">
        <v>#DIV/0!</v>
      </c>
      <c r="AE1804" s="349">
        <v>0</v>
      </c>
      <c r="AF1804" s="349">
        <v>0</v>
      </c>
      <c r="AG1804" s="349">
        <v>0</v>
      </c>
      <c r="AH1804" s="351">
        <v>1.99</v>
      </c>
      <c r="AI1804" s="351"/>
      <c r="AJ1804" s="351"/>
      <c r="AK1804" s="351"/>
      <c r="AL1804" s="352" t="s">
        <v>20356</v>
      </c>
      <c r="AM1804" s="352">
        <v>0</v>
      </c>
      <c r="AN1804" s="352">
        <v>0</v>
      </c>
      <c r="AO1804" s="352">
        <v>0</v>
      </c>
    </row>
    <row r="1805" spans="1:41" hidden="1">
      <c r="A1805" s="342" t="s">
        <v>335</v>
      </c>
      <c r="B1805" s="277" t="s">
        <v>335</v>
      </c>
      <c r="C1805" s="277">
        <v>0</v>
      </c>
      <c r="D1805" s="343" t="s">
        <v>19559</v>
      </c>
      <c r="E1805" s="277" t="s">
        <v>335</v>
      </c>
      <c r="F1805" s="618">
        <v>45594</v>
      </c>
      <c r="G1805" s="619">
        <v>2024</v>
      </c>
      <c r="H1805" s="383" t="s">
        <v>17349</v>
      </c>
      <c r="I1805" s="277" t="s">
        <v>17350</v>
      </c>
      <c r="J1805" s="277" t="s">
        <v>16401</v>
      </c>
      <c r="K1805" s="278">
        <v>285654.408</v>
      </c>
      <c r="L1805" s="383">
        <v>3.1570999999999998</v>
      </c>
      <c r="M1805" s="384">
        <v>90480</v>
      </c>
      <c r="N1805" s="277" t="s">
        <v>20155</v>
      </c>
      <c r="O1805" s="277" t="s">
        <v>20377</v>
      </c>
      <c r="P1805" s="890">
        <v>45618</v>
      </c>
      <c r="Q1805" s="347">
        <v>0</v>
      </c>
      <c r="R1805" s="347">
        <v>0</v>
      </c>
      <c r="S1805" s="347">
        <v>156000</v>
      </c>
      <c r="T1805" s="347">
        <v>0</v>
      </c>
      <c r="U1805" s="347">
        <v>156000</v>
      </c>
      <c r="V1805" s="348"/>
      <c r="W1805" s="349">
        <v>0</v>
      </c>
      <c r="X1805" s="349">
        <v>0</v>
      </c>
      <c r="Y1805" s="349">
        <v>285654.408</v>
      </c>
      <c r="Z1805" s="349">
        <v>0</v>
      </c>
      <c r="AA1805" s="350" t="e">
        <v>#DIV/0!</v>
      </c>
      <c r="AB1805" s="350" t="e">
        <v>#DIV/0!</v>
      </c>
      <c r="AC1805" s="350">
        <v>1.831118</v>
      </c>
      <c r="AD1805" s="350" t="e">
        <v>#DIV/0!</v>
      </c>
      <c r="AE1805" s="349">
        <v>6909.72</v>
      </c>
      <c r="AF1805" s="349">
        <v>37957.131999999998</v>
      </c>
      <c r="AG1805" s="349">
        <v>0.2433149487179487</v>
      </c>
      <c r="AH1805" s="351"/>
      <c r="AI1805" s="351"/>
      <c r="AJ1805" s="351">
        <v>1.5878030512820513</v>
      </c>
      <c r="AK1805" s="351"/>
      <c r="AL1805" s="352">
        <v>0</v>
      </c>
      <c r="AM1805" s="352">
        <v>0</v>
      </c>
      <c r="AN1805" s="352">
        <v>1</v>
      </c>
      <c r="AO1805" s="352">
        <v>0</v>
      </c>
    </row>
    <row r="1806" spans="1:41" hidden="1">
      <c r="A1806" s="342" t="s">
        <v>336</v>
      </c>
      <c r="B1806" s="277" t="s">
        <v>336</v>
      </c>
      <c r="C1806" s="277">
        <v>0</v>
      </c>
      <c r="D1806" s="343" t="s">
        <v>19560</v>
      </c>
      <c r="E1806" s="277" t="s">
        <v>336</v>
      </c>
      <c r="F1806" s="618">
        <v>45594</v>
      </c>
      <c r="G1806" s="619">
        <v>2024</v>
      </c>
      <c r="H1806" s="383" t="s">
        <v>16823</v>
      </c>
      <c r="I1806" s="277" t="s">
        <v>16824</v>
      </c>
      <c r="J1806" s="277" t="s">
        <v>16401</v>
      </c>
      <c r="K1806" s="278">
        <v>116850.4283</v>
      </c>
      <c r="L1806" s="383">
        <v>3.1644999999999999</v>
      </c>
      <c r="M1806" s="384">
        <v>36925.4</v>
      </c>
      <c r="N1806" s="277" t="s">
        <v>20155</v>
      </c>
      <c r="O1806" s="277" t="s">
        <v>20381</v>
      </c>
      <c r="P1806" s="890">
        <v>45616</v>
      </c>
      <c r="Q1806" s="347">
        <v>0</v>
      </c>
      <c r="R1806" s="347">
        <v>15780</v>
      </c>
      <c r="S1806" s="347">
        <v>37400</v>
      </c>
      <c r="T1806" s="347">
        <v>0</v>
      </c>
      <c r="U1806" s="347">
        <v>53180</v>
      </c>
      <c r="V1806" s="348"/>
      <c r="W1806" s="349">
        <v>0</v>
      </c>
      <c r="X1806" s="349">
        <v>37131.096448928169</v>
      </c>
      <c r="Y1806" s="349">
        <v>79719.331851071824</v>
      </c>
      <c r="Z1806" s="349">
        <v>0</v>
      </c>
      <c r="AA1806" s="350" t="e">
        <v>#DIV/0!</v>
      </c>
      <c r="AB1806" s="350">
        <v>2.3530479371944342</v>
      </c>
      <c r="AC1806" s="350">
        <v>2.1315329371944336</v>
      </c>
      <c r="AD1806" s="350" t="e">
        <v>#DIV/0!</v>
      </c>
      <c r="AE1806" s="349">
        <v>3683.5619999999999</v>
      </c>
      <c r="AF1806" s="349">
        <v>18250.848000000002</v>
      </c>
      <c r="AG1806" s="349">
        <v>0.3431900714554344</v>
      </c>
      <c r="AH1806" s="351"/>
      <c r="AI1806" s="351">
        <v>2.0098578657389998</v>
      </c>
      <c r="AJ1806" s="351">
        <v>1.7883428657389993</v>
      </c>
      <c r="AK1806" s="351"/>
      <c r="AL1806" s="352">
        <v>0</v>
      </c>
      <c r="AM1806" s="352" t="s">
        <v>20346</v>
      </c>
      <c r="AN1806" s="352" t="s">
        <v>20347</v>
      </c>
      <c r="AO1806" s="352">
        <v>0</v>
      </c>
    </row>
    <row r="1807" spans="1:41" hidden="1">
      <c r="A1807" s="342" t="s">
        <v>337</v>
      </c>
      <c r="B1807" s="277" t="s">
        <v>337</v>
      </c>
      <c r="C1807" s="277">
        <v>0</v>
      </c>
      <c r="D1807" s="343" t="s">
        <v>19561</v>
      </c>
      <c r="E1807" s="277" t="s">
        <v>337</v>
      </c>
      <c r="F1807" s="618">
        <v>45594</v>
      </c>
      <c r="G1807" s="619">
        <v>2024</v>
      </c>
      <c r="H1807" s="383" t="s">
        <v>16880</v>
      </c>
      <c r="I1807" s="277" t="s">
        <v>16881</v>
      </c>
      <c r="J1807" s="277" t="s">
        <v>16401</v>
      </c>
      <c r="K1807" s="278">
        <v>76823.607426999995</v>
      </c>
      <c r="L1807" s="383">
        <v>3.1458499999999998</v>
      </c>
      <c r="M1807" s="384">
        <v>24420.62</v>
      </c>
      <c r="N1807" s="277" t="s">
        <v>20155</v>
      </c>
      <c r="O1807" s="277" t="s">
        <v>20379</v>
      </c>
      <c r="P1807" s="890">
        <v>45610</v>
      </c>
      <c r="Q1807" s="347">
        <v>16000</v>
      </c>
      <c r="R1807" s="347">
        <v>4820</v>
      </c>
      <c r="S1807" s="347">
        <v>0</v>
      </c>
      <c r="T1807" s="347">
        <v>0</v>
      </c>
      <c r="U1807" s="347">
        <v>20820</v>
      </c>
      <c r="V1807" s="348"/>
      <c r="W1807" s="349">
        <v>53967.056749999989</v>
      </c>
      <c r="X1807" s="349">
        <v>22846.169372</v>
      </c>
      <c r="Y1807" s="349">
        <v>0</v>
      </c>
      <c r="Z1807" s="349">
        <v>0</v>
      </c>
      <c r="AA1807" s="350">
        <v>3.3729410468749994</v>
      </c>
      <c r="AB1807" s="350">
        <v>4.739869164315353</v>
      </c>
      <c r="AC1807" s="350" t="e">
        <v>#DIV/0!</v>
      </c>
      <c r="AD1807" s="350" t="e">
        <v>#DIV/0!</v>
      </c>
      <c r="AE1807" s="349">
        <v>0</v>
      </c>
      <c r="AF1807" s="349">
        <v>2619.37</v>
      </c>
      <c r="AG1807" s="349">
        <v>0.12581027857829011</v>
      </c>
      <c r="AH1807" s="351">
        <v>3.2471307682967092</v>
      </c>
      <c r="AI1807" s="351">
        <v>4.6140588857370632</v>
      </c>
      <c r="AJ1807" s="351"/>
      <c r="AK1807" s="351"/>
      <c r="AL1807" s="352">
        <v>1</v>
      </c>
      <c r="AM1807" s="352">
        <v>1</v>
      </c>
      <c r="AN1807" s="352">
        <v>0</v>
      </c>
      <c r="AO1807" s="352">
        <v>0</v>
      </c>
    </row>
    <row r="1808" spans="1:41" hidden="1">
      <c r="A1808" s="342" t="s">
        <v>338</v>
      </c>
      <c r="B1808" s="277" t="s">
        <v>338</v>
      </c>
      <c r="C1808" s="277">
        <v>0</v>
      </c>
      <c r="D1808" s="343" t="s">
        <v>19562</v>
      </c>
      <c r="E1808" s="277" t="s">
        <v>338</v>
      </c>
      <c r="F1808" s="618">
        <v>45594</v>
      </c>
      <c r="G1808" s="619">
        <v>2024</v>
      </c>
      <c r="H1808" s="383" t="s">
        <v>17374</v>
      </c>
      <c r="I1808" s="277" t="s">
        <v>17375</v>
      </c>
      <c r="J1808" s="277" t="s">
        <v>16482</v>
      </c>
      <c r="K1808" s="278">
        <v>171405.42120000001</v>
      </c>
      <c r="L1808" s="383">
        <v>3.3601000000000001</v>
      </c>
      <c r="M1808" s="384">
        <v>51012</v>
      </c>
      <c r="N1808" s="277" t="s">
        <v>20155</v>
      </c>
      <c r="O1808" s="277" t="s">
        <v>20173</v>
      </c>
      <c r="P1808" s="890">
        <v>45607</v>
      </c>
      <c r="Q1808" s="347">
        <v>0</v>
      </c>
      <c r="R1808" s="347">
        <v>93600</v>
      </c>
      <c r="S1808" s="347">
        <v>0</v>
      </c>
      <c r="T1808" s="347">
        <v>0</v>
      </c>
      <c r="U1808" s="347">
        <v>93600</v>
      </c>
      <c r="V1808" s="348"/>
      <c r="W1808" s="349">
        <v>0</v>
      </c>
      <c r="X1808" s="349">
        <v>171405.42120000004</v>
      </c>
      <c r="Y1808" s="349">
        <v>0</v>
      </c>
      <c r="Z1808" s="349">
        <v>0</v>
      </c>
      <c r="AA1808" s="350" t="e">
        <v>#DIV/0!</v>
      </c>
      <c r="AB1808" s="350">
        <v>1.8312545000000005</v>
      </c>
      <c r="AC1808" s="350" t="e">
        <v>#DIV/0!</v>
      </c>
      <c r="AD1808" s="350" t="e">
        <v>#DIV/0!</v>
      </c>
      <c r="AE1808" s="349">
        <v>4886.8</v>
      </c>
      <c r="AF1808" s="349">
        <v>27056.400000000001</v>
      </c>
      <c r="AG1808" s="349">
        <v>0.28906410256410259</v>
      </c>
      <c r="AH1808" s="351"/>
      <c r="AI1808" s="351">
        <v>1.5421903974358979</v>
      </c>
      <c r="AJ1808" s="351"/>
      <c r="AK1808" s="351"/>
      <c r="AL1808" s="352">
        <v>0</v>
      </c>
      <c r="AM1808" s="352" t="s">
        <v>20348</v>
      </c>
      <c r="AN1808" s="352">
        <v>0</v>
      </c>
      <c r="AO1808" s="352">
        <v>0</v>
      </c>
    </row>
    <row r="1809" spans="1:41" hidden="1">
      <c r="A1809" s="342" t="s">
        <v>339</v>
      </c>
      <c r="B1809" s="277" t="s">
        <v>339</v>
      </c>
      <c r="C1809" s="277">
        <v>0</v>
      </c>
      <c r="D1809" s="343" t="s">
        <v>19563</v>
      </c>
      <c r="E1809" s="277" t="s">
        <v>339</v>
      </c>
      <c r="F1809" s="618">
        <v>45600</v>
      </c>
      <c r="G1809" s="619">
        <v>2024</v>
      </c>
      <c r="H1809" s="383" t="s">
        <v>17349</v>
      </c>
      <c r="I1809" s="277" t="s">
        <v>17350</v>
      </c>
      <c r="J1809" s="277" t="s">
        <v>16401</v>
      </c>
      <c r="K1809" s="278">
        <v>49765.787499999999</v>
      </c>
      <c r="L1809" s="383">
        <v>3.1637499999999998</v>
      </c>
      <c r="M1809" s="384">
        <v>15730</v>
      </c>
      <c r="N1809" s="277" t="s">
        <v>20155</v>
      </c>
      <c r="O1809" s="277" t="s">
        <v>20335</v>
      </c>
      <c r="P1809" s="890">
        <v>45614</v>
      </c>
      <c r="Q1809" s="347">
        <v>0</v>
      </c>
      <c r="R1809" s="347">
        <v>0</v>
      </c>
      <c r="S1809" s="347">
        <v>26000</v>
      </c>
      <c r="T1809" s="347">
        <v>0</v>
      </c>
      <c r="U1809" s="347">
        <v>26000</v>
      </c>
      <c r="V1809" s="348"/>
      <c r="W1809" s="349">
        <v>0</v>
      </c>
      <c r="X1809" s="349">
        <v>0</v>
      </c>
      <c r="Y1809" s="349">
        <v>49765.787499999999</v>
      </c>
      <c r="Z1809" s="349">
        <v>0</v>
      </c>
      <c r="AA1809" s="350" t="e">
        <v>#DIV/0!</v>
      </c>
      <c r="AB1809" s="350" t="e">
        <v>#DIV/0!</v>
      </c>
      <c r="AC1809" s="350">
        <v>1.91406875</v>
      </c>
      <c r="AD1809" s="350" t="e">
        <v>#DIV/0!</v>
      </c>
      <c r="AE1809" s="349">
        <v>1411.8125</v>
      </c>
      <c r="AF1809" s="349">
        <v>4587.55</v>
      </c>
      <c r="AG1809" s="349">
        <v>0.17644423076923077</v>
      </c>
      <c r="AH1809" s="351"/>
      <c r="AI1809" s="351"/>
      <c r="AJ1809" s="351">
        <v>1.7376245192307693</v>
      </c>
      <c r="AK1809" s="351"/>
      <c r="AL1809" s="352">
        <v>0</v>
      </c>
      <c r="AM1809" s="352">
        <v>0</v>
      </c>
      <c r="AN1809" s="352" t="s">
        <v>20347</v>
      </c>
      <c r="AO1809" s="352">
        <v>0</v>
      </c>
    </row>
    <row r="1810" spans="1:41" hidden="1">
      <c r="A1810" s="342" t="s">
        <v>340</v>
      </c>
      <c r="B1810" s="277" t="s">
        <v>340</v>
      </c>
      <c r="C1810" s="277">
        <v>0</v>
      </c>
      <c r="D1810" s="343" t="s">
        <v>19564</v>
      </c>
      <c r="E1810" s="277" t="s">
        <v>340</v>
      </c>
      <c r="F1810" s="618">
        <v>45600</v>
      </c>
      <c r="G1810" s="619">
        <v>2024</v>
      </c>
      <c r="H1810" s="383" t="s">
        <v>17309</v>
      </c>
      <c r="I1810" s="277" t="s">
        <v>17310</v>
      </c>
      <c r="J1810" s="277" t="s">
        <v>3</v>
      </c>
      <c r="K1810" s="278">
        <v>258382.5</v>
      </c>
      <c r="L1810" s="383">
        <v>1</v>
      </c>
      <c r="M1810" s="384">
        <v>258382.5</v>
      </c>
      <c r="N1810" s="277" t="s">
        <v>20155</v>
      </c>
      <c r="O1810" s="277" t="s">
        <v>20321</v>
      </c>
      <c r="P1810" s="890">
        <v>45604</v>
      </c>
      <c r="Q1810" s="347">
        <v>0</v>
      </c>
      <c r="R1810" s="347">
        <v>57750</v>
      </c>
      <c r="S1810" s="347">
        <v>105000</v>
      </c>
      <c r="T1810" s="347">
        <v>0</v>
      </c>
      <c r="U1810" s="347">
        <v>162750</v>
      </c>
      <c r="V1810" s="348"/>
      <c r="W1810" s="349">
        <v>0</v>
      </c>
      <c r="X1810" s="349">
        <v>94132.5</v>
      </c>
      <c r="Y1810" s="349">
        <v>164250</v>
      </c>
      <c r="Z1810" s="349">
        <v>0</v>
      </c>
      <c r="AA1810" s="350" t="e">
        <v>#DIV/0!</v>
      </c>
      <c r="AB1810" s="350">
        <v>1.63</v>
      </c>
      <c r="AC1810" s="350">
        <v>1.5642857142857143</v>
      </c>
      <c r="AD1810" s="350" t="e">
        <v>#DIV/0!</v>
      </c>
      <c r="AE1810" s="349">
        <v>0</v>
      </c>
      <c r="AF1810" s="349">
        <v>0</v>
      </c>
      <c r="AG1810" s="349">
        <v>0</v>
      </c>
      <c r="AH1810" s="351"/>
      <c r="AI1810" s="351">
        <v>1.63</v>
      </c>
      <c r="AJ1810" s="351">
        <v>1.5642857142857143</v>
      </c>
      <c r="AK1810" s="351"/>
      <c r="AL1810" s="352">
        <v>0</v>
      </c>
      <c r="AM1810" s="352" t="s">
        <v>20348</v>
      </c>
      <c r="AN1810" s="352" t="s">
        <v>20347</v>
      </c>
      <c r="AO1810" s="352">
        <v>0</v>
      </c>
    </row>
    <row r="1811" spans="1:41" hidden="1">
      <c r="A1811" s="342" t="s">
        <v>341</v>
      </c>
      <c r="B1811" s="277" t="s">
        <v>341</v>
      </c>
      <c r="C1811" s="277">
        <v>0</v>
      </c>
      <c r="D1811" s="343" t="s">
        <v>19565</v>
      </c>
      <c r="E1811" s="277" t="s">
        <v>341</v>
      </c>
      <c r="F1811" s="618">
        <v>45600</v>
      </c>
      <c r="G1811" s="619">
        <v>2024</v>
      </c>
      <c r="H1811" s="383" t="s">
        <v>17017</v>
      </c>
      <c r="I1811" s="277" t="s">
        <v>17018</v>
      </c>
      <c r="J1811" s="277" t="s">
        <v>3</v>
      </c>
      <c r="K1811" s="278">
        <v>43000</v>
      </c>
      <c r="L1811" s="383">
        <v>1</v>
      </c>
      <c r="M1811" s="384">
        <v>43000</v>
      </c>
      <c r="N1811" s="277" t="s">
        <v>20155</v>
      </c>
      <c r="O1811" s="277" t="s">
        <v>18064</v>
      </c>
      <c r="P1811" s="890">
        <v>45611</v>
      </c>
      <c r="Q1811" s="347">
        <v>20000</v>
      </c>
      <c r="R1811" s="347">
        <v>0</v>
      </c>
      <c r="S1811" s="347">
        <v>0</v>
      </c>
      <c r="T1811" s="347">
        <v>0</v>
      </c>
      <c r="U1811" s="347">
        <v>20000</v>
      </c>
      <c r="V1811" s="348"/>
      <c r="W1811" s="349">
        <v>43000</v>
      </c>
      <c r="X1811" s="349">
        <v>0</v>
      </c>
      <c r="Y1811" s="349">
        <v>0</v>
      </c>
      <c r="Z1811" s="349">
        <v>0</v>
      </c>
      <c r="AA1811" s="350">
        <v>2.15</v>
      </c>
      <c r="AB1811" s="350" t="e">
        <v>#DIV/0!</v>
      </c>
      <c r="AC1811" s="350" t="e">
        <v>#DIV/0!</v>
      </c>
      <c r="AD1811" s="350" t="e">
        <v>#DIV/0!</v>
      </c>
      <c r="AE1811" s="349">
        <v>0</v>
      </c>
      <c r="AF1811" s="349">
        <v>0</v>
      </c>
      <c r="AG1811" s="349">
        <v>0</v>
      </c>
      <c r="AH1811" s="351">
        <v>2.15</v>
      </c>
      <c r="AI1811" s="351"/>
      <c r="AJ1811" s="351"/>
      <c r="AK1811" s="351"/>
      <c r="AL1811" s="352">
        <v>1</v>
      </c>
      <c r="AM1811" s="352">
        <v>0</v>
      </c>
      <c r="AN1811" s="352">
        <v>0</v>
      </c>
      <c r="AO1811" s="352">
        <v>0</v>
      </c>
    </row>
    <row r="1812" spans="1:41" hidden="1">
      <c r="A1812" s="342" t="s">
        <v>342</v>
      </c>
      <c r="B1812" s="277" t="s">
        <v>342</v>
      </c>
      <c r="C1812" s="277">
        <v>0</v>
      </c>
      <c r="D1812" s="343" t="s">
        <v>19566</v>
      </c>
      <c r="E1812" s="277" t="s">
        <v>342</v>
      </c>
      <c r="F1812" s="618">
        <v>45600</v>
      </c>
      <c r="G1812" s="619">
        <v>2024</v>
      </c>
      <c r="H1812" s="383" t="s">
        <v>17329</v>
      </c>
      <c r="I1812" s="277" t="s">
        <v>17330</v>
      </c>
      <c r="J1812" s="277" t="s">
        <v>16401</v>
      </c>
      <c r="K1812" s="278">
        <v>104127.86448400001</v>
      </c>
      <c r="L1812" s="383">
        <v>3.1633</v>
      </c>
      <c r="M1812" s="384">
        <v>32917.480000000003</v>
      </c>
      <c r="N1812" s="277" t="s">
        <v>20155</v>
      </c>
      <c r="O1812" s="277" t="s">
        <v>20335</v>
      </c>
      <c r="P1812" s="890">
        <v>45615</v>
      </c>
      <c r="Q1812" s="347">
        <v>1000</v>
      </c>
      <c r="R1812" s="347">
        <v>12480</v>
      </c>
      <c r="S1812" s="347">
        <v>26006</v>
      </c>
      <c r="T1812" s="347">
        <v>6125</v>
      </c>
      <c r="U1812" s="347">
        <v>45611</v>
      </c>
      <c r="V1812" s="348"/>
      <c r="W1812" s="349">
        <v>2166.8604999999998</v>
      </c>
      <c r="X1812" s="349">
        <v>25782.160319999995</v>
      </c>
      <c r="Y1812" s="349">
        <v>42778.3434624</v>
      </c>
      <c r="Z1812" s="349">
        <v>33400.493875</v>
      </c>
      <c r="AA1812" s="350">
        <v>2.1668604999999999</v>
      </c>
      <c r="AB1812" s="350">
        <v>2.0658782307692305</v>
      </c>
      <c r="AC1812" s="350">
        <v>1.6449413005614089</v>
      </c>
      <c r="AD1812" s="350">
        <v>5.4531418571428576</v>
      </c>
      <c r="AE1812" s="349">
        <v>375</v>
      </c>
      <c r="AF1812" s="349">
        <v>4320.652</v>
      </c>
      <c r="AG1812" s="349">
        <v>9.4728289228475593E-2</v>
      </c>
      <c r="AH1812" s="351">
        <v>2.0721322107715241</v>
      </c>
      <c r="AI1812" s="351">
        <v>1.971149941540755</v>
      </c>
      <c r="AJ1812" s="351">
        <v>1.5502130113329333</v>
      </c>
      <c r="AK1812" s="351">
        <v>5.3584135679143818</v>
      </c>
      <c r="AL1812" s="352" t="s">
        <v>20356</v>
      </c>
      <c r="AM1812" s="352" t="s">
        <v>20346</v>
      </c>
      <c r="AN1812" s="352" t="s">
        <v>20347</v>
      </c>
      <c r="AO1812" s="352">
        <v>1</v>
      </c>
    </row>
    <row r="1813" spans="1:41" hidden="1">
      <c r="A1813" s="342" t="s">
        <v>343</v>
      </c>
      <c r="B1813" s="277" t="s">
        <v>343</v>
      </c>
      <c r="C1813" s="277">
        <v>0</v>
      </c>
      <c r="D1813" s="343" t="s">
        <v>19567</v>
      </c>
      <c r="E1813" s="277" t="s">
        <v>343</v>
      </c>
      <c r="F1813" s="618">
        <v>45600</v>
      </c>
      <c r="G1813" s="619">
        <v>2024</v>
      </c>
      <c r="H1813" s="383" t="s">
        <v>17394</v>
      </c>
      <c r="I1813" s="277" t="s">
        <v>17395</v>
      </c>
      <c r="J1813" s="277" t="s">
        <v>3</v>
      </c>
      <c r="K1813" s="278">
        <v>141045.12</v>
      </c>
      <c r="L1813" s="383">
        <v>1</v>
      </c>
      <c r="M1813" s="384">
        <v>141045.12</v>
      </c>
      <c r="N1813" s="277" t="s">
        <v>20155</v>
      </c>
      <c r="O1813" s="277" t="s">
        <v>17939</v>
      </c>
      <c r="P1813" s="890">
        <v>45604</v>
      </c>
      <c r="Q1813" s="347">
        <v>60019.199999999997</v>
      </c>
      <c r="R1813" s="347">
        <v>0</v>
      </c>
      <c r="S1813" s="347">
        <v>0</v>
      </c>
      <c r="T1813" s="347">
        <v>0</v>
      </c>
      <c r="U1813" s="347">
        <v>60019.199999999997</v>
      </c>
      <c r="V1813" s="348"/>
      <c r="W1813" s="349">
        <v>141045.12</v>
      </c>
      <c r="X1813" s="349">
        <v>0</v>
      </c>
      <c r="Y1813" s="349">
        <v>0</v>
      </c>
      <c r="Z1813" s="349">
        <v>0</v>
      </c>
      <c r="AA1813" s="350">
        <v>2.35</v>
      </c>
      <c r="AB1813" s="350" t="e">
        <v>#DIV/0!</v>
      </c>
      <c r="AC1813" s="350" t="e">
        <v>#DIV/0!</v>
      </c>
      <c r="AD1813" s="350" t="e">
        <v>#DIV/0!</v>
      </c>
      <c r="AE1813" s="349">
        <v>0</v>
      </c>
      <c r="AF1813" s="349">
        <v>0</v>
      </c>
      <c r="AG1813" s="349">
        <v>0</v>
      </c>
      <c r="AH1813" s="351">
        <v>2.35</v>
      </c>
      <c r="AI1813" s="351"/>
      <c r="AJ1813" s="351"/>
      <c r="AK1813" s="351"/>
      <c r="AL1813" s="352" t="s">
        <v>20356</v>
      </c>
      <c r="AM1813" s="352">
        <v>0</v>
      </c>
      <c r="AN1813" s="352">
        <v>0</v>
      </c>
      <c r="AO1813" s="352">
        <v>0</v>
      </c>
    </row>
    <row r="1814" spans="1:41" hidden="1">
      <c r="A1814" s="342" t="s">
        <v>344</v>
      </c>
      <c r="B1814" s="277" t="s">
        <v>344</v>
      </c>
      <c r="C1814" s="277">
        <v>0</v>
      </c>
      <c r="D1814" s="343" t="s">
        <v>19568</v>
      </c>
      <c r="E1814" s="277" t="s">
        <v>344</v>
      </c>
      <c r="F1814" s="618">
        <v>45604</v>
      </c>
      <c r="G1814" s="619">
        <v>2024</v>
      </c>
      <c r="H1814" s="383" t="s">
        <v>16957</v>
      </c>
      <c r="I1814" s="277" t="s">
        <v>16958</v>
      </c>
      <c r="J1814" s="277" t="s">
        <v>16401</v>
      </c>
      <c r="K1814" s="278">
        <v>47224.713737499995</v>
      </c>
      <c r="L1814" s="383">
        <v>3.1458499999999998</v>
      </c>
      <c r="M1814" s="384">
        <v>15011.75</v>
      </c>
      <c r="N1814" s="277" t="s">
        <v>20155</v>
      </c>
      <c r="O1814" s="277" t="s">
        <v>20161</v>
      </c>
      <c r="P1814" s="890">
        <v>45610</v>
      </c>
      <c r="Q1814" s="347">
        <v>20150</v>
      </c>
      <c r="R1814" s="347">
        <v>0</v>
      </c>
      <c r="S1814" s="347">
        <v>0</v>
      </c>
      <c r="T1814" s="347">
        <v>0</v>
      </c>
      <c r="U1814" s="347">
        <v>20150</v>
      </c>
      <c r="V1814" s="348"/>
      <c r="W1814" s="349">
        <v>47224.713737499995</v>
      </c>
      <c r="X1814" s="349">
        <v>0</v>
      </c>
      <c r="Y1814" s="349">
        <v>0</v>
      </c>
      <c r="Z1814" s="349">
        <v>0</v>
      </c>
      <c r="AA1814" s="350">
        <v>2.3436582499999998</v>
      </c>
      <c r="AB1814" s="350" t="e">
        <v>#DIV/0!</v>
      </c>
      <c r="AC1814" s="350" t="e">
        <v>#DIV/0!</v>
      </c>
      <c r="AD1814" s="350" t="e">
        <v>#DIV/0!</v>
      </c>
      <c r="AE1814" s="349">
        <v>893.55</v>
      </c>
      <c r="AF1814" s="349">
        <v>7057.7</v>
      </c>
      <c r="AG1814" s="349">
        <v>0.35025806451612901</v>
      </c>
      <c r="AH1814" s="351">
        <v>1.9934001854838708</v>
      </c>
      <c r="AI1814" s="351"/>
      <c r="AJ1814" s="351"/>
      <c r="AK1814" s="351"/>
      <c r="AL1814" s="352" t="s">
        <v>20356</v>
      </c>
      <c r="AM1814" s="352">
        <v>0</v>
      </c>
      <c r="AN1814" s="352">
        <v>0</v>
      </c>
      <c r="AO1814" s="352">
        <v>0</v>
      </c>
    </row>
    <row r="1815" spans="1:41" hidden="1">
      <c r="A1815" s="342" t="s">
        <v>345</v>
      </c>
      <c r="B1815" s="277" t="s">
        <v>345</v>
      </c>
      <c r="C1815" s="277">
        <v>0</v>
      </c>
      <c r="D1815" s="343" t="s">
        <v>19569</v>
      </c>
      <c r="E1815" s="277" t="s">
        <v>345</v>
      </c>
      <c r="F1815" s="618">
        <v>45604</v>
      </c>
      <c r="G1815" s="619">
        <v>2024</v>
      </c>
      <c r="H1815" s="383" t="s">
        <v>16957</v>
      </c>
      <c r="I1815" s="277" t="s">
        <v>16958</v>
      </c>
      <c r="J1815" s="277" t="s">
        <v>16401</v>
      </c>
      <c r="K1815" s="278">
        <v>110271.05635</v>
      </c>
      <c r="L1815" s="383">
        <v>3.1633</v>
      </c>
      <c r="M1815" s="384">
        <v>34859.5</v>
      </c>
      <c r="N1815" s="277" t="s">
        <v>20155</v>
      </c>
      <c r="O1815" s="277" t="s">
        <v>20161</v>
      </c>
      <c r="P1815" s="890">
        <v>45615</v>
      </c>
      <c r="Q1815" s="347">
        <v>40300</v>
      </c>
      <c r="R1815" s="347">
        <v>0</v>
      </c>
      <c r="S1815" s="347">
        <v>0</v>
      </c>
      <c r="T1815" s="347">
        <v>0</v>
      </c>
      <c r="U1815" s="347">
        <v>40300</v>
      </c>
      <c r="V1815" s="348"/>
      <c r="W1815" s="349">
        <v>110271.05635</v>
      </c>
      <c r="X1815" s="349">
        <v>0</v>
      </c>
      <c r="Y1815" s="349">
        <v>0</v>
      </c>
      <c r="Z1815" s="349">
        <v>0</v>
      </c>
      <c r="AA1815" s="350">
        <v>2.7362544999999998</v>
      </c>
      <c r="AB1815" s="350" t="e">
        <v>#DIV/0!</v>
      </c>
      <c r="AC1815" s="350" t="e">
        <v>#DIV/0!</v>
      </c>
      <c r="AD1815" s="350" t="e">
        <v>#DIV/0!</v>
      </c>
      <c r="AE1815" s="349">
        <v>1783.2149999999999</v>
      </c>
      <c r="AF1815" s="349">
        <v>14470.555</v>
      </c>
      <c r="AG1815" s="349">
        <v>0.35907084367245656</v>
      </c>
      <c r="AH1815" s="351">
        <v>2.377183656327543</v>
      </c>
      <c r="AI1815" s="351"/>
      <c r="AJ1815" s="351"/>
      <c r="AK1815" s="351"/>
      <c r="AL1815" s="352">
        <v>1</v>
      </c>
      <c r="AM1815" s="352">
        <v>0</v>
      </c>
      <c r="AN1815" s="352">
        <v>0</v>
      </c>
      <c r="AO1815" s="352">
        <v>0</v>
      </c>
    </row>
    <row r="1816" spans="1:41" hidden="1">
      <c r="A1816" s="342" t="s">
        <v>346</v>
      </c>
      <c r="B1816" s="277" t="s">
        <v>346</v>
      </c>
      <c r="C1816" s="277">
        <v>0</v>
      </c>
      <c r="D1816" s="343" t="s">
        <v>19570</v>
      </c>
      <c r="E1816" s="277" t="s">
        <v>346</v>
      </c>
      <c r="F1816" s="618">
        <v>45604</v>
      </c>
      <c r="G1816" s="619">
        <v>2024</v>
      </c>
      <c r="H1816" s="383" t="s">
        <v>16384</v>
      </c>
      <c r="I1816" s="277" t="s">
        <v>16385</v>
      </c>
      <c r="J1816" s="277" t="s">
        <v>3</v>
      </c>
      <c r="K1816" s="278">
        <v>76416</v>
      </c>
      <c r="L1816" s="383">
        <v>1</v>
      </c>
      <c r="M1816" s="384">
        <v>76416</v>
      </c>
      <c r="N1816" s="277" t="s">
        <v>20155</v>
      </c>
      <c r="O1816" s="277" t="s">
        <v>17965</v>
      </c>
      <c r="P1816" s="890">
        <v>45611</v>
      </c>
      <c r="Q1816" s="347">
        <v>38400</v>
      </c>
      <c r="R1816" s="347">
        <v>0</v>
      </c>
      <c r="S1816" s="347">
        <v>0</v>
      </c>
      <c r="T1816" s="347">
        <v>0</v>
      </c>
      <c r="U1816" s="347">
        <v>38400</v>
      </c>
      <c r="V1816" s="348"/>
      <c r="W1816" s="349">
        <v>76416</v>
      </c>
      <c r="X1816" s="349">
        <v>0</v>
      </c>
      <c r="Y1816" s="349">
        <v>0</v>
      </c>
      <c r="Z1816" s="349">
        <v>0</v>
      </c>
      <c r="AA1816" s="350">
        <v>1.99</v>
      </c>
      <c r="AB1816" s="350" t="e">
        <v>#DIV/0!</v>
      </c>
      <c r="AC1816" s="350" t="e">
        <v>#DIV/0!</v>
      </c>
      <c r="AD1816" s="350" t="e">
        <v>#DIV/0!</v>
      </c>
      <c r="AE1816" s="349">
        <v>0</v>
      </c>
      <c r="AF1816" s="349">
        <v>0</v>
      </c>
      <c r="AG1816" s="349">
        <v>0</v>
      </c>
      <c r="AH1816" s="351">
        <v>1.99</v>
      </c>
      <c r="AI1816" s="351"/>
      <c r="AJ1816" s="351"/>
      <c r="AK1816" s="351"/>
      <c r="AL1816" s="352" t="s">
        <v>20356</v>
      </c>
      <c r="AM1816" s="352">
        <v>0</v>
      </c>
      <c r="AN1816" s="352">
        <v>0</v>
      </c>
      <c r="AO1816" s="352">
        <v>0</v>
      </c>
    </row>
    <row r="1817" spans="1:41" hidden="1">
      <c r="A1817" s="342" t="s">
        <v>347</v>
      </c>
      <c r="B1817" s="277" t="s">
        <v>347</v>
      </c>
      <c r="C1817" s="277">
        <v>0</v>
      </c>
      <c r="D1817" s="343" t="s">
        <v>19571</v>
      </c>
      <c r="E1817" s="277" t="s">
        <v>347</v>
      </c>
      <c r="F1817" s="618">
        <v>45608</v>
      </c>
      <c r="G1817" s="619">
        <v>2024</v>
      </c>
      <c r="H1817" s="383" t="s">
        <v>17342</v>
      </c>
      <c r="I1817" s="277" t="s">
        <v>17343</v>
      </c>
      <c r="J1817" s="277" t="s">
        <v>16482</v>
      </c>
      <c r="K1817" s="278">
        <v>33804.312970499996</v>
      </c>
      <c r="L1817" s="383">
        <v>3.3451499999999998</v>
      </c>
      <c r="M1817" s="384">
        <v>10105.469999999999</v>
      </c>
      <c r="N1817" s="277" t="s">
        <v>20155</v>
      </c>
      <c r="O1817" s="277" t="s">
        <v>20304</v>
      </c>
      <c r="P1817" s="890">
        <v>45609</v>
      </c>
      <c r="Q1817" s="347">
        <v>1600</v>
      </c>
      <c r="R1817" s="347">
        <v>15984</v>
      </c>
      <c r="S1817" s="347">
        <v>4800</v>
      </c>
      <c r="T1817" s="347">
        <v>1120</v>
      </c>
      <c r="U1817" s="347">
        <v>23504</v>
      </c>
      <c r="V1817" s="348"/>
      <c r="W1817" s="349">
        <v>1985.8668563648739</v>
      </c>
      <c r="X1817" s="349">
        <v>21696.170981085092</v>
      </c>
      <c r="Y1817" s="349">
        <v>5877.3169690946215</v>
      </c>
      <c r="Z1817" s="349">
        <v>4244.9916154554112</v>
      </c>
      <c r="AA1817" s="350">
        <v>1.2411667852280461</v>
      </c>
      <c r="AB1817" s="350">
        <v>1.3573680543721904</v>
      </c>
      <c r="AC1817" s="350">
        <v>1.2244410352280461</v>
      </c>
      <c r="AD1817" s="350">
        <v>3.7901710852280459</v>
      </c>
      <c r="AE1817" s="349">
        <v>1582.14105</v>
      </c>
      <c r="AF1817" s="349">
        <v>16286.254000000001</v>
      </c>
      <c r="AG1817" s="349">
        <v>0.69291414227365555</v>
      </c>
      <c r="AH1817" s="351">
        <v>0.54825264295439058</v>
      </c>
      <c r="AI1817" s="351">
        <v>0.66445391209853488</v>
      </c>
      <c r="AJ1817" s="351">
        <v>0.5315268929543906</v>
      </c>
      <c r="AK1817" s="351">
        <v>3.0972569429543904</v>
      </c>
      <c r="AL1817" s="352">
        <v>1</v>
      </c>
      <c r="AM1817" s="352">
        <v>1</v>
      </c>
      <c r="AN1817" s="352">
        <v>1</v>
      </c>
      <c r="AO1817" s="352">
        <v>1</v>
      </c>
    </row>
    <row r="1818" spans="1:41" hidden="1">
      <c r="A1818" s="342" t="s">
        <v>348</v>
      </c>
      <c r="B1818" s="277" t="s">
        <v>348</v>
      </c>
      <c r="C1818" s="277">
        <v>0</v>
      </c>
      <c r="D1818" s="343" t="s">
        <v>19572</v>
      </c>
      <c r="E1818" s="277" t="s">
        <v>348</v>
      </c>
      <c r="F1818" s="618">
        <v>45608</v>
      </c>
      <c r="G1818" s="619">
        <v>2024</v>
      </c>
      <c r="H1818" s="383" t="s">
        <v>17374</v>
      </c>
      <c r="I1818" s="277" t="s">
        <v>17375</v>
      </c>
      <c r="J1818" s="277" t="s">
        <v>16482</v>
      </c>
      <c r="K1818" s="278">
        <v>180042.17</v>
      </c>
      <c r="L1818" s="383">
        <v>3.3403</v>
      </c>
      <c r="M1818" s="384">
        <v>53900</v>
      </c>
      <c r="N1818" s="277" t="s">
        <v>20155</v>
      </c>
      <c r="O1818" s="277" t="s">
        <v>20173</v>
      </c>
      <c r="P1818" s="890">
        <v>45614</v>
      </c>
      <c r="Q1818" s="347">
        <v>0</v>
      </c>
      <c r="R1818" s="347">
        <v>0</v>
      </c>
      <c r="S1818" s="347">
        <v>110000</v>
      </c>
      <c r="T1818" s="347">
        <v>0</v>
      </c>
      <c r="U1818" s="347">
        <v>110000</v>
      </c>
      <c r="V1818" s="348"/>
      <c r="W1818" s="349">
        <v>0</v>
      </c>
      <c r="X1818" s="349">
        <v>0</v>
      </c>
      <c r="Y1818" s="349">
        <v>180042.16999999995</v>
      </c>
      <c r="Z1818" s="349">
        <v>0</v>
      </c>
      <c r="AA1818" s="350" t="e">
        <v>#DIV/0!</v>
      </c>
      <c r="AB1818" s="350" t="e">
        <v>#DIV/0!</v>
      </c>
      <c r="AC1818" s="350">
        <v>1.6367469999999995</v>
      </c>
      <c r="AD1818" s="350" t="e">
        <v>#DIV/0!</v>
      </c>
      <c r="AE1818" s="349">
        <v>4298.3</v>
      </c>
      <c r="AF1818" s="349">
        <v>24080.75</v>
      </c>
      <c r="AG1818" s="349">
        <v>0.21891590909090908</v>
      </c>
      <c r="AH1818" s="351"/>
      <c r="AI1818" s="351"/>
      <c r="AJ1818" s="351">
        <v>1.4178310909090905</v>
      </c>
      <c r="AK1818" s="351"/>
      <c r="AL1818" s="352">
        <v>0</v>
      </c>
      <c r="AM1818" s="352">
        <v>0</v>
      </c>
      <c r="AN1818" s="352" t="s">
        <v>20347</v>
      </c>
      <c r="AO1818" s="352">
        <v>0</v>
      </c>
    </row>
    <row r="1819" spans="1:41" hidden="1">
      <c r="A1819" s="342" t="s">
        <v>349</v>
      </c>
      <c r="B1819" s="277" t="s">
        <v>349</v>
      </c>
      <c r="C1819" s="277">
        <v>0</v>
      </c>
      <c r="D1819" s="343" t="s">
        <v>19573</v>
      </c>
      <c r="E1819" s="277" t="s">
        <v>349</v>
      </c>
      <c r="F1819" s="618">
        <v>45608</v>
      </c>
      <c r="G1819" s="619">
        <v>2024</v>
      </c>
      <c r="H1819" s="383" t="s">
        <v>17379</v>
      </c>
      <c r="I1819" s="277" t="s">
        <v>17380</v>
      </c>
      <c r="J1819" s="277" t="s">
        <v>3</v>
      </c>
      <c r="K1819" s="278">
        <v>76960</v>
      </c>
      <c r="L1819" s="383">
        <v>1</v>
      </c>
      <c r="M1819" s="384">
        <v>76960</v>
      </c>
      <c r="N1819" s="277" t="s">
        <v>20155</v>
      </c>
      <c r="O1819" s="277" t="s">
        <v>20159</v>
      </c>
      <c r="P1819" s="890">
        <v>45610</v>
      </c>
      <c r="Q1819" s="347">
        <v>0</v>
      </c>
      <c r="R1819" s="347">
        <v>0</v>
      </c>
      <c r="S1819" s="347">
        <v>52000</v>
      </c>
      <c r="T1819" s="347">
        <v>0</v>
      </c>
      <c r="U1819" s="347">
        <v>52000</v>
      </c>
      <c r="V1819" s="348"/>
      <c r="W1819" s="349">
        <v>0</v>
      </c>
      <c r="X1819" s="349">
        <v>0</v>
      </c>
      <c r="Y1819" s="349">
        <v>76960</v>
      </c>
      <c r="Z1819" s="349">
        <v>0</v>
      </c>
      <c r="AA1819" s="350" t="e">
        <v>#DIV/0!</v>
      </c>
      <c r="AB1819" s="350" t="e">
        <v>#DIV/0!</v>
      </c>
      <c r="AC1819" s="350">
        <v>1.48</v>
      </c>
      <c r="AD1819" s="350" t="e">
        <v>#DIV/0!</v>
      </c>
      <c r="AE1819" s="349">
        <v>0</v>
      </c>
      <c r="AF1819" s="349">
        <v>0</v>
      </c>
      <c r="AG1819" s="349">
        <v>0</v>
      </c>
      <c r="AH1819" s="351"/>
      <c r="AI1819" s="351"/>
      <c r="AJ1819" s="351">
        <v>1.48</v>
      </c>
      <c r="AK1819" s="351"/>
      <c r="AL1819" s="352">
        <v>0</v>
      </c>
      <c r="AM1819" s="352">
        <v>0</v>
      </c>
      <c r="AN1819" s="352" t="s">
        <v>20347</v>
      </c>
      <c r="AO1819" s="352">
        <v>0</v>
      </c>
    </row>
    <row r="1820" spans="1:41" hidden="1">
      <c r="A1820" s="342" t="s">
        <v>350</v>
      </c>
      <c r="B1820" s="277" t="s">
        <v>350</v>
      </c>
      <c r="C1820" s="277">
        <v>0</v>
      </c>
      <c r="D1820" s="343" t="s">
        <v>19574</v>
      </c>
      <c r="E1820" s="277" t="s">
        <v>350</v>
      </c>
      <c r="F1820" s="618">
        <v>45609</v>
      </c>
      <c r="G1820" s="619">
        <v>2024</v>
      </c>
      <c r="H1820" s="383" t="s">
        <v>17342</v>
      </c>
      <c r="I1820" s="277" t="s">
        <v>17343</v>
      </c>
      <c r="J1820" s="277" t="s">
        <v>16482</v>
      </c>
      <c r="K1820" s="278">
        <v>78359.705648000003</v>
      </c>
      <c r="L1820" s="383">
        <v>3.3454000000000002</v>
      </c>
      <c r="M1820" s="384">
        <v>23423.119999999999</v>
      </c>
      <c r="N1820" s="277" t="s">
        <v>20155</v>
      </c>
      <c r="O1820" s="277" t="s">
        <v>16394</v>
      </c>
      <c r="P1820" s="890">
        <v>45611</v>
      </c>
      <c r="Q1820" s="347">
        <v>2400</v>
      </c>
      <c r="R1820" s="347">
        <v>30416</v>
      </c>
      <c r="S1820" s="347">
        <v>10800</v>
      </c>
      <c r="T1820" s="347">
        <v>1820</v>
      </c>
      <c r="U1820" s="347">
        <v>45436</v>
      </c>
      <c r="V1820" s="348"/>
      <c r="W1820" s="349">
        <v>3230.2798351967604</v>
      </c>
      <c r="X1820" s="349">
        <v>46903.796575393608</v>
      </c>
      <c r="Y1820" s="349">
        <v>14355.607658385423</v>
      </c>
      <c r="Z1820" s="349">
        <v>13870.021579024211</v>
      </c>
      <c r="AA1820" s="350">
        <v>1.3459499313319834</v>
      </c>
      <c r="AB1820" s="350">
        <v>1.5420764260715942</v>
      </c>
      <c r="AC1820" s="350">
        <v>1.3292229313319837</v>
      </c>
      <c r="AD1820" s="350">
        <v>7.6208909774858302</v>
      </c>
      <c r="AE1820" s="349">
        <v>2796.7979999999998</v>
      </c>
      <c r="AF1820" s="349">
        <v>24328.799999999999</v>
      </c>
      <c r="AG1820" s="349">
        <v>0.53545206444229243</v>
      </c>
      <c r="AH1820" s="351">
        <v>0.81049786688969094</v>
      </c>
      <c r="AI1820" s="351">
        <v>1.0066243616293018</v>
      </c>
      <c r="AJ1820" s="351">
        <v>0.79377086688969123</v>
      </c>
      <c r="AK1820" s="351">
        <v>7.0854389130435376</v>
      </c>
      <c r="AL1820" s="352">
        <v>1</v>
      </c>
      <c r="AM1820" s="352">
        <v>1</v>
      </c>
      <c r="AN1820" s="352">
        <v>1</v>
      </c>
      <c r="AO1820" s="352">
        <v>1</v>
      </c>
    </row>
    <row r="1821" spans="1:41" hidden="1">
      <c r="A1821" s="342" t="s">
        <v>351</v>
      </c>
      <c r="B1821" s="277" t="s">
        <v>351</v>
      </c>
      <c r="C1821" s="277">
        <v>0</v>
      </c>
      <c r="D1821" s="343" t="s">
        <v>19575</v>
      </c>
      <c r="E1821" s="277" t="s">
        <v>351</v>
      </c>
      <c r="F1821" s="618">
        <v>45609</v>
      </c>
      <c r="G1821" s="619">
        <v>2024</v>
      </c>
      <c r="H1821" s="383" t="s">
        <v>17248</v>
      </c>
      <c r="I1821" s="277" t="s">
        <v>17249</v>
      </c>
      <c r="J1821" s="277" t="s">
        <v>16401</v>
      </c>
      <c r="K1821" s="278">
        <v>154097.502328</v>
      </c>
      <c r="L1821" s="383">
        <v>3.1633</v>
      </c>
      <c r="M1821" s="384">
        <v>48714.16</v>
      </c>
      <c r="N1821" s="277" t="s">
        <v>20155</v>
      </c>
      <c r="O1821" s="277" t="s">
        <v>17954</v>
      </c>
      <c r="P1821" s="890">
        <v>45615</v>
      </c>
      <c r="Q1821" s="347">
        <v>1200</v>
      </c>
      <c r="R1821" s="347">
        <v>44136</v>
      </c>
      <c r="S1821" s="347">
        <v>2880</v>
      </c>
      <c r="T1821" s="347">
        <v>0</v>
      </c>
      <c r="U1821" s="347">
        <v>48216</v>
      </c>
      <c r="V1821" s="348"/>
      <c r="W1821" s="349">
        <v>3800.4317630662022</v>
      </c>
      <c r="X1821" s="349">
        <v>141175.37004057496</v>
      </c>
      <c r="Y1821" s="349">
        <v>9121.0362313588848</v>
      </c>
      <c r="Z1821" s="349">
        <v>0</v>
      </c>
      <c r="AA1821" s="350">
        <v>3.1670264692218351</v>
      </c>
      <c r="AB1821" s="350">
        <v>3.1986444181750713</v>
      </c>
      <c r="AC1821" s="350">
        <v>3.1670264692218351</v>
      </c>
      <c r="AD1821" s="350" t="e">
        <v>#DIV/0!</v>
      </c>
      <c r="AE1821" s="349">
        <v>4799.5199999999995</v>
      </c>
      <c r="AF1821" s="349">
        <v>35359.72</v>
      </c>
      <c r="AG1821" s="349">
        <v>0.73336071013771365</v>
      </c>
      <c r="AH1821" s="351">
        <v>2.4336657590841213</v>
      </c>
      <c r="AI1821" s="351">
        <v>2.4652837080373575</v>
      </c>
      <c r="AJ1821" s="351">
        <v>2.4336657590841213</v>
      </c>
      <c r="AK1821" s="351"/>
      <c r="AL1821" s="352">
        <v>1</v>
      </c>
      <c r="AM1821" s="352">
        <v>1</v>
      </c>
      <c r="AN1821" s="352">
        <v>1</v>
      </c>
      <c r="AO1821" s="352">
        <v>0</v>
      </c>
    </row>
    <row r="1822" spans="1:41" hidden="1">
      <c r="A1822" s="342" t="s">
        <v>352</v>
      </c>
      <c r="B1822" s="277" t="s">
        <v>352</v>
      </c>
      <c r="C1822" s="277">
        <v>0</v>
      </c>
      <c r="D1822" s="343" t="s">
        <v>19576</v>
      </c>
      <c r="E1822" s="277" t="s">
        <v>352</v>
      </c>
      <c r="F1822" s="618">
        <v>45609</v>
      </c>
      <c r="G1822" s="619">
        <v>2024</v>
      </c>
      <c r="H1822" s="383" t="s">
        <v>16384</v>
      </c>
      <c r="I1822" s="277" t="s">
        <v>16385</v>
      </c>
      <c r="J1822" s="277" t="s">
        <v>3</v>
      </c>
      <c r="K1822" s="278">
        <v>114048</v>
      </c>
      <c r="L1822" s="383">
        <v>1</v>
      </c>
      <c r="M1822" s="384">
        <v>114048</v>
      </c>
      <c r="N1822" s="277" t="s">
        <v>20155</v>
      </c>
      <c r="O1822" s="277" t="s">
        <v>18248</v>
      </c>
      <c r="P1822" s="890">
        <v>45615</v>
      </c>
      <c r="Q1822" s="347">
        <v>57600</v>
      </c>
      <c r="R1822" s="347">
        <v>0</v>
      </c>
      <c r="S1822" s="347">
        <v>0</v>
      </c>
      <c r="T1822" s="347">
        <v>0</v>
      </c>
      <c r="U1822" s="347">
        <v>57600</v>
      </c>
      <c r="V1822" s="348"/>
      <c r="W1822" s="349">
        <v>114048</v>
      </c>
      <c r="X1822" s="349">
        <v>0</v>
      </c>
      <c r="Y1822" s="349">
        <v>0</v>
      </c>
      <c r="Z1822" s="349">
        <v>0</v>
      </c>
      <c r="AA1822" s="350">
        <v>1.98</v>
      </c>
      <c r="AB1822" s="350" t="e">
        <v>#DIV/0!</v>
      </c>
      <c r="AC1822" s="350" t="e">
        <v>#DIV/0!</v>
      </c>
      <c r="AD1822" s="350" t="e">
        <v>#DIV/0!</v>
      </c>
      <c r="AE1822" s="349">
        <v>0</v>
      </c>
      <c r="AF1822" s="349">
        <v>0</v>
      </c>
      <c r="AG1822" s="349">
        <v>0</v>
      </c>
      <c r="AH1822" s="351">
        <v>1.98</v>
      </c>
      <c r="AI1822" s="351"/>
      <c r="AJ1822" s="351"/>
      <c r="AK1822" s="351"/>
      <c r="AL1822" s="352" t="s">
        <v>20356</v>
      </c>
      <c r="AM1822" s="352">
        <v>0</v>
      </c>
      <c r="AN1822" s="352">
        <v>0</v>
      </c>
      <c r="AO1822" s="352">
        <v>0</v>
      </c>
    </row>
    <row r="1823" spans="1:41" hidden="1">
      <c r="A1823" s="342" t="s">
        <v>353</v>
      </c>
      <c r="B1823" s="277" t="s">
        <v>353</v>
      </c>
      <c r="C1823" s="277">
        <v>0</v>
      </c>
      <c r="D1823" s="343" t="s">
        <v>19577</v>
      </c>
      <c r="E1823" s="277" t="s">
        <v>353</v>
      </c>
      <c r="F1823" s="618">
        <v>45611</v>
      </c>
      <c r="G1823" s="619">
        <v>2024</v>
      </c>
      <c r="H1823" s="383" t="s">
        <v>16783</v>
      </c>
      <c r="I1823" s="277" t="s">
        <v>16784</v>
      </c>
      <c r="J1823" s="277" t="s">
        <v>16401</v>
      </c>
      <c r="K1823" s="278">
        <v>142025.84340000001</v>
      </c>
      <c r="L1823" s="383">
        <v>3.1633</v>
      </c>
      <c r="M1823" s="384">
        <v>44898</v>
      </c>
      <c r="N1823" s="277" t="s">
        <v>20155</v>
      </c>
      <c r="O1823" s="277" t="s">
        <v>17939</v>
      </c>
      <c r="P1823" s="890">
        <v>45615</v>
      </c>
      <c r="Q1823" s="347">
        <v>0</v>
      </c>
      <c r="R1823" s="347">
        <v>32070</v>
      </c>
      <c r="S1823" s="347">
        <v>0</v>
      </c>
      <c r="T1823" s="347">
        <v>0</v>
      </c>
      <c r="U1823" s="347">
        <v>32070</v>
      </c>
      <c r="V1823" s="348"/>
      <c r="W1823" s="349">
        <v>0</v>
      </c>
      <c r="X1823" s="349">
        <v>0</v>
      </c>
      <c r="Y1823" s="349">
        <v>0</v>
      </c>
      <c r="Z1823" s="349">
        <v>142025.84340000001</v>
      </c>
      <c r="AA1823" s="350" t="e">
        <v>#DIV/0!</v>
      </c>
      <c r="AB1823" s="350">
        <v>0</v>
      </c>
      <c r="AC1823" s="350" t="e">
        <v>#DIV/0!</v>
      </c>
      <c r="AD1823" s="350" t="e">
        <v>#DIV/0!</v>
      </c>
      <c r="AE1823" s="349">
        <v>0</v>
      </c>
      <c r="AF1823" s="349">
        <v>0</v>
      </c>
      <c r="AG1823" s="349">
        <v>0</v>
      </c>
      <c r="AH1823" s="351"/>
      <c r="AI1823" s="351">
        <v>0</v>
      </c>
      <c r="AJ1823" s="351"/>
      <c r="AK1823" s="351"/>
      <c r="AL1823" s="352">
        <v>0</v>
      </c>
      <c r="AM1823" s="352" t="s">
        <v>20345</v>
      </c>
      <c r="AN1823" s="352">
        <v>0</v>
      </c>
      <c r="AO1823" s="352">
        <v>0</v>
      </c>
    </row>
    <row r="1824" spans="1:41" hidden="1">
      <c r="A1824" s="342" t="s">
        <v>354</v>
      </c>
      <c r="B1824" s="277" t="s">
        <v>354</v>
      </c>
      <c r="C1824" s="277">
        <v>0</v>
      </c>
      <c r="D1824" s="343" t="s">
        <v>19578</v>
      </c>
      <c r="E1824" s="277" t="s">
        <v>354</v>
      </c>
      <c r="F1824" s="618">
        <v>45614</v>
      </c>
      <c r="G1824" s="619">
        <v>2024</v>
      </c>
      <c r="H1824" s="383" t="s">
        <v>16384</v>
      </c>
      <c r="I1824" s="277" t="s">
        <v>16385</v>
      </c>
      <c r="J1824" s="277" t="s">
        <v>3</v>
      </c>
      <c r="K1824" s="278">
        <v>341911.64</v>
      </c>
      <c r="L1824" s="383">
        <v>1</v>
      </c>
      <c r="M1824" s="384">
        <v>341911.64</v>
      </c>
      <c r="N1824" s="277" t="s">
        <v>20155</v>
      </c>
      <c r="O1824" s="277" t="s">
        <v>17949</v>
      </c>
      <c r="P1824" s="890">
        <v>45618</v>
      </c>
      <c r="Q1824" s="347">
        <v>152798</v>
      </c>
      <c r="R1824" s="347">
        <v>28020</v>
      </c>
      <c r="S1824" s="347">
        <v>0</v>
      </c>
      <c r="T1824" s="347">
        <v>0</v>
      </c>
      <c r="U1824" s="347">
        <v>180818</v>
      </c>
      <c r="V1824" s="348"/>
      <c r="W1824" s="349">
        <v>294277.64</v>
      </c>
      <c r="X1824" s="349">
        <v>47634</v>
      </c>
      <c r="Y1824" s="349">
        <v>0</v>
      </c>
      <c r="Z1824" s="349">
        <v>0</v>
      </c>
      <c r="AA1824" s="350">
        <v>1.9259259937957305</v>
      </c>
      <c r="AB1824" s="350">
        <v>1.7</v>
      </c>
      <c r="AC1824" s="350" t="e">
        <v>#DIV/0!</v>
      </c>
      <c r="AD1824" s="350" t="e">
        <v>#DIV/0!</v>
      </c>
      <c r="AE1824" s="349">
        <v>0</v>
      </c>
      <c r="AF1824" s="349">
        <v>0</v>
      </c>
      <c r="AG1824" s="349">
        <v>0</v>
      </c>
      <c r="AH1824" s="351">
        <v>1.9259259937957305</v>
      </c>
      <c r="AI1824" s="351">
        <v>1.7</v>
      </c>
      <c r="AJ1824" s="351"/>
      <c r="AK1824" s="351"/>
      <c r="AL1824" s="352" t="s">
        <v>20356</v>
      </c>
      <c r="AM1824" s="352" t="s">
        <v>20346</v>
      </c>
      <c r="AN1824" s="352">
        <v>0</v>
      </c>
      <c r="AO1824" s="352">
        <v>0</v>
      </c>
    </row>
    <row r="1825" spans="1:41" hidden="1">
      <c r="A1825" s="342" t="s">
        <v>355</v>
      </c>
      <c r="B1825" s="277" t="s">
        <v>355</v>
      </c>
      <c r="C1825" s="277">
        <v>0</v>
      </c>
      <c r="D1825" s="343" t="s">
        <v>19579</v>
      </c>
      <c r="E1825" s="277" t="s">
        <v>355</v>
      </c>
      <c r="F1825" s="618">
        <v>45614</v>
      </c>
      <c r="G1825" s="619">
        <v>2024</v>
      </c>
      <c r="H1825" s="383" t="s">
        <v>16838</v>
      </c>
      <c r="I1825" s="277" t="s">
        <v>16839</v>
      </c>
      <c r="J1825" s="277" t="s">
        <v>3</v>
      </c>
      <c r="K1825" s="278">
        <v>95200</v>
      </c>
      <c r="L1825" s="383">
        <v>1</v>
      </c>
      <c r="M1825" s="384">
        <v>95200</v>
      </c>
      <c r="N1825" s="277" t="s">
        <v>20155</v>
      </c>
      <c r="O1825" s="277" t="s">
        <v>17771</v>
      </c>
      <c r="P1825" s="890">
        <v>45629</v>
      </c>
      <c r="Q1825" s="347">
        <v>0</v>
      </c>
      <c r="R1825" s="347">
        <v>0</v>
      </c>
      <c r="S1825" s="347">
        <v>56000</v>
      </c>
      <c r="T1825" s="347">
        <v>0</v>
      </c>
      <c r="U1825" s="347">
        <v>56000</v>
      </c>
      <c r="V1825" s="348"/>
      <c r="W1825" s="349">
        <v>0</v>
      </c>
      <c r="X1825" s="349">
        <v>0</v>
      </c>
      <c r="Y1825" s="349">
        <v>95200</v>
      </c>
      <c r="Z1825" s="349">
        <v>0</v>
      </c>
      <c r="AA1825" s="350" t="e">
        <v>#DIV/0!</v>
      </c>
      <c r="AB1825" s="350" t="e">
        <v>#DIV/0!</v>
      </c>
      <c r="AC1825" s="350">
        <v>1.7</v>
      </c>
      <c r="AD1825" s="350" t="e">
        <v>#DIV/0!</v>
      </c>
      <c r="AE1825" s="349">
        <v>0</v>
      </c>
      <c r="AF1825" s="349">
        <v>0</v>
      </c>
      <c r="AG1825" s="349">
        <v>0</v>
      </c>
      <c r="AH1825" s="351"/>
      <c r="AI1825" s="351"/>
      <c r="AJ1825" s="351">
        <v>1.7</v>
      </c>
      <c r="AK1825" s="351"/>
      <c r="AL1825" s="352">
        <v>0</v>
      </c>
      <c r="AM1825" s="352">
        <v>0</v>
      </c>
      <c r="AN1825" s="352" t="s">
        <v>20347</v>
      </c>
      <c r="AO1825" s="352">
        <v>0</v>
      </c>
    </row>
    <row r="1826" spans="1:41" hidden="1">
      <c r="A1826" s="342" t="s">
        <v>356</v>
      </c>
      <c r="B1826" s="277" t="s">
        <v>356</v>
      </c>
      <c r="C1826" s="277">
        <v>0</v>
      </c>
      <c r="D1826" s="343" t="s">
        <v>19580</v>
      </c>
      <c r="E1826" s="277" t="s">
        <v>356</v>
      </c>
      <c r="F1826" s="618">
        <v>45614</v>
      </c>
      <c r="G1826" s="619">
        <v>2024</v>
      </c>
      <c r="H1826" s="383" t="s">
        <v>17278</v>
      </c>
      <c r="I1826" s="277" t="s">
        <v>17279</v>
      </c>
      <c r="J1826" s="277" t="s">
        <v>16482</v>
      </c>
      <c r="K1826" s="278">
        <v>471849.13730400003</v>
      </c>
      <c r="L1826" s="383">
        <v>3.3247</v>
      </c>
      <c r="M1826" s="384">
        <v>141922.32</v>
      </c>
      <c r="N1826" s="277" t="s">
        <v>20155</v>
      </c>
      <c r="O1826" s="277" t="s">
        <v>20173</v>
      </c>
      <c r="P1826" s="890">
        <v>45645</v>
      </c>
      <c r="Q1826" s="347">
        <v>0</v>
      </c>
      <c r="R1826" s="347">
        <v>155280</v>
      </c>
      <c r="S1826" s="347">
        <v>116928</v>
      </c>
      <c r="T1826" s="347">
        <v>0</v>
      </c>
      <c r="U1826" s="347">
        <v>272208</v>
      </c>
      <c r="V1826" s="348"/>
      <c r="W1826" s="349">
        <v>0</v>
      </c>
      <c r="X1826" s="349">
        <v>281361.38172000006</v>
      </c>
      <c r="Y1826" s="349">
        <v>190487.75558400003</v>
      </c>
      <c r="Z1826" s="349">
        <v>0</v>
      </c>
      <c r="AA1826" s="350" t="e">
        <v>#DIV/0!</v>
      </c>
      <c r="AB1826" s="350">
        <v>1.8119615000000004</v>
      </c>
      <c r="AC1826" s="350">
        <v>1.6291030000000002</v>
      </c>
      <c r="AD1826" s="350" t="e">
        <v>#DIV/0!</v>
      </c>
      <c r="AE1826" s="349">
        <v>11722.95</v>
      </c>
      <c r="AF1826" s="349">
        <v>69015.327000000005</v>
      </c>
      <c r="AG1826" s="349">
        <v>0.25353893713630754</v>
      </c>
      <c r="AH1826" s="351"/>
      <c r="AI1826" s="351">
        <v>1.558422562863693</v>
      </c>
      <c r="AJ1826" s="351">
        <v>1.3755640628636927</v>
      </c>
      <c r="AK1826" s="351"/>
      <c r="AL1826" s="352">
        <v>0</v>
      </c>
      <c r="AM1826" s="352" t="s">
        <v>20348</v>
      </c>
      <c r="AN1826" s="352" t="s">
        <v>20347</v>
      </c>
      <c r="AO1826" s="352">
        <v>0</v>
      </c>
    </row>
    <row r="1827" spans="1:41" hidden="1">
      <c r="A1827" s="342" t="s">
        <v>357</v>
      </c>
      <c r="B1827" s="277" t="s">
        <v>357</v>
      </c>
      <c r="C1827" s="277">
        <v>0</v>
      </c>
      <c r="D1827" s="343" t="s">
        <v>19581</v>
      </c>
      <c r="E1827" s="277" t="s">
        <v>357</v>
      </c>
      <c r="F1827" s="618">
        <v>45614</v>
      </c>
      <c r="G1827" s="619">
        <v>2024</v>
      </c>
      <c r="H1827" s="383" t="s">
        <v>16470</v>
      </c>
      <c r="I1827" s="277" t="s">
        <v>16471</v>
      </c>
      <c r="J1827" s="277" t="s">
        <v>16401</v>
      </c>
      <c r="K1827" s="278">
        <v>703168.49161999999</v>
      </c>
      <c r="L1827" s="383">
        <v>3.1787000000000001</v>
      </c>
      <c r="M1827" s="384">
        <v>221212.6</v>
      </c>
      <c r="N1827" s="277" t="s">
        <v>20155</v>
      </c>
      <c r="O1827" s="277" t="s">
        <v>20159</v>
      </c>
      <c r="P1827" s="890">
        <v>45626</v>
      </c>
      <c r="Q1827" s="347">
        <v>21168</v>
      </c>
      <c r="R1827" s="347">
        <v>293976</v>
      </c>
      <c r="S1827" s="347">
        <v>0</v>
      </c>
      <c r="T1827" s="347">
        <v>0</v>
      </c>
      <c r="U1827" s="347">
        <v>315144</v>
      </c>
      <c r="V1827" s="348"/>
      <c r="W1827" s="349">
        <v>49800.923404770387</v>
      </c>
      <c r="X1827" s="349">
        <v>652620.57371522952</v>
      </c>
      <c r="Y1827" s="349">
        <v>0</v>
      </c>
      <c r="Z1827" s="349">
        <v>0</v>
      </c>
      <c r="AA1827" s="350">
        <v>2.3526513324249048</v>
      </c>
      <c r="AB1827" s="350">
        <v>2.2199790925627587</v>
      </c>
      <c r="AC1827" s="350" t="e">
        <v>#DIV/0!</v>
      </c>
      <c r="AD1827" s="350" t="e">
        <v>#DIV/0!</v>
      </c>
      <c r="AE1827" s="349">
        <v>23404.799999999999</v>
      </c>
      <c r="AF1827" s="349">
        <v>116565.1</v>
      </c>
      <c r="AG1827" s="349">
        <v>0.36987884903409235</v>
      </c>
      <c r="AH1827" s="351">
        <v>1.9827724833908125</v>
      </c>
      <c r="AI1827" s="351">
        <v>1.8501002435286664</v>
      </c>
      <c r="AJ1827" s="351"/>
      <c r="AK1827" s="351"/>
      <c r="AL1827" s="352" t="s">
        <v>20356</v>
      </c>
      <c r="AM1827" s="352" t="s">
        <v>20346</v>
      </c>
      <c r="AN1827" s="352">
        <v>0</v>
      </c>
      <c r="AO1827" s="352">
        <v>0</v>
      </c>
    </row>
    <row r="1828" spans="1:41" hidden="1">
      <c r="A1828" s="342" t="s">
        <v>358</v>
      </c>
      <c r="B1828" s="277" t="s">
        <v>358</v>
      </c>
      <c r="C1828" s="277">
        <v>0</v>
      </c>
      <c r="D1828" s="343" t="s">
        <v>19582</v>
      </c>
      <c r="E1828" s="277" t="s">
        <v>358</v>
      </c>
      <c r="F1828" s="618">
        <v>45614</v>
      </c>
      <c r="G1828" s="619">
        <v>2024</v>
      </c>
      <c r="H1828" s="383" t="s">
        <v>16560</v>
      </c>
      <c r="I1828" s="277" t="s">
        <v>16561</v>
      </c>
      <c r="J1828" s="277" t="s">
        <v>16482</v>
      </c>
      <c r="K1828" s="278">
        <v>311864.875</v>
      </c>
      <c r="L1828" s="383">
        <v>3.331</v>
      </c>
      <c r="M1828" s="384">
        <v>93625</v>
      </c>
      <c r="N1828" s="277" t="s">
        <v>20155</v>
      </c>
      <c r="O1828" s="277" t="s">
        <v>17801</v>
      </c>
      <c r="P1828" s="890">
        <v>45646</v>
      </c>
      <c r="Q1828" s="347">
        <v>0</v>
      </c>
      <c r="R1828" s="347">
        <v>175000</v>
      </c>
      <c r="S1828" s="347">
        <v>0</v>
      </c>
      <c r="T1828" s="347">
        <v>0</v>
      </c>
      <c r="U1828" s="347">
        <v>175000</v>
      </c>
      <c r="V1828" s="348"/>
      <c r="W1828" s="349">
        <v>0</v>
      </c>
      <c r="X1828" s="349">
        <v>305205.53979999991</v>
      </c>
      <c r="Y1828" s="349">
        <v>0</v>
      </c>
      <c r="Z1828" s="349">
        <v>0</v>
      </c>
      <c r="AA1828" s="350" t="e">
        <v>#DIV/0!</v>
      </c>
      <c r="AB1828" s="350">
        <v>1.7440316559999995</v>
      </c>
      <c r="AC1828" s="350" t="e">
        <v>#DIV/0!</v>
      </c>
      <c r="AD1828" s="350" t="e">
        <v>#DIV/0!</v>
      </c>
      <c r="AE1828" s="349">
        <v>8549.4150000000009</v>
      </c>
      <c r="AF1828" s="349">
        <v>50342.998</v>
      </c>
      <c r="AG1828" s="349">
        <v>0.28767427428571429</v>
      </c>
      <c r="AH1828" s="351"/>
      <c r="AI1828" s="351">
        <v>1.4563573817142852</v>
      </c>
      <c r="AJ1828" s="351"/>
      <c r="AK1828" s="351"/>
      <c r="AL1828" s="352">
        <v>0</v>
      </c>
      <c r="AM1828" s="352" t="s">
        <v>20348</v>
      </c>
      <c r="AN1828" s="352">
        <v>0</v>
      </c>
      <c r="AO1828" s="352">
        <v>0</v>
      </c>
    </row>
    <row r="1829" spans="1:41" hidden="1">
      <c r="A1829" s="342" t="s">
        <v>359</v>
      </c>
      <c r="B1829" s="277" t="s">
        <v>359</v>
      </c>
      <c r="C1829" s="277">
        <v>0</v>
      </c>
      <c r="D1829" s="343" t="s">
        <v>19583</v>
      </c>
      <c r="E1829" s="277" t="s">
        <v>359</v>
      </c>
      <c r="F1829" s="618">
        <v>45614</v>
      </c>
      <c r="G1829" s="619">
        <v>2024</v>
      </c>
      <c r="H1829" s="383" t="s">
        <v>16560</v>
      </c>
      <c r="I1829" s="277" t="s">
        <v>16561</v>
      </c>
      <c r="J1829" s="277" t="s">
        <v>16482</v>
      </c>
      <c r="K1829" s="278">
        <v>229133.4375</v>
      </c>
      <c r="L1829" s="383">
        <v>3.3328500000000001</v>
      </c>
      <c r="M1829" s="384">
        <v>68750</v>
      </c>
      <c r="N1829" s="277" t="s">
        <v>20155</v>
      </c>
      <c r="O1829" s="277" t="s">
        <v>17801</v>
      </c>
      <c r="P1829" s="890">
        <v>45621</v>
      </c>
      <c r="Q1829" s="347">
        <v>0</v>
      </c>
      <c r="R1829" s="347">
        <v>0</v>
      </c>
      <c r="S1829" s="347">
        <v>137500</v>
      </c>
      <c r="T1829" s="347">
        <v>0</v>
      </c>
      <c r="U1829" s="347">
        <v>137500</v>
      </c>
      <c r="V1829" s="348"/>
      <c r="W1829" s="349">
        <v>0</v>
      </c>
      <c r="X1829" s="349">
        <v>0</v>
      </c>
      <c r="Y1829" s="349">
        <v>229133.43750000003</v>
      </c>
      <c r="Z1829" s="349">
        <v>0</v>
      </c>
      <c r="AA1829" s="350" t="e">
        <v>#DIV/0!</v>
      </c>
      <c r="AB1829" s="350" t="e">
        <v>#DIV/0!</v>
      </c>
      <c r="AC1829" s="350">
        <v>1.6664250000000003</v>
      </c>
      <c r="AD1829" s="350" t="e">
        <v>#DIV/0!</v>
      </c>
      <c r="AE1829" s="349">
        <v>4448.335</v>
      </c>
      <c r="AF1829" s="349">
        <v>28803.215</v>
      </c>
      <c r="AG1829" s="349">
        <v>0.20947792727272727</v>
      </c>
      <c r="AH1829" s="351"/>
      <c r="AI1829" s="351"/>
      <c r="AJ1829" s="351">
        <v>1.4569470727272731</v>
      </c>
      <c r="AK1829" s="351"/>
      <c r="AL1829" s="352">
        <v>0</v>
      </c>
      <c r="AM1829" s="352">
        <v>0</v>
      </c>
      <c r="AN1829" s="352" t="s">
        <v>20347</v>
      </c>
      <c r="AO1829" s="352">
        <v>0</v>
      </c>
    </row>
    <row r="1830" spans="1:41" hidden="1">
      <c r="A1830" s="342" t="s">
        <v>360</v>
      </c>
      <c r="B1830" s="277" t="s">
        <v>360</v>
      </c>
      <c r="C1830" s="277">
        <v>0</v>
      </c>
      <c r="D1830" s="343" t="s">
        <v>19584</v>
      </c>
      <c r="E1830" s="277" t="s">
        <v>360</v>
      </c>
      <c r="F1830" s="618">
        <v>45614</v>
      </c>
      <c r="G1830" s="619">
        <v>2024</v>
      </c>
      <c r="H1830" s="383" t="s">
        <v>16560</v>
      </c>
      <c r="I1830" s="277" t="s">
        <v>16561</v>
      </c>
      <c r="J1830" s="277" t="s">
        <v>16482</v>
      </c>
      <c r="K1830" s="278">
        <v>229133.4375</v>
      </c>
      <c r="L1830" s="383">
        <v>3.3328500000000001</v>
      </c>
      <c r="M1830" s="384">
        <v>68750</v>
      </c>
      <c r="N1830" s="277" t="s">
        <v>20155</v>
      </c>
      <c r="O1830" s="277" t="s">
        <v>17801</v>
      </c>
      <c r="P1830" s="890">
        <v>45622</v>
      </c>
      <c r="Q1830" s="347">
        <v>0</v>
      </c>
      <c r="R1830" s="347">
        <v>0</v>
      </c>
      <c r="S1830" s="347">
        <v>137500</v>
      </c>
      <c r="T1830" s="347">
        <v>0</v>
      </c>
      <c r="U1830" s="347">
        <v>137500</v>
      </c>
      <c r="V1830" s="348"/>
      <c r="W1830" s="349">
        <v>0</v>
      </c>
      <c r="X1830" s="349">
        <v>0</v>
      </c>
      <c r="Y1830" s="349">
        <v>229133.43750000003</v>
      </c>
      <c r="Z1830" s="349">
        <v>0</v>
      </c>
      <c r="AA1830" s="350" t="e">
        <v>#DIV/0!</v>
      </c>
      <c r="AB1830" s="350" t="e">
        <v>#DIV/0!</v>
      </c>
      <c r="AC1830" s="350">
        <v>1.6664250000000003</v>
      </c>
      <c r="AD1830" s="350" t="e">
        <v>#DIV/0!</v>
      </c>
      <c r="AE1830" s="349">
        <v>4448.335</v>
      </c>
      <c r="AF1830" s="349">
        <v>26760.44</v>
      </c>
      <c r="AG1830" s="349">
        <v>0.19462138181818181</v>
      </c>
      <c r="AH1830" s="351"/>
      <c r="AI1830" s="351"/>
      <c r="AJ1830" s="351">
        <v>1.4718036181818184</v>
      </c>
      <c r="AK1830" s="351"/>
      <c r="AL1830" s="352">
        <v>0</v>
      </c>
      <c r="AM1830" s="352">
        <v>0</v>
      </c>
      <c r="AN1830" s="352" t="s">
        <v>20347</v>
      </c>
      <c r="AO1830" s="352">
        <v>0</v>
      </c>
    </row>
    <row r="1831" spans="1:41" hidden="1">
      <c r="A1831" s="342" t="s">
        <v>361</v>
      </c>
      <c r="B1831" s="277" t="s">
        <v>361</v>
      </c>
      <c r="C1831" s="277">
        <v>0</v>
      </c>
      <c r="D1831" s="343" t="s">
        <v>19585</v>
      </c>
      <c r="E1831" s="277" t="s">
        <v>361</v>
      </c>
      <c r="F1831" s="618">
        <v>45614</v>
      </c>
      <c r="G1831" s="619">
        <v>2024</v>
      </c>
      <c r="H1831" s="383" t="s">
        <v>16560</v>
      </c>
      <c r="I1831" s="277" t="s">
        <v>16561</v>
      </c>
      <c r="J1831" s="277" t="s">
        <v>16482</v>
      </c>
      <c r="K1831" s="278">
        <v>183306.75</v>
      </c>
      <c r="L1831" s="383">
        <v>3.3328500000000001</v>
      </c>
      <c r="M1831" s="384">
        <v>55000</v>
      </c>
      <c r="N1831" s="277" t="s">
        <v>20155</v>
      </c>
      <c r="O1831" s="277" t="s">
        <v>17801</v>
      </c>
      <c r="P1831" s="890">
        <v>45624</v>
      </c>
      <c r="Q1831" s="347">
        <v>0</v>
      </c>
      <c r="R1831" s="347">
        <v>0</v>
      </c>
      <c r="S1831" s="347">
        <v>110000</v>
      </c>
      <c r="T1831" s="347">
        <v>0</v>
      </c>
      <c r="U1831" s="347">
        <v>110000</v>
      </c>
      <c r="V1831" s="348"/>
      <c r="W1831" s="349">
        <v>0</v>
      </c>
      <c r="X1831" s="349">
        <v>0</v>
      </c>
      <c r="Y1831" s="349">
        <v>183306.75000000003</v>
      </c>
      <c r="Z1831" s="349">
        <v>0</v>
      </c>
      <c r="AA1831" s="350" t="e">
        <v>#DIV/0!</v>
      </c>
      <c r="AB1831" s="350" t="e">
        <v>#DIV/0!</v>
      </c>
      <c r="AC1831" s="350">
        <v>1.6664250000000003</v>
      </c>
      <c r="AD1831" s="350" t="e">
        <v>#DIV/0!</v>
      </c>
      <c r="AE1831" s="349">
        <v>3558.6680000000001</v>
      </c>
      <c r="AF1831" s="349">
        <v>20906.472000000002</v>
      </c>
      <c r="AG1831" s="349">
        <v>0.19005883636363638</v>
      </c>
      <c r="AH1831" s="351"/>
      <c r="AI1831" s="351"/>
      <c r="AJ1831" s="351">
        <v>1.4763661636363639</v>
      </c>
      <c r="AK1831" s="351"/>
      <c r="AL1831" s="352">
        <v>0</v>
      </c>
      <c r="AM1831" s="352">
        <v>0</v>
      </c>
      <c r="AN1831" s="352" t="s">
        <v>20347</v>
      </c>
      <c r="AO1831" s="352">
        <v>0</v>
      </c>
    </row>
    <row r="1832" spans="1:41" hidden="1">
      <c r="A1832" s="342" t="s">
        <v>362</v>
      </c>
      <c r="B1832" s="277" t="s">
        <v>362</v>
      </c>
      <c r="C1832" s="277">
        <v>0</v>
      </c>
      <c r="D1832" s="343" t="s">
        <v>19586</v>
      </c>
      <c r="E1832" s="277" t="s">
        <v>362</v>
      </c>
      <c r="F1832" s="618">
        <v>45614</v>
      </c>
      <c r="G1832" s="619">
        <v>2024</v>
      </c>
      <c r="H1832" s="383" t="s">
        <v>17209</v>
      </c>
      <c r="I1832" s="277" t="s">
        <v>17210</v>
      </c>
      <c r="J1832" s="277" t="s">
        <v>16401</v>
      </c>
      <c r="K1832" s="278">
        <v>74389.516470000002</v>
      </c>
      <c r="L1832" s="383">
        <v>3.1750500000000001</v>
      </c>
      <c r="M1832" s="384">
        <v>23429.4</v>
      </c>
      <c r="N1832" s="277" t="s">
        <v>20155</v>
      </c>
      <c r="O1832" s="277" t="s">
        <v>20168</v>
      </c>
      <c r="P1832" s="890">
        <v>45621</v>
      </c>
      <c r="Q1832" s="347">
        <v>3000</v>
      </c>
      <c r="R1832" s="347">
        <v>9600</v>
      </c>
      <c r="S1832" s="347">
        <v>7680</v>
      </c>
      <c r="T1832" s="347">
        <v>3000</v>
      </c>
      <c r="U1832" s="347">
        <v>23280</v>
      </c>
      <c r="V1832" s="348"/>
      <c r="W1832" s="349">
        <v>8207.8315747422675</v>
      </c>
      <c r="X1832" s="349">
        <v>21723.469519175262</v>
      </c>
      <c r="Y1832" s="349">
        <v>26010.847551340205</v>
      </c>
      <c r="Z1832" s="349">
        <v>18447.367824742272</v>
      </c>
      <c r="AA1832" s="350">
        <v>2.7359438582474227</v>
      </c>
      <c r="AB1832" s="350">
        <v>2.262861408247423</v>
      </c>
      <c r="AC1832" s="350">
        <v>3.3868291082474227</v>
      </c>
      <c r="AD1832" s="350">
        <v>6.1491226082474242</v>
      </c>
      <c r="AE1832" s="349">
        <v>742.06500000000005</v>
      </c>
      <c r="AF1832" s="349">
        <v>7415.6</v>
      </c>
      <c r="AG1832" s="349">
        <v>0.31853951890034365</v>
      </c>
      <c r="AH1832" s="351">
        <v>2.4174043393470792</v>
      </c>
      <c r="AI1832" s="351">
        <v>1.9443218893470793</v>
      </c>
      <c r="AJ1832" s="351">
        <v>3.0682895893470792</v>
      </c>
      <c r="AK1832" s="351">
        <v>5.8305830893470807</v>
      </c>
      <c r="AL1832" s="352">
        <v>1</v>
      </c>
      <c r="AM1832" s="352">
        <v>1</v>
      </c>
      <c r="AN1832" s="352">
        <v>1</v>
      </c>
      <c r="AO1832" s="352">
        <v>1</v>
      </c>
    </row>
    <row r="1833" spans="1:41" hidden="1">
      <c r="A1833" s="342" t="s">
        <v>363</v>
      </c>
      <c r="B1833" s="277" t="s">
        <v>363</v>
      </c>
      <c r="C1833" s="277">
        <v>0</v>
      </c>
      <c r="D1833" s="343" t="s">
        <v>19587</v>
      </c>
      <c r="E1833" s="277" t="s">
        <v>363</v>
      </c>
      <c r="F1833" s="618">
        <v>45615</v>
      </c>
      <c r="G1833" s="619">
        <v>2024</v>
      </c>
      <c r="H1833" s="383" t="s">
        <v>17304</v>
      </c>
      <c r="I1833" s="277" t="s">
        <v>17305</v>
      </c>
      <c r="J1833" s="277" t="s">
        <v>17306</v>
      </c>
      <c r="K1833" s="278">
        <v>90483.397349999999</v>
      </c>
      <c r="L1833" s="383">
        <v>2.2560500000000001</v>
      </c>
      <c r="M1833" s="384">
        <v>40107</v>
      </c>
      <c r="N1833" s="277" t="s">
        <v>20155</v>
      </c>
      <c r="O1833" s="277" t="s">
        <v>17954</v>
      </c>
      <c r="P1833" s="890">
        <v>45626</v>
      </c>
      <c r="Q1833" s="347">
        <v>1700</v>
      </c>
      <c r="R1833" s="347">
        <v>12480</v>
      </c>
      <c r="S1833" s="347">
        <v>6120</v>
      </c>
      <c r="T1833" s="347">
        <v>4700</v>
      </c>
      <c r="U1833" s="347">
        <v>25000</v>
      </c>
      <c r="V1833" s="348"/>
      <c r="W1833" s="349">
        <v>5461.4458400000003</v>
      </c>
      <c r="X1833" s="349">
        <v>40093.437696000001</v>
      </c>
      <c r="Y1833" s="349">
        <v>18970.853724000001</v>
      </c>
      <c r="Z1833" s="349">
        <v>25957.660089999998</v>
      </c>
      <c r="AA1833" s="350">
        <v>3.2126152000000001</v>
      </c>
      <c r="AB1833" s="350">
        <v>3.2126152000000001</v>
      </c>
      <c r="AC1833" s="350">
        <v>3.0998127000000002</v>
      </c>
      <c r="AD1833" s="350">
        <v>5.522906402127659</v>
      </c>
      <c r="AE1833" s="349">
        <v>2059.4969999999998</v>
      </c>
      <c r="AF1833" s="349">
        <v>15611.485000000001</v>
      </c>
      <c r="AG1833" s="349">
        <v>0.6244594</v>
      </c>
      <c r="AH1833" s="351">
        <v>2.5881558</v>
      </c>
      <c r="AI1833" s="351">
        <v>2.5881558</v>
      </c>
      <c r="AJ1833" s="351">
        <v>2.4753533000000001</v>
      </c>
      <c r="AK1833" s="351">
        <v>4.8984470021276589</v>
      </c>
      <c r="AL1833" s="352">
        <v>1</v>
      </c>
      <c r="AM1833" s="352">
        <v>1</v>
      </c>
      <c r="AN1833" s="352">
        <v>1</v>
      </c>
      <c r="AO1833" s="352">
        <v>1</v>
      </c>
    </row>
    <row r="1834" spans="1:41" hidden="1">
      <c r="A1834" s="342" t="s">
        <v>364</v>
      </c>
      <c r="B1834" s="277" t="s">
        <v>364</v>
      </c>
      <c r="C1834" s="277">
        <v>0</v>
      </c>
      <c r="D1834" s="343" t="s">
        <v>19588</v>
      </c>
      <c r="E1834" s="277" t="s">
        <v>364</v>
      </c>
      <c r="F1834" s="618">
        <v>45616</v>
      </c>
      <c r="G1834" s="619">
        <v>2024</v>
      </c>
      <c r="H1834" s="383" t="s">
        <v>17304</v>
      </c>
      <c r="I1834" s="277" t="s">
        <v>17305</v>
      </c>
      <c r="J1834" s="277" t="s">
        <v>17306</v>
      </c>
      <c r="K1834" s="278">
        <v>82937.586915000007</v>
      </c>
      <c r="L1834" s="383">
        <v>2.2560500000000001</v>
      </c>
      <c r="M1834" s="384">
        <v>36762.300000000003</v>
      </c>
      <c r="N1834" s="277" t="s">
        <v>20155</v>
      </c>
      <c r="O1834" s="277" t="s">
        <v>17954</v>
      </c>
      <c r="P1834" s="890">
        <v>45625</v>
      </c>
      <c r="Q1834" s="347">
        <v>1500</v>
      </c>
      <c r="R1834" s="347">
        <v>16884</v>
      </c>
      <c r="S1834" s="347">
        <v>4320</v>
      </c>
      <c r="T1834" s="347">
        <v>2200</v>
      </c>
      <c r="U1834" s="347">
        <v>24904</v>
      </c>
      <c r="V1834" s="348"/>
      <c r="W1834" s="349">
        <v>4821.5839678766461</v>
      </c>
      <c r="X1834" s="349">
        <v>49367.053126259532</v>
      </c>
      <c r="Y1834" s="349">
        <v>13398.855027484742</v>
      </c>
      <c r="Z1834" s="349">
        <v>15350.096598219079</v>
      </c>
      <c r="AA1834" s="350">
        <v>3.2143893119177642</v>
      </c>
      <c r="AB1834" s="350">
        <v>2.9238955890937888</v>
      </c>
      <c r="AC1834" s="350">
        <v>3.1015868119177643</v>
      </c>
      <c r="AD1834" s="350">
        <v>6.9773166355541267</v>
      </c>
      <c r="AE1834" s="349">
        <v>2059.4969999999998</v>
      </c>
      <c r="AF1834" s="349">
        <v>15890.885</v>
      </c>
      <c r="AG1834" s="349">
        <v>0.63808564889174435</v>
      </c>
      <c r="AH1834" s="351">
        <v>2.5763036630260201</v>
      </c>
      <c r="AI1834" s="351">
        <v>2.2858099402020446</v>
      </c>
      <c r="AJ1834" s="351">
        <v>2.4635011630260202</v>
      </c>
      <c r="AK1834" s="351">
        <v>6.3392309866623826</v>
      </c>
      <c r="AL1834" s="352">
        <v>1</v>
      </c>
      <c r="AM1834" s="352">
        <v>1</v>
      </c>
      <c r="AN1834" s="352">
        <v>1</v>
      </c>
      <c r="AO1834" s="352">
        <v>1</v>
      </c>
    </row>
    <row r="1835" spans="1:41" hidden="1">
      <c r="A1835" s="342" t="s">
        <v>365</v>
      </c>
      <c r="B1835" s="277" t="s">
        <v>365</v>
      </c>
      <c r="C1835" s="277">
        <v>0</v>
      </c>
      <c r="D1835" s="343" t="s">
        <v>19589</v>
      </c>
      <c r="E1835" s="277" t="s">
        <v>365</v>
      </c>
      <c r="F1835" s="618">
        <v>45616</v>
      </c>
      <c r="G1835" s="619">
        <v>2024</v>
      </c>
      <c r="H1835" s="383" t="s">
        <v>17342</v>
      </c>
      <c r="I1835" s="277" t="s">
        <v>17343</v>
      </c>
      <c r="J1835" s="277" t="s">
        <v>16482</v>
      </c>
      <c r="K1835" s="278">
        <v>28755.305392000002</v>
      </c>
      <c r="L1835" s="383">
        <v>3.3374000000000001</v>
      </c>
      <c r="M1835" s="384">
        <v>8616.08</v>
      </c>
      <c r="N1835" s="277" t="s">
        <v>20155</v>
      </c>
      <c r="O1835" s="277" t="s">
        <v>16394</v>
      </c>
      <c r="P1835" s="890">
        <v>45618</v>
      </c>
      <c r="Q1835" s="347">
        <v>0</v>
      </c>
      <c r="R1835" s="347">
        <v>16296</v>
      </c>
      <c r="S1835" s="347">
        <v>7200</v>
      </c>
      <c r="T1835" s="347">
        <v>560</v>
      </c>
      <c r="U1835" s="347">
        <v>24056</v>
      </c>
      <c r="V1835" s="348"/>
      <c r="W1835" s="349">
        <v>0</v>
      </c>
      <c r="X1835" s="349">
        <v>18800.999592774191</v>
      </c>
      <c r="Y1835" s="349">
        <v>7632.4329122713671</v>
      </c>
      <c r="Z1835" s="349">
        <v>2321.8728869544398</v>
      </c>
      <c r="AA1835" s="350" t="e">
        <v>#DIV/0!</v>
      </c>
      <c r="AB1835" s="350">
        <v>1.1537186789871252</v>
      </c>
      <c r="AC1835" s="350">
        <v>1.0600601267043566</v>
      </c>
      <c r="AD1835" s="350">
        <v>4.1462015838472137</v>
      </c>
      <c r="AE1835" s="349">
        <v>1069.2629999999999</v>
      </c>
      <c r="AF1835" s="349">
        <v>9971</v>
      </c>
      <c r="AG1835" s="349">
        <v>0.41449118722979716</v>
      </c>
      <c r="AH1835" s="351"/>
      <c r="AI1835" s="351">
        <v>0.73922749175732805</v>
      </c>
      <c r="AJ1835" s="351">
        <v>0.6455689394745594</v>
      </c>
      <c r="AK1835" s="351">
        <v>3.7317103966174168</v>
      </c>
      <c r="AL1835" s="352">
        <v>0</v>
      </c>
      <c r="AM1835" s="352">
        <v>1</v>
      </c>
      <c r="AN1835" s="352">
        <v>1</v>
      </c>
      <c r="AO1835" s="352">
        <v>1</v>
      </c>
    </row>
    <row r="1836" spans="1:41" hidden="1">
      <c r="A1836" s="342" t="s">
        <v>366</v>
      </c>
      <c r="B1836" s="277" t="s">
        <v>366</v>
      </c>
      <c r="C1836" s="277">
        <v>0</v>
      </c>
      <c r="D1836" s="343" t="s">
        <v>19590</v>
      </c>
      <c r="E1836" s="277" t="s">
        <v>366</v>
      </c>
      <c r="F1836" s="618">
        <v>45616</v>
      </c>
      <c r="G1836" s="619">
        <v>2024</v>
      </c>
      <c r="H1836" s="383" t="s">
        <v>17379</v>
      </c>
      <c r="I1836" s="277" t="s">
        <v>17380</v>
      </c>
      <c r="J1836" s="277" t="s">
        <v>3</v>
      </c>
      <c r="K1836" s="278">
        <v>115440</v>
      </c>
      <c r="L1836" s="383">
        <v>1</v>
      </c>
      <c r="M1836" s="384">
        <v>115440</v>
      </c>
      <c r="N1836" s="277" t="s">
        <v>20155</v>
      </c>
      <c r="O1836" s="277" t="s">
        <v>20159</v>
      </c>
      <c r="P1836" s="890">
        <v>45635</v>
      </c>
      <c r="Q1836" s="347">
        <v>0</v>
      </c>
      <c r="R1836" s="347">
        <v>0</v>
      </c>
      <c r="S1836" s="347">
        <v>78000</v>
      </c>
      <c r="T1836" s="347">
        <v>0</v>
      </c>
      <c r="U1836" s="347">
        <v>78000</v>
      </c>
      <c r="V1836" s="348"/>
      <c r="W1836" s="349">
        <v>0</v>
      </c>
      <c r="X1836" s="349">
        <v>0</v>
      </c>
      <c r="Y1836" s="349">
        <v>115440</v>
      </c>
      <c r="Z1836" s="349">
        <v>0</v>
      </c>
      <c r="AA1836" s="350" t="e">
        <v>#DIV/0!</v>
      </c>
      <c r="AB1836" s="350" t="e">
        <v>#DIV/0!</v>
      </c>
      <c r="AC1836" s="350">
        <v>1.48</v>
      </c>
      <c r="AD1836" s="350" t="e">
        <v>#DIV/0!</v>
      </c>
      <c r="AE1836" s="349">
        <v>0</v>
      </c>
      <c r="AF1836" s="349">
        <v>0</v>
      </c>
      <c r="AG1836" s="349">
        <v>0</v>
      </c>
      <c r="AH1836" s="351"/>
      <c r="AI1836" s="351"/>
      <c r="AJ1836" s="351">
        <v>1.48</v>
      </c>
      <c r="AK1836" s="351"/>
      <c r="AL1836" s="352">
        <v>0</v>
      </c>
      <c r="AM1836" s="352">
        <v>0</v>
      </c>
      <c r="AN1836" s="352" t="s">
        <v>20347</v>
      </c>
      <c r="AO1836" s="352">
        <v>0</v>
      </c>
    </row>
    <row r="1837" spans="1:41" hidden="1">
      <c r="A1837" s="342" t="s">
        <v>367</v>
      </c>
      <c r="B1837" s="277" t="s">
        <v>367</v>
      </c>
      <c r="C1837" s="277">
        <v>0</v>
      </c>
      <c r="D1837" s="343" t="s">
        <v>19591</v>
      </c>
      <c r="E1837" s="277" t="s">
        <v>367</v>
      </c>
      <c r="F1837" s="618">
        <v>45616</v>
      </c>
      <c r="G1837" s="619">
        <v>2024</v>
      </c>
      <c r="H1837" s="383" t="s">
        <v>16972</v>
      </c>
      <c r="I1837" s="277" t="s">
        <v>16973</v>
      </c>
      <c r="J1837" s="277" t="s">
        <v>3</v>
      </c>
      <c r="K1837" s="278">
        <v>39068</v>
      </c>
      <c r="L1837" s="383">
        <v>1</v>
      </c>
      <c r="M1837" s="384">
        <v>39068</v>
      </c>
      <c r="N1837" s="277" t="s">
        <v>20155</v>
      </c>
      <c r="O1837" s="277" t="s">
        <v>20195</v>
      </c>
      <c r="P1837" s="890">
        <v>45631</v>
      </c>
      <c r="Q1837" s="347">
        <v>19200</v>
      </c>
      <c r="R1837" s="347">
        <v>0</v>
      </c>
      <c r="S1837" s="347">
        <v>0</v>
      </c>
      <c r="T1837" s="347">
        <v>0</v>
      </c>
      <c r="U1837" s="347">
        <v>19200</v>
      </c>
      <c r="V1837" s="348"/>
      <c r="W1837" s="349">
        <v>39068</v>
      </c>
      <c r="X1837" s="349">
        <v>0</v>
      </c>
      <c r="Y1837" s="349">
        <v>0</v>
      </c>
      <c r="Z1837" s="349">
        <v>0</v>
      </c>
      <c r="AA1837" s="350">
        <v>2.0347916666666666</v>
      </c>
      <c r="AB1837" s="350" t="e">
        <v>#DIV/0!</v>
      </c>
      <c r="AC1837" s="350" t="e">
        <v>#DIV/0!</v>
      </c>
      <c r="AD1837" s="350" t="e">
        <v>#DIV/0!</v>
      </c>
      <c r="AE1837" s="349">
        <v>0</v>
      </c>
      <c r="AF1837" s="349">
        <v>0</v>
      </c>
      <c r="AG1837" s="349">
        <v>0</v>
      </c>
      <c r="AH1837" s="351">
        <v>2.0347916666666666</v>
      </c>
      <c r="AI1837" s="351"/>
      <c r="AJ1837" s="351"/>
      <c r="AK1837" s="351"/>
      <c r="AL1837" s="352" t="s">
        <v>20356</v>
      </c>
      <c r="AM1837" s="352">
        <v>0</v>
      </c>
      <c r="AN1837" s="352">
        <v>0</v>
      </c>
      <c r="AO1837" s="352">
        <v>0</v>
      </c>
    </row>
    <row r="1838" spans="1:41" hidden="1">
      <c r="A1838" s="342" t="s">
        <v>368</v>
      </c>
      <c r="B1838" s="277" t="s">
        <v>368</v>
      </c>
      <c r="C1838" s="277">
        <v>0</v>
      </c>
      <c r="D1838" s="343" t="s">
        <v>19592</v>
      </c>
      <c r="E1838" s="277" t="s">
        <v>368</v>
      </c>
      <c r="F1838" s="618">
        <v>45616</v>
      </c>
      <c r="G1838" s="619">
        <v>2024</v>
      </c>
      <c r="H1838" s="383" t="s">
        <v>16972</v>
      </c>
      <c r="I1838" s="277" t="s">
        <v>16973</v>
      </c>
      <c r="J1838" s="277" t="s">
        <v>3</v>
      </c>
      <c r="K1838" s="278">
        <v>77078</v>
      </c>
      <c r="L1838" s="383">
        <v>1</v>
      </c>
      <c r="M1838" s="384">
        <v>77078</v>
      </c>
      <c r="N1838" s="277" t="s">
        <v>20155</v>
      </c>
      <c r="O1838" s="277" t="s">
        <v>17801</v>
      </c>
      <c r="P1838" s="890">
        <v>45637</v>
      </c>
      <c r="Q1838" s="347">
        <v>39200</v>
      </c>
      <c r="R1838" s="347">
        <v>0</v>
      </c>
      <c r="S1838" s="347">
        <v>0</v>
      </c>
      <c r="T1838" s="347">
        <v>0</v>
      </c>
      <c r="U1838" s="347">
        <v>39200</v>
      </c>
      <c r="V1838" s="348"/>
      <c r="W1838" s="349">
        <v>77078</v>
      </c>
      <c r="X1838" s="349">
        <v>0</v>
      </c>
      <c r="Y1838" s="349">
        <v>0</v>
      </c>
      <c r="Z1838" s="349">
        <v>0</v>
      </c>
      <c r="AA1838" s="350">
        <v>1.9662755102040816</v>
      </c>
      <c r="AB1838" s="350" t="e">
        <v>#DIV/0!</v>
      </c>
      <c r="AC1838" s="350" t="e">
        <v>#DIV/0!</v>
      </c>
      <c r="AD1838" s="350" t="e">
        <v>#DIV/0!</v>
      </c>
      <c r="AE1838" s="349">
        <v>0</v>
      </c>
      <c r="AF1838" s="349">
        <v>0</v>
      </c>
      <c r="AG1838" s="349">
        <v>0</v>
      </c>
      <c r="AH1838" s="351">
        <v>1.9662755102040816</v>
      </c>
      <c r="AI1838" s="351"/>
      <c r="AJ1838" s="351"/>
      <c r="AK1838" s="351"/>
      <c r="AL1838" s="352" t="s">
        <v>20356</v>
      </c>
      <c r="AM1838" s="352">
        <v>0</v>
      </c>
      <c r="AN1838" s="352">
        <v>0</v>
      </c>
      <c r="AO1838" s="352">
        <v>0</v>
      </c>
    </row>
    <row r="1839" spans="1:41" hidden="1">
      <c r="A1839" s="342" t="s">
        <v>369</v>
      </c>
      <c r="B1839" s="277" t="s">
        <v>369</v>
      </c>
      <c r="C1839" s="277">
        <v>0</v>
      </c>
      <c r="D1839" s="343" t="s">
        <v>19593</v>
      </c>
      <c r="E1839" s="277" t="s">
        <v>369</v>
      </c>
      <c r="F1839" s="618">
        <v>45616</v>
      </c>
      <c r="G1839" s="619">
        <v>2024</v>
      </c>
      <c r="H1839" s="383" t="s">
        <v>16904</v>
      </c>
      <c r="I1839" s="277" t="s">
        <v>16905</v>
      </c>
      <c r="J1839" s="277" t="s">
        <v>16482</v>
      </c>
      <c r="K1839" s="278">
        <v>77183.662808000008</v>
      </c>
      <c r="L1839" s="383">
        <v>3.3271000000000002</v>
      </c>
      <c r="M1839" s="384">
        <v>23198.48</v>
      </c>
      <c r="N1839" s="277" t="s">
        <v>20155</v>
      </c>
      <c r="O1839" s="277" t="s">
        <v>20160</v>
      </c>
      <c r="P1839" s="890">
        <v>45623</v>
      </c>
      <c r="Q1839" s="347">
        <v>0</v>
      </c>
      <c r="R1839" s="347">
        <v>15984</v>
      </c>
      <c r="S1839" s="347">
        <v>10500</v>
      </c>
      <c r="T1839" s="347">
        <v>0</v>
      </c>
      <c r="U1839" s="347">
        <v>26484</v>
      </c>
      <c r="V1839" s="348"/>
      <c r="W1839" s="349">
        <v>0</v>
      </c>
      <c r="X1839" s="349">
        <v>46823.943146468511</v>
      </c>
      <c r="Y1839" s="349">
        <v>30359.71966153149</v>
      </c>
      <c r="Z1839" s="349">
        <v>0</v>
      </c>
      <c r="AA1839" s="350" t="e">
        <v>#DIV/0!</v>
      </c>
      <c r="AB1839" s="350">
        <v>2.9294258725268087</v>
      </c>
      <c r="AC1839" s="350">
        <v>2.8914018725268087</v>
      </c>
      <c r="AD1839" s="350" t="e">
        <v>#DIV/0!</v>
      </c>
      <c r="AE1839" s="349">
        <v>3856.8</v>
      </c>
      <c r="AF1839" s="349">
        <v>19200.62</v>
      </c>
      <c r="AG1839" s="349">
        <v>0.72498942757891549</v>
      </c>
      <c r="AH1839" s="351"/>
      <c r="AI1839" s="351">
        <v>2.204436444947893</v>
      </c>
      <c r="AJ1839" s="351">
        <v>2.166412444947893</v>
      </c>
      <c r="AK1839" s="351"/>
      <c r="AL1839" s="352">
        <v>0</v>
      </c>
      <c r="AM1839" s="352">
        <v>1</v>
      </c>
      <c r="AN1839" s="352">
        <v>1</v>
      </c>
      <c r="AO1839" s="352">
        <v>0</v>
      </c>
    </row>
    <row r="1840" spans="1:41" hidden="1">
      <c r="A1840" s="342" t="s">
        <v>370</v>
      </c>
      <c r="B1840" s="277" t="s">
        <v>370</v>
      </c>
      <c r="C1840" s="277">
        <v>0</v>
      </c>
      <c r="D1840" s="343" t="s">
        <v>19594</v>
      </c>
      <c r="E1840" s="277" t="s">
        <v>370</v>
      </c>
      <c r="F1840" s="618">
        <v>45616</v>
      </c>
      <c r="G1840" s="619">
        <v>2024</v>
      </c>
      <c r="H1840" s="383" t="s">
        <v>16904</v>
      </c>
      <c r="I1840" s="277" t="s">
        <v>16905</v>
      </c>
      <c r="J1840" s="277" t="s">
        <v>16482</v>
      </c>
      <c r="K1840" s="278">
        <v>70727.757968000005</v>
      </c>
      <c r="L1840" s="383">
        <v>3.3271000000000002</v>
      </c>
      <c r="M1840" s="384">
        <v>21258.080000000002</v>
      </c>
      <c r="N1840" s="277" t="s">
        <v>20155</v>
      </c>
      <c r="O1840" s="277" t="s">
        <v>20160</v>
      </c>
      <c r="P1840" s="890">
        <v>45623</v>
      </c>
      <c r="Q1840" s="347">
        <v>0</v>
      </c>
      <c r="R1840" s="347">
        <v>20664</v>
      </c>
      <c r="S1840" s="347">
        <v>3000</v>
      </c>
      <c r="T1840" s="347">
        <v>0</v>
      </c>
      <c r="U1840" s="347">
        <v>23664</v>
      </c>
      <c r="V1840" s="348"/>
      <c r="W1840" s="349">
        <v>0</v>
      </c>
      <c r="X1840" s="349">
        <v>61848.416433517239</v>
      </c>
      <c r="Y1840" s="349">
        <v>8879.341534482759</v>
      </c>
      <c r="Z1840" s="349">
        <v>0</v>
      </c>
      <c r="AA1840" s="350" t="e">
        <v>#DIV/0!</v>
      </c>
      <c r="AB1840" s="350">
        <v>2.9930515114942526</v>
      </c>
      <c r="AC1840" s="350">
        <v>2.959780511494253</v>
      </c>
      <c r="AD1840" s="350" t="e">
        <v>#DIV/0!</v>
      </c>
      <c r="AE1840" s="349">
        <v>3856.8</v>
      </c>
      <c r="AF1840" s="349">
        <v>17639.189999999999</v>
      </c>
      <c r="AG1840" s="349">
        <v>0.74540187626774845</v>
      </c>
      <c r="AH1840" s="351"/>
      <c r="AI1840" s="351">
        <v>2.2476496352265043</v>
      </c>
      <c r="AJ1840" s="351">
        <v>2.2143786352265047</v>
      </c>
      <c r="AK1840" s="351"/>
      <c r="AL1840" s="352">
        <v>0</v>
      </c>
      <c r="AM1840" s="352">
        <v>1</v>
      </c>
      <c r="AN1840" s="352">
        <v>1</v>
      </c>
      <c r="AO1840" s="352">
        <v>0</v>
      </c>
    </row>
    <row r="1841" spans="1:41" hidden="1">
      <c r="A1841" s="342" t="s">
        <v>371</v>
      </c>
      <c r="B1841" s="277" t="s">
        <v>371</v>
      </c>
      <c r="C1841" s="277">
        <v>0</v>
      </c>
      <c r="D1841" s="343" t="s">
        <v>19595</v>
      </c>
      <c r="E1841" s="277" t="s">
        <v>371</v>
      </c>
      <c r="F1841" s="618">
        <v>45616</v>
      </c>
      <c r="G1841" s="619">
        <v>2024</v>
      </c>
      <c r="H1841" s="383" t="s">
        <v>16783</v>
      </c>
      <c r="I1841" s="277" t="s">
        <v>16784</v>
      </c>
      <c r="J1841" s="277" t="s">
        <v>16401</v>
      </c>
      <c r="K1841" s="278">
        <v>611017.48800000001</v>
      </c>
      <c r="L1841" s="383">
        <v>3.16655</v>
      </c>
      <c r="M1841" s="384">
        <v>192960</v>
      </c>
      <c r="N1841" s="277" t="s">
        <v>20155</v>
      </c>
      <c r="O1841" s="277" t="s">
        <v>17939</v>
      </c>
      <c r="P1841" s="890">
        <v>45621</v>
      </c>
      <c r="Q1841" s="347">
        <v>72000</v>
      </c>
      <c r="R1841" s="347">
        <v>216000</v>
      </c>
      <c r="S1841" s="347">
        <v>0</v>
      </c>
      <c r="T1841" s="347">
        <v>0</v>
      </c>
      <c r="U1841" s="347">
        <v>288000</v>
      </c>
      <c r="V1841" s="348"/>
      <c r="W1841" s="349">
        <v>152754.37199999997</v>
      </c>
      <c r="X1841" s="349">
        <v>458263.1160000001</v>
      </c>
      <c r="Y1841" s="349">
        <v>0</v>
      </c>
      <c r="Z1841" s="349">
        <v>0</v>
      </c>
      <c r="AA1841" s="350">
        <v>2.1215884999999997</v>
      </c>
      <c r="AB1841" s="350">
        <v>2.1215885000000005</v>
      </c>
      <c r="AC1841" s="350" t="e">
        <v>#DIV/0!</v>
      </c>
      <c r="AD1841" s="350" t="e">
        <v>#DIV/0!</v>
      </c>
      <c r="AE1841" s="349">
        <v>0</v>
      </c>
      <c r="AF1841" s="349">
        <v>0</v>
      </c>
      <c r="AG1841" s="349">
        <v>0</v>
      </c>
      <c r="AH1841" s="351">
        <v>2.1215884999999997</v>
      </c>
      <c r="AI1841" s="351">
        <v>2.1215885000000005</v>
      </c>
      <c r="AJ1841" s="351"/>
      <c r="AK1841" s="351"/>
      <c r="AL1841" s="352" t="s">
        <v>20356</v>
      </c>
      <c r="AM1841" s="352" t="s">
        <v>20345</v>
      </c>
      <c r="AN1841" s="352">
        <v>0</v>
      </c>
      <c r="AO1841" s="352">
        <v>0</v>
      </c>
    </row>
    <row r="1842" spans="1:41" hidden="1">
      <c r="A1842" s="342" t="s">
        <v>372</v>
      </c>
      <c r="B1842" s="277" t="s">
        <v>372</v>
      </c>
      <c r="C1842" s="277">
        <v>0</v>
      </c>
      <c r="D1842" s="343" t="s">
        <v>19596</v>
      </c>
      <c r="E1842" s="277" t="s">
        <v>372</v>
      </c>
      <c r="F1842" s="618">
        <v>45617</v>
      </c>
      <c r="G1842" s="619">
        <v>2024</v>
      </c>
      <c r="H1842" s="383" t="s">
        <v>16444</v>
      </c>
      <c r="I1842" s="277" t="s">
        <v>16445</v>
      </c>
      <c r="J1842" s="277" t="s">
        <v>3</v>
      </c>
      <c r="K1842" s="278">
        <v>38208</v>
      </c>
      <c r="L1842" s="383">
        <v>1</v>
      </c>
      <c r="M1842" s="384">
        <v>38208</v>
      </c>
      <c r="N1842" s="277" t="s">
        <v>20155</v>
      </c>
      <c r="O1842" s="277" t="s">
        <v>18248</v>
      </c>
      <c r="P1842" s="890">
        <v>45635</v>
      </c>
      <c r="Q1842" s="347">
        <v>19200</v>
      </c>
      <c r="R1842" s="347">
        <v>0</v>
      </c>
      <c r="S1842" s="347">
        <v>0</v>
      </c>
      <c r="T1842" s="347">
        <v>0</v>
      </c>
      <c r="U1842" s="347">
        <v>19200</v>
      </c>
      <c r="V1842" s="348"/>
      <c r="W1842" s="349">
        <v>38208</v>
      </c>
      <c r="X1842" s="349">
        <v>0</v>
      </c>
      <c r="Y1842" s="349">
        <v>0</v>
      </c>
      <c r="Z1842" s="349">
        <v>0</v>
      </c>
      <c r="AA1842" s="350">
        <v>1.99</v>
      </c>
      <c r="AB1842" s="350" t="e">
        <v>#DIV/0!</v>
      </c>
      <c r="AC1842" s="350" t="e">
        <v>#DIV/0!</v>
      </c>
      <c r="AD1842" s="350" t="e">
        <v>#DIV/0!</v>
      </c>
      <c r="AE1842" s="349">
        <v>0</v>
      </c>
      <c r="AF1842" s="349">
        <v>0</v>
      </c>
      <c r="AG1842" s="349">
        <v>0</v>
      </c>
      <c r="AH1842" s="351">
        <v>1.99</v>
      </c>
      <c r="AI1842" s="351"/>
      <c r="AJ1842" s="351"/>
      <c r="AK1842" s="351"/>
      <c r="AL1842" s="352" t="s">
        <v>20356</v>
      </c>
      <c r="AM1842" s="352">
        <v>0</v>
      </c>
      <c r="AN1842" s="352">
        <v>0</v>
      </c>
      <c r="AO1842" s="352">
        <v>0</v>
      </c>
    </row>
    <row r="1843" spans="1:41" hidden="1">
      <c r="A1843" s="342" t="s">
        <v>373</v>
      </c>
      <c r="B1843" s="277" t="s">
        <v>373</v>
      </c>
      <c r="C1843" s="277">
        <v>0</v>
      </c>
      <c r="D1843" s="343" t="s">
        <v>19597</v>
      </c>
      <c r="E1843" s="277" t="s">
        <v>373</v>
      </c>
      <c r="F1843" s="618">
        <v>45622</v>
      </c>
      <c r="G1843" s="619">
        <v>2024</v>
      </c>
      <c r="H1843" s="383" t="s">
        <v>17017</v>
      </c>
      <c r="I1843" s="277" t="s">
        <v>17018</v>
      </c>
      <c r="J1843" s="277" t="s">
        <v>3</v>
      </c>
      <c r="K1843" s="278">
        <v>18480</v>
      </c>
      <c r="L1843" s="383">
        <v>1</v>
      </c>
      <c r="M1843" s="384">
        <v>18480</v>
      </c>
      <c r="N1843" s="277" t="s">
        <v>20155</v>
      </c>
      <c r="O1843" s="277" t="s">
        <v>18261</v>
      </c>
      <c r="P1843" s="890">
        <v>45644</v>
      </c>
      <c r="Q1843" s="347">
        <v>0</v>
      </c>
      <c r="R1843" s="347">
        <v>5040</v>
      </c>
      <c r="S1843" s="347">
        <v>800</v>
      </c>
      <c r="T1843" s="347">
        <v>610</v>
      </c>
      <c r="U1843" s="347">
        <v>6450</v>
      </c>
      <c r="V1843" s="348"/>
      <c r="W1843" s="349">
        <v>0</v>
      </c>
      <c r="X1843" s="349">
        <v>13167</v>
      </c>
      <c r="Y1843" s="349">
        <v>2040</v>
      </c>
      <c r="Z1843" s="349">
        <v>3273</v>
      </c>
      <c r="AA1843" s="350" t="e">
        <v>#DIV/0!</v>
      </c>
      <c r="AB1843" s="350">
        <v>2.6124999999999998</v>
      </c>
      <c r="AC1843" s="350">
        <v>2.5499999999999998</v>
      </c>
      <c r="AD1843" s="350">
        <v>5.3655737704918032</v>
      </c>
      <c r="AE1843" s="349">
        <v>0</v>
      </c>
      <c r="AF1843" s="349">
        <v>0</v>
      </c>
      <c r="AG1843" s="349">
        <v>0</v>
      </c>
      <c r="AH1843" s="351"/>
      <c r="AI1843" s="351">
        <v>2.6124999999999998</v>
      </c>
      <c r="AJ1843" s="351">
        <v>2.5499999999999998</v>
      </c>
      <c r="AK1843" s="351">
        <v>5.3655737704918032</v>
      </c>
      <c r="AL1843" s="352">
        <v>0</v>
      </c>
      <c r="AM1843" s="352">
        <v>1</v>
      </c>
      <c r="AN1843" s="352">
        <v>1</v>
      </c>
      <c r="AO1843" s="352">
        <v>1</v>
      </c>
    </row>
    <row r="1844" spans="1:41" hidden="1">
      <c r="A1844" s="342" t="s">
        <v>374</v>
      </c>
      <c r="B1844" s="277" t="s">
        <v>374</v>
      </c>
      <c r="C1844" s="277">
        <v>0</v>
      </c>
      <c r="D1844" s="343" t="s">
        <v>19598</v>
      </c>
      <c r="E1844" s="277" t="s">
        <v>374</v>
      </c>
      <c r="F1844" s="618">
        <v>45618</v>
      </c>
      <c r="G1844" s="619">
        <v>2024</v>
      </c>
      <c r="H1844" s="383" t="s">
        <v>17394</v>
      </c>
      <c r="I1844" s="277" t="s">
        <v>17395</v>
      </c>
      <c r="J1844" s="277" t="s">
        <v>3</v>
      </c>
      <c r="K1844" s="278">
        <v>93962.4</v>
      </c>
      <c r="L1844" s="383">
        <v>1</v>
      </c>
      <c r="M1844" s="384">
        <v>93962.4</v>
      </c>
      <c r="N1844" s="277" t="s">
        <v>20155</v>
      </c>
      <c r="O1844" s="277" t="s">
        <v>17939</v>
      </c>
      <c r="P1844" s="890">
        <v>45628</v>
      </c>
      <c r="Q1844" s="347">
        <v>39984</v>
      </c>
      <c r="R1844" s="347">
        <v>0</v>
      </c>
      <c r="S1844" s="347">
        <v>0</v>
      </c>
      <c r="T1844" s="347">
        <v>0</v>
      </c>
      <c r="U1844" s="347">
        <v>39984</v>
      </c>
      <c r="V1844" s="348"/>
      <c r="W1844" s="349">
        <v>93962.4</v>
      </c>
      <c r="X1844" s="349">
        <v>0</v>
      </c>
      <c r="Y1844" s="349">
        <v>0</v>
      </c>
      <c r="Z1844" s="349">
        <v>0</v>
      </c>
      <c r="AA1844" s="350">
        <v>2.3499999999999996</v>
      </c>
      <c r="AB1844" s="350" t="e">
        <v>#DIV/0!</v>
      </c>
      <c r="AC1844" s="350" t="e">
        <v>#DIV/0!</v>
      </c>
      <c r="AD1844" s="350" t="e">
        <v>#DIV/0!</v>
      </c>
      <c r="AE1844" s="349">
        <v>0</v>
      </c>
      <c r="AF1844" s="349">
        <v>0</v>
      </c>
      <c r="AG1844" s="349">
        <v>0</v>
      </c>
      <c r="AH1844" s="351">
        <v>2.3499999999999996</v>
      </c>
      <c r="AI1844" s="351"/>
      <c r="AJ1844" s="351"/>
      <c r="AK1844" s="351"/>
      <c r="AL1844" s="352" t="s">
        <v>20356</v>
      </c>
      <c r="AM1844" s="352">
        <v>0</v>
      </c>
      <c r="AN1844" s="352">
        <v>0</v>
      </c>
      <c r="AO1844" s="352">
        <v>0</v>
      </c>
    </row>
    <row r="1845" spans="1:41" hidden="1">
      <c r="A1845" s="342" t="s">
        <v>375</v>
      </c>
      <c r="B1845" s="277" t="s">
        <v>375</v>
      </c>
      <c r="C1845" s="277">
        <v>0</v>
      </c>
      <c r="D1845" s="343" t="s">
        <v>19599</v>
      </c>
      <c r="E1845" s="277" t="s">
        <v>375</v>
      </c>
      <c r="F1845" s="618">
        <v>45623</v>
      </c>
      <c r="G1845" s="619">
        <v>2024</v>
      </c>
      <c r="H1845" s="383" t="s">
        <v>17342</v>
      </c>
      <c r="I1845" s="277" t="s">
        <v>17343</v>
      </c>
      <c r="J1845" s="277" t="s">
        <v>16482</v>
      </c>
      <c r="K1845" s="278">
        <v>14632.791264</v>
      </c>
      <c r="L1845" s="383">
        <v>3.3306</v>
      </c>
      <c r="M1845" s="384">
        <v>4393.4399999999996</v>
      </c>
      <c r="N1845" s="277" t="s">
        <v>20155</v>
      </c>
      <c r="O1845" s="277" t="s">
        <v>20306</v>
      </c>
      <c r="P1845" s="890">
        <v>45637</v>
      </c>
      <c r="Q1845" s="347">
        <v>800</v>
      </c>
      <c r="R1845" s="347">
        <v>15792</v>
      </c>
      <c r="S1845" s="347">
        <v>2400</v>
      </c>
      <c r="T1845" s="347">
        <v>560</v>
      </c>
      <c r="U1845" s="347">
        <v>19552</v>
      </c>
      <c r="V1845" s="348"/>
      <c r="W1845" s="349">
        <v>532.89599999999996</v>
      </c>
      <c r="X1845" s="349">
        <v>11124.950054399997</v>
      </c>
      <c r="Y1845" s="349">
        <v>347.71463999999992</v>
      </c>
      <c r="Z1845" s="349">
        <v>2627.1772799999999</v>
      </c>
      <c r="AA1845" s="350">
        <v>0.66611999999999993</v>
      </c>
      <c r="AB1845" s="350">
        <v>0.70446745531914867</v>
      </c>
      <c r="AC1845" s="350">
        <v>0.14488109999999996</v>
      </c>
      <c r="AD1845" s="350">
        <v>4.6913879999999999</v>
      </c>
      <c r="AE1845" s="349">
        <v>0</v>
      </c>
      <c r="AF1845" s="349">
        <v>0</v>
      </c>
      <c r="AG1845" s="349">
        <v>0</v>
      </c>
      <c r="AH1845" s="351">
        <v>0.66611999999999993</v>
      </c>
      <c r="AI1845" s="351">
        <v>0.70446745531914867</v>
      </c>
      <c r="AJ1845" s="351">
        <v>0.14488109999999996</v>
      </c>
      <c r="AK1845" s="351">
        <v>4.6913879999999999</v>
      </c>
      <c r="AL1845" s="352">
        <v>1</v>
      </c>
      <c r="AM1845" s="352">
        <v>1</v>
      </c>
      <c r="AN1845" s="352">
        <v>1</v>
      </c>
      <c r="AO1845" s="352">
        <v>1</v>
      </c>
    </row>
    <row r="1846" spans="1:41" hidden="1">
      <c r="A1846" s="342" t="s">
        <v>376</v>
      </c>
      <c r="B1846" s="277" t="s">
        <v>376</v>
      </c>
      <c r="C1846" s="277">
        <v>0</v>
      </c>
      <c r="D1846" s="343" t="s">
        <v>19600</v>
      </c>
      <c r="E1846" s="277" t="s">
        <v>376</v>
      </c>
      <c r="F1846" s="618">
        <v>45623</v>
      </c>
      <c r="G1846" s="619">
        <v>2024</v>
      </c>
      <c r="H1846" s="383" t="s">
        <v>17342</v>
      </c>
      <c r="I1846" s="277" t="s">
        <v>17343</v>
      </c>
      <c r="J1846" s="277" t="s">
        <v>16482</v>
      </c>
      <c r="K1846" s="278">
        <v>63575.473239999992</v>
      </c>
      <c r="L1846" s="383">
        <v>3.3454999999999999</v>
      </c>
      <c r="M1846" s="384">
        <v>19003.28</v>
      </c>
      <c r="N1846" s="277" t="s">
        <v>20155</v>
      </c>
      <c r="O1846" s="277" t="s">
        <v>16394</v>
      </c>
      <c r="P1846" s="890">
        <v>45628</v>
      </c>
      <c r="Q1846" s="347">
        <v>2400</v>
      </c>
      <c r="R1846" s="347">
        <v>35760</v>
      </c>
      <c r="S1846" s="347">
        <v>8400</v>
      </c>
      <c r="T1846" s="347">
        <v>1260</v>
      </c>
      <c r="U1846" s="347">
        <v>47820</v>
      </c>
      <c r="V1846" s="348"/>
      <c r="W1846" s="349">
        <v>2805.5405872020078</v>
      </c>
      <c r="X1846" s="349">
        <v>44133.005053309913</v>
      </c>
      <c r="Y1846" s="349">
        <v>9679.3409552070261</v>
      </c>
      <c r="Z1846" s="349">
        <v>6749.5007282810539</v>
      </c>
      <c r="AA1846" s="350">
        <v>1.1689752446675032</v>
      </c>
      <c r="AB1846" s="350">
        <v>1.2341444366138119</v>
      </c>
      <c r="AC1846" s="350">
        <v>1.1523024946675031</v>
      </c>
      <c r="AD1846" s="350">
        <v>5.3567466097468683</v>
      </c>
      <c r="AE1846" s="349">
        <v>1335.9937499999999</v>
      </c>
      <c r="AF1846" s="349">
        <v>12150</v>
      </c>
      <c r="AG1846" s="349">
        <v>0.25407779171894607</v>
      </c>
      <c r="AH1846" s="351">
        <v>0.91489745294855718</v>
      </c>
      <c r="AI1846" s="351">
        <v>0.98006664489486583</v>
      </c>
      <c r="AJ1846" s="351">
        <v>0.89822470294855705</v>
      </c>
      <c r="AK1846" s="351">
        <v>5.1026688180279223</v>
      </c>
      <c r="AL1846" s="352">
        <v>1</v>
      </c>
      <c r="AM1846" s="352">
        <v>1</v>
      </c>
      <c r="AN1846" s="352">
        <v>1</v>
      </c>
      <c r="AO1846" s="352">
        <v>1</v>
      </c>
    </row>
    <row r="1847" spans="1:41" hidden="1">
      <c r="A1847" s="342" t="s">
        <v>377</v>
      </c>
      <c r="B1847" s="277" t="s">
        <v>377</v>
      </c>
      <c r="C1847" s="277">
        <v>0</v>
      </c>
      <c r="D1847" s="343" t="s">
        <v>19601</v>
      </c>
      <c r="E1847" s="277" t="s">
        <v>377</v>
      </c>
      <c r="F1847" s="618">
        <v>45625</v>
      </c>
      <c r="G1847" s="619">
        <v>2024</v>
      </c>
      <c r="H1847" s="383" t="s">
        <v>17376</v>
      </c>
      <c r="I1847" s="277" t="s">
        <v>17377</v>
      </c>
      <c r="J1847" s="277" t="s">
        <v>3</v>
      </c>
      <c r="K1847" s="278">
        <v>210006.72</v>
      </c>
      <c r="L1847" s="383">
        <v>1</v>
      </c>
      <c r="M1847" s="384">
        <v>210006.72</v>
      </c>
      <c r="N1847" s="277" t="s">
        <v>20155</v>
      </c>
      <c r="O1847" s="277" t="s">
        <v>17939</v>
      </c>
      <c r="P1847" s="890">
        <v>45632</v>
      </c>
      <c r="Q1847" s="347">
        <v>100003</v>
      </c>
      <c r="R1847" s="347">
        <v>0</v>
      </c>
      <c r="S1847" s="347">
        <v>0</v>
      </c>
      <c r="T1847" s="347">
        <v>0</v>
      </c>
      <c r="U1847" s="347">
        <v>100003</v>
      </c>
      <c r="V1847" s="348"/>
      <c r="W1847" s="349">
        <v>210006.72</v>
      </c>
      <c r="X1847" s="349">
        <v>0</v>
      </c>
      <c r="Y1847" s="349">
        <v>0</v>
      </c>
      <c r="Z1847" s="349">
        <v>0</v>
      </c>
      <c r="AA1847" s="350">
        <v>2.1000041998740038</v>
      </c>
      <c r="AB1847" s="350" t="e">
        <v>#DIV/0!</v>
      </c>
      <c r="AC1847" s="350" t="e">
        <v>#DIV/0!</v>
      </c>
      <c r="AD1847" s="350" t="e">
        <v>#DIV/0!</v>
      </c>
      <c r="AE1847" s="349">
        <v>0</v>
      </c>
      <c r="AF1847" s="349">
        <v>0</v>
      </c>
      <c r="AG1847" s="349">
        <v>0</v>
      </c>
      <c r="AH1847" s="351">
        <v>2.1000041998740038</v>
      </c>
      <c r="AI1847" s="351"/>
      <c r="AJ1847" s="351"/>
      <c r="AK1847" s="351"/>
      <c r="AL1847" s="352" t="s">
        <v>20356</v>
      </c>
      <c r="AM1847" s="352">
        <v>0</v>
      </c>
      <c r="AN1847" s="352">
        <v>0</v>
      </c>
      <c r="AO1847" s="352">
        <v>0</v>
      </c>
    </row>
    <row r="1848" spans="1:41" hidden="1">
      <c r="A1848" s="342" t="s">
        <v>378</v>
      </c>
      <c r="B1848" s="277" t="s">
        <v>378</v>
      </c>
      <c r="C1848" s="277">
        <v>0</v>
      </c>
      <c r="D1848" s="343" t="s">
        <v>19602</v>
      </c>
      <c r="E1848" s="277" t="s">
        <v>378</v>
      </c>
      <c r="F1848" s="618">
        <v>45628</v>
      </c>
      <c r="G1848" s="619">
        <v>2024</v>
      </c>
      <c r="H1848" s="383" t="s">
        <v>16783</v>
      </c>
      <c r="I1848" s="277" t="s">
        <v>16784</v>
      </c>
      <c r="J1848" s="277" t="s">
        <v>16401</v>
      </c>
      <c r="K1848" s="278">
        <v>616303.86839999992</v>
      </c>
      <c r="L1848" s="383">
        <v>3.1675499999999999</v>
      </c>
      <c r="M1848" s="384">
        <v>194568</v>
      </c>
      <c r="N1848" s="277" t="s">
        <v>20155</v>
      </c>
      <c r="O1848" s="277" t="s">
        <v>17939</v>
      </c>
      <c r="P1848" s="890">
        <v>45630</v>
      </c>
      <c r="Q1848" s="347">
        <v>36000</v>
      </c>
      <c r="R1848" s="347">
        <v>187200</v>
      </c>
      <c r="S1848" s="347">
        <v>67200</v>
      </c>
      <c r="T1848" s="347">
        <v>0</v>
      </c>
      <c r="U1848" s="347">
        <v>290400</v>
      </c>
      <c r="V1848" s="348"/>
      <c r="W1848" s="349">
        <v>76401.306000000011</v>
      </c>
      <c r="X1848" s="349">
        <v>397286.79120000009</v>
      </c>
      <c r="Y1848" s="349">
        <v>142615.77120000002</v>
      </c>
      <c r="Z1848" s="349">
        <v>0</v>
      </c>
      <c r="AA1848" s="350">
        <v>2.1222585000000005</v>
      </c>
      <c r="AB1848" s="350">
        <v>2.1222585000000005</v>
      </c>
      <c r="AC1848" s="350">
        <v>2.1222585</v>
      </c>
      <c r="AD1848" s="350" t="e">
        <v>#DIV/0!</v>
      </c>
      <c r="AE1848" s="349">
        <v>0</v>
      </c>
      <c r="AF1848" s="349">
        <v>0</v>
      </c>
      <c r="AG1848" s="349">
        <v>0</v>
      </c>
      <c r="AH1848" s="351">
        <v>2.1222585000000005</v>
      </c>
      <c r="AI1848" s="351">
        <v>2.1222585000000005</v>
      </c>
      <c r="AJ1848" s="351">
        <v>2.1222585</v>
      </c>
      <c r="AK1848" s="351"/>
      <c r="AL1848" s="352" t="s">
        <v>20356</v>
      </c>
      <c r="AM1848" s="352" t="s">
        <v>20345</v>
      </c>
      <c r="AN1848" s="352" t="s">
        <v>20345</v>
      </c>
      <c r="AO1848" s="352">
        <v>0</v>
      </c>
    </row>
    <row r="1849" spans="1:41" hidden="1">
      <c r="A1849" s="342" t="s">
        <v>379</v>
      </c>
      <c r="B1849" s="277" t="s">
        <v>379</v>
      </c>
      <c r="C1849" s="277">
        <v>0</v>
      </c>
      <c r="D1849" s="343" t="s">
        <v>19603</v>
      </c>
      <c r="E1849" s="277" t="s">
        <v>379</v>
      </c>
      <c r="F1849" s="618">
        <v>45631</v>
      </c>
      <c r="G1849" s="619">
        <v>2024</v>
      </c>
      <c r="H1849" s="383" t="s">
        <v>16957</v>
      </c>
      <c r="I1849" s="277" t="s">
        <v>16958</v>
      </c>
      <c r="J1849" s="277" t="s">
        <v>16401</v>
      </c>
      <c r="K1849" s="278">
        <v>110577.81994999999</v>
      </c>
      <c r="L1849" s="383">
        <v>3.1720999999999999</v>
      </c>
      <c r="M1849" s="384">
        <v>34859.5</v>
      </c>
      <c r="N1849" s="277" t="s">
        <v>20155</v>
      </c>
      <c r="O1849" s="277" t="s">
        <v>20161</v>
      </c>
      <c r="P1849" s="890">
        <v>45649</v>
      </c>
      <c r="Q1849" s="347">
        <v>40300</v>
      </c>
      <c r="R1849" s="347">
        <v>0</v>
      </c>
      <c r="S1849" s="347">
        <v>0</v>
      </c>
      <c r="T1849" s="347">
        <v>0</v>
      </c>
      <c r="U1849" s="347">
        <v>40300</v>
      </c>
      <c r="V1849" s="348"/>
      <c r="W1849" s="349">
        <v>110577.81994999999</v>
      </c>
      <c r="X1849" s="349">
        <v>0</v>
      </c>
      <c r="Y1849" s="349">
        <v>0</v>
      </c>
      <c r="Z1849" s="349">
        <v>0</v>
      </c>
      <c r="AA1849" s="350">
        <v>2.7438664999999998</v>
      </c>
      <c r="AB1849" s="350" t="e">
        <v>#DIV/0!</v>
      </c>
      <c r="AC1849" s="350" t="e">
        <v>#DIV/0!</v>
      </c>
      <c r="AD1849" s="350" t="e">
        <v>#DIV/0!</v>
      </c>
      <c r="AE1849" s="349">
        <v>1805.415</v>
      </c>
      <c r="AF1849" s="349">
        <v>14328.155000000001</v>
      </c>
      <c r="AG1849" s="349">
        <v>0.35553734491315137</v>
      </c>
      <c r="AH1849" s="351">
        <v>2.3883291550868484</v>
      </c>
      <c r="AI1849" s="351"/>
      <c r="AJ1849" s="351"/>
      <c r="AK1849" s="351"/>
      <c r="AL1849" s="352">
        <v>1</v>
      </c>
      <c r="AM1849" s="352">
        <v>0</v>
      </c>
      <c r="AN1849" s="352">
        <v>0</v>
      </c>
      <c r="AO1849" s="352">
        <v>0</v>
      </c>
    </row>
    <row r="1850" spans="1:41" hidden="1">
      <c r="A1850" s="342" t="s">
        <v>380</v>
      </c>
      <c r="B1850" s="277" t="s">
        <v>380</v>
      </c>
      <c r="C1850" s="277">
        <v>0</v>
      </c>
      <c r="D1850" s="343" t="s">
        <v>19604</v>
      </c>
      <c r="E1850" s="277" t="s">
        <v>380</v>
      </c>
      <c r="F1850" s="618">
        <v>45631</v>
      </c>
      <c r="G1850" s="619">
        <v>2024</v>
      </c>
      <c r="H1850" s="383" t="s">
        <v>16904</v>
      </c>
      <c r="I1850" s="277" t="s">
        <v>16905</v>
      </c>
      <c r="J1850" s="277" t="s">
        <v>16482</v>
      </c>
      <c r="K1850" s="278">
        <v>79188.921151999995</v>
      </c>
      <c r="L1850" s="383">
        <v>3.3256000000000001</v>
      </c>
      <c r="M1850" s="384">
        <v>23811.919999999998</v>
      </c>
      <c r="N1850" s="277" t="s">
        <v>20155</v>
      </c>
      <c r="O1850" s="277" t="s">
        <v>20160</v>
      </c>
      <c r="P1850" s="890">
        <v>45638</v>
      </c>
      <c r="Q1850" s="347">
        <v>0</v>
      </c>
      <c r="R1850" s="347">
        <v>15336</v>
      </c>
      <c r="S1850" s="347">
        <v>12000</v>
      </c>
      <c r="T1850" s="347">
        <v>0</v>
      </c>
      <c r="U1850" s="347">
        <v>27336</v>
      </c>
      <c r="V1850" s="348"/>
      <c r="W1850" s="349">
        <v>0</v>
      </c>
      <c r="X1850" s="349">
        <v>44650.331540059698</v>
      </c>
      <c r="Y1850" s="349">
        <v>34538.589611940297</v>
      </c>
      <c r="Z1850" s="349">
        <v>0</v>
      </c>
      <c r="AA1850" s="350" t="e">
        <v>#DIV/0!</v>
      </c>
      <c r="AB1850" s="350">
        <v>2.9114718009950247</v>
      </c>
      <c r="AC1850" s="350">
        <v>2.8782158009950249</v>
      </c>
      <c r="AD1850" s="350" t="e">
        <v>#DIV/0!</v>
      </c>
      <c r="AE1850" s="349">
        <v>3862.8</v>
      </c>
      <c r="AF1850" s="349">
        <v>17088.365000000002</v>
      </c>
      <c r="AG1850" s="349">
        <v>0.62512309774656138</v>
      </c>
      <c r="AH1850" s="351"/>
      <c r="AI1850" s="351">
        <v>2.2863487032484633</v>
      </c>
      <c r="AJ1850" s="351">
        <v>2.2530927032484636</v>
      </c>
      <c r="AK1850" s="351"/>
      <c r="AL1850" s="352">
        <v>0</v>
      </c>
      <c r="AM1850" s="352">
        <v>1</v>
      </c>
      <c r="AN1850" s="352">
        <v>1</v>
      </c>
      <c r="AO1850" s="352">
        <v>0</v>
      </c>
    </row>
    <row r="1851" spans="1:41" hidden="1">
      <c r="A1851" s="342" t="s">
        <v>381</v>
      </c>
      <c r="B1851" s="277" t="s">
        <v>381</v>
      </c>
      <c r="C1851" s="277">
        <v>0</v>
      </c>
      <c r="D1851" s="343" t="s">
        <v>19605</v>
      </c>
      <c r="E1851" s="277" t="s">
        <v>381</v>
      </c>
      <c r="F1851" s="618">
        <v>45631</v>
      </c>
      <c r="G1851" s="619">
        <v>2024</v>
      </c>
      <c r="H1851" s="383" t="s">
        <v>16904</v>
      </c>
      <c r="I1851" s="277" t="s">
        <v>16905</v>
      </c>
      <c r="J1851" s="277" t="s">
        <v>16482</v>
      </c>
      <c r="K1851" s="278">
        <v>78163.239600000001</v>
      </c>
      <c r="L1851" s="383">
        <v>3.3256000000000001</v>
      </c>
      <c r="M1851" s="384">
        <v>23503.5</v>
      </c>
      <c r="N1851" s="277" t="s">
        <v>20155</v>
      </c>
      <c r="O1851" s="277" t="s">
        <v>20160</v>
      </c>
      <c r="P1851" s="890">
        <v>45638</v>
      </c>
      <c r="Q1851" s="347">
        <v>0</v>
      </c>
      <c r="R1851" s="347">
        <v>27505</v>
      </c>
      <c r="S1851" s="347">
        <v>0</v>
      </c>
      <c r="T1851" s="347">
        <v>0</v>
      </c>
      <c r="U1851" s="347">
        <v>27505</v>
      </c>
      <c r="V1851" s="348"/>
      <c r="W1851" s="349">
        <v>0</v>
      </c>
      <c r="X1851" s="349">
        <v>78163.239600000015</v>
      </c>
      <c r="Y1851" s="349">
        <v>0</v>
      </c>
      <c r="Z1851" s="349">
        <v>0</v>
      </c>
      <c r="AA1851" s="350" t="e">
        <v>#DIV/0!</v>
      </c>
      <c r="AB1851" s="350">
        <v>2.8417829340119982</v>
      </c>
      <c r="AC1851" s="350" t="e">
        <v>#DIV/0!</v>
      </c>
      <c r="AD1851" s="350" t="e">
        <v>#DIV/0!</v>
      </c>
      <c r="AE1851" s="349">
        <v>3862.8</v>
      </c>
      <c r="AF1851" s="349">
        <v>17290.064999999999</v>
      </c>
      <c r="AG1851" s="349">
        <v>0.62861534266496999</v>
      </c>
      <c r="AH1851" s="351"/>
      <c r="AI1851" s="351">
        <v>2.2131675913470281</v>
      </c>
      <c r="AJ1851" s="351"/>
      <c r="AK1851" s="351"/>
      <c r="AL1851" s="352">
        <v>0</v>
      </c>
      <c r="AM1851" s="352">
        <v>1</v>
      </c>
      <c r="AN1851" s="352">
        <v>0</v>
      </c>
      <c r="AO1851" s="352">
        <v>0</v>
      </c>
    </row>
    <row r="1852" spans="1:41" hidden="1">
      <c r="A1852" s="342" t="s">
        <v>382</v>
      </c>
      <c r="B1852" s="277" t="s">
        <v>382</v>
      </c>
      <c r="C1852" s="277">
        <v>0</v>
      </c>
      <c r="D1852" s="343" t="s">
        <v>19606</v>
      </c>
      <c r="E1852" s="277" t="s">
        <v>382</v>
      </c>
      <c r="F1852" s="618">
        <v>45631</v>
      </c>
      <c r="G1852" s="619">
        <v>2024</v>
      </c>
      <c r="H1852" s="383" t="s">
        <v>16444</v>
      </c>
      <c r="I1852" s="277" t="s">
        <v>16445</v>
      </c>
      <c r="J1852" s="277" t="s">
        <v>3</v>
      </c>
      <c r="K1852" s="278">
        <v>76464</v>
      </c>
      <c r="L1852" s="383">
        <v>1</v>
      </c>
      <c r="M1852" s="384">
        <v>76464</v>
      </c>
      <c r="N1852" s="277" t="s">
        <v>20155</v>
      </c>
      <c r="O1852" s="277" t="s">
        <v>18248</v>
      </c>
      <c r="P1852" s="890">
        <v>45644</v>
      </c>
      <c r="Q1852" s="347">
        <v>0</v>
      </c>
      <c r="R1852" s="347">
        <v>43200</v>
      </c>
      <c r="S1852" s="347">
        <v>0</v>
      </c>
      <c r="T1852" s="347">
        <v>0</v>
      </c>
      <c r="U1852" s="347">
        <v>43200</v>
      </c>
      <c r="V1852" s="348"/>
      <c r="W1852" s="349">
        <v>0</v>
      </c>
      <c r="X1852" s="349">
        <v>76464</v>
      </c>
      <c r="Y1852" s="349">
        <v>0</v>
      </c>
      <c r="Z1852" s="349">
        <v>0</v>
      </c>
      <c r="AA1852" s="350" t="e">
        <v>#DIV/0!</v>
      </c>
      <c r="AB1852" s="350">
        <v>1.77</v>
      </c>
      <c r="AC1852" s="350" t="e">
        <v>#DIV/0!</v>
      </c>
      <c r="AD1852" s="350" t="e">
        <v>#DIV/0!</v>
      </c>
      <c r="AE1852" s="349">
        <v>0</v>
      </c>
      <c r="AF1852" s="349">
        <v>0</v>
      </c>
      <c r="AG1852" s="349">
        <v>0</v>
      </c>
      <c r="AH1852" s="351"/>
      <c r="AI1852" s="351">
        <v>1.77</v>
      </c>
      <c r="AJ1852" s="351"/>
      <c r="AK1852" s="351"/>
      <c r="AL1852" s="352">
        <v>0</v>
      </c>
      <c r="AM1852" s="352" t="s">
        <v>20346</v>
      </c>
      <c r="AN1852" s="352">
        <v>0</v>
      </c>
      <c r="AO1852" s="352">
        <v>0</v>
      </c>
    </row>
    <row r="1853" spans="1:41" hidden="1">
      <c r="A1853" s="342" t="s">
        <v>383</v>
      </c>
      <c r="B1853" s="277" t="s">
        <v>383</v>
      </c>
      <c r="C1853" s="277">
        <v>0</v>
      </c>
      <c r="D1853" s="343" t="s">
        <v>19607</v>
      </c>
      <c r="E1853" s="277" t="s">
        <v>383</v>
      </c>
      <c r="F1853" s="618">
        <v>45631</v>
      </c>
      <c r="G1853" s="619">
        <v>2024</v>
      </c>
      <c r="H1853" s="383" t="s">
        <v>16700</v>
      </c>
      <c r="I1853" s="277" t="s">
        <v>16701</v>
      </c>
      <c r="J1853" s="277" t="s">
        <v>16401</v>
      </c>
      <c r="K1853" s="278">
        <v>226983.9184</v>
      </c>
      <c r="L1853" s="383">
        <v>3.3247</v>
      </c>
      <c r="M1853" s="384">
        <v>68272</v>
      </c>
      <c r="N1853" s="277" t="s">
        <v>20155</v>
      </c>
      <c r="O1853" s="277" t="s">
        <v>17949</v>
      </c>
      <c r="P1853" s="890">
        <v>45644</v>
      </c>
      <c r="Q1853" s="347">
        <v>110040</v>
      </c>
      <c r="R1853" s="347">
        <v>0</v>
      </c>
      <c r="S1853" s="347">
        <v>0</v>
      </c>
      <c r="T1853" s="347">
        <v>0</v>
      </c>
      <c r="U1853" s="347">
        <v>110040</v>
      </c>
      <c r="V1853" s="348"/>
      <c r="W1853" s="349">
        <v>226983.9184</v>
      </c>
      <c r="X1853" s="349">
        <v>0</v>
      </c>
      <c r="Y1853" s="349">
        <v>0</v>
      </c>
      <c r="Z1853" s="349">
        <v>0</v>
      </c>
      <c r="AA1853" s="350">
        <v>2.0627400799709195</v>
      </c>
      <c r="AB1853" s="350" t="e">
        <v>#DIV/0!</v>
      </c>
      <c r="AC1853" s="350" t="e">
        <v>#DIV/0!</v>
      </c>
      <c r="AD1853" s="350" t="e">
        <v>#DIV/0!</v>
      </c>
      <c r="AE1853" s="349">
        <v>3960.8999999999996</v>
      </c>
      <c r="AF1853" s="349">
        <v>34709</v>
      </c>
      <c r="AG1853" s="349">
        <v>0.31542166484914574</v>
      </c>
      <c r="AH1853" s="351">
        <v>1.7473184151217738</v>
      </c>
      <c r="AI1853" s="351"/>
      <c r="AJ1853" s="351"/>
      <c r="AK1853" s="351"/>
      <c r="AL1853" s="352" t="s">
        <v>20356</v>
      </c>
      <c r="AM1853" s="352">
        <v>0</v>
      </c>
      <c r="AN1853" s="352">
        <v>0</v>
      </c>
      <c r="AO1853" s="352">
        <v>0</v>
      </c>
    </row>
    <row r="1854" spans="1:41" hidden="1">
      <c r="A1854" s="342" t="s">
        <v>384</v>
      </c>
      <c r="B1854" s="277" t="s">
        <v>384</v>
      </c>
      <c r="C1854" s="277">
        <v>0</v>
      </c>
      <c r="D1854" s="343" t="s">
        <v>19608</v>
      </c>
      <c r="E1854" s="277" t="s">
        <v>384</v>
      </c>
      <c r="F1854" s="618">
        <v>45631</v>
      </c>
      <c r="G1854" s="619">
        <v>2024</v>
      </c>
      <c r="H1854" s="383" t="s">
        <v>16560</v>
      </c>
      <c r="I1854" s="277" t="s">
        <v>16561</v>
      </c>
      <c r="J1854" s="277" t="s">
        <v>16482</v>
      </c>
      <c r="K1854" s="278">
        <v>91591.5</v>
      </c>
      <c r="L1854" s="383">
        <v>3.3306</v>
      </c>
      <c r="M1854" s="384">
        <v>27500</v>
      </c>
      <c r="N1854" s="277" t="s">
        <v>20155</v>
      </c>
      <c r="O1854" s="277" t="s">
        <v>17801</v>
      </c>
      <c r="P1854" s="890">
        <v>45637</v>
      </c>
      <c r="Q1854" s="347">
        <v>0</v>
      </c>
      <c r="R1854" s="347">
        <v>0</v>
      </c>
      <c r="S1854" s="347">
        <v>55000</v>
      </c>
      <c r="T1854" s="347">
        <v>0</v>
      </c>
      <c r="U1854" s="347">
        <v>55000</v>
      </c>
      <c r="V1854" s="348"/>
      <c r="W1854" s="349">
        <v>0</v>
      </c>
      <c r="X1854" s="349">
        <v>0</v>
      </c>
      <c r="Y1854" s="349">
        <v>91591.5</v>
      </c>
      <c r="Z1854" s="349">
        <v>0</v>
      </c>
      <c r="AA1854" s="350" t="e">
        <v>#DIV/0!</v>
      </c>
      <c r="AB1854" s="350" t="e">
        <v>#DIV/0!</v>
      </c>
      <c r="AC1854" s="350">
        <v>1.6653</v>
      </c>
      <c r="AD1854" s="350" t="e">
        <v>#DIV/0!</v>
      </c>
      <c r="AE1854" s="349">
        <v>1943.9280000000001</v>
      </c>
      <c r="AF1854" s="349">
        <v>11333.912</v>
      </c>
      <c r="AG1854" s="349">
        <v>0.20607112727272728</v>
      </c>
      <c r="AH1854" s="351"/>
      <c r="AI1854" s="351"/>
      <c r="AJ1854" s="351">
        <v>1.4592288727272726</v>
      </c>
      <c r="AK1854" s="351"/>
      <c r="AL1854" s="352">
        <v>0</v>
      </c>
      <c r="AM1854" s="352">
        <v>0</v>
      </c>
      <c r="AN1854" s="352" t="s">
        <v>20347</v>
      </c>
      <c r="AO1854" s="352">
        <v>0</v>
      </c>
    </row>
    <row r="1855" spans="1:41" hidden="1">
      <c r="A1855" s="342" t="s">
        <v>385</v>
      </c>
      <c r="B1855" s="277" t="s">
        <v>385</v>
      </c>
      <c r="C1855" s="277">
        <v>0</v>
      </c>
      <c r="D1855" s="343" t="s">
        <v>19609</v>
      </c>
      <c r="E1855" s="277" t="s">
        <v>385</v>
      </c>
      <c r="F1855" s="618">
        <v>45631</v>
      </c>
      <c r="G1855" s="619">
        <v>2024</v>
      </c>
      <c r="H1855" s="383" t="s">
        <v>16384</v>
      </c>
      <c r="I1855" s="277" t="s">
        <v>16385</v>
      </c>
      <c r="J1855" s="277" t="s">
        <v>3</v>
      </c>
      <c r="K1855" s="278">
        <v>128520</v>
      </c>
      <c r="L1855" s="383">
        <v>1</v>
      </c>
      <c r="M1855" s="384">
        <v>128520</v>
      </c>
      <c r="N1855" s="277" t="s">
        <v>20155</v>
      </c>
      <c r="O1855" s="277" t="s">
        <v>17949</v>
      </c>
      <c r="P1855" s="890">
        <v>45637</v>
      </c>
      <c r="Q1855" s="347">
        <v>0</v>
      </c>
      <c r="R1855" s="347">
        <v>0</v>
      </c>
      <c r="S1855" s="347">
        <v>84000</v>
      </c>
      <c r="T1855" s="347">
        <v>0</v>
      </c>
      <c r="U1855" s="347">
        <v>84000</v>
      </c>
      <c r="V1855" s="348"/>
      <c r="W1855" s="349">
        <v>0</v>
      </c>
      <c r="X1855" s="349">
        <v>0</v>
      </c>
      <c r="Y1855" s="349">
        <v>128520</v>
      </c>
      <c r="Z1855" s="349">
        <v>0</v>
      </c>
      <c r="AA1855" s="350" t="e">
        <v>#DIV/0!</v>
      </c>
      <c r="AB1855" s="350" t="e">
        <v>#DIV/0!</v>
      </c>
      <c r="AC1855" s="350">
        <v>1.53</v>
      </c>
      <c r="AD1855" s="350" t="e">
        <v>#DIV/0!</v>
      </c>
      <c r="AE1855" s="349">
        <v>0</v>
      </c>
      <c r="AF1855" s="349">
        <v>0</v>
      </c>
      <c r="AG1855" s="349">
        <v>0</v>
      </c>
      <c r="AH1855" s="351"/>
      <c r="AI1855" s="351"/>
      <c r="AJ1855" s="351">
        <v>1.53</v>
      </c>
      <c r="AK1855" s="351"/>
      <c r="AL1855" s="352">
        <v>0</v>
      </c>
      <c r="AM1855" s="352">
        <v>0</v>
      </c>
      <c r="AN1855" s="352" t="s">
        <v>20347</v>
      </c>
      <c r="AO1855" s="352">
        <v>0</v>
      </c>
    </row>
    <row r="1856" spans="1:41" hidden="1">
      <c r="A1856" s="342" t="s">
        <v>386</v>
      </c>
      <c r="B1856" s="277" t="s">
        <v>386</v>
      </c>
      <c r="C1856" s="277">
        <v>0</v>
      </c>
      <c r="D1856" s="343" t="s">
        <v>19610</v>
      </c>
      <c r="E1856" s="277" t="s">
        <v>386</v>
      </c>
      <c r="F1856" s="618">
        <v>45632</v>
      </c>
      <c r="G1856" s="619">
        <v>2024</v>
      </c>
      <c r="H1856" s="383" t="s">
        <v>16904</v>
      </c>
      <c r="I1856" s="277" t="s">
        <v>16905</v>
      </c>
      <c r="J1856" s="277" t="s">
        <v>16482</v>
      </c>
      <c r="K1856" s="278">
        <v>68476.561040000001</v>
      </c>
      <c r="L1856" s="383">
        <v>3.3273999999999999</v>
      </c>
      <c r="M1856" s="384">
        <v>20579.599999999999</v>
      </c>
      <c r="N1856" s="277" t="s">
        <v>20155</v>
      </c>
      <c r="O1856" s="277" t="s">
        <v>20160</v>
      </c>
      <c r="P1856" s="890">
        <v>45657</v>
      </c>
      <c r="Q1856" s="347">
        <v>0</v>
      </c>
      <c r="R1856" s="347">
        <v>22680</v>
      </c>
      <c r="S1856" s="347">
        <v>0</v>
      </c>
      <c r="T1856" s="347">
        <v>0</v>
      </c>
      <c r="U1856" s="347">
        <v>22680</v>
      </c>
      <c r="V1856" s="348"/>
      <c r="W1856" s="349">
        <v>0</v>
      </c>
      <c r="X1856" s="349">
        <v>68476.561040000001</v>
      </c>
      <c r="Y1856" s="349">
        <v>0</v>
      </c>
      <c r="Z1856" s="349">
        <v>0</v>
      </c>
      <c r="AA1856" s="350" t="e">
        <v>#DIV/0!</v>
      </c>
      <c r="AB1856" s="350">
        <v>3.0192487231040563</v>
      </c>
      <c r="AC1856" s="350" t="e">
        <v>#DIV/0!</v>
      </c>
      <c r="AD1856" s="350" t="e">
        <v>#DIV/0!</v>
      </c>
      <c r="AE1856" s="349">
        <v>3910.8</v>
      </c>
      <c r="AF1856" s="349">
        <v>17178.764999999999</v>
      </c>
      <c r="AG1856" s="349">
        <v>0.75744113756613751</v>
      </c>
      <c r="AH1856" s="351"/>
      <c r="AI1856" s="351">
        <v>2.2618075855379187</v>
      </c>
      <c r="AJ1856" s="351"/>
      <c r="AK1856" s="351"/>
      <c r="AL1856" s="352">
        <v>0</v>
      </c>
      <c r="AM1856" s="352">
        <v>1</v>
      </c>
      <c r="AN1856" s="352">
        <v>0</v>
      </c>
      <c r="AO1856" s="352">
        <v>0</v>
      </c>
    </row>
    <row r="1857" spans="1:41" hidden="1">
      <c r="A1857" s="342" t="s">
        <v>387</v>
      </c>
      <c r="B1857" s="277" t="s">
        <v>387</v>
      </c>
      <c r="C1857" s="277">
        <v>0</v>
      </c>
      <c r="D1857" s="343" t="s">
        <v>19611</v>
      </c>
      <c r="E1857" s="277" t="s">
        <v>387</v>
      </c>
      <c r="F1857" s="618">
        <v>45635</v>
      </c>
      <c r="G1857" s="619">
        <v>2024</v>
      </c>
      <c r="H1857" s="383" t="s">
        <v>17342</v>
      </c>
      <c r="I1857" s="277" t="s">
        <v>17343</v>
      </c>
      <c r="J1857" s="277" t="s">
        <v>16482</v>
      </c>
      <c r="K1857" s="278">
        <v>30958.326672000003</v>
      </c>
      <c r="L1857" s="383">
        <v>3.3306</v>
      </c>
      <c r="M1857" s="384">
        <v>9295.1200000000008</v>
      </c>
      <c r="N1857" s="277" t="s">
        <v>20155</v>
      </c>
      <c r="O1857" s="277" t="s">
        <v>16394</v>
      </c>
      <c r="P1857" s="890">
        <v>45636</v>
      </c>
      <c r="Q1857" s="347">
        <v>1600</v>
      </c>
      <c r="R1857" s="347">
        <v>18504</v>
      </c>
      <c r="S1857" s="347">
        <v>3600</v>
      </c>
      <c r="T1857" s="347">
        <v>0</v>
      </c>
      <c r="U1857" s="347">
        <v>23704</v>
      </c>
      <c r="V1857" s="348"/>
      <c r="W1857" s="349">
        <v>1953.802124873439</v>
      </c>
      <c r="X1857" s="349">
        <v>24092.892886161324</v>
      </c>
      <c r="Y1857" s="349">
        <v>4336.1039809652384</v>
      </c>
      <c r="Z1857" s="349">
        <v>575.52767999999992</v>
      </c>
      <c r="AA1857" s="350">
        <v>1.2211263280458993</v>
      </c>
      <c r="AB1857" s="350">
        <v>1.3020370128708023</v>
      </c>
      <c r="AC1857" s="350">
        <v>1.2044733280458995</v>
      </c>
      <c r="AD1857" s="350" t="e">
        <v>#DIV/0!</v>
      </c>
      <c r="AE1857" s="349">
        <v>1580.625</v>
      </c>
      <c r="AF1857" s="349">
        <v>13319.4</v>
      </c>
      <c r="AG1857" s="349">
        <v>0.56190516368545396</v>
      </c>
      <c r="AH1857" s="351">
        <v>0.65922116436044531</v>
      </c>
      <c r="AI1857" s="351">
        <v>0.74013184918534836</v>
      </c>
      <c r="AJ1857" s="351">
        <v>0.6425681643604455</v>
      </c>
      <c r="AK1857" s="351"/>
      <c r="AL1857" s="352">
        <v>1</v>
      </c>
      <c r="AM1857" s="352">
        <v>1</v>
      </c>
      <c r="AN1857" s="352">
        <v>1</v>
      </c>
      <c r="AO1857" s="352">
        <v>0</v>
      </c>
    </row>
    <row r="1858" spans="1:41" hidden="1">
      <c r="A1858" s="342" t="s">
        <v>388</v>
      </c>
      <c r="B1858" s="277" t="s">
        <v>388</v>
      </c>
      <c r="C1858" s="277">
        <v>0</v>
      </c>
      <c r="D1858" s="343" t="s">
        <v>19612</v>
      </c>
      <c r="E1858" s="277" t="s">
        <v>388</v>
      </c>
      <c r="F1858" s="618">
        <v>45638</v>
      </c>
      <c r="G1858" s="619">
        <v>2024</v>
      </c>
      <c r="H1858" s="383" t="s">
        <v>17209</v>
      </c>
      <c r="I1858" s="277" t="s">
        <v>17210</v>
      </c>
      <c r="J1858" s="277" t="s">
        <v>16401</v>
      </c>
      <c r="K1858" s="278">
        <v>77585.453699999998</v>
      </c>
      <c r="L1858" s="383">
        <v>3.1789499999999999</v>
      </c>
      <c r="M1858" s="384">
        <v>24406</v>
      </c>
      <c r="N1858" s="277" t="s">
        <v>20155</v>
      </c>
      <c r="O1858" s="277" t="s">
        <v>20168</v>
      </c>
      <c r="P1858" s="890">
        <v>45642</v>
      </c>
      <c r="Q1858" s="347">
        <v>2400</v>
      </c>
      <c r="R1858" s="347">
        <v>12600</v>
      </c>
      <c r="S1858" s="347">
        <v>4800</v>
      </c>
      <c r="T1858" s="347">
        <v>3500</v>
      </c>
      <c r="U1858" s="347">
        <v>23300</v>
      </c>
      <c r="V1858" s="348"/>
      <c r="W1858" s="349">
        <v>6573.9594515021463</v>
      </c>
      <c r="X1858" s="349">
        <v>33550.065270386258</v>
      </c>
      <c r="Y1858" s="349">
        <v>13147.918903004293</v>
      </c>
      <c r="Z1858" s="349">
        <v>24313.510075107297</v>
      </c>
      <c r="AA1858" s="350">
        <v>2.7391497714592274</v>
      </c>
      <c r="AB1858" s="350">
        <v>2.6627035928877985</v>
      </c>
      <c r="AC1858" s="350">
        <v>2.7391497714592274</v>
      </c>
      <c r="AD1858" s="350">
        <v>6.9467171643163708</v>
      </c>
      <c r="AE1858" s="349">
        <v>742.9799999999999</v>
      </c>
      <c r="AF1858" s="349">
        <v>6930.527</v>
      </c>
      <c r="AG1858" s="349">
        <v>0.29744751072961373</v>
      </c>
      <c r="AH1858" s="351">
        <v>2.4417022607296137</v>
      </c>
      <c r="AI1858" s="351">
        <v>2.3652560821581847</v>
      </c>
      <c r="AJ1858" s="351">
        <v>2.4417022607296137</v>
      </c>
      <c r="AK1858" s="351">
        <v>6.6492696535867566</v>
      </c>
      <c r="AL1858" s="352">
        <v>1</v>
      </c>
      <c r="AM1858" s="352">
        <v>1</v>
      </c>
      <c r="AN1858" s="352">
        <v>1</v>
      </c>
      <c r="AO1858" s="352">
        <v>1</v>
      </c>
    </row>
    <row r="1859" spans="1:41" hidden="1">
      <c r="A1859" s="342" t="s">
        <v>389</v>
      </c>
      <c r="B1859" s="277" t="s">
        <v>389</v>
      </c>
      <c r="C1859" s="277">
        <v>0</v>
      </c>
      <c r="D1859" s="343" t="s">
        <v>19613</v>
      </c>
      <c r="E1859" s="277" t="s">
        <v>389</v>
      </c>
      <c r="F1859" s="618">
        <v>45638</v>
      </c>
      <c r="G1859" s="619">
        <v>2024</v>
      </c>
      <c r="H1859" s="383" t="s">
        <v>16957</v>
      </c>
      <c r="I1859" s="277" t="s">
        <v>16958</v>
      </c>
      <c r="J1859" s="277" t="s">
        <v>16401</v>
      </c>
      <c r="K1859" s="278">
        <v>110914.6022145</v>
      </c>
      <c r="L1859" s="383">
        <v>3.1936499999999999</v>
      </c>
      <c r="M1859" s="384">
        <v>34729.730000000003</v>
      </c>
      <c r="N1859" s="277" t="s">
        <v>20155</v>
      </c>
      <c r="O1859" s="277" t="s">
        <v>20161</v>
      </c>
      <c r="P1859" s="890">
        <v>45650</v>
      </c>
      <c r="Q1859" s="347">
        <v>40300</v>
      </c>
      <c r="R1859" s="347">
        <v>0</v>
      </c>
      <c r="S1859" s="347">
        <v>0</v>
      </c>
      <c r="T1859" s="347">
        <v>0</v>
      </c>
      <c r="U1859" s="347">
        <v>40300</v>
      </c>
      <c r="V1859" s="348"/>
      <c r="W1859" s="349">
        <v>110914.61498909998</v>
      </c>
      <c r="X1859" s="349">
        <v>0</v>
      </c>
      <c r="Y1859" s="349">
        <v>0</v>
      </c>
      <c r="Z1859" s="349">
        <v>0</v>
      </c>
      <c r="AA1859" s="350">
        <v>2.7522236969999994</v>
      </c>
      <c r="AB1859" s="350" t="e">
        <v>#DIV/0!</v>
      </c>
      <c r="AC1859" s="350" t="e">
        <v>#DIV/0!</v>
      </c>
      <c r="AD1859" s="350" t="e">
        <v>#DIV/0!</v>
      </c>
      <c r="AE1859" s="349">
        <v>1805.415</v>
      </c>
      <c r="AF1859" s="349">
        <v>13973.355</v>
      </c>
      <c r="AG1859" s="349">
        <v>0.34673337468982629</v>
      </c>
      <c r="AH1859" s="351">
        <v>2.4054903223101731</v>
      </c>
      <c r="AI1859" s="351"/>
      <c r="AJ1859" s="351"/>
      <c r="AK1859" s="351"/>
      <c r="AL1859" s="352">
        <v>1</v>
      </c>
      <c r="AM1859" s="352">
        <v>0</v>
      </c>
      <c r="AN1859" s="352">
        <v>0</v>
      </c>
      <c r="AO1859" s="352">
        <v>0</v>
      </c>
    </row>
    <row r="1860" spans="1:41" hidden="1">
      <c r="A1860" s="342" t="s">
        <v>390</v>
      </c>
      <c r="B1860" s="277" t="s">
        <v>390</v>
      </c>
      <c r="C1860" s="277">
        <v>0</v>
      </c>
      <c r="D1860" s="343" t="s">
        <v>19614</v>
      </c>
      <c r="E1860" s="277" t="s">
        <v>390</v>
      </c>
      <c r="F1860" s="618">
        <v>45638</v>
      </c>
      <c r="G1860" s="619">
        <v>2024</v>
      </c>
      <c r="H1860" s="383" t="s">
        <v>17309</v>
      </c>
      <c r="I1860" s="277" t="s">
        <v>17310</v>
      </c>
      <c r="J1860" s="277" t="s">
        <v>3</v>
      </c>
      <c r="K1860" s="278">
        <v>72960</v>
      </c>
      <c r="L1860" s="383">
        <v>1</v>
      </c>
      <c r="M1860" s="384">
        <v>72960</v>
      </c>
      <c r="N1860" s="277" t="s">
        <v>20155</v>
      </c>
      <c r="O1860" s="277" t="s">
        <v>18248</v>
      </c>
      <c r="P1860" s="890">
        <v>45645</v>
      </c>
      <c r="Q1860" s="347">
        <v>38400</v>
      </c>
      <c r="R1860" s="347">
        <v>0</v>
      </c>
      <c r="S1860" s="347">
        <v>0</v>
      </c>
      <c r="T1860" s="347">
        <v>0</v>
      </c>
      <c r="U1860" s="347">
        <v>38400</v>
      </c>
      <c r="V1860" s="348"/>
      <c r="W1860" s="349">
        <v>72960</v>
      </c>
      <c r="X1860" s="349">
        <v>0</v>
      </c>
      <c r="Y1860" s="349">
        <v>0</v>
      </c>
      <c r="Z1860" s="349">
        <v>0</v>
      </c>
      <c r="AA1860" s="350">
        <v>1.9</v>
      </c>
      <c r="AB1860" s="350" t="e">
        <v>#DIV/0!</v>
      </c>
      <c r="AC1860" s="350" t="e">
        <v>#DIV/0!</v>
      </c>
      <c r="AD1860" s="350" t="e">
        <v>#DIV/0!</v>
      </c>
      <c r="AE1860" s="349">
        <v>0</v>
      </c>
      <c r="AF1860" s="349">
        <v>0</v>
      </c>
      <c r="AG1860" s="349">
        <v>0</v>
      </c>
      <c r="AH1860" s="351">
        <v>1.9</v>
      </c>
      <c r="AI1860" s="351"/>
      <c r="AJ1860" s="351"/>
      <c r="AK1860" s="351"/>
      <c r="AL1860" s="352" t="s">
        <v>20356</v>
      </c>
      <c r="AM1860" s="352">
        <v>0</v>
      </c>
      <c r="AN1860" s="352">
        <v>0</v>
      </c>
      <c r="AO1860" s="352">
        <v>0</v>
      </c>
    </row>
    <row r="1861" spans="1:41" hidden="1">
      <c r="A1861" s="342" t="s">
        <v>391</v>
      </c>
      <c r="B1861" s="277" t="s">
        <v>391</v>
      </c>
      <c r="C1861" s="277">
        <v>0</v>
      </c>
      <c r="D1861" s="343" t="s">
        <v>19615</v>
      </c>
      <c r="E1861" s="277" t="s">
        <v>391</v>
      </c>
      <c r="F1861" s="618">
        <v>45638</v>
      </c>
      <c r="G1861" s="619">
        <v>2024</v>
      </c>
      <c r="H1861" s="383" t="s">
        <v>17309</v>
      </c>
      <c r="I1861" s="277" t="s">
        <v>17310</v>
      </c>
      <c r="J1861" s="277" t="s">
        <v>3</v>
      </c>
      <c r="K1861" s="278">
        <v>705716.01</v>
      </c>
      <c r="L1861" s="383">
        <v>1</v>
      </c>
      <c r="M1861" s="384">
        <v>705716.01</v>
      </c>
      <c r="N1861" s="277" t="s">
        <v>20155</v>
      </c>
      <c r="O1861" s="277" t="s">
        <v>20321</v>
      </c>
      <c r="P1861" s="890">
        <v>45628</v>
      </c>
      <c r="Q1861" s="347">
        <v>128500</v>
      </c>
      <c r="R1861" s="347">
        <v>20000</v>
      </c>
      <c r="S1861" s="347">
        <v>270000</v>
      </c>
      <c r="T1861" s="347">
        <v>0</v>
      </c>
      <c r="U1861" s="347">
        <v>418500</v>
      </c>
      <c r="V1861" s="348"/>
      <c r="W1861" s="349">
        <v>254306.15</v>
      </c>
      <c r="X1861" s="349">
        <v>32000</v>
      </c>
      <c r="Y1861" s="349">
        <v>419410</v>
      </c>
      <c r="Z1861" s="349">
        <v>0</v>
      </c>
      <c r="AA1861" s="350">
        <v>1.979036186770428</v>
      </c>
      <c r="AB1861" s="350">
        <v>1.6</v>
      </c>
      <c r="AC1861" s="350">
        <v>1.5533703703703703</v>
      </c>
      <c r="AD1861" s="350" t="e">
        <v>#DIV/0!</v>
      </c>
      <c r="AE1861" s="349">
        <v>0</v>
      </c>
      <c r="AF1861" s="349">
        <v>0</v>
      </c>
      <c r="AG1861" s="349">
        <v>0</v>
      </c>
      <c r="AH1861" s="351">
        <v>1.979036186770428</v>
      </c>
      <c r="AI1861" s="351">
        <v>1.6</v>
      </c>
      <c r="AJ1861" s="351">
        <v>1.5533703703703703</v>
      </c>
      <c r="AK1861" s="351"/>
      <c r="AL1861" s="352" t="s">
        <v>20356</v>
      </c>
      <c r="AM1861" s="352" t="s">
        <v>20348</v>
      </c>
      <c r="AN1861" s="352" t="s">
        <v>20347</v>
      </c>
      <c r="AO1861" s="352">
        <v>0</v>
      </c>
    </row>
    <row r="1862" spans="1:41" hidden="1">
      <c r="A1862" s="342" t="s">
        <v>392</v>
      </c>
      <c r="B1862" s="277" t="s">
        <v>392</v>
      </c>
      <c r="C1862" s="277">
        <v>0</v>
      </c>
      <c r="D1862" s="343" t="s">
        <v>19616</v>
      </c>
      <c r="E1862" s="277" t="s">
        <v>392</v>
      </c>
      <c r="F1862" s="618">
        <v>45644</v>
      </c>
      <c r="G1862" s="619">
        <v>2024</v>
      </c>
      <c r="H1862" s="383" t="s">
        <v>17342</v>
      </c>
      <c r="I1862" s="277" t="s">
        <v>17343</v>
      </c>
      <c r="J1862" s="277" t="s">
        <v>16482</v>
      </c>
      <c r="K1862" s="278">
        <v>33154.843099999998</v>
      </c>
      <c r="L1862" s="383">
        <v>3.32125</v>
      </c>
      <c r="M1862" s="384">
        <v>9982.64</v>
      </c>
      <c r="N1862" s="277" t="s">
        <v>20155</v>
      </c>
      <c r="O1862" s="277" t="s">
        <v>16394</v>
      </c>
      <c r="P1862" s="890">
        <v>45646</v>
      </c>
      <c r="Q1862" s="347">
        <v>0</v>
      </c>
      <c r="R1862" s="347">
        <v>18672</v>
      </c>
      <c r="S1862" s="347">
        <v>3600</v>
      </c>
      <c r="T1862" s="347">
        <v>700</v>
      </c>
      <c r="U1862" s="347">
        <v>22972</v>
      </c>
      <c r="V1862" s="348"/>
      <c r="W1862" s="349">
        <v>0</v>
      </c>
      <c r="X1862" s="349">
        <v>25624.299722235766</v>
      </c>
      <c r="Y1862" s="349">
        <v>4257.2988860351734</v>
      </c>
      <c r="Z1862" s="349">
        <v>3273.2444917290618</v>
      </c>
      <c r="AA1862" s="350" t="e">
        <v>#DIV/0!</v>
      </c>
      <c r="AB1862" s="350">
        <v>1.3723382456210242</v>
      </c>
      <c r="AC1862" s="350">
        <v>1.1825830238986592</v>
      </c>
      <c r="AD1862" s="350">
        <v>4.6760635596129454</v>
      </c>
      <c r="AE1862" s="349">
        <v>1417.9155000000001</v>
      </c>
      <c r="AF1862" s="349">
        <v>12424.6</v>
      </c>
      <c r="AG1862" s="349">
        <v>0.54085843635730457</v>
      </c>
      <c r="AH1862" s="351"/>
      <c r="AI1862" s="351">
        <v>0.83147980926371967</v>
      </c>
      <c r="AJ1862" s="351">
        <v>0.64172458754135464</v>
      </c>
      <c r="AK1862" s="351">
        <v>4.1352051232556413</v>
      </c>
      <c r="AL1862" s="352">
        <v>0</v>
      </c>
      <c r="AM1862" s="352">
        <v>1</v>
      </c>
      <c r="AN1862" s="352">
        <v>1</v>
      </c>
      <c r="AO1862" s="352">
        <v>1</v>
      </c>
    </row>
    <row r="1863" spans="1:41" hidden="1">
      <c r="A1863" s="342" t="s">
        <v>393</v>
      </c>
      <c r="B1863" s="277" t="s">
        <v>393</v>
      </c>
      <c r="C1863" s="277">
        <v>0</v>
      </c>
      <c r="D1863" s="343" t="s">
        <v>19617</v>
      </c>
      <c r="E1863" s="277" t="s">
        <v>393</v>
      </c>
      <c r="F1863" s="618">
        <v>45644</v>
      </c>
      <c r="G1863" s="619">
        <v>2024</v>
      </c>
      <c r="H1863" s="383" t="s">
        <v>17342</v>
      </c>
      <c r="I1863" s="277" t="s">
        <v>17343</v>
      </c>
      <c r="J1863" s="277" t="s">
        <v>16482</v>
      </c>
      <c r="K1863" s="278">
        <v>31091.151200000004</v>
      </c>
      <c r="L1863" s="383">
        <v>3.32125</v>
      </c>
      <c r="M1863" s="384">
        <v>9361.2800000000007</v>
      </c>
      <c r="N1863" s="277" t="s">
        <v>20155</v>
      </c>
      <c r="O1863" s="277" t="s">
        <v>16394</v>
      </c>
      <c r="P1863" s="890">
        <v>45646</v>
      </c>
      <c r="Q1863" s="347">
        <v>0</v>
      </c>
      <c r="R1863" s="347">
        <v>17136</v>
      </c>
      <c r="S1863" s="347">
        <v>6000</v>
      </c>
      <c r="T1863" s="347">
        <v>1120</v>
      </c>
      <c r="U1863" s="347">
        <v>24256</v>
      </c>
      <c r="V1863" s="348"/>
      <c r="W1863" s="349">
        <v>0</v>
      </c>
      <c r="X1863" s="349">
        <v>19543.270458839048</v>
      </c>
      <c r="Y1863" s="349">
        <v>6843.4400065963064</v>
      </c>
      <c r="Z1863" s="349">
        <v>4704.4407345646432</v>
      </c>
      <c r="AA1863" s="350" t="e">
        <v>#DIV/0!</v>
      </c>
      <c r="AB1863" s="350">
        <v>1.1404803022198324</v>
      </c>
      <c r="AC1863" s="350">
        <v>1.1405733344327178</v>
      </c>
      <c r="AD1863" s="350">
        <v>4.2003935130041459</v>
      </c>
      <c r="AE1863" s="349">
        <v>1329.2643</v>
      </c>
      <c r="AF1863" s="349">
        <v>12021.64</v>
      </c>
      <c r="AG1863" s="349">
        <v>0.49561510554089705</v>
      </c>
      <c r="AH1863" s="351"/>
      <c r="AI1863" s="351">
        <v>0.64486519667893538</v>
      </c>
      <c r="AJ1863" s="351">
        <v>0.64495822889182075</v>
      </c>
      <c r="AK1863" s="351">
        <v>3.704778407463249</v>
      </c>
      <c r="AL1863" s="352">
        <v>0</v>
      </c>
      <c r="AM1863" s="352">
        <v>1</v>
      </c>
      <c r="AN1863" s="352">
        <v>1</v>
      </c>
      <c r="AO1863" s="352">
        <v>1</v>
      </c>
    </row>
    <row r="1864" spans="1:41" hidden="1">
      <c r="A1864" s="342" t="s">
        <v>394</v>
      </c>
      <c r="B1864" s="277" t="s">
        <v>394</v>
      </c>
      <c r="C1864" s="277">
        <v>0</v>
      </c>
      <c r="D1864" s="343" t="s">
        <v>19618</v>
      </c>
      <c r="E1864" s="277" t="s">
        <v>394</v>
      </c>
      <c r="F1864" s="618">
        <v>45644</v>
      </c>
      <c r="G1864" s="619">
        <v>2024</v>
      </c>
      <c r="H1864" s="383" t="s">
        <v>17342</v>
      </c>
      <c r="I1864" s="277" t="s">
        <v>17343</v>
      </c>
      <c r="J1864" s="277" t="s">
        <v>16482</v>
      </c>
      <c r="K1864" s="278">
        <v>60159.129750000007</v>
      </c>
      <c r="L1864" s="383">
        <v>3.32125</v>
      </c>
      <c r="M1864" s="384">
        <v>18113.400000000001</v>
      </c>
      <c r="N1864" s="277" t="s">
        <v>20155</v>
      </c>
      <c r="O1864" s="277" t="s">
        <v>16394</v>
      </c>
      <c r="P1864" s="890">
        <v>45646</v>
      </c>
      <c r="Q1864" s="347">
        <v>3200</v>
      </c>
      <c r="R1864" s="347">
        <v>32064</v>
      </c>
      <c r="S1864" s="347">
        <v>6000</v>
      </c>
      <c r="T1864" s="347">
        <v>3360</v>
      </c>
      <c r="U1864" s="347">
        <v>44624</v>
      </c>
      <c r="V1864" s="348"/>
      <c r="W1864" s="349">
        <v>3530.7900322696305</v>
      </c>
      <c r="X1864" s="349">
        <v>38923.618373341698</v>
      </c>
      <c r="Y1864" s="349">
        <v>6520.5938105055575</v>
      </c>
      <c r="Z1864" s="349">
        <v>11184.127533883113</v>
      </c>
      <c r="AA1864" s="350">
        <v>1.1033718850842595</v>
      </c>
      <c r="AB1864" s="350">
        <v>1.2139352037594093</v>
      </c>
      <c r="AC1864" s="350">
        <v>1.0867656350842596</v>
      </c>
      <c r="AD1864" s="350">
        <v>3.3286093850842597</v>
      </c>
      <c r="AE1864" s="349">
        <v>2064.1619999999998</v>
      </c>
      <c r="AF1864" s="349">
        <v>19812.2</v>
      </c>
      <c r="AG1864" s="349">
        <v>0.44398081749731089</v>
      </c>
      <c r="AH1864" s="351">
        <v>0.65939106758694865</v>
      </c>
      <c r="AI1864" s="351">
        <v>0.76995438626209844</v>
      </c>
      <c r="AJ1864" s="351">
        <v>0.64278481758694872</v>
      </c>
      <c r="AK1864" s="351">
        <v>2.8846285675869487</v>
      </c>
      <c r="AL1864" s="352">
        <v>1</v>
      </c>
      <c r="AM1864" s="352">
        <v>1</v>
      </c>
      <c r="AN1864" s="352">
        <v>1</v>
      </c>
      <c r="AO1864" s="352">
        <v>1</v>
      </c>
    </row>
    <row r="1865" spans="1:41" hidden="1">
      <c r="A1865" s="342" t="s">
        <v>395</v>
      </c>
      <c r="B1865" s="277" t="s">
        <v>395</v>
      </c>
      <c r="C1865" s="277">
        <v>0</v>
      </c>
      <c r="D1865" s="343" t="s">
        <v>19619</v>
      </c>
      <c r="E1865" s="277" t="s">
        <v>395</v>
      </c>
      <c r="F1865" s="618">
        <v>45644</v>
      </c>
      <c r="G1865" s="619">
        <v>2024</v>
      </c>
      <c r="H1865" s="383" t="s">
        <v>16838</v>
      </c>
      <c r="I1865" s="277" t="s">
        <v>16839</v>
      </c>
      <c r="J1865" s="277" t="s">
        <v>3</v>
      </c>
      <c r="K1865" s="278">
        <v>48528</v>
      </c>
      <c r="L1865" s="383">
        <v>1</v>
      </c>
      <c r="M1865" s="384">
        <v>48528</v>
      </c>
      <c r="N1865" s="277" t="s">
        <v>20155</v>
      </c>
      <c r="O1865" s="277" t="s">
        <v>17771</v>
      </c>
      <c r="P1865" s="890">
        <v>45652</v>
      </c>
      <c r="Q1865" s="347">
        <v>0</v>
      </c>
      <c r="R1865" s="347">
        <v>23700</v>
      </c>
      <c r="S1865" s="347">
        <v>0</v>
      </c>
      <c r="T1865" s="347">
        <v>1125</v>
      </c>
      <c r="U1865" s="347">
        <v>24825</v>
      </c>
      <c r="V1865" s="348"/>
      <c r="W1865" s="349">
        <v>0</v>
      </c>
      <c r="X1865" s="349">
        <v>38988</v>
      </c>
      <c r="Y1865" s="349">
        <v>0</v>
      </c>
      <c r="Z1865" s="349">
        <v>9540</v>
      </c>
      <c r="AA1865" s="350" t="e">
        <v>#DIV/0!</v>
      </c>
      <c r="AB1865" s="350">
        <v>1.6450632911392404</v>
      </c>
      <c r="AC1865" s="350" t="e">
        <v>#DIV/0!</v>
      </c>
      <c r="AD1865" s="350">
        <v>8.48</v>
      </c>
      <c r="AE1865" s="349">
        <v>0</v>
      </c>
      <c r="AF1865" s="349">
        <v>0</v>
      </c>
      <c r="AG1865" s="349">
        <v>0</v>
      </c>
      <c r="AH1865" s="351"/>
      <c r="AI1865" s="351">
        <v>1.6450632911392404</v>
      </c>
      <c r="AJ1865" s="351"/>
      <c r="AK1865" s="351">
        <v>8.48</v>
      </c>
      <c r="AL1865" s="352">
        <v>0</v>
      </c>
      <c r="AM1865" s="352" t="s">
        <v>20346</v>
      </c>
      <c r="AN1865" s="352">
        <v>0</v>
      </c>
      <c r="AO1865" s="352">
        <v>1</v>
      </c>
    </row>
    <row r="1866" spans="1:41" hidden="1">
      <c r="A1866" s="342" t="s">
        <v>396</v>
      </c>
      <c r="B1866" s="277" t="s">
        <v>396</v>
      </c>
      <c r="C1866" s="277">
        <v>0</v>
      </c>
      <c r="D1866" s="343" t="s">
        <v>19620</v>
      </c>
      <c r="E1866" s="277" t="s">
        <v>396</v>
      </c>
      <c r="F1866" s="618">
        <v>45644</v>
      </c>
      <c r="G1866" s="619">
        <v>2024</v>
      </c>
      <c r="H1866" s="383" t="s">
        <v>16384</v>
      </c>
      <c r="I1866" s="277" t="s">
        <v>16385</v>
      </c>
      <c r="J1866" s="277" t="s">
        <v>3</v>
      </c>
      <c r="K1866" s="278">
        <v>157056</v>
      </c>
      <c r="L1866" s="383">
        <v>1</v>
      </c>
      <c r="M1866" s="384">
        <v>157056</v>
      </c>
      <c r="N1866" s="277" t="s">
        <v>20155</v>
      </c>
      <c r="O1866" s="277" t="s">
        <v>17965</v>
      </c>
      <c r="P1866" s="890">
        <v>45654</v>
      </c>
      <c r="Q1866" s="347">
        <v>76800</v>
      </c>
      <c r="R1866" s="347">
        <v>0</v>
      </c>
      <c r="S1866" s="347">
        <v>0</v>
      </c>
      <c r="T1866" s="347">
        <v>0</v>
      </c>
      <c r="U1866" s="347">
        <v>76800</v>
      </c>
      <c r="V1866" s="348"/>
      <c r="W1866" s="349">
        <v>157056</v>
      </c>
      <c r="X1866" s="349">
        <v>0</v>
      </c>
      <c r="Y1866" s="349">
        <v>0</v>
      </c>
      <c r="Z1866" s="349">
        <v>0</v>
      </c>
      <c r="AA1866" s="350">
        <v>2.0449999999999999</v>
      </c>
      <c r="AB1866" s="350" t="e">
        <v>#DIV/0!</v>
      </c>
      <c r="AC1866" s="350" t="e">
        <v>#DIV/0!</v>
      </c>
      <c r="AD1866" s="350" t="e">
        <v>#DIV/0!</v>
      </c>
      <c r="AE1866" s="349">
        <v>0</v>
      </c>
      <c r="AF1866" s="349">
        <v>0</v>
      </c>
      <c r="AG1866" s="349">
        <v>0</v>
      </c>
      <c r="AH1866" s="351">
        <v>2.0449999999999999</v>
      </c>
      <c r="AI1866" s="351"/>
      <c r="AJ1866" s="351"/>
      <c r="AK1866" s="351"/>
      <c r="AL1866" s="352" t="s">
        <v>20356</v>
      </c>
      <c r="AM1866" s="352">
        <v>0</v>
      </c>
      <c r="AN1866" s="352">
        <v>0</v>
      </c>
      <c r="AO1866" s="352">
        <v>0</v>
      </c>
    </row>
    <row r="1867" spans="1:41" hidden="1">
      <c r="A1867" s="342" t="s">
        <v>397</v>
      </c>
      <c r="B1867" s="277" t="s">
        <v>397</v>
      </c>
      <c r="C1867" s="277">
        <v>0</v>
      </c>
      <c r="D1867" s="343" t="s">
        <v>19621</v>
      </c>
      <c r="E1867" s="277" t="s">
        <v>397</v>
      </c>
      <c r="F1867" s="618">
        <v>45644</v>
      </c>
      <c r="G1867" s="619">
        <v>2024</v>
      </c>
      <c r="H1867" s="383" t="s">
        <v>16444</v>
      </c>
      <c r="I1867" s="277" t="s">
        <v>16445</v>
      </c>
      <c r="J1867" s="277" t="s">
        <v>3</v>
      </c>
      <c r="K1867" s="278">
        <v>40618.699999999997</v>
      </c>
      <c r="L1867" s="383">
        <v>1</v>
      </c>
      <c r="M1867" s="384">
        <v>40618.699999999997</v>
      </c>
      <c r="N1867" s="277" t="s">
        <v>20155</v>
      </c>
      <c r="O1867" s="277" t="s">
        <v>17693</v>
      </c>
      <c r="P1867" s="890">
        <v>45652</v>
      </c>
      <c r="Q1867" s="347">
        <v>21958</v>
      </c>
      <c r="R1867" s="347">
        <v>0</v>
      </c>
      <c r="S1867" s="347">
        <v>0</v>
      </c>
      <c r="T1867" s="347">
        <v>0</v>
      </c>
      <c r="U1867" s="347">
        <v>21958</v>
      </c>
      <c r="V1867" s="348"/>
      <c r="W1867" s="349">
        <v>40618.699999999997</v>
      </c>
      <c r="X1867" s="349">
        <v>0</v>
      </c>
      <c r="Y1867" s="349">
        <v>0</v>
      </c>
      <c r="Z1867" s="349">
        <v>0</v>
      </c>
      <c r="AA1867" s="350">
        <v>1.8498360506421347</v>
      </c>
      <c r="AB1867" s="350" t="e">
        <v>#DIV/0!</v>
      </c>
      <c r="AC1867" s="350" t="e">
        <v>#DIV/0!</v>
      </c>
      <c r="AD1867" s="350" t="e">
        <v>#DIV/0!</v>
      </c>
      <c r="AE1867" s="349">
        <v>0</v>
      </c>
      <c r="AF1867" s="349">
        <v>0</v>
      </c>
      <c r="AG1867" s="349">
        <v>0</v>
      </c>
      <c r="AH1867" s="351">
        <v>1.8498360506421347</v>
      </c>
      <c r="AI1867" s="351"/>
      <c r="AJ1867" s="351"/>
      <c r="AK1867" s="351"/>
      <c r="AL1867" s="352" t="s">
        <v>20356</v>
      </c>
      <c r="AM1867" s="352">
        <v>0</v>
      </c>
      <c r="AN1867" s="352">
        <v>0</v>
      </c>
      <c r="AO1867" s="352">
        <v>0</v>
      </c>
    </row>
    <row r="1868" spans="1:41" hidden="1">
      <c r="A1868" s="342" t="s">
        <v>398</v>
      </c>
      <c r="B1868" s="277" t="s">
        <v>398</v>
      </c>
      <c r="C1868" s="277">
        <v>0</v>
      </c>
      <c r="D1868" s="343" t="s">
        <v>19622</v>
      </c>
      <c r="E1868" s="277" t="s">
        <v>398</v>
      </c>
      <c r="F1868" s="618">
        <v>45644</v>
      </c>
      <c r="G1868" s="619">
        <v>2024</v>
      </c>
      <c r="H1868" s="383" t="s">
        <v>16972</v>
      </c>
      <c r="I1868" s="277" t="s">
        <v>16973</v>
      </c>
      <c r="J1868" s="277" t="s">
        <v>3</v>
      </c>
      <c r="K1868" s="278">
        <v>398750</v>
      </c>
      <c r="L1868" s="383">
        <v>1</v>
      </c>
      <c r="M1868" s="384">
        <v>398750</v>
      </c>
      <c r="N1868" s="277" t="s">
        <v>20155</v>
      </c>
      <c r="O1868" s="277" t="s">
        <v>17801</v>
      </c>
      <c r="P1868" s="890">
        <v>45649</v>
      </c>
      <c r="Q1868" s="347">
        <v>0</v>
      </c>
      <c r="R1868" s="347">
        <v>0</v>
      </c>
      <c r="S1868" s="347">
        <v>275000</v>
      </c>
      <c r="T1868" s="347">
        <v>0</v>
      </c>
      <c r="U1868" s="347">
        <v>275000</v>
      </c>
      <c r="V1868" s="348"/>
      <c r="W1868" s="349">
        <v>0</v>
      </c>
      <c r="X1868" s="349">
        <v>0</v>
      </c>
      <c r="Y1868" s="349">
        <v>398750</v>
      </c>
      <c r="Z1868" s="349">
        <v>0</v>
      </c>
      <c r="AA1868" s="350" t="e">
        <v>#DIV/0!</v>
      </c>
      <c r="AB1868" s="350" t="e">
        <v>#DIV/0!</v>
      </c>
      <c r="AC1868" s="350">
        <v>1.45</v>
      </c>
      <c r="AD1868" s="350" t="e">
        <v>#DIV/0!</v>
      </c>
      <c r="AE1868" s="349">
        <v>0</v>
      </c>
      <c r="AF1868" s="349">
        <v>0</v>
      </c>
      <c r="AG1868" s="349">
        <v>0</v>
      </c>
      <c r="AH1868" s="351"/>
      <c r="AI1868" s="351"/>
      <c r="AJ1868" s="351">
        <v>1.45</v>
      </c>
      <c r="AK1868" s="351"/>
      <c r="AL1868" s="352">
        <v>0</v>
      </c>
      <c r="AM1868" s="352">
        <v>0</v>
      </c>
      <c r="AN1868" s="352" t="s">
        <v>20347</v>
      </c>
      <c r="AO1868" s="352">
        <v>0</v>
      </c>
    </row>
    <row r="1869" spans="1:41" hidden="1">
      <c r="A1869" s="342" t="s">
        <v>399</v>
      </c>
      <c r="B1869" s="277" t="s">
        <v>399</v>
      </c>
      <c r="C1869" s="277">
        <v>0</v>
      </c>
      <c r="D1869" s="343" t="s">
        <v>19623</v>
      </c>
      <c r="E1869" s="277" t="s">
        <v>399</v>
      </c>
      <c r="F1869" s="618">
        <v>45645</v>
      </c>
      <c r="G1869" s="619">
        <v>2024</v>
      </c>
      <c r="H1869" s="383" t="s">
        <v>17304</v>
      </c>
      <c r="I1869" s="277" t="s">
        <v>17305</v>
      </c>
      <c r="J1869" s="277" t="s">
        <v>17306</v>
      </c>
      <c r="K1869" s="278">
        <v>79912.201247999998</v>
      </c>
      <c r="L1869" s="383">
        <v>2.2212000000000001</v>
      </c>
      <c r="M1869" s="384">
        <v>35977.040000000001</v>
      </c>
      <c r="N1869" s="277" t="s">
        <v>20155</v>
      </c>
      <c r="O1869" s="277" t="s">
        <v>17238</v>
      </c>
      <c r="P1869" s="890">
        <v>45651</v>
      </c>
      <c r="Q1869" s="347">
        <v>0</v>
      </c>
      <c r="R1869" s="347">
        <v>0</v>
      </c>
      <c r="S1869" s="347">
        <v>23608</v>
      </c>
      <c r="T1869" s="347">
        <v>0</v>
      </c>
      <c r="U1869" s="347">
        <v>23608</v>
      </c>
      <c r="V1869" s="348"/>
      <c r="W1869" s="349">
        <v>0</v>
      </c>
      <c r="X1869" s="349">
        <v>0</v>
      </c>
      <c r="Y1869" s="349">
        <v>79912.201247999998</v>
      </c>
      <c r="Z1869" s="349">
        <v>0</v>
      </c>
      <c r="AA1869" s="350" t="e">
        <v>#DIV/0!</v>
      </c>
      <c r="AB1869" s="350" t="e">
        <v>#DIV/0!</v>
      </c>
      <c r="AC1869" s="350">
        <v>3.3849627773636053</v>
      </c>
      <c r="AD1869" s="350" t="e">
        <v>#DIV/0!</v>
      </c>
      <c r="AE1869" s="349">
        <v>3200.8409999999999</v>
      </c>
      <c r="AF1869" s="349">
        <v>23168.445</v>
      </c>
      <c r="AG1869" s="349">
        <v>0.98138109962724496</v>
      </c>
      <c r="AH1869" s="351"/>
      <c r="AI1869" s="351"/>
      <c r="AJ1869" s="351">
        <v>2.4035816777363603</v>
      </c>
      <c r="AK1869" s="351"/>
      <c r="AL1869" s="352">
        <v>0</v>
      </c>
      <c r="AM1869" s="352">
        <v>0</v>
      </c>
      <c r="AN1869" s="352">
        <v>1</v>
      </c>
      <c r="AO1869" s="352">
        <v>0</v>
      </c>
    </row>
    <row r="1870" spans="1:41" hidden="1">
      <c r="A1870" s="342" t="s">
        <v>400</v>
      </c>
      <c r="B1870" s="277" t="s">
        <v>400</v>
      </c>
      <c r="C1870" s="277">
        <v>0</v>
      </c>
      <c r="D1870" s="343" t="s">
        <v>19624</v>
      </c>
      <c r="E1870" s="277" t="s">
        <v>400</v>
      </c>
      <c r="F1870" s="618">
        <v>45645</v>
      </c>
      <c r="G1870" s="619">
        <v>2024</v>
      </c>
      <c r="H1870" s="383" t="s">
        <v>16957</v>
      </c>
      <c r="I1870" s="277" t="s">
        <v>16958</v>
      </c>
      <c r="J1870" s="277" t="s">
        <v>16401</v>
      </c>
      <c r="K1870" s="278">
        <v>95884.550774999996</v>
      </c>
      <c r="L1870" s="383">
        <v>3.1936499999999999</v>
      </c>
      <c r="M1870" s="384">
        <v>30023.5</v>
      </c>
      <c r="N1870" s="277" t="s">
        <v>20155</v>
      </c>
      <c r="O1870" s="277" t="s">
        <v>20161</v>
      </c>
      <c r="P1870" s="890">
        <v>45650</v>
      </c>
      <c r="Q1870" s="347">
        <v>40300</v>
      </c>
      <c r="R1870" s="347">
        <v>0</v>
      </c>
      <c r="S1870" s="347">
        <v>0</v>
      </c>
      <c r="T1870" s="347">
        <v>0</v>
      </c>
      <c r="U1870" s="347">
        <v>40300</v>
      </c>
      <c r="V1870" s="348"/>
      <c r="W1870" s="349">
        <v>95884.550775000011</v>
      </c>
      <c r="X1870" s="349">
        <v>0</v>
      </c>
      <c r="Y1870" s="349">
        <v>0</v>
      </c>
      <c r="Z1870" s="349">
        <v>0</v>
      </c>
      <c r="AA1870" s="350">
        <v>2.3792692500000001</v>
      </c>
      <c r="AB1870" s="350" t="e">
        <v>#DIV/0!</v>
      </c>
      <c r="AC1870" s="350" t="e">
        <v>#DIV/0!</v>
      </c>
      <c r="AD1870" s="350" t="e">
        <v>#DIV/0!</v>
      </c>
      <c r="AE1870" s="349">
        <v>1805.415</v>
      </c>
      <c r="AF1870" s="349">
        <v>14283.355</v>
      </c>
      <c r="AG1870" s="349">
        <v>0.35442568238213401</v>
      </c>
      <c r="AH1870" s="351">
        <v>2.0248435676178662</v>
      </c>
      <c r="AI1870" s="351"/>
      <c r="AJ1870" s="351"/>
      <c r="AK1870" s="351"/>
      <c r="AL1870" s="352" t="s">
        <v>20356</v>
      </c>
      <c r="AM1870" s="352">
        <v>0</v>
      </c>
      <c r="AN1870" s="352">
        <v>0</v>
      </c>
      <c r="AO1870" s="352">
        <v>0</v>
      </c>
    </row>
    <row r="1871" spans="1:41" hidden="1">
      <c r="A1871" s="342" t="s">
        <v>401</v>
      </c>
      <c r="B1871" s="277" t="s">
        <v>401</v>
      </c>
      <c r="C1871" s="277">
        <v>0</v>
      </c>
      <c r="D1871" s="343" t="s">
        <v>19625</v>
      </c>
      <c r="E1871" s="277" t="s">
        <v>401</v>
      </c>
      <c r="F1871" s="618">
        <v>45644</v>
      </c>
      <c r="G1871" s="619">
        <v>2024</v>
      </c>
      <c r="H1871" s="383" t="s">
        <v>16470</v>
      </c>
      <c r="I1871" s="277" t="s">
        <v>16471</v>
      </c>
      <c r="J1871" s="277" t="s">
        <v>16401</v>
      </c>
      <c r="K1871" s="278">
        <v>575039.00034999999</v>
      </c>
      <c r="L1871" s="383">
        <v>3.1974499999999999</v>
      </c>
      <c r="M1871" s="384">
        <v>179843</v>
      </c>
      <c r="N1871" s="277" t="s">
        <v>20155</v>
      </c>
      <c r="O1871" s="277" t="s">
        <v>20159</v>
      </c>
      <c r="P1871" s="890">
        <v>45657</v>
      </c>
      <c r="Q1871" s="347">
        <v>17640</v>
      </c>
      <c r="R1871" s="347">
        <v>244980</v>
      </c>
      <c r="S1871" s="347">
        <v>0</v>
      </c>
      <c r="T1871" s="347">
        <v>0</v>
      </c>
      <c r="U1871" s="347">
        <v>262620</v>
      </c>
      <c r="V1871" s="348"/>
      <c r="W1871" s="349">
        <v>40779.1004455449</v>
      </c>
      <c r="X1871" s="349">
        <v>533636.39715445496</v>
      </c>
      <c r="Y1871" s="349">
        <v>0</v>
      </c>
      <c r="Z1871" s="349">
        <v>0</v>
      </c>
      <c r="AA1871" s="350">
        <v>2.3117403880694387</v>
      </c>
      <c r="AB1871" s="350">
        <v>2.1782855627171807</v>
      </c>
      <c r="AC1871" s="350" t="e">
        <v>#DIV/0!</v>
      </c>
      <c r="AD1871" s="350" t="e">
        <v>#DIV/0!</v>
      </c>
      <c r="AE1871" s="349">
        <v>14683.1</v>
      </c>
      <c r="AF1871" s="349">
        <v>75746.399999999994</v>
      </c>
      <c r="AG1871" s="349">
        <v>0.28842586246287411</v>
      </c>
      <c r="AH1871" s="351">
        <v>2.0233145256065646</v>
      </c>
      <c r="AI1871" s="351">
        <v>1.8898597002543065</v>
      </c>
      <c r="AJ1871" s="351"/>
      <c r="AK1871" s="351"/>
      <c r="AL1871" s="352" t="s">
        <v>20356</v>
      </c>
      <c r="AM1871" s="352" t="s">
        <v>20346</v>
      </c>
      <c r="AN1871" s="352">
        <v>0</v>
      </c>
      <c r="AO1871" s="352">
        <v>0</v>
      </c>
    </row>
    <row r="1872" spans="1:41" hidden="1">
      <c r="A1872" s="342" t="s">
        <v>402</v>
      </c>
      <c r="B1872" s="277" t="s">
        <v>402</v>
      </c>
      <c r="C1872" s="277">
        <v>0</v>
      </c>
      <c r="D1872" s="343" t="s">
        <v>19626</v>
      </c>
      <c r="E1872" s="277" t="s">
        <v>402</v>
      </c>
      <c r="F1872" s="618">
        <v>45645</v>
      </c>
      <c r="G1872" s="619">
        <v>2024</v>
      </c>
      <c r="H1872" s="383" t="s">
        <v>16823</v>
      </c>
      <c r="I1872" s="277" t="s">
        <v>16824</v>
      </c>
      <c r="J1872" s="277" t="s">
        <v>16401</v>
      </c>
      <c r="K1872" s="278">
        <v>61479.885200999997</v>
      </c>
      <c r="L1872" s="383">
        <v>3.1979500000000001</v>
      </c>
      <c r="M1872" s="384">
        <v>19224.78</v>
      </c>
      <c r="N1872" s="277" t="s">
        <v>20155</v>
      </c>
      <c r="O1872" s="277" t="s">
        <v>17965</v>
      </c>
      <c r="P1872" s="890">
        <v>45652</v>
      </c>
      <c r="Q1872" s="347">
        <v>8420</v>
      </c>
      <c r="R1872" s="347">
        <v>13596</v>
      </c>
      <c r="S1872" s="347">
        <v>6000</v>
      </c>
      <c r="T1872" s="347">
        <v>0</v>
      </c>
      <c r="U1872" s="347">
        <v>28016</v>
      </c>
      <c r="V1872" s="348"/>
      <c r="W1872" s="349">
        <v>19540.185500533982</v>
      </c>
      <c r="X1872" s="349">
        <v>30030.285516000004</v>
      </c>
      <c r="Y1872" s="349">
        <v>11909.414184466019</v>
      </c>
      <c r="Z1872" s="349">
        <v>0</v>
      </c>
      <c r="AA1872" s="350">
        <v>2.3206871140776699</v>
      </c>
      <c r="AB1872" s="350">
        <v>2.2087588640776703</v>
      </c>
      <c r="AC1872" s="350">
        <v>1.9849023640776697</v>
      </c>
      <c r="AD1872" s="350" t="e">
        <v>#DIV/0!</v>
      </c>
      <c r="AE1872" s="349">
        <v>1299.6510000000001</v>
      </c>
      <c r="AF1872" s="349">
        <v>12997.584000000001</v>
      </c>
      <c r="AG1872" s="349">
        <v>0.46393432324386069</v>
      </c>
      <c r="AH1872" s="351">
        <v>1.8567527908338093</v>
      </c>
      <c r="AI1872" s="351">
        <v>1.7448245408338097</v>
      </c>
      <c r="AJ1872" s="351">
        <v>1.5209680408338091</v>
      </c>
      <c r="AK1872" s="351"/>
      <c r="AL1872" s="352" t="s">
        <v>20356</v>
      </c>
      <c r="AM1872" s="352" t="s">
        <v>20346</v>
      </c>
      <c r="AN1872" s="352" t="s">
        <v>20347</v>
      </c>
      <c r="AO1872" s="352">
        <v>0</v>
      </c>
    </row>
    <row r="1873" spans="1:41" hidden="1">
      <c r="A1873" s="342" t="s">
        <v>403</v>
      </c>
      <c r="B1873" s="277" t="s">
        <v>403</v>
      </c>
      <c r="C1873" s="277">
        <v>0</v>
      </c>
      <c r="D1873" s="343" t="s">
        <v>19627</v>
      </c>
      <c r="E1873" s="277" t="s">
        <v>403</v>
      </c>
      <c r="F1873" s="618">
        <v>45649</v>
      </c>
      <c r="G1873" s="619">
        <v>2024</v>
      </c>
      <c r="H1873" s="383" t="s">
        <v>16904</v>
      </c>
      <c r="I1873" s="277" t="s">
        <v>16905</v>
      </c>
      <c r="J1873" s="277" t="s">
        <v>16482</v>
      </c>
      <c r="K1873" s="278">
        <v>93432.790999999997</v>
      </c>
      <c r="L1873" s="383">
        <v>3.323</v>
      </c>
      <c r="M1873" s="384">
        <v>28117</v>
      </c>
      <c r="N1873" s="277" t="s">
        <v>20155</v>
      </c>
      <c r="O1873" s="277" t="s">
        <v>20160</v>
      </c>
      <c r="P1873" s="890">
        <v>45652</v>
      </c>
      <c r="Q1873" s="347">
        <v>0</v>
      </c>
      <c r="R1873" s="347">
        <v>11000</v>
      </c>
      <c r="S1873" s="347">
        <v>4000</v>
      </c>
      <c r="T1873" s="347">
        <v>5300</v>
      </c>
      <c r="U1873" s="347">
        <v>20300</v>
      </c>
      <c r="V1873" s="348"/>
      <c r="W1873" s="349">
        <v>0</v>
      </c>
      <c r="X1873" s="349">
        <v>14830.401674876848</v>
      </c>
      <c r="Y1873" s="349">
        <v>2782.807881773399</v>
      </c>
      <c r="Z1873" s="349">
        <v>75819.581443349743</v>
      </c>
      <c r="AA1873" s="350" t="e">
        <v>#DIV/0!</v>
      </c>
      <c r="AB1873" s="350">
        <v>1.3482183340797134</v>
      </c>
      <c r="AC1873" s="350">
        <v>0.6957019704433498</v>
      </c>
      <c r="AD1873" s="350">
        <v>14.305581404405611</v>
      </c>
      <c r="AE1873" s="349">
        <v>3910.8</v>
      </c>
      <c r="AF1873" s="349">
        <v>17683.465</v>
      </c>
      <c r="AG1873" s="349">
        <v>0.8711066502463054</v>
      </c>
      <c r="AH1873" s="351"/>
      <c r="AI1873" s="351">
        <v>0.47711168383340796</v>
      </c>
      <c r="AJ1873" s="351"/>
      <c r="AK1873" s="351">
        <v>13.434474754159305</v>
      </c>
      <c r="AL1873" s="352">
        <v>0</v>
      </c>
      <c r="AM1873" s="352">
        <v>1</v>
      </c>
      <c r="AN1873" s="352">
        <v>1</v>
      </c>
      <c r="AO1873" s="352">
        <v>1</v>
      </c>
    </row>
    <row r="1874" spans="1:41" hidden="1">
      <c r="A1874" s="342" t="s">
        <v>404</v>
      </c>
      <c r="B1874" s="277" t="s">
        <v>404</v>
      </c>
      <c r="C1874" s="277">
        <v>0</v>
      </c>
      <c r="D1874" s="343" t="s">
        <v>19628</v>
      </c>
      <c r="E1874" s="277" t="s">
        <v>404</v>
      </c>
      <c r="F1874" s="618">
        <v>45649</v>
      </c>
      <c r="G1874" s="619">
        <v>2024</v>
      </c>
      <c r="H1874" s="383" t="s">
        <v>17394</v>
      </c>
      <c r="I1874" s="277" t="s">
        <v>17395</v>
      </c>
      <c r="J1874" s="277" t="s">
        <v>3</v>
      </c>
      <c r="K1874" s="278">
        <v>180005.76000000001</v>
      </c>
      <c r="L1874" s="383">
        <v>1</v>
      </c>
      <c r="M1874" s="384">
        <v>180005.76000000001</v>
      </c>
      <c r="N1874" s="277" t="s">
        <v>20155</v>
      </c>
      <c r="O1874" s="277" t="s">
        <v>17939</v>
      </c>
      <c r="P1874" s="890">
        <v>45653</v>
      </c>
      <c r="Q1874" s="347">
        <v>0</v>
      </c>
      <c r="R1874" s="347">
        <v>100003.2</v>
      </c>
      <c r="S1874" s="347">
        <v>0</v>
      </c>
      <c r="T1874" s="347">
        <v>0</v>
      </c>
      <c r="U1874" s="347">
        <v>100003.2</v>
      </c>
      <c r="V1874" s="348"/>
      <c r="W1874" s="349">
        <v>0</v>
      </c>
      <c r="X1874" s="349">
        <v>180005.76000000001</v>
      </c>
      <c r="Y1874" s="349">
        <v>0</v>
      </c>
      <c r="Z1874" s="349">
        <v>0</v>
      </c>
      <c r="AA1874" s="350" t="e">
        <v>#DIV/0!</v>
      </c>
      <c r="AB1874" s="350">
        <v>1.8</v>
      </c>
      <c r="AC1874" s="350" t="e">
        <v>#DIV/0!</v>
      </c>
      <c r="AD1874" s="350" t="e">
        <v>#DIV/0!</v>
      </c>
      <c r="AE1874" s="349">
        <v>0</v>
      </c>
      <c r="AF1874" s="349">
        <v>0</v>
      </c>
      <c r="AG1874" s="349">
        <v>0</v>
      </c>
      <c r="AH1874" s="351"/>
      <c r="AI1874" s="351">
        <v>1.8</v>
      </c>
      <c r="AJ1874" s="351"/>
      <c r="AK1874" s="351"/>
      <c r="AL1874" s="352">
        <v>0</v>
      </c>
      <c r="AM1874" s="352" t="s">
        <v>20345</v>
      </c>
      <c r="AN1874" s="352">
        <v>0</v>
      </c>
      <c r="AO1874" s="352">
        <v>0</v>
      </c>
    </row>
    <row r="1875" spans="1:41" hidden="1">
      <c r="A1875" s="342" t="s">
        <v>405</v>
      </c>
      <c r="B1875" s="277" t="s">
        <v>405</v>
      </c>
      <c r="C1875" s="277">
        <v>0</v>
      </c>
      <c r="D1875" s="343" t="s">
        <v>19629</v>
      </c>
      <c r="E1875" s="277" t="s">
        <v>405</v>
      </c>
      <c r="F1875" s="618">
        <v>45650</v>
      </c>
      <c r="G1875" s="619">
        <v>2024</v>
      </c>
      <c r="H1875" s="383" t="s">
        <v>17342</v>
      </c>
      <c r="I1875" s="277" t="s">
        <v>17343</v>
      </c>
      <c r="J1875" s="277" t="s">
        <v>16482</v>
      </c>
      <c r="K1875" s="278">
        <v>62177.442248999992</v>
      </c>
      <c r="L1875" s="383">
        <v>3.3247</v>
      </c>
      <c r="M1875" s="384">
        <v>18701.669999999998</v>
      </c>
      <c r="N1875" s="277" t="s">
        <v>20155</v>
      </c>
      <c r="O1875" s="277" t="s">
        <v>16394</v>
      </c>
      <c r="P1875" s="890">
        <v>45653</v>
      </c>
      <c r="Q1875" s="347">
        <v>0</v>
      </c>
      <c r="R1875" s="347">
        <v>31934</v>
      </c>
      <c r="S1875" s="347">
        <v>5750</v>
      </c>
      <c r="T1875" s="347">
        <v>1900</v>
      </c>
      <c r="U1875" s="347">
        <v>39584</v>
      </c>
      <c r="V1875" s="348"/>
      <c r="W1875" s="349">
        <v>0</v>
      </c>
      <c r="X1875" s="349">
        <v>41510.876980835084</v>
      </c>
      <c r="Y1875" s="349">
        <v>7144.0351317906225</v>
      </c>
      <c r="Z1875" s="349">
        <v>13522.530136374291</v>
      </c>
      <c r="AA1875" s="350" t="e">
        <v>#DIV/0!</v>
      </c>
      <c r="AB1875" s="350">
        <v>1.2998959410294697</v>
      </c>
      <c r="AC1875" s="350">
        <v>1.2424408924853256</v>
      </c>
      <c r="AD1875" s="350">
        <v>7.1171211244075216</v>
      </c>
      <c r="AE1875" s="349">
        <v>2426.6915999999997</v>
      </c>
      <c r="AF1875" s="349">
        <v>21012.5</v>
      </c>
      <c r="AG1875" s="349">
        <v>0.53083316491511723</v>
      </c>
      <c r="AH1875" s="351"/>
      <c r="AI1875" s="351">
        <v>0.76906277611435248</v>
      </c>
      <c r="AJ1875" s="351">
        <v>0.7116077275702084</v>
      </c>
      <c r="AK1875" s="351">
        <v>6.5862879594924042</v>
      </c>
      <c r="AL1875" s="352">
        <v>0</v>
      </c>
      <c r="AM1875" s="352">
        <v>1</v>
      </c>
      <c r="AN1875" s="352">
        <v>1</v>
      </c>
      <c r="AO1875" s="352">
        <v>1</v>
      </c>
    </row>
    <row r="1876" spans="1:41" hidden="1">
      <c r="A1876" s="342" t="s">
        <v>406</v>
      </c>
      <c r="B1876" s="277" t="s">
        <v>406</v>
      </c>
      <c r="C1876" s="277">
        <v>0</v>
      </c>
      <c r="D1876" s="343" t="s">
        <v>19630</v>
      </c>
      <c r="E1876" s="277" t="s">
        <v>406</v>
      </c>
      <c r="F1876" s="618">
        <v>45650</v>
      </c>
      <c r="G1876" s="619">
        <v>2024</v>
      </c>
      <c r="H1876" s="383" t="s">
        <v>17342</v>
      </c>
      <c r="I1876" s="277" t="s">
        <v>17343</v>
      </c>
      <c r="J1876" s="277" t="s">
        <v>16482</v>
      </c>
      <c r="K1876" s="278">
        <v>48387.328132000002</v>
      </c>
      <c r="L1876" s="383">
        <v>3.3241000000000001</v>
      </c>
      <c r="M1876" s="384">
        <v>14556.52</v>
      </c>
      <c r="N1876" s="277" t="s">
        <v>20155</v>
      </c>
      <c r="O1876" s="277" t="s">
        <v>16394</v>
      </c>
      <c r="P1876" s="890">
        <v>45656</v>
      </c>
      <c r="Q1876" s="347">
        <v>0</v>
      </c>
      <c r="R1876" s="347">
        <v>32448</v>
      </c>
      <c r="S1876" s="347">
        <v>9600</v>
      </c>
      <c r="T1876" s="347">
        <v>2800</v>
      </c>
      <c r="U1876" s="347">
        <v>44848</v>
      </c>
      <c r="V1876" s="348"/>
      <c r="W1876" s="349">
        <v>0</v>
      </c>
      <c r="X1876" s="349">
        <v>30428.346002281847</v>
      </c>
      <c r="Y1876" s="349">
        <v>8926.58533913664</v>
      </c>
      <c r="Z1876" s="349">
        <v>9032.3967905815189</v>
      </c>
      <c r="AA1876" s="350" t="e">
        <v>#DIV/0!</v>
      </c>
      <c r="AB1876" s="350">
        <v>0.93775721160878478</v>
      </c>
      <c r="AC1876" s="350">
        <v>0.92985263949340002</v>
      </c>
      <c r="AD1876" s="350">
        <v>3.2258559966362568</v>
      </c>
      <c r="AE1876" s="349">
        <v>2962.1471999999999</v>
      </c>
      <c r="AF1876" s="349">
        <v>25551.200000000001</v>
      </c>
      <c r="AG1876" s="349">
        <v>0.56972886193364258</v>
      </c>
      <c r="AH1876" s="351"/>
      <c r="AI1876" s="351">
        <v>0.3680283496751422</v>
      </c>
      <c r="AJ1876" s="351">
        <v>0.36012377755975744</v>
      </c>
      <c r="AK1876" s="351">
        <v>2.6561271347026141</v>
      </c>
      <c r="AL1876" s="352">
        <v>0</v>
      </c>
      <c r="AM1876" s="352">
        <v>1</v>
      </c>
      <c r="AN1876" s="352">
        <v>1</v>
      </c>
      <c r="AO1876" s="352">
        <v>1</v>
      </c>
    </row>
    <row r="1877" spans="1:41" hidden="1">
      <c r="A1877" s="342" t="s">
        <v>407</v>
      </c>
      <c r="B1877" s="277" t="s">
        <v>407</v>
      </c>
      <c r="C1877" s="277">
        <v>0</v>
      </c>
      <c r="D1877" s="343" t="s">
        <v>19631</v>
      </c>
      <c r="E1877" s="277" t="s">
        <v>407</v>
      </c>
      <c r="F1877" s="618">
        <v>45652</v>
      </c>
      <c r="G1877" s="619">
        <v>2024</v>
      </c>
      <c r="H1877" s="383" t="s">
        <v>16444</v>
      </c>
      <c r="I1877" s="277" t="s">
        <v>16445</v>
      </c>
      <c r="J1877" s="277" t="s">
        <v>3</v>
      </c>
      <c r="K1877" s="278">
        <v>38208</v>
      </c>
      <c r="L1877" s="383">
        <v>1</v>
      </c>
      <c r="M1877" s="384">
        <v>38208</v>
      </c>
      <c r="N1877" s="277" t="s">
        <v>20155</v>
      </c>
      <c r="O1877" s="277" t="s">
        <v>18248</v>
      </c>
      <c r="P1877" s="890">
        <v>45657</v>
      </c>
      <c r="Q1877" s="347">
        <v>19200</v>
      </c>
      <c r="R1877" s="347">
        <v>0</v>
      </c>
      <c r="S1877" s="347">
        <v>0</v>
      </c>
      <c r="T1877" s="347">
        <v>0</v>
      </c>
      <c r="U1877" s="347">
        <v>19200</v>
      </c>
      <c r="V1877" s="348"/>
      <c r="W1877" s="349">
        <v>38208</v>
      </c>
      <c r="X1877" s="349">
        <v>0</v>
      </c>
      <c r="Y1877" s="349">
        <v>0</v>
      </c>
      <c r="Z1877" s="349">
        <v>0</v>
      </c>
      <c r="AA1877" s="350">
        <v>1.99</v>
      </c>
      <c r="AB1877" s="350" t="e">
        <v>#DIV/0!</v>
      </c>
      <c r="AC1877" s="350" t="e">
        <v>#DIV/0!</v>
      </c>
      <c r="AD1877" s="350" t="e">
        <v>#DIV/0!</v>
      </c>
      <c r="AE1877" s="349">
        <v>0</v>
      </c>
      <c r="AF1877" s="349">
        <v>0</v>
      </c>
      <c r="AG1877" s="349">
        <v>0</v>
      </c>
      <c r="AH1877" s="351">
        <v>1.99</v>
      </c>
      <c r="AI1877" s="351"/>
      <c r="AJ1877" s="351"/>
      <c r="AK1877" s="351"/>
      <c r="AL1877" s="352" t="s">
        <v>20356</v>
      </c>
      <c r="AM1877" s="352">
        <v>0</v>
      </c>
      <c r="AN1877" s="352">
        <v>0</v>
      </c>
      <c r="AO1877" s="352">
        <v>0</v>
      </c>
    </row>
    <row r="1878" spans="1:41" hidden="1">
      <c r="A1878" s="342" t="s">
        <v>408</v>
      </c>
      <c r="B1878" s="277" t="s">
        <v>408</v>
      </c>
      <c r="C1878" s="277">
        <v>0</v>
      </c>
      <c r="D1878" s="343" t="s">
        <v>19632</v>
      </c>
      <c r="E1878" s="277" t="s">
        <v>408</v>
      </c>
      <c r="F1878" s="618">
        <v>45652</v>
      </c>
      <c r="G1878" s="619">
        <v>2024</v>
      </c>
      <c r="H1878" s="383" t="s">
        <v>16444</v>
      </c>
      <c r="I1878" s="277" t="s">
        <v>16445</v>
      </c>
      <c r="J1878" s="277" t="s">
        <v>3</v>
      </c>
      <c r="K1878" s="278">
        <v>90720</v>
      </c>
      <c r="L1878" s="383">
        <v>1</v>
      </c>
      <c r="M1878" s="384">
        <v>90720</v>
      </c>
      <c r="N1878" s="277" t="s">
        <v>20155</v>
      </c>
      <c r="O1878" s="277" t="s">
        <v>20382</v>
      </c>
      <c r="P1878" s="890">
        <v>45657</v>
      </c>
      <c r="Q1878" s="347">
        <v>43200</v>
      </c>
      <c r="R1878" s="347">
        <v>0</v>
      </c>
      <c r="S1878" s="347">
        <v>0</v>
      </c>
      <c r="T1878" s="347">
        <v>0</v>
      </c>
      <c r="U1878" s="347">
        <v>43200</v>
      </c>
      <c r="V1878" s="348"/>
      <c r="W1878" s="349">
        <v>90720</v>
      </c>
      <c r="X1878" s="349">
        <v>0</v>
      </c>
      <c r="Y1878" s="349">
        <v>0</v>
      </c>
      <c r="Z1878" s="349">
        <v>0</v>
      </c>
      <c r="AA1878" s="350">
        <v>2.1</v>
      </c>
      <c r="AB1878" s="350" t="e">
        <v>#DIV/0!</v>
      </c>
      <c r="AC1878" s="350" t="e">
        <v>#DIV/0!</v>
      </c>
      <c r="AD1878" s="350" t="e">
        <v>#DIV/0!</v>
      </c>
      <c r="AE1878" s="349">
        <v>0</v>
      </c>
      <c r="AF1878" s="349">
        <v>0</v>
      </c>
      <c r="AG1878" s="349">
        <v>0</v>
      </c>
      <c r="AH1878" s="351">
        <v>2.1</v>
      </c>
      <c r="AI1878" s="351"/>
      <c r="AJ1878" s="351"/>
      <c r="AK1878" s="351"/>
      <c r="AL1878" s="352" t="s">
        <v>20356</v>
      </c>
      <c r="AM1878" s="352">
        <v>0</v>
      </c>
      <c r="AN1878" s="352">
        <v>0</v>
      </c>
      <c r="AO1878" s="352">
        <v>0</v>
      </c>
    </row>
    <row r="1879" spans="1:41" hidden="1">
      <c r="A1879" s="342" t="s">
        <v>409</v>
      </c>
      <c r="B1879" s="277" t="s">
        <v>409</v>
      </c>
      <c r="C1879" s="277">
        <v>0</v>
      </c>
      <c r="D1879" s="343" t="s">
        <v>19633</v>
      </c>
      <c r="E1879" s="277" t="s">
        <v>409</v>
      </c>
      <c r="F1879" s="618">
        <v>45653</v>
      </c>
      <c r="G1879" s="619">
        <v>2024</v>
      </c>
      <c r="H1879" s="383" t="s">
        <v>16823</v>
      </c>
      <c r="I1879" s="277" t="s">
        <v>16824</v>
      </c>
      <c r="J1879" s="277" t="s">
        <v>16401</v>
      </c>
      <c r="K1879" s="278">
        <v>106350.704195</v>
      </c>
      <c r="L1879" s="383">
        <v>3.1974499999999999</v>
      </c>
      <c r="M1879" s="384">
        <v>33261.1</v>
      </c>
      <c r="N1879" s="277" t="s">
        <v>20155</v>
      </c>
      <c r="O1879" s="277" t="s">
        <v>17965</v>
      </c>
      <c r="P1879" s="890">
        <v>45656</v>
      </c>
      <c r="Q1879" s="347">
        <v>1500</v>
      </c>
      <c r="R1879" s="347">
        <v>41220</v>
      </c>
      <c r="S1879" s="347">
        <v>6500</v>
      </c>
      <c r="T1879" s="347">
        <v>0</v>
      </c>
      <c r="U1879" s="347">
        <v>49220</v>
      </c>
      <c r="V1879" s="348"/>
      <c r="W1879" s="349">
        <v>3448.1691873730192</v>
      </c>
      <c r="X1879" s="349">
        <v>90142.728154010576</v>
      </c>
      <c r="Y1879" s="349">
        <v>12759.806853616417</v>
      </c>
      <c r="Z1879" s="349">
        <v>0</v>
      </c>
      <c r="AA1879" s="350">
        <v>2.2987794582486796</v>
      </c>
      <c r="AB1879" s="350">
        <v>2.1868687082486797</v>
      </c>
      <c r="AC1879" s="350">
        <v>1.9630472082486796</v>
      </c>
      <c r="AD1879" s="350" t="e">
        <v>#DIV/0!</v>
      </c>
      <c r="AE1879" s="349">
        <v>2328.846</v>
      </c>
      <c r="AF1879" s="349">
        <v>12997.584000000001</v>
      </c>
      <c r="AG1879" s="349">
        <v>0.26407119057293782</v>
      </c>
      <c r="AH1879" s="351">
        <v>2.0347082676757418</v>
      </c>
      <c r="AI1879" s="351">
        <v>1.9227975176757419</v>
      </c>
      <c r="AJ1879" s="351">
        <v>1.6989760176757418</v>
      </c>
      <c r="AK1879" s="351"/>
      <c r="AL1879" s="352" t="s">
        <v>20356</v>
      </c>
      <c r="AM1879" s="352" t="s">
        <v>20346</v>
      </c>
      <c r="AN1879" s="352" t="s">
        <v>20347</v>
      </c>
      <c r="AO1879" s="352">
        <v>0</v>
      </c>
    </row>
    <row r="1880" spans="1:41" hidden="1">
      <c r="A1880" s="342" t="s">
        <v>410</v>
      </c>
      <c r="B1880" s="277" t="s">
        <v>410</v>
      </c>
      <c r="C1880" s="277">
        <v>0</v>
      </c>
      <c r="D1880" s="343" t="s">
        <v>19634</v>
      </c>
      <c r="E1880" s="277" t="s">
        <v>410</v>
      </c>
      <c r="F1880" s="618">
        <v>45653</v>
      </c>
      <c r="G1880" s="619">
        <v>2024</v>
      </c>
      <c r="H1880" s="383" t="s">
        <v>17379</v>
      </c>
      <c r="I1880" s="277" t="s">
        <v>17380</v>
      </c>
      <c r="J1880" s="277" t="s">
        <v>3</v>
      </c>
      <c r="K1880" s="278">
        <v>230880</v>
      </c>
      <c r="L1880" s="383">
        <v>1</v>
      </c>
      <c r="M1880" s="384">
        <v>230880</v>
      </c>
      <c r="N1880" s="277" t="s">
        <v>20155</v>
      </c>
      <c r="O1880" s="277" t="s">
        <v>20159</v>
      </c>
      <c r="P1880" s="890">
        <v>45657</v>
      </c>
      <c r="Q1880" s="347">
        <v>0</v>
      </c>
      <c r="R1880" s="347">
        <v>0</v>
      </c>
      <c r="S1880" s="347">
        <v>156000</v>
      </c>
      <c r="T1880" s="347">
        <v>0</v>
      </c>
      <c r="U1880" s="347">
        <v>156000</v>
      </c>
      <c r="V1880" s="348"/>
      <c r="W1880" s="349">
        <v>0</v>
      </c>
      <c r="X1880" s="349">
        <v>0</v>
      </c>
      <c r="Y1880" s="349">
        <v>230880</v>
      </c>
      <c r="Z1880" s="349">
        <v>0</v>
      </c>
      <c r="AA1880" s="350" t="e">
        <v>#DIV/0!</v>
      </c>
      <c r="AB1880" s="350" t="e">
        <v>#DIV/0!</v>
      </c>
      <c r="AC1880" s="350">
        <v>1.48</v>
      </c>
      <c r="AD1880" s="350" t="e">
        <v>#DIV/0!</v>
      </c>
      <c r="AE1880" s="349">
        <v>0</v>
      </c>
      <c r="AF1880" s="349">
        <v>0</v>
      </c>
      <c r="AG1880" s="349">
        <v>0</v>
      </c>
      <c r="AH1880" s="351"/>
      <c r="AI1880" s="351"/>
      <c r="AJ1880" s="351">
        <v>1.48</v>
      </c>
      <c r="AK1880" s="351"/>
      <c r="AL1880" s="352">
        <v>0</v>
      </c>
      <c r="AM1880" s="352">
        <v>0</v>
      </c>
      <c r="AN1880" s="352" t="s">
        <v>20347</v>
      </c>
      <c r="AO1880" s="352">
        <v>0</v>
      </c>
    </row>
    <row r="1881" spans="1:41" s="496" customFormat="1">
      <c r="A1881" s="617">
        <v>1</v>
      </c>
      <c r="B1881" s="496" t="str">
        <f t="shared" ref="B1881" si="0">+RIGHT(D1881,3)</f>
        <v>001</v>
      </c>
      <c r="C1881" s="496">
        <f t="shared" ref="C1881" si="1">A1881-B1881</f>
        <v>0</v>
      </c>
      <c r="D1881" s="566" t="str">
        <f>'2025'!D2</f>
        <v>FAE-25-00001</v>
      </c>
      <c r="E1881" s="496" t="str">
        <f>RIGHT(D1881,3)</f>
        <v>001</v>
      </c>
      <c r="F1881" s="567">
        <f>+'2025'!G2</f>
        <v>45663</v>
      </c>
      <c r="G1881" s="496">
        <f t="shared" ref="G1881" si="2">+YEAR(F1881)</f>
        <v>2025</v>
      </c>
      <c r="H1881" s="586" t="s">
        <v>16838</v>
      </c>
      <c r="I1881" s="496" t="str">
        <f>+VLOOKUP(H1881,Sheet1!A:C,3,0)</f>
        <v>TUNISIAN AFRICAN BUSINESS</v>
      </c>
      <c r="J1881" s="496" t="str">
        <f>+VLOOKUP(H1881,Sheet1!A:D,4,0)</f>
        <v>TND</v>
      </c>
      <c r="K1881" s="497">
        <f t="shared" ref="K1881" si="3">+L1881*M1881</f>
        <v>288000</v>
      </c>
      <c r="L1881" s="586">
        <v>1</v>
      </c>
      <c r="M1881" s="587">
        <v>288000</v>
      </c>
      <c r="N1881" s="496" t="str">
        <f>+VLOOKUP(E1881,'2025'!E:F,2,0)</f>
        <v>OUI</v>
      </c>
      <c r="O1881" s="496" t="str">
        <f>VLOOKUP(E1881,'2025'!E:N,10,0)</f>
        <v>Senegal</v>
      </c>
      <c r="P1881" s="880">
        <f>VLOOKUP(E1881,'2025'!E:O,11,0)</f>
        <v>45667</v>
      </c>
      <c r="Q1881" s="565">
        <f>VLOOKUP(E1881,'2025'!E:H,4,0)</f>
        <v>0</v>
      </c>
      <c r="R1881" s="565">
        <f>VLOOKUP(E1881,'2025'!E:I,5,0)</f>
        <v>180000</v>
      </c>
      <c r="S1881" s="565">
        <f>VLOOKUP(E1881,'2025'!E:J,6,0)</f>
        <v>0</v>
      </c>
      <c r="T1881" s="565">
        <f>VLOOKUP(E1881,'2025'!E:K,7,0)</f>
        <v>0</v>
      </c>
      <c r="U1881" s="565">
        <f t="shared" ref="U1881" si="4">SUM(Q1881:T1881)</f>
        <v>180000</v>
      </c>
      <c r="V1881" s="354"/>
      <c r="W1881" s="569">
        <f>+VLOOKUP(D1881,'JOURNAL FACTURES'!A:O,15,0)</f>
        <v>0</v>
      </c>
      <c r="X1881" s="569">
        <f>VLOOKUP(D1881,'JOURNAL FACTURES'!A:P,16,0)</f>
        <v>0</v>
      </c>
      <c r="Y1881" s="569">
        <f>VLOOKUP(D1881,'JOURNAL FACTURES'!A:Q,17,0)</f>
        <v>230880</v>
      </c>
      <c r="Z1881" s="569">
        <f>VLOOKUP(D1881,'JOURNAL FACTURES'!A:R,18,0)</f>
        <v>0</v>
      </c>
      <c r="AA1881" s="570" t="e">
        <f>+W1881/Q1881</f>
        <v>#DIV/0!</v>
      </c>
      <c r="AB1881" s="570">
        <f t="shared" ref="AB1881:AC1881" si="5">+X1881/R1881</f>
        <v>0</v>
      </c>
      <c r="AC1881" s="570" t="e">
        <f t="shared" si="5"/>
        <v>#DIV/0!</v>
      </c>
      <c r="AD1881" s="570" t="e">
        <f t="shared" ref="AD1881" si="6">Z1881/T1881</f>
        <v>#DIV/0!</v>
      </c>
      <c r="AE1881" s="569">
        <f>VLOOKUP(D1881,TRANSPORT!H:J,3,0)</f>
        <v>0</v>
      </c>
      <c r="AF1881" s="569">
        <f>+VLOOKUP(D1881,TRANSPORT!N:O,2,0)</f>
        <v>0</v>
      </c>
      <c r="AG1881" s="569">
        <f t="shared" ref="AG1881" si="7">AF1881/U1881</f>
        <v>0</v>
      </c>
      <c r="AH1881" s="571" t="e">
        <f>AA1881-AG1881</f>
        <v>#DIV/0!</v>
      </c>
      <c r="AI1881" s="571">
        <f>AB1881-AG1881</f>
        <v>0</v>
      </c>
      <c r="AJ1881" s="571" t="e">
        <f t="shared" ref="AJ1881" si="8">AC1881-AG1881</f>
        <v>#DIV/0!</v>
      </c>
      <c r="AK1881" s="571" t="e">
        <f>AD1881-AG1881</f>
        <v>#DIV/0!</v>
      </c>
      <c r="AL1881" s="572">
        <f>VLOOKUP(D1881,'INTEGRATION PAR CLIENT '!A1276:J1304,10,0)</f>
        <v>0</v>
      </c>
      <c r="AM1881" s="572" t="str">
        <f>VLOOKUP(D1881,'INTEGRATION PAR CLIENT '!A1276:L1304,12,0)</f>
        <v>10%-90%</v>
      </c>
      <c r="AN1881" s="572">
        <f>+VLOOKUP(D1881,'INTEGRATION PAR CLIENT '!A1276:N1304,14,0)</f>
        <v>0</v>
      </c>
      <c r="AO1881" s="572">
        <f>+VLOOKUP(D1881,'INTEGRATION PAR CLIENT '!A1276:P1304,16,0)</f>
        <v>0</v>
      </c>
    </row>
    <row r="1882" spans="1:41">
      <c r="A1882" s="617">
        <v>2</v>
      </c>
      <c r="B1882" s="496" t="str">
        <f t="shared" ref="B1882:B1945" si="9">+RIGHT(D1882,3)</f>
        <v>002</v>
      </c>
      <c r="C1882" s="496">
        <f t="shared" ref="C1882:C1945" si="10">A1882-B1882</f>
        <v>0</v>
      </c>
      <c r="D1882" s="566" t="str">
        <f>'2025'!D3</f>
        <v>FAE-25-00002</v>
      </c>
      <c r="E1882" s="496" t="str">
        <f t="shared" ref="E1882:E1946" si="11">RIGHT(D1882,3)</f>
        <v>002</v>
      </c>
      <c r="F1882" s="567">
        <f>+'2025'!G3</f>
        <v>45665</v>
      </c>
      <c r="G1882" s="496">
        <f t="shared" ref="G1882:G1945" si="12">+YEAR(F1882)</f>
        <v>2025</v>
      </c>
      <c r="H1882" s="586" t="s">
        <v>17309</v>
      </c>
      <c r="I1882" s="496" t="str">
        <f>+VLOOKUP(H1882,Sheet1!A:C,3,0)</f>
        <v>MARCOM INTERN</v>
      </c>
      <c r="J1882" s="496" t="str">
        <f>+VLOOKUP(H1882,Sheet1!A:D,4,0)</f>
        <v>TND</v>
      </c>
      <c r="K1882" s="497">
        <f t="shared" ref="K1882:K1945" si="13">+L1882*M1882</f>
        <v>109440</v>
      </c>
      <c r="L1882" s="586">
        <v>1</v>
      </c>
      <c r="M1882" s="587">
        <v>109440</v>
      </c>
      <c r="N1882" s="496" t="str">
        <f>+VLOOKUP(E1882,'2025'!E:F,2,0)</f>
        <v>OUI</v>
      </c>
      <c r="O1882" s="496" t="str">
        <f>VLOOKUP(E1882,'2025'!E:N,10,0)</f>
        <v>Gambie</v>
      </c>
      <c r="P1882" s="880">
        <f>VLOOKUP(E1882,'2025'!E:O,11,0)</f>
        <v>45671</v>
      </c>
      <c r="Q1882" s="565">
        <f>VLOOKUP(E1882,'2025'!E:H,4,0)</f>
        <v>57600</v>
      </c>
      <c r="R1882" s="565">
        <f>VLOOKUP(E1882,'2025'!E:I,5,0)</f>
        <v>0</v>
      </c>
      <c r="S1882" s="565">
        <f>VLOOKUP(E1882,'2025'!E:J,6,0)</f>
        <v>0</v>
      </c>
      <c r="T1882" s="565">
        <f>VLOOKUP(E1882,'2025'!E:K,7,0)</f>
        <v>0</v>
      </c>
      <c r="U1882" s="565">
        <f t="shared" ref="U1882:U1945" si="14">SUM(Q1882:T1882)</f>
        <v>57600</v>
      </c>
      <c r="V1882" s="354"/>
      <c r="W1882" s="569" t="e">
        <f>+VLOOKUP(D1882,'JOURNAL FACTURES'!A:O,15,0)</f>
        <v>#N/A</v>
      </c>
      <c r="X1882" s="569" t="e">
        <f>VLOOKUP(D1882,'JOURNAL FACTURES'!A:P,16,0)</f>
        <v>#N/A</v>
      </c>
      <c r="Y1882" s="569" t="e">
        <f>VLOOKUP(D1882,'JOURNAL FACTURES'!A:Q,17,0)</f>
        <v>#N/A</v>
      </c>
      <c r="Z1882" s="569" t="e">
        <f>VLOOKUP(D1882,'JOURNAL FACTURES'!A:R,18,0)</f>
        <v>#N/A</v>
      </c>
      <c r="AA1882" s="570" t="e">
        <f t="shared" ref="AA1882:AA1945" si="15">+W1882/Q1882</f>
        <v>#N/A</v>
      </c>
      <c r="AB1882" s="570" t="e">
        <f t="shared" ref="AB1882:AB1945" si="16">+X1882/R1882</f>
        <v>#N/A</v>
      </c>
      <c r="AC1882" s="570" t="e">
        <f t="shared" ref="AC1882:AC1945" si="17">+Y1882/S1882</f>
        <v>#N/A</v>
      </c>
      <c r="AD1882" s="570" t="e">
        <f t="shared" ref="AD1882:AD1945" si="18">Z1882/T1882</f>
        <v>#N/A</v>
      </c>
      <c r="AE1882" s="569">
        <f>VLOOKUP(D1882,TRANSPORT!H:J,3,0)</f>
        <v>0</v>
      </c>
      <c r="AF1882" s="569">
        <f>+VLOOKUP(D1882,TRANSPORT!N:O,2,0)</f>
        <v>0</v>
      </c>
      <c r="AG1882" s="569">
        <f t="shared" ref="AG1882:AG1945" si="19">AF1882/U1882</f>
        <v>0</v>
      </c>
      <c r="AH1882" s="571" t="e">
        <f t="shared" ref="AH1882:AH1945" si="20">AA1882-AG1882</f>
        <v>#N/A</v>
      </c>
      <c r="AI1882" s="571" t="e">
        <f t="shared" ref="AI1882:AI1945" si="21">AB1882-AG1882</f>
        <v>#N/A</v>
      </c>
      <c r="AJ1882" s="571" t="e">
        <f t="shared" ref="AJ1882:AJ1945" si="22">AC1882-AG1882</f>
        <v>#N/A</v>
      </c>
      <c r="AK1882" s="571" t="e">
        <f t="shared" ref="AK1882:AK1945" si="23">AD1882-AG1882</f>
        <v>#N/A</v>
      </c>
      <c r="AL1882" s="572">
        <f>VLOOKUP(D1882,'INTEGRATION PAR CLIENT '!A1277:J1305,10,0)</f>
        <v>1</v>
      </c>
      <c r="AM1882" s="572">
        <f>VLOOKUP(D1882,'INTEGRATION PAR CLIENT '!A1277:L1305,12,0)</f>
        <v>0</v>
      </c>
      <c r="AN1882" s="572">
        <f>+VLOOKUP(D1882,'INTEGRATION PAR CLIENT '!A1277:N1305,14,0)</f>
        <v>0</v>
      </c>
      <c r="AO1882" s="572">
        <f>+VLOOKUP(D1882,'INTEGRATION PAR CLIENT '!A1277:P1305,16,0)</f>
        <v>0</v>
      </c>
    </row>
    <row r="1883" spans="1:41">
      <c r="A1883" s="617">
        <v>3</v>
      </c>
      <c r="B1883" s="496" t="str">
        <f t="shared" si="9"/>
        <v>003</v>
      </c>
      <c r="C1883" s="496">
        <f t="shared" si="10"/>
        <v>0</v>
      </c>
      <c r="D1883" s="566" t="str">
        <f>'2025'!D4</f>
        <v>FAE-25-00003</v>
      </c>
      <c r="E1883" s="496" t="str">
        <f t="shared" si="11"/>
        <v>003</v>
      </c>
      <c r="F1883" s="567">
        <f>+'2025'!G4</f>
        <v>45659</v>
      </c>
      <c r="G1883" s="496">
        <f t="shared" si="12"/>
        <v>2025</v>
      </c>
      <c r="H1883" s="586" t="s">
        <v>16444</v>
      </c>
      <c r="I1883" s="496" t="str">
        <f>+VLOOKUP(H1883,Sheet1!A:C,3,0)</f>
        <v>SAHEL INTERNATIONAL TRADE</v>
      </c>
      <c r="J1883" s="496" t="str">
        <f>+VLOOKUP(H1883,Sheet1!A:D,4,0)</f>
        <v>TND</v>
      </c>
      <c r="K1883" s="497">
        <f t="shared" si="13"/>
        <v>90720</v>
      </c>
      <c r="L1883" s="586">
        <v>1</v>
      </c>
      <c r="M1883" s="587">
        <v>90720</v>
      </c>
      <c r="N1883" s="496" t="str">
        <f>+VLOOKUP(E1883,'2025'!E:F,2,0)</f>
        <v>OUI</v>
      </c>
      <c r="O1883" s="496" t="str">
        <f>VLOOKUP(E1883,'2025'!E:N,10,0)</f>
        <v>Tchad</v>
      </c>
      <c r="P1883" s="880">
        <f>VLOOKUP(E1883,'2025'!E:O,11,0)</f>
        <v>45670</v>
      </c>
      <c r="Q1883" s="565">
        <f>VLOOKUP(E1883,'2025'!E:H,4,0)</f>
        <v>43200</v>
      </c>
      <c r="R1883" s="565">
        <f>VLOOKUP(E1883,'2025'!E:I,5,0)</f>
        <v>0</v>
      </c>
      <c r="S1883" s="565">
        <f>VLOOKUP(E1883,'2025'!E:J,6,0)</f>
        <v>0</v>
      </c>
      <c r="T1883" s="565">
        <f>VLOOKUP(E1883,'2025'!E:K,7,0)</f>
        <v>0</v>
      </c>
      <c r="U1883" s="565">
        <f t="shared" si="14"/>
        <v>43200</v>
      </c>
      <c r="V1883" s="354"/>
      <c r="W1883" s="569" t="e">
        <f>+VLOOKUP(D1883,'JOURNAL FACTURES'!A:O,15,0)</f>
        <v>#N/A</v>
      </c>
      <c r="X1883" s="569" t="e">
        <f>VLOOKUP(D1883,'JOURNAL FACTURES'!A:P,16,0)</f>
        <v>#N/A</v>
      </c>
      <c r="Y1883" s="569" t="e">
        <f>VLOOKUP(D1883,'JOURNAL FACTURES'!A:Q,17,0)</f>
        <v>#N/A</v>
      </c>
      <c r="Z1883" s="569" t="e">
        <f>VLOOKUP(D1883,'JOURNAL FACTURES'!A:R,18,0)</f>
        <v>#N/A</v>
      </c>
      <c r="AA1883" s="570" t="e">
        <f t="shared" si="15"/>
        <v>#N/A</v>
      </c>
      <c r="AB1883" s="570" t="e">
        <f t="shared" si="16"/>
        <v>#N/A</v>
      </c>
      <c r="AC1883" s="570" t="e">
        <f t="shared" si="17"/>
        <v>#N/A</v>
      </c>
      <c r="AD1883" s="570" t="e">
        <f t="shared" si="18"/>
        <v>#N/A</v>
      </c>
      <c r="AE1883" s="569">
        <f>VLOOKUP(D1883,TRANSPORT!H:J,3,0)</f>
        <v>0</v>
      </c>
      <c r="AF1883" s="569">
        <f>+VLOOKUP(D1883,TRANSPORT!N:O,2,0)</f>
        <v>0</v>
      </c>
      <c r="AG1883" s="569">
        <f t="shared" si="19"/>
        <v>0</v>
      </c>
      <c r="AH1883" s="571" t="e">
        <f t="shared" si="20"/>
        <v>#N/A</v>
      </c>
      <c r="AI1883" s="571" t="e">
        <f t="shared" si="21"/>
        <v>#N/A</v>
      </c>
      <c r="AJ1883" s="571" t="e">
        <f t="shared" si="22"/>
        <v>#N/A</v>
      </c>
      <c r="AK1883" s="571" t="e">
        <f t="shared" si="23"/>
        <v>#N/A</v>
      </c>
      <c r="AL1883" s="572">
        <f>VLOOKUP(D1883,'INTEGRATION PAR CLIENT '!A1278:J1306,10,0)</f>
        <v>1</v>
      </c>
      <c r="AM1883" s="572">
        <f>VLOOKUP(D1883,'INTEGRATION PAR CLIENT '!A1278:L1306,12,0)</f>
        <v>0</v>
      </c>
      <c r="AN1883" s="572">
        <f>+VLOOKUP(D1883,'INTEGRATION PAR CLIENT '!A1278:N1306,14,0)</f>
        <v>0</v>
      </c>
      <c r="AO1883" s="572">
        <f>+VLOOKUP(D1883,'INTEGRATION PAR CLIENT '!A1278:P1306,16,0)</f>
        <v>0</v>
      </c>
    </row>
    <row r="1884" spans="1:41">
      <c r="A1884" s="617">
        <v>4</v>
      </c>
      <c r="B1884" s="496" t="str">
        <f t="shared" si="9"/>
        <v>004</v>
      </c>
      <c r="C1884" s="496">
        <f t="shared" si="10"/>
        <v>0</v>
      </c>
      <c r="D1884" s="566" t="str">
        <f>'2025'!D5</f>
        <v>FAE-25-00004</v>
      </c>
      <c r="E1884" s="496" t="str">
        <f t="shared" si="11"/>
        <v>004</v>
      </c>
      <c r="F1884" s="567">
        <f>+'2025'!G5</f>
        <v>45665</v>
      </c>
      <c r="G1884" s="496">
        <f t="shared" si="12"/>
        <v>2025</v>
      </c>
      <c r="H1884" s="586" t="s">
        <v>17017</v>
      </c>
      <c r="I1884" s="496" t="str">
        <f>+VLOOKUP(H1884,Sheet1!A:C,3,0)</f>
        <v>ARCADIA</v>
      </c>
      <c r="J1884" s="496" t="str">
        <f>+VLOOKUP(H1884,Sheet1!A:D,4,0)</f>
        <v>TND</v>
      </c>
      <c r="K1884" s="497">
        <f t="shared" si="13"/>
        <v>77900</v>
      </c>
      <c r="L1884" s="586">
        <v>1</v>
      </c>
      <c r="M1884" s="587">
        <v>77900</v>
      </c>
      <c r="N1884" s="496" t="str">
        <f>+VLOOKUP(E1884,'2025'!E:F,2,0)</f>
        <v>OUI</v>
      </c>
      <c r="O1884" s="496" t="str">
        <f>VLOOKUP(E1884,'2025'!E:N,10,0)</f>
        <v>Belarus</v>
      </c>
      <c r="P1884" s="880">
        <f>VLOOKUP(E1884,'2025'!E:O,11,0)</f>
        <v>45674</v>
      </c>
      <c r="Q1884" s="565">
        <f>VLOOKUP(E1884,'2025'!E:H,4,0)</f>
        <v>41000</v>
      </c>
      <c r="R1884" s="565">
        <f>VLOOKUP(E1884,'2025'!E:I,5,0)</f>
        <v>0</v>
      </c>
      <c r="S1884" s="565">
        <f>VLOOKUP(E1884,'2025'!E:J,6,0)</f>
        <v>0</v>
      </c>
      <c r="T1884" s="565">
        <f>VLOOKUP(E1884,'2025'!E:K,7,0)</f>
        <v>0</v>
      </c>
      <c r="U1884" s="565">
        <f t="shared" si="14"/>
        <v>41000</v>
      </c>
      <c r="V1884" s="354"/>
      <c r="W1884" s="569" t="e">
        <f>+VLOOKUP(D1884,'JOURNAL FACTURES'!A:O,15,0)</f>
        <v>#N/A</v>
      </c>
      <c r="X1884" s="569" t="e">
        <f>VLOOKUP(D1884,'JOURNAL FACTURES'!A:P,16,0)</f>
        <v>#N/A</v>
      </c>
      <c r="Y1884" s="569" t="e">
        <f>VLOOKUP(D1884,'JOURNAL FACTURES'!A:Q,17,0)</f>
        <v>#N/A</v>
      </c>
      <c r="Z1884" s="569" t="e">
        <f>VLOOKUP(D1884,'JOURNAL FACTURES'!A:R,18,0)</f>
        <v>#N/A</v>
      </c>
      <c r="AA1884" s="570" t="e">
        <f t="shared" si="15"/>
        <v>#N/A</v>
      </c>
      <c r="AB1884" s="570" t="e">
        <f t="shared" si="16"/>
        <v>#N/A</v>
      </c>
      <c r="AC1884" s="570" t="e">
        <f t="shared" si="17"/>
        <v>#N/A</v>
      </c>
      <c r="AD1884" s="570" t="e">
        <f t="shared" si="18"/>
        <v>#N/A</v>
      </c>
      <c r="AE1884" s="569">
        <f>VLOOKUP(D1884,TRANSPORT!H:J,3,0)</f>
        <v>0</v>
      </c>
      <c r="AF1884" s="569">
        <f>+VLOOKUP(D1884,TRANSPORT!N:O,2,0)</f>
        <v>0</v>
      </c>
      <c r="AG1884" s="569">
        <f t="shared" si="19"/>
        <v>0</v>
      </c>
      <c r="AH1884" s="571" t="e">
        <f t="shared" si="20"/>
        <v>#N/A</v>
      </c>
      <c r="AI1884" s="571" t="e">
        <f t="shared" si="21"/>
        <v>#N/A</v>
      </c>
      <c r="AJ1884" s="571" t="e">
        <f t="shared" si="22"/>
        <v>#N/A</v>
      </c>
      <c r="AK1884" s="571" t="e">
        <f t="shared" si="23"/>
        <v>#N/A</v>
      </c>
      <c r="AL1884" s="572">
        <f>VLOOKUP(D1884,'INTEGRATION PAR CLIENT '!A1279:J1307,10,0)</f>
        <v>1</v>
      </c>
      <c r="AM1884" s="572">
        <f>VLOOKUP(D1884,'INTEGRATION PAR CLIENT '!A1279:L1307,12,0)</f>
        <v>0</v>
      </c>
      <c r="AN1884" s="572">
        <f>+VLOOKUP(D1884,'INTEGRATION PAR CLIENT '!A1279:N1307,14,0)</f>
        <v>0</v>
      </c>
      <c r="AO1884" s="572">
        <f>+VLOOKUP(D1884,'INTEGRATION PAR CLIENT '!A1279:P1307,16,0)</f>
        <v>0</v>
      </c>
    </row>
    <row r="1885" spans="1:41">
      <c r="A1885" s="617">
        <v>5</v>
      </c>
      <c r="B1885" s="496" t="str">
        <f t="shared" si="9"/>
        <v>005</v>
      </c>
      <c r="C1885" s="496">
        <f t="shared" si="10"/>
        <v>0</v>
      </c>
      <c r="D1885" s="566" t="str">
        <f>'2025'!D6</f>
        <v>FAE-25-00005</v>
      </c>
      <c r="E1885" s="496" t="str">
        <f t="shared" si="11"/>
        <v>005</v>
      </c>
      <c r="F1885" s="567">
        <f>+'2025'!G6</f>
        <v>45665</v>
      </c>
      <c r="G1885" s="496">
        <f t="shared" si="12"/>
        <v>2025</v>
      </c>
      <c r="H1885" s="586" t="s">
        <v>16838</v>
      </c>
      <c r="I1885" s="496" t="str">
        <f>+VLOOKUP(H1885,Sheet1!A:C,3,0)</f>
        <v>TUNISIAN AFRICAN BUSINESS</v>
      </c>
      <c r="J1885" s="496" t="str">
        <f>+VLOOKUP(H1885,Sheet1!A:D,4,0)</f>
        <v>TND</v>
      </c>
      <c r="K1885" s="497">
        <f t="shared" si="13"/>
        <v>139440</v>
      </c>
      <c r="L1885" s="586">
        <v>1</v>
      </c>
      <c r="M1885" s="587">
        <v>139440</v>
      </c>
      <c r="N1885" s="496" t="str">
        <f>+VLOOKUP(E1885,'2025'!E:F,2,0)</f>
        <v>OUI</v>
      </c>
      <c r="O1885" s="496" t="str">
        <f>VLOOKUP(E1885,'2025'!E:N,10,0)</f>
        <v>Gabon</v>
      </c>
      <c r="P1885" s="880">
        <f>VLOOKUP(E1885,'2025'!E:O,11,0)</f>
        <v>45695</v>
      </c>
      <c r="Q1885" s="565">
        <f>VLOOKUP(E1885,'2025'!E:H,4,0)</f>
        <v>0</v>
      </c>
      <c r="R1885" s="565">
        <f>VLOOKUP(E1885,'2025'!E:I,5,0)</f>
        <v>0</v>
      </c>
      <c r="S1885" s="565">
        <f>VLOOKUP(E1885,'2025'!E:J,6,0)</f>
        <v>84000</v>
      </c>
      <c r="T1885" s="565">
        <f>VLOOKUP(E1885,'2025'!E:K,7,0)</f>
        <v>0</v>
      </c>
      <c r="U1885" s="565">
        <f t="shared" si="14"/>
        <v>84000</v>
      </c>
      <c r="V1885" s="354"/>
      <c r="W1885" s="569" t="e">
        <f>+VLOOKUP(D1885,'JOURNAL FACTURES'!A:O,15,0)</f>
        <v>#N/A</v>
      </c>
      <c r="X1885" s="569" t="e">
        <f>VLOOKUP(D1885,'JOURNAL FACTURES'!A:P,16,0)</f>
        <v>#N/A</v>
      </c>
      <c r="Y1885" s="569" t="e">
        <f>VLOOKUP(D1885,'JOURNAL FACTURES'!A:Q,17,0)</f>
        <v>#N/A</v>
      </c>
      <c r="Z1885" s="569" t="e">
        <f>VLOOKUP(D1885,'JOURNAL FACTURES'!A:R,18,0)</f>
        <v>#N/A</v>
      </c>
      <c r="AA1885" s="570" t="e">
        <f t="shared" si="15"/>
        <v>#N/A</v>
      </c>
      <c r="AB1885" s="570" t="e">
        <f t="shared" si="16"/>
        <v>#N/A</v>
      </c>
      <c r="AC1885" s="570" t="e">
        <f t="shared" si="17"/>
        <v>#N/A</v>
      </c>
      <c r="AD1885" s="570" t="e">
        <f t="shared" si="18"/>
        <v>#N/A</v>
      </c>
      <c r="AE1885" s="569">
        <f>VLOOKUP(D1885,TRANSPORT!H:J,3,0)</f>
        <v>0</v>
      </c>
      <c r="AF1885" s="569">
        <f>+VLOOKUP(D1885,TRANSPORT!N:O,2,0)</f>
        <v>0</v>
      </c>
      <c r="AG1885" s="569">
        <f t="shared" si="19"/>
        <v>0</v>
      </c>
      <c r="AH1885" s="571" t="e">
        <f t="shared" si="20"/>
        <v>#N/A</v>
      </c>
      <c r="AI1885" s="571" t="e">
        <f t="shared" si="21"/>
        <v>#N/A</v>
      </c>
      <c r="AJ1885" s="571" t="e">
        <f t="shared" si="22"/>
        <v>#N/A</v>
      </c>
      <c r="AK1885" s="571" t="e">
        <f t="shared" si="23"/>
        <v>#N/A</v>
      </c>
      <c r="AL1885" s="572">
        <f>VLOOKUP(D1885,'INTEGRATION PAR CLIENT '!A1280:J1308,10,0)</f>
        <v>0</v>
      </c>
      <c r="AM1885" s="572">
        <f>VLOOKUP(D1885,'INTEGRATION PAR CLIENT '!A1280:L1308,12,0)</f>
        <v>0</v>
      </c>
      <c r="AN1885" s="572" t="str">
        <f>+VLOOKUP(D1885,'INTEGRATION PAR CLIENT '!A1280:N1308,14,0)</f>
        <v>10%-90%</v>
      </c>
      <c r="AO1885" s="572">
        <f>+VLOOKUP(D1885,'INTEGRATION PAR CLIENT '!A1280:P1308,16,0)</f>
        <v>0</v>
      </c>
    </row>
    <row r="1886" spans="1:41">
      <c r="A1886" s="617">
        <v>6</v>
      </c>
      <c r="B1886" s="496" t="str">
        <f t="shared" si="9"/>
        <v>006</v>
      </c>
      <c r="C1886" s="496">
        <f t="shared" si="10"/>
        <v>0</v>
      </c>
      <c r="D1886" s="566" t="str">
        <f>'2025'!D7</f>
        <v>FAE-25-00006</v>
      </c>
      <c r="E1886" s="496" t="str">
        <f t="shared" si="11"/>
        <v>006</v>
      </c>
      <c r="F1886" s="567">
        <f>+'2025'!G7</f>
        <v>45665</v>
      </c>
      <c r="G1886" s="496">
        <f t="shared" si="12"/>
        <v>2025</v>
      </c>
      <c r="H1886" s="586" t="s">
        <v>16880</v>
      </c>
      <c r="I1886" s="496" t="str">
        <f>+VLOOKUP(H1886,Sheet1!A:C,3,0)</f>
        <v>DAVIS TRADING CO LTD</v>
      </c>
      <c r="J1886" s="496" t="str">
        <f>+VLOOKUP(H1886,Sheet1!A:D,4,0)</f>
        <v>USD</v>
      </c>
      <c r="K1886" s="497">
        <f t="shared" si="13"/>
        <v>86763.118977000006</v>
      </c>
      <c r="L1886" s="586">
        <v>3.2053500000000001</v>
      </c>
      <c r="M1886" s="587">
        <v>27068.22</v>
      </c>
      <c r="N1886" s="496" t="str">
        <f>+VLOOKUP(E1886,'2025'!E:F,2,0)</f>
        <v>OUI</v>
      </c>
      <c r="O1886" s="496" t="str">
        <f>VLOOKUP(E1886,'2025'!E:N,10,0)</f>
        <v>New Zealand</v>
      </c>
      <c r="P1886" s="880">
        <f>VLOOKUP(E1886,'2025'!E:O,11,0)</f>
        <v>45679</v>
      </c>
      <c r="Q1886" s="565">
        <f>VLOOKUP(E1886,'2025'!E:H,4,0)</f>
        <v>4200</v>
      </c>
      <c r="R1886" s="565">
        <f>VLOOKUP(E1886,'2025'!E:I,5,0)</f>
        <v>15500</v>
      </c>
      <c r="S1886" s="565">
        <f>VLOOKUP(E1886,'2025'!E:J,6,0)</f>
        <v>0</v>
      </c>
      <c r="T1886" s="565">
        <f>VLOOKUP(E1886,'2025'!E:K,7,0)</f>
        <v>0</v>
      </c>
      <c r="U1886" s="565">
        <f t="shared" si="14"/>
        <v>19700</v>
      </c>
      <c r="V1886" s="354"/>
      <c r="W1886" s="569" t="e">
        <f>+VLOOKUP(D1886,'JOURNAL FACTURES'!A:O,15,0)</f>
        <v>#N/A</v>
      </c>
      <c r="X1886" s="569" t="e">
        <f>VLOOKUP(D1886,'JOURNAL FACTURES'!A:P,16,0)</f>
        <v>#N/A</v>
      </c>
      <c r="Y1886" s="569" t="e">
        <f>VLOOKUP(D1886,'JOURNAL FACTURES'!A:Q,17,0)</f>
        <v>#N/A</v>
      </c>
      <c r="Z1886" s="569" t="e">
        <f>VLOOKUP(D1886,'JOURNAL FACTURES'!A:R,18,0)</f>
        <v>#N/A</v>
      </c>
      <c r="AA1886" s="570" t="e">
        <f t="shared" si="15"/>
        <v>#N/A</v>
      </c>
      <c r="AB1886" s="570" t="e">
        <f t="shared" si="16"/>
        <v>#N/A</v>
      </c>
      <c r="AC1886" s="570" t="e">
        <f t="shared" si="17"/>
        <v>#N/A</v>
      </c>
      <c r="AD1886" s="570" t="e">
        <f t="shared" si="18"/>
        <v>#N/A</v>
      </c>
      <c r="AE1886" s="569">
        <f>VLOOKUP(D1886,TRANSPORT!H:J,3,0)</f>
        <v>0</v>
      </c>
      <c r="AF1886" s="569">
        <f>+VLOOKUP(D1886,TRANSPORT!N:O,2,0)</f>
        <v>2578.8200000000002</v>
      </c>
      <c r="AG1886" s="569">
        <f t="shared" si="19"/>
        <v>0.13090456852791879</v>
      </c>
      <c r="AH1886" s="571" t="e">
        <f t="shared" si="20"/>
        <v>#N/A</v>
      </c>
      <c r="AI1886" s="571" t="e">
        <f t="shared" si="21"/>
        <v>#N/A</v>
      </c>
      <c r="AJ1886" s="571" t="e">
        <f t="shared" si="22"/>
        <v>#N/A</v>
      </c>
      <c r="AK1886" s="571" t="e">
        <f t="shared" si="23"/>
        <v>#N/A</v>
      </c>
      <c r="AL1886" s="572">
        <f>VLOOKUP(D1886,'INTEGRATION PAR CLIENT '!A1281:J1309,10,0)</f>
        <v>1</v>
      </c>
      <c r="AM1886" s="572">
        <f>VLOOKUP(D1886,'INTEGRATION PAR CLIENT '!A1281:L1309,12,0)</f>
        <v>1</v>
      </c>
      <c r="AN1886" s="572">
        <f>+VLOOKUP(D1886,'INTEGRATION PAR CLIENT '!A1281:N1309,14,0)</f>
        <v>0</v>
      </c>
      <c r="AO1886" s="572">
        <f>+VLOOKUP(D1886,'INTEGRATION PAR CLIENT '!A1281:P1309,16,0)</f>
        <v>0</v>
      </c>
    </row>
    <row r="1887" spans="1:41">
      <c r="A1887" s="617">
        <v>7</v>
      </c>
      <c r="B1887" s="496" t="str">
        <f t="shared" si="9"/>
        <v>007</v>
      </c>
      <c r="C1887" s="496">
        <f t="shared" si="10"/>
        <v>0</v>
      </c>
      <c r="D1887" s="566" t="str">
        <f>'2025'!D8</f>
        <v>FAE-25-00007</v>
      </c>
      <c r="E1887" s="496" t="str">
        <f t="shared" si="11"/>
        <v>007</v>
      </c>
      <c r="F1887" s="567">
        <f>+'2025'!G8</f>
        <v>45665</v>
      </c>
      <c r="G1887" s="496">
        <f t="shared" si="12"/>
        <v>2025</v>
      </c>
      <c r="H1887" s="586" t="s">
        <v>16880</v>
      </c>
      <c r="I1887" s="496" t="str">
        <f>+VLOOKUP(H1887,Sheet1!A:C,3,0)</f>
        <v>DAVIS TRADING CO LTD</v>
      </c>
      <c r="J1887" s="496" t="str">
        <f>+VLOOKUP(H1887,Sheet1!A:D,4,0)</f>
        <v>USD</v>
      </c>
      <c r="K1887" s="497">
        <f t="shared" si="13"/>
        <v>92348.056710000004</v>
      </c>
      <c r="L1887" s="586">
        <v>3.2053500000000001</v>
      </c>
      <c r="M1887" s="587">
        <v>28810.6</v>
      </c>
      <c r="N1887" s="496" t="str">
        <f>+VLOOKUP(E1887,'2025'!E:F,2,0)</f>
        <v>OUI</v>
      </c>
      <c r="O1887" s="496" t="str">
        <f>VLOOKUP(E1887,'2025'!E:N,10,0)</f>
        <v>New Zealand</v>
      </c>
      <c r="P1887" s="880">
        <f>VLOOKUP(E1887,'2025'!E:O,11,0)</f>
        <v>45679</v>
      </c>
      <c r="Q1887" s="565">
        <f>VLOOKUP(E1887,'2025'!E:H,4,0)</f>
        <v>2500</v>
      </c>
      <c r="R1887" s="565">
        <f>VLOOKUP(E1887,'2025'!E:I,5,0)</f>
        <v>18000</v>
      </c>
      <c r="S1887" s="565">
        <f>VLOOKUP(E1887,'2025'!E:J,6,0)</f>
        <v>0</v>
      </c>
      <c r="T1887" s="565">
        <f>VLOOKUP(E1887,'2025'!E:K,7,0)</f>
        <v>0</v>
      </c>
      <c r="U1887" s="565">
        <f t="shared" si="14"/>
        <v>20500</v>
      </c>
      <c r="V1887" s="354"/>
      <c r="W1887" s="569" t="e">
        <f>+VLOOKUP(D1887,'JOURNAL FACTURES'!A:O,15,0)</f>
        <v>#N/A</v>
      </c>
      <c r="X1887" s="569" t="e">
        <f>VLOOKUP(D1887,'JOURNAL FACTURES'!A:P,16,0)</f>
        <v>#N/A</v>
      </c>
      <c r="Y1887" s="569" t="e">
        <f>VLOOKUP(D1887,'JOURNAL FACTURES'!A:Q,17,0)</f>
        <v>#N/A</v>
      </c>
      <c r="Z1887" s="569" t="e">
        <f>VLOOKUP(D1887,'JOURNAL FACTURES'!A:R,18,0)</f>
        <v>#N/A</v>
      </c>
      <c r="AA1887" s="570" t="e">
        <f t="shared" si="15"/>
        <v>#N/A</v>
      </c>
      <c r="AB1887" s="570" t="e">
        <f t="shared" si="16"/>
        <v>#N/A</v>
      </c>
      <c r="AC1887" s="570" t="e">
        <f t="shared" si="17"/>
        <v>#N/A</v>
      </c>
      <c r="AD1887" s="570" t="e">
        <f t="shared" si="18"/>
        <v>#N/A</v>
      </c>
      <c r="AE1887" s="569">
        <f>VLOOKUP(D1887,TRANSPORT!H:J,3,0)</f>
        <v>0</v>
      </c>
      <c r="AF1887" s="569">
        <f>+VLOOKUP(D1887,TRANSPORT!N:O,2,0)</f>
        <v>2578.8200000000002</v>
      </c>
      <c r="AG1887" s="569">
        <f t="shared" si="19"/>
        <v>0.12579609756097562</v>
      </c>
      <c r="AH1887" s="571" t="e">
        <f t="shared" si="20"/>
        <v>#N/A</v>
      </c>
      <c r="AI1887" s="571" t="e">
        <f t="shared" si="21"/>
        <v>#N/A</v>
      </c>
      <c r="AJ1887" s="571" t="e">
        <f t="shared" si="22"/>
        <v>#N/A</v>
      </c>
      <c r="AK1887" s="571" t="e">
        <f t="shared" si="23"/>
        <v>#N/A</v>
      </c>
      <c r="AL1887" s="572">
        <f>VLOOKUP(D1887,'INTEGRATION PAR CLIENT '!A1282:J1310,10,0)</f>
        <v>1</v>
      </c>
      <c r="AM1887" s="572">
        <f>VLOOKUP(D1887,'INTEGRATION PAR CLIENT '!A1282:L1310,12,0)</f>
        <v>1</v>
      </c>
      <c r="AN1887" s="572">
        <f>+VLOOKUP(D1887,'INTEGRATION PAR CLIENT '!A1282:N1310,14,0)</f>
        <v>0</v>
      </c>
      <c r="AO1887" s="572">
        <f>+VLOOKUP(D1887,'INTEGRATION PAR CLIENT '!A1282:P1310,16,0)</f>
        <v>0</v>
      </c>
    </row>
    <row r="1888" spans="1:41">
      <c r="A1888" s="617">
        <v>8</v>
      </c>
      <c r="B1888" s="496" t="str">
        <f t="shared" si="9"/>
        <v>008</v>
      </c>
      <c r="C1888" s="496">
        <f t="shared" si="10"/>
        <v>0</v>
      </c>
      <c r="D1888" s="566" t="str">
        <f>'2025'!D9</f>
        <v>FAE-25-00008</v>
      </c>
      <c r="E1888" s="496" t="str">
        <f t="shared" si="11"/>
        <v>008</v>
      </c>
      <c r="F1888" s="567">
        <f>+'2025'!G9</f>
        <v>45667</v>
      </c>
      <c r="G1888" s="496">
        <f t="shared" si="12"/>
        <v>2025</v>
      </c>
      <c r="H1888" s="586" t="s">
        <v>17017</v>
      </c>
      <c r="I1888" s="496" t="str">
        <f>+VLOOKUP(H1888,Sheet1!A:C,3,0)</f>
        <v>ARCADIA</v>
      </c>
      <c r="J1888" s="496" t="str">
        <f>+VLOOKUP(H1888,Sheet1!A:D,4,0)</f>
        <v>TND</v>
      </c>
      <c r="K1888" s="497">
        <f t="shared" si="13"/>
        <v>38950</v>
      </c>
      <c r="L1888" s="586">
        <v>1</v>
      </c>
      <c r="M1888" s="587">
        <v>38950</v>
      </c>
      <c r="N1888" s="496" t="str">
        <f>+VLOOKUP(E1888,'2025'!E:F,2,0)</f>
        <v>OUI</v>
      </c>
      <c r="O1888" s="496" t="str">
        <f>VLOOKUP(E1888,'2025'!E:N,10,0)</f>
        <v>Belarus</v>
      </c>
      <c r="P1888" s="880">
        <f>VLOOKUP(E1888,'2025'!E:O,11,0)</f>
        <v>45674</v>
      </c>
      <c r="Q1888" s="565">
        <f>VLOOKUP(E1888,'2025'!E:H,4,0)</f>
        <v>0</v>
      </c>
      <c r="R1888" s="565">
        <f>VLOOKUP(E1888,'2025'!E:I,5,0)</f>
        <v>20500</v>
      </c>
      <c r="S1888" s="565">
        <f>VLOOKUP(E1888,'2025'!E:J,6,0)</f>
        <v>0</v>
      </c>
      <c r="T1888" s="565">
        <f>VLOOKUP(E1888,'2025'!E:K,7,0)</f>
        <v>0</v>
      </c>
      <c r="U1888" s="565">
        <f t="shared" si="14"/>
        <v>20500</v>
      </c>
      <c r="V1888" s="354"/>
      <c r="W1888" s="569" t="e">
        <f>+VLOOKUP(D1888,'JOURNAL FACTURES'!A:O,15,0)</f>
        <v>#N/A</v>
      </c>
      <c r="X1888" s="569" t="e">
        <f>VLOOKUP(D1888,'JOURNAL FACTURES'!A:P,16,0)</f>
        <v>#N/A</v>
      </c>
      <c r="Y1888" s="569" t="e">
        <f>VLOOKUP(D1888,'JOURNAL FACTURES'!A:Q,17,0)</f>
        <v>#N/A</v>
      </c>
      <c r="Z1888" s="569" t="e">
        <f>VLOOKUP(D1888,'JOURNAL FACTURES'!A:R,18,0)</f>
        <v>#N/A</v>
      </c>
      <c r="AA1888" s="570" t="e">
        <f t="shared" si="15"/>
        <v>#N/A</v>
      </c>
      <c r="AB1888" s="570" t="e">
        <f t="shared" si="16"/>
        <v>#N/A</v>
      </c>
      <c r="AC1888" s="570" t="e">
        <f t="shared" si="17"/>
        <v>#N/A</v>
      </c>
      <c r="AD1888" s="570" t="e">
        <f t="shared" si="18"/>
        <v>#N/A</v>
      </c>
      <c r="AE1888" s="569">
        <f>VLOOKUP(D1888,TRANSPORT!H:J,3,0)</f>
        <v>0</v>
      </c>
      <c r="AF1888" s="569">
        <f>+VLOOKUP(D1888,TRANSPORT!N:O,2,0)</f>
        <v>0</v>
      </c>
      <c r="AG1888" s="569">
        <f t="shared" si="19"/>
        <v>0</v>
      </c>
      <c r="AH1888" s="571" t="e">
        <f t="shared" si="20"/>
        <v>#N/A</v>
      </c>
      <c r="AI1888" s="571" t="e">
        <f t="shared" si="21"/>
        <v>#N/A</v>
      </c>
      <c r="AJ1888" s="571" t="e">
        <f t="shared" si="22"/>
        <v>#N/A</v>
      </c>
      <c r="AK1888" s="571" t="e">
        <f t="shared" si="23"/>
        <v>#N/A</v>
      </c>
      <c r="AL1888" s="572">
        <f>VLOOKUP(D1888,'INTEGRATION PAR CLIENT '!A1283:J1311,10,0)</f>
        <v>0</v>
      </c>
      <c r="AM1888" s="572">
        <f>VLOOKUP(D1888,'INTEGRATION PAR CLIENT '!A1283:L1311,12,0)</f>
        <v>1</v>
      </c>
      <c r="AN1888" s="572">
        <f>+VLOOKUP(D1888,'INTEGRATION PAR CLIENT '!A1283:N1311,14,0)</f>
        <v>0</v>
      </c>
      <c r="AO1888" s="572">
        <f>+VLOOKUP(D1888,'INTEGRATION PAR CLIENT '!A1283:P1311,16,0)</f>
        <v>0</v>
      </c>
    </row>
    <row r="1889" spans="1:41">
      <c r="A1889" s="617">
        <v>9</v>
      </c>
      <c r="B1889" s="496" t="str">
        <f t="shared" si="9"/>
        <v>009</v>
      </c>
      <c r="C1889" s="496">
        <f t="shared" si="10"/>
        <v>0</v>
      </c>
      <c r="D1889" s="566" t="str">
        <f>'2025'!D10</f>
        <v>FAE-25-00009</v>
      </c>
      <c r="E1889" s="496" t="str">
        <f t="shared" si="11"/>
        <v>009</v>
      </c>
      <c r="F1889" s="567">
        <f>+'2025'!G10</f>
        <v>45667</v>
      </c>
      <c r="G1889" s="496">
        <f t="shared" si="12"/>
        <v>2025</v>
      </c>
      <c r="H1889" s="586" t="s">
        <v>17017</v>
      </c>
      <c r="I1889" s="496" t="str">
        <f>+VLOOKUP(H1889,Sheet1!A:C,3,0)</f>
        <v>ARCADIA</v>
      </c>
      <c r="J1889" s="496" t="str">
        <f>+VLOOKUP(H1889,Sheet1!A:D,4,0)</f>
        <v>TND</v>
      </c>
      <c r="K1889" s="497">
        <f t="shared" si="13"/>
        <v>116850</v>
      </c>
      <c r="L1889" s="586">
        <v>1</v>
      </c>
      <c r="M1889" s="587">
        <v>116850</v>
      </c>
      <c r="N1889" s="496" t="str">
        <f>+VLOOKUP(E1889,'2025'!E:F,2,0)</f>
        <v>OUI</v>
      </c>
      <c r="O1889" s="496" t="str">
        <f>VLOOKUP(E1889,'2025'!E:N,10,0)</f>
        <v>Belarus</v>
      </c>
      <c r="P1889" s="880">
        <f>VLOOKUP(E1889,'2025'!E:O,11,0)</f>
        <v>45674</v>
      </c>
      <c r="Q1889" s="565">
        <f>VLOOKUP(E1889,'2025'!E:H,4,0)</f>
        <v>0</v>
      </c>
      <c r="R1889" s="565">
        <f>VLOOKUP(E1889,'2025'!E:I,5,0)</f>
        <v>61500</v>
      </c>
      <c r="S1889" s="565">
        <f>VLOOKUP(E1889,'2025'!E:J,6,0)</f>
        <v>0</v>
      </c>
      <c r="T1889" s="565">
        <f>VLOOKUP(E1889,'2025'!E:K,7,0)</f>
        <v>0</v>
      </c>
      <c r="U1889" s="565">
        <f t="shared" si="14"/>
        <v>61500</v>
      </c>
      <c r="V1889" s="354"/>
      <c r="W1889" s="569" t="e">
        <f>+VLOOKUP(D1889,'JOURNAL FACTURES'!A:O,15,0)</f>
        <v>#N/A</v>
      </c>
      <c r="X1889" s="569" t="e">
        <f>VLOOKUP(D1889,'JOURNAL FACTURES'!A:P,16,0)</f>
        <v>#N/A</v>
      </c>
      <c r="Y1889" s="569" t="e">
        <f>VLOOKUP(D1889,'JOURNAL FACTURES'!A:Q,17,0)</f>
        <v>#N/A</v>
      </c>
      <c r="Z1889" s="569" t="e">
        <f>VLOOKUP(D1889,'JOURNAL FACTURES'!A:R,18,0)</f>
        <v>#N/A</v>
      </c>
      <c r="AA1889" s="570" t="e">
        <f t="shared" si="15"/>
        <v>#N/A</v>
      </c>
      <c r="AB1889" s="570" t="e">
        <f t="shared" si="16"/>
        <v>#N/A</v>
      </c>
      <c r="AC1889" s="570" t="e">
        <f t="shared" si="17"/>
        <v>#N/A</v>
      </c>
      <c r="AD1889" s="570" t="e">
        <f t="shared" si="18"/>
        <v>#N/A</v>
      </c>
      <c r="AE1889" s="569">
        <f>VLOOKUP(D1889,TRANSPORT!H:J,3,0)</f>
        <v>0</v>
      </c>
      <c r="AF1889" s="569">
        <f>+VLOOKUP(D1889,TRANSPORT!N:O,2,0)</f>
        <v>0</v>
      </c>
      <c r="AG1889" s="569">
        <f t="shared" si="19"/>
        <v>0</v>
      </c>
      <c r="AH1889" s="571" t="e">
        <f t="shared" si="20"/>
        <v>#N/A</v>
      </c>
      <c r="AI1889" s="571" t="e">
        <f t="shared" si="21"/>
        <v>#N/A</v>
      </c>
      <c r="AJ1889" s="571" t="e">
        <f t="shared" si="22"/>
        <v>#N/A</v>
      </c>
      <c r="AK1889" s="571" t="e">
        <f t="shared" si="23"/>
        <v>#N/A</v>
      </c>
      <c r="AL1889" s="572">
        <f>VLOOKUP(D1889,'INTEGRATION PAR CLIENT '!A1284:J1312,10,0)</f>
        <v>0</v>
      </c>
      <c r="AM1889" s="572">
        <f>VLOOKUP(D1889,'INTEGRATION PAR CLIENT '!A1284:L1312,12,0)</f>
        <v>1</v>
      </c>
      <c r="AN1889" s="572">
        <f>+VLOOKUP(D1889,'INTEGRATION PAR CLIENT '!A1284:N1312,14,0)</f>
        <v>0</v>
      </c>
      <c r="AO1889" s="572">
        <f>+VLOOKUP(D1889,'INTEGRATION PAR CLIENT '!A1284:P1312,16,0)</f>
        <v>0</v>
      </c>
    </row>
    <row r="1890" spans="1:41">
      <c r="A1890" s="617">
        <v>10</v>
      </c>
      <c r="B1890" s="496" t="str">
        <f t="shared" si="9"/>
        <v>010</v>
      </c>
      <c r="C1890" s="496">
        <f t="shared" si="10"/>
        <v>0</v>
      </c>
      <c r="D1890" s="566" t="str">
        <f>'2025'!D11</f>
        <v>FAE-25-00010</v>
      </c>
      <c r="E1890" s="496" t="str">
        <f t="shared" si="11"/>
        <v>010</v>
      </c>
      <c r="F1890" s="567">
        <f>+'2025'!G11</f>
        <v>45668</v>
      </c>
      <c r="G1890" s="496">
        <f t="shared" si="12"/>
        <v>2025</v>
      </c>
      <c r="H1890" s="586" t="s">
        <v>17392</v>
      </c>
      <c r="I1890" s="496" t="str">
        <f>+VLOOKUP(H1890,Sheet1!A:C,3,0)</f>
        <v>WAHAT ALASIMA CO.FOR IMPORTING FOOD</v>
      </c>
      <c r="J1890" s="496" t="str">
        <f>+VLOOKUP(H1890,Sheet1!A:D,4,0)</f>
        <v>USD</v>
      </c>
      <c r="K1890" s="497">
        <f t="shared" si="13"/>
        <v>451073</v>
      </c>
      <c r="L1890" s="586">
        <v>3.2219500000000001</v>
      </c>
      <c r="M1890" s="587">
        <v>140000</v>
      </c>
      <c r="N1890" s="496" t="str">
        <f>+VLOOKUP(E1890,'2025'!E:F,2,0)</f>
        <v>OUI</v>
      </c>
      <c r="O1890" s="496" t="str">
        <f>VLOOKUP(E1890,'2025'!E:N,10,0)</f>
        <v>Libye</v>
      </c>
      <c r="P1890" s="880">
        <f>VLOOKUP(E1890,'2025'!E:O,11,0)</f>
        <v>45672</v>
      </c>
      <c r="Q1890" s="565">
        <f>VLOOKUP(E1890,'2025'!E:H,4,0)</f>
        <v>200000</v>
      </c>
      <c r="R1890" s="565">
        <f>VLOOKUP(E1890,'2025'!E:I,5,0)</f>
        <v>0</v>
      </c>
      <c r="S1890" s="565">
        <f>VLOOKUP(E1890,'2025'!E:J,6,0)</f>
        <v>0</v>
      </c>
      <c r="T1890" s="565">
        <f>VLOOKUP(E1890,'2025'!E:K,7,0)</f>
        <v>0</v>
      </c>
      <c r="U1890" s="565">
        <f t="shared" si="14"/>
        <v>200000</v>
      </c>
      <c r="V1890" s="354"/>
      <c r="W1890" s="569" t="e">
        <f>+VLOOKUP(D1890,'JOURNAL FACTURES'!A:O,15,0)</f>
        <v>#N/A</v>
      </c>
      <c r="X1890" s="569" t="e">
        <f>VLOOKUP(D1890,'JOURNAL FACTURES'!A:P,16,0)</f>
        <v>#N/A</v>
      </c>
      <c r="Y1890" s="569" t="e">
        <f>VLOOKUP(D1890,'JOURNAL FACTURES'!A:Q,17,0)</f>
        <v>#N/A</v>
      </c>
      <c r="Z1890" s="569" t="e">
        <f>VLOOKUP(D1890,'JOURNAL FACTURES'!A:R,18,0)</f>
        <v>#N/A</v>
      </c>
      <c r="AA1890" s="570" t="e">
        <f t="shared" si="15"/>
        <v>#N/A</v>
      </c>
      <c r="AB1890" s="570" t="e">
        <f t="shared" si="16"/>
        <v>#N/A</v>
      </c>
      <c r="AC1890" s="570" t="e">
        <f t="shared" si="17"/>
        <v>#N/A</v>
      </c>
      <c r="AD1890" s="570" t="e">
        <f t="shared" si="18"/>
        <v>#N/A</v>
      </c>
      <c r="AE1890" s="569">
        <f>VLOOKUP(D1890,TRANSPORT!H:J,3,0)</f>
        <v>0</v>
      </c>
      <c r="AF1890" s="569">
        <f>+VLOOKUP(D1890,TRANSPORT!N:O,2,0)</f>
        <v>0</v>
      </c>
      <c r="AG1890" s="569">
        <f t="shared" si="19"/>
        <v>0</v>
      </c>
      <c r="AH1890" s="571" t="e">
        <f t="shared" si="20"/>
        <v>#N/A</v>
      </c>
      <c r="AI1890" s="571" t="e">
        <f t="shared" si="21"/>
        <v>#N/A</v>
      </c>
      <c r="AJ1890" s="571" t="e">
        <f t="shared" si="22"/>
        <v>#N/A</v>
      </c>
      <c r="AK1890" s="571" t="e">
        <f t="shared" si="23"/>
        <v>#N/A</v>
      </c>
      <c r="AL1890" s="572">
        <f>VLOOKUP(D1890,'INTEGRATION PAR CLIENT '!A1285:J1313,10,0)</f>
        <v>1</v>
      </c>
      <c r="AM1890" s="572">
        <f>VLOOKUP(D1890,'INTEGRATION PAR CLIENT '!A1285:L1313,12,0)</f>
        <v>0</v>
      </c>
      <c r="AN1890" s="572">
        <f>+VLOOKUP(D1890,'INTEGRATION PAR CLIENT '!A1285:N1313,14,0)</f>
        <v>0</v>
      </c>
      <c r="AO1890" s="572">
        <f>+VLOOKUP(D1890,'INTEGRATION PAR CLIENT '!A1285:P1313,16,0)</f>
        <v>0</v>
      </c>
    </row>
    <row r="1891" spans="1:41">
      <c r="A1891" s="617">
        <v>11</v>
      </c>
      <c r="B1891" s="496" t="str">
        <f t="shared" si="9"/>
        <v>011</v>
      </c>
      <c r="C1891" s="496">
        <f t="shared" si="10"/>
        <v>0</v>
      </c>
      <c r="D1891" s="566" t="str">
        <f>'2025'!D12</f>
        <v>FAE-25-00011</v>
      </c>
      <c r="E1891" s="496" t="str">
        <f t="shared" si="11"/>
        <v>011</v>
      </c>
      <c r="F1891" s="567">
        <f>+'2025'!G12</f>
        <v>45672</v>
      </c>
      <c r="G1891" s="496">
        <f t="shared" si="12"/>
        <v>2025</v>
      </c>
      <c r="H1891" s="586" t="s">
        <v>16972</v>
      </c>
      <c r="I1891" s="496" t="str">
        <f>+VLOOKUP(H1891,Sheet1!A:C,3,0)</f>
        <v>STE OMEGA TRADING</v>
      </c>
      <c r="J1891" s="496" t="str">
        <f>+VLOOKUP(H1891,Sheet1!A:D,4,0)</f>
        <v>TND</v>
      </c>
      <c r="K1891" s="497">
        <f t="shared" si="13"/>
        <v>398750</v>
      </c>
      <c r="L1891" s="586">
        <v>1</v>
      </c>
      <c r="M1891" s="587">
        <v>398750</v>
      </c>
      <c r="N1891" s="496" t="str">
        <f>+VLOOKUP(E1891,'2025'!E:F,2,0)</f>
        <v>OUI</v>
      </c>
      <c r="O1891" s="496" t="str">
        <f>VLOOKUP(E1891,'2025'!E:N,10,0)</f>
        <v>Niger</v>
      </c>
      <c r="P1891" s="880">
        <f>VLOOKUP(E1891,'2025'!E:O,11,0)</f>
        <v>45679</v>
      </c>
      <c r="Q1891" s="565">
        <f>VLOOKUP(E1891,'2025'!E:H,4,0)</f>
        <v>0</v>
      </c>
      <c r="R1891" s="565">
        <f>VLOOKUP(E1891,'2025'!E:I,5,0)</f>
        <v>0</v>
      </c>
      <c r="S1891" s="565">
        <f>VLOOKUP(E1891,'2025'!E:J,6,0)</f>
        <v>275000</v>
      </c>
      <c r="T1891" s="565">
        <f>VLOOKUP(E1891,'2025'!E:K,7,0)</f>
        <v>0</v>
      </c>
      <c r="U1891" s="565">
        <f t="shared" si="14"/>
        <v>275000</v>
      </c>
      <c r="V1891" s="354"/>
      <c r="W1891" s="569" t="e">
        <f>+VLOOKUP(D1891,'JOURNAL FACTURES'!A:O,15,0)</f>
        <v>#N/A</v>
      </c>
      <c r="X1891" s="569" t="e">
        <f>VLOOKUP(D1891,'JOURNAL FACTURES'!A:P,16,0)</f>
        <v>#N/A</v>
      </c>
      <c r="Y1891" s="569" t="e">
        <f>VLOOKUP(D1891,'JOURNAL FACTURES'!A:Q,17,0)</f>
        <v>#N/A</v>
      </c>
      <c r="Z1891" s="569" t="e">
        <f>VLOOKUP(D1891,'JOURNAL FACTURES'!A:R,18,0)</f>
        <v>#N/A</v>
      </c>
      <c r="AA1891" s="570" t="e">
        <f t="shared" si="15"/>
        <v>#N/A</v>
      </c>
      <c r="AB1891" s="570" t="e">
        <f t="shared" si="16"/>
        <v>#N/A</v>
      </c>
      <c r="AC1891" s="570" t="e">
        <f t="shared" si="17"/>
        <v>#N/A</v>
      </c>
      <c r="AD1891" s="570" t="e">
        <f t="shared" si="18"/>
        <v>#N/A</v>
      </c>
      <c r="AE1891" s="569">
        <f>VLOOKUP(D1891,TRANSPORT!H:J,3,0)</f>
        <v>0</v>
      </c>
      <c r="AF1891" s="569">
        <f>+VLOOKUP(D1891,TRANSPORT!N:O,2,0)</f>
        <v>0</v>
      </c>
      <c r="AG1891" s="569">
        <f t="shared" si="19"/>
        <v>0</v>
      </c>
      <c r="AH1891" s="571" t="e">
        <f t="shared" si="20"/>
        <v>#N/A</v>
      </c>
      <c r="AI1891" s="571" t="e">
        <f t="shared" si="21"/>
        <v>#N/A</v>
      </c>
      <c r="AJ1891" s="571" t="e">
        <f t="shared" si="22"/>
        <v>#N/A</v>
      </c>
      <c r="AK1891" s="571" t="e">
        <f t="shared" si="23"/>
        <v>#N/A</v>
      </c>
      <c r="AL1891" s="572">
        <f>VLOOKUP(D1891,'INTEGRATION PAR CLIENT '!A1286:J1314,10,0)</f>
        <v>0</v>
      </c>
      <c r="AM1891" s="572">
        <f>VLOOKUP(D1891,'INTEGRATION PAR CLIENT '!A1286:L1314,12,0)</f>
        <v>0</v>
      </c>
      <c r="AN1891" s="572" t="str">
        <f>+VLOOKUP(D1891,'INTEGRATION PAR CLIENT '!A1286:N1314,14,0)</f>
        <v>10%-90%</v>
      </c>
      <c r="AO1891" s="572">
        <f>+VLOOKUP(D1891,'INTEGRATION PAR CLIENT '!A1286:P1314,16,0)</f>
        <v>0</v>
      </c>
    </row>
    <row r="1892" spans="1:41">
      <c r="A1892" s="617">
        <v>12</v>
      </c>
      <c r="B1892" s="496" t="str">
        <f t="shared" si="9"/>
        <v>012</v>
      </c>
      <c r="C1892" s="496">
        <f t="shared" si="10"/>
        <v>0</v>
      </c>
      <c r="D1892" s="566" t="str">
        <f>'2025'!D13</f>
        <v>FAE-25-00012</v>
      </c>
      <c r="E1892" s="496" t="str">
        <f t="shared" si="11"/>
        <v>012</v>
      </c>
      <c r="F1892" s="567">
        <f>+'2025'!G13</f>
        <v>45672</v>
      </c>
      <c r="G1892" s="496">
        <f t="shared" si="12"/>
        <v>2025</v>
      </c>
      <c r="H1892" s="586" t="s">
        <v>16838</v>
      </c>
      <c r="I1892" s="496" t="str">
        <f>+VLOOKUP(H1892,Sheet1!A:C,3,0)</f>
        <v>TUNISIAN AFRICAN BUSINESS</v>
      </c>
      <c r="J1892" s="496" t="str">
        <f>+VLOOKUP(H1892,Sheet1!A:D,4,0)</f>
        <v>TND</v>
      </c>
      <c r="K1892" s="497">
        <f t="shared" si="13"/>
        <v>45235</v>
      </c>
      <c r="L1892" s="586">
        <v>1</v>
      </c>
      <c r="M1892" s="587">
        <v>45235</v>
      </c>
      <c r="N1892" s="496" t="str">
        <f>+VLOOKUP(E1892,'2025'!E:F,2,0)</f>
        <v>OUI</v>
      </c>
      <c r="O1892" s="496" t="str">
        <f>VLOOKUP(E1892,'2025'!E:N,10,0)</f>
        <v>Australie</v>
      </c>
      <c r="P1892" s="880">
        <f>VLOOKUP(E1892,'2025'!E:O,11,0)</f>
        <v>45685</v>
      </c>
      <c r="Q1892" s="565">
        <f>VLOOKUP(E1892,'2025'!E:H,4,0)</f>
        <v>20750</v>
      </c>
      <c r="R1892" s="565">
        <f>VLOOKUP(E1892,'2025'!E:I,5,0)</f>
        <v>0</v>
      </c>
      <c r="S1892" s="565">
        <f>VLOOKUP(E1892,'2025'!E:J,6,0)</f>
        <v>0</v>
      </c>
      <c r="T1892" s="565">
        <f>VLOOKUP(E1892,'2025'!E:K,7,0)</f>
        <v>0</v>
      </c>
      <c r="U1892" s="565">
        <f t="shared" si="14"/>
        <v>20750</v>
      </c>
      <c r="V1892" s="354"/>
      <c r="W1892" s="569" t="e">
        <f>+VLOOKUP(D1892,'JOURNAL FACTURES'!A:O,15,0)</f>
        <v>#N/A</v>
      </c>
      <c r="X1892" s="569" t="e">
        <f>VLOOKUP(D1892,'JOURNAL FACTURES'!A:P,16,0)</f>
        <v>#N/A</v>
      </c>
      <c r="Y1892" s="569" t="e">
        <f>VLOOKUP(D1892,'JOURNAL FACTURES'!A:Q,17,0)</f>
        <v>#N/A</v>
      </c>
      <c r="Z1892" s="569" t="e">
        <f>VLOOKUP(D1892,'JOURNAL FACTURES'!A:R,18,0)</f>
        <v>#N/A</v>
      </c>
      <c r="AA1892" s="570" t="e">
        <f t="shared" si="15"/>
        <v>#N/A</v>
      </c>
      <c r="AB1892" s="570" t="e">
        <f t="shared" si="16"/>
        <v>#N/A</v>
      </c>
      <c r="AC1892" s="570" t="e">
        <f t="shared" si="17"/>
        <v>#N/A</v>
      </c>
      <c r="AD1892" s="570" t="e">
        <f t="shared" si="18"/>
        <v>#N/A</v>
      </c>
      <c r="AE1892" s="569">
        <f>VLOOKUP(D1892,TRANSPORT!H:J,3,0)</f>
        <v>0</v>
      </c>
      <c r="AF1892" s="569">
        <f>+VLOOKUP(D1892,TRANSPORT!N:O,2,0)</f>
        <v>0</v>
      </c>
      <c r="AG1892" s="569">
        <f t="shared" si="19"/>
        <v>0</v>
      </c>
      <c r="AH1892" s="571" t="e">
        <f t="shared" si="20"/>
        <v>#N/A</v>
      </c>
      <c r="AI1892" s="571" t="e">
        <f t="shared" si="21"/>
        <v>#N/A</v>
      </c>
      <c r="AJ1892" s="571" t="e">
        <f t="shared" si="22"/>
        <v>#N/A</v>
      </c>
      <c r="AK1892" s="571" t="e">
        <f t="shared" si="23"/>
        <v>#N/A</v>
      </c>
      <c r="AL1892" s="572">
        <f>VLOOKUP(D1892,'INTEGRATION PAR CLIENT '!A1287:J1315,10,0)</f>
        <v>1</v>
      </c>
      <c r="AM1892" s="572">
        <f>VLOOKUP(D1892,'INTEGRATION PAR CLIENT '!A1287:L1315,12,0)</f>
        <v>0</v>
      </c>
      <c r="AN1892" s="572">
        <f>+VLOOKUP(D1892,'INTEGRATION PAR CLIENT '!A1287:N1315,14,0)</f>
        <v>0</v>
      </c>
      <c r="AO1892" s="572">
        <f>+VLOOKUP(D1892,'INTEGRATION PAR CLIENT '!A1287:P1315,16,0)</f>
        <v>0</v>
      </c>
    </row>
    <row r="1893" spans="1:41">
      <c r="A1893" s="617">
        <v>13</v>
      </c>
      <c r="B1893" s="496" t="str">
        <f t="shared" si="9"/>
        <v>013</v>
      </c>
      <c r="C1893" s="496">
        <f t="shared" si="10"/>
        <v>0</v>
      </c>
      <c r="D1893" s="566" t="str">
        <f>'2025'!D14</f>
        <v>FAE-25-00013</v>
      </c>
      <c r="E1893" s="496" t="str">
        <f t="shared" si="11"/>
        <v>013</v>
      </c>
      <c r="F1893" s="567">
        <f>+'2025'!G14</f>
        <v>45672</v>
      </c>
      <c r="G1893" s="496">
        <f t="shared" si="12"/>
        <v>2025</v>
      </c>
      <c r="H1893" s="586" t="s">
        <v>16384</v>
      </c>
      <c r="I1893" s="496" t="str">
        <f>+VLOOKUP(H1893,Sheet1!A:C,3,0)</f>
        <v>STE DE COMMERCE INTERNATIONAL</v>
      </c>
      <c r="J1893" s="496" t="str">
        <f>+VLOOKUP(H1893,Sheet1!A:D,4,0)</f>
        <v>TND</v>
      </c>
      <c r="K1893" s="497">
        <f t="shared" si="13"/>
        <v>157056</v>
      </c>
      <c r="L1893" s="586">
        <v>1</v>
      </c>
      <c r="M1893" s="587">
        <v>157056</v>
      </c>
      <c r="N1893" s="496" t="str">
        <f>+VLOOKUP(E1893,'2025'!E:F,2,0)</f>
        <v>OUI</v>
      </c>
      <c r="O1893" s="496" t="str">
        <f>VLOOKUP(E1893,'2025'!E:N,10,0)</f>
        <v>Gambie</v>
      </c>
      <c r="P1893" s="880">
        <f>VLOOKUP(E1893,'2025'!E:O,11,0)</f>
        <v>45681</v>
      </c>
      <c r="Q1893" s="565">
        <f>VLOOKUP(E1893,'2025'!E:H,4,0)</f>
        <v>76800</v>
      </c>
      <c r="R1893" s="565">
        <f>VLOOKUP(E1893,'2025'!E:I,5,0)</f>
        <v>0</v>
      </c>
      <c r="S1893" s="565">
        <f>VLOOKUP(E1893,'2025'!E:J,6,0)</f>
        <v>0</v>
      </c>
      <c r="T1893" s="565">
        <f>VLOOKUP(E1893,'2025'!E:K,7,0)</f>
        <v>0</v>
      </c>
      <c r="U1893" s="565">
        <f t="shared" si="14"/>
        <v>76800</v>
      </c>
      <c r="V1893" s="354"/>
      <c r="W1893" s="569" t="e">
        <f>+VLOOKUP(D1893,'JOURNAL FACTURES'!A:O,15,0)</f>
        <v>#N/A</v>
      </c>
      <c r="X1893" s="569" t="e">
        <f>VLOOKUP(D1893,'JOURNAL FACTURES'!A:P,16,0)</f>
        <v>#N/A</v>
      </c>
      <c r="Y1893" s="569" t="e">
        <f>VLOOKUP(D1893,'JOURNAL FACTURES'!A:Q,17,0)</f>
        <v>#N/A</v>
      </c>
      <c r="Z1893" s="569" t="e">
        <f>VLOOKUP(D1893,'JOURNAL FACTURES'!A:R,18,0)</f>
        <v>#N/A</v>
      </c>
      <c r="AA1893" s="570" t="e">
        <f t="shared" si="15"/>
        <v>#N/A</v>
      </c>
      <c r="AB1893" s="570" t="e">
        <f t="shared" si="16"/>
        <v>#N/A</v>
      </c>
      <c r="AC1893" s="570" t="e">
        <f t="shared" si="17"/>
        <v>#N/A</v>
      </c>
      <c r="AD1893" s="570" t="e">
        <f t="shared" si="18"/>
        <v>#N/A</v>
      </c>
      <c r="AE1893" s="569">
        <f>VLOOKUP(D1893,TRANSPORT!H:J,3,0)</f>
        <v>0</v>
      </c>
      <c r="AF1893" s="569">
        <f>+VLOOKUP(D1893,TRANSPORT!N:O,2,0)</f>
        <v>0</v>
      </c>
      <c r="AG1893" s="569">
        <f t="shared" si="19"/>
        <v>0</v>
      </c>
      <c r="AH1893" s="571" t="e">
        <f t="shared" si="20"/>
        <v>#N/A</v>
      </c>
      <c r="AI1893" s="571" t="e">
        <f t="shared" si="21"/>
        <v>#N/A</v>
      </c>
      <c r="AJ1893" s="571" t="e">
        <f t="shared" si="22"/>
        <v>#N/A</v>
      </c>
      <c r="AK1893" s="571" t="e">
        <f t="shared" si="23"/>
        <v>#N/A</v>
      </c>
      <c r="AL1893" s="572">
        <f>VLOOKUP(D1893,'INTEGRATION PAR CLIENT '!A1288:J1316,10,0)</f>
        <v>1</v>
      </c>
      <c r="AM1893" s="572">
        <f>VLOOKUP(D1893,'INTEGRATION PAR CLIENT '!A1288:L1316,12,0)</f>
        <v>0</v>
      </c>
      <c r="AN1893" s="572">
        <f>+VLOOKUP(D1893,'INTEGRATION PAR CLIENT '!A1288:N1316,14,0)</f>
        <v>0</v>
      </c>
      <c r="AO1893" s="572">
        <f>+VLOOKUP(D1893,'INTEGRATION PAR CLIENT '!A1288:P1316,16,0)</f>
        <v>0</v>
      </c>
    </row>
    <row r="1894" spans="1:41">
      <c r="A1894" s="617">
        <v>14</v>
      </c>
      <c r="B1894" s="496" t="str">
        <f t="shared" si="9"/>
        <v>014</v>
      </c>
      <c r="C1894" s="496">
        <f t="shared" si="10"/>
        <v>0</v>
      </c>
      <c r="D1894" s="566" t="str">
        <f>'2025'!D15</f>
        <v>FAE-25-00014</v>
      </c>
      <c r="E1894" s="496" t="str">
        <f t="shared" si="11"/>
        <v>014</v>
      </c>
      <c r="F1894" s="567">
        <f>+'2025'!G15</f>
        <v>45672</v>
      </c>
      <c r="G1894" s="496">
        <f t="shared" si="12"/>
        <v>2025</v>
      </c>
      <c r="H1894" s="586" t="s">
        <v>17304</v>
      </c>
      <c r="I1894" s="496" t="str">
        <f>+VLOOKUP(H1894,Sheet1!A:C,3,0)</f>
        <v>SAFA FOOD</v>
      </c>
      <c r="J1894" s="496" t="str">
        <f>+VLOOKUP(H1894,Sheet1!A:D,4,0)</f>
        <v>CAD</v>
      </c>
      <c r="K1894" s="497">
        <f t="shared" si="13"/>
        <v>94457.560104000004</v>
      </c>
      <c r="L1894" s="586">
        <v>2.2221000000000002</v>
      </c>
      <c r="M1894" s="587">
        <v>42508.24</v>
      </c>
      <c r="N1894" s="496" t="str">
        <f>+VLOOKUP(E1894,'2025'!E:F,2,0)</f>
        <v>OUI</v>
      </c>
      <c r="O1894" s="496" t="str">
        <f>VLOOKUP(E1894,'2025'!E:N,10,0)</f>
        <v>Canada</v>
      </c>
      <c r="P1894" s="880">
        <f>VLOOKUP(E1894,'2025'!E:O,11,0)</f>
        <v>45685</v>
      </c>
      <c r="Q1894" s="565">
        <f>VLOOKUP(E1894,'2025'!E:H,4,0)</f>
        <v>4000</v>
      </c>
      <c r="R1894" s="565">
        <f>VLOOKUP(E1894,'2025'!E:I,5,0)</f>
        <v>13962</v>
      </c>
      <c r="S1894" s="565">
        <f>VLOOKUP(E1894,'2025'!E:J,6,0)</f>
        <v>1440</v>
      </c>
      <c r="T1894" s="565">
        <f>VLOOKUP(E1894,'2025'!E:K,7,0)</f>
        <v>6300</v>
      </c>
      <c r="U1894" s="565">
        <f t="shared" si="14"/>
        <v>25702</v>
      </c>
      <c r="V1894" s="354"/>
      <c r="W1894" s="569" t="e">
        <f>+VLOOKUP(D1894,'JOURNAL FACTURES'!A:O,15,0)</f>
        <v>#N/A</v>
      </c>
      <c r="X1894" s="569" t="e">
        <f>VLOOKUP(D1894,'JOURNAL FACTURES'!A:P,16,0)</f>
        <v>#N/A</v>
      </c>
      <c r="Y1894" s="569" t="e">
        <f>VLOOKUP(D1894,'JOURNAL FACTURES'!A:Q,17,0)</f>
        <v>#N/A</v>
      </c>
      <c r="Z1894" s="569" t="e">
        <f>VLOOKUP(D1894,'JOURNAL FACTURES'!A:R,18,0)</f>
        <v>#N/A</v>
      </c>
      <c r="AA1894" s="570" t="e">
        <f t="shared" si="15"/>
        <v>#N/A</v>
      </c>
      <c r="AB1894" s="570" t="e">
        <f t="shared" si="16"/>
        <v>#N/A</v>
      </c>
      <c r="AC1894" s="570" t="e">
        <f t="shared" si="17"/>
        <v>#N/A</v>
      </c>
      <c r="AD1894" s="570" t="e">
        <f t="shared" si="18"/>
        <v>#N/A</v>
      </c>
      <c r="AE1894" s="569">
        <f>VLOOKUP(D1894,TRANSPORT!H:J,3,0)</f>
        <v>1606.982</v>
      </c>
      <c r="AF1894" s="569">
        <f>+VLOOKUP(D1894,TRANSPORT!N:O,2,0)</f>
        <v>15964.754999999999</v>
      </c>
      <c r="AG1894" s="569">
        <f t="shared" si="19"/>
        <v>0.62114835421367987</v>
      </c>
      <c r="AH1894" s="571" t="e">
        <f t="shared" si="20"/>
        <v>#N/A</v>
      </c>
      <c r="AI1894" s="571" t="e">
        <f t="shared" si="21"/>
        <v>#N/A</v>
      </c>
      <c r="AJ1894" s="571" t="e">
        <f t="shared" si="22"/>
        <v>#N/A</v>
      </c>
      <c r="AK1894" s="571" t="e">
        <f t="shared" si="23"/>
        <v>#N/A</v>
      </c>
      <c r="AL1894" s="572">
        <f>VLOOKUP(D1894,'INTEGRATION PAR CLIENT '!A1289:J1317,10,0)</f>
        <v>1</v>
      </c>
      <c r="AM1894" s="572">
        <f>VLOOKUP(D1894,'INTEGRATION PAR CLIENT '!A1289:L1317,12,0)</f>
        <v>1</v>
      </c>
      <c r="AN1894" s="572">
        <f>+VLOOKUP(D1894,'INTEGRATION PAR CLIENT '!A1289:N1317,14,0)</f>
        <v>1</v>
      </c>
      <c r="AO1894" s="572">
        <f>+VLOOKUP(D1894,'INTEGRATION PAR CLIENT '!A1289:P1317,16,0)</f>
        <v>1</v>
      </c>
    </row>
    <row r="1895" spans="1:41">
      <c r="A1895" s="617">
        <v>15</v>
      </c>
      <c r="B1895" s="496" t="str">
        <f t="shared" si="9"/>
        <v>015</v>
      </c>
      <c r="C1895" s="496">
        <f t="shared" si="10"/>
        <v>0</v>
      </c>
      <c r="D1895" s="566" t="str">
        <f>'2025'!D16</f>
        <v>FAE-25-00015</v>
      </c>
      <c r="E1895" s="496" t="str">
        <f t="shared" si="11"/>
        <v>015</v>
      </c>
      <c r="F1895" s="567">
        <f>+'2025'!G16</f>
        <v>45672</v>
      </c>
      <c r="G1895" s="496">
        <f t="shared" si="12"/>
        <v>2025</v>
      </c>
      <c r="H1895" s="586" t="s">
        <v>16643</v>
      </c>
      <c r="I1895" s="496" t="str">
        <f>+VLOOKUP(H1895,Sheet1!A:C,3,0)</f>
        <v>BAH MAMADOU SALIOU</v>
      </c>
      <c r="J1895" s="496" t="str">
        <f>+VLOOKUP(H1895,Sheet1!A:D,4,0)</f>
        <v>EUR</v>
      </c>
      <c r="K1895" s="497">
        <f t="shared" si="13"/>
        <v>187089.80711999998</v>
      </c>
      <c r="L1895" s="586">
        <v>3.3281000000000001</v>
      </c>
      <c r="M1895" s="587">
        <v>56215.199999999997</v>
      </c>
      <c r="N1895" s="496" t="str">
        <f>+VLOOKUP(E1895,'2025'!E:F,2,0)</f>
        <v>OUI</v>
      </c>
      <c r="O1895" s="496" t="str">
        <f>VLOOKUP(E1895,'2025'!E:N,10,0)</f>
        <v>Guinée</v>
      </c>
      <c r="P1895" s="880">
        <f>VLOOKUP(E1895,'2025'!E:O,11,0)</f>
        <v>45681</v>
      </c>
      <c r="Q1895" s="565">
        <f>VLOOKUP(E1895,'2025'!E:H,4,0)</f>
        <v>0</v>
      </c>
      <c r="R1895" s="565">
        <f>VLOOKUP(E1895,'2025'!E:I,5,0)</f>
        <v>86040</v>
      </c>
      <c r="S1895" s="565">
        <f>VLOOKUP(E1895,'2025'!E:J,6,0)</f>
        <v>0</v>
      </c>
      <c r="T1895" s="565">
        <f>VLOOKUP(E1895,'2025'!E:K,7,0)</f>
        <v>0</v>
      </c>
      <c r="U1895" s="565">
        <f t="shared" si="14"/>
        <v>86040</v>
      </c>
      <c r="V1895" s="354"/>
      <c r="W1895" s="569" t="e">
        <f>+VLOOKUP(D1895,'JOURNAL FACTURES'!A:O,15,0)</f>
        <v>#N/A</v>
      </c>
      <c r="X1895" s="569" t="e">
        <f>VLOOKUP(D1895,'JOURNAL FACTURES'!A:P,16,0)</f>
        <v>#N/A</v>
      </c>
      <c r="Y1895" s="569" t="e">
        <f>VLOOKUP(D1895,'JOURNAL FACTURES'!A:Q,17,0)</f>
        <v>#N/A</v>
      </c>
      <c r="Z1895" s="569" t="e">
        <f>VLOOKUP(D1895,'JOURNAL FACTURES'!A:R,18,0)</f>
        <v>#N/A</v>
      </c>
      <c r="AA1895" s="570" t="e">
        <f t="shared" si="15"/>
        <v>#N/A</v>
      </c>
      <c r="AB1895" s="570" t="e">
        <f t="shared" si="16"/>
        <v>#N/A</v>
      </c>
      <c r="AC1895" s="570" t="e">
        <f t="shared" si="17"/>
        <v>#N/A</v>
      </c>
      <c r="AD1895" s="570" t="e">
        <f t="shared" si="18"/>
        <v>#N/A</v>
      </c>
      <c r="AE1895" s="569">
        <f>VLOOKUP(D1895,TRANSPORT!H:J,3,0)</f>
        <v>4680</v>
      </c>
      <c r="AF1895" s="569">
        <f>+VLOOKUP(D1895,TRANSPORT!N:O,2,0)</f>
        <v>29884.6</v>
      </c>
      <c r="AG1895" s="569">
        <f t="shared" si="19"/>
        <v>0.34733379823337979</v>
      </c>
      <c r="AH1895" s="571" t="e">
        <f t="shared" si="20"/>
        <v>#N/A</v>
      </c>
      <c r="AI1895" s="571" t="e">
        <f t="shared" si="21"/>
        <v>#N/A</v>
      </c>
      <c r="AJ1895" s="571" t="e">
        <f t="shared" si="22"/>
        <v>#N/A</v>
      </c>
      <c r="AK1895" s="571" t="e">
        <f t="shared" si="23"/>
        <v>#N/A</v>
      </c>
      <c r="AL1895" s="572">
        <f>VLOOKUP(D1895,'INTEGRATION PAR CLIENT '!A1290:J1318,10,0)</f>
        <v>0</v>
      </c>
      <c r="AM1895" s="572" t="str">
        <f>VLOOKUP(D1895,'INTEGRATION PAR CLIENT '!A1290:L1318,12,0)</f>
        <v>30%S-70%F</v>
      </c>
      <c r="AN1895" s="572">
        <f>+VLOOKUP(D1895,'INTEGRATION PAR CLIENT '!A1290:N1318,14,0)</f>
        <v>0</v>
      </c>
      <c r="AO1895" s="572">
        <f>+VLOOKUP(D1895,'INTEGRATION PAR CLIENT '!A1290:P1318,16,0)</f>
        <v>0</v>
      </c>
    </row>
    <row r="1896" spans="1:41">
      <c r="A1896" s="617">
        <v>16</v>
      </c>
      <c r="B1896" s="496" t="str">
        <f t="shared" si="9"/>
        <v>016</v>
      </c>
      <c r="C1896" s="496">
        <f t="shared" si="10"/>
        <v>0</v>
      </c>
      <c r="D1896" s="566" t="str">
        <f>'2025'!D17</f>
        <v>FAE-25-00016</v>
      </c>
      <c r="E1896" s="496" t="str">
        <f t="shared" si="11"/>
        <v>016</v>
      </c>
      <c r="F1896" s="567">
        <f>+'2025'!G17</f>
        <v>45672</v>
      </c>
      <c r="G1896" s="496">
        <f t="shared" si="12"/>
        <v>2025</v>
      </c>
      <c r="H1896" s="586" t="s">
        <v>16957</v>
      </c>
      <c r="I1896" s="496" t="str">
        <f>+VLOOKUP(H1896,Sheet1!A:C,3,0)</f>
        <v>ANGSTREM TRADING</v>
      </c>
      <c r="J1896" s="496" t="str">
        <f>+VLOOKUP(H1896,Sheet1!A:D,4,0)</f>
        <v>USD</v>
      </c>
      <c r="K1896" s="497">
        <f t="shared" si="13"/>
        <v>95587.483887499999</v>
      </c>
      <c r="L1896" s="586">
        <v>3.1956500000000001</v>
      </c>
      <c r="M1896" s="587">
        <v>29911.75</v>
      </c>
      <c r="N1896" s="496" t="str">
        <f>+VLOOKUP(E1896,'2025'!E:F,2,0)</f>
        <v>OUI</v>
      </c>
      <c r="O1896" s="496" t="str">
        <f>VLOOKUP(E1896,'2025'!E:N,10,0)</f>
        <v>Russie</v>
      </c>
      <c r="P1896" s="880">
        <f>VLOOKUP(E1896,'2025'!E:O,11,0)</f>
        <v>45680</v>
      </c>
      <c r="Q1896" s="565">
        <f>VLOOKUP(E1896,'2025'!E:H,4,0)</f>
        <v>40300</v>
      </c>
      <c r="R1896" s="565">
        <f>VLOOKUP(E1896,'2025'!E:I,5,0)</f>
        <v>0</v>
      </c>
      <c r="S1896" s="565">
        <f>VLOOKUP(E1896,'2025'!E:J,6,0)</f>
        <v>0</v>
      </c>
      <c r="T1896" s="565">
        <f>VLOOKUP(E1896,'2025'!E:K,7,0)</f>
        <v>0</v>
      </c>
      <c r="U1896" s="565">
        <f t="shared" si="14"/>
        <v>40300</v>
      </c>
      <c r="V1896" s="354"/>
      <c r="W1896" s="569" t="e">
        <f>+VLOOKUP(D1896,'JOURNAL FACTURES'!A:O,15,0)</f>
        <v>#N/A</v>
      </c>
      <c r="X1896" s="569" t="e">
        <f>VLOOKUP(D1896,'JOURNAL FACTURES'!A:P,16,0)</f>
        <v>#N/A</v>
      </c>
      <c r="Y1896" s="569" t="e">
        <f>VLOOKUP(D1896,'JOURNAL FACTURES'!A:Q,17,0)</f>
        <v>#N/A</v>
      </c>
      <c r="Z1896" s="569" t="e">
        <f>VLOOKUP(D1896,'JOURNAL FACTURES'!A:R,18,0)</f>
        <v>#N/A</v>
      </c>
      <c r="AA1896" s="570" t="e">
        <f t="shared" si="15"/>
        <v>#N/A</v>
      </c>
      <c r="AB1896" s="570" t="e">
        <f t="shared" si="16"/>
        <v>#N/A</v>
      </c>
      <c r="AC1896" s="570" t="e">
        <f t="shared" si="17"/>
        <v>#N/A</v>
      </c>
      <c r="AD1896" s="570" t="e">
        <f t="shared" si="18"/>
        <v>#N/A</v>
      </c>
      <c r="AE1896" s="569">
        <f>VLOOKUP(D1896,TRANSPORT!H:J,3,0)</f>
        <v>1308.3980000000001</v>
      </c>
      <c r="AF1896" s="569">
        <f>+VLOOKUP(D1896,TRANSPORT!N:O,2,0)</f>
        <v>12048.41</v>
      </c>
      <c r="AG1896" s="569">
        <f t="shared" si="19"/>
        <v>0.29896799007444169</v>
      </c>
      <c r="AH1896" s="571" t="e">
        <f t="shared" si="20"/>
        <v>#N/A</v>
      </c>
      <c r="AI1896" s="571" t="e">
        <f t="shared" si="21"/>
        <v>#N/A</v>
      </c>
      <c r="AJ1896" s="571" t="e">
        <f t="shared" si="22"/>
        <v>#N/A</v>
      </c>
      <c r="AK1896" s="571" t="e">
        <f t="shared" si="23"/>
        <v>#N/A</v>
      </c>
      <c r="AL1896" s="572">
        <f>VLOOKUP(D1896,'INTEGRATION PAR CLIENT '!A1291:J1319,10,0)</f>
        <v>1</v>
      </c>
      <c r="AM1896" s="572">
        <f>VLOOKUP(D1896,'INTEGRATION PAR CLIENT '!A1291:L1319,12,0)</f>
        <v>0</v>
      </c>
      <c r="AN1896" s="572">
        <f>+VLOOKUP(D1896,'INTEGRATION PAR CLIENT '!A1291:N1319,14,0)</f>
        <v>0</v>
      </c>
      <c r="AO1896" s="572">
        <f>+VLOOKUP(D1896,'INTEGRATION PAR CLIENT '!A1291:P1319,16,0)</f>
        <v>0</v>
      </c>
    </row>
    <row r="1897" spans="1:41">
      <c r="A1897" s="617">
        <v>17</v>
      </c>
      <c r="B1897" s="496" t="str">
        <f t="shared" si="9"/>
        <v>017</v>
      </c>
      <c r="C1897" s="496">
        <f t="shared" si="10"/>
        <v>0</v>
      </c>
      <c r="D1897" s="566" t="str">
        <f>'2025'!D18</f>
        <v>FAE-25-00017</v>
      </c>
      <c r="E1897" s="496" t="str">
        <f t="shared" si="11"/>
        <v>017</v>
      </c>
      <c r="F1897" s="567">
        <f>+'2025'!G18</f>
        <v>45672</v>
      </c>
      <c r="G1897" s="496">
        <f t="shared" si="12"/>
        <v>2025</v>
      </c>
      <c r="H1897" s="586" t="s">
        <v>17299</v>
      </c>
      <c r="I1897" s="496" t="str">
        <f>+VLOOKUP(H1897,Sheet1!A:C,3,0)</f>
        <v>LAMP FALL IMP EXP - LAFFIMEX</v>
      </c>
      <c r="J1897" s="496" t="str">
        <f>+VLOOKUP(H1897,Sheet1!A:D,4,0)</f>
        <v>EUR</v>
      </c>
      <c r="K1897" s="497">
        <f t="shared" si="13"/>
        <v>296222.11680000002</v>
      </c>
      <c r="L1897" s="586">
        <v>3.3252000000000002</v>
      </c>
      <c r="M1897" s="587">
        <v>89084</v>
      </c>
      <c r="N1897" s="496" t="str">
        <f>+VLOOKUP(E1897,'2025'!E:F,2,0)</f>
        <v>OUI</v>
      </c>
      <c r="O1897" s="496" t="str">
        <f>VLOOKUP(E1897,'2025'!E:N,10,0)</f>
        <v>Senegal</v>
      </c>
      <c r="P1897" s="880">
        <f>VLOOKUP(E1897,'2025'!E:O,11,0)</f>
        <v>45707</v>
      </c>
      <c r="Q1897" s="565">
        <f>VLOOKUP(E1897,'2025'!E:H,4,0)</f>
        <v>134400</v>
      </c>
      <c r="R1897" s="565">
        <f>VLOOKUP(E1897,'2025'!E:I,5,0)</f>
        <v>0</v>
      </c>
      <c r="S1897" s="565">
        <f>VLOOKUP(E1897,'2025'!E:J,6,0)</f>
        <v>0</v>
      </c>
      <c r="T1897" s="565">
        <f>VLOOKUP(E1897,'2025'!E:K,7,0)</f>
        <v>0</v>
      </c>
      <c r="U1897" s="565">
        <f t="shared" si="14"/>
        <v>134400</v>
      </c>
      <c r="V1897" s="354"/>
      <c r="W1897" s="569" t="e">
        <f>+VLOOKUP(D1897,'JOURNAL FACTURES'!A:O,15,0)</f>
        <v>#N/A</v>
      </c>
      <c r="X1897" s="569" t="e">
        <f>VLOOKUP(D1897,'JOURNAL FACTURES'!A:P,16,0)</f>
        <v>#N/A</v>
      </c>
      <c r="Y1897" s="569" t="e">
        <f>VLOOKUP(D1897,'JOURNAL FACTURES'!A:Q,17,0)</f>
        <v>#N/A</v>
      </c>
      <c r="Z1897" s="569" t="e">
        <f>VLOOKUP(D1897,'JOURNAL FACTURES'!A:R,18,0)</f>
        <v>#N/A</v>
      </c>
      <c r="AA1897" s="570" t="e">
        <f t="shared" si="15"/>
        <v>#N/A</v>
      </c>
      <c r="AB1897" s="570" t="e">
        <f t="shared" si="16"/>
        <v>#N/A</v>
      </c>
      <c r="AC1897" s="570" t="e">
        <f t="shared" si="17"/>
        <v>#N/A</v>
      </c>
      <c r="AD1897" s="570" t="e">
        <f t="shared" si="18"/>
        <v>#N/A</v>
      </c>
      <c r="AE1897" s="569">
        <f>VLOOKUP(D1897,TRANSPORT!H:J,3,0)</f>
        <v>6371.7360000000008</v>
      </c>
      <c r="AF1897" s="569">
        <f>+VLOOKUP(D1897,TRANSPORT!N:O,2,0)</f>
        <v>43435.05</v>
      </c>
      <c r="AG1897" s="569">
        <f t="shared" si="19"/>
        <v>0.32317745535714287</v>
      </c>
      <c r="AH1897" s="571" t="e">
        <f t="shared" si="20"/>
        <v>#N/A</v>
      </c>
      <c r="AI1897" s="571" t="e">
        <f t="shared" si="21"/>
        <v>#N/A</v>
      </c>
      <c r="AJ1897" s="571" t="e">
        <f t="shared" si="22"/>
        <v>#N/A</v>
      </c>
      <c r="AK1897" s="571" t="e">
        <f t="shared" si="23"/>
        <v>#N/A</v>
      </c>
      <c r="AL1897" s="572">
        <f>VLOOKUP(D1897,'INTEGRATION PAR CLIENT '!A1292:J1320,10,0)</f>
        <v>1</v>
      </c>
      <c r="AM1897" s="572">
        <f>VLOOKUP(D1897,'INTEGRATION PAR CLIENT '!A1292:L1320,12,0)</f>
        <v>0</v>
      </c>
      <c r="AN1897" s="572">
        <f>+VLOOKUP(D1897,'INTEGRATION PAR CLIENT '!A1292:N1320,14,0)</f>
        <v>0</v>
      </c>
      <c r="AO1897" s="572">
        <f>+VLOOKUP(D1897,'INTEGRATION PAR CLIENT '!A1292:P1320,16,0)</f>
        <v>0</v>
      </c>
    </row>
    <row r="1898" spans="1:41">
      <c r="A1898" s="617">
        <v>18</v>
      </c>
      <c r="B1898" s="496" t="str">
        <f t="shared" si="9"/>
        <v>018</v>
      </c>
      <c r="C1898" s="496">
        <f t="shared" si="10"/>
        <v>0</v>
      </c>
      <c r="D1898" s="566" t="str">
        <f>'2025'!D19</f>
        <v>FAE-25-00018</v>
      </c>
      <c r="E1898" s="496" t="str">
        <f t="shared" si="11"/>
        <v>018</v>
      </c>
      <c r="F1898" s="567">
        <f>+'2025'!G19</f>
        <v>45672</v>
      </c>
      <c r="G1898" s="496">
        <f t="shared" si="12"/>
        <v>2025</v>
      </c>
      <c r="H1898" s="586" t="s">
        <v>17299</v>
      </c>
      <c r="I1898" s="496" t="str">
        <f>+VLOOKUP(H1898,Sheet1!A:C,3,0)</f>
        <v>LAMP FALL IMP EXP - LAFFIMEX</v>
      </c>
      <c r="J1898" s="496" t="str">
        <f>+VLOOKUP(H1898,Sheet1!A:D,4,0)</f>
        <v>EUR</v>
      </c>
      <c r="K1898" s="497">
        <f t="shared" si="13"/>
        <v>206369.21249999999</v>
      </c>
      <c r="L1898" s="586">
        <v>3.3165</v>
      </c>
      <c r="M1898" s="587">
        <v>62225</v>
      </c>
      <c r="N1898" s="496" t="str">
        <f>+VLOOKUP(E1898,'2025'!E:F,2,0)</f>
        <v>OUI</v>
      </c>
      <c r="O1898" s="496" t="str">
        <f>VLOOKUP(E1898,'2025'!E:N,10,0)</f>
        <v>Senegal</v>
      </c>
      <c r="P1898" s="880">
        <f>VLOOKUP(E1898,'2025'!E:O,11,0)</f>
        <v>45700</v>
      </c>
      <c r="Q1898" s="565">
        <f>VLOOKUP(E1898,'2025'!E:H,4,0)</f>
        <v>0</v>
      </c>
      <c r="R1898" s="565">
        <f>VLOOKUP(E1898,'2025'!E:I,5,0)</f>
        <v>112500</v>
      </c>
      <c r="S1898" s="565">
        <f>VLOOKUP(E1898,'2025'!E:J,6,0)</f>
        <v>0</v>
      </c>
      <c r="T1898" s="565">
        <f>VLOOKUP(E1898,'2025'!E:K,7,0)</f>
        <v>0</v>
      </c>
      <c r="U1898" s="565">
        <f t="shared" si="14"/>
        <v>112500</v>
      </c>
      <c r="V1898" s="354"/>
      <c r="W1898" s="569" t="e">
        <f>+VLOOKUP(D1898,'JOURNAL FACTURES'!A:O,15,0)</f>
        <v>#N/A</v>
      </c>
      <c r="X1898" s="569" t="e">
        <f>VLOOKUP(D1898,'JOURNAL FACTURES'!A:P,16,0)</f>
        <v>#N/A</v>
      </c>
      <c r="Y1898" s="569" t="e">
        <f>VLOOKUP(D1898,'JOURNAL FACTURES'!A:Q,17,0)</f>
        <v>#N/A</v>
      </c>
      <c r="Z1898" s="569" t="e">
        <f>VLOOKUP(D1898,'JOURNAL FACTURES'!A:R,18,0)</f>
        <v>#N/A</v>
      </c>
      <c r="AA1898" s="570" t="e">
        <f t="shared" si="15"/>
        <v>#N/A</v>
      </c>
      <c r="AB1898" s="570" t="e">
        <f t="shared" si="16"/>
        <v>#N/A</v>
      </c>
      <c r="AC1898" s="570" t="e">
        <f t="shared" si="17"/>
        <v>#N/A</v>
      </c>
      <c r="AD1898" s="570" t="e">
        <f t="shared" si="18"/>
        <v>#N/A</v>
      </c>
      <c r="AE1898" s="569">
        <f>VLOOKUP(D1898,TRANSPORT!H:J,3,0)</f>
        <v>4225</v>
      </c>
      <c r="AF1898" s="569">
        <f>+VLOOKUP(D1898,TRANSPORT!N:O,2,0)</f>
        <v>28660.95</v>
      </c>
      <c r="AG1898" s="569">
        <f t="shared" si="19"/>
        <v>0.25476399999999999</v>
      </c>
      <c r="AH1898" s="571" t="e">
        <f t="shared" si="20"/>
        <v>#N/A</v>
      </c>
      <c r="AI1898" s="571" t="e">
        <f t="shared" si="21"/>
        <v>#N/A</v>
      </c>
      <c r="AJ1898" s="571" t="e">
        <f t="shared" si="22"/>
        <v>#N/A</v>
      </c>
      <c r="AK1898" s="571" t="e">
        <f t="shared" si="23"/>
        <v>#N/A</v>
      </c>
      <c r="AL1898" s="572">
        <f>VLOOKUP(D1898,'INTEGRATION PAR CLIENT '!A1293:J1321,10,0)</f>
        <v>0</v>
      </c>
      <c r="AM1898" s="572" t="str">
        <f>VLOOKUP(D1898,'INTEGRATION PAR CLIENT '!A1293:L1321,12,0)</f>
        <v>10%-90%</v>
      </c>
      <c r="AN1898" s="572">
        <f>+VLOOKUP(D1898,'INTEGRATION PAR CLIENT '!A1293:N1321,14,0)</f>
        <v>0</v>
      </c>
      <c r="AO1898" s="572">
        <f>+VLOOKUP(D1898,'INTEGRATION PAR CLIENT '!A1293:P1321,16,0)</f>
        <v>0</v>
      </c>
    </row>
    <row r="1899" spans="1:41">
      <c r="A1899" s="617">
        <v>19</v>
      </c>
      <c r="B1899" s="496" t="str">
        <f t="shared" si="9"/>
        <v>019</v>
      </c>
      <c r="C1899" s="496">
        <f t="shared" si="10"/>
        <v>0</v>
      </c>
      <c r="D1899" s="566" t="str">
        <f>'2025'!D20</f>
        <v>FAE-25-00019</v>
      </c>
      <c r="E1899" s="496" t="str">
        <f t="shared" si="11"/>
        <v>019</v>
      </c>
      <c r="F1899" s="567">
        <f>+'2025'!G20</f>
        <v>45672</v>
      </c>
      <c r="G1899" s="496">
        <f t="shared" si="12"/>
        <v>2025</v>
      </c>
      <c r="H1899" s="586" t="s">
        <v>16470</v>
      </c>
      <c r="I1899" s="496" t="str">
        <f>+VLOOKUP(H1899,Sheet1!A:C,3,0)</f>
        <v>SAWABA - GUINEE</v>
      </c>
      <c r="J1899" s="496" t="str">
        <f>+VLOOKUP(H1899,Sheet1!A:D,4,0)</f>
        <v>USD</v>
      </c>
      <c r="K1899" s="497">
        <f t="shared" si="13"/>
        <v>469635.24005999998</v>
      </c>
      <c r="L1899" s="586">
        <v>3.18465</v>
      </c>
      <c r="M1899" s="587">
        <v>147468.4</v>
      </c>
      <c r="N1899" s="496" t="str">
        <f>+VLOOKUP(E1899,'2025'!E:F,2,0)</f>
        <v>OUI</v>
      </c>
      <c r="O1899" s="496" t="str">
        <f>VLOOKUP(E1899,'2025'!E:N,10,0)</f>
        <v>Guinée</v>
      </c>
      <c r="P1899" s="880">
        <f>VLOOKUP(E1899,'2025'!E:O,11,0)</f>
        <v>45687</v>
      </c>
      <c r="Q1899" s="565">
        <f>VLOOKUP(E1899,'2025'!E:H,4,0)</f>
        <v>14112</v>
      </c>
      <c r="R1899" s="565">
        <f>VLOOKUP(E1899,'2025'!E:I,5,0)</f>
        <v>195984</v>
      </c>
      <c r="S1899" s="565">
        <f>VLOOKUP(E1899,'2025'!E:J,6,0)</f>
        <v>0</v>
      </c>
      <c r="T1899" s="565">
        <f>VLOOKUP(E1899,'2025'!E:K,7,0)</f>
        <v>0</v>
      </c>
      <c r="U1899" s="565">
        <f t="shared" si="14"/>
        <v>210096</v>
      </c>
      <c r="V1899" s="354"/>
      <c r="W1899" s="569" t="e">
        <f>+VLOOKUP(D1899,'JOURNAL FACTURES'!A:O,15,0)</f>
        <v>#N/A</v>
      </c>
      <c r="X1899" s="569" t="e">
        <f>VLOOKUP(D1899,'JOURNAL FACTURES'!A:P,16,0)</f>
        <v>#N/A</v>
      </c>
      <c r="Y1899" s="569" t="e">
        <f>VLOOKUP(D1899,'JOURNAL FACTURES'!A:Q,17,0)</f>
        <v>#N/A</v>
      </c>
      <c r="Z1899" s="569" t="e">
        <f>VLOOKUP(D1899,'JOURNAL FACTURES'!A:R,18,0)</f>
        <v>#N/A</v>
      </c>
      <c r="AA1899" s="570" t="e">
        <f t="shared" si="15"/>
        <v>#N/A</v>
      </c>
      <c r="AB1899" s="570" t="e">
        <f t="shared" si="16"/>
        <v>#N/A</v>
      </c>
      <c r="AC1899" s="570" t="e">
        <f t="shared" si="17"/>
        <v>#N/A</v>
      </c>
      <c r="AD1899" s="570" t="e">
        <f t="shared" si="18"/>
        <v>#N/A</v>
      </c>
      <c r="AE1899" s="569">
        <f>VLOOKUP(D1899,TRANSPORT!H:J,3,0)</f>
        <v>9440.264000000001</v>
      </c>
      <c r="AF1899" s="569">
        <f>+VLOOKUP(D1899,TRANSPORT!N:O,2,0)</f>
        <v>62089.62</v>
      </c>
      <c r="AG1899" s="569">
        <f t="shared" si="19"/>
        <v>0.2955297578249943</v>
      </c>
      <c r="AH1899" s="571" t="e">
        <f t="shared" si="20"/>
        <v>#N/A</v>
      </c>
      <c r="AI1899" s="571" t="e">
        <f t="shared" si="21"/>
        <v>#N/A</v>
      </c>
      <c r="AJ1899" s="571" t="e">
        <f t="shared" si="22"/>
        <v>#N/A</v>
      </c>
      <c r="AK1899" s="571" t="e">
        <f t="shared" si="23"/>
        <v>#N/A</v>
      </c>
      <c r="AL1899" s="572">
        <f>VLOOKUP(D1899,'INTEGRATION PAR CLIENT '!A1294:J1322,10,0)</f>
        <v>1</v>
      </c>
      <c r="AM1899" s="572" t="str">
        <f>VLOOKUP(D1899,'INTEGRATION PAR CLIENT '!A1294:L1322,12,0)</f>
        <v>'30%S-70%F</v>
      </c>
      <c r="AN1899" s="572">
        <f>+VLOOKUP(D1899,'INTEGRATION PAR CLIENT '!A1294:N1322,14,0)</f>
        <v>0</v>
      </c>
      <c r="AO1899" s="572">
        <f>+VLOOKUP(D1899,'INTEGRATION PAR CLIENT '!A1294:P1322,16,0)</f>
        <v>0</v>
      </c>
    </row>
    <row r="1900" spans="1:41">
      <c r="A1900" s="617">
        <v>20</v>
      </c>
      <c r="B1900" s="496" t="str">
        <f t="shared" si="9"/>
        <v>020</v>
      </c>
      <c r="C1900" s="496">
        <f t="shared" si="10"/>
        <v>0</v>
      </c>
      <c r="D1900" s="566" t="str">
        <f>'2025'!D21</f>
        <v>FAE-25-00020</v>
      </c>
      <c r="E1900" s="496" t="str">
        <f t="shared" si="11"/>
        <v>020</v>
      </c>
      <c r="F1900" s="567">
        <f>+'2025'!G21</f>
        <v>45672</v>
      </c>
      <c r="G1900" s="496">
        <f t="shared" si="12"/>
        <v>2025</v>
      </c>
      <c r="H1900" s="586" t="s">
        <v>16838</v>
      </c>
      <c r="I1900" s="496" t="str">
        <f>+VLOOKUP(H1900,Sheet1!A:C,3,0)</f>
        <v>TUNISIAN AFRICAN BUSINESS</v>
      </c>
      <c r="J1900" s="496" t="str">
        <f>+VLOOKUP(H1900,Sheet1!A:D,4,0)</f>
        <v>TND</v>
      </c>
      <c r="K1900" s="497">
        <f t="shared" si="13"/>
        <v>90476.4</v>
      </c>
      <c r="L1900" s="586">
        <v>1</v>
      </c>
      <c r="M1900" s="587">
        <v>90476.4</v>
      </c>
      <c r="N1900" s="496" t="str">
        <f>+VLOOKUP(E1900,'2025'!E:F,2,0)</f>
        <v>OUI</v>
      </c>
      <c r="O1900" s="496" t="str">
        <f>VLOOKUP(E1900,'2025'!E:N,10,0)</f>
        <v>Sierra Leone</v>
      </c>
      <c r="P1900" s="880">
        <f>VLOOKUP(E1900,'2025'!E:O,11,0)</f>
        <v>45691</v>
      </c>
      <c r="Q1900" s="565">
        <f>VLOOKUP(E1900,'2025'!E:H,4,0)</f>
        <v>43608</v>
      </c>
      <c r="R1900" s="565">
        <f>VLOOKUP(E1900,'2025'!E:I,5,0)</f>
        <v>0</v>
      </c>
      <c r="S1900" s="565">
        <f>VLOOKUP(E1900,'2025'!E:J,6,0)</f>
        <v>0</v>
      </c>
      <c r="T1900" s="565">
        <f>VLOOKUP(E1900,'2025'!E:K,7,0)</f>
        <v>0</v>
      </c>
      <c r="U1900" s="565">
        <f t="shared" si="14"/>
        <v>43608</v>
      </c>
      <c r="V1900" s="354"/>
      <c r="W1900" s="569" t="e">
        <f>+VLOOKUP(D1900,'JOURNAL FACTURES'!A:O,15,0)</f>
        <v>#N/A</v>
      </c>
      <c r="X1900" s="569" t="e">
        <f>VLOOKUP(D1900,'JOURNAL FACTURES'!A:P,16,0)</f>
        <v>#N/A</v>
      </c>
      <c r="Y1900" s="569" t="e">
        <f>VLOOKUP(D1900,'JOURNAL FACTURES'!A:Q,17,0)</f>
        <v>#N/A</v>
      </c>
      <c r="Z1900" s="569" t="e">
        <f>VLOOKUP(D1900,'JOURNAL FACTURES'!A:R,18,0)</f>
        <v>#N/A</v>
      </c>
      <c r="AA1900" s="570" t="e">
        <f t="shared" si="15"/>
        <v>#N/A</v>
      </c>
      <c r="AB1900" s="570" t="e">
        <f t="shared" si="16"/>
        <v>#N/A</v>
      </c>
      <c r="AC1900" s="570" t="e">
        <f t="shared" si="17"/>
        <v>#N/A</v>
      </c>
      <c r="AD1900" s="570" t="e">
        <f t="shared" si="18"/>
        <v>#N/A</v>
      </c>
      <c r="AE1900" s="569">
        <f>VLOOKUP(D1900,TRANSPORT!H:J,3,0)</f>
        <v>0</v>
      </c>
      <c r="AF1900" s="569">
        <f>+VLOOKUP(D1900,TRANSPORT!N:O,2,0)</f>
        <v>0</v>
      </c>
      <c r="AG1900" s="569">
        <f t="shared" si="19"/>
        <v>0</v>
      </c>
      <c r="AH1900" s="571" t="e">
        <f t="shared" si="20"/>
        <v>#N/A</v>
      </c>
      <c r="AI1900" s="571" t="e">
        <f t="shared" si="21"/>
        <v>#N/A</v>
      </c>
      <c r="AJ1900" s="571" t="e">
        <f t="shared" si="22"/>
        <v>#N/A</v>
      </c>
      <c r="AK1900" s="571" t="e">
        <f t="shared" si="23"/>
        <v>#N/A</v>
      </c>
      <c r="AL1900" s="572">
        <f>VLOOKUP(D1900,'INTEGRATION PAR CLIENT '!A1295:J1323,10,0)</f>
        <v>1</v>
      </c>
      <c r="AM1900" s="572">
        <f>VLOOKUP(D1900,'INTEGRATION PAR CLIENT '!A1295:L1323,12,0)</f>
        <v>0</v>
      </c>
      <c r="AN1900" s="572">
        <f>+VLOOKUP(D1900,'INTEGRATION PAR CLIENT '!A1295:N1323,14,0)</f>
        <v>0</v>
      </c>
      <c r="AO1900" s="572">
        <f>+VLOOKUP(D1900,'INTEGRATION PAR CLIENT '!A1295:P1323,16,0)</f>
        <v>0</v>
      </c>
    </row>
    <row r="1901" spans="1:41">
      <c r="A1901" s="617">
        <v>21</v>
      </c>
      <c r="B1901" s="496" t="str">
        <f t="shared" si="9"/>
        <v>021</v>
      </c>
      <c r="C1901" s="496">
        <f t="shared" si="10"/>
        <v>0</v>
      </c>
      <c r="D1901" s="566" t="str">
        <f>'2025'!D22</f>
        <v>FAE-25-00021</v>
      </c>
      <c r="E1901" s="496" t="str">
        <f t="shared" si="11"/>
        <v>021</v>
      </c>
      <c r="F1901" s="567">
        <f>+'2025'!G22</f>
        <v>45672</v>
      </c>
      <c r="G1901" s="496">
        <f t="shared" si="12"/>
        <v>2025</v>
      </c>
      <c r="H1901" s="586" t="s">
        <v>16838</v>
      </c>
      <c r="I1901" s="496" t="str">
        <f>+VLOOKUP(H1901,Sheet1!A:C,3,0)</f>
        <v>TUNISIAN AFRICAN BUSINESS</v>
      </c>
      <c r="J1901" s="496" t="str">
        <f>+VLOOKUP(H1901,Sheet1!A:D,4,0)</f>
        <v>TND</v>
      </c>
      <c r="K1901" s="497">
        <f t="shared" si="13"/>
        <v>140990</v>
      </c>
      <c r="L1901" s="586">
        <v>1</v>
      </c>
      <c r="M1901" s="587">
        <v>140990</v>
      </c>
      <c r="N1901" s="496" t="str">
        <f>+VLOOKUP(E1901,'2025'!E:F,2,0)</f>
        <v>OUI</v>
      </c>
      <c r="O1901" s="496" t="str">
        <f>VLOOKUP(E1901,'2025'!E:N,10,0)</f>
        <v>Tchad</v>
      </c>
      <c r="P1901" s="880">
        <f>VLOOKUP(E1901,'2025'!E:O,11,0)</f>
        <v>45686</v>
      </c>
      <c r="Q1901" s="565">
        <f>VLOOKUP(E1901,'2025'!E:H,4,0)</f>
        <v>0</v>
      </c>
      <c r="R1901" s="565">
        <f>VLOOKUP(E1901,'2025'!E:I,5,0)</f>
        <v>84000</v>
      </c>
      <c r="S1901" s="565">
        <f>VLOOKUP(E1901,'2025'!E:J,6,0)</f>
        <v>0</v>
      </c>
      <c r="T1901" s="565">
        <f>VLOOKUP(E1901,'2025'!E:K,7,0)</f>
        <v>0</v>
      </c>
      <c r="U1901" s="565">
        <f t="shared" si="14"/>
        <v>84000</v>
      </c>
      <c r="V1901" s="354"/>
      <c r="W1901" s="569" t="e">
        <f>+VLOOKUP(D1901,'JOURNAL FACTURES'!A:O,15,0)</f>
        <v>#N/A</v>
      </c>
      <c r="X1901" s="569" t="e">
        <f>VLOOKUP(D1901,'JOURNAL FACTURES'!A:P,16,0)</f>
        <v>#N/A</v>
      </c>
      <c r="Y1901" s="569" t="e">
        <f>VLOOKUP(D1901,'JOURNAL FACTURES'!A:Q,17,0)</f>
        <v>#N/A</v>
      </c>
      <c r="Z1901" s="569" t="e">
        <f>VLOOKUP(D1901,'JOURNAL FACTURES'!A:R,18,0)</f>
        <v>#N/A</v>
      </c>
      <c r="AA1901" s="570" t="e">
        <f t="shared" si="15"/>
        <v>#N/A</v>
      </c>
      <c r="AB1901" s="570" t="e">
        <f t="shared" si="16"/>
        <v>#N/A</v>
      </c>
      <c r="AC1901" s="570" t="e">
        <f t="shared" si="17"/>
        <v>#N/A</v>
      </c>
      <c r="AD1901" s="570" t="e">
        <f t="shared" si="18"/>
        <v>#N/A</v>
      </c>
      <c r="AE1901" s="569">
        <f>VLOOKUP(D1901,TRANSPORT!H:J,3,0)</f>
        <v>0</v>
      </c>
      <c r="AF1901" s="569">
        <f>+VLOOKUP(D1901,TRANSPORT!N:O,2,0)</f>
        <v>0</v>
      </c>
      <c r="AG1901" s="569">
        <f t="shared" si="19"/>
        <v>0</v>
      </c>
      <c r="AH1901" s="571" t="e">
        <f t="shared" si="20"/>
        <v>#N/A</v>
      </c>
      <c r="AI1901" s="571" t="e">
        <f t="shared" si="21"/>
        <v>#N/A</v>
      </c>
      <c r="AJ1901" s="571" t="e">
        <f t="shared" si="22"/>
        <v>#N/A</v>
      </c>
      <c r="AK1901" s="571" t="e">
        <f t="shared" si="23"/>
        <v>#N/A</v>
      </c>
      <c r="AL1901" s="572">
        <f>VLOOKUP(D1901,'INTEGRATION PAR CLIENT '!A1296:J1324,10,0)</f>
        <v>0</v>
      </c>
      <c r="AM1901" s="572" t="str">
        <f>VLOOKUP(D1901,'INTEGRATION PAR CLIENT '!A1296:L1324,12,0)</f>
        <v>20%S-80%F</v>
      </c>
      <c r="AN1901" s="572">
        <f>+VLOOKUP(D1901,'INTEGRATION PAR CLIENT '!A1296:N1324,14,0)</f>
        <v>0</v>
      </c>
      <c r="AO1901" s="572">
        <f>+VLOOKUP(D1901,'INTEGRATION PAR CLIENT '!A1296:P1324,16,0)</f>
        <v>0</v>
      </c>
    </row>
    <row r="1902" spans="1:41">
      <c r="A1902" s="617">
        <v>22</v>
      </c>
      <c r="B1902" s="496" t="str">
        <f t="shared" si="9"/>
        <v>022</v>
      </c>
      <c r="C1902" s="496">
        <f t="shared" si="10"/>
        <v>0</v>
      </c>
      <c r="D1902" s="566" t="str">
        <f>'2025'!D23</f>
        <v>FAE-25-00022</v>
      </c>
      <c r="E1902" s="496" t="str">
        <f t="shared" si="11"/>
        <v>022</v>
      </c>
      <c r="F1902" s="567">
        <f>+'2025'!G23</f>
        <v>45672</v>
      </c>
      <c r="G1902" s="496">
        <f t="shared" si="12"/>
        <v>2025</v>
      </c>
      <c r="H1902" s="586" t="s">
        <v>17309</v>
      </c>
      <c r="I1902" s="496" t="str">
        <f>+VLOOKUP(H1902,Sheet1!A:C,3,0)</f>
        <v>MARCOM INTERN</v>
      </c>
      <c r="J1902" s="496" t="str">
        <f>+VLOOKUP(H1902,Sheet1!A:D,4,0)</f>
        <v>TND</v>
      </c>
      <c r="K1902" s="497">
        <f t="shared" si="13"/>
        <v>772500</v>
      </c>
      <c r="L1902" s="586">
        <v>1</v>
      </c>
      <c r="M1902" s="587">
        <v>772500</v>
      </c>
      <c r="N1902" s="496" t="str">
        <f>+VLOOKUP(E1902,'2025'!E:F,2,0)</f>
        <v>OUI</v>
      </c>
      <c r="O1902" s="496" t="str">
        <f>VLOOKUP(E1902,'2025'!E:N,10,0)</f>
        <v>Senegal</v>
      </c>
      <c r="P1902" s="880">
        <f>VLOOKUP(E1902,'2025'!E:O,11,0)</f>
        <v>45687</v>
      </c>
      <c r="Q1902" s="565">
        <f>VLOOKUP(E1902,'2025'!E:H,4,0)</f>
        <v>90000</v>
      </c>
      <c r="R1902" s="565">
        <f>VLOOKUP(E1902,'2025'!E:I,5,0)</f>
        <v>70000</v>
      </c>
      <c r="S1902" s="565">
        <f>VLOOKUP(E1902,'2025'!E:J,6,0)</f>
        <v>300000</v>
      </c>
      <c r="T1902" s="565">
        <f>VLOOKUP(E1902,'2025'!E:K,7,0)</f>
        <v>0</v>
      </c>
      <c r="U1902" s="565">
        <f t="shared" si="14"/>
        <v>460000</v>
      </c>
      <c r="V1902" s="354"/>
      <c r="W1902" s="569" t="e">
        <f>+VLOOKUP(D1902,'JOURNAL FACTURES'!A:O,15,0)</f>
        <v>#N/A</v>
      </c>
      <c r="X1902" s="569" t="e">
        <f>VLOOKUP(D1902,'JOURNAL FACTURES'!A:P,16,0)</f>
        <v>#N/A</v>
      </c>
      <c r="Y1902" s="569" t="e">
        <f>VLOOKUP(D1902,'JOURNAL FACTURES'!A:Q,17,0)</f>
        <v>#N/A</v>
      </c>
      <c r="Z1902" s="569" t="e">
        <f>VLOOKUP(D1902,'JOURNAL FACTURES'!A:R,18,0)</f>
        <v>#N/A</v>
      </c>
      <c r="AA1902" s="570" t="e">
        <f t="shared" si="15"/>
        <v>#N/A</v>
      </c>
      <c r="AB1902" s="570" t="e">
        <f t="shared" si="16"/>
        <v>#N/A</v>
      </c>
      <c r="AC1902" s="570" t="e">
        <f t="shared" si="17"/>
        <v>#N/A</v>
      </c>
      <c r="AD1902" s="570" t="e">
        <f t="shared" si="18"/>
        <v>#N/A</v>
      </c>
      <c r="AE1902" s="569">
        <f>VLOOKUP(D1902,TRANSPORT!H:J,3,0)</f>
        <v>0</v>
      </c>
      <c r="AF1902" s="569">
        <f>+VLOOKUP(D1902,TRANSPORT!N:O,2,0)</f>
        <v>0</v>
      </c>
      <c r="AG1902" s="569">
        <f t="shared" si="19"/>
        <v>0</v>
      </c>
      <c r="AH1902" s="571" t="e">
        <f t="shared" si="20"/>
        <v>#N/A</v>
      </c>
      <c r="AI1902" s="571" t="e">
        <f t="shared" si="21"/>
        <v>#N/A</v>
      </c>
      <c r="AJ1902" s="571" t="e">
        <f t="shared" si="22"/>
        <v>#N/A</v>
      </c>
      <c r="AK1902" s="571" t="e">
        <f t="shared" si="23"/>
        <v>#N/A</v>
      </c>
      <c r="AL1902" s="572">
        <f>VLOOKUP(D1902,'INTEGRATION PAR CLIENT '!A1297:J1325,10,0)</f>
        <v>1</v>
      </c>
      <c r="AM1902" s="572" t="str">
        <f>VLOOKUP(D1902,'INTEGRATION PAR CLIENT '!A1297:L1325,12,0)</f>
        <v>10%-90%</v>
      </c>
      <c r="AN1902" s="572" t="str">
        <f>+VLOOKUP(D1902,'INTEGRATION PAR CLIENT '!A1297:N1325,14,0)</f>
        <v>10%-90%</v>
      </c>
      <c r="AO1902" s="572">
        <f>+VLOOKUP(D1902,'INTEGRATION PAR CLIENT '!A1297:P1325,16,0)</f>
        <v>0</v>
      </c>
    </row>
    <row r="1903" spans="1:41">
      <c r="A1903" s="617">
        <v>23</v>
      </c>
      <c r="B1903" s="496" t="str">
        <f t="shared" si="9"/>
        <v>023</v>
      </c>
      <c r="C1903" s="496">
        <f t="shared" si="10"/>
        <v>0</v>
      </c>
      <c r="D1903" s="566" t="str">
        <f>'2025'!D24</f>
        <v>FAE-25-00023</v>
      </c>
      <c r="E1903" s="496" t="str">
        <f t="shared" si="11"/>
        <v>023</v>
      </c>
      <c r="F1903" s="567">
        <f>+'2025'!G24</f>
        <v>45672</v>
      </c>
      <c r="G1903" s="496">
        <f t="shared" si="12"/>
        <v>2025</v>
      </c>
      <c r="H1903" s="586" t="s">
        <v>17309</v>
      </c>
      <c r="I1903" s="496" t="str">
        <f>+VLOOKUP(H1903,Sheet1!A:C,3,0)</f>
        <v>MARCOM INTERN</v>
      </c>
      <c r="J1903" s="496" t="str">
        <f>+VLOOKUP(H1903,Sheet1!A:D,4,0)</f>
        <v>TND</v>
      </c>
      <c r="K1903" s="497">
        <f t="shared" si="13"/>
        <v>483600</v>
      </c>
      <c r="L1903" s="586">
        <v>1</v>
      </c>
      <c r="M1903" s="587">
        <v>483600</v>
      </c>
      <c r="N1903" s="496" t="str">
        <f>+VLOOKUP(E1903,'2025'!E:F,2,0)</f>
        <v>OUI</v>
      </c>
      <c r="O1903" s="496" t="str">
        <f>VLOOKUP(E1903,'2025'!E:N,10,0)</f>
        <v>Madagascar</v>
      </c>
      <c r="P1903" s="880">
        <f>VLOOKUP(E1903,'2025'!E:O,11,0)</f>
        <v>45688</v>
      </c>
      <c r="Q1903" s="565">
        <f>VLOOKUP(E1903,'2025'!E:H,4,0)</f>
        <v>0</v>
      </c>
      <c r="R1903" s="565">
        <f>VLOOKUP(E1903,'2025'!E:I,5,0)</f>
        <v>0</v>
      </c>
      <c r="S1903" s="565">
        <f>VLOOKUP(E1903,'2025'!E:J,6,0)</f>
        <v>312000</v>
      </c>
      <c r="T1903" s="565">
        <f>VLOOKUP(E1903,'2025'!E:K,7,0)</f>
        <v>0</v>
      </c>
      <c r="U1903" s="565">
        <f t="shared" si="14"/>
        <v>312000</v>
      </c>
      <c r="V1903" s="354"/>
      <c r="W1903" s="569" t="e">
        <f>+VLOOKUP(D1903,'JOURNAL FACTURES'!A:O,15,0)</f>
        <v>#N/A</v>
      </c>
      <c r="X1903" s="569" t="e">
        <f>VLOOKUP(D1903,'JOURNAL FACTURES'!A:P,16,0)</f>
        <v>#N/A</v>
      </c>
      <c r="Y1903" s="569" t="e">
        <f>VLOOKUP(D1903,'JOURNAL FACTURES'!A:Q,17,0)</f>
        <v>#N/A</v>
      </c>
      <c r="Z1903" s="569" t="e">
        <f>VLOOKUP(D1903,'JOURNAL FACTURES'!A:R,18,0)</f>
        <v>#N/A</v>
      </c>
      <c r="AA1903" s="570" t="e">
        <f t="shared" si="15"/>
        <v>#N/A</v>
      </c>
      <c r="AB1903" s="570" t="e">
        <f t="shared" si="16"/>
        <v>#N/A</v>
      </c>
      <c r="AC1903" s="570" t="e">
        <f t="shared" si="17"/>
        <v>#N/A</v>
      </c>
      <c r="AD1903" s="570" t="e">
        <f t="shared" si="18"/>
        <v>#N/A</v>
      </c>
      <c r="AE1903" s="569">
        <f>VLOOKUP(D1903,TRANSPORT!H:J,3,0)</f>
        <v>0</v>
      </c>
      <c r="AF1903" s="569">
        <f>+VLOOKUP(D1903,TRANSPORT!N:O,2,0)</f>
        <v>0</v>
      </c>
      <c r="AG1903" s="569">
        <f t="shared" si="19"/>
        <v>0</v>
      </c>
      <c r="AH1903" s="571" t="e">
        <f t="shared" si="20"/>
        <v>#N/A</v>
      </c>
      <c r="AI1903" s="571" t="e">
        <f t="shared" si="21"/>
        <v>#N/A</v>
      </c>
      <c r="AJ1903" s="571" t="e">
        <f t="shared" si="22"/>
        <v>#N/A</v>
      </c>
      <c r="AK1903" s="571" t="e">
        <f t="shared" si="23"/>
        <v>#N/A</v>
      </c>
      <c r="AL1903" s="572">
        <f>VLOOKUP(D1903,'INTEGRATION PAR CLIENT '!A1298:J1326,10,0)</f>
        <v>0</v>
      </c>
      <c r="AM1903" s="572">
        <f>VLOOKUP(D1903,'INTEGRATION PAR CLIENT '!A1298:L1326,12,0)</f>
        <v>0</v>
      </c>
      <c r="AN1903" s="572" t="str">
        <f>+VLOOKUP(D1903,'INTEGRATION PAR CLIENT '!A1298:N1326,14,0)</f>
        <v>10%-90%</v>
      </c>
      <c r="AO1903" s="572">
        <f>+VLOOKUP(D1903,'INTEGRATION PAR CLIENT '!A1298:P1326,16,0)</f>
        <v>0</v>
      </c>
    </row>
    <row r="1904" spans="1:41">
      <c r="A1904" s="617">
        <v>24</v>
      </c>
      <c r="B1904" s="496" t="str">
        <f t="shared" si="9"/>
        <v>024</v>
      </c>
      <c r="C1904" s="496">
        <f t="shared" si="10"/>
        <v>0</v>
      </c>
      <c r="D1904" s="566" t="str">
        <f>'2025'!D25</f>
        <v>FAE-25-00024</v>
      </c>
      <c r="E1904" s="496" t="str">
        <f t="shared" si="11"/>
        <v>024</v>
      </c>
      <c r="F1904" s="567">
        <f>+'2025'!G25</f>
        <v>45672</v>
      </c>
      <c r="G1904" s="496">
        <f t="shared" si="12"/>
        <v>2025</v>
      </c>
      <c r="H1904" s="586" t="s">
        <v>17342</v>
      </c>
      <c r="I1904" s="496" t="str">
        <f>+VLOOKUP(H1904,Sheet1!A:C,3,0)</f>
        <v>SODIC</v>
      </c>
      <c r="J1904" s="496" t="str">
        <f>+VLOOKUP(H1904,Sheet1!A:D,4,0)</f>
        <v>EUR</v>
      </c>
      <c r="K1904" s="497">
        <f t="shared" si="13"/>
        <v>88059.009420000002</v>
      </c>
      <c r="L1904" s="586">
        <v>3.3153000000000001</v>
      </c>
      <c r="M1904" s="587">
        <v>26561.4</v>
      </c>
      <c r="N1904" s="496" t="str">
        <f>+VLOOKUP(E1904,'2025'!E:F,2,0)</f>
        <v>OUI</v>
      </c>
      <c r="O1904" s="496" t="str">
        <f>VLOOKUP(E1904,'2025'!E:N,10,0)</f>
        <v>France</v>
      </c>
      <c r="P1904" s="880">
        <f>VLOOKUP(E1904,'2025'!E:O,11,0)</f>
        <v>45674</v>
      </c>
      <c r="Q1904" s="565">
        <f>VLOOKUP(E1904,'2025'!E:H,4,0)</f>
        <v>3200</v>
      </c>
      <c r="R1904" s="565">
        <f>VLOOKUP(E1904,'2025'!E:I,5,0)</f>
        <v>30792</v>
      </c>
      <c r="S1904" s="565">
        <f>VLOOKUP(E1904,'2025'!E:J,6,0)</f>
        <v>8400</v>
      </c>
      <c r="T1904" s="565">
        <f>VLOOKUP(E1904,'2025'!E:K,7,0)</f>
        <v>4480</v>
      </c>
      <c r="U1904" s="565">
        <f t="shared" si="14"/>
        <v>46872</v>
      </c>
      <c r="V1904" s="354"/>
      <c r="W1904" s="569" t="e">
        <f>+VLOOKUP(D1904,'JOURNAL FACTURES'!A:O,15,0)</f>
        <v>#N/A</v>
      </c>
      <c r="X1904" s="569" t="e">
        <f>VLOOKUP(D1904,'JOURNAL FACTURES'!A:P,16,0)</f>
        <v>#N/A</v>
      </c>
      <c r="Y1904" s="569" t="e">
        <f>VLOOKUP(D1904,'JOURNAL FACTURES'!A:Q,17,0)</f>
        <v>#N/A</v>
      </c>
      <c r="Z1904" s="569" t="e">
        <f>VLOOKUP(D1904,'JOURNAL FACTURES'!A:R,18,0)</f>
        <v>#N/A</v>
      </c>
      <c r="AA1904" s="570" t="e">
        <f t="shared" si="15"/>
        <v>#N/A</v>
      </c>
      <c r="AB1904" s="570" t="e">
        <f t="shared" si="16"/>
        <v>#N/A</v>
      </c>
      <c r="AC1904" s="570" t="e">
        <f t="shared" si="17"/>
        <v>#N/A</v>
      </c>
      <c r="AD1904" s="570" t="e">
        <f t="shared" si="18"/>
        <v>#N/A</v>
      </c>
      <c r="AE1904" s="569">
        <f>VLOOKUP(D1904,TRANSPORT!H:J,3,0)</f>
        <v>2273.7956800000002</v>
      </c>
      <c r="AF1904" s="569">
        <f>+VLOOKUP(D1904,TRANSPORT!N:O,2,0)</f>
        <v>24469.599999999999</v>
      </c>
      <c r="AG1904" s="569">
        <f t="shared" si="19"/>
        <v>0.52205154463218972</v>
      </c>
      <c r="AH1904" s="571" t="e">
        <f t="shared" si="20"/>
        <v>#N/A</v>
      </c>
      <c r="AI1904" s="571" t="e">
        <f t="shared" si="21"/>
        <v>#N/A</v>
      </c>
      <c r="AJ1904" s="571" t="e">
        <f t="shared" si="22"/>
        <v>#N/A</v>
      </c>
      <c r="AK1904" s="571" t="e">
        <f t="shared" si="23"/>
        <v>#N/A</v>
      </c>
      <c r="AL1904" s="572">
        <f>VLOOKUP(D1904,'INTEGRATION PAR CLIENT '!A1299:J1327,10,0)</f>
        <v>1</v>
      </c>
      <c r="AM1904" s="572">
        <f>VLOOKUP(D1904,'INTEGRATION PAR CLIENT '!A1299:L1327,12,0)</f>
        <v>1</v>
      </c>
      <c r="AN1904" s="572">
        <f>+VLOOKUP(D1904,'INTEGRATION PAR CLIENT '!A1299:N1327,14,0)</f>
        <v>1</v>
      </c>
      <c r="AO1904" s="572">
        <f>+VLOOKUP(D1904,'INTEGRATION PAR CLIENT '!A1299:P1327,16,0)</f>
        <v>1</v>
      </c>
    </row>
    <row r="1905" spans="1:41">
      <c r="A1905" s="617">
        <v>25</v>
      </c>
      <c r="B1905" s="496" t="str">
        <f t="shared" si="9"/>
        <v>025</v>
      </c>
      <c r="C1905" s="496">
        <f t="shared" si="10"/>
        <v>0</v>
      </c>
      <c r="D1905" s="566" t="str">
        <f>'2025'!D26</f>
        <v>FAE-25-00025</v>
      </c>
      <c r="E1905" s="496" t="str">
        <f t="shared" si="11"/>
        <v>025</v>
      </c>
      <c r="F1905" s="567">
        <f>+'2025'!G26</f>
        <v>45673</v>
      </c>
      <c r="G1905" s="496">
        <f t="shared" si="12"/>
        <v>2025</v>
      </c>
      <c r="H1905" s="586" t="s">
        <v>16838</v>
      </c>
      <c r="I1905" s="496" t="str">
        <f>+VLOOKUP(H1905,Sheet1!A:C,3,0)</f>
        <v>TUNISIAN AFRICAN BUSINESS</v>
      </c>
      <c r="J1905" s="496" t="str">
        <f>+VLOOKUP(H1905,Sheet1!A:D,4,0)</f>
        <v>TND</v>
      </c>
      <c r="K1905" s="497">
        <f t="shared" si="13"/>
        <v>252000</v>
      </c>
      <c r="L1905" s="586">
        <v>1</v>
      </c>
      <c r="M1905" s="587">
        <v>252000</v>
      </c>
      <c r="N1905" s="496" t="str">
        <f>+VLOOKUP(E1905,'2025'!E:F,2,0)</f>
        <v>OUI</v>
      </c>
      <c r="O1905" s="496" t="str">
        <f>VLOOKUP(E1905,'2025'!E:N,10,0)</f>
        <v>Senegal</v>
      </c>
      <c r="P1905" s="880">
        <f>VLOOKUP(E1905,'2025'!E:O,11,0)</f>
        <v>45688</v>
      </c>
      <c r="Q1905" s="565">
        <f>VLOOKUP(E1905,'2025'!E:H,4,0)</f>
        <v>0</v>
      </c>
      <c r="R1905" s="565">
        <f>VLOOKUP(E1905,'2025'!E:I,5,0)</f>
        <v>157500</v>
      </c>
      <c r="S1905" s="565">
        <f>VLOOKUP(E1905,'2025'!E:J,6,0)</f>
        <v>0</v>
      </c>
      <c r="T1905" s="565">
        <f>VLOOKUP(E1905,'2025'!E:K,7,0)</f>
        <v>0</v>
      </c>
      <c r="U1905" s="565">
        <f t="shared" si="14"/>
        <v>157500</v>
      </c>
      <c r="V1905" s="354"/>
      <c r="W1905" s="569" t="e">
        <f>+VLOOKUP(D1905,'JOURNAL FACTURES'!A:O,15,0)</f>
        <v>#N/A</v>
      </c>
      <c r="X1905" s="569" t="e">
        <f>VLOOKUP(D1905,'JOURNAL FACTURES'!A:P,16,0)</f>
        <v>#N/A</v>
      </c>
      <c r="Y1905" s="569" t="e">
        <f>VLOOKUP(D1905,'JOURNAL FACTURES'!A:Q,17,0)</f>
        <v>#N/A</v>
      </c>
      <c r="Z1905" s="569" t="e">
        <f>VLOOKUP(D1905,'JOURNAL FACTURES'!A:R,18,0)</f>
        <v>#N/A</v>
      </c>
      <c r="AA1905" s="570" t="e">
        <f t="shared" si="15"/>
        <v>#N/A</v>
      </c>
      <c r="AB1905" s="570" t="e">
        <f t="shared" si="16"/>
        <v>#N/A</v>
      </c>
      <c r="AC1905" s="570" t="e">
        <f t="shared" si="17"/>
        <v>#N/A</v>
      </c>
      <c r="AD1905" s="570" t="e">
        <f t="shared" si="18"/>
        <v>#N/A</v>
      </c>
      <c r="AE1905" s="569">
        <f>VLOOKUP(D1905,TRANSPORT!H:J,3,0)</f>
        <v>0</v>
      </c>
      <c r="AF1905" s="569">
        <f>+VLOOKUP(D1905,TRANSPORT!N:O,2,0)</f>
        <v>0</v>
      </c>
      <c r="AG1905" s="569">
        <f t="shared" si="19"/>
        <v>0</v>
      </c>
      <c r="AH1905" s="571" t="e">
        <f t="shared" si="20"/>
        <v>#N/A</v>
      </c>
      <c r="AI1905" s="571" t="e">
        <f t="shared" si="21"/>
        <v>#N/A</v>
      </c>
      <c r="AJ1905" s="571" t="e">
        <f t="shared" si="22"/>
        <v>#N/A</v>
      </c>
      <c r="AK1905" s="571" t="e">
        <f t="shared" si="23"/>
        <v>#N/A</v>
      </c>
      <c r="AL1905" s="572">
        <f>VLOOKUP(D1905,'INTEGRATION PAR CLIENT '!A1300:J1328,10,0)</f>
        <v>0</v>
      </c>
      <c r="AM1905" s="572" t="str">
        <f>VLOOKUP(D1905,'INTEGRATION PAR CLIENT '!A1300:L1328,12,0)</f>
        <v>10%-90%</v>
      </c>
      <c r="AN1905" s="572">
        <f>+VLOOKUP(D1905,'INTEGRATION PAR CLIENT '!A1300:N1328,14,0)</f>
        <v>0</v>
      </c>
      <c r="AO1905" s="572">
        <f>+VLOOKUP(D1905,'INTEGRATION PAR CLIENT '!A1300:P1328,16,0)</f>
        <v>0</v>
      </c>
    </row>
    <row r="1906" spans="1:41">
      <c r="A1906" s="617">
        <v>26</v>
      </c>
      <c r="B1906" s="496" t="str">
        <f t="shared" si="9"/>
        <v>026</v>
      </c>
      <c r="C1906" s="496">
        <f t="shared" si="10"/>
        <v>0</v>
      </c>
      <c r="D1906" s="566" t="str">
        <f>'2025'!D27</f>
        <v>FAE-25-00026</v>
      </c>
      <c r="E1906" s="496" t="str">
        <f t="shared" si="11"/>
        <v>026</v>
      </c>
      <c r="F1906" s="567">
        <f>+'2025'!G27</f>
        <v>45673</v>
      </c>
      <c r="G1906" s="496">
        <f t="shared" si="12"/>
        <v>2025</v>
      </c>
      <c r="H1906" s="586" t="s">
        <v>16384</v>
      </c>
      <c r="I1906" s="496" t="str">
        <f>+VLOOKUP(H1906,Sheet1!A:C,3,0)</f>
        <v>STE DE COMMERCE INTERNATIONAL</v>
      </c>
      <c r="J1906" s="496" t="str">
        <f>+VLOOKUP(H1906,Sheet1!A:D,4,0)</f>
        <v>TND</v>
      </c>
      <c r="K1906" s="497">
        <f t="shared" si="13"/>
        <v>571776.80000000005</v>
      </c>
      <c r="L1906" s="586">
        <v>1</v>
      </c>
      <c r="M1906" s="587">
        <v>571776.80000000005</v>
      </c>
      <c r="N1906" s="496" t="str">
        <f>+VLOOKUP(E1906,'2025'!E:F,2,0)</f>
        <v>OUI</v>
      </c>
      <c r="O1906" s="496" t="str">
        <f>VLOOKUP(E1906,'2025'!E:N,10,0)</f>
        <v>Sierra Leone</v>
      </c>
      <c r="P1906" s="880">
        <f>VLOOKUP(E1906,'2025'!E:O,11,0)</f>
        <v>45685</v>
      </c>
      <c r="Q1906" s="565">
        <f>VLOOKUP(E1906,'2025'!E:H,4,0)</f>
        <v>239606</v>
      </c>
      <c r="R1906" s="565">
        <f>VLOOKUP(E1906,'2025'!E:I,5,0)</f>
        <v>47700</v>
      </c>
      <c r="S1906" s="565">
        <f>VLOOKUP(E1906,'2025'!E:J,6,0)</f>
        <v>0</v>
      </c>
      <c r="T1906" s="565">
        <f>VLOOKUP(E1906,'2025'!E:K,7,0)</f>
        <v>0</v>
      </c>
      <c r="U1906" s="565">
        <f t="shared" si="14"/>
        <v>287306</v>
      </c>
      <c r="V1906" s="354"/>
      <c r="W1906" s="569" t="e">
        <f>+VLOOKUP(D1906,'JOURNAL FACTURES'!A:O,15,0)</f>
        <v>#N/A</v>
      </c>
      <c r="X1906" s="569" t="e">
        <f>VLOOKUP(D1906,'JOURNAL FACTURES'!A:P,16,0)</f>
        <v>#N/A</v>
      </c>
      <c r="Y1906" s="569" t="e">
        <f>VLOOKUP(D1906,'JOURNAL FACTURES'!A:Q,17,0)</f>
        <v>#N/A</v>
      </c>
      <c r="Z1906" s="569" t="e">
        <f>VLOOKUP(D1906,'JOURNAL FACTURES'!A:R,18,0)</f>
        <v>#N/A</v>
      </c>
      <c r="AA1906" s="570" t="e">
        <f t="shared" si="15"/>
        <v>#N/A</v>
      </c>
      <c r="AB1906" s="570" t="e">
        <f t="shared" si="16"/>
        <v>#N/A</v>
      </c>
      <c r="AC1906" s="570" t="e">
        <f t="shared" si="17"/>
        <v>#N/A</v>
      </c>
      <c r="AD1906" s="570" t="e">
        <f t="shared" si="18"/>
        <v>#N/A</v>
      </c>
      <c r="AE1906" s="569">
        <f>VLOOKUP(D1906,TRANSPORT!H:J,3,0)</f>
        <v>0</v>
      </c>
      <c r="AF1906" s="569">
        <f>+VLOOKUP(D1906,TRANSPORT!N:O,2,0)</f>
        <v>0</v>
      </c>
      <c r="AG1906" s="569">
        <f t="shared" si="19"/>
        <v>0</v>
      </c>
      <c r="AH1906" s="571" t="e">
        <f t="shared" si="20"/>
        <v>#N/A</v>
      </c>
      <c r="AI1906" s="571" t="e">
        <f t="shared" si="21"/>
        <v>#N/A</v>
      </c>
      <c r="AJ1906" s="571" t="e">
        <f t="shared" si="22"/>
        <v>#N/A</v>
      </c>
      <c r="AK1906" s="571" t="e">
        <f t="shared" si="23"/>
        <v>#N/A</v>
      </c>
      <c r="AL1906" s="572">
        <f>VLOOKUP(D1906,'INTEGRATION PAR CLIENT '!A1301:J1329,10,0)</f>
        <v>1</v>
      </c>
      <c r="AM1906" s="572" t="str">
        <f>VLOOKUP(D1906,'INTEGRATION PAR CLIENT '!A1301:L1329,12,0)</f>
        <v>'30%S-70%F</v>
      </c>
      <c r="AN1906" s="572">
        <f>+VLOOKUP(D1906,'INTEGRATION PAR CLIENT '!A1301:N1329,14,0)</f>
        <v>0</v>
      </c>
      <c r="AO1906" s="572">
        <f>+VLOOKUP(D1906,'INTEGRATION PAR CLIENT '!A1301:P1329,16,0)</f>
        <v>0</v>
      </c>
    </row>
    <row r="1907" spans="1:41">
      <c r="A1907" s="617">
        <v>27</v>
      </c>
      <c r="B1907" s="496" t="str">
        <f t="shared" si="9"/>
        <v>027</v>
      </c>
      <c r="C1907" s="496">
        <f t="shared" si="10"/>
        <v>0</v>
      </c>
      <c r="D1907" s="566" t="str">
        <f>'2025'!D28</f>
        <v>FAE-25-00027</v>
      </c>
      <c r="E1907" s="496" t="str">
        <f t="shared" si="11"/>
        <v>027</v>
      </c>
      <c r="F1907" s="567">
        <f>+'2025'!G28</f>
        <v>45677</v>
      </c>
      <c r="G1907" s="496">
        <f t="shared" si="12"/>
        <v>2025</v>
      </c>
      <c r="H1907" s="586" t="s">
        <v>16957</v>
      </c>
      <c r="I1907" s="496" t="str">
        <f>+VLOOKUP(H1907,Sheet1!A:C,3,0)</f>
        <v>ANGSTREM TRADING</v>
      </c>
      <c r="J1907" s="496" t="str">
        <f>+VLOOKUP(H1907,Sheet1!A:D,4,0)</f>
        <v>USD</v>
      </c>
      <c r="K1907" s="497">
        <f t="shared" si="13"/>
        <v>111398.76117500001</v>
      </c>
      <c r="L1907" s="586">
        <v>3.1956500000000001</v>
      </c>
      <c r="M1907" s="587">
        <v>34859.5</v>
      </c>
      <c r="N1907" s="496" t="str">
        <f>+VLOOKUP(E1907,'2025'!E:F,2,0)</f>
        <v>OUI</v>
      </c>
      <c r="O1907" s="496" t="str">
        <f>VLOOKUP(E1907,'2025'!E:N,10,0)</f>
        <v>Russie</v>
      </c>
      <c r="P1907" s="880">
        <f>VLOOKUP(E1907,'2025'!E:O,11,0)</f>
        <v>45681</v>
      </c>
      <c r="Q1907" s="565">
        <f>VLOOKUP(E1907,'2025'!E:H,4,0)</f>
        <v>40300</v>
      </c>
      <c r="R1907" s="565">
        <f>VLOOKUP(E1907,'2025'!E:I,5,0)</f>
        <v>0</v>
      </c>
      <c r="S1907" s="565">
        <f>VLOOKUP(E1907,'2025'!E:J,6,0)</f>
        <v>0</v>
      </c>
      <c r="T1907" s="565">
        <f>VLOOKUP(E1907,'2025'!E:K,7,0)</f>
        <v>0</v>
      </c>
      <c r="U1907" s="565">
        <f t="shared" si="14"/>
        <v>40300</v>
      </c>
      <c r="V1907" s="354"/>
      <c r="W1907" s="569" t="e">
        <f>+VLOOKUP(D1907,'JOURNAL FACTURES'!A:O,15,0)</f>
        <v>#N/A</v>
      </c>
      <c r="X1907" s="569" t="e">
        <f>VLOOKUP(D1907,'JOURNAL FACTURES'!A:P,16,0)</f>
        <v>#N/A</v>
      </c>
      <c r="Y1907" s="569" t="e">
        <f>VLOOKUP(D1907,'JOURNAL FACTURES'!A:Q,17,0)</f>
        <v>#N/A</v>
      </c>
      <c r="Z1907" s="569" t="e">
        <f>VLOOKUP(D1907,'JOURNAL FACTURES'!A:R,18,0)</f>
        <v>#N/A</v>
      </c>
      <c r="AA1907" s="570" t="e">
        <f t="shared" si="15"/>
        <v>#N/A</v>
      </c>
      <c r="AB1907" s="570" t="e">
        <f t="shared" si="16"/>
        <v>#N/A</v>
      </c>
      <c r="AC1907" s="570" t="e">
        <f t="shared" si="17"/>
        <v>#N/A</v>
      </c>
      <c r="AD1907" s="570" t="e">
        <f t="shared" si="18"/>
        <v>#N/A</v>
      </c>
      <c r="AE1907" s="569">
        <f>VLOOKUP(D1907,TRANSPORT!H:J,3,0)</f>
        <v>1308.1380000000001</v>
      </c>
      <c r="AF1907" s="569">
        <f>+VLOOKUP(D1907,TRANSPORT!N:O,2,0)</f>
        <v>12529.41</v>
      </c>
      <c r="AG1907" s="569">
        <f t="shared" si="19"/>
        <v>0.3109034739454094</v>
      </c>
      <c r="AH1907" s="571" t="e">
        <f t="shared" si="20"/>
        <v>#N/A</v>
      </c>
      <c r="AI1907" s="571" t="e">
        <f t="shared" si="21"/>
        <v>#N/A</v>
      </c>
      <c r="AJ1907" s="571" t="e">
        <f t="shared" si="22"/>
        <v>#N/A</v>
      </c>
      <c r="AK1907" s="571" t="e">
        <f t="shared" si="23"/>
        <v>#N/A</v>
      </c>
      <c r="AL1907" s="572">
        <f>VLOOKUP(D1907,'INTEGRATION PAR CLIENT '!A1302:J1330,10,0)</f>
        <v>1</v>
      </c>
      <c r="AM1907" s="572">
        <f>VLOOKUP(D1907,'INTEGRATION PAR CLIENT '!A1302:L1330,12,0)</f>
        <v>0</v>
      </c>
      <c r="AN1907" s="572">
        <f>+VLOOKUP(D1907,'INTEGRATION PAR CLIENT '!A1302:N1330,14,0)</f>
        <v>0</v>
      </c>
      <c r="AO1907" s="572">
        <f>+VLOOKUP(D1907,'INTEGRATION PAR CLIENT '!A1302:P1330,16,0)</f>
        <v>0</v>
      </c>
    </row>
    <row r="1908" spans="1:41">
      <c r="A1908" s="617">
        <v>28</v>
      </c>
      <c r="B1908" s="496" t="str">
        <f t="shared" si="9"/>
        <v>028</v>
      </c>
      <c r="C1908" s="496">
        <f t="shared" si="10"/>
        <v>0</v>
      </c>
      <c r="D1908" s="566" t="str">
        <f>'2025'!D29</f>
        <v>FAE-25-00028</v>
      </c>
      <c r="E1908" s="496" t="str">
        <f t="shared" si="11"/>
        <v>028</v>
      </c>
      <c r="F1908" s="567">
        <f>+'2025'!G29</f>
        <v>45685</v>
      </c>
      <c r="G1908" s="496">
        <f t="shared" si="12"/>
        <v>2025</v>
      </c>
      <c r="H1908" s="586" t="s">
        <v>17259</v>
      </c>
      <c r="I1908" s="496" t="str">
        <f>+VLOOKUP(H1908,Sheet1!A:C,3,0)</f>
        <v>RNK DISTRIBUTION</v>
      </c>
      <c r="J1908" s="496" t="str">
        <f>+VLOOKUP(H1908,Sheet1!A:D,4,0)</f>
        <v>USD</v>
      </c>
      <c r="K1908" s="497">
        <f t="shared" si="13"/>
        <v>141032.837</v>
      </c>
      <c r="L1908" s="586">
        <v>3.1757</v>
      </c>
      <c r="M1908" s="587">
        <v>44410</v>
      </c>
      <c r="N1908" s="496" t="str">
        <f>+VLOOKUP(E1908,'2025'!E:F,2,0)</f>
        <v>OUI</v>
      </c>
      <c r="O1908" s="496" t="str">
        <f>VLOOKUP(E1908,'2025'!E:N,10,0)</f>
        <v>MAdagascar</v>
      </c>
      <c r="P1908" s="880">
        <f>VLOOKUP(E1908,'2025'!E:O,11,0)</f>
        <v>45708</v>
      </c>
      <c r="Q1908" s="565">
        <f>VLOOKUP(E1908,'2025'!E:H,4,0)</f>
        <v>0</v>
      </c>
      <c r="R1908" s="565">
        <f>VLOOKUP(E1908,'2025'!E:I,5,0)</f>
        <v>60800</v>
      </c>
      <c r="S1908" s="565">
        <f>VLOOKUP(E1908,'2025'!E:J,6,0)</f>
        <v>0</v>
      </c>
      <c r="T1908" s="565">
        <f>VLOOKUP(E1908,'2025'!E:K,7,0)</f>
        <v>0</v>
      </c>
      <c r="U1908" s="565">
        <f t="shared" si="14"/>
        <v>60800</v>
      </c>
      <c r="V1908" s="354"/>
      <c r="W1908" s="569" t="e">
        <f>+VLOOKUP(D1908,'JOURNAL FACTURES'!A:O,15,0)</f>
        <v>#N/A</v>
      </c>
      <c r="X1908" s="569" t="e">
        <f>VLOOKUP(D1908,'JOURNAL FACTURES'!A:P,16,0)</f>
        <v>#N/A</v>
      </c>
      <c r="Y1908" s="569" t="e">
        <f>VLOOKUP(D1908,'JOURNAL FACTURES'!A:Q,17,0)</f>
        <v>#N/A</v>
      </c>
      <c r="Z1908" s="569" t="e">
        <f>VLOOKUP(D1908,'JOURNAL FACTURES'!A:R,18,0)</f>
        <v>#N/A</v>
      </c>
      <c r="AA1908" s="570" t="e">
        <f t="shared" si="15"/>
        <v>#N/A</v>
      </c>
      <c r="AB1908" s="570" t="e">
        <f t="shared" si="16"/>
        <v>#N/A</v>
      </c>
      <c r="AC1908" s="570" t="e">
        <f t="shared" si="17"/>
        <v>#N/A</v>
      </c>
      <c r="AD1908" s="570" t="e">
        <f t="shared" si="18"/>
        <v>#N/A</v>
      </c>
      <c r="AE1908" s="569">
        <f>VLOOKUP(D1908,TRANSPORT!H:J,3,0)</f>
        <v>3955.2000000000003</v>
      </c>
      <c r="AF1908" s="569">
        <f>+VLOOKUP(D1908,TRANSPORT!N:O,2,0)</f>
        <v>22144.13</v>
      </c>
      <c r="AG1908" s="569">
        <f t="shared" si="19"/>
        <v>0.36421266447368422</v>
      </c>
      <c r="AH1908" s="571" t="e">
        <f t="shared" si="20"/>
        <v>#N/A</v>
      </c>
      <c r="AI1908" s="571" t="e">
        <f t="shared" si="21"/>
        <v>#N/A</v>
      </c>
      <c r="AJ1908" s="571" t="e">
        <f t="shared" si="22"/>
        <v>#N/A</v>
      </c>
      <c r="AK1908" s="571" t="e">
        <f t="shared" si="23"/>
        <v>#N/A</v>
      </c>
      <c r="AL1908" s="572">
        <f>VLOOKUP(D1908,'INTEGRATION PAR CLIENT '!A1303:J1331,10,0)</f>
        <v>0</v>
      </c>
      <c r="AM1908" s="572" t="str">
        <f>VLOOKUP(D1908,'INTEGRATION PAR CLIENT '!A1303:L1331,12,0)</f>
        <v>20%S-80%F</v>
      </c>
      <c r="AN1908" s="572">
        <f>+VLOOKUP(D1908,'INTEGRATION PAR CLIENT '!A1303:N1331,14,0)</f>
        <v>0</v>
      </c>
      <c r="AO1908" s="572">
        <f>+VLOOKUP(D1908,'INTEGRATION PAR CLIENT '!A1303:P1331,16,0)</f>
        <v>0</v>
      </c>
    </row>
    <row r="1909" spans="1:41">
      <c r="A1909" s="617">
        <v>29</v>
      </c>
      <c r="B1909" s="496" t="str">
        <f t="shared" si="9"/>
        <v>029</v>
      </c>
      <c r="C1909" s="496">
        <f t="shared" si="10"/>
        <v>0</v>
      </c>
      <c r="D1909" s="566" t="str">
        <f>'2025'!D30</f>
        <v>FAE-25-00029</v>
      </c>
      <c r="E1909" s="496" t="str">
        <f t="shared" si="11"/>
        <v>029</v>
      </c>
      <c r="F1909" s="567">
        <f>+'2025'!G30</f>
        <v>45685</v>
      </c>
      <c r="G1909" s="496">
        <f t="shared" si="12"/>
        <v>2025</v>
      </c>
      <c r="H1909" s="586" t="s">
        <v>17342</v>
      </c>
      <c r="I1909" s="496" t="str">
        <f>+VLOOKUP(H1909,Sheet1!A:C,3,0)</f>
        <v>SODIC</v>
      </c>
      <c r="J1909" s="496" t="str">
        <f>+VLOOKUP(H1909,Sheet1!A:D,4,0)</f>
        <v>EUR</v>
      </c>
      <c r="K1909" s="497">
        <f t="shared" si="13"/>
        <v>27908.279627999997</v>
      </c>
      <c r="L1909" s="586">
        <v>3.3249</v>
      </c>
      <c r="M1909" s="587">
        <v>8393.7199999999993</v>
      </c>
      <c r="N1909" s="496" t="str">
        <f>+VLOOKUP(E1909,'2025'!E:F,2,0)</f>
        <v>OUI</v>
      </c>
      <c r="O1909" s="496" t="str">
        <f>VLOOKUP(E1909,'2025'!E:N,10,0)</f>
        <v>France</v>
      </c>
      <c r="P1909" s="880">
        <f>VLOOKUP(E1909,'2025'!E:O,11,0)</f>
        <v>45688</v>
      </c>
      <c r="Q1909" s="565">
        <f>VLOOKUP(E1909,'2025'!E:H,4,0)</f>
        <v>0</v>
      </c>
      <c r="R1909" s="565">
        <f>VLOOKUP(E1909,'2025'!E:I,5,0)</f>
        <v>17112</v>
      </c>
      <c r="S1909" s="565">
        <f>VLOOKUP(E1909,'2025'!E:J,6,0)</f>
        <v>6000</v>
      </c>
      <c r="T1909" s="565">
        <f>VLOOKUP(E1909,'2025'!E:K,7,0)</f>
        <v>0</v>
      </c>
      <c r="U1909" s="565">
        <f t="shared" si="14"/>
        <v>23112</v>
      </c>
      <c r="V1909" s="354"/>
      <c r="W1909" s="569" t="e">
        <f>+VLOOKUP(D1909,'JOURNAL FACTURES'!A:O,15,0)</f>
        <v>#N/A</v>
      </c>
      <c r="X1909" s="569" t="e">
        <f>VLOOKUP(D1909,'JOURNAL FACTURES'!A:P,16,0)</f>
        <v>#N/A</v>
      </c>
      <c r="Y1909" s="569" t="e">
        <f>VLOOKUP(D1909,'JOURNAL FACTURES'!A:Q,17,0)</f>
        <v>#N/A</v>
      </c>
      <c r="Z1909" s="569" t="e">
        <f>VLOOKUP(D1909,'JOURNAL FACTURES'!A:R,18,0)</f>
        <v>#N/A</v>
      </c>
      <c r="AA1909" s="570" t="e">
        <f t="shared" si="15"/>
        <v>#N/A</v>
      </c>
      <c r="AB1909" s="570" t="e">
        <f t="shared" si="16"/>
        <v>#N/A</v>
      </c>
      <c r="AC1909" s="570" t="e">
        <f t="shared" si="17"/>
        <v>#N/A</v>
      </c>
      <c r="AD1909" s="570" t="e">
        <f t="shared" si="18"/>
        <v>#N/A</v>
      </c>
      <c r="AE1909" s="569">
        <f>VLOOKUP(D1909,TRANSPORT!H:J,3,0)</f>
        <v>1223.6679000000001</v>
      </c>
      <c r="AF1909" s="569">
        <f>+VLOOKUP(D1909,TRANSPORT!N:O,2,0)</f>
        <v>12209.25</v>
      </c>
      <c r="AG1909" s="569">
        <f t="shared" si="19"/>
        <v>0.52826453790238836</v>
      </c>
      <c r="AH1909" s="571" t="e">
        <f t="shared" si="20"/>
        <v>#N/A</v>
      </c>
      <c r="AI1909" s="571" t="e">
        <f t="shared" si="21"/>
        <v>#N/A</v>
      </c>
      <c r="AJ1909" s="571" t="e">
        <f t="shared" si="22"/>
        <v>#N/A</v>
      </c>
      <c r="AK1909" s="571" t="e">
        <f t="shared" si="23"/>
        <v>#N/A</v>
      </c>
      <c r="AL1909" s="572">
        <f>VLOOKUP(D1909,'INTEGRATION PAR CLIENT '!A1304:J1332,10,0)</f>
        <v>0</v>
      </c>
      <c r="AM1909" s="572">
        <f>VLOOKUP(D1909,'INTEGRATION PAR CLIENT '!A1304:L1332,12,0)</f>
        <v>1</v>
      </c>
      <c r="AN1909" s="572">
        <f>+VLOOKUP(D1909,'INTEGRATION PAR CLIENT '!A1304:N1332,14,0)</f>
        <v>1</v>
      </c>
      <c r="AO1909" s="572">
        <f>+VLOOKUP(D1909,'INTEGRATION PAR CLIENT '!A1304:P1332,16,0)</f>
        <v>0</v>
      </c>
    </row>
    <row r="1910" spans="1:41">
      <c r="A1910" s="617">
        <v>30</v>
      </c>
      <c r="B1910" s="496" t="str">
        <f t="shared" si="9"/>
        <v>030</v>
      </c>
      <c r="C1910" s="496">
        <f t="shared" si="10"/>
        <v>0</v>
      </c>
      <c r="D1910" s="566" t="str">
        <f>'2025'!D31</f>
        <v>FAE-25-00030</v>
      </c>
      <c r="E1910" s="496" t="str">
        <f t="shared" si="11"/>
        <v>030</v>
      </c>
      <c r="F1910" s="567">
        <f>+'2025'!G31</f>
        <v>45686</v>
      </c>
      <c r="G1910" s="496">
        <f t="shared" si="12"/>
        <v>2025</v>
      </c>
      <c r="H1910" s="586" t="s">
        <v>17342</v>
      </c>
      <c r="I1910" s="496" t="str">
        <f>+VLOOKUP(H1910,Sheet1!A:C,3,0)</f>
        <v>SODIC</v>
      </c>
      <c r="J1910" s="496" t="str">
        <f>+VLOOKUP(H1910,Sheet1!A:D,4,0)</f>
        <v>EUR</v>
      </c>
      <c r="K1910" s="497">
        <f t="shared" si="13"/>
        <v>73645.231979999997</v>
      </c>
      <c r="L1910" s="586">
        <v>3.3195000000000001</v>
      </c>
      <c r="M1910" s="587">
        <v>22185.64</v>
      </c>
      <c r="N1910" s="496" t="str">
        <f>+VLOOKUP(E1910,'2025'!E:F,2,0)</f>
        <v>OUI</v>
      </c>
      <c r="O1910" s="496" t="str">
        <f>VLOOKUP(E1910,'2025'!E:N,10,0)</f>
        <v>France</v>
      </c>
      <c r="P1910" s="880">
        <f>VLOOKUP(E1910,'2025'!E:O,11,0)</f>
        <v>45695</v>
      </c>
      <c r="Q1910" s="565">
        <f>VLOOKUP(E1910,'2025'!E:H,4,0)</f>
        <v>6400</v>
      </c>
      <c r="R1910" s="565">
        <f>VLOOKUP(E1910,'2025'!E:I,5,0)</f>
        <v>24840</v>
      </c>
      <c r="S1910" s="565">
        <f>VLOOKUP(E1910,'2025'!E:J,6,0)</f>
        <v>3600</v>
      </c>
      <c r="T1910" s="565">
        <f>VLOOKUP(E1910,'2025'!E:K,7,0)</f>
        <v>10800</v>
      </c>
      <c r="U1910" s="565">
        <f t="shared" si="14"/>
        <v>45640</v>
      </c>
      <c r="V1910" s="354"/>
      <c r="W1910" s="569" t="e">
        <f>+VLOOKUP(D1910,'JOURNAL FACTURES'!A:O,15,0)</f>
        <v>#N/A</v>
      </c>
      <c r="X1910" s="569" t="e">
        <f>VLOOKUP(D1910,'JOURNAL FACTURES'!A:P,16,0)</f>
        <v>#N/A</v>
      </c>
      <c r="Y1910" s="569" t="e">
        <f>VLOOKUP(D1910,'JOURNAL FACTURES'!A:Q,17,0)</f>
        <v>#N/A</v>
      </c>
      <c r="Z1910" s="569" t="e">
        <f>VLOOKUP(D1910,'JOURNAL FACTURES'!A:R,18,0)</f>
        <v>#N/A</v>
      </c>
      <c r="AA1910" s="570" t="e">
        <f t="shared" si="15"/>
        <v>#N/A</v>
      </c>
      <c r="AB1910" s="570" t="e">
        <f t="shared" si="16"/>
        <v>#N/A</v>
      </c>
      <c r="AC1910" s="570" t="e">
        <f t="shared" si="17"/>
        <v>#N/A</v>
      </c>
      <c r="AD1910" s="570" t="e">
        <f t="shared" si="18"/>
        <v>#N/A</v>
      </c>
      <c r="AE1910" s="569">
        <f>VLOOKUP(D1910,TRANSPORT!H:J,3,0)</f>
        <v>2216.0891999999999</v>
      </c>
      <c r="AF1910" s="569">
        <f>+VLOOKUP(D1910,TRANSPORT!N:O,2,0)</f>
        <v>24036.12</v>
      </c>
      <c r="AG1910" s="569">
        <f t="shared" si="19"/>
        <v>0.52664592462751969</v>
      </c>
      <c r="AH1910" s="571" t="e">
        <f t="shared" si="20"/>
        <v>#N/A</v>
      </c>
      <c r="AI1910" s="571" t="e">
        <f t="shared" si="21"/>
        <v>#N/A</v>
      </c>
      <c r="AJ1910" s="571" t="e">
        <f t="shared" si="22"/>
        <v>#N/A</v>
      </c>
      <c r="AK1910" s="571" t="e">
        <f t="shared" si="23"/>
        <v>#N/A</v>
      </c>
      <c r="AL1910" s="572">
        <f>VLOOKUP(D1910,'INTEGRATION PAR CLIENT '!A1305:J1333,10,0)</f>
        <v>1</v>
      </c>
      <c r="AM1910" s="572">
        <f>VLOOKUP(D1910,'INTEGRATION PAR CLIENT '!A1305:L1333,12,0)</f>
        <v>1</v>
      </c>
      <c r="AN1910" s="572">
        <f>+VLOOKUP(D1910,'INTEGRATION PAR CLIENT '!A1305:N1333,14,0)</f>
        <v>1</v>
      </c>
      <c r="AO1910" s="572">
        <f>+VLOOKUP(D1910,'INTEGRATION PAR CLIENT '!A1305:P1333,16,0)</f>
        <v>1</v>
      </c>
    </row>
    <row r="1911" spans="1:41">
      <c r="A1911" s="617">
        <v>31</v>
      </c>
      <c r="B1911" s="496" t="str">
        <f t="shared" si="9"/>
        <v>031</v>
      </c>
      <c r="C1911" s="496">
        <f t="shared" si="10"/>
        <v>0</v>
      </c>
      <c r="D1911" s="566" t="str">
        <f>'2025'!D32</f>
        <v>FAE-25-00031</v>
      </c>
      <c r="E1911" s="496" t="str">
        <f t="shared" si="11"/>
        <v>031</v>
      </c>
      <c r="F1911" s="567">
        <f>+'2025'!G32</f>
        <v>45686</v>
      </c>
      <c r="G1911" s="496">
        <f t="shared" si="12"/>
        <v>2025</v>
      </c>
      <c r="H1911" s="586" t="s">
        <v>17342</v>
      </c>
      <c r="I1911" s="496" t="str">
        <f>+VLOOKUP(H1911,Sheet1!A:C,3,0)</f>
        <v>SODIC</v>
      </c>
      <c r="J1911" s="496" t="str">
        <f>+VLOOKUP(H1911,Sheet1!A:D,4,0)</f>
        <v>EUR</v>
      </c>
      <c r="K1911" s="497">
        <f t="shared" si="13"/>
        <v>32640.34144</v>
      </c>
      <c r="L1911" s="586">
        <v>3.3170000000000002</v>
      </c>
      <c r="M1911" s="587">
        <v>9840.32</v>
      </c>
      <c r="N1911" s="496" t="str">
        <f>+VLOOKUP(E1911,'2025'!E:F,2,0)</f>
        <v>OUI</v>
      </c>
      <c r="O1911" s="496" t="str">
        <f>VLOOKUP(E1911,'2025'!E:N,10,0)</f>
        <v>France</v>
      </c>
      <c r="P1911" s="880">
        <f>VLOOKUP(E1911,'2025'!E:O,11,0)</f>
        <v>45695</v>
      </c>
      <c r="Q1911" s="565">
        <f>VLOOKUP(E1911,'2025'!E:H,4,0)</f>
        <v>0</v>
      </c>
      <c r="R1911" s="565">
        <f>VLOOKUP(E1911,'2025'!E:I,5,0)</f>
        <v>20400</v>
      </c>
      <c r="S1911" s="565">
        <f>VLOOKUP(E1911,'2025'!E:J,6,0)</f>
        <v>3600</v>
      </c>
      <c r="T1911" s="565">
        <f>VLOOKUP(E1911,'2025'!E:K,7,0)</f>
        <v>0</v>
      </c>
      <c r="U1911" s="565">
        <f t="shared" si="14"/>
        <v>24000</v>
      </c>
      <c r="V1911" s="354"/>
      <c r="W1911" s="569" t="e">
        <f>+VLOOKUP(D1911,'JOURNAL FACTURES'!A:O,15,0)</f>
        <v>#N/A</v>
      </c>
      <c r="X1911" s="569" t="e">
        <f>VLOOKUP(D1911,'JOURNAL FACTURES'!A:P,16,0)</f>
        <v>#N/A</v>
      </c>
      <c r="Y1911" s="569" t="e">
        <f>VLOOKUP(D1911,'JOURNAL FACTURES'!A:Q,17,0)</f>
        <v>#N/A</v>
      </c>
      <c r="Z1911" s="569" t="e">
        <f>VLOOKUP(D1911,'JOURNAL FACTURES'!A:R,18,0)</f>
        <v>#N/A</v>
      </c>
      <c r="AA1911" s="570" t="e">
        <f t="shared" si="15"/>
        <v>#N/A</v>
      </c>
      <c r="AB1911" s="570" t="e">
        <f t="shared" si="16"/>
        <v>#N/A</v>
      </c>
      <c r="AC1911" s="570" t="e">
        <f t="shared" si="17"/>
        <v>#N/A</v>
      </c>
      <c r="AD1911" s="570" t="e">
        <f t="shared" si="18"/>
        <v>#N/A</v>
      </c>
      <c r="AE1911" s="569">
        <f>VLOOKUP(D1911,TRANSPORT!H:J,3,0)</f>
        <v>1108.0445999999999</v>
      </c>
      <c r="AF1911" s="569">
        <f>+VLOOKUP(D1911,TRANSPORT!N:O,2,0)</f>
        <v>12018.06</v>
      </c>
      <c r="AG1911" s="569">
        <f t="shared" si="19"/>
        <v>0.50075249999999993</v>
      </c>
      <c r="AH1911" s="571" t="e">
        <f t="shared" si="20"/>
        <v>#N/A</v>
      </c>
      <c r="AI1911" s="571" t="e">
        <f t="shared" si="21"/>
        <v>#N/A</v>
      </c>
      <c r="AJ1911" s="571" t="e">
        <f t="shared" si="22"/>
        <v>#N/A</v>
      </c>
      <c r="AK1911" s="571" t="e">
        <f t="shared" si="23"/>
        <v>#N/A</v>
      </c>
      <c r="AL1911" s="572">
        <f>VLOOKUP(D1911,'INTEGRATION PAR CLIENT '!A1306:J1334,10,0)</f>
        <v>0</v>
      </c>
      <c r="AM1911" s="572">
        <f>VLOOKUP(D1911,'INTEGRATION PAR CLIENT '!A1306:L1334,12,0)</f>
        <v>1</v>
      </c>
      <c r="AN1911" s="572">
        <f>+VLOOKUP(D1911,'INTEGRATION PAR CLIENT '!A1306:N1334,14,0)</f>
        <v>1</v>
      </c>
      <c r="AO1911" s="572">
        <f>+VLOOKUP(D1911,'INTEGRATION PAR CLIENT '!A1306:P1334,16,0)</f>
        <v>0</v>
      </c>
    </row>
    <row r="1912" spans="1:41">
      <c r="A1912" s="617">
        <v>32</v>
      </c>
      <c r="B1912" s="496" t="str">
        <f t="shared" si="9"/>
        <v>032</v>
      </c>
      <c r="C1912" s="496">
        <f t="shared" si="10"/>
        <v>0</v>
      </c>
      <c r="D1912" s="566" t="str">
        <f>'2025'!D33</f>
        <v>FAE-25-00032</v>
      </c>
      <c r="E1912" s="496" t="str">
        <f t="shared" si="11"/>
        <v>032</v>
      </c>
      <c r="F1912" s="567">
        <f>+'2025'!G33</f>
        <v>45685</v>
      </c>
      <c r="G1912" s="496">
        <f t="shared" si="12"/>
        <v>2025</v>
      </c>
      <c r="H1912" s="586" t="s">
        <v>17342</v>
      </c>
      <c r="I1912" s="496" t="str">
        <f>+VLOOKUP(H1912,Sheet1!A:C,3,0)</f>
        <v>SODIC</v>
      </c>
      <c r="J1912" s="496" t="str">
        <f>+VLOOKUP(H1912,Sheet1!A:D,4,0)</f>
        <v>EUR</v>
      </c>
      <c r="K1912" s="497">
        <f t="shared" si="13"/>
        <v>9260.3351880000009</v>
      </c>
      <c r="L1912" s="586">
        <v>3.3267000000000002</v>
      </c>
      <c r="M1912" s="587">
        <v>2783.64</v>
      </c>
      <c r="N1912" s="496" t="str">
        <f>+VLOOKUP(E1912,'2025'!E:F,2,0)</f>
        <v>OUI</v>
      </c>
      <c r="O1912" s="496" t="str">
        <f>VLOOKUP(E1912,'2025'!E:N,10,0)</f>
        <v>France</v>
      </c>
      <c r="P1912" s="880">
        <f>VLOOKUP(E1912,'2025'!E:O,11,0)</f>
        <v>45706</v>
      </c>
      <c r="Q1912" s="565">
        <f>VLOOKUP(E1912,'2025'!E:H,4,0)</f>
        <v>0</v>
      </c>
      <c r="R1912" s="565">
        <f>VLOOKUP(E1912,'2025'!E:I,5,0)</f>
        <v>11280</v>
      </c>
      <c r="S1912" s="565">
        <f>VLOOKUP(E1912,'2025'!E:J,6,0)</f>
        <v>0</v>
      </c>
      <c r="T1912" s="565">
        <f>VLOOKUP(E1912,'2025'!E:K,7,0)</f>
        <v>0</v>
      </c>
      <c r="U1912" s="565">
        <f t="shared" si="14"/>
        <v>11280</v>
      </c>
      <c r="V1912" s="354"/>
      <c r="W1912" s="569" t="e">
        <f>+VLOOKUP(D1912,'JOURNAL FACTURES'!A:O,15,0)</f>
        <v>#N/A</v>
      </c>
      <c r="X1912" s="569" t="e">
        <f>VLOOKUP(D1912,'JOURNAL FACTURES'!A:P,16,0)</f>
        <v>#N/A</v>
      </c>
      <c r="Y1912" s="569" t="e">
        <f>VLOOKUP(D1912,'JOURNAL FACTURES'!A:Q,17,0)</f>
        <v>#N/A</v>
      </c>
      <c r="Z1912" s="569" t="e">
        <f>VLOOKUP(D1912,'JOURNAL FACTURES'!A:R,18,0)</f>
        <v>#N/A</v>
      </c>
      <c r="AA1912" s="570" t="e">
        <f t="shared" si="15"/>
        <v>#N/A</v>
      </c>
      <c r="AB1912" s="570" t="e">
        <f t="shared" si="16"/>
        <v>#N/A</v>
      </c>
      <c r="AC1912" s="570" t="e">
        <f t="shared" si="17"/>
        <v>#N/A</v>
      </c>
      <c r="AD1912" s="570" t="e">
        <f t="shared" si="18"/>
        <v>#N/A</v>
      </c>
      <c r="AE1912" s="569">
        <f>VLOOKUP(D1912,TRANSPORT!H:J,3,0)</f>
        <v>0</v>
      </c>
      <c r="AF1912" s="569">
        <f>+VLOOKUP(D1912,TRANSPORT!N:O,2,0)</f>
        <v>0</v>
      </c>
      <c r="AG1912" s="569">
        <f t="shared" si="19"/>
        <v>0</v>
      </c>
      <c r="AH1912" s="571" t="e">
        <f t="shared" si="20"/>
        <v>#N/A</v>
      </c>
      <c r="AI1912" s="571" t="e">
        <f t="shared" si="21"/>
        <v>#N/A</v>
      </c>
      <c r="AJ1912" s="571" t="e">
        <f t="shared" si="22"/>
        <v>#N/A</v>
      </c>
      <c r="AK1912" s="571" t="e">
        <f t="shared" si="23"/>
        <v>#N/A</v>
      </c>
      <c r="AL1912" s="572">
        <f>VLOOKUP(D1912,'INTEGRATION PAR CLIENT '!A1307:J1335,10,0)</f>
        <v>0</v>
      </c>
      <c r="AM1912" s="572">
        <f>VLOOKUP(D1912,'INTEGRATION PAR CLIENT '!A1307:L1335,12,0)</f>
        <v>1</v>
      </c>
      <c r="AN1912" s="572">
        <f>+VLOOKUP(D1912,'INTEGRATION PAR CLIENT '!A1307:N1335,14,0)</f>
        <v>0</v>
      </c>
      <c r="AO1912" s="572">
        <f>+VLOOKUP(D1912,'INTEGRATION PAR CLIENT '!A1307:P1335,16,0)</f>
        <v>0</v>
      </c>
    </row>
    <row r="1913" spans="1:41">
      <c r="A1913" s="617">
        <v>33</v>
      </c>
      <c r="B1913" s="496" t="str">
        <f t="shared" si="9"/>
        <v>033</v>
      </c>
      <c r="C1913" s="496">
        <f t="shared" si="10"/>
        <v>0</v>
      </c>
      <c r="D1913" s="566" t="str">
        <f>'2025'!D34</f>
        <v>FAE-25-00033</v>
      </c>
      <c r="E1913" s="496" t="str">
        <f t="shared" si="11"/>
        <v>033</v>
      </c>
      <c r="F1913" s="567">
        <f>+'2025'!G34</f>
        <v>45688</v>
      </c>
      <c r="G1913" s="496">
        <f t="shared" si="12"/>
        <v>2025</v>
      </c>
      <c r="H1913" s="586" t="s">
        <v>16838</v>
      </c>
      <c r="I1913" s="496" t="str">
        <f>+VLOOKUP(H1913,Sheet1!A:C,3,0)</f>
        <v>TUNISIAN AFRICAN BUSINESS</v>
      </c>
      <c r="J1913" s="496" t="str">
        <f>+VLOOKUP(H1913,Sheet1!A:D,4,0)</f>
        <v>TND</v>
      </c>
      <c r="K1913" s="497">
        <f t="shared" si="13"/>
        <v>29927.599999999999</v>
      </c>
      <c r="L1913" s="586">
        <v>1</v>
      </c>
      <c r="M1913" s="587">
        <v>29927.599999999999</v>
      </c>
      <c r="N1913" s="496" t="str">
        <f>+VLOOKUP(E1913,'2025'!E:F,2,0)</f>
        <v>OUI</v>
      </c>
      <c r="O1913" s="496" t="str">
        <f>VLOOKUP(E1913,'2025'!E:N,10,0)</f>
        <v>Dubai</v>
      </c>
      <c r="P1913" s="880">
        <f>VLOOKUP(E1913,'2025'!E:O,11,0)</f>
        <v>45700</v>
      </c>
      <c r="Q1913" s="565">
        <f>VLOOKUP(E1913,'2025'!E:H,4,0)</f>
        <v>0</v>
      </c>
      <c r="R1913" s="565">
        <f>VLOOKUP(E1913,'2025'!E:I,5,0)</f>
        <v>4032</v>
      </c>
      <c r="S1913" s="565">
        <f>VLOOKUP(E1913,'2025'!E:J,6,0)</f>
        <v>1920</v>
      </c>
      <c r="T1913" s="565">
        <f>VLOOKUP(E1913,'2025'!E:K,7,0)</f>
        <v>2500</v>
      </c>
      <c r="U1913" s="565">
        <f t="shared" si="14"/>
        <v>8452</v>
      </c>
      <c r="V1913" s="354"/>
      <c r="W1913" s="569" t="e">
        <f>+VLOOKUP(D1913,'JOURNAL FACTURES'!A:O,15,0)</f>
        <v>#N/A</v>
      </c>
      <c r="X1913" s="569" t="e">
        <f>VLOOKUP(D1913,'JOURNAL FACTURES'!A:P,16,0)</f>
        <v>#N/A</v>
      </c>
      <c r="Y1913" s="569" t="e">
        <f>VLOOKUP(D1913,'JOURNAL FACTURES'!A:Q,17,0)</f>
        <v>#N/A</v>
      </c>
      <c r="Z1913" s="569" t="e">
        <f>VLOOKUP(D1913,'JOURNAL FACTURES'!A:R,18,0)</f>
        <v>#N/A</v>
      </c>
      <c r="AA1913" s="570" t="e">
        <f t="shared" si="15"/>
        <v>#N/A</v>
      </c>
      <c r="AB1913" s="570" t="e">
        <f t="shared" si="16"/>
        <v>#N/A</v>
      </c>
      <c r="AC1913" s="570" t="e">
        <f t="shared" si="17"/>
        <v>#N/A</v>
      </c>
      <c r="AD1913" s="570" t="e">
        <f t="shared" si="18"/>
        <v>#N/A</v>
      </c>
      <c r="AE1913" s="569">
        <f>VLOOKUP(D1913,TRANSPORT!H:J,3,0)</f>
        <v>0</v>
      </c>
      <c r="AF1913" s="569">
        <f>+VLOOKUP(D1913,TRANSPORT!N:O,2,0)</f>
        <v>0</v>
      </c>
      <c r="AG1913" s="569">
        <f t="shared" si="19"/>
        <v>0</v>
      </c>
      <c r="AH1913" s="571" t="e">
        <f t="shared" si="20"/>
        <v>#N/A</v>
      </c>
      <c r="AI1913" s="571" t="e">
        <f t="shared" si="21"/>
        <v>#N/A</v>
      </c>
      <c r="AJ1913" s="571" t="e">
        <f t="shared" si="22"/>
        <v>#N/A</v>
      </c>
      <c r="AK1913" s="571" t="e">
        <f t="shared" si="23"/>
        <v>#N/A</v>
      </c>
      <c r="AL1913" s="572">
        <f>VLOOKUP(D1913,'INTEGRATION PAR CLIENT '!A1308:J1336,10,0)</f>
        <v>0</v>
      </c>
      <c r="AM1913" s="572">
        <f>VLOOKUP(D1913,'INTEGRATION PAR CLIENT '!A1308:L1336,12,0)</f>
        <v>1</v>
      </c>
      <c r="AN1913" s="572">
        <f>+VLOOKUP(D1913,'INTEGRATION PAR CLIENT '!A1308:N1336,14,0)</f>
        <v>1</v>
      </c>
      <c r="AO1913" s="572">
        <f>+VLOOKUP(D1913,'INTEGRATION PAR CLIENT '!A1308:P1336,16,0)</f>
        <v>1</v>
      </c>
    </row>
    <row r="1914" spans="1:41">
      <c r="A1914" s="617">
        <v>34</v>
      </c>
      <c r="B1914" s="496" t="str">
        <f t="shared" si="9"/>
        <v>034</v>
      </c>
      <c r="C1914" s="496">
        <f t="shared" si="10"/>
        <v>0</v>
      </c>
      <c r="D1914" s="566" t="str">
        <f>'2025'!D35</f>
        <v>FAE-25-00034</v>
      </c>
      <c r="E1914" s="496" t="str">
        <f t="shared" si="11"/>
        <v>034</v>
      </c>
      <c r="F1914" s="567">
        <f>+'2025'!G35</f>
        <v>45693</v>
      </c>
      <c r="G1914" s="496">
        <f t="shared" si="12"/>
        <v>2025</v>
      </c>
      <c r="H1914" s="586" t="s">
        <v>16384</v>
      </c>
      <c r="I1914" s="496" t="str">
        <f>+VLOOKUP(H1914,Sheet1!A:C,3,0)</f>
        <v>STE DE COMMERCE INTERNATIONAL</v>
      </c>
      <c r="J1914" s="496" t="str">
        <f>+VLOOKUP(H1914,Sheet1!A:D,4,0)</f>
        <v>TND</v>
      </c>
      <c r="K1914" s="497">
        <f t="shared" si="13"/>
        <v>384686.6</v>
      </c>
      <c r="L1914" s="586">
        <v>1</v>
      </c>
      <c r="M1914" s="587">
        <v>384686.6</v>
      </c>
      <c r="N1914" s="496" t="str">
        <f>+VLOOKUP(E1914,'2025'!E:F,2,0)</f>
        <v>OUI</v>
      </c>
      <c r="O1914" s="496" t="str">
        <f>VLOOKUP(E1914,'2025'!E:N,10,0)</f>
        <v>Niger</v>
      </c>
      <c r="P1914" s="880">
        <f>VLOOKUP(E1914,'2025'!E:O,11,0)</f>
        <v>45698</v>
      </c>
      <c r="Q1914" s="565">
        <f>VLOOKUP(E1914,'2025'!E:H,4,0)</f>
        <v>22008</v>
      </c>
      <c r="R1914" s="565">
        <f>VLOOKUP(E1914,'2025'!E:I,5,0)</f>
        <v>127220</v>
      </c>
      <c r="S1914" s="565">
        <f>VLOOKUP(E1914,'2025'!E:J,6,0)</f>
        <v>82500</v>
      </c>
      <c r="T1914" s="565">
        <f>VLOOKUP(E1914,'2025'!E:K,7,0)</f>
        <v>0</v>
      </c>
      <c r="U1914" s="565">
        <f t="shared" si="14"/>
        <v>231728</v>
      </c>
      <c r="V1914" s="354"/>
      <c r="W1914" s="569" t="e">
        <f>+VLOOKUP(D1914,'JOURNAL FACTURES'!A:O,15,0)</f>
        <v>#N/A</v>
      </c>
      <c r="X1914" s="569" t="e">
        <f>VLOOKUP(D1914,'JOURNAL FACTURES'!A:P,16,0)</f>
        <v>#N/A</v>
      </c>
      <c r="Y1914" s="569" t="e">
        <f>VLOOKUP(D1914,'JOURNAL FACTURES'!A:Q,17,0)</f>
        <v>#N/A</v>
      </c>
      <c r="Z1914" s="569" t="e">
        <f>VLOOKUP(D1914,'JOURNAL FACTURES'!A:R,18,0)</f>
        <v>#N/A</v>
      </c>
      <c r="AA1914" s="570" t="e">
        <f t="shared" si="15"/>
        <v>#N/A</v>
      </c>
      <c r="AB1914" s="570" t="e">
        <f t="shared" si="16"/>
        <v>#N/A</v>
      </c>
      <c r="AC1914" s="570" t="e">
        <f t="shared" si="17"/>
        <v>#N/A</v>
      </c>
      <c r="AD1914" s="570" t="e">
        <f t="shared" si="18"/>
        <v>#N/A</v>
      </c>
      <c r="AE1914" s="569">
        <f>VLOOKUP(D1914,TRANSPORT!H:J,3,0)</f>
        <v>0</v>
      </c>
      <c r="AF1914" s="569">
        <f>+VLOOKUP(D1914,TRANSPORT!N:O,2,0)</f>
        <v>0</v>
      </c>
      <c r="AG1914" s="569">
        <f t="shared" si="19"/>
        <v>0</v>
      </c>
      <c r="AH1914" s="571" t="e">
        <f t="shared" si="20"/>
        <v>#N/A</v>
      </c>
      <c r="AI1914" s="571" t="e">
        <f t="shared" si="21"/>
        <v>#N/A</v>
      </c>
      <c r="AJ1914" s="571" t="e">
        <f t="shared" si="22"/>
        <v>#N/A</v>
      </c>
      <c r="AK1914" s="571" t="e">
        <f t="shared" si="23"/>
        <v>#N/A</v>
      </c>
      <c r="AL1914" s="572">
        <f>VLOOKUP(D1914,'INTEGRATION PAR CLIENT '!A1309:J1337,10,0)</f>
        <v>1</v>
      </c>
      <c r="AM1914" s="572" t="str">
        <f>VLOOKUP(D1914,'INTEGRATION PAR CLIENT '!A1309:L1337,12,0)</f>
        <v>20%S-80%F</v>
      </c>
      <c r="AN1914" s="572" t="str">
        <f>+VLOOKUP(D1914,'INTEGRATION PAR CLIENT '!A1309:N1337,14,0)</f>
        <v>10%-90%</v>
      </c>
      <c r="AO1914" s="572">
        <f>+VLOOKUP(D1914,'INTEGRATION PAR CLIENT '!A1309:P1337,16,0)</f>
        <v>0</v>
      </c>
    </row>
    <row r="1915" spans="1:41">
      <c r="A1915" s="617">
        <v>35</v>
      </c>
      <c r="B1915" s="496" t="str">
        <f t="shared" si="9"/>
        <v>035</v>
      </c>
      <c r="C1915" s="496">
        <f t="shared" si="10"/>
        <v>0</v>
      </c>
      <c r="D1915" s="566" t="str">
        <f>'2025'!D36</f>
        <v>FAE-25-00035</v>
      </c>
      <c r="E1915" s="496" t="str">
        <f t="shared" si="11"/>
        <v>035</v>
      </c>
      <c r="F1915" s="567">
        <f>+'2025'!G36</f>
        <v>45694</v>
      </c>
      <c r="G1915" s="496">
        <f t="shared" si="12"/>
        <v>2025</v>
      </c>
      <c r="H1915" s="586" t="s">
        <v>17321</v>
      </c>
      <c r="I1915" s="496" t="str">
        <f>+VLOOKUP(H1915,Sheet1!A:C,3,0)</f>
        <v>AL SAHL MOUTAQADEM</v>
      </c>
      <c r="J1915" s="496" t="str">
        <f>+VLOOKUP(H1915,Sheet1!A:D,4,0)</f>
        <v>USD</v>
      </c>
      <c r="K1915" s="497">
        <f t="shared" si="13"/>
        <v>206883.72</v>
      </c>
      <c r="L1915" s="586">
        <v>3.19265</v>
      </c>
      <c r="M1915" s="587">
        <v>64800</v>
      </c>
      <c r="N1915" s="496" t="str">
        <f>+VLOOKUP(E1915,'2025'!E:F,2,0)</f>
        <v>OUI</v>
      </c>
      <c r="O1915" s="496" t="str">
        <f>VLOOKUP(E1915,'2025'!E:N,10,0)</f>
        <v>Libye</v>
      </c>
      <c r="P1915" s="880">
        <f>VLOOKUP(E1915,'2025'!E:O,11,0)</f>
        <v>45707</v>
      </c>
      <c r="Q1915" s="565">
        <f>VLOOKUP(E1915,'2025'!E:H,4,0)</f>
        <v>0</v>
      </c>
      <c r="R1915" s="565">
        <f>VLOOKUP(E1915,'2025'!E:I,5,0)</f>
        <v>0</v>
      </c>
      <c r="S1915" s="565">
        <f>VLOOKUP(E1915,'2025'!E:J,6,0)</f>
        <v>0</v>
      </c>
      <c r="T1915" s="565">
        <f>VLOOKUP(E1915,'2025'!E:K,7,0)</f>
        <v>40000</v>
      </c>
      <c r="U1915" s="565">
        <f t="shared" si="14"/>
        <v>40000</v>
      </c>
      <c r="V1915" s="354"/>
      <c r="W1915" s="569" t="e">
        <f>+VLOOKUP(D1915,'JOURNAL FACTURES'!A:O,15,0)</f>
        <v>#N/A</v>
      </c>
      <c r="X1915" s="569" t="e">
        <f>VLOOKUP(D1915,'JOURNAL FACTURES'!A:P,16,0)</f>
        <v>#N/A</v>
      </c>
      <c r="Y1915" s="569" t="e">
        <f>VLOOKUP(D1915,'JOURNAL FACTURES'!A:Q,17,0)</f>
        <v>#N/A</v>
      </c>
      <c r="Z1915" s="569" t="e">
        <f>VLOOKUP(D1915,'JOURNAL FACTURES'!A:R,18,0)</f>
        <v>#N/A</v>
      </c>
      <c r="AA1915" s="570" t="e">
        <f t="shared" si="15"/>
        <v>#N/A</v>
      </c>
      <c r="AB1915" s="570" t="e">
        <f t="shared" si="16"/>
        <v>#N/A</v>
      </c>
      <c r="AC1915" s="570" t="e">
        <f t="shared" si="17"/>
        <v>#N/A</v>
      </c>
      <c r="AD1915" s="570" t="e">
        <f t="shared" si="18"/>
        <v>#N/A</v>
      </c>
      <c r="AE1915" s="569">
        <f>VLOOKUP(D1915,TRANSPORT!H:J,3,0)</f>
        <v>0</v>
      </c>
      <c r="AF1915" s="569">
        <f>+VLOOKUP(D1915,TRANSPORT!N:O,2,0)</f>
        <v>0</v>
      </c>
      <c r="AG1915" s="569">
        <f t="shared" si="19"/>
        <v>0</v>
      </c>
      <c r="AH1915" s="571" t="e">
        <f t="shared" si="20"/>
        <v>#N/A</v>
      </c>
      <c r="AI1915" s="571" t="e">
        <f t="shared" si="21"/>
        <v>#N/A</v>
      </c>
      <c r="AJ1915" s="571" t="e">
        <f t="shared" si="22"/>
        <v>#N/A</v>
      </c>
      <c r="AK1915" s="571" t="e">
        <f t="shared" si="23"/>
        <v>#N/A</v>
      </c>
      <c r="AL1915" s="572">
        <f>VLOOKUP(D1915,'INTEGRATION PAR CLIENT '!A1310:J1338,10,0)</f>
        <v>0</v>
      </c>
      <c r="AM1915" s="572">
        <f>VLOOKUP(D1915,'INTEGRATION PAR CLIENT '!A1310:L1338,12,0)</f>
        <v>0</v>
      </c>
      <c r="AN1915" s="572">
        <f>+VLOOKUP(D1915,'INTEGRATION PAR CLIENT '!A1310:N1338,14,0)</f>
        <v>0</v>
      </c>
      <c r="AO1915" s="572">
        <f>+VLOOKUP(D1915,'INTEGRATION PAR CLIENT '!A1310:P1338,16,0)</f>
        <v>1</v>
      </c>
    </row>
    <row r="1916" spans="1:41">
      <c r="A1916" s="617">
        <v>36</v>
      </c>
      <c r="B1916" s="496" t="str">
        <f t="shared" si="9"/>
        <v>036</v>
      </c>
      <c r="C1916" s="496">
        <f t="shared" si="10"/>
        <v>0</v>
      </c>
      <c r="D1916" s="566" t="str">
        <f>'2025'!D37</f>
        <v>FAE-25-00036</v>
      </c>
      <c r="E1916" s="496" t="str">
        <f t="shared" si="11"/>
        <v>036</v>
      </c>
      <c r="F1916" s="567">
        <f>+'2025'!G37</f>
        <v>45698</v>
      </c>
      <c r="G1916" s="496">
        <f t="shared" si="12"/>
        <v>2025</v>
      </c>
      <c r="H1916" s="586" t="s">
        <v>17390</v>
      </c>
      <c r="I1916" s="496" t="str">
        <f>+VLOOKUP(H1916,Sheet1!A:C,3,0)</f>
        <v>ALMOSTAWRED ALJADEED CO. FOR IMPORT</v>
      </c>
      <c r="J1916" s="496" t="str">
        <f>+VLOOKUP(H1916,Sheet1!A:D,4,0)</f>
        <v>USD</v>
      </c>
      <c r="K1916" s="497">
        <f t="shared" si="13"/>
        <v>572137.97759999998</v>
      </c>
      <c r="L1916" s="586">
        <v>3.17685</v>
      </c>
      <c r="M1916" s="587">
        <v>180096</v>
      </c>
      <c r="N1916" s="496" t="str">
        <f>+VLOOKUP(E1916,'2025'!E:F,2,0)</f>
        <v>OUI</v>
      </c>
      <c r="O1916" s="496" t="str">
        <f>VLOOKUP(E1916,'2025'!E:N,10,0)</f>
        <v>Libye</v>
      </c>
      <c r="P1916" s="880">
        <f>VLOOKUP(E1916,'2025'!E:O,11,0)</f>
        <v>45706</v>
      </c>
      <c r="Q1916" s="565">
        <f>VLOOKUP(E1916,'2025'!E:H,4,0)</f>
        <v>72000</v>
      </c>
      <c r="R1916" s="565">
        <f>VLOOKUP(E1916,'2025'!E:I,5,0)</f>
        <v>110400</v>
      </c>
      <c r="S1916" s="565">
        <f>VLOOKUP(E1916,'2025'!E:J,6,0)</f>
        <v>86400</v>
      </c>
      <c r="T1916" s="565">
        <f>VLOOKUP(E1916,'2025'!E:K,7,0)</f>
        <v>0</v>
      </c>
      <c r="U1916" s="565">
        <f t="shared" si="14"/>
        <v>268800</v>
      </c>
      <c r="V1916" s="354"/>
      <c r="W1916" s="569" t="e">
        <f>+VLOOKUP(D1916,'JOURNAL FACTURES'!A:O,15,0)</f>
        <v>#N/A</v>
      </c>
      <c r="X1916" s="569" t="e">
        <f>VLOOKUP(D1916,'JOURNAL FACTURES'!A:P,16,0)</f>
        <v>#N/A</v>
      </c>
      <c r="Y1916" s="569" t="e">
        <f>VLOOKUP(D1916,'JOURNAL FACTURES'!A:Q,17,0)</f>
        <v>#N/A</v>
      </c>
      <c r="Z1916" s="569" t="e">
        <f>VLOOKUP(D1916,'JOURNAL FACTURES'!A:R,18,0)</f>
        <v>#N/A</v>
      </c>
      <c r="AA1916" s="570" t="e">
        <f t="shared" si="15"/>
        <v>#N/A</v>
      </c>
      <c r="AB1916" s="570" t="e">
        <f t="shared" si="16"/>
        <v>#N/A</v>
      </c>
      <c r="AC1916" s="570" t="e">
        <f t="shared" si="17"/>
        <v>#N/A</v>
      </c>
      <c r="AD1916" s="570" t="e">
        <f t="shared" si="18"/>
        <v>#N/A</v>
      </c>
      <c r="AE1916" s="569">
        <f>VLOOKUP(D1916,TRANSPORT!H:J,3,0)</f>
        <v>0</v>
      </c>
      <c r="AF1916" s="569">
        <f>+VLOOKUP(D1916,TRANSPORT!N:O,2,0)</f>
        <v>0</v>
      </c>
      <c r="AG1916" s="569">
        <f t="shared" si="19"/>
        <v>0</v>
      </c>
      <c r="AH1916" s="571" t="e">
        <f t="shared" si="20"/>
        <v>#N/A</v>
      </c>
      <c r="AI1916" s="571" t="e">
        <f t="shared" si="21"/>
        <v>#N/A</v>
      </c>
      <c r="AJ1916" s="571" t="e">
        <f t="shared" si="22"/>
        <v>#N/A</v>
      </c>
      <c r="AK1916" s="571" t="e">
        <f t="shared" si="23"/>
        <v>#N/A</v>
      </c>
      <c r="AL1916" s="572">
        <f>VLOOKUP(D1916,'INTEGRATION PAR CLIENT '!A1311:J1339,10,0)</f>
        <v>1</v>
      </c>
      <c r="AM1916" s="572" t="str">
        <f>VLOOKUP(D1916,'INTEGRATION PAR CLIENT '!A1311:L1339,12,0)</f>
        <v>50%-50%</v>
      </c>
      <c r="AN1916" s="572" t="str">
        <f>+VLOOKUP(D1916,'INTEGRATION PAR CLIENT '!A1311:N1339,14,0)</f>
        <v>50%-50%</v>
      </c>
      <c r="AO1916" s="572">
        <f>+VLOOKUP(D1916,'INTEGRATION PAR CLIENT '!A1311:P1339,16,0)</f>
        <v>0</v>
      </c>
    </row>
    <row r="1917" spans="1:41">
      <c r="A1917" s="617">
        <v>37</v>
      </c>
      <c r="B1917" s="496" t="str">
        <f t="shared" si="9"/>
        <v>037</v>
      </c>
      <c r="C1917" s="496">
        <f t="shared" si="10"/>
        <v>0</v>
      </c>
      <c r="D1917" s="566" t="str">
        <f>'2025'!D38</f>
        <v>FAE-25-00037</v>
      </c>
      <c r="E1917" s="496" t="str">
        <f t="shared" si="11"/>
        <v>037</v>
      </c>
      <c r="F1917" s="567">
        <f>+'2025'!G38</f>
        <v>45698</v>
      </c>
      <c r="G1917" s="496">
        <f t="shared" si="12"/>
        <v>2025</v>
      </c>
      <c r="H1917" s="586" t="s">
        <v>17390</v>
      </c>
      <c r="I1917" s="496" t="str">
        <f>+VLOOKUP(H1917,Sheet1!A:C,3,0)</f>
        <v>ALMOSTAWRED ALJADEED CO. FOR IMPORT</v>
      </c>
      <c r="J1917" s="496" t="str">
        <f>+VLOOKUP(H1917,Sheet1!A:D,4,0)</f>
        <v>USD</v>
      </c>
      <c r="K1917" s="497">
        <f t="shared" si="13"/>
        <v>386798.53274999995</v>
      </c>
      <c r="L1917" s="586">
        <v>3.1965499999999998</v>
      </c>
      <c r="M1917" s="587">
        <v>121005</v>
      </c>
      <c r="N1917" s="496" t="str">
        <f>+VLOOKUP(E1917,'2025'!E:F,2,0)</f>
        <v>OUI</v>
      </c>
      <c r="O1917" s="496" t="str">
        <f>VLOOKUP(E1917,'2025'!E:N,10,0)</f>
        <v>Libye</v>
      </c>
      <c r="P1917" s="880">
        <f>VLOOKUP(E1917,'2025'!E:O,11,0)</f>
        <v>45703</v>
      </c>
      <c r="Q1917" s="565">
        <f>VLOOKUP(E1917,'2025'!E:H,4,0)</f>
        <v>0</v>
      </c>
      <c r="R1917" s="565">
        <f>VLOOKUP(E1917,'2025'!E:I,5,0)</f>
        <v>40500</v>
      </c>
      <c r="S1917" s="565">
        <f>VLOOKUP(E1917,'2025'!E:J,6,0)</f>
        <v>24000</v>
      </c>
      <c r="T1917" s="565">
        <f>VLOOKUP(E1917,'2025'!E:K,7,0)</f>
        <v>26500</v>
      </c>
      <c r="U1917" s="565">
        <f t="shared" si="14"/>
        <v>91000</v>
      </c>
      <c r="V1917" s="354"/>
      <c r="W1917" s="569" t="e">
        <f>+VLOOKUP(D1917,'JOURNAL FACTURES'!A:O,15,0)</f>
        <v>#N/A</v>
      </c>
      <c r="X1917" s="569" t="e">
        <f>VLOOKUP(D1917,'JOURNAL FACTURES'!A:P,16,0)</f>
        <v>#N/A</v>
      </c>
      <c r="Y1917" s="569" t="e">
        <f>VLOOKUP(D1917,'JOURNAL FACTURES'!A:Q,17,0)</f>
        <v>#N/A</v>
      </c>
      <c r="Z1917" s="569" t="e">
        <f>VLOOKUP(D1917,'JOURNAL FACTURES'!A:R,18,0)</f>
        <v>#N/A</v>
      </c>
      <c r="AA1917" s="570" t="e">
        <f t="shared" si="15"/>
        <v>#N/A</v>
      </c>
      <c r="AB1917" s="570" t="e">
        <f t="shared" si="16"/>
        <v>#N/A</v>
      </c>
      <c r="AC1917" s="570" t="e">
        <f t="shared" si="17"/>
        <v>#N/A</v>
      </c>
      <c r="AD1917" s="570" t="e">
        <f t="shared" si="18"/>
        <v>#N/A</v>
      </c>
      <c r="AE1917" s="569">
        <f>VLOOKUP(D1917,TRANSPORT!H:J,3,0)</f>
        <v>0</v>
      </c>
      <c r="AF1917" s="569">
        <f>+VLOOKUP(D1917,TRANSPORT!N:O,2,0)</f>
        <v>0</v>
      </c>
      <c r="AG1917" s="569">
        <f t="shared" si="19"/>
        <v>0</v>
      </c>
      <c r="AH1917" s="571" t="e">
        <f t="shared" si="20"/>
        <v>#N/A</v>
      </c>
      <c r="AI1917" s="571" t="e">
        <f t="shared" si="21"/>
        <v>#N/A</v>
      </c>
      <c r="AJ1917" s="571" t="e">
        <f t="shared" si="22"/>
        <v>#N/A</v>
      </c>
      <c r="AK1917" s="571" t="e">
        <f t="shared" si="23"/>
        <v>#N/A</v>
      </c>
      <c r="AL1917" s="572">
        <f>VLOOKUP(D1917,'INTEGRATION PAR CLIENT '!A1312:J1340,10,0)</f>
        <v>0</v>
      </c>
      <c r="AM1917" s="572" t="str">
        <f>VLOOKUP(D1917,'INTEGRATION PAR CLIENT '!A1312:L1340,12,0)</f>
        <v>50%-50%</v>
      </c>
      <c r="AN1917" s="572" t="str">
        <f>+VLOOKUP(D1917,'INTEGRATION PAR CLIENT '!A1312:N1340,14,0)</f>
        <v>50%-50%</v>
      </c>
      <c r="AO1917" s="572">
        <f>+VLOOKUP(D1917,'INTEGRATION PAR CLIENT '!A1312:P1340,16,0)</f>
        <v>1</v>
      </c>
    </row>
    <row r="1918" spans="1:41">
      <c r="A1918" s="617">
        <v>38</v>
      </c>
      <c r="B1918" s="496" t="str">
        <f t="shared" si="9"/>
        <v>038</v>
      </c>
      <c r="C1918" s="496">
        <f t="shared" si="10"/>
        <v>0</v>
      </c>
      <c r="D1918" s="566" t="str">
        <f>'2025'!D39</f>
        <v>FAE-25-00038</v>
      </c>
      <c r="E1918" s="496" t="str">
        <f t="shared" si="11"/>
        <v>038</v>
      </c>
      <c r="F1918" s="567">
        <f>+'2025'!G39</f>
        <v>45698</v>
      </c>
      <c r="G1918" s="496">
        <f t="shared" si="12"/>
        <v>2025</v>
      </c>
      <c r="H1918" s="586" t="s">
        <v>17376</v>
      </c>
      <c r="I1918" s="496" t="str">
        <f>+VLOOKUP(H1918,Sheet1!A:C,3,0)</f>
        <v>STE AL AKIL</v>
      </c>
      <c r="J1918" s="496" t="str">
        <f>+VLOOKUP(H1918,Sheet1!A:D,4,0)</f>
        <v>TND</v>
      </c>
      <c r="K1918" s="497">
        <f t="shared" si="13"/>
        <v>394012.61</v>
      </c>
      <c r="L1918" s="586">
        <v>1</v>
      </c>
      <c r="M1918" s="587">
        <v>394012.61</v>
      </c>
      <c r="N1918" s="496" t="str">
        <f>+VLOOKUP(E1918,'2025'!E:F,2,0)</f>
        <v>OUI</v>
      </c>
      <c r="O1918" s="496" t="str">
        <f>VLOOKUP(E1918,'2025'!E:N,10,0)</f>
        <v>Libye</v>
      </c>
      <c r="P1918" s="880">
        <f>VLOOKUP(E1918,'2025'!E:O,11,0)</f>
        <v>45700</v>
      </c>
      <c r="Q1918" s="565">
        <f>VLOOKUP(E1918,'2025'!E:H,4,0)</f>
        <v>200006</v>
      </c>
      <c r="R1918" s="565">
        <f>VLOOKUP(E1918,'2025'!E:I,5,0)</f>
        <v>0</v>
      </c>
      <c r="S1918" s="565">
        <f>VLOOKUP(E1918,'2025'!E:J,6,0)</f>
        <v>0</v>
      </c>
      <c r="T1918" s="565">
        <f>VLOOKUP(E1918,'2025'!E:K,7,0)</f>
        <v>0</v>
      </c>
      <c r="U1918" s="565">
        <f t="shared" si="14"/>
        <v>200006</v>
      </c>
      <c r="V1918" s="354"/>
      <c r="W1918" s="569" t="e">
        <f>+VLOOKUP(D1918,'JOURNAL FACTURES'!A:O,15,0)</f>
        <v>#N/A</v>
      </c>
      <c r="X1918" s="569" t="e">
        <f>VLOOKUP(D1918,'JOURNAL FACTURES'!A:P,16,0)</f>
        <v>#N/A</v>
      </c>
      <c r="Y1918" s="569" t="e">
        <f>VLOOKUP(D1918,'JOURNAL FACTURES'!A:Q,17,0)</f>
        <v>#N/A</v>
      </c>
      <c r="Z1918" s="569" t="e">
        <f>VLOOKUP(D1918,'JOURNAL FACTURES'!A:R,18,0)</f>
        <v>#N/A</v>
      </c>
      <c r="AA1918" s="570" t="e">
        <f t="shared" si="15"/>
        <v>#N/A</v>
      </c>
      <c r="AB1918" s="570" t="e">
        <f t="shared" si="16"/>
        <v>#N/A</v>
      </c>
      <c r="AC1918" s="570" t="e">
        <f t="shared" si="17"/>
        <v>#N/A</v>
      </c>
      <c r="AD1918" s="570" t="e">
        <f t="shared" si="18"/>
        <v>#N/A</v>
      </c>
      <c r="AE1918" s="569">
        <f>VLOOKUP(D1918,TRANSPORT!H:J,3,0)</f>
        <v>0</v>
      </c>
      <c r="AF1918" s="569">
        <f>+VLOOKUP(D1918,TRANSPORT!N:O,2,0)</f>
        <v>0</v>
      </c>
      <c r="AG1918" s="569">
        <f t="shared" si="19"/>
        <v>0</v>
      </c>
      <c r="AH1918" s="571" t="e">
        <f t="shared" si="20"/>
        <v>#N/A</v>
      </c>
      <c r="AI1918" s="571" t="e">
        <f t="shared" si="21"/>
        <v>#N/A</v>
      </c>
      <c r="AJ1918" s="571" t="e">
        <f t="shared" si="22"/>
        <v>#N/A</v>
      </c>
      <c r="AK1918" s="571" t="e">
        <f t="shared" si="23"/>
        <v>#N/A</v>
      </c>
      <c r="AL1918" s="572">
        <f>VLOOKUP(D1918,'INTEGRATION PAR CLIENT '!A1313:J1341,10,0)</f>
        <v>1</v>
      </c>
      <c r="AM1918" s="572">
        <f>VLOOKUP(D1918,'INTEGRATION PAR CLIENT '!A1313:L1341,12,0)</f>
        <v>0</v>
      </c>
      <c r="AN1918" s="572">
        <f>+VLOOKUP(D1918,'INTEGRATION PAR CLIENT '!A1313:N1341,14,0)</f>
        <v>0</v>
      </c>
      <c r="AO1918" s="572">
        <f>+VLOOKUP(D1918,'INTEGRATION PAR CLIENT '!A1313:P1341,16,0)</f>
        <v>0</v>
      </c>
    </row>
    <row r="1919" spans="1:41">
      <c r="A1919" s="617">
        <v>39</v>
      </c>
      <c r="B1919" s="496" t="str">
        <f t="shared" si="9"/>
        <v>039</v>
      </c>
      <c r="C1919" s="496">
        <f t="shared" si="10"/>
        <v>0</v>
      </c>
      <c r="D1919" s="566" t="str">
        <f>'2025'!D40</f>
        <v>FAE-25-00039</v>
      </c>
      <c r="E1919" s="496" t="str">
        <f t="shared" si="11"/>
        <v>039</v>
      </c>
      <c r="F1919" s="567">
        <f>+'2025'!G40</f>
        <v>45695</v>
      </c>
      <c r="G1919" s="496">
        <f t="shared" si="12"/>
        <v>2025</v>
      </c>
      <c r="H1919" s="586" t="s">
        <v>17304</v>
      </c>
      <c r="I1919" s="496" t="str">
        <f>+VLOOKUP(H1919,Sheet1!A:C,3,0)</f>
        <v>SAFA FOOD</v>
      </c>
      <c r="J1919" s="496" t="str">
        <f>+VLOOKUP(H1919,Sheet1!A:D,4,0)</f>
        <v>CAD</v>
      </c>
      <c r="K1919" s="497">
        <f t="shared" si="13"/>
        <v>47475.619700000003</v>
      </c>
      <c r="L1919" s="586">
        <v>2.2400500000000001</v>
      </c>
      <c r="M1919" s="587">
        <v>21194</v>
      </c>
      <c r="N1919" s="496" t="str">
        <f>+VLOOKUP(E1919,'2025'!E:F,2,0)</f>
        <v>OUI</v>
      </c>
      <c r="O1919" s="496" t="str">
        <f>VLOOKUP(E1919,'2025'!E:N,10,0)</f>
        <v>Canada</v>
      </c>
      <c r="P1919" s="880">
        <f>VLOOKUP(E1919,'2025'!E:O,11,0)</f>
        <v>45701</v>
      </c>
      <c r="Q1919" s="565">
        <f>VLOOKUP(E1919,'2025'!E:H,4,0)</f>
        <v>0</v>
      </c>
      <c r="R1919" s="565">
        <f>VLOOKUP(E1919,'2025'!E:I,5,0)</f>
        <v>7200</v>
      </c>
      <c r="S1919" s="565">
        <f>VLOOKUP(E1919,'2025'!E:J,6,0)</f>
        <v>1000</v>
      </c>
      <c r="T1919" s="565">
        <f>VLOOKUP(E1919,'2025'!E:K,7,0)</f>
        <v>4000</v>
      </c>
      <c r="U1919" s="565">
        <f t="shared" si="14"/>
        <v>12200</v>
      </c>
      <c r="V1919" s="354"/>
      <c r="W1919" s="569" t="e">
        <f>+VLOOKUP(D1919,'JOURNAL FACTURES'!A:O,15,0)</f>
        <v>#N/A</v>
      </c>
      <c r="X1919" s="569" t="e">
        <f>VLOOKUP(D1919,'JOURNAL FACTURES'!A:P,16,0)</f>
        <v>#N/A</v>
      </c>
      <c r="Y1919" s="569" t="e">
        <f>VLOOKUP(D1919,'JOURNAL FACTURES'!A:Q,17,0)</f>
        <v>#N/A</v>
      </c>
      <c r="Z1919" s="569" t="e">
        <f>VLOOKUP(D1919,'JOURNAL FACTURES'!A:R,18,0)</f>
        <v>#N/A</v>
      </c>
      <c r="AA1919" s="570" t="e">
        <f t="shared" si="15"/>
        <v>#N/A</v>
      </c>
      <c r="AB1919" s="570" t="e">
        <f t="shared" si="16"/>
        <v>#N/A</v>
      </c>
      <c r="AC1919" s="570" t="e">
        <f t="shared" si="17"/>
        <v>#N/A</v>
      </c>
      <c r="AD1919" s="570" t="e">
        <f t="shared" si="18"/>
        <v>#N/A</v>
      </c>
      <c r="AE1919" s="569">
        <f>VLOOKUP(D1919,TRANSPORT!H:J,3,0)</f>
        <v>1218.75</v>
      </c>
      <c r="AF1919" s="569">
        <f>+VLOOKUP(D1919,TRANSPORT!N:O,2,0)</f>
        <v>7055.4750000000004</v>
      </c>
      <c r="AG1919" s="569">
        <f t="shared" si="19"/>
        <v>0.57831762295081968</v>
      </c>
      <c r="AH1919" s="571" t="e">
        <f t="shared" si="20"/>
        <v>#N/A</v>
      </c>
      <c r="AI1919" s="571" t="e">
        <f t="shared" si="21"/>
        <v>#N/A</v>
      </c>
      <c r="AJ1919" s="571" t="e">
        <f t="shared" si="22"/>
        <v>#N/A</v>
      </c>
      <c r="AK1919" s="571" t="e">
        <f t="shared" si="23"/>
        <v>#N/A</v>
      </c>
      <c r="AL1919" s="572">
        <f>VLOOKUP(D1919,'INTEGRATION PAR CLIENT '!A1314:J1342,10,0)</f>
        <v>0</v>
      </c>
      <c r="AM1919" s="572">
        <f>VLOOKUP(D1919,'INTEGRATION PAR CLIENT '!A1314:L1342,12,0)</f>
        <v>1</v>
      </c>
      <c r="AN1919" s="572">
        <f>+VLOOKUP(D1919,'INTEGRATION PAR CLIENT '!A1314:N1342,14,0)</f>
        <v>1</v>
      </c>
      <c r="AO1919" s="572">
        <f>+VLOOKUP(D1919,'INTEGRATION PAR CLIENT '!A1314:P1342,16,0)</f>
        <v>1</v>
      </c>
    </row>
    <row r="1920" spans="1:41">
      <c r="A1920" s="617">
        <v>40</v>
      </c>
      <c r="B1920" s="496" t="str">
        <f t="shared" si="9"/>
        <v>040</v>
      </c>
      <c r="C1920" s="496">
        <f t="shared" si="10"/>
        <v>0</v>
      </c>
      <c r="D1920" s="566" t="str">
        <f>'2025'!D41</f>
        <v>FAE-25-00040</v>
      </c>
      <c r="E1920" s="496" t="str">
        <f t="shared" si="11"/>
        <v>040</v>
      </c>
      <c r="F1920" s="567">
        <f>+'2025'!G41</f>
        <v>45698</v>
      </c>
      <c r="G1920" s="496">
        <f t="shared" si="12"/>
        <v>2025</v>
      </c>
      <c r="H1920" s="586" t="s">
        <v>17374</v>
      </c>
      <c r="I1920" s="496" t="str">
        <f>+VLOOKUP(H1920,Sheet1!A:C,3,0)</f>
        <v>SOCIETE CHEMA</v>
      </c>
      <c r="J1920" s="496" t="str">
        <f>+VLOOKUP(H1920,Sheet1!A:D,4,0)</f>
        <v>EUR</v>
      </c>
      <c r="K1920" s="497">
        <f t="shared" si="13"/>
        <v>179228.28</v>
      </c>
      <c r="L1920" s="586">
        <v>3.3252000000000002</v>
      </c>
      <c r="M1920" s="587">
        <v>53900</v>
      </c>
      <c r="N1920" s="496" t="str">
        <f>+VLOOKUP(E1920,'2025'!E:F,2,0)</f>
        <v>OUI</v>
      </c>
      <c r="O1920" s="496" t="str">
        <f>VLOOKUP(E1920,'2025'!E:N,10,0)</f>
        <v>Tchad</v>
      </c>
      <c r="P1920" s="880">
        <f>VLOOKUP(E1920,'2025'!E:O,11,0)</f>
        <v>45705</v>
      </c>
      <c r="Q1920" s="565">
        <f>VLOOKUP(E1920,'2025'!E:H,4,0)</f>
        <v>0</v>
      </c>
      <c r="R1920" s="565">
        <f>VLOOKUP(E1920,'2025'!E:I,5,0)</f>
        <v>0</v>
      </c>
      <c r="S1920" s="565">
        <f>VLOOKUP(E1920,'2025'!E:J,6,0)</f>
        <v>110000</v>
      </c>
      <c r="T1920" s="565">
        <f>VLOOKUP(E1920,'2025'!E:K,7,0)</f>
        <v>0</v>
      </c>
      <c r="U1920" s="565">
        <f t="shared" si="14"/>
        <v>110000</v>
      </c>
      <c r="V1920" s="354"/>
      <c r="W1920" s="569" t="e">
        <f>+VLOOKUP(D1920,'JOURNAL FACTURES'!A:O,15,0)</f>
        <v>#N/A</v>
      </c>
      <c r="X1920" s="569" t="e">
        <f>VLOOKUP(D1920,'JOURNAL FACTURES'!A:P,16,0)</f>
        <v>#N/A</v>
      </c>
      <c r="Y1920" s="569" t="e">
        <f>VLOOKUP(D1920,'JOURNAL FACTURES'!A:Q,17,0)</f>
        <v>#N/A</v>
      </c>
      <c r="Z1920" s="569" t="e">
        <f>VLOOKUP(D1920,'JOURNAL FACTURES'!A:R,18,0)</f>
        <v>#N/A</v>
      </c>
      <c r="AA1920" s="570" t="e">
        <f t="shared" si="15"/>
        <v>#N/A</v>
      </c>
      <c r="AB1920" s="570" t="e">
        <f t="shared" si="16"/>
        <v>#N/A</v>
      </c>
      <c r="AC1920" s="570" t="e">
        <f t="shared" si="17"/>
        <v>#N/A</v>
      </c>
      <c r="AD1920" s="570" t="e">
        <f t="shared" si="18"/>
        <v>#N/A</v>
      </c>
      <c r="AE1920" s="569">
        <f>VLOOKUP(D1920,TRANSPORT!H:J,3,0)</f>
        <v>3595.1040000000003</v>
      </c>
      <c r="AF1920" s="569">
        <f>+VLOOKUP(D1920,TRANSPORT!N:O,2,0)</f>
        <v>25896.210999999999</v>
      </c>
      <c r="AG1920" s="569">
        <f t="shared" si="19"/>
        <v>0.23542009999999999</v>
      </c>
      <c r="AH1920" s="571" t="e">
        <f t="shared" si="20"/>
        <v>#N/A</v>
      </c>
      <c r="AI1920" s="571" t="e">
        <f t="shared" si="21"/>
        <v>#N/A</v>
      </c>
      <c r="AJ1920" s="571" t="e">
        <f t="shared" si="22"/>
        <v>#N/A</v>
      </c>
      <c r="AK1920" s="571" t="e">
        <f t="shared" si="23"/>
        <v>#N/A</v>
      </c>
      <c r="AL1920" s="572">
        <f>VLOOKUP(D1920,'INTEGRATION PAR CLIENT '!A1315:J1343,10,0)</f>
        <v>0</v>
      </c>
      <c r="AM1920" s="572">
        <f>VLOOKUP(D1920,'INTEGRATION PAR CLIENT '!A1315:L1343,12,0)</f>
        <v>0</v>
      </c>
      <c r="AN1920" s="572" t="str">
        <f>+VLOOKUP(D1920,'INTEGRATION PAR CLIENT '!A1315:N1343,14,0)</f>
        <v>10%-90%</v>
      </c>
      <c r="AO1920" s="572">
        <f>+VLOOKUP(D1920,'INTEGRATION PAR CLIENT '!A1315:P1343,16,0)</f>
        <v>0</v>
      </c>
    </row>
    <row r="1921" spans="1:41">
      <c r="A1921" s="617">
        <v>41</v>
      </c>
      <c r="B1921" s="496" t="str">
        <f t="shared" si="9"/>
        <v>041</v>
      </c>
      <c r="C1921" s="496">
        <f t="shared" si="10"/>
        <v>0</v>
      </c>
      <c r="D1921" s="566" t="str">
        <f>'2025'!D42</f>
        <v>FAE-25-00041</v>
      </c>
      <c r="E1921" s="496" t="str">
        <f t="shared" si="11"/>
        <v>041</v>
      </c>
      <c r="F1921" s="567">
        <f>+'2025'!G42</f>
        <v>45698</v>
      </c>
      <c r="G1921" s="496">
        <f t="shared" si="12"/>
        <v>2025</v>
      </c>
      <c r="H1921" s="586" t="s">
        <v>17374</v>
      </c>
      <c r="I1921" s="496" t="str">
        <f>+VLOOKUP(H1921,Sheet1!A:C,3,0)</f>
        <v>SOCIETE CHEMA</v>
      </c>
      <c r="J1921" s="496" t="str">
        <f>+VLOOKUP(H1921,Sheet1!A:D,4,0)</f>
        <v>EUR</v>
      </c>
      <c r="K1921" s="497">
        <f t="shared" si="13"/>
        <v>273006.37679999997</v>
      </c>
      <c r="L1921" s="586">
        <v>3.3243999999999998</v>
      </c>
      <c r="M1921" s="587">
        <v>82122</v>
      </c>
      <c r="N1921" s="496" t="str">
        <f>+VLOOKUP(E1921,'2025'!E:F,2,0)</f>
        <v>OUI</v>
      </c>
      <c r="O1921" s="496" t="str">
        <f>VLOOKUP(E1921,'2025'!E:N,10,0)</f>
        <v>Tchad</v>
      </c>
      <c r="P1921" s="880">
        <f>VLOOKUP(E1921,'2025'!E:O,11,0)</f>
        <v>45714</v>
      </c>
      <c r="Q1921" s="565">
        <f>VLOOKUP(E1921,'2025'!E:H,4,0)</f>
        <v>12000</v>
      </c>
      <c r="R1921" s="565">
        <f>VLOOKUP(E1921,'2025'!E:I,5,0)</f>
        <v>135600</v>
      </c>
      <c r="S1921" s="565">
        <f>VLOOKUP(E1921,'2025'!E:J,6,0)</f>
        <v>0</v>
      </c>
      <c r="T1921" s="565">
        <f>VLOOKUP(E1921,'2025'!E:K,7,0)</f>
        <v>0</v>
      </c>
      <c r="U1921" s="565">
        <f t="shared" si="14"/>
        <v>147600</v>
      </c>
      <c r="V1921" s="354"/>
      <c r="W1921" s="569" t="e">
        <f>+VLOOKUP(D1921,'JOURNAL FACTURES'!A:O,15,0)</f>
        <v>#N/A</v>
      </c>
      <c r="X1921" s="569" t="e">
        <f>VLOOKUP(D1921,'JOURNAL FACTURES'!A:P,16,0)</f>
        <v>#N/A</v>
      </c>
      <c r="Y1921" s="569" t="e">
        <f>VLOOKUP(D1921,'JOURNAL FACTURES'!A:Q,17,0)</f>
        <v>#N/A</v>
      </c>
      <c r="Z1921" s="569" t="e">
        <f>VLOOKUP(D1921,'JOURNAL FACTURES'!A:R,18,0)</f>
        <v>#N/A</v>
      </c>
      <c r="AA1921" s="570" t="e">
        <f t="shared" si="15"/>
        <v>#N/A</v>
      </c>
      <c r="AB1921" s="570" t="e">
        <f t="shared" si="16"/>
        <v>#N/A</v>
      </c>
      <c r="AC1921" s="570" t="e">
        <f t="shared" si="17"/>
        <v>#N/A</v>
      </c>
      <c r="AD1921" s="570" t="e">
        <f t="shared" si="18"/>
        <v>#N/A</v>
      </c>
      <c r="AE1921" s="569">
        <f>VLOOKUP(D1921,TRANSPORT!H:J,3,0)</f>
        <v>6444.9000000000005</v>
      </c>
      <c r="AF1921" s="569">
        <f>+VLOOKUP(D1921,TRANSPORT!N:O,2,0)</f>
        <v>45464.358</v>
      </c>
      <c r="AG1921" s="569">
        <f t="shared" si="19"/>
        <v>0.30802410569105693</v>
      </c>
      <c r="AH1921" s="571" t="e">
        <f t="shared" si="20"/>
        <v>#N/A</v>
      </c>
      <c r="AI1921" s="571" t="e">
        <f t="shared" si="21"/>
        <v>#N/A</v>
      </c>
      <c r="AJ1921" s="571" t="e">
        <f t="shared" si="22"/>
        <v>#N/A</v>
      </c>
      <c r="AK1921" s="571" t="e">
        <f t="shared" si="23"/>
        <v>#N/A</v>
      </c>
      <c r="AL1921" s="572">
        <f>VLOOKUP(D1921,'INTEGRATION PAR CLIENT '!A1316:J1344,10,0)</f>
        <v>1</v>
      </c>
      <c r="AM1921" s="572" t="str">
        <f>VLOOKUP(D1921,'INTEGRATION PAR CLIENT '!A1316:L1344,12,0)</f>
        <v>20%S-80%F</v>
      </c>
      <c r="AN1921" s="572">
        <f>+VLOOKUP(D1921,'INTEGRATION PAR CLIENT '!A1316:N1344,14,0)</f>
        <v>0</v>
      </c>
      <c r="AO1921" s="572">
        <f>+VLOOKUP(D1921,'INTEGRATION PAR CLIENT '!A1316:P1344,16,0)</f>
        <v>0</v>
      </c>
    </row>
    <row r="1922" spans="1:41">
      <c r="A1922" s="617">
        <v>42</v>
      </c>
      <c r="B1922" s="496" t="str">
        <f t="shared" si="9"/>
        <v>042</v>
      </c>
      <c r="C1922" s="496">
        <f t="shared" si="10"/>
        <v>0</v>
      </c>
      <c r="D1922" s="566" t="str">
        <f>'2025'!D43</f>
        <v>FAE-25-00042</v>
      </c>
      <c r="E1922" s="496" t="str">
        <f t="shared" si="11"/>
        <v>042</v>
      </c>
      <c r="F1922" s="567">
        <f>+'2025'!G43</f>
        <v>45698</v>
      </c>
      <c r="G1922" s="496">
        <f t="shared" si="12"/>
        <v>2025</v>
      </c>
      <c r="H1922" s="586" t="s">
        <v>17309</v>
      </c>
      <c r="I1922" s="496" t="str">
        <f>+VLOOKUP(H1922,Sheet1!A:C,3,0)</f>
        <v>MARCOM INTERN</v>
      </c>
      <c r="J1922" s="496" t="str">
        <f>+VLOOKUP(H1922,Sheet1!A:D,4,0)</f>
        <v>TND</v>
      </c>
      <c r="K1922" s="497">
        <f t="shared" si="13"/>
        <v>75324</v>
      </c>
      <c r="L1922" s="586">
        <v>1</v>
      </c>
      <c r="M1922" s="587">
        <v>75324</v>
      </c>
      <c r="N1922" s="496" t="str">
        <f>+VLOOKUP(E1922,'2025'!E:F,2,0)</f>
        <v>OUI</v>
      </c>
      <c r="O1922" s="496" t="str">
        <f>VLOOKUP(E1922,'2025'!E:N,10,0)</f>
        <v>Madagascar</v>
      </c>
      <c r="P1922" s="880">
        <f>VLOOKUP(E1922,'2025'!E:O,11,0)</f>
        <v>45709</v>
      </c>
      <c r="Q1922" s="565">
        <f>VLOOKUP(E1922,'2025'!E:H,4,0)</f>
        <v>0</v>
      </c>
      <c r="R1922" s="565">
        <f>VLOOKUP(E1922,'2025'!E:I,5,0)</f>
        <v>44400</v>
      </c>
      <c r="S1922" s="565">
        <f>VLOOKUP(E1922,'2025'!E:J,6,0)</f>
        <v>0</v>
      </c>
      <c r="T1922" s="565">
        <f>VLOOKUP(E1922,'2025'!E:K,7,0)</f>
        <v>0</v>
      </c>
      <c r="U1922" s="565">
        <f t="shared" si="14"/>
        <v>44400</v>
      </c>
      <c r="V1922" s="354"/>
      <c r="W1922" s="569" t="e">
        <f>+VLOOKUP(D1922,'JOURNAL FACTURES'!A:O,15,0)</f>
        <v>#N/A</v>
      </c>
      <c r="X1922" s="569" t="e">
        <f>VLOOKUP(D1922,'JOURNAL FACTURES'!A:P,16,0)</f>
        <v>#N/A</v>
      </c>
      <c r="Y1922" s="569" t="e">
        <f>VLOOKUP(D1922,'JOURNAL FACTURES'!A:Q,17,0)</f>
        <v>#N/A</v>
      </c>
      <c r="Z1922" s="569" t="e">
        <f>VLOOKUP(D1922,'JOURNAL FACTURES'!A:R,18,0)</f>
        <v>#N/A</v>
      </c>
      <c r="AA1922" s="570" t="e">
        <f t="shared" si="15"/>
        <v>#N/A</v>
      </c>
      <c r="AB1922" s="570" t="e">
        <f t="shared" si="16"/>
        <v>#N/A</v>
      </c>
      <c r="AC1922" s="570" t="e">
        <f t="shared" si="17"/>
        <v>#N/A</v>
      </c>
      <c r="AD1922" s="570" t="e">
        <f t="shared" si="18"/>
        <v>#N/A</v>
      </c>
      <c r="AE1922" s="569">
        <f>VLOOKUP(D1922,TRANSPORT!H:J,3,0)</f>
        <v>0</v>
      </c>
      <c r="AF1922" s="569">
        <f>+VLOOKUP(D1922,TRANSPORT!N:O,2,0)</f>
        <v>0</v>
      </c>
      <c r="AG1922" s="569">
        <f t="shared" si="19"/>
        <v>0</v>
      </c>
      <c r="AH1922" s="571" t="e">
        <f t="shared" si="20"/>
        <v>#N/A</v>
      </c>
      <c r="AI1922" s="571" t="e">
        <f t="shared" si="21"/>
        <v>#N/A</v>
      </c>
      <c r="AJ1922" s="571" t="e">
        <f t="shared" si="22"/>
        <v>#N/A</v>
      </c>
      <c r="AK1922" s="571" t="e">
        <f t="shared" si="23"/>
        <v>#N/A</v>
      </c>
      <c r="AL1922" s="572">
        <f>VLOOKUP(D1922,'INTEGRATION PAR CLIENT '!A1317:J1345,10,0)</f>
        <v>0</v>
      </c>
      <c r="AM1922" s="572" t="str">
        <f>VLOOKUP(D1922,'INTEGRATION PAR CLIENT '!A1317:L1345,12,0)</f>
        <v>20%S-80%F</v>
      </c>
      <c r="AN1922" s="572">
        <f>+VLOOKUP(D1922,'INTEGRATION PAR CLIENT '!A1317:N1345,14,0)</f>
        <v>0</v>
      </c>
      <c r="AO1922" s="572">
        <f>+VLOOKUP(D1922,'INTEGRATION PAR CLIENT '!A1317:P1345,16,0)</f>
        <v>0</v>
      </c>
    </row>
    <row r="1923" spans="1:41">
      <c r="A1923" s="617">
        <v>43</v>
      </c>
      <c r="B1923" s="496" t="str">
        <f t="shared" si="9"/>
        <v>043</v>
      </c>
      <c r="C1923" s="496">
        <f t="shared" si="10"/>
        <v>0</v>
      </c>
      <c r="D1923" s="566" t="str">
        <f>'2025'!D44</f>
        <v>FAE-25-00043</v>
      </c>
      <c r="E1923" s="496" t="str">
        <f t="shared" si="11"/>
        <v>043</v>
      </c>
      <c r="F1923" s="567">
        <f>+'2025'!G44</f>
        <v>45698</v>
      </c>
      <c r="G1923" s="496">
        <f t="shared" si="12"/>
        <v>2025</v>
      </c>
      <c r="H1923" s="586" t="s">
        <v>16972</v>
      </c>
      <c r="I1923" s="496" t="str">
        <f>+VLOOKUP(H1923,Sheet1!A:C,3,0)</f>
        <v>STE OMEGA TRADING</v>
      </c>
      <c r="J1923" s="496" t="str">
        <f>+VLOOKUP(H1923,Sheet1!A:D,4,0)</f>
        <v>TND</v>
      </c>
      <c r="K1923" s="497">
        <f t="shared" si="13"/>
        <v>77550</v>
      </c>
      <c r="L1923" s="586">
        <v>1</v>
      </c>
      <c r="M1923" s="587">
        <v>77550</v>
      </c>
      <c r="N1923" s="496" t="str">
        <f>+VLOOKUP(E1923,'2025'!E:F,2,0)</f>
        <v>OUI</v>
      </c>
      <c r="O1923" s="496" t="str">
        <f>VLOOKUP(E1923,'2025'!E:N,10,0)</f>
        <v>Niger</v>
      </c>
      <c r="P1923" s="880">
        <f>VLOOKUP(E1923,'2025'!E:O,11,0)</f>
        <v>45707</v>
      </c>
      <c r="Q1923" s="565">
        <f>VLOOKUP(E1923,'2025'!E:H,4,0)</f>
        <v>0</v>
      </c>
      <c r="R1923" s="565">
        <f>VLOOKUP(E1923,'2025'!E:I,5,0)</f>
        <v>0</v>
      </c>
      <c r="S1923" s="565">
        <f>VLOOKUP(E1923,'2025'!E:J,6,0)</f>
        <v>55000</v>
      </c>
      <c r="T1923" s="565">
        <f>VLOOKUP(E1923,'2025'!E:K,7,0)</f>
        <v>0</v>
      </c>
      <c r="U1923" s="565">
        <f t="shared" si="14"/>
        <v>55000</v>
      </c>
      <c r="V1923" s="354"/>
      <c r="W1923" s="569" t="e">
        <f>+VLOOKUP(D1923,'JOURNAL FACTURES'!A:O,15,0)</f>
        <v>#N/A</v>
      </c>
      <c r="X1923" s="569" t="e">
        <f>VLOOKUP(D1923,'JOURNAL FACTURES'!A:P,16,0)</f>
        <v>#N/A</v>
      </c>
      <c r="Y1923" s="569" t="e">
        <f>VLOOKUP(D1923,'JOURNAL FACTURES'!A:Q,17,0)</f>
        <v>#N/A</v>
      </c>
      <c r="Z1923" s="569" t="e">
        <f>VLOOKUP(D1923,'JOURNAL FACTURES'!A:R,18,0)</f>
        <v>#N/A</v>
      </c>
      <c r="AA1923" s="570" t="e">
        <f t="shared" si="15"/>
        <v>#N/A</v>
      </c>
      <c r="AB1923" s="570" t="e">
        <f t="shared" si="16"/>
        <v>#N/A</v>
      </c>
      <c r="AC1923" s="570" t="e">
        <f t="shared" si="17"/>
        <v>#N/A</v>
      </c>
      <c r="AD1923" s="570" t="e">
        <f t="shared" si="18"/>
        <v>#N/A</v>
      </c>
      <c r="AE1923" s="569">
        <f>VLOOKUP(D1923,TRANSPORT!H:J,3,0)</f>
        <v>0</v>
      </c>
      <c r="AF1923" s="569">
        <f>+VLOOKUP(D1923,TRANSPORT!N:O,2,0)</f>
        <v>0</v>
      </c>
      <c r="AG1923" s="569">
        <f t="shared" si="19"/>
        <v>0</v>
      </c>
      <c r="AH1923" s="571" t="e">
        <f t="shared" si="20"/>
        <v>#N/A</v>
      </c>
      <c r="AI1923" s="571" t="e">
        <f t="shared" si="21"/>
        <v>#N/A</v>
      </c>
      <c r="AJ1923" s="571" t="e">
        <f t="shared" si="22"/>
        <v>#N/A</v>
      </c>
      <c r="AK1923" s="571" t="e">
        <f t="shared" si="23"/>
        <v>#N/A</v>
      </c>
      <c r="AL1923" s="572">
        <f>VLOOKUP(D1923,'INTEGRATION PAR CLIENT '!A1318:J1346,10,0)</f>
        <v>0</v>
      </c>
      <c r="AM1923" s="572">
        <f>VLOOKUP(D1923,'INTEGRATION PAR CLIENT '!A1318:L1346,12,0)</f>
        <v>0</v>
      </c>
      <c r="AN1923" s="572" t="str">
        <f>+VLOOKUP(D1923,'INTEGRATION PAR CLIENT '!A1318:N1346,14,0)</f>
        <v>10%-90%</v>
      </c>
      <c r="AO1923" s="572">
        <f>+VLOOKUP(D1923,'INTEGRATION PAR CLIENT '!A1318:P1346,16,0)</f>
        <v>0</v>
      </c>
    </row>
    <row r="1924" spans="1:41">
      <c r="A1924" s="617">
        <v>44</v>
      </c>
      <c r="B1924" s="496" t="str">
        <f t="shared" si="9"/>
        <v>044</v>
      </c>
      <c r="C1924" s="496">
        <f t="shared" si="10"/>
        <v>0</v>
      </c>
      <c r="D1924" s="566" t="str">
        <f>'2025'!D45</f>
        <v>FAE-25-00044</v>
      </c>
      <c r="E1924" s="496" t="str">
        <f t="shared" si="11"/>
        <v>044</v>
      </c>
      <c r="F1924" s="567">
        <f>+'2025'!G45</f>
        <v>45698</v>
      </c>
      <c r="G1924" s="496">
        <f t="shared" si="12"/>
        <v>2025</v>
      </c>
      <c r="H1924" s="586" t="s">
        <v>17278</v>
      </c>
      <c r="I1924" s="496" t="str">
        <f>+VLOOKUP(H1924,Sheet1!A:C,3,0)</f>
        <v>SEYAL TCHAD SA</v>
      </c>
      <c r="J1924" s="496" t="str">
        <f>+VLOOKUP(H1924,Sheet1!A:D,4,0)</f>
        <v>EUR</v>
      </c>
      <c r="K1924" s="497">
        <f t="shared" si="13"/>
        <v>721670.99232800002</v>
      </c>
      <c r="L1924" s="586">
        <v>3.3176000000000001</v>
      </c>
      <c r="M1924" s="587">
        <v>217528.03</v>
      </c>
      <c r="N1924" s="496" t="str">
        <f>+VLOOKUP(E1924,'2025'!E:F,2,0)</f>
        <v>OUI</v>
      </c>
      <c r="O1924" s="496" t="str">
        <f>VLOOKUP(E1924,'2025'!E:N,10,0)</f>
        <v>Tchad</v>
      </c>
      <c r="P1924" s="880">
        <f>VLOOKUP(E1924,'2025'!E:O,11,0)</f>
        <v>45713</v>
      </c>
      <c r="Q1924" s="565">
        <f>VLOOKUP(E1924,'2025'!E:H,4,0)</f>
        <v>19200</v>
      </c>
      <c r="R1924" s="565">
        <f>VLOOKUP(E1924,'2025'!E:I,5,0)</f>
        <v>249850</v>
      </c>
      <c r="S1924" s="565">
        <f>VLOOKUP(E1924,'2025'!E:J,6,0)</f>
        <v>139200</v>
      </c>
      <c r="T1924" s="565">
        <f>VLOOKUP(E1924,'2025'!E:K,7,0)</f>
        <v>0</v>
      </c>
      <c r="U1924" s="565">
        <f t="shared" si="14"/>
        <v>408250</v>
      </c>
      <c r="V1924" s="354"/>
      <c r="W1924" s="569" t="e">
        <f>+VLOOKUP(D1924,'JOURNAL FACTURES'!A:O,15,0)</f>
        <v>#N/A</v>
      </c>
      <c r="X1924" s="569" t="e">
        <f>VLOOKUP(D1924,'JOURNAL FACTURES'!A:P,16,0)</f>
        <v>#N/A</v>
      </c>
      <c r="Y1924" s="569" t="e">
        <f>VLOOKUP(D1924,'JOURNAL FACTURES'!A:Q,17,0)</f>
        <v>#N/A</v>
      </c>
      <c r="Z1924" s="569" t="e">
        <f>VLOOKUP(D1924,'JOURNAL FACTURES'!A:R,18,0)</f>
        <v>#N/A</v>
      </c>
      <c r="AA1924" s="570" t="e">
        <f t="shared" si="15"/>
        <v>#N/A</v>
      </c>
      <c r="AB1924" s="570" t="e">
        <f t="shared" si="16"/>
        <v>#N/A</v>
      </c>
      <c r="AC1924" s="570" t="e">
        <f t="shared" si="17"/>
        <v>#N/A</v>
      </c>
      <c r="AD1924" s="570" t="e">
        <f t="shared" si="18"/>
        <v>#N/A</v>
      </c>
      <c r="AE1924" s="569">
        <f>VLOOKUP(D1924,TRANSPORT!H:J,3,0)</f>
        <v>16059.834000000001</v>
      </c>
      <c r="AF1924" s="569">
        <f>+VLOOKUP(D1924,TRANSPORT!N:O,2,0)</f>
        <v>116227.162</v>
      </c>
      <c r="AG1924" s="569">
        <f t="shared" si="19"/>
        <v>0.28469604898958972</v>
      </c>
      <c r="AH1924" s="571" t="e">
        <f t="shared" si="20"/>
        <v>#N/A</v>
      </c>
      <c r="AI1924" s="571" t="e">
        <f t="shared" si="21"/>
        <v>#N/A</v>
      </c>
      <c r="AJ1924" s="571" t="e">
        <f t="shared" si="22"/>
        <v>#N/A</v>
      </c>
      <c r="AK1924" s="571" t="e">
        <f t="shared" si="23"/>
        <v>#N/A</v>
      </c>
      <c r="AL1924" s="572">
        <f>VLOOKUP(D1924,'INTEGRATION PAR CLIENT '!A1319:J1347,10,0)</f>
        <v>1</v>
      </c>
      <c r="AM1924" s="572" t="str">
        <f>VLOOKUP(D1924,'INTEGRATION PAR CLIENT '!A1319:L1347,12,0)</f>
        <v>20%S-80%F</v>
      </c>
      <c r="AN1924" s="572" t="str">
        <f>+VLOOKUP(D1924,'INTEGRATION PAR CLIENT '!A1319:N1347,14,0)</f>
        <v>10%-90%</v>
      </c>
      <c r="AO1924" s="572">
        <f>+VLOOKUP(D1924,'INTEGRATION PAR CLIENT '!A1319:P1347,16,0)</f>
        <v>0</v>
      </c>
    </row>
    <row r="1925" spans="1:41">
      <c r="A1925" s="617">
        <v>45</v>
      </c>
      <c r="B1925" s="496" t="str">
        <f t="shared" si="9"/>
        <v>045</v>
      </c>
      <c r="C1925" s="496">
        <f t="shared" si="10"/>
        <v>0</v>
      </c>
      <c r="D1925" s="566" t="str">
        <f>'2025'!D46</f>
        <v>FAE-25-00045</v>
      </c>
      <c r="E1925" s="496" t="str">
        <f t="shared" si="11"/>
        <v>045</v>
      </c>
      <c r="F1925" s="567">
        <f>+'2025'!G46</f>
        <v>45698</v>
      </c>
      <c r="G1925" s="496">
        <f t="shared" si="12"/>
        <v>2025</v>
      </c>
      <c r="H1925" s="586" t="s">
        <v>16470</v>
      </c>
      <c r="I1925" s="496" t="str">
        <f>+VLOOKUP(H1925,Sheet1!A:C,3,0)</f>
        <v>SAWABA - GUINEE</v>
      </c>
      <c r="J1925" s="496" t="str">
        <f>+VLOOKUP(H1925,Sheet1!A:D,4,0)</f>
        <v>USD</v>
      </c>
      <c r="K1925" s="497">
        <f t="shared" si="13"/>
        <v>752748.592802</v>
      </c>
      <c r="L1925" s="586">
        <v>3.16655</v>
      </c>
      <c r="M1925" s="587">
        <v>237718.84</v>
      </c>
      <c r="N1925" s="496" t="str">
        <f>+VLOOKUP(E1925,'2025'!E:F,2,0)</f>
        <v>OUI</v>
      </c>
      <c r="O1925" s="496" t="str">
        <f>VLOOKUP(E1925,'2025'!E:N,10,0)</f>
        <v>Guinée</v>
      </c>
      <c r="P1925" s="880">
        <f>VLOOKUP(E1925,'2025'!E:O,11,0)</f>
        <v>45715</v>
      </c>
      <c r="Q1925" s="565">
        <f>VLOOKUP(E1925,'2025'!E:H,4,0)</f>
        <v>48000</v>
      </c>
      <c r="R1925" s="565">
        <f>VLOOKUP(E1925,'2025'!E:I,5,0)</f>
        <v>288300</v>
      </c>
      <c r="S1925" s="565">
        <f>VLOOKUP(E1925,'2025'!E:J,6,0)</f>
        <v>0</v>
      </c>
      <c r="T1925" s="565">
        <f>VLOOKUP(E1925,'2025'!E:K,7,0)</f>
        <v>0</v>
      </c>
      <c r="U1925" s="565">
        <f t="shared" si="14"/>
        <v>336300</v>
      </c>
      <c r="V1925" s="354"/>
      <c r="W1925" s="569" t="e">
        <f>+VLOOKUP(D1925,'JOURNAL FACTURES'!A:O,15,0)</f>
        <v>#N/A</v>
      </c>
      <c r="X1925" s="569" t="e">
        <f>VLOOKUP(D1925,'JOURNAL FACTURES'!A:P,16,0)</f>
        <v>#N/A</v>
      </c>
      <c r="Y1925" s="569" t="e">
        <f>VLOOKUP(D1925,'JOURNAL FACTURES'!A:Q,17,0)</f>
        <v>#N/A</v>
      </c>
      <c r="Z1925" s="569" t="e">
        <f>VLOOKUP(D1925,'JOURNAL FACTURES'!A:R,18,0)</f>
        <v>#N/A</v>
      </c>
      <c r="AA1925" s="570" t="e">
        <f t="shared" si="15"/>
        <v>#N/A</v>
      </c>
      <c r="AB1925" s="570" t="e">
        <f t="shared" si="16"/>
        <v>#N/A</v>
      </c>
      <c r="AC1925" s="570" t="e">
        <f t="shared" si="17"/>
        <v>#N/A</v>
      </c>
      <c r="AD1925" s="570" t="e">
        <f t="shared" si="18"/>
        <v>#N/A</v>
      </c>
      <c r="AE1925" s="569">
        <f>VLOOKUP(D1925,TRANSPORT!H:J,3,0)</f>
        <v>14772.492000000002</v>
      </c>
      <c r="AF1925" s="569">
        <f>+VLOOKUP(D1925,TRANSPORT!N:O,2,0)</f>
        <v>96327.96</v>
      </c>
      <c r="AG1925" s="569">
        <f t="shared" si="19"/>
        <v>0.28643461195361286</v>
      </c>
      <c r="AH1925" s="571" t="e">
        <f t="shared" si="20"/>
        <v>#N/A</v>
      </c>
      <c r="AI1925" s="571" t="e">
        <f t="shared" si="21"/>
        <v>#N/A</v>
      </c>
      <c r="AJ1925" s="571" t="e">
        <f t="shared" si="22"/>
        <v>#N/A</v>
      </c>
      <c r="AK1925" s="571" t="e">
        <f t="shared" si="23"/>
        <v>#N/A</v>
      </c>
      <c r="AL1925" s="572">
        <f>VLOOKUP(D1925,'INTEGRATION PAR CLIENT '!A1320:J1348,10,0)</f>
        <v>1</v>
      </c>
      <c r="AM1925" s="572" t="str">
        <f>VLOOKUP(D1925,'INTEGRATION PAR CLIENT '!A1320:L1348,12,0)</f>
        <v>'30%S-70%F</v>
      </c>
      <c r="AN1925" s="572">
        <f>+VLOOKUP(D1925,'INTEGRATION PAR CLIENT '!A1320:N1348,14,0)</f>
        <v>0</v>
      </c>
      <c r="AO1925" s="572">
        <f>+VLOOKUP(D1925,'INTEGRATION PAR CLIENT '!A1320:P1348,16,0)</f>
        <v>0</v>
      </c>
    </row>
    <row r="1926" spans="1:41">
      <c r="A1926" s="617">
        <v>46</v>
      </c>
      <c r="B1926" s="496" t="str">
        <f t="shared" si="9"/>
        <v>046</v>
      </c>
      <c r="C1926" s="496">
        <f t="shared" si="10"/>
        <v>0</v>
      </c>
      <c r="D1926" s="566" t="str">
        <f>'2025'!D47</f>
        <v>FAE-25-00046</v>
      </c>
      <c r="E1926" s="496" t="str">
        <f t="shared" si="11"/>
        <v>046</v>
      </c>
      <c r="F1926" s="567">
        <f>+'2025'!G47</f>
        <v>45698</v>
      </c>
      <c r="G1926" s="496">
        <f t="shared" si="12"/>
        <v>2025</v>
      </c>
      <c r="H1926" s="586" t="s">
        <v>16384</v>
      </c>
      <c r="I1926" s="496" t="str">
        <f>+VLOOKUP(H1926,Sheet1!A:C,3,0)</f>
        <v>STE DE COMMERCE INTERNATIONAL</v>
      </c>
      <c r="J1926" s="496" t="str">
        <f>+VLOOKUP(H1926,Sheet1!A:D,4,0)</f>
        <v>TND</v>
      </c>
      <c r="K1926" s="497">
        <f t="shared" si="13"/>
        <v>85788.479999999996</v>
      </c>
      <c r="L1926" s="586">
        <v>1</v>
      </c>
      <c r="M1926" s="587">
        <v>85788.479999999996</v>
      </c>
      <c r="N1926" s="496" t="str">
        <f>+VLOOKUP(E1926,'2025'!E:F,2,0)</f>
        <v>OUI</v>
      </c>
      <c r="O1926" s="496" t="str">
        <f>VLOOKUP(E1926,'2025'!E:N,10,0)</f>
        <v>Liberia</v>
      </c>
      <c r="P1926" s="880">
        <f>VLOOKUP(E1926,'2025'!E:O,11,0)</f>
        <v>45712</v>
      </c>
      <c r="Q1926" s="565">
        <f>VLOOKUP(E1926,'2025'!E:H,4,0)</f>
        <v>0</v>
      </c>
      <c r="R1926" s="565">
        <f>VLOOKUP(E1926,'2025'!E:I,5,0)</f>
        <v>48816</v>
      </c>
      <c r="S1926" s="565">
        <f>VLOOKUP(E1926,'2025'!E:J,6,0)</f>
        <v>0</v>
      </c>
      <c r="T1926" s="565">
        <f>VLOOKUP(E1926,'2025'!E:K,7,0)</f>
        <v>0</v>
      </c>
      <c r="U1926" s="565">
        <f t="shared" si="14"/>
        <v>48816</v>
      </c>
      <c r="V1926" s="354"/>
      <c r="W1926" s="569" t="e">
        <f>+VLOOKUP(D1926,'JOURNAL FACTURES'!A:O,15,0)</f>
        <v>#N/A</v>
      </c>
      <c r="X1926" s="569" t="e">
        <f>VLOOKUP(D1926,'JOURNAL FACTURES'!A:P,16,0)</f>
        <v>#N/A</v>
      </c>
      <c r="Y1926" s="569" t="e">
        <f>VLOOKUP(D1926,'JOURNAL FACTURES'!A:Q,17,0)</f>
        <v>#N/A</v>
      </c>
      <c r="Z1926" s="569" t="e">
        <f>VLOOKUP(D1926,'JOURNAL FACTURES'!A:R,18,0)</f>
        <v>#N/A</v>
      </c>
      <c r="AA1926" s="570" t="e">
        <f t="shared" si="15"/>
        <v>#N/A</v>
      </c>
      <c r="AB1926" s="570" t="e">
        <f t="shared" si="16"/>
        <v>#N/A</v>
      </c>
      <c r="AC1926" s="570" t="e">
        <f t="shared" si="17"/>
        <v>#N/A</v>
      </c>
      <c r="AD1926" s="570" t="e">
        <f t="shared" si="18"/>
        <v>#N/A</v>
      </c>
      <c r="AE1926" s="569">
        <f>VLOOKUP(D1926,TRANSPORT!H:J,3,0)</f>
        <v>0</v>
      </c>
      <c r="AF1926" s="569">
        <f>+VLOOKUP(D1926,TRANSPORT!N:O,2,0)</f>
        <v>0</v>
      </c>
      <c r="AG1926" s="569">
        <f t="shared" si="19"/>
        <v>0</v>
      </c>
      <c r="AH1926" s="571" t="e">
        <f t="shared" si="20"/>
        <v>#N/A</v>
      </c>
      <c r="AI1926" s="571" t="e">
        <f t="shared" si="21"/>
        <v>#N/A</v>
      </c>
      <c r="AJ1926" s="571" t="e">
        <f t="shared" si="22"/>
        <v>#N/A</v>
      </c>
      <c r="AK1926" s="571" t="e">
        <f t="shared" si="23"/>
        <v>#N/A</v>
      </c>
      <c r="AL1926" s="572">
        <f>VLOOKUP(D1926,'INTEGRATION PAR CLIENT '!A1321:J1349,10,0)</f>
        <v>0</v>
      </c>
      <c r="AM1926" s="572">
        <f>VLOOKUP(D1926,'INTEGRATION PAR CLIENT '!A1321:L1349,12,0)</f>
        <v>0</v>
      </c>
      <c r="AN1926" s="572">
        <f>+VLOOKUP(D1926,'INTEGRATION PAR CLIENT '!A1321:N1349,14,0)</f>
        <v>0</v>
      </c>
      <c r="AO1926" s="572">
        <f>+VLOOKUP(D1926,'INTEGRATION PAR CLIENT '!A1321:P1349,16,0)</f>
        <v>0</v>
      </c>
    </row>
    <row r="1927" spans="1:41">
      <c r="A1927" s="617">
        <v>47</v>
      </c>
      <c r="B1927" s="496" t="str">
        <f t="shared" si="9"/>
        <v>047</v>
      </c>
      <c r="C1927" s="496">
        <f t="shared" si="10"/>
        <v>0</v>
      </c>
      <c r="D1927" s="566" t="str">
        <f>'2025'!D48</f>
        <v>FAE-25-00047</v>
      </c>
      <c r="E1927" s="496" t="str">
        <f t="shared" si="11"/>
        <v>047</v>
      </c>
      <c r="F1927" s="567">
        <f>+'2025'!G48</f>
        <v>45698</v>
      </c>
      <c r="G1927" s="496">
        <f t="shared" si="12"/>
        <v>2025</v>
      </c>
      <c r="H1927" s="586" t="s">
        <v>16838</v>
      </c>
      <c r="I1927" s="496" t="str">
        <f>+VLOOKUP(H1927,Sheet1!A:C,3,0)</f>
        <v>TUNISIAN AFRICAN BUSINESS</v>
      </c>
      <c r="J1927" s="496" t="str">
        <f>+VLOOKUP(H1927,Sheet1!A:D,4,0)</f>
        <v>TND</v>
      </c>
      <c r="K1927" s="497">
        <f t="shared" si="13"/>
        <v>77384</v>
      </c>
      <c r="L1927" s="586">
        <v>1</v>
      </c>
      <c r="M1927" s="587">
        <v>77384</v>
      </c>
      <c r="N1927" s="496" t="str">
        <f>+VLOOKUP(E1927,'2025'!E:F,2,0)</f>
        <v>OUI</v>
      </c>
      <c r="O1927" s="496" t="str">
        <f>VLOOKUP(E1927,'2025'!E:N,10,0)</f>
        <v>Burkina Faso</v>
      </c>
      <c r="P1927" s="880">
        <f>VLOOKUP(E1927,'2025'!E:O,11,0)</f>
        <v>45714</v>
      </c>
      <c r="Q1927" s="565">
        <f>VLOOKUP(E1927,'2025'!E:H,4,0)</f>
        <v>0</v>
      </c>
      <c r="R1927" s="565">
        <f>VLOOKUP(E1927,'2025'!E:I,5,0)</f>
        <v>45400</v>
      </c>
      <c r="S1927" s="565">
        <f>VLOOKUP(E1927,'2025'!E:J,6,0)</f>
        <v>0</v>
      </c>
      <c r="T1927" s="565">
        <f>VLOOKUP(E1927,'2025'!E:K,7,0)</f>
        <v>0</v>
      </c>
      <c r="U1927" s="565">
        <f t="shared" si="14"/>
        <v>45400</v>
      </c>
      <c r="V1927" s="354"/>
      <c r="W1927" s="569" t="e">
        <f>+VLOOKUP(D1927,'JOURNAL FACTURES'!A:O,15,0)</f>
        <v>#N/A</v>
      </c>
      <c r="X1927" s="569" t="e">
        <f>VLOOKUP(D1927,'JOURNAL FACTURES'!A:P,16,0)</f>
        <v>#N/A</v>
      </c>
      <c r="Y1927" s="569" t="e">
        <f>VLOOKUP(D1927,'JOURNAL FACTURES'!A:Q,17,0)</f>
        <v>#N/A</v>
      </c>
      <c r="Z1927" s="569" t="e">
        <f>VLOOKUP(D1927,'JOURNAL FACTURES'!A:R,18,0)</f>
        <v>#N/A</v>
      </c>
      <c r="AA1927" s="570" t="e">
        <f t="shared" si="15"/>
        <v>#N/A</v>
      </c>
      <c r="AB1927" s="570" t="e">
        <f t="shared" si="16"/>
        <v>#N/A</v>
      </c>
      <c r="AC1927" s="570" t="e">
        <f t="shared" si="17"/>
        <v>#N/A</v>
      </c>
      <c r="AD1927" s="570" t="e">
        <f t="shared" si="18"/>
        <v>#N/A</v>
      </c>
      <c r="AE1927" s="569">
        <f>VLOOKUP(D1927,TRANSPORT!H:J,3,0)</f>
        <v>0</v>
      </c>
      <c r="AF1927" s="569">
        <f>+VLOOKUP(D1927,TRANSPORT!N:O,2,0)</f>
        <v>0</v>
      </c>
      <c r="AG1927" s="569">
        <f t="shared" si="19"/>
        <v>0</v>
      </c>
      <c r="AH1927" s="571" t="e">
        <f t="shared" si="20"/>
        <v>#N/A</v>
      </c>
      <c r="AI1927" s="571" t="e">
        <f t="shared" si="21"/>
        <v>#N/A</v>
      </c>
      <c r="AJ1927" s="571" t="e">
        <f t="shared" si="22"/>
        <v>#N/A</v>
      </c>
      <c r="AK1927" s="571" t="e">
        <f t="shared" si="23"/>
        <v>#N/A</v>
      </c>
      <c r="AL1927" s="572">
        <f>VLOOKUP(D1927,'INTEGRATION PAR CLIENT '!A1322:J1350,10,0)</f>
        <v>0</v>
      </c>
      <c r="AM1927" s="572" t="str">
        <f>VLOOKUP(D1927,'INTEGRATION PAR CLIENT '!A1322:L1350,12,0)</f>
        <v>'30%S-70%F</v>
      </c>
      <c r="AN1927" s="572">
        <f>+VLOOKUP(D1927,'INTEGRATION PAR CLIENT '!A1322:N1350,14,0)</f>
        <v>0</v>
      </c>
      <c r="AO1927" s="572">
        <f>+VLOOKUP(D1927,'INTEGRATION PAR CLIENT '!A1322:P1350,16,0)</f>
        <v>0</v>
      </c>
    </row>
    <row r="1928" spans="1:41">
      <c r="A1928" s="617">
        <v>48</v>
      </c>
      <c r="B1928" s="496" t="str">
        <f t="shared" si="9"/>
        <v>048</v>
      </c>
      <c r="C1928" s="496">
        <f t="shared" si="10"/>
        <v>0</v>
      </c>
      <c r="D1928" s="566" t="str">
        <f>'2025'!D49</f>
        <v>FAE-25-00048</v>
      </c>
      <c r="E1928" s="496" t="str">
        <f t="shared" si="11"/>
        <v>048</v>
      </c>
      <c r="F1928" s="567">
        <f>+'2025'!G49</f>
        <v>45700</v>
      </c>
      <c r="G1928" s="496">
        <f t="shared" si="12"/>
        <v>2025</v>
      </c>
      <c r="H1928" s="586" t="s">
        <v>17342</v>
      </c>
      <c r="I1928" s="496" t="str">
        <f>+VLOOKUP(H1928,Sheet1!A:C,3,0)</f>
        <v>SODIC</v>
      </c>
      <c r="J1928" s="496" t="str">
        <f>+VLOOKUP(H1928,Sheet1!A:D,4,0)</f>
        <v>EUR</v>
      </c>
      <c r="K1928" s="497">
        <f t="shared" si="13"/>
        <v>98263.606392000002</v>
      </c>
      <c r="L1928" s="586">
        <v>3.3246000000000002</v>
      </c>
      <c r="M1928" s="587">
        <v>29556.52</v>
      </c>
      <c r="N1928" s="496" t="str">
        <f>+VLOOKUP(E1928,'2025'!E:F,2,0)</f>
        <v>OUI</v>
      </c>
      <c r="O1928" s="496" t="str">
        <f>VLOOKUP(E1928,'2025'!E:N,10,0)</f>
        <v>France</v>
      </c>
      <c r="P1928" s="880">
        <f>VLOOKUP(E1928,'2025'!E:O,11,0)</f>
        <v>45702</v>
      </c>
      <c r="Q1928" s="565">
        <f>VLOOKUP(E1928,'2025'!E:H,4,0)</f>
        <v>4000</v>
      </c>
      <c r="R1928" s="565">
        <f>VLOOKUP(E1928,'2025'!E:I,5,0)</f>
        <v>52824</v>
      </c>
      <c r="S1928" s="565">
        <f>VLOOKUP(E1928,'2025'!E:J,6,0)</f>
        <v>6000</v>
      </c>
      <c r="T1928" s="565">
        <f>VLOOKUP(E1928,'2025'!E:K,7,0)</f>
        <v>6440</v>
      </c>
      <c r="U1928" s="565">
        <f t="shared" si="14"/>
        <v>69264</v>
      </c>
      <c r="V1928" s="354"/>
      <c r="W1928" s="569" t="e">
        <f>+VLOOKUP(D1928,'JOURNAL FACTURES'!A:O,15,0)</f>
        <v>#N/A</v>
      </c>
      <c r="X1928" s="569" t="e">
        <f>VLOOKUP(D1928,'JOURNAL FACTURES'!A:P,16,0)</f>
        <v>#N/A</v>
      </c>
      <c r="Y1928" s="569" t="e">
        <f>VLOOKUP(D1928,'JOURNAL FACTURES'!A:Q,17,0)</f>
        <v>#N/A</v>
      </c>
      <c r="Z1928" s="569" t="e">
        <f>VLOOKUP(D1928,'JOURNAL FACTURES'!A:R,18,0)</f>
        <v>#N/A</v>
      </c>
      <c r="AA1928" s="570" t="e">
        <f t="shared" si="15"/>
        <v>#N/A</v>
      </c>
      <c r="AB1928" s="570" t="e">
        <f t="shared" si="16"/>
        <v>#N/A</v>
      </c>
      <c r="AC1928" s="570" t="e">
        <f t="shared" si="17"/>
        <v>#N/A</v>
      </c>
      <c r="AD1928" s="570" t="e">
        <f t="shared" si="18"/>
        <v>#N/A</v>
      </c>
      <c r="AE1928" s="569">
        <f>VLOOKUP(D1928,TRANSPORT!H:J,3,0)</f>
        <v>3333.0468599999999</v>
      </c>
      <c r="AF1928" s="569">
        <f>+VLOOKUP(D1928,TRANSPORT!N:O,2,0)</f>
        <v>36150.839999999997</v>
      </c>
      <c r="AG1928" s="569">
        <f t="shared" si="19"/>
        <v>0.52192827442827439</v>
      </c>
      <c r="AH1928" s="571" t="e">
        <f t="shared" si="20"/>
        <v>#N/A</v>
      </c>
      <c r="AI1928" s="571" t="e">
        <f t="shared" si="21"/>
        <v>#N/A</v>
      </c>
      <c r="AJ1928" s="571" t="e">
        <f t="shared" si="22"/>
        <v>#N/A</v>
      </c>
      <c r="AK1928" s="571" t="e">
        <f t="shared" si="23"/>
        <v>#N/A</v>
      </c>
      <c r="AL1928" s="572">
        <f>VLOOKUP(D1928,'INTEGRATION PAR CLIENT '!A1323:J1351,10,0)</f>
        <v>1</v>
      </c>
      <c r="AM1928" s="572">
        <f>VLOOKUP(D1928,'INTEGRATION PAR CLIENT '!A1323:L1351,12,0)</f>
        <v>1</v>
      </c>
      <c r="AN1928" s="572">
        <f>+VLOOKUP(D1928,'INTEGRATION PAR CLIENT '!A1323:N1351,14,0)</f>
        <v>1</v>
      </c>
      <c r="AO1928" s="572">
        <f>+VLOOKUP(D1928,'INTEGRATION PAR CLIENT '!A1323:P1351,16,0)</f>
        <v>1</v>
      </c>
    </row>
    <row r="1929" spans="1:41">
      <c r="A1929" s="617">
        <v>49</v>
      </c>
      <c r="B1929" s="496" t="str">
        <f t="shared" si="9"/>
        <v>049</v>
      </c>
      <c r="C1929" s="496">
        <f t="shared" si="10"/>
        <v>0</v>
      </c>
      <c r="D1929" s="566" t="str">
        <f>'2025'!D50</f>
        <v>FAE-25-00049</v>
      </c>
      <c r="E1929" s="496" t="str">
        <f t="shared" si="11"/>
        <v>049</v>
      </c>
      <c r="F1929" s="567">
        <f>+'2025'!G50</f>
        <v>45701</v>
      </c>
      <c r="G1929" s="496">
        <f t="shared" si="12"/>
        <v>2025</v>
      </c>
      <c r="H1929" s="586" t="s">
        <v>16972</v>
      </c>
      <c r="I1929" s="496" t="str">
        <f>+VLOOKUP(H1929,Sheet1!A:C,3,0)</f>
        <v>STE OMEGA TRADING</v>
      </c>
      <c r="J1929" s="496" t="str">
        <f>+VLOOKUP(H1929,Sheet1!A:D,4,0)</f>
        <v>TND</v>
      </c>
      <c r="K1929" s="497">
        <f t="shared" si="13"/>
        <v>398750</v>
      </c>
      <c r="L1929" s="586">
        <v>1</v>
      </c>
      <c r="M1929" s="587">
        <v>398750</v>
      </c>
      <c r="N1929" s="496" t="str">
        <f>+VLOOKUP(E1929,'2025'!E:F,2,0)</f>
        <v>OUI</v>
      </c>
      <c r="O1929" s="496" t="str">
        <f>VLOOKUP(E1929,'2025'!E:N,10,0)</f>
        <v>Niger</v>
      </c>
      <c r="P1929" s="880">
        <f>VLOOKUP(E1929,'2025'!E:O,11,0)</f>
        <v>45708</v>
      </c>
      <c r="Q1929" s="565">
        <f>VLOOKUP(E1929,'2025'!E:H,4,0)</f>
        <v>0</v>
      </c>
      <c r="R1929" s="565">
        <f>VLOOKUP(E1929,'2025'!E:I,5,0)</f>
        <v>0</v>
      </c>
      <c r="S1929" s="565">
        <f>VLOOKUP(E1929,'2025'!E:J,6,0)</f>
        <v>275000</v>
      </c>
      <c r="T1929" s="565">
        <f>VLOOKUP(E1929,'2025'!E:K,7,0)</f>
        <v>0</v>
      </c>
      <c r="U1929" s="565">
        <f t="shared" si="14"/>
        <v>275000</v>
      </c>
      <c r="V1929" s="354"/>
      <c r="W1929" s="569" t="e">
        <f>+VLOOKUP(D1929,'JOURNAL FACTURES'!A:O,15,0)</f>
        <v>#N/A</v>
      </c>
      <c r="X1929" s="569" t="e">
        <f>VLOOKUP(D1929,'JOURNAL FACTURES'!A:P,16,0)</f>
        <v>#N/A</v>
      </c>
      <c r="Y1929" s="569" t="e">
        <f>VLOOKUP(D1929,'JOURNAL FACTURES'!A:Q,17,0)</f>
        <v>#N/A</v>
      </c>
      <c r="Z1929" s="569" t="e">
        <f>VLOOKUP(D1929,'JOURNAL FACTURES'!A:R,18,0)</f>
        <v>#N/A</v>
      </c>
      <c r="AA1929" s="570" t="e">
        <f t="shared" si="15"/>
        <v>#N/A</v>
      </c>
      <c r="AB1929" s="570" t="e">
        <f t="shared" si="16"/>
        <v>#N/A</v>
      </c>
      <c r="AC1929" s="570" t="e">
        <f t="shared" si="17"/>
        <v>#N/A</v>
      </c>
      <c r="AD1929" s="570" t="e">
        <f t="shared" si="18"/>
        <v>#N/A</v>
      </c>
      <c r="AE1929" s="569">
        <f>VLOOKUP(D1929,TRANSPORT!H:J,3,0)</f>
        <v>0</v>
      </c>
      <c r="AF1929" s="569">
        <f>+VLOOKUP(D1929,TRANSPORT!N:O,2,0)</f>
        <v>0</v>
      </c>
      <c r="AG1929" s="569">
        <f t="shared" si="19"/>
        <v>0</v>
      </c>
      <c r="AH1929" s="571" t="e">
        <f t="shared" si="20"/>
        <v>#N/A</v>
      </c>
      <c r="AI1929" s="571" t="e">
        <f t="shared" si="21"/>
        <v>#N/A</v>
      </c>
      <c r="AJ1929" s="571" t="e">
        <f t="shared" si="22"/>
        <v>#N/A</v>
      </c>
      <c r="AK1929" s="571" t="e">
        <f t="shared" si="23"/>
        <v>#N/A</v>
      </c>
      <c r="AL1929" s="572">
        <f>VLOOKUP(D1929,'INTEGRATION PAR CLIENT '!A1324:J1352,10,0)</f>
        <v>0</v>
      </c>
      <c r="AM1929" s="572">
        <f>VLOOKUP(D1929,'INTEGRATION PAR CLIENT '!A1324:L1352,12,0)</f>
        <v>0</v>
      </c>
      <c r="AN1929" s="572" t="str">
        <f>+VLOOKUP(D1929,'INTEGRATION PAR CLIENT '!A1324:N1352,14,0)</f>
        <v>10%-90%</v>
      </c>
      <c r="AO1929" s="572">
        <f>+VLOOKUP(D1929,'INTEGRATION PAR CLIENT '!A1324:P1352,16,0)</f>
        <v>0</v>
      </c>
    </row>
    <row r="1930" spans="1:41">
      <c r="A1930" s="617">
        <v>50</v>
      </c>
      <c r="B1930" s="496" t="str">
        <f t="shared" si="9"/>
        <v>050</v>
      </c>
      <c r="C1930" s="496">
        <f t="shared" si="10"/>
        <v>0</v>
      </c>
      <c r="D1930" s="566" t="str">
        <f>'2025'!D51</f>
        <v>FAE-25-00050</v>
      </c>
      <c r="E1930" s="496" t="str">
        <f t="shared" si="11"/>
        <v>050</v>
      </c>
      <c r="F1930" s="567">
        <f>+'2025'!G51</f>
        <v>45701</v>
      </c>
      <c r="G1930" s="496">
        <f t="shared" si="12"/>
        <v>2025</v>
      </c>
      <c r="H1930" s="586" t="s">
        <v>16957</v>
      </c>
      <c r="I1930" s="496" t="str">
        <f>+VLOOKUP(H1930,Sheet1!A:C,3,0)</f>
        <v>ANGSTREM TRADING</v>
      </c>
      <c r="J1930" s="496" t="str">
        <f>+VLOOKUP(H1930,Sheet1!A:D,4,0)</f>
        <v>USD</v>
      </c>
      <c r="K1930" s="497">
        <f t="shared" si="13"/>
        <v>95444.7065</v>
      </c>
      <c r="L1930" s="586">
        <v>3.1789999999999998</v>
      </c>
      <c r="M1930" s="587">
        <v>30023.5</v>
      </c>
      <c r="N1930" s="496" t="str">
        <f>+VLOOKUP(E1930,'2025'!E:F,2,0)</f>
        <v>OUI</v>
      </c>
      <c r="O1930" s="496" t="str">
        <f>VLOOKUP(E1930,'2025'!E:N,10,0)</f>
        <v>Russie</v>
      </c>
      <c r="P1930" s="880">
        <f>VLOOKUP(E1930,'2025'!E:O,11,0)</f>
        <v>45709</v>
      </c>
      <c r="Q1930" s="565">
        <f>VLOOKUP(E1930,'2025'!E:H,4,0)</f>
        <v>40300</v>
      </c>
      <c r="R1930" s="565">
        <f>VLOOKUP(E1930,'2025'!E:I,5,0)</f>
        <v>0</v>
      </c>
      <c r="S1930" s="565">
        <f>VLOOKUP(E1930,'2025'!E:J,6,0)</f>
        <v>0</v>
      </c>
      <c r="T1930" s="565">
        <f>VLOOKUP(E1930,'2025'!E:K,7,0)</f>
        <v>0</v>
      </c>
      <c r="U1930" s="565">
        <f t="shared" si="14"/>
        <v>40300</v>
      </c>
      <c r="V1930" s="354"/>
      <c r="W1930" s="569" t="e">
        <f>+VLOOKUP(D1930,'JOURNAL FACTURES'!A:O,15,0)</f>
        <v>#N/A</v>
      </c>
      <c r="X1930" s="569" t="e">
        <f>VLOOKUP(D1930,'JOURNAL FACTURES'!A:P,16,0)</f>
        <v>#N/A</v>
      </c>
      <c r="Y1930" s="569" t="e">
        <f>VLOOKUP(D1930,'JOURNAL FACTURES'!A:Q,17,0)</f>
        <v>#N/A</v>
      </c>
      <c r="Z1930" s="569" t="e">
        <f>VLOOKUP(D1930,'JOURNAL FACTURES'!A:R,18,0)</f>
        <v>#N/A</v>
      </c>
      <c r="AA1930" s="570" t="e">
        <f t="shared" si="15"/>
        <v>#N/A</v>
      </c>
      <c r="AB1930" s="570" t="e">
        <f t="shared" si="16"/>
        <v>#N/A</v>
      </c>
      <c r="AC1930" s="570" t="e">
        <f t="shared" si="17"/>
        <v>#N/A</v>
      </c>
      <c r="AD1930" s="570" t="e">
        <f t="shared" si="18"/>
        <v>#N/A</v>
      </c>
      <c r="AE1930" s="569">
        <f>VLOOKUP(D1930,TRANSPORT!H:J,3,0)</f>
        <v>1234.74</v>
      </c>
      <c r="AF1930" s="569">
        <f>+VLOOKUP(D1930,TRANSPORT!N:O,2,0)</f>
        <v>11986.81</v>
      </c>
      <c r="AG1930" s="569">
        <f t="shared" si="19"/>
        <v>0.29743945409429279</v>
      </c>
      <c r="AH1930" s="571" t="e">
        <f t="shared" si="20"/>
        <v>#N/A</v>
      </c>
      <c r="AI1930" s="571" t="e">
        <f t="shared" si="21"/>
        <v>#N/A</v>
      </c>
      <c r="AJ1930" s="571" t="e">
        <f t="shared" si="22"/>
        <v>#N/A</v>
      </c>
      <c r="AK1930" s="571" t="e">
        <f t="shared" si="23"/>
        <v>#N/A</v>
      </c>
      <c r="AL1930" s="572">
        <f>VLOOKUP(D1930,'INTEGRATION PAR CLIENT '!A1325:J1353,10,0)</f>
        <v>1</v>
      </c>
      <c r="AM1930" s="572">
        <f>VLOOKUP(D1930,'INTEGRATION PAR CLIENT '!A1325:L1353,12,0)</f>
        <v>0</v>
      </c>
      <c r="AN1930" s="572">
        <f>+VLOOKUP(D1930,'INTEGRATION PAR CLIENT '!A1325:N1353,14,0)</f>
        <v>0</v>
      </c>
      <c r="AO1930" s="572">
        <f>+VLOOKUP(D1930,'INTEGRATION PAR CLIENT '!A1325:P1353,16,0)</f>
        <v>0</v>
      </c>
    </row>
    <row r="1931" spans="1:41">
      <c r="A1931" s="617">
        <v>51</v>
      </c>
      <c r="B1931" s="496" t="str">
        <f t="shared" si="9"/>
        <v>051</v>
      </c>
      <c r="C1931" s="496">
        <f t="shared" si="10"/>
        <v>0</v>
      </c>
      <c r="D1931" s="566" t="str">
        <f>'2025'!D52</f>
        <v>FAE-25-00051</v>
      </c>
      <c r="E1931" s="496" t="str">
        <f t="shared" si="11"/>
        <v>051</v>
      </c>
      <c r="F1931" s="567">
        <f>+'2025'!G52</f>
        <v>45702</v>
      </c>
      <c r="G1931" s="496">
        <f t="shared" si="12"/>
        <v>2025</v>
      </c>
      <c r="H1931" s="586" t="s">
        <v>16838</v>
      </c>
      <c r="I1931" s="496" t="str">
        <f>+VLOOKUP(H1931,Sheet1!A:C,3,0)</f>
        <v>TUNISIAN AFRICAN BUSINESS</v>
      </c>
      <c r="J1931" s="496" t="str">
        <f>+VLOOKUP(H1931,Sheet1!A:D,4,0)</f>
        <v>TND</v>
      </c>
      <c r="K1931" s="497">
        <f t="shared" si="13"/>
        <v>44000</v>
      </c>
      <c r="L1931" s="586">
        <v>1</v>
      </c>
      <c r="M1931" s="587">
        <v>44000</v>
      </c>
      <c r="N1931" s="496" t="str">
        <f>+VLOOKUP(E1931,'2025'!E:F,2,0)</f>
        <v>OUI</v>
      </c>
      <c r="O1931" s="496" t="str">
        <f>VLOOKUP(E1931,'2025'!E:N,10,0)</f>
        <v>Ukraine</v>
      </c>
      <c r="P1931" s="880">
        <f>VLOOKUP(E1931,'2025'!E:O,11,0)</f>
        <v>45740</v>
      </c>
      <c r="Q1931" s="565">
        <f>VLOOKUP(E1931,'2025'!E:H,4,0)</f>
        <v>20000</v>
      </c>
      <c r="R1931" s="565">
        <f>VLOOKUP(E1931,'2025'!E:I,5,0)</f>
        <v>0</v>
      </c>
      <c r="S1931" s="565">
        <f>VLOOKUP(E1931,'2025'!E:J,6,0)</f>
        <v>0</v>
      </c>
      <c r="T1931" s="565">
        <f>VLOOKUP(E1931,'2025'!E:K,7,0)</f>
        <v>0</v>
      </c>
      <c r="U1931" s="565">
        <f t="shared" si="14"/>
        <v>20000</v>
      </c>
      <c r="V1931" s="354"/>
      <c r="W1931" s="569" t="e">
        <f>+VLOOKUP(D1931,'JOURNAL FACTURES'!A:O,15,0)</f>
        <v>#N/A</v>
      </c>
      <c r="X1931" s="569" t="e">
        <f>VLOOKUP(D1931,'JOURNAL FACTURES'!A:P,16,0)</f>
        <v>#N/A</v>
      </c>
      <c r="Y1931" s="569" t="e">
        <f>VLOOKUP(D1931,'JOURNAL FACTURES'!A:Q,17,0)</f>
        <v>#N/A</v>
      </c>
      <c r="Z1931" s="569" t="e">
        <f>VLOOKUP(D1931,'JOURNAL FACTURES'!A:R,18,0)</f>
        <v>#N/A</v>
      </c>
      <c r="AA1931" s="570" t="e">
        <f t="shared" si="15"/>
        <v>#N/A</v>
      </c>
      <c r="AB1931" s="570" t="e">
        <f t="shared" si="16"/>
        <v>#N/A</v>
      </c>
      <c r="AC1931" s="570" t="e">
        <f t="shared" si="17"/>
        <v>#N/A</v>
      </c>
      <c r="AD1931" s="570" t="e">
        <f t="shared" si="18"/>
        <v>#N/A</v>
      </c>
      <c r="AE1931" s="569">
        <f>VLOOKUP(D1931,TRANSPORT!H:J,3,0)</f>
        <v>0</v>
      </c>
      <c r="AF1931" s="569">
        <f>+VLOOKUP(D1931,TRANSPORT!N:O,2,0)</f>
        <v>0</v>
      </c>
      <c r="AG1931" s="569">
        <f t="shared" si="19"/>
        <v>0</v>
      </c>
      <c r="AH1931" s="571" t="e">
        <f t="shared" si="20"/>
        <v>#N/A</v>
      </c>
      <c r="AI1931" s="571" t="e">
        <f t="shared" si="21"/>
        <v>#N/A</v>
      </c>
      <c r="AJ1931" s="571" t="e">
        <f t="shared" si="22"/>
        <v>#N/A</v>
      </c>
      <c r="AK1931" s="571" t="e">
        <f t="shared" si="23"/>
        <v>#N/A</v>
      </c>
      <c r="AL1931" s="572">
        <f>VLOOKUP(D1931,'INTEGRATION PAR CLIENT '!A1326:J1354,10,0)</f>
        <v>1</v>
      </c>
      <c r="AM1931" s="572">
        <f>VLOOKUP(D1931,'INTEGRATION PAR CLIENT '!A1326:L1354,12,0)</f>
        <v>0</v>
      </c>
      <c r="AN1931" s="572">
        <f>+VLOOKUP(D1931,'INTEGRATION PAR CLIENT '!A1326:N1354,14,0)</f>
        <v>0</v>
      </c>
      <c r="AO1931" s="572">
        <f>+VLOOKUP(D1931,'INTEGRATION PAR CLIENT '!A1326:P1354,16,0)</f>
        <v>0</v>
      </c>
    </row>
    <row r="1932" spans="1:41">
      <c r="A1932" s="617">
        <v>52</v>
      </c>
      <c r="B1932" s="496" t="str">
        <f t="shared" si="9"/>
        <v>052</v>
      </c>
      <c r="C1932" s="496">
        <f t="shared" si="10"/>
        <v>0</v>
      </c>
      <c r="D1932" s="566" t="str">
        <f>'2025'!D53</f>
        <v>FAE-25-00052</v>
      </c>
      <c r="E1932" s="496" t="str">
        <f t="shared" si="11"/>
        <v>052</v>
      </c>
      <c r="F1932" s="567">
        <f>+'2025'!G53</f>
        <v>45730</v>
      </c>
      <c r="G1932" s="496">
        <f t="shared" si="12"/>
        <v>2025</v>
      </c>
      <c r="H1932" s="586" t="s">
        <v>16700</v>
      </c>
      <c r="I1932" s="496" t="str">
        <f>+VLOOKUP(H1932,Sheet1!A:C,3,0)</f>
        <v>JP BEEMSTERBOER BV</v>
      </c>
      <c r="J1932" s="496" t="str">
        <f>+VLOOKUP(H1932,Sheet1!A:D,4,0)</f>
        <v>USD</v>
      </c>
      <c r="K1932" s="497">
        <f t="shared" si="13"/>
        <v>248262.45885000002</v>
      </c>
      <c r="L1932" s="586">
        <v>3.3235000000000001</v>
      </c>
      <c r="M1932" s="587">
        <v>74699.100000000006</v>
      </c>
      <c r="N1932" s="496" t="str">
        <f>+VLOOKUP(E1932,'2025'!E:F,2,0)</f>
        <v>OUI</v>
      </c>
      <c r="O1932" s="496" t="str">
        <f>VLOOKUP(E1932,'2025'!E:N,10,0)</f>
        <v>Sierra Leone</v>
      </c>
      <c r="P1932" s="880">
        <f>VLOOKUP(E1932,'2025'!E:O,11,0)</f>
        <v>45708</v>
      </c>
      <c r="Q1932" s="565">
        <f>VLOOKUP(E1932,'2025'!E:H,4,0)</f>
        <v>110040</v>
      </c>
      <c r="R1932" s="565">
        <f>VLOOKUP(E1932,'2025'!E:I,5,0)</f>
        <v>0</v>
      </c>
      <c r="S1932" s="565">
        <f>VLOOKUP(E1932,'2025'!E:J,6,0)</f>
        <v>0</v>
      </c>
      <c r="T1932" s="565">
        <f>VLOOKUP(E1932,'2025'!E:K,7,0)</f>
        <v>0</v>
      </c>
      <c r="U1932" s="565">
        <f t="shared" si="14"/>
        <v>110040</v>
      </c>
      <c r="V1932" s="354"/>
      <c r="W1932" s="569" t="e">
        <f>+VLOOKUP(D1932,'JOURNAL FACTURES'!A:O,15,0)</f>
        <v>#N/A</v>
      </c>
      <c r="X1932" s="569" t="e">
        <f>VLOOKUP(D1932,'JOURNAL FACTURES'!A:P,16,0)</f>
        <v>#N/A</v>
      </c>
      <c r="Y1932" s="569" t="e">
        <f>VLOOKUP(D1932,'JOURNAL FACTURES'!A:Q,17,0)</f>
        <v>#N/A</v>
      </c>
      <c r="Z1932" s="569" t="e">
        <f>VLOOKUP(D1932,'JOURNAL FACTURES'!A:R,18,0)</f>
        <v>#N/A</v>
      </c>
      <c r="AA1932" s="570" t="e">
        <f t="shared" si="15"/>
        <v>#N/A</v>
      </c>
      <c r="AB1932" s="570" t="e">
        <f t="shared" si="16"/>
        <v>#N/A</v>
      </c>
      <c r="AC1932" s="570" t="e">
        <f t="shared" si="17"/>
        <v>#N/A</v>
      </c>
      <c r="AD1932" s="570" t="e">
        <f t="shared" si="18"/>
        <v>#N/A</v>
      </c>
      <c r="AE1932" s="569">
        <f>VLOOKUP(D1932,TRANSPORT!H:J,3,0)</f>
        <v>5187.2000000000007</v>
      </c>
      <c r="AF1932" s="569">
        <f>+VLOOKUP(D1932,TRANSPORT!N:O,2,0)</f>
        <v>29014.59</v>
      </c>
      <c r="AG1932" s="569">
        <f t="shared" si="19"/>
        <v>0.26367311886586697</v>
      </c>
      <c r="AH1932" s="571" t="e">
        <f t="shared" si="20"/>
        <v>#N/A</v>
      </c>
      <c r="AI1932" s="571" t="e">
        <f t="shared" si="21"/>
        <v>#N/A</v>
      </c>
      <c r="AJ1932" s="571" t="e">
        <f t="shared" si="22"/>
        <v>#N/A</v>
      </c>
      <c r="AK1932" s="571" t="e">
        <f t="shared" si="23"/>
        <v>#N/A</v>
      </c>
      <c r="AL1932" s="572">
        <f>VLOOKUP(D1932,'INTEGRATION PAR CLIENT '!A1327:J1355,10,0)</f>
        <v>1</v>
      </c>
      <c r="AM1932" s="572">
        <f>VLOOKUP(D1932,'INTEGRATION PAR CLIENT '!A1327:L1355,12,0)</f>
        <v>0</v>
      </c>
      <c r="AN1932" s="572">
        <f>+VLOOKUP(D1932,'INTEGRATION PAR CLIENT '!A1327:N1355,14,0)</f>
        <v>0</v>
      </c>
      <c r="AO1932" s="572">
        <f>+VLOOKUP(D1932,'INTEGRATION PAR CLIENT '!A1327:P1355,16,0)</f>
        <v>0</v>
      </c>
    </row>
    <row r="1933" spans="1:41">
      <c r="A1933" s="617">
        <v>53</v>
      </c>
      <c r="B1933" s="496" t="str">
        <f t="shared" si="9"/>
        <v>053</v>
      </c>
      <c r="C1933" s="496">
        <f t="shared" si="10"/>
        <v>0</v>
      </c>
      <c r="D1933" s="566" t="str">
        <f>'2025'!D54</f>
        <v>FAE-25-00053</v>
      </c>
      <c r="E1933" s="496" t="str">
        <f t="shared" si="11"/>
        <v>053</v>
      </c>
      <c r="F1933" s="567">
        <f>+'2025'!G54</f>
        <v>45702</v>
      </c>
      <c r="G1933" s="496">
        <f t="shared" si="12"/>
        <v>2025</v>
      </c>
      <c r="H1933" s="586" t="s">
        <v>16444</v>
      </c>
      <c r="I1933" s="496" t="str">
        <f>+VLOOKUP(H1933,Sheet1!A:C,3,0)</f>
        <v>SAHEL INTERNATIONAL TRADE</v>
      </c>
      <c r="J1933" s="496" t="str">
        <f>+VLOOKUP(H1933,Sheet1!A:D,4,0)</f>
        <v>TND</v>
      </c>
      <c r="K1933" s="497">
        <f t="shared" si="13"/>
        <v>38265.96</v>
      </c>
      <c r="L1933" s="586">
        <v>1</v>
      </c>
      <c r="M1933" s="587">
        <v>38265.96</v>
      </c>
      <c r="N1933" s="496" t="str">
        <f>+VLOOKUP(E1933,'2025'!E:F,2,0)</f>
        <v>OUI</v>
      </c>
      <c r="O1933" s="496" t="str">
        <f>VLOOKUP(E1933,'2025'!E:N,10,0)</f>
        <v>Burkina Faso</v>
      </c>
      <c r="P1933" s="880">
        <f>VLOOKUP(E1933,'2025'!E:O,11,0)</f>
        <v>45712</v>
      </c>
      <c r="Q1933" s="565">
        <f>VLOOKUP(E1933,'2025'!E:H,4,0)</f>
        <v>19204</v>
      </c>
      <c r="R1933" s="565">
        <f>VLOOKUP(E1933,'2025'!E:I,5,0)</f>
        <v>0</v>
      </c>
      <c r="S1933" s="565">
        <f>VLOOKUP(E1933,'2025'!E:J,6,0)</f>
        <v>0</v>
      </c>
      <c r="T1933" s="565">
        <f>VLOOKUP(E1933,'2025'!E:K,7,0)</f>
        <v>0</v>
      </c>
      <c r="U1933" s="565">
        <f t="shared" si="14"/>
        <v>19204</v>
      </c>
      <c r="V1933" s="354"/>
      <c r="W1933" s="569" t="e">
        <f>+VLOOKUP(D1933,'JOURNAL FACTURES'!A:O,15,0)</f>
        <v>#N/A</v>
      </c>
      <c r="X1933" s="569" t="e">
        <f>VLOOKUP(D1933,'JOURNAL FACTURES'!A:P,16,0)</f>
        <v>#N/A</v>
      </c>
      <c r="Y1933" s="569" t="e">
        <f>VLOOKUP(D1933,'JOURNAL FACTURES'!A:Q,17,0)</f>
        <v>#N/A</v>
      </c>
      <c r="Z1933" s="569" t="e">
        <f>VLOOKUP(D1933,'JOURNAL FACTURES'!A:R,18,0)</f>
        <v>#N/A</v>
      </c>
      <c r="AA1933" s="570" t="e">
        <f t="shared" si="15"/>
        <v>#N/A</v>
      </c>
      <c r="AB1933" s="570" t="e">
        <f t="shared" si="16"/>
        <v>#N/A</v>
      </c>
      <c r="AC1933" s="570" t="e">
        <f t="shared" si="17"/>
        <v>#N/A</v>
      </c>
      <c r="AD1933" s="570" t="e">
        <f t="shared" si="18"/>
        <v>#N/A</v>
      </c>
      <c r="AE1933" s="569">
        <f>VLOOKUP(D1933,TRANSPORT!H:J,3,0)</f>
        <v>0</v>
      </c>
      <c r="AF1933" s="569">
        <f>+VLOOKUP(D1933,TRANSPORT!N:O,2,0)</f>
        <v>0</v>
      </c>
      <c r="AG1933" s="569">
        <f t="shared" si="19"/>
        <v>0</v>
      </c>
      <c r="AH1933" s="571" t="e">
        <f t="shared" si="20"/>
        <v>#N/A</v>
      </c>
      <c r="AI1933" s="571" t="e">
        <f t="shared" si="21"/>
        <v>#N/A</v>
      </c>
      <c r="AJ1933" s="571" t="e">
        <f t="shared" si="22"/>
        <v>#N/A</v>
      </c>
      <c r="AK1933" s="571" t="e">
        <f t="shared" si="23"/>
        <v>#N/A</v>
      </c>
      <c r="AL1933" s="572">
        <f>VLOOKUP(D1933,'INTEGRATION PAR CLIENT '!A1328:J1356,10,0)</f>
        <v>1</v>
      </c>
      <c r="AM1933" s="572">
        <f>VLOOKUP(D1933,'INTEGRATION PAR CLIENT '!A1328:L1356,12,0)</f>
        <v>0</v>
      </c>
      <c r="AN1933" s="572">
        <f>+VLOOKUP(D1933,'INTEGRATION PAR CLIENT '!A1328:N1356,14,0)</f>
        <v>0</v>
      </c>
      <c r="AO1933" s="572">
        <f>+VLOOKUP(D1933,'INTEGRATION PAR CLIENT '!A1328:P1356,16,0)</f>
        <v>0</v>
      </c>
    </row>
    <row r="1934" spans="1:41">
      <c r="A1934" s="617">
        <v>54</v>
      </c>
      <c r="B1934" s="496" t="str">
        <f t="shared" si="9"/>
        <v>054</v>
      </c>
      <c r="C1934" s="496">
        <f t="shared" si="10"/>
        <v>0</v>
      </c>
      <c r="D1934" s="566" t="str">
        <f>'2025'!D55</f>
        <v>FAE-25-00054</v>
      </c>
      <c r="E1934" s="496" t="str">
        <f t="shared" si="11"/>
        <v>054</v>
      </c>
      <c r="F1934" s="567">
        <f>+'2025'!G55</f>
        <v>45702</v>
      </c>
      <c r="G1934" s="496">
        <f t="shared" si="12"/>
        <v>2025</v>
      </c>
      <c r="H1934" s="586" t="s">
        <v>17388</v>
      </c>
      <c r="I1934" s="496" t="str">
        <f>+VLOOKUP(H1934,Sheet1!A:C,3,0)</f>
        <v xml:space="preserve">GENERIC BRANDS LIMITED </v>
      </c>
      <c r="J1934" s="496" t="str">
        <f>+VLOOKUP(H1934,Sheet1!A:D,4,0)</f>
        <v>USD</v>
      </c>
      <c r="K1934" s="497">
        <f t="shared" si="13"/>
        <v>374636.57209849998</v>
      </c>
      <c r="L1934" s="586">
        <v>3.1719499999999998</v>
      </c>
      <c r="M1934" s="587">
        <v>118109.23</v>
      </c>
      <c r="N1934" s="496" t="str">
        <f>+VLOOKUP(E1934,'2025'!E:F,2,0)</f>
        <v>OUI</v>
      </c>
      <c r="O1934" s="496" t="str">
        <f>VLOOKUP(E1934,'2025'!E:N,10,0)</f>
        <v>kenya</v>
      </c>
      <c r="P1934" s="880">
        <f>VLOOKUP(E1934,'2025'!E:O,11,0)</f>
        <v>45716</v>
      </c>
      <c r="Q1934" s="565">
        <f>VLOOKUP(E1934,'2025'!E:H,4,0)</f>
        <v>0</v>
      </c>
      <c r="R1934" s="565">
        <f>VLOOKUP(E1934,'2025'!E:I,5,0)</f>
        <v>0</v>
      </c>
      <c r="S1934" s="565">
        <f>VLOOKUP(E1934,'2025'!E:J,6,0)</f>
        <v>182050</v>
      </c>
      <c r="T1934" s="565">
        <f>VLOOKUP(E1934,'2025'!E:K,7,0)</f>
        <v>0</v>
      </c>
      <c r="U1934" s="565">
        <f t="shared" si="14"/>
        <v>182050</v>
      </c>
      <c r="V1934" s="354"/>
      <c r="W1934" s="569" t="e">
        <f>+VLOOKUP(D1934,'JOURNAL FACTURES'!A:O,15,0)</f>
        <v>#N/A</v>
      </c>
      <c r="X1934" s="569" t="e">
        <f>VLOOKUP(D1934,'JOURNAL FACTURES'!A:P,16,0)</f>
        <v>#N/A</v>
      </c>
      <c r="Y1934" s="569" t="e">
        <f>VLOOKUP(D1934,'JOURNAL FACTURES'!A:Q,17,0)</f>
        <v>#N/A</v>
      </c>
      <c r="Z1934" s="569" t="e">
        <f>VLOOKUP(D1934,'JOURNAL FACTURES'!A:R,18,0)</f>
        <v>#N/A</v>
      </c>
      <c r="AA1934" s="570" t="e">
        <f t="shared" si="15"/>
        <v>#N/A</v>
      </c>
      <c r="AB1934" s="570" t="e">
        <f t="shared" si="16"/>
        <v>#N/A</v>
      </c>
      <c r="AC1934" s="570" t="e">
        <f t="shared" si="17"/>
        <v>#N/A</v>
      </c>
      <c r="AD1934" s="570" t="e">
        <f t="shared" si="18"/>
        <v>#N/A</v>
      </c>
      <c r="AE1934" s="569">
        <f>VLOOKUP(D1934,TRANSPORT!H:J,3,0)</f>
        <v>7742.1399999999994</v>
      </c>
      <c r="AF1934" s="569">
        <f>+VLOOKUP(D1934,TRANSPORT!N:O,2,0)</f>
        <v>50077.9</v>
      </c>
      <c r="AG1934" s="569">
        <f t="shared" si="19"/>
        <v>0.27507772589947815</v>
      </c>
      <c r="AH1934" s="571" t="e">
        <f t="shared" si="20"/>
        <v>#N/A</v>
      </c>
      <c r="AI1934" s="571" t="e">
        <f t="shared" si="21"/>
        <v>#N/A</v>
      </c>
      <c r="AJ1934" s="571" t="e">
        <f t="shared" si="22"/>
        <v>#N/A</v>
      </c>
      <c r="AK1934" s="571" t="e">
        <f t="shared" si="23"/>
        <v>#N/A</v>
      </c>
      <c r="AL1934" s="572">
        <f>VLOOKUP(D1934,'INTEGRATION PAR CLIENT '!A1329:J1357,10,0)</f>
        <v>0</v>
      </c>
      <c r="AM1934" s="572">
        <f>VLOOKUP(D1934,'INTEGRATION PAR CLIENT '!A1329:L1357,12,0)</f>
        <v>0</v>
      </c>
      <c r="AN1934" s="572" t="str">
        <f>+VLOOKUP(D1934,'INTEGRATION PAR CLIENT '!A1329:N1357,14,0)</f>
        <v>10%-90%</v>
      </c>
      <c r="AO1934" s="572">
        <f>+VLOOKUP(D1934,'INTEGRATION PAR CLIENT '!A1329:P1357,16,0)</f>
        <v>0</v>
      </c>
    </row>
    <row r="1935" spans="1:41">
      <c r="A1935" s="617">
        <v>55</v>
      </c>
      <c r="B1935" s="496" t="str">
        <f t="shared" si="9"/>
        <v>055</v>
      </c>
      <c r="C1935" s="496">
        <f t="shared" si="10"/>
        <v>0</v>
      </c>
      <c r="D1935" s="566" t="str">
        <f>'2025'!D56</f>
        <v>FAE-25-00055</v>
      </c>
      <c r="E1935" s="496" t="str">
        <f t="shared" si="11"/>
        <v>055</v>
      </c>
      <c r="F1935" s="567">
        <f>+'2025'!G56</f>
        <v>45702</v>
      </c>
      <c r="G1935" s="496">
        <f t="shared" si="12"/>
        <v>2025</v>
      </c>
      <c r="H1935" s="586" t="s">
        <v>17209</v>
      </c>
      <c r="I1935" s="496" t="str">
        <f>+VLOOKUP(H1935,Sheet1!A:C,3,0)</f>
        <v>ABOURA FOODS</v>
      </c>
      <c r="J1935" s="496" t="str">
        <f>+VLOOKUP(H1935,Sheet1!A:D,4,0)</f>
        <v>USD</v>
      </c>
      <c r="K1935" s="497">
        <f t="shared" si="13"/>
        <v>76695.213439999992</v>
      </c>
      <c r="L1935" s="586">
        <v>3.1719499999999998</v>
      </c>
      <c r="M1935" s="587">
        <v>24179.200000000001</v>
      </c>
      <c r="N1935" s="496" t="str">
        <f>+VLOOKUP(E1935,'2025'!E:F,2,0)</f>
        <v>OUI</v>
      </c>
      <c r="O1935" s="496" t="str">
        <f>VLOOKUP(E1935,'2025'!E:N,10,0)</f>
        <v>Jordanie</v>
      </c>
      <c r="P1935" s="880">
        <f>VLOOKUP(E1935,'2025'!E:O,11,0)</f>
        <v>45716</v>
      </c>
      <c r="Q1935" s="565">
        <f>VLOOKUP(E1935,'2025'!E:H,4,0)</f>
        <v>3600</v>
      </c>
      <c r="R1935" s="565">
        <f>VLOOKUP(E1935,'2025'!E:I,5,0)</f>
        <v>11160</v>
      </c>
      <c r="S1935" s="565">
        <f>VLOOKUP(E1935,'2025'!E:J,6,0)</f>
        <v>4800</v>
      </c>
      <c r="T1935" s="565">
        <f>VLOOKUP(E1935,'2025'!E:K,7,0)</f>
        <v>3500</v>
      </c>
      <c r="U1935" s="565">
        <f t="shared" si="14"/>
        <v>23060</v>
      </c>
      <c r="V1935" s="354"/>
      <c r="W1935" s="569" t="e">
        <f>+VLOOKUP(D1935,'JOURNAL FACTURES'!A:O,15,0)</f>
        <v>#N/A</v>
      </c>
      <c r="X1935" s="569" t="e">
        <f>VLOOKUP(D1935,'JOURNAL FACTURES'!A:P,16,0)</f>
        <v>#N/A</v>
      </c>
      <c r="Y1935" s="569" t="e">
        <f>VLOOKUP(D1935,'JOURNAL FACTURES'!A:Q,17,0)</f>
        <v>#N/A</v>
      </c>
      <c r="Z1935" s="569" t="e">
        <f>VLOOKUP(D1935,'JOURNAL FACTURES'!A:R,18,0)</f>
        <v>#N/A</v>
      </c>
      <c r="AA1935" s="570" t="e">
        <f t="shared" si="15"/>
        <v>#N/A</v>
      </c>
      <c r="AB1935" s="570" t="e">
        <f t="shared" si="16"/>
        <v>#N/A</v>
      </c>
      <c r="AC1935" s="570" t="e">
        <f t="shared" si="17"/>
        <v>#N/A</v>
      </c>
      <c r="AD1935" s="570" t="e">
        <f t="shared" si="18"/>
        <v>#N/A</v>
      </c>
      <c r="AE1935" s="569">
        <f>VLOOKUP(D1935,TRANSPORT!H:J,3,0)</f>
        <v>633.03239999999994</v>
      </c>
      <c r="AF1935" s="569">
        <f>+VLOOKUP(D1935,TRANSPORT!N:O,2,0)</f>
        <v>6916.13</v>
      </c>
      <c r="AG1935" s="569">
        <f t="shared" si="19"/>
        <v>0.29991890719861231</v>
      </c>
      <c r="AH1935" s="571" t="e">
        <f t="shared" si="20"/>
        <v>#N/A</v>
      </c>
      <c r="AI1935" s="571" t="e">
        <f t="shared" si="21"/>
        <v>#N/A</v>
      </c>
      <c r="AJ1935" s="571" t="e">
        <f t="shared" si="22"/>
        <v>#N/A</v>
      </c>
      <c r="AK1935" s="571" t="e">
        <f t="shared" si="23"/>
        <v>#N/A</v>
      </c>
      <c r="AL1935" s="572">
        <f>VLOOKUP(D1935,'INTEGRATION PAR CLIENT '!A1330:J1358,10,0)</f>
        <v>1</v>
      </c>
      <c r="AM1935" s="572">
        <f>VLOOKUP(D1935,'INTEGRATION PAR CLIENT '!A1330:L1358,12,0)</f>
        <v>1</v>
      </c>
      <c r="AN1935" s="572">
        <f>+VLOOKUP(D1935,'INTEGRATION PAR CLIENT '!A1330:N1358,14,0)</f>
        <v>1</v>
      </c>
      <c r="AO1935" s="572">
        <f>+VLOOKUP(D1935,'INTEGRATION PAR CLIENT '!A1330:P1358,16,0)</f>
        <v>1</v>
      </c>
    </row>
    <row r="1936" spans="1:41">
      <c r="A1936" s="617">
        <v>56</v>
      </c>
      <c r="B1936" s="496" t="str">
        <f t="shared" si="9"/>
        <v>056</v>
      </c>
      <c r="C1936" s="496">
        <f t="shared" si="10"/>
        <v>0</v>
      </c>
      <c r="D1936" s="566" t="str">
        <f>'2025'!D57</f>
        <v>FAE-25-00056</v>
      </c>
      <c r="E1936" s="496" t="str">
        <f t="shared" si="11"/>
        <v>056</v>
      </c>
      <c r="F1936" s="567">
        <f>+'2025'!G57</f>
        <v>45702</v>
      </c>
      <c r="G1936" s="496">
        <f t="shared" si="12"/>
        <v>2025</v>
      </c>
      <c r="H1936" s="586" t="s">
        <v>17209</v>
      </c>
      <c r="I1936" s="496" t="str">
        <f>+VLOOKUP(H1936,Sheet1!A:C,3,0)</f>
        <v>ABOURA FOODS</v>
      </c>
      <c r="J1936" s="496" t="str">
        <f>+VLOOKUP(H1936,Sheet1!A:D,4,0)</f>
        <v>USD</v>
      </c>
      <c r="K1936" s="497">
        <f t="shared" si="13"/>
        <v>76435.113539999991</v>
      </c>
      <c r="L1936" s="586">
        <v>3.1719499999999998</v>
      </c>
      <c r="M1936" s="587">
        <v>24097.200000000001</v>
      </c>
      <c r="N1936" s="496" t="str">
        <f>+VLOOKUP(E1936,'2025'!E:F,2,0)</f>
        <v>OUI</v>
      </c>
      <c r="O1936" s="496" t="str">
        <f>VLOOKUP(E1936,'2025'!E:N,10,0)</f>
        <v>Jordanie</v>
      </c>
      <c r="P1936" s="880">
        <f>VLOOKUP(E1936,'2025'!E:O,11,0)</f>
        <v>45716</v>
      </c>
      <c r="Q1936" s="565">
        <f>VLOOKUP(E1936,'2025'!E:H,4,0)</f>
        <v>0</v>
      </c>
      <c r="R1936" s="565">
        <f>VLOOKUP(E1936,'2025'!E:I,5,0)</f>
        <v>11760</v>
      </c>
      <c r="S1936" s="565">
        <f>VLOOKUP(E1936,'2025'!E:J,6,0)</f>
        <v>3600</v>
      </c>
      <c r="T1936" s="565">
        <f>VLOOKUP(E1936,'2025'!E:K,7,0)</f>
        <v>5400</v>
      </c>
      <c r="U1936" s="565">
        <f t="shared" si="14"/>
        <v>20760</v>
      </c>
      <c r="V1936" s="354"/>
      <c r="W1936" s="569" t="e">
        <f>+VLOOKUP(D1936,'JOURNAL FACTURES'!A:O,15,0)</f>
        <v>#N/A</v>
      </c>
      <c r="X1936" s="569" t="e">
        <f>VLOOKUP(D1936,'JOURNAL FACTURES'!A:P,16,0)</f>
        <v>#N/A</v>
      </c>
      <c r="Y1936" s="569" t="e">
        <f>VLOOKUP(D1936,'JOURNAL FACTURES'!A:Q,17,0)</f>
        <v>#N/A</v>
      </c>
      <c r="Z1936" s="569" t="e">
        <f>VLOOKUP(D1936,'JOURNAL FACTURES'!A:R,18,0)</f>
        <v>#N/A</v>
      </c>
      <c r="AA1936" s="570" t="e">
        <f t="shared" si="15"/>
        <v>#N/A</v>
      </c>
      <c r="AB1936" s="570" t="e">
        <f t="shared" si="16"/>
        <v>#N/A</v>
      </c>
      <c r="AC1936" s="570" t="e">
        <f t="shared" si="17"/>
        <v>#N/A</v>
      </c>
      <c r="AD1936" s="570" t="e">
        <f t="shared" si="18"/>
        <v>#N/A</v>
      </c>
      <c r="AE1936" s="569">
        <f>VLOOKUP(D1936,TRANSPORT!H:J,3,0)</f>
        <v>633.03239999999994</v>
      </c>
      <c r="AF1936" s="569">
        <f>+VLOOKUP(D1936,TRANSPORT!N:O,2,0)</f>
        <v>7056.13</v>
      </c>
      <c r="AG1936" s="569">
        <f t="shared" si="19"/>
        <v>0.33989065510597305</v>
      </c>
      <c r="AH1936" s="571" t="e">
        <f t="shared" si="20"/>
        <v>#N/A</v>
      </c>
      <c r="AI1936" s="571" t="e">
        <f t="shared" si="21"/>
        <v>#N/A</v>
      </c>
      <c r="AJ1936" s="571" t="e">
        <f t="shared" si="22"/>
        <v>#N/A</v>
      </c>
      <c r="AK1936" s="571" t="e">
        <f t="shared" si="23"/>
        <v>#N/A</v>
      </c>
      <c r="AL1936" s="572">
        <f>VLOOKUP(D1936,'INTEGRATION PAR CLIENT '!A1331:J1359,10,0)</f>
        <v>0</v>
      </c>
      <c r="AM1936" s="572">
        <f>VLOOKUP(D1936,'INTEGRATION PAR CLIENT '!A1331:L1359,12,0)</f>
        <v>1</v>
      </c>
      <c r="AN1936" s="572">
        <f>+VLOOKUP(D1936,'INTEGRATION PAR CLIENT '!A1331:N1359,14,0)</f>
        <v>1</v>
      </c>
      <c r="AO1936" s="572">
        <f>+VLOOKUP(D1936,'INTEGRATION PAR CLIENT '!A1331:P1359,16,0)</f>
        <v>1</v>
      </c>
    </row>
    <row r="1937" spans="1:41">
      <c r="A1937" s="617">
        <v>57</v>
      </c>
      <c r="B1937" s="496" t="str">
        <f t="shared" si="9"/>
        <v>057</v>
      </c>
      <c r="C1937" s="496">
        <f t="shared" si="10"/>
        <v>0</v>
      </c>
      <c r="D1937" s="566" t="str">
        <f>'2025'!D58</f>
        <v>FAE-25-00057</v>
      </c>
      <c r="E1937" s="496" t="str">
        <f t="shared" si="11"/>
        <v>057</v>
      </c>
      <c r="F1937" s="567">
        <f>+'2025'!G58</f>
        <v>45702</v>
      </c>
      <c r="G1937" s="496">
        <f t="shared" si="12"/>
        <v>2025</v>
      </c>
      <c r="H1937" s="586" t="s">
        <v>17209</v>
      </c>
      <c r="I1937" s="496" t="str">
        <f>+VLOOKUP(H1937,Sheet1!A:C,3,0)</f>
        <v>ABOURA FOODS</v>
      </c>
      <c r="J1937" s="496" t="str">
        <f>+VLOOKUP(H1937,Sheet1!A:D,4,0)</f>
        <v>USD</v>
      </c>
      <c r="K1937" s="497">
        <f t="shared" si="13"/>
        <v>65913.120999999999</v>
      </c>
      <c r="L1937" s="586">
        <v>3.1719499999999998</v>
      </c>
      <c r="M1937" s="587">
        <v>20780</v>
      </c>
      <c r="N1937" s="496" t="str">
        <f>+VLOOKUP(E1937,'2025'!E:F,2,0)</f>
        <v>OUI</v>
      </c>
      <c r="O1937" s="496" t="str">
        <f>VLOOKUP(E1937,'2025'!E:N,10,0)</f>
        <v>Jordanie</v>
      </c>
      <c r="P1937" s="880">
        <f>VLOOKUP(E1937,'2025'!E:O,11,0)</f>
        <v>45716</v>
      </c>
      <c r="Q1937" s="565">
        <f>VLOOKUP(E1937,'2025'!E:H,4,0)</f>
        <v>0</v>
      </c>
      <c r="R1937" s="565">
        <f>VLOOKUP(E1937,'2025'!E:I,5,0)</f>
        <v>8640</v>
      </c>
      <c r="S1937" s="565">
        <f>VLOOKUP(E1937,'2025'!E:J,6,0)</f>
        <v>13440</v>
      </c>
      <c r="T1937" s="565">
        <f>VLOOKUP(E1937,'2025'!E:K,7,0)</f>
        <v>700</v>
      </c>
      <c r="U1937" s="565">
        <f t="shared" si="14"/>
        <v>22780</v>
      </c>
      <c r="V1937" s="354"/>
      <c r="W1937" s="569" t="e">
        <f>+VLOOKUP(D1937,'JOURNAL FACTURES'!A:O,15,0)</f>
        <v>#N/A</v>
      </c>
      <c r="X1937" s="569" t="e">
        <f>VLOOKUP(D1937,'JOURNAL FACTURES'!A:P,16,0)</f>
        <v>#N/A</v>
      </c>
      <c r="Y1937" s="569" t="e">
        <f>VLOOKUP(D1937,'JOURNAL FACTURES'!A:Q,17,0)</f>
        <v>#N/A</v>
      </c>
      <c r="Z1937" s="569" t="e">
        <f>VLOOKUP(D1937,'JOURNAL FACTURES'!A:R,18,0)</f>
        <v>#N/A</v>
      </c>
      <c r="AA1937" s="570" t="e">
        <f t="shared" si="15"/>
        <v>#N/A</v>
      </c>
      <c r="AB1937" s="570" t="e">
        <f t="shared" si="16"/>
        <v>#N/A</v>
      </c>
      <c r="AC1937" s="570" t="e">
        <f t="shared" si="17"/>
        <v>#N/A</v>
      </c>
      <c r="AD1937" s="570" t="e">
        <f t="shared" si="18"/>
        <v>#N/A</v>
      </c>
      <c r="AE1937" s="569">
        <f>VLOOKUP(D1937,TRANSPORT!H:J,3,0)</f>
        <v>633.03239999999994</v>
      </c>
      <c r="AF1937" s="569">
        <f>+VLOOKUP(D1937,TRANSPORT!N:O,2,0)</f>
        <v>7056.13</v>
      </c>
      <c r="AG1937" s="569">
        <f t="shared" si="19"/>
        <v>0.30975109745390694</v>
      </c>
      <c r="AH1937" s="571" t="e">
        <f t="shared" si="20"/>
        <v>#N/A</v>
      </c>
      <c r="AI1937" s="571" t="e">
        <f t="shared" si="21"/>
        <v>#N/A</v>
      </c>
      <c r="AJ1937" s="571" t="e">
        <f t="shared" si="22"/>
        <v>#N/A</v>
      </c>
      <c r="AK1937" s="571" t="e">
        <f t="shared" si="23"/>
        <v>#N/A</v>
      </c>
      <c r="AL1937" s="572">
        <f>VLOOKUP(D1937,'INTEGRATION PAR CLIENT '!A1332:J1360,10,0)</f>
        <v>0</v>
      </c>
      <c r="AM1937" s="572">
        <f>VLOOKUP(D1937,'INTEGRATION PAR CLIENT '!A1332:L1360,12,0)</f>
        <v>1</v>
      </c>
      <c r="AN1937" s="572">
        <f>+VLOOKUP(D1937,'INTEGRATION PAR CLIENT '!A1332:N1360,14,0)</f>
        <v>1</v>
      </c>
      <c r="AO1937" s="572">
        <f>+VLOOKUP(D1937,'INTEGRATION PAR CLIENT '!A1332:P1360,16,0)</f>
        <v>1</v>
      </c>
    </row>
    <row r="1938" spans="1:41">
      <c r="A1938" s="617">
        <v>58</v>
      </c>
      <c r="B1938" s="496" t="str">
        <f t="shared" si="9"/>
        <v>058</v>
      </c>
      <c r="C1938" s="496">
        <f t="shared" si="10"/>
        <v>0</v>
      </c>
      <c r="D1938" s="566" t="str">
        <f>'2025'!D59</f>
        <v>FAE-25-00058</v>
      </c>
      <c r="E1938" s="496" t="str">
        <f t="shared" si="11"/>
        <v>058</v>
      </c>
      <c r="F1938" s="567">
        <f>+'2025'!G59</f>
        <v>45702</v>
      </c>
      <c r="G1938" s="496">
        <f t="shared" si="12"/>
        <v>2025</v>
      </c>
      <c r="H1938" s="586" t="s">
        <v>17276</v>
      </c>
      <c r="I1938" s="496" t="str">
        <f>+VLOOKUP(H1938,Sheet1!A:C,3,0)</f>
        <v>MATMATA TRADING</v>
      </c>
      <c r="J1938" s="496" t="str">
        <f>+VLOOKUP(H1938,Sheet1!A:D,4,0)</f>
        <v>EUR</v>
      </c>
      <c r="K1938" s="497">
        <f t="shared" si="13"/>
        <v>112500.35160000001</v>
      </c>
      <c r="L1938" s="586">
        <v>3.3233000000000001</v>
      </c>
      <c r="M1938" s="587">
        <v>33852</v>
      </c>
      <c r="N1938" s="496" t="str">
        <f>+VLOOKUP(E1938,'2025'!E:F,2,0)</f>
        <v>OUI</v>
      </c>
      <c r="O1938" s="496" t="str">
        <f>VLOOKUP(E1938,'2025'!E:N,10,0)</f>
        <v>Mauritanie</v>
      </c>
      <c r="P1938" s="880">
        <f>VLOOKUP(E1938,'2025'!E:O,11,0)</f>
        <v>45713</v>
      </c>
      <c r="Q1938" s="565">
        <f>VLOOKUP(E1938,'2025'!E:H,4,0)</f>
        <v>0</v>
      </c>
      <c r="R1938" s="565">
        <f>VLOOKUP(E1938,'2025'!E:I,5,0)</f>
        <v>49600</v>
      </c>
      <c r="S1938" s="565">
        <f>VLOOKUP(E1938,'2025'!E:J,6,0)</f>
        <v>0</v>
      </c>
      <c r="T1938" s="565">
        <f>VLOOKUP(E1938,'2025'!E:K,7,0)</f>
        <v>0</v>
      </c>
      <c r="U1938" s="565">
        <f t="shared" si="14"/>
        <v>49600</v>
      </c>
      <c r="V1938" s="354"/>
      <c r="W1938" s="569" t="e">
        <f>+VLOOKUP(D1938,'JOURNAL FACTURES'!A:O,15,0)</f>
        <v>#N/A</v>
      </c>
      <c r="X1938" s="569" t="e">
        <f>VLOOKUP(D1938,'JOURNAL FACTURES'!A:P,16,0)</f>
        <v>#N/A</v>
      </c>
      <c r="Y1938" s="569" t="e">
        <f>VLOOKUP(D1938,'JOURNAL FACTURES'!A:Q,17,0)</f>
        <v>#N/A</v>
      </c>
      <c r="Z1938" s="569" t="e">
        <f>VLOOKUP(D1938,'JOURNAL FACTURES'!A:R,18,0)</f>
        <v>#N/A</v>
      </c>
      <c r="AA1938" s="570" t="e">
        <f t="shared" si="15"/>
        <v>#N/A</v>
      </c>
      <c r="AB1938" s="570" t="e">
        <f t="shared" si="16"/>
        <v>#N/A</v>
      </c>
      <c r="AC1938" s="570" t="e">
        <f t="shared" si="17"/>
        <v>#N/A</v>
      </c>
      <c r="AD1938" s="570" t="e">
        <f t="shared" si="18"/>
        <v>#N/A</v>
      </c>
      <c r="AE1938" s="569">
        <f>VLOOKUP(D1938,TRANSPORT!H:J,3,0)</f>
        <v>2471.5400000000004</v>
      </c>
      <c r="AF1938" s="569">
        <f>+VLOOKUP(D1938,TRANSPORT!N:O,2,0)</f>
        <v>13372.9</v>
      </c>
      <c r="AG1938" s="569">
        <f t="shared" si="19"/>
        <v>0.26961491935483872</v>
      </c>
      <c r="AH1938" s="571" t="e">
        <f t="shared" si="20"/>
        <v>#N/A</v>
      </c>
      <c r="AI1938" s="571" t="e">
        <f t="shared" si="21"/>
        <v>#N/A</v>
      </c>
      <c r="AJ1938" s="571" t="e">
        <f t="shared" si="22"/>
        <v>#N/A</v>
      </c>
      <c r="AK1938" s="571" t="e">
        <f t="shared" si="23"/>
        <v>#N/A</v>
      </c>
      <c r="AL1938" s="572">
        <f>VLOOKUP(D1938,'INTEGRATION PAR CLIENT '!A1333:J1361,10,0)</f>
        <v>0</v>
      </c>
      <c r="AM1938" s="572">
        <f>VLOOKUP(D1938,'INTEGRATION PAR CLIENT '!A1333:L1361,12,0)</f>
        <v>0</v>
      </c>
      <c r="AN1938" s="572">
        <f>+VLOOKUP(D1938,'INTEGRATION PAR CLIENT '!A1333:N1361,14,0)</f>
        <v>0</v>
      </c>
      <c r="AO1938" s="572">
        <f>+VLOOKUP(D1938,'INTEGRATION PAR CLIENT '!A1333:P1361,16,0)</f>
        <v>0</v>
      </c>
    </row>
    <row r="1939" spans="1:41">
      <c r="A1939" s="617">
        <v>59</v>
      </c>
      <c r="B1939" s="496" t="str">
        <f t="shared" si="9"/>
        <v>059</v>
      </c>
      <c r="C1939" s="496">
        <f t="shared" si="10"/>
        <v>0</v>
      </c>
      <c r="D1939" s="566" t="str">
        <f>'2025'!D60</f>
        <v>FAE-25-00059</v>
      </c>
      <c r="E1939" s="496" t="str">
        <f t="shared" si="11"/>
        <v>059</v>
      </c>
      <c r="F1939" s="567">
        <f>+'2025'!G60</f>
        <v>45702</v>
      </c>
      <c r="G1939" s="496">
        <f t="shared" si="12"/>
        <v>2025</v>
      </c>
      <c r="H1939" s="586" t="s">
        <v>16838</v>
      </c>
      <c r="I1939" s="496" t="str">
        <f>+VLOOKUP(H1939,Sheet1!A:C,3,0)</f>
        <v>TUNISIAN AFRICAN BUSINESS</v>
      </c>
      <c r="J1939" s="496" t="str">
        <f>+VLOOKUP(H1939,Sheet1!A:D,4,0)</f>
        <v>TND</v>
      </c>
      <c r="K1939" s="497">
        <f t="shared" si="13"/>
        <v>105975</v>
      </c>
      <c r="L1939" s="586">
        <v>1</v>
      </c>
      <c r="M1939" s="587">
        <v>105975</v>
      </c>
      <c r="N1939" s="496" t="str">
        <f>+VLOOKUP(E1939,'2025'!E:F,2,0)</f>
        <v>OUI</v>
      </c>
      <c r="O1939" s="496" t="str">
        <f>VLOOKUP(E1939,'2025'!E:N,10,0)</f>
        <v>Senegal</v>
      </c>
      <c r="P1939" s="880" t="str">
        <f>VLOOKUP(E1939,'2025'!E:O,11,0)</f>
        <v>28/02/2025-03/03/2025</v>
      </c>
      <c r="Q1939" s="565">
        <f>VLOOKUP(E1939,'2025'!E:H,4,0)</f>
        <v>0</v>
      </c>
      <c r="R1939" s="565">
        <f>VLOOKUP(E1939,'2025'!E:I,5,0)</f>
        <v>67500</v>
      </c>
      <c r="S1939" s="565">
        <f>VLOOKUP(E1939,'2025'!E:J,6,0)</f>
        <v>0</v>
      </c>
      <c r="T1939" s="565">
        <f>VLOOKUP(E1939,'2025'!E:K,7,0)</f>
        <v>0</v>
      </c>
      <c r="U1939" s="565">
        <f t="shared" si="14"/>
        <v>67500</v>
      </c>
      <c r="V1939" s="354"/>
      <c r="W1939" s="569" t="e">
        <f>+VLOOKUP(D1939,'JOURNAL FACTURES'!A:O,15,0)</f>
        <v>#N/A</v>
      </c>
      <c r="X1939" s="569" t="e">
        <f>VLOOKUP(D1939,'JOURNAL FACTURES'!A:P,16,0)</f>
        <v>#N/A</v>
      </c>
      <c r="Y1939" s="569" t="e">
        <f>VLOOKUP(D1939,'JOURNAL FACTURES'!A:Q,17,0)</f>
        <v>#N/A</v>
      </c>
      <c r="Z1939" s="569" t="e">
        <f>VLOOKUP(D1939,'JOURNAL FACTURES'!A:R,18,0)</f>
        <v>#N/A</v>
      </c>
      <c r="AA1939" s="570" t="e">
        <f t="shared" si="15"/>
        <v>#N/A</v>
      </c>
      <c r="AB1939" s="570" t="e">
        <f t="shared" si="16"/>
        <v>#N/A</v>
      </c>
      <c r="AC1939" s="570" t="e">
        <f t="shared" si="17"/>
        <v>#N/A</v>
      </c>
      <c r="AD1939" s="570" t="e">
        <f t="shared" si="18"/>
        <v>#N/A</v>
      </c>
      <c r="AE1939" s="569">
        <f>VLOOKUP(D1939,TRANSPORT!H:J,3,0)</f>
        <v>0</v>
      </c>
      <c r="AF1939" s="569">
        <f>+VLOOKUP(D1939,TRANSPORT!N:O,2,0)</f>
        <v>0</v>
      </c>
      <c r="AG1939" s="569">
        <f t="shared" si="19"/>
        <v>0</v>
      </c>
      <c r="AH1939" s="571" t="e">
        <f t="shared" si="20"/>
        <v>#N/A</v>
      </c>
      <c r="AI1939" s="571" t="e">
        <f t="shared" si="21"/>
        <v>#N/A</v>
      </c>
      <c r="AJ1939" s="571" t="e">
        <f t="shared" si="22"/>
        <v>#N/A</v>
      </c>
      <c r="AK1939" s="571" t="e">
        <f t="shared" si="23"/>
        <v>#N/A</v>
      </c>
      <c r="AL1939" s="572">
        <f>VLOOKUP(D1939,'INTEGRATION PAR CLIENT '!A1334:J1362,10,0)</f>
        <v>0</v>
      </c>
      <c r="AM1939" s="572" t="str">
        <f>VLOOKUP(D1939,'INTEGRATION PAR CLIENT '!A1334:L1362,12,0)</f>
        <v>10%-90%</v>
      </c>
      <c r="AN1939" s="572">
        <f>+VLOOKUP(D1939,'INTEGRATION PAR CLIENT '!A1334:N1362,14,0)</f>
        <v>0</v>
      </c>
      <c r="AO1939" s="572">
        <f>+VLOOKUP(D1939,'INTEGRATION PAR CLIENT '!A1334:P1362,16,0)</f>
        <v>0</v>
      </c>
    </row>
    <row r="1940" spans="1:41">
      <c r="A1940" s="617">
        <v>60</v>
      </c>
      <c r="B1940" s="496" t="str">
        <f t="shared" si="9"/>
        <v>060</v>
      </c>
      <c r="C1940" s="496">
        <f t="shared" si="10"/>
        <v>0</v>
      </c>
      <c r="D1940" s="566" t="str">
        <f>'2025'!D61</f>
        <v>FAE-25-00060</v>
      </c>
      <c r="E1940" s="496" t="str">
        <f t="shared" si="11"/>
        <v>060</v>
      </c>
      <c r="F1940" s="567">
        <f>+'2025'!G61</f>
        <v>45706</v>
      </c>
      <c r="G1940" s="496">
        <f t="shared" si="12"/>
        <v>2025</v>
      </c>
      <c r="H1940" s="586" t="s">
        <v>16838</v>
      </c>
      <c r="I1940" s="496" t="str">
        <f>+VLOOKUP(H1940,Sheet1!A:C,3,0)</f>
        <v>TUNISIAN AFRICAN BUSINESS</v>
      </c>
      <c r="J1940" s="496" t="str">
        <f>+VLOOKUP(H1940,Sheet1!A:D,4,0)</f>
        <v>TND</v>
      </c>
      <c r="K1940" s="497">
        <f t="shared" si="13"/>
        <v>404023</v>
      </c>
      <c r="L1940" s="586">
        <v>1</v>
      </c>
      <c r="M1940" s="587">
        <v>404023</v>
      </c>
      <c r="N1940" s="496" t="str">
        <f>+VLOOKUP(E1940,'2025'!E:F,2,0)</f>
        <v>OUI</v>
      </c>
      <c r="O1940" s="496" t="str">
        <f>VLOOKUP(E1940,'2025'!E:N,10,0)</f>
        <v>Gabon</v>
      </c>
      <c r="P1940" s="880">
        <f>VLOOKUP(E1940,'2025'!E:O,11,0)</f>
        <v>45716</v>
      </c>
      <c r="Q1940" s="565">
        <f>VLOOKUP(E1940,'2025'!E:H,4,0)</f>
        <v>20750</v>
      </c>
      <c r="R1940" s="565">
        <f>VLOOKUP(E1940,'2025'!E:I,5,0)</f>
        <v>22800</v>
      </c>
      <c r="S1940" s="565">
        <f>VLOOKUP(E1940,'2025'!E:J,6,0)</f>
        <v>196000</v>
      </c>
      <c r="T1940" s="565">
        <f>VLOOKUP(E1940,'2025'!E:K,7,0)</f>
        <v>0</v>
      </c>
      <c r="U1940" s="565">
        <f t="shared" si="14"/>
        <v>239550</v>
      </c>
      <c r="V1940" s="354"/>
      <c r="W1940" s="569" t="e">
        <f>+VLOOKUP(D1940,'JOURNAL FACTURES'!A:O,15,0)</f>
        <v>#N/A</v>
      </c>
      <c r="X1940" s="569" t="e">
        <f>VLOOKUP(D1940,'JOURNAL FACTURES'!A:P,16,0)</f>
        <v>#N/A</v>
      </c>
      <c r="Y1940" s="569" t="e">
        <f>VLOOKUP(D1940,'JOURNAL FACTURES'!A:Q,17,0)</f>
        <v>#N/A</v>
      </c>
      <c r="Z1940" s="569" t="e">
        <f>VLOOKUP(D1940,'JOURNAL FACTURES'!A:R,18,0)</f>
        <v>#N/A</v>
      </c>
      <c r="AA1940" s="570" t="e">
        <f t="shared" si="15"/>
        <v>#N/A</v>
      </c>
      <c r="AB1940" s="570" t="e">
        <f t="shared" si="16"/>
        <v>#N/A</v>
      </c>
      <c r="AC1940" s="570" t="e">
        <f t="shared" si="17"/>
        <v>#N/A</v>
      </c>
      <c r="AD1940" s="570" t="e">
        <f t="shared" si="18"/>
        <v>#N/A</v>
      </c>
      <c r="AE1940" s="569">
        <f>VLOOKUP(D1940,TRANSPORT!H:J,3,0)</f>
        <v>0</v>
      </c>
      <c r="AF1940" s="569">
        <f>+VLOOKUP(D1940,TRANSPORT!N:O,2,0)</f>
        <v>0</v>
      </c>
      <c r="AG1940" s="569">
        <f t="shared" si="19"/>
        <v>0</v>
      </c>
      <c r="AH1940" s="571" t="e">
        <f t="shared" si="20"/>
        <v>#N/A</v>
      </c>
      <c r="AI1940" s="571" t="e">
        <f t="shared" si="21"/>
        <v>#N/A</v>
      </c>
      <c r="AJ1940" s="571" t="e">
        <f t="shared" si="22"/>
        <v>#N/A</v>
      </c>
      <c r="AK1940" s="571" t="e">
        <f t="shared" si="23"/>
        <v>#N/A</v>
      </c>
      <c r="AL1940" s="572">
        <f>VLOOKUP(D1940,'INTEGRATION PAR CLIENT '!A1335:J1363,10,0)</f>
        <v>1</v>
      </c>
      <c r="AM1940" s="572" t="str">
        <f>VLOOKUP(D1940,'INTEGRATION PAR CLIENT '!A1335:L1363,12,0)</f>
        <v>'30%S-70%F</v>
      </c>
      <c r="AN1940" s="572" t="str">
        <f>+VLOOKUP(D1940,'INTEGRATION PAR CLIENT '!A1335:N1363,14,0)</f>
        <v>10%-90%</v>
      </c>
      <c r="AO1940" s="572">
        <f>+VLOOKUP(D1940,'INTEGRATION PAR CLIENT '!A1335:P1363,16,0)</f>
        <v>0</v>
      </c>
    </row>
    <row r="1941" spans="1:41">
      <c r="A1941" s="617">
        <v>61</v>
      </c>
      <c r="B1941" s="496" t="str">
        <f t="shared" si="9"/>
        <v>061</v>
      </c>
      <c r="C1941" s="496">
        <f t="shared" si="10"/>
        <v>0</v>
      </c>
      <c r="D1941" s="566" t="str">
        <f>'2025'!D62</f>
        <v>FAE-25-00061</v>
      </c>
      <c r="E1941" s="496" t="str">
        <f t="shared" si="11"/>
        <v>061</v>
      </c>
      <c r="F1941" s="567">
        <f>+'2025'!G62</f>
        <v>45706</v>
      </c>
      <c r="G1941" s="496">
        <f t="shared" si="12"/>
        <v>2025</v>
      </c>
      <c r="H1941" s="586" t="s">
        <v>16384</v>
      </c>
      <c r="I1941" s="496" t="str">
        <f>+VLOOKUP(H1941,Sheet1!A:C,3,0)</f>
        <v>STE DE COMMERCE INTERNATIONAL</v>
      </c>
      <c r="J1941" s="496" t="str">
        <f>+VLOOKUP(H1941,Sheet1!A:D,4,0)</f>
        <v>TND</v>
      </c>
      <c r="K1941" s="497">
        <f t="shared" si="13"/>
        <v>372093.2</v>
      </c>
      <c r="L1941" s="586">
        <v>1</v>
      </c>
      <c r="M1941" s="587">
        <v>372093.2</v>
      </c>
      <c r="N1941" s="496" t="str">
        <f>+VLOOKUP(E1941,'2025'!E:F,2,0)</f>
        <v>OUI</v>
      </c>
      <c r="O1941" s="496" t="str">
        <f>VLOOKUP(E1941,'2025'!E:N,10,0)</f>
        <v>Sierra Leone</v>
      </c>
      <c r="P1941" s="880">
        <f>VLOOKUP(E1941,'2025'!E:O,11,0)</f>
        <v>45713</v>
      </c>
      <c r="Q1941" s="565">
        <f>VLOOKUP(E1941,'2025'!E:H,4,0)</f>
        <v>167398</v>
      </c>
      <c r="R1941" s="565">
        <f>VLOOKUP(E1941,'2025'!E:I,5,0)</f>
        <v>7200</v>
      </c>
      <c r="S1941" s="565">
        <f>VLOOKUP(E1941,'2025'!E:J,6,0)</f>
        <v>0</v>
      </c>
      <c r="T1941" s="565">
        <f>VLOOKUP(E1941,'2025'!E:K,7,0)</f>
        <v>0</v>
      </c>
      <c r="U1941" s="565">
        <f t="shared" si="14"/>
        <v>174598</v>
      </c>
      <c r="V1941" s="354"/>
      <c r="W1941" s="569" t="e">
        <f>+VLOOKUP(D1941,'JOURNAL FACTURES'!A:O,15,0)</f>
        <v>#N/A</v>
      </c>
      <c r="X1941" s="569" t="e">
        <f>VLOOKUP(D1941,'JOURNAL FACTURES'!A:P,16,0)</f>
        <v>#N/A</v>
      </c>
      <c r="Y1941" s="569" t="e">
        <f>VLOOKUP(D1941,'JOURNAL FACTURES'!A:Q,17,0)</f>
        <v>#N/A</v>
      </c>
      <c r="Z1941" s="569" t="e">
        <f>VLOOKUP(D1941,'JOURNAL FACTURES'!A:R,18,0)</f>
        <v>#N/A</v>
      </c>
      <c r="AA1941" s="570" t="e">
        <f t="shared" si="15"/>
        <v>#N/A</v>
      </c>
      <c r="AB1941" s="570" t="e">
        <f t="shared" si="16"/>
        <v>#N/A</v>
      </c>
      <c r="AC1941" s="570" t="e">
        <f t="shared" si="17"/>
        <v>#N/A</v>
      </c>
      <c r="AD1941" s="570" t="e">
        <f t="shared" si="18"/>
        <v>#N/A</v>
      </c>
      <c r="AE1941" s="569">
        <f>VLOOKUP(D1941,TRANSPORT!H:J,3,0)</f>
        <v>0</v>
      </c>
      <c r="AF1941" s="569">
        <f>+VLOOKUP(D1941,TRANSPORT!N:O,2,0)</f>
        <v>0</v>
      </c>
      <c r="AG1941" s="569">
        <f t="shared" si="19"/>
        <v>0</v>
      </c>
      <c r="AH1941" s="571" t="e">
        <f t="shared" si="20"/>
        <v>#N/A</v>
      </c>
      <c r="AI1941" s="571" t="e">
        <f t="shared" si="21"/>
        <v>#N/A</v>
      </c>
      <c r="AJ1941" s="571" t="e">
        <f t="shared" si="22"/>
        <v>#N/A</v>
      </c>
      <c r="AK1941" s="571" t="e">
        <f t="shared" si="23"/>
        <v>#N/A</v>
      </c>
      <c r="AL1941" s="572">
        <f>VLOOKUP(D1941,'INTEGRATION PAR CLIENT '!A1336:J1364,10,0)</f>
        <v>1</v>
      </c>
      <c r="AM1941" s="572" t="str">
        <f>VLOOKUP(D1941,'INTEGRATION PAR CLIENT '!A1336:L1364,12,0)</f>
        <v>'30%S-70%F</v>
      </c>
      <c r="AN1941" s="572">
        <f>+VLOOKUP(D1941,'INTEGRATION PAR CLIENT '!A1336:N1364,14,0)</f>
        <v>0</v>
      </c>
      <c r="AO1941" s="572">
        <f>+VLOOKUP(D1941,'INTEGRATION PAR CLIENT '!A1336:P1364,16,0)</f>
        <v>0</v>
      </c>
    </row>
    <row r="1942" spans="1:41">
      <c r="A1942" s="617">
        <v>62</v>
      </c>
      <c r="B1942" s="496" t="str">
        <f t="shared" si="9"/>
        <v>062</v>
      </c>
      <c r="C1942" s="496">
        <f t="shared" si="10"/>
        <v>0</v>
      </c>
      <c r="D1942" s="566" t="str">
        <f>'2025'!D63</f>
        <v>FAE-25-00062</v>
      </c>
      <c r="E1942" s="496" t="str">
        <f t="shared" si="11"/>
        <v>062</v>
      </c>
      <c r="F1942" s="567">
        <f>+'2025'!G63</f>
        <v>45706</v>
      </c>
      <c r="G1942" s="496">
        <f t="shared" si="12"/>
        <v>2025</v>
      </c>
      <c r="H1942" s="586" t="s">
        <v>17342</v>
      </c>
      <c r="I1942" s="496" t="str">
        <f>+VLOOKUP(H1942,Sheet1!A:C,3,0)</f>
        <v>SODIC</v>
      </c>
      <c r="J1942" s="496" t="str">
        <f>+VLOOKUP(H1942,Sheet1!A:D,4,0)</f>
        <v>EUR</v>
      </c>
      <c r="K1942" s="497">
        <f t="shared" si="13"/>
        <v>32757.451584000002</v>
      </c>
      <c r="L1942" s="586">
        <v>3.3176000000000001</v>
      </c>
      <c r="M1942" s="587">
        <v>9873.84</v>
      </c>
      <c r="N1942" s="496" t="str">
        <f>+VLOOKUP(E1942,'2025'!E:F,2,0)</f>
        <v>OUI</v>
      </c>
      <c r="O1942" s="496" t="str">
        <f>VLOOKUP(E1942,'2025'!E:N,10,0)</f>
        <v>France</v>
      </c>
      <c r="P1942" s="880">
        <f>VLOOKUP(E1942,'2025'!E:O,11,0)</f>
        <v>45709</v>
      </c>
      <c r="Q1942" s="565">
        <f>VLOOKUP(E1942,'2025'!E:H,4,0)</f>
        <v>0</v>
      </c>
      <c r="R1942" s="565">
        <f>VLOOKUP(E1942,'2025'!E:I,5,0)</f>
        <v>16968</v>
      </c>
      <c r="S1942" s="565">
        <f>VLOOKUP(E1942,'2025'!E:J,6,0)</f>
        <v>6000</v>
      </c>
      <c r="T1942" s="565">
        <f>VLOOKUP(E1942,'2025'!E:K,7,0)</f>
        <v>1620</v>
      </c>
      <c r="U1942" s="565">
        <f t="shared" si="14"/>
        <v>24588</v>
      </c>
      <c r="V1942" s="354"/>
      <c r="W1942" s="569" t="e">
        <f>+VLOOKUP(D1942,'JOURNAL FACTURES'!A:O,15,0)</f>
        <v>#N/A</v>
      </c>
      <c r="X1942" s="569" t="e">
        <f>VLOOKUP(D1942,'JOURNAL FACTURES'!A:P,16,0)</f>
        <v>#N/A</v>
      </c>
      <c r="Y1942" s="569" t="e">
        <f>VLOOKUP(D1942,'JOURNAL FACTURES'!A:Q,17,0)</f>
        <v>#N/A</v>
      </c>
      <c r="Z1942" s="569" t="e">
        <f>VLOOKUP(D1942,'JOURNAL FACTURES'!A:R,18,0)</f>
        <v>#N/A</v>
      </c>
      <c r="AA1942" s="570" t="e">
        <f t="shared" si="15"/>
        <v>#N/A</v>
      </c>
      <c r="AB1942" s="570" t="e">
        <f t="shared" si="16"/>
        <v>#N/A</v>
      </c>
      <c r="AC1942" s="570" t="e">
        <f t="shared" si="17"/>
        <v>#N/A</v>
      </c>
      <c r="AD1942" s="570" t="e">
        <f t="shared" si="18"/>
        <v>#N/A</v>
      </c>
      <c r="AE1942" s="569">
        <f>VLOOKUP(D1942,TRANSPORT!H:J,3,0)</f>
        <v>738.19434000000001</v>
      </c>
      <c r="AF1942" s="569">
        <f>+VLOOKUP(D1942,TRANSPORT!N:O,2,0)</f>
        <v>9245.5</v>
      </c>
      <c r="AG1942" s="569">
        <f t="shared" si="19"/>
        <v>0.37601675614120711</v>
      </c>
      <c r="AH1942" s="571" t="e">
        <f t="shared" si="20"/>
        <v>#N/A</v>
      </c>
      <c r="AI1942" s="571" t="e">
        <f t="shared" si="21"/>
        <v>#N/A</v>
      </c>
      <c r="AJ1942" s="571" t="e">
        <f t="shared" si="22"/>
        <v>#N/A</v>
      </c>
      <c r="AK1942" s="571" t="e">
        <f t="shared" si="23"/>
        <v>#N/A</v>
      </c>
      <c r="AL1942" s="572">
        <f>VLOOKUP(D1942,'INTEGRATION PAR CLIENT '!A1337:J1365,10,0)</f>
        <v>0</v>
      </c>
      <c r="AM1942" s="572">
        <f>VLOOKUP(D1942,'INTEGRATION PAR CLIENT '!A1337:L1365,12,0)</f>
        <v>1</v>
      </c>
      <c r="AN1942" s="572">
        <f>+VLOOKUP(D1942,'INTEGRATION PAR CLIENT '!A1337:N1365,14,0)</f>
        <v>1</v>
      </c>
      <c r="AO1942" s="572">
        <f>+VLOOKUP(D1942,'INTEGRATION PAR CLIENT '!A1337:P1365,16,0)</f>
        <v>1</v>
      </c>
    </row>
    <row r="1943" spans="1:41">
      <c r="A1943" s="617">
        <v>63</v>
      </c>
      <c r="B1943" s="496" t="str">
        <f t="shared" si="9"/>
        <v>063</v>
      </c>
      <c r="C1943" s="496">
        <f t="shared" si="10"/>
        <v>0</v>
      </c>
      <c r="D1943" s="566" t="str">
        <f>'2025'!D64</f>
        <v>FAE-25-00063</v>
      </c>
      <c r="E1943" s="496" t="str">
        <f t="shared" si="11"/>
        <v>063</v>
      </c>
      <c r="F1943" s="567">
        <f>+'2025'!G64</f>
        <v>45707</v>
      </c>
      <c r="G1943" s="496">
        <f t="shared" si="12"/>
        <v>2025</v>
      </c>
      <c r="H1943" s="586" t="s">
        <v>17342</v>
      </c>
      <c r="I1943" s="496" t="str">
        <f>+VLOOKUP(H1943,Sheet1!A:C,3,0)</f>
        <v>SODIC</v>
      </c>
      <c r="J1943" s="496" t="str">
        <f>+VLOOKUP(H1943,Sheet1!A:D,4,0)</f>
        <v>EUR</v>
      </c>
      <c r="K1943" s="497">
        <f t="shared" si="13"/>
        <v>91506.706720000002</v>
      </c>
      <c r="L1943" s="586">
        <v>3.3176000000000001</v>
      </c>
      <c r="M1943" s="587">
        <v>27582.2</v>
      </c>
      <c r="N1943" s="496" t="str">
        <f>+VLOOKUP(E1943,'2025'!E:F,2,0)</f>
        <v>OUI</v>
      </c>
      <c r="O1943" s="496" t="str">
        <f>VLOOKUP(E1943,'2025'!E:N,10,0)</f>
        <v>France</v>
      </c>
      <c r="P1943" s="880">
        <f>VLOOKUP(E1943,'2025'!E:O,11,0)</f>
        <v>45709</v>
      </c>
      <c r="Q1943" s="565">
        <f>VLOOKUP(E1943,'2025'!E:H,4,0)</f>
        <v>3200</v>
      </c>
      <c r="R1943" s="565">
        <f>VLOOKUP(E1943,'2025'!E:I,5,0)</f>
        <v>40536</v>
      </c>
      <c r="S1943" s="565">
        <f>VLOOKUP(E1943,'2025'!E:J,6,0)</f>
        <v>7200</v>
      </c>
      <c r="T1943" s="565">
        <f>VLOOKUP(E1943,'2025'!E:K,7,0)</f>
        <v>2980</v>
      </c>
      <c r="U1943" s="565">
        <f t="shared" si="14"/>
        <v>53916</v>
      </c>
      <c r="V1943" s="354"/>
      <c r="W1943" s="569" t="e">
        <f>+VLOOKUP(D1943,'JOURNAL FACTURES'!A:O,15,0)</f>
        <v>#N/A</v>
      </c>
      <c r="X1943" s="569" t="e">
        <f>VLOOKUP(D1943,'JOURNAL FACTURES'!A:P,16,0)</f>
        <v>#N/A</v>
      </c>
      <c r="Y1943" s="569" t="e">
        <f>VLOOKUP(D1943,'JOURNAL FACTURES'!A:Q,17,0)</f>
        <v>#N/A</v>
      </c>
      <c r="Z1943" s="569" t="e">
        <f>VLOOKUP(D1943,'JOURNAL FACTURES'!A:R,18,0)</f>
        <v>#N/A</v>
      </c>
      <c r="AA1943" s="570" t="e">
        <f t="shared" si="15"/>
        <v>#N/A</v>
      </c>
      <c r="AB1943" s="570" t="e">
        <f t="shared" si="16"/>
        <v>#N/A</v>
      </c>
      <c r="AC1943" s="570" t="e">
        <f t="shared" si="17"/>
        <v>#N/A</v>
      </c>
      <c r="AD1943" s="570" t="e">
        <f t="shared" si="18"/>
        <v>#N/A</v>
      </c>
      <c r="AE1943" s="569">
        <f>VLOOKUP(D1943,TRANSPORT!H:J,3,0)</f>
        <v>2915.18968</v>
      </c>
      <c r="AF1943" s="569">
        <f>+VLOOKUP(D1943,TRANSPORT!N:O,2,0)</f>
        <v>31569.18</v>
      </c>
      <c r="AG1943" s="569">
        <f t="shared" si="19"/>
        <v>0.58552526151791673</v>
      </c>
      <c r="AH1943" s="571" t="e">
        <f t="shared" si="20"/>
        <v>#N/A</v>
      </c>
      <c r="AI1943" s="571" t="e">
        <f t="shared" si="21"/>
        <v>#N/A</v>
      </c>
      <c r="AJ1943" s="571" t="e">
        <f t="shared" si="22"/>
        <v>#N/A</v>
      </c>
      <c r="AK1943" s="571" t="e">
        <f t="shared" si="23"/>
        <v>#N/A</v>
      </c>
      <c r="AL1943" s="572">
        <f>VLOOKUP(D1943,'INTEGRATION PAR CLIENT '!A1338:J1366,10,0)</f>
        <v>1</v>
      </c>
      <c r="AM1943" s="572">
        <f>VLOOKUP(D1943,'INTEGRATION PAR CLIENT '!A1338:L1366,12,0)</f>
        <v>1</v>
      </c>
      <c r="AN1943" s="572">
        <f>+VLOOKUP(D1943,'INTEGRATION PAR CLIENT '!A1338:N1366,14,0)</f>
        <v>1</v>
      </c>
      <c r="AO1943" s="572">
        <f>+VLOOKUP(D1943,'INTEGRATION PAR CLIENT '!A1338:P1366,16,0)</f>
        <v>1</v>
      </c>
    </row>
    <row r="1944" spans="1:41">
      <c r="A1944" s="617">
        <v>64</v>
      </c>
      <c r="B1944" s="496" t="str">
        <f t="shared" si="9"/>
        <v>064</v>
      </c>
      <c r="C1944" s="496">
        <f t="shared" si="10"/>
        <v>0</v>
      </c>
      <c r="D1944" s="566" t="str">
        <f>'2025'!D65</f>
        <v>FAE-25-00064</v>
      </c>
      <c r="E1944" s="496" t="str">
        <f t="shared" si="11"/>
        <v>064</v>
      </c>
      <c r="F1944" s="567">
        <f>+'2025'!G65</f>
        <v>45720</v>
      </c>
      <c r="G1944" s="496">
        <f t="shared" si="12"/>
        <v>2025</v>
      </c>
      <c r="H1944" s="586" t="s">
        <v>17309</v>
      </c>
      <c r="I1944" s="496" t="str">
        <f>+VLOOKUP(H1944,Sheet1!A:C,3,0)</f>
        <v>MARCOM INTERN</v>
      </c>
      <c r="J1944" s="496" t="str">
        <f>+VLOOKUP(H1944,Sheet1!A:D,4,0)</f>
        <v>TND</v>
      </c>
      <c r="K1944" s="497">
        <f t="shared" si="13"/>
        <v>354805</v>
      </c>
      <c r="L1944" s="586">
        <v>1</v>
      </c>
      <c r="M1944" s="587">
        <v>354805</v>
      </c>
      <c r="N1944" s="496" t="str">
        <f>+VLOOKUP(E1944,'2025'!E:F,2,0)</f>
        <v>OUI</v>
      </c>
      <c r="O1944" s="496" t="str">
        <f>VLOOKUP(E1944,'2025'!E:N,10,0)</f>
        <v>Ukraine</v>
      </c>
      <c r="P1944" s="880">
        <f>VLOOKUP(E1944,'2025'!E:O,11,0)</f>
        <v>45727</v>
      </c>
      <c r="Q1944" s="565">
        <f>VLOOKUP(E1944,'2025'!E:H,4,0)</f>
        <v>166000</v>
      </c>
      <c r="R1944" s="565">
        <f>VLOOKUP(E1944,'2025'!E:I,5,0)</f>
        <v>0</v>
      </c>
      <c r="S1944" s="565">
        <f>VLOOKUP(E1944,'2025'!E:J,6,0)</f>
        <v>0</v>
      </c>
      <c r="T1944" s="565">
        <f>VLOOKUP(E1944,'2025'!E:K,7,0)</f>
        <v>0</v>
      </c>
      <c r="U1944" s="565">
        <f t="shared" si="14"/>
        <v>166000</v>
      </c>
      <c r="V1944" s="354"/>
      <c r="W1944" s="569" t="e">
        <f>+VLOOKUP(D1944,'JOURNAL FACTURES'!A:O,15,0)</f>
        <v>#N/A</v>
      </c>
      <c r="X1944" s="569" t="e">
        <f>VLOOKUP(D1944,'JOURNAL FACTURES'!A:P,16,0)</f>
        <v>#N/A</v>
      </c>
      <c r="Y1944" s="569" t="e">
        <f>VLOOKUP(D1944,'JOURNAL FACTURES'!A:Q,17,0)</f>
        <v>#N/A</v>
      </c>
      <c r="Z1944" s="569" t="e">
        <f>VLOOKUP(D1944,'JOURNAL FACTURES'!A:R,18,0)</f>
        <v>#N/A</v>
      </c>
      <c r="AA1944" s="570" t="e">
        <f t="shared" si="15"/>
        <v>#N/A</v>
      </c>
      <c r="AB1944" s="570" t="e">
        <f t="shared" si="16"/>
        <v>#N/A</v>
      </c>
      <c r="AC1944" s="570" t="e">
        <f t="shared" si="17"/>
        <v>#N/A</v>
      </c>
      <c r="AD1944" s="570" t="e">
        <f t="shared" si="18"/>
        <v>#N/A</v>
      </c>
      <c r="AE1944" s="569">
        <f>VLOOKUP(D1944,TRANSPORT!H:J,3,0)</f>
        <v>0</v>
      </c>
      <c r="AF1944" s="569">
        <f>+VLOOKUP(D1944,TRANSPORT!N:O,2,0)</f>
        <v>0</v>
      </c>
      <c r="AG1944" s="569">
        <f t="shared" si="19"/>
        <v>0</v>
      </c>
      <c r="AH1944" s="571" t="e">
        <f t="shared" si="20"/>
        <v>#N/A</v>
      </c>
      <c r="AI1944" s="571" t="e">
        <f t="shared" si="21"/>
        <v>#N/A</v>
      </c>
      <c r="AJ1944" s="571" t="e">
        <f t="shared" si="22"/>
        <v>#N/A</v>
      </c>
      <c r="AK1944" s="571" t="e">
        <f t="shared" si="23"/>
        <v>#N/A</v>
      </c>
      <c r="AL1944" s="572">
        <f>VLOOKUP(D1944,'INTEGRATION PAR CLIENT '!A1339:J1367,10,0)</f>
        <v>1</v>
      </c>
      <c r="AM1944" s="572">
        <f>VLOOKUP(D1944,'INTEGRATION PAR CLIENT '!A1339:L1367,12,0)</f>
        <v>0</v>
      </c>
      <c r="AN1944" s="572">
        <f>+VLOOKUP(D1944,'INTEGRATION PAR CLIENT '!A1339:N1367,14,0)</f>
        <v>0</v>
      </c>
      <c r="AO1944" s="572">
        <f>+VLOOKUP(D1944,'INTEGRATION PAR CLIENT '!A1339:P1367,16,0)</f>
        <v>0</v>
      </c>
    </row>
    <row r="1945" spans="1:41">
      <c r="A1945" s="617">
        <v>65</v>
      </c>
      <c r="B1945" s="496" t="str">
        <f t="shared" si="9"/>
        <v>065</v>
      </c>
      <c r="C1945" s="496">
        <f t="shared" si="10"/>
        <v>0</v>
      </c>
      <c r="D1945" s="566" t="str">
        <f>'2025'!D66</f>
        <v>FAE-25-00065</v>
      </c>
      <c r="E1945" s="496" t="str">
        <f t="shared" si="11"/>
        <v>065</v>
      </c>
      <c r="F1945" s="567">
        <f>+'2025'!G66</f>
        <v>45720</v>
      </c>
      <c r="G1945" s="496">
        <f t="shared" si="12"/>
        <v>2025</v>
      </c>
      <c r="H1945" s="586" t="s">
        <v>16838</v>
      </c>
      <c r="I1945" s="496" t="str">
        <f>+VLOOKUP(H1945,Sheet1!A:C,3,0)</f>
        <v>TUNISIAN AFRICAN BUSINESS</v>
      </c>
      <c r="J1945" s="496" t="str">
        <f>+VLOOKUP(H1945,Sheet1!A:D,4,0)</f>
        <v>TND</v>
      </c>
      <c r="K1945" s="497">
        <f t="shared" si="13"/>
        <v>16500</v>
      </c>
      <c r="L1945" s="586">
        <v>1</v>
      </c>
      <c r="M1945" s="587">
        <v>16500</v>
      </c>
      <c r="N1945" s="496" t="str">
        <f>+VLOOKUP(E1945,'2025'!E:F,2,0)</f>
        <v>OUI</v>
      </c>
      <c r="O1945" s="496" t="str">
        <f>VLOOKUP(E1945,'2025'!E:N,10,0)</f>
        <v>Arabie Saoudie</v>
      </c>
      <c r="P1945" s="880">
        <f>VLOOKUP(E1945,'2025'!E:O,11,0)</f>
        <v>45728</v>
      </c>
      <c r="Q1945" s="565">
        <f>VLOOKUP(E1945,'2025'!E:H,4,0)</f>
        <v>6000</v>
      </c>
      <c r="R1945" s="565">
        <f>VLOOKUP(E1945,'2025'!E:I,5,0)</f>
        <v>0</v>
      </c>
      <c r="S1945" s="565">
        <f>VLOOKUP(E1945,'2025'!E:J,6,0)</f>
        <v>0</v>
      </c>
      <c r="T1945" s="565">
        <f>VLOOKUP(E1945,'2025'!E:K,7,0)</f>
        <v>0</v>
      </c>
      <c r="U1945" s="565">
        <f t="shared" si="14"/>
        <v>6000</v>
      </c>
      <c r="V1945" s="354"/>
      <c r="W1945" s="569" t="e">
        <f>+VLOOKUP(D1945,'JOURNAL FACTURES'!A:O,15,0)</f>
        <v>#N/A</v>
      </c>
      <c r="X1945" s="569" t="e">
        <f>VLOOKUP(D1945,'JOURNAL FACTURES'!A:P,16,0)</f>
        <v>#N/A</v>
      </c>
      <c r="Y1945" s="569" t="e">
        <f>VLOOKUP(D1945,'JOURNAL FACTURES'!A:Q,17,0)</f>
        <v>#N/A</v>
      </c>
      <c r="Z1945" s="569" t="e">
        <f>VLOOKUP(D1945,'JOURNAL FACTURES'!A:R,18,0)</f>
        <v>#N/A</v>
      </c>
      <c r="AA1945" s="570" t="e">
        <f t="shared" si="15"/>
        <v>#N/A</v>
      </c>
      <c r="AB1945" s="570" t="e">
        <f t="shared" si="16"/>
        <v>#N/A</v>
      </c>
      <c r="AC1945" s="570" t="e">
        <f t="shared" si="17"/>
        <v>#N/A</v>
      </c>
      <c r="AD1945" s="570" t="e">
        <f t="shared" si="18"/>
        <v>#N/A</v>
      </c>
      <c r="AE1945" s="569">
        <f>VLOOKUP(D1945,TRANSPORT!H:J,3,0)</f>
        <v>0</v>
      </c>
      <c r="AF1945" s="569">
        <f>+VLOOKUP(D1945,TRANSPORT!N:O,2,0)</f>
        <v>0</v>
      </c>
      <c r="AG1945" s="569">
        <f t="shared" si="19"/>
        <v>0</v>
      </c>
      <c r="AH1945" s="571" t="e">
        <f t="shared" si="20"/>
        <v>#N/A</v>
      </c>
      <c r="AI1945" s="571" t="e">
        <f t="shared" si="21"/>
        <v>#N/A</v>
      </c>
      <c r="AJ1945" s="571" t="e">
        <f t="shared" si="22"/>
        <v>#N/A</v>
      </c>
      <c r="AK1945" s="571" t="e">
        <f t="shared" si="23"/>
        <v>#N/A</v>
      </c>
      <c r="AL1945" s="572">
        <f>VLOOKUP(D1945,'INTEGRATION PAR CLIENT '!A1340:J1368,10,0)</f>
        <v>1</v>
      </c>
      <c r="AM1945" s="572">
        <f>VLOOKUP(D1945,'INTEGRATION PAR CLIENT '!A1340:L1368,12,0)</f>
        <v>0</v>
      </c>
      <c r="AN1945" s="572">
        <f>+VLOOKUP(D1945,'INTEGRATION PAR CLIENT '!A1340:N1368,14,0)</f>
        <v>0</v>
      </c>
      <c r="AO1945" s="572">
        <f>+VLOOKUP(D1945,'INTEGRATION PAR CLIENT '!A1340:P1368,16,0)</f>
        <v>0</v>
      </c>
    </row>
    <row r="1946" spans="1:41">
      <c r="A1946" s="617">
        <v>66</v>
      </c>
      <c r="B1946" s="496" t="str">
        <f t="shared" ref="B1946:B2003" si="24">+RIGHT(D1946,3)</f>
        <v>066</v>
      </c>
      <c r="C1946" s="496">
        <f t="shared" ref="C1946:C2003" si="25">A1946-B1946</f>
        <v>0</v>
      </c>
      <c r="D1946" s="566" t="str">
        <f>'2025'!D67</f>
        <v>FAE-25-00066</v>
      </c>
      <c r="E1946" s="496" t="str">
        <f t="shared" si="11"/>
        <v>066</v>
      </c>
      <c r="F1946" s="567">
        <f>+'2025'!G67</f>
        <v>45720</v>
      </c>
      <c r="G1946" s="496">
        <f t="shared" ref="G1946:G2003" si="26">+YEAR(F1946)</f>
        <v>2025</v>
      </c>
      <c r="H1946" s="586" t="s">
        <v>17390</v>
      </c>
      <c r="I1946" s="496" t="str">
        <f>+VLOOKUP(H1946,Sheet1!A:C,3,0)</f>
        <v>ALMOSTAWRED ALJADEED CO. FOR IMPORT</v>
      </c>
      <c r="J1946" s="496" t="str">
        <f>+VLOOKUP(H1946,Sheet1!A:D,4,0)</f>
        <v>USD</v>
      </c>
      <c r="K1946" s="497">
        <f t="shared" ref="K1946:K2003" si="27">+L1946*M1946</f>
        <v>490065.63570000004</v>
      </c>
      <c r="L1946" s="586">
        <v>3.1045500000000001</v>
      </c>
      <c r="M1946" s="587">
        <v>157854</v>
      </c>
      <c r="N1946" s="496" t="str">
        <f>+VLOOKUP(E1946,'2025'!E:F,2,0)</f>
        <v>OUI</v>
      </c>
      <c r="O1946" s="496" t="str">
        <f>VLOOKUP(E1946,'2025'!E:N,10,0)</f>
        <v>Libye</v>
      </c>
      <c r="P1946" s="880">
        <f>VLOOKUP(E1946,'2025'!E:O,11,0)</f>
        <v>45723</v>
      </c>
      <c r="Q1946" s="565">
        <f>VLOOKUP(E1946,'2025'!E:H,4,0)</f>
        <v>0</v>
      </c>
      <c r="R1946" s="565">
        <f>VLOOKUP(E1946,'2025'!E:I,5,0)</f>
        <v>235200</v>
      </c>
      <c r="S1946" s="565">
        <f>VLOOKUP(E1946,'2025'!E:J,6,0)</f>
        <v>0</v>
      </c>
      <c r="T1946" s="565">
        <f>VLOOKUP(E1946,'2025'!E:K,7,0)</f>
        <v>0</v>
      </c>
      <c r="U1946" s="565">
        <f t="shared" ref="U1946:U2003" si="28">SUM(Q1946:T1946)</f>
        <v>235200</v>
      </c>
      <c r="V1946" s="354"/>
      <c r="W1946" s="569" t="e">
        <f>+VLOOKUP(D1946,'JOURNAL FACTURES'!A:O,15,0)</f>
        <v>#N/A</v>
      </c>
      <c r="X1946" s="569" t="e">
        <f>VLOOKUP(D1946,'JOURNAL FACTURES'!A:P,16,0)</f>
        <v>#N/A</v>
      </c>
      <c r="Y1946" s="569" t="e">
        <f>VLOOKUP(D1946,'JOURNAL FACTURES'!A:Q,17,0)</f>
        <v>#N/A</v>
      </c>
      <c r="Z1946" s="569" t="e">
        <f>VLOOKUP(D1946,'JOURNAL FACTURES'!A:R,18,0)</f>
        <v>#N/A</v>
      </c>
      <c r="AA1946" s="570" t="e">
        <f t="shared" ref="AA1946:AA2003" si="29">+W1946/Q1946</f>
        <v>#N/A</v>
      </c>
      <c r="AB1946" s="570" t="e">
        <f t="shared" ref="AB1946:AB2003" si="30">+X1946/R1946</f>
        <v>#N/A</v>
      </c>
      <c r="AC1946" s="570" t="e">
        <f t="shared" ref="AC1946:AC2003" si="31">+Y1946/S1946</f>
        <v>#N/A</v>
      </c>
      <c r="AD1946" s="570" t="e">
        <f t="shared" ref="AD1946:AD2003" si="32">Z1946/T1946</f>
        <v>#N/A</v>
      </c>
      <c r="AE1946" s="569">
        <f>VLOOKUP(D1946,TRANSPORT!H:J,3,0)</f>
        <v>0</v>
      </c>
      <c r="AF1946" s="569">
        <f>+VLOOKUP(D1946,TRANSPORT!N:O,2,0)</f>
        <v>0</v>
      </c>
      <c r="AG1946" s="569">
        <f t="shared" ref="AG1946:AG2003" si="33">AF1946/U1946</f>
        <v>0</v>
      </c>
      <c r="AH1946" s="571" t="e">
        <f t="shared" ref="AH1946:AH2003" si="34">AA1946-AG1946</f>
        <v>#N/A</v>
      </c>
      <c r="AI1946" s="571" t="e">
        <f t="shared" ref="AI1946:AI2003" si="35">AB1946-AG1946</f>
        <v>#N/A</v>
      </c>
      <c r="AJ1946" s="571" t="e">
        <f t="shared" ref="AJ1946:AJ2003" si="36">AC1946-AG1946</f>
        <v>#N/A</v>
      </c>
      <c r="AK1946" s="571" t="e">
        <f t="shared" ref="AK1946:AK2003" si="37">AD1946-AG1946</f>
        <v>#N/A</v>
      </c>
      <c r="AL1946" s="572">
        <f>VLOOKUP(D1946,'INTEGRATION PAR CLIENT '!A1341:J1369,10,0)</f>
        <v>0</v>
      </c>
      <c r="AM1946" s="572" t="str">
        <f>VLOOKUP(D1946,'INTEGRATION PAR CLIENT '!A1341:L1369,12,0)</f>
        <v>50%-50%</v>
      </c>
      <c r="AN1946" s="572">
        <f>+VLOOKUP(D1946,'INTEGRATION PAR CLIENT '!A1341:N1369,14,0)</f>
        <v>0</v>
      </c>
      <c r="AO1946" s="572">
        <f>+VLOOKUP(D1946,'INTEGRATION PAR CLIENT '!A1341:P1369,16,0)</f>
        <v>0</v>
      </c>
    </row>
    <row r="1947" spans="1:41">
      <c r="A1947" s="617">
        <v>67</v>
      </c>
      <c r="B1947" s="496" t="str">
        <f t="shared" si="24"/>
        <v>067</v>
      </c>
      <c r="C1947" s="496">
        <f t="shared" si="25"/>
        <v>0</v>
      </c>
      <c r="D1947" s="566" t="str">
        <f>'2025'!D68</f>
        <v>FAE-25-00067</v>
      </c>
      <c r="E1947" s="496" t="str">
        <f t="shared" ref="E1947:E2003" si="38">RIGHT(D1947,3)</f>
        <v>067</v>
      </c>
      <c r="F1947" s="567">
        <f>+'2025'!G68</f>
        <v>45720</v>
      </c>
      <c r="G1947" s="496">
        <f t="shared" si="26"/>
        <v>2025</v>
      </c>
      <c r="H1947" s="586" t="s">
        <v>17248</v>
      </c>
      <c r="I1947" s="496" t="str">
        <f>+VLOOKUP(H1947,Sheet1!A:C,3,0)</f>
        <v>GREEN WORLD FOOD EXPRESS</v>
      </c>
      <c r="J1947" s="496" t="str">
        <f>+VLOOKUP(H1947,Sheet1!A:D,4,0)</f>
        <v>USD</v>
      </c>
      <c r="K1947" s="497">
        <f t="shared" si="27"/>
        <v>76641.450335999994</v>
      </c>
      <c r="L1947" s="586">
        <v>3.1008</v>
      </c>
      <c r="M1947" s="587">
        <v>24716.67</v>
      </c>
      <c r="N1947" s="496" t="str">
        <f>+VLOOKUP(E1947,'2025'!E:F,2,0)</f>
        <v>OUI</v>
      </c>
      <c r="O1947" s="496" t="str">
        <f>VLOOKUP(E1947,'2025'!E:N,10,0)</f>
        <v>Canada</v>
      </c>
      <c r="P1947" s="880">
        <f>VLOOKUP(E1947,'2025'!E:O,11,0)</f>
        <v>45728</v>
      </c>
      <c r="Q1947" s="565">
        <f>VLOOKUP(E1947,'2025'!E:H,4,0)</f>
        <v>0</v>
      </c>
      <c r="R1947" s="565">
        <f>VLOOKUP(E1947,'2025'!E:I,5,0)</f>
        <v>23971</v>
      </c>
      <c r="S1947" s="565">
        <f>VLOOKUP(E1947,'2025'!E:J,6,0)</f>
        <v>0</v>
      </c>
      <c r="T1947" s="565">
        <f>VLOOKUP(E1947,'2025'!E:K,7,0)</f>
        <v>0</v>
      </c>
      <c r="U1947" s="565">
        <f t="shared" si="28"/>
        <v>23971</v>
      </c>
      <c r="V1947" s="354"/>
      <c r="W1947" s="569" t="e">
        <f>+VLOOKUP(D1947,'JOURNAL FACTURES'!A:O,15,0)</f>
        <v>#N/A</v>
      </c>
      <c r="X1947" s="569" t="e">
        <f>VLOOKUP(D1947,'JOURNAL FACTURES'!A:P,16,0)</f>
        <v>#N/A</v>
      </c>
      <c r="Y1947" s="569" t="e">
        <f>VLOOKUP(D1947,'JOURNAL FACTURES'!A:Q,17,0)</f>
        <v>#N/A</v>
      </c>
      <c r="Z1947" s="569" t="e">
        <f>VLOOKUP(D1947,'JOURNAL FACTURES'!A:R,18,0)</f>
        <v>#N/A</v>
      </c>
      <c r="AA1947" s="570" t="e">
        <f t="shared" si="29"/>
        <v>#N/A</v>
      </c>
      <c r="AB1947" s="570" t="e">
        <f t="shared" si="30"/>
        <v>#N/A</v>
      </c>
      <c r="AC1947" s="570" t="e">
        <f t="shared" si="31"/>
        <v>#N/A</v>
      </c>
      <c r="AD1947" s="570" t="e">
        <f t="shared" si="32"/>
        <v>#N/A</v>
      </c>
      <c r="AE1947" s="569">
        <f>VLOOKUP(D1947,TRANSPORT!H:J,3,0)</f>
        <v>2114.2809999999999</v>
      </c>
      <c r="AF1947" s="569">
        <f>+VLOOKUP(D1947,TRANSPORT!N:O,2,0)</f>
        <v>18179.43</v>
      </c>
      <c r="AG1947" s="569">
        <f t="shared" si="33"/>
        <v>0.75839264110800553</v>
      </c>
      <c r="AH1947" s="571" t="e">
        <f t="shared" si="34"/>
        <v>#N/A</v>
      </c>
      <c r="AI1947" s="571" t="e">
        <f t="shared" si="35"/>
        <v>#N/A</v>
      </c>
      <c r="AJ1947" s="571" t="e">
        <f t="shared" si="36"/>
        <v>#N/A</v>
      </c>
      <c r="AK1947" s="571" t="e">
        <f t="shared" si="37"/>
        <v>#N/A</v>
      </c>
      <c r="AL1947" s="572">
        <f>VLOOKUP(D1947,'INTEGRATION PAR CLIENT '!A1342:J1370,10,0)</f>
        <v>0</v>
      </c>
      <c r="AM1947" s="572">
        <f>VLOOKUP(D1947,'INTEGRATION PAR CLIENT '!A1342:L1370,12,0)</f>
        <v>1</v>
      </c>
      <c r="AN1947" s="572">
        <f>+VLOOKUP(D1947,'INTEGRATION PAR CLIENT '!A1342:N1370,14,0)</f>
        <v>0</v>
      </c>
      <c r="AO1947" s="572">
        <f>+VLOOKUP(D1947,'INTEGRATION PAR CLIENT '!A1342:P1370,16,0)</f>
        <v>0</v>
      </c>
    </row>
    <row r="1948" spans="1:41">
      <c r="A1948" s="617">
        <v>68</v>
      </c>
      <c r="B1948" s="496" t="str">
        <f t="shared" si="24"/>
        <v>068</v>
      </c>
      <c r="C1948" s="496">
        <f t="shared" si="25"/>
        <v>0</v>
      </c>
      <c r="D1948" s="566" t="str">
        <f>'2025'!D69</f>
        <v>FAE-25-00068</v>
      </c>
      <c r="E1948" s="496" t="str">
        <f t="shared" si="38"/>
        <v>068</v>
      </c>
      <c r="F1948" s="567">
        <f>+'2025'!G69</f>
        <v>45720</v>
      </c>
      <c r="G1948" s="496">
        <f t="shared" si="26"/>
        <v>2025</v>
      </c>
      <c r="H1948" s="586" t="s">
        <v>16444</v>
      </c>
      <c r="I1948" s="496" t="str">
        <f>+VLOOKUP(H1948,Sheet1!A:C,3,0)</f>
        <v>SAHEL INTERNATIONAL TRADE</v>
      </c>
      <c r="J1948" s="496" t="str">
        <f>+VLOOKUP(H1948,Sheet1!A:D,4,0)</f>
        <v>TND</v>
      </c>
      <c r="K1948" s="497">
        <f t="shared" si="27"/>
        <v>185760</v>
      </c>
      <c r="L1948" s="586">
        <v>1</v>
      </c>
      <c r="M1948" s="587">
        <v>185760</v>
      </c>
      <c r="N1948" s="496" t="str">
        <f>+VLOOKUP(E1948,'2025'!E:F,2,0)</f>
        <v>OUI</v>
      </c>
      <c r="O1948" s="496" t="str">
        <f>VLOOKUP(E1948,'2025'!E:N,10,0)</f>
        <v>Tchad</v>
      </c>
      <c r="P1948" s="880">
        <f>VLOOKUP(E1948,'2025'!E:O,11,0)</f>
        <v>45729</v>
      </c>
      <c r="Q1948" s="565">
        <f>VLOOKUP(E1948,'2025'!E:H,4,0)</f>
        <v>86400</v>
      </c>
      <c r="R1948" s="565">
        <f>VLOOKUP(E1948,'2025'!E:I,5,0)</f>
        <v>0</v>
      </c>
      <c r="S1948" s="565">
        <f>VLOOKUP(E1948,'2025'!E:J,6,0)</f>
        <v>0</v>
      </c>
      <c r="T1948" s="565">
        <f>VLOOKUP(E1948,'2025'!E:K,7,0)</f>
        <v>0</v>
      </c>
      <c r="U1948" s="565">
        <f t="shared" si="28"/>
        <v>86400</v>
      </c>
      <c r="V1948" s="354"/>
      <c r="W1948" s="569" t="e">
        <f>+VLOOKUP(D1948,'JOURNAL FACTURES'!A:O,15,0)</f>
        <v>#N/A</v>
      </c>
      <c r="X1948" s="569" t="e">
        <f>VLOOKUP(D1948,'JOURNAL FACTURES'!A:P,16,0)</f>
        <v>#N/A</v>
      </c>
      <c r="Y1948" s="569" t="e">
        <f>VLOOKUP(D1948,'JOURNAL FACTURES'!A:Q,17,0)</f>
        <v>#N/A</v>
      </c>
      <c r="Z1948" s="569" t="e">
        <f>VLOOKUP(D1948,'JOURNAL FACTURES'!A:R,18,0)</f>
        <v>#N/A</v>
      </c>
      <c r="AA1948" s="570" t="e">
        <f t="shared" si="29"/>
        <v>#N/A</v>
      </c>
      <c r="AB1948" s="570" t="e">
        <f t="shared" si="30"/>
        <v>#N/A</v>
      </c>
      <c r="AC1948" s="570" t="e">
        <f t="shared" si="31"/>
        <v>#N/A</v>
      </c>
      <c r="AD1948" s="570" t="e">
        <f t="shared" si="32"/>
        <v>#N/A</v>
      </c>
      <c r="AE1948" s="569">
        <f>VLOOKUP(D1948,TRANSPORT!H:J,3,0)</f>
        <v>0</v>
      </c>
      <c r="AF1948" s="569">
        <f>+VLOOKUP(D1948,TRANSPORT!N:O,2,0)</f>
        <v>0</v>
      </c>
      <c r="AG1948" s="569">
        <f t="shared" si="33"/>
        <v>0</v>
      </c>
      <c r="AH1948" s="571" t="e">
        <f t="shared" si="34"/>
        <v>#N/A</v>
      </c>
      <c r="AI1948" s="571" t="e">
        <f t="shared" si="35"/>
        <v>#N/A</v>
      </c>
      <c r="AJ1948" s="571" t="e">
        <f t="shared" si="36"/>
        <v>#N/A</v>
      </c>
      <c r="AK1948" s="571" t="e">
        <f t="shared" si="37"/>
        <v>#N/A</v>
      </c>
      <c r="AL1948" s="572">
        <f>VLOOKUP(D1948,'INTEGRATION PAR CLIENT '!A1343:J1371,10,0)</f>
        <v>1</v>
      </c>
      <c r="AM1948" s="572">
        <f>VLOOKUP(D1948,'INTEGRATION PAR CLIENT '!A1343:L1371,12,0)</f>
        <v>0</v>
      </c>
      <c r="AN1948" s="572">
        <f>+VLOOKUP(D1948,'INTEGRATION PAR CLIENT '!A1343:N1371,14,0)</f>
        <v>0</v>
      </c>
      <c r="AO1948" s="572">
        <f>+VLOOKUP(D1948,'INTEGRATION PAR CLIENT '!A1343:P1371,16,0)</f>
        <v>0</v>
      </c>
    </row>
    <row r="1949" spans="1:41">
      <c r="A1949" s="617">
        <v>69</v>
      </c>
      <c r="B1949" s="496" t="str">
        <f t="shared" si="24"/>
        <v>069</v>
      </c>
      <c r="C1949" s="496">
        <f t="shared" si="25"/>
        <v>0</v>
      </c>
      <c r="D1949" s="566" t="str">
        <f>'2025'!D70</f>
        <v>FAE-25-00069</v>
      </c>
      <c r="E1949" s="496" t="str">
        <f t="shared" si="38"/>
        <v>069</v>
      </c>
      <c r="F1949" s="567">
        <f>+'2025'!G70</f>
        <v>45721</v>
      </c>
      <c r="G1949" s="496">
        <f t="shared" si="26"/>
        <v>2025</v>
      </c>
      <c r="H1949" s="586" t="s">
        <v>16384</v>
      </c>
      <c r="I1949" s="496" t="str">
        <f>+VLOOKUP(H1949,Sheet1!A:C,3,0)</f>
        <v>STE DE COMMERCE INTERNATIONAL</v>
      </c>
      <c r="J1949" s="496" t="str">
        <f>+VLOOKUP(H1949,Sheet1!A:D,4,0)</f>
        <v>TND</v>
      </c>
      <c r="K1949" s="497">
        <f t="shared" si="27"/>
        <v>130200</v>
      </c>
      <c r="L1949" s="586">
        <v>1</v>
      </c>
      <c r="M1949" s="587">
        <v>130200</v>
      </c>
      <c r="N1949" s="496" t="str">
        <f>+VLOOKUP(E1949,'2025'!E:F,2,0)</f>
        <v>OUI</v>
      </c>
      <c r="O1949" s="496" t="str">
        <f>VLOOKUP(E1949,'2025'!E:N,10,0)</f>
        <v>Cap Vert</v>
      </c>
      <c r="P1949" s="880">
        <f>VLOOKUP(E1949,'2025'!E:O,11,0)</f>
        <v>45726</v>
      </c>
      <c r="Q1949" s="565">
        <f>VLOOKUP(E1949,'2025'!E:H,4,0)</f>
        <v>0</v>
      </c>
      <c r="R1949" s="565">
        <f>VLOOKUP(E1949,'2025'!E:I,5,0)</f>
        <v>0</v>
      </c>
      <c r="S1949" s="565">
        <f>VLOOKUP(E1949,'2025'!E:J,6,0)</f>
        <v>84000</v>
      </c>
      <c r="T1949" s="565">
        <f>VLOOKUP(E1949,'2025'!E:K,7,0)</f>
        <v>0</v>
      </c>
      <c r="U1949" s="565">
        <f t="shared" si="28"/>
        <v>84000</v>
      </c>
      <c r="V1949" s="354"/>
      <c r="W1949" s="569" t="e">
        <f>+VLOOKUP(D1949,'JOURNAL FACTURES'!A:O,15,0)</f>
        <v>#N/A</v>
      </c>
      <c r="X1949" s="569" t="e">
        <f>VLOOKUP(D1949,'JOURNAL FACTURES'!A:P,16,0)</f>
        <v>#N/A</v>
      </c>
      <c r="Y1949" s="569" t="e">
        <f>VLOOKUP(D1949,'JOURNAL FACTURES'!A:Q,17,0)</f>
        <v>#N/A</v>
      </c>
      <c r="Z1949" s="569" t="e">
        <f>VLOOKUP(D1949,'JOURNAL FACTURES'!A:R,18,0)</f>
        <v>#N/A</v>
      </c>
      <c r="AA1949" s="570" t="e">
        <f t="shared" si="29"/>
        <v>#N/A</v>
      </c>
      <c r="AB1949" s="570" t="e">
        <f t="shared" si="30"/>
        <v>#N/A</v>
      </c>
      <c r="AC1949" s="570" t="e">
        <f t="shared" si="31"/>
        <v>#N/A</v>
      </c>
      <c r="AD1949" s="570" t="e">
        <f t="shared" si="32"/>
        <v>#N/A</v>
      </c>
      <c r="AE1949" s="569">
        <f>VLOOKUP(D1949,TRANSPORT!H:J,3,0)</f>
        <v>0</v>
      </c>
      <c r="AF1949" s="569">
        <f>+VLOOKUP(D1949,TRANSPORT!N:O,2,0)</f>
        <v>0</v>
      </c>
      <c r="AG1949" s="569">
        <f t="shared" si="33"/>
        <v>0</v>
      </c>
      <c r="AH1949" s="571" t="e">
        <f t="shared" si="34"/>
        <v>#N/A</v>
      </c>
      <c r="AI1949" s="571" t="e">
        <f t="shared" si="35"/>
        <v>#N/A</v>
      </c>
      <c r="AJ1949" s="571" t="e">
        <f t="shared" si="36"/>
        <v>#N/A</v>
      </c>
      <c r="AK1949" s="571" t="e">
        <f t="shared" si="37"/>
        <v>#N/A</v>
      </c>
      <c r="AL1949" s="572">
        <f>VLOOKUP(D1949,'INTEGRATION PAR CLIENT '!A1344:J1372,10,0)</f>
        <v>0</v>
      </c>
      <c r="AM1949" s="572">
        <f>VLOOKUP(D1949,'INTEGRATION PAR CLIENT '!A1344:L1372,12,0)</f>
        <v>0</v>
      </c>
      <c r="AN1949" s="572" t="str">
        <f>+VLOOKUP(D1949,'INTEGRATION PAR CLIENT '!A1344:N1372,14,0)</f>
        <v>10%-90%</v>
      </c>
      <c r="AO1949" s="572">
        <f>+VLOOKUP(D1949,'INTEGRATION PAR CLIENT '!A1344:P1372,16,0)</f>
        <v>0</v>
      </c>
    </row>
    <row r="1950" spans="1:41">
      <c r="A1950" s="617">
        <v>70</v>
      </c>
      <c r="B1950" s="496" t="str">
        <f t="shared" si="24"/>
        <v>070</v>
      </c>
      <c r="C1950" s="496">
        <f t="shared" si="25"/>
        <v>0</v>
      </c>
      <c r="D1950" s="566" t="str">
        <f>'2025'!D71</f>
        <v>FAE-25-00070</v>
      </c>
      <c r="E1950" s="496" t="str">
        <f t="shared" si="38"/>
        <v>070</v>
      </c>
      <c r="F1950" s="567">
        <f>+'2025'!G71</f>
        <v>45721</v>
      </c>
      <c r="G1950" s="496">
        <f t="shared" si="26"/>
        <v>2025</v>
      </c>
      <c r="H1950" s="586" t="s">
        <v>16838</v>
      </c>
      <c r="I1950" s="496" t="str">
        <f>+VLOOKUP(H1950,Sheet1!A:C,3,0)</f>
        <v>TUNISIAN AFRICAN BUSINESS</v>
      </c>
      <c r="J1950" s="496" t="str">
        <f>+VLOOKUP(H1950,Sheet1!A:D,4,0)</f>
        <v>TND</v>
      </c>
      <c r="K1950" s="497">
        <f t="shared" si="27"/>
        <v>139440</v>
      </c>
      <c r="L1950" s="586">
        <v>1</v>
      </c>
      <c r="M1950" s="587">
        <v>139440</v>
      </c>
      <c r="N1950" s="496" t="str">
        <f>+VLOOKUP(E1950,'2025'!E:F,2,0)</f>
        <v>OUI</v>
      </c>
      <c r="O1950" s="496" t="str">
        <f>VLOOKUP(E1950,'2025'!E:N,10,0)</f>
        <v>Gabon</v>
      </c>
      <c r="P1950" s="880">
        <f>VLOOKUP(E1950,'2025'!E:O,11,0)</f>
        <v>45727</v>
      </c>
      <c r="Q1950" s="565">
        <f>VLOOKUP(E1950,'2025'!E:H,4,0)</f>
        <v>0</v>
      </c>
      <c r="R1950" s="565">
        <f>VLOOKUP(E1950,'2025'!E:I,5,0)</f>
        <v>0</v>
      </c>
      <c r="S1950" s="565">
        <f>VLOOKUP(E1950,'2025'!E:J,6,0)</f>
        <v>84000</v>
      </c>
      <c r="T1950" s="565">
        <f>VLOOKUP(E1950,'2025'!E:K,7,0)</f>
        <v>0</v>
      </c>
      <c r="U1950" s="565">
        <f t="shared" si="28"/>
        <v>84000</v>
      </c>
      <c r="V1950" s="354"/>
      <c r="W1950" s="569" t="e">
        <f>+VLOOKUP(D1950,'JOURNAL FACTURES'!A:O,15,0)</f>
        <v>#N/A</v>
      </c>
      <c r="X1950" s="569" t="e">
        <f>VLOOKUP(D1950,'JOURNAL FACTURES'!A:P,16,0)</f>
        <v>#N/A</v>
      </c>
      <c r="Y1950" s="569" t="e">
        <f>VLOOKUP(D1950,'JOURNAL FACTURES'!A:Q,17,0)</f>
        <v>#N/A</v>
      </c>
      <c r="Z1950" s="569" t="e">
        <f>VLOOKUP(D1950,'JOURNAL FACTURES'!A:R,18,0)</f>
        <v>#N/A</v>
      </c>
      <c r="AA1950" s="570" t="e">
        <f t="shared" si="29"/>
        <v>#N/A</v>
      </c>
      <c r="AB1950" s="570" t="e">
        <f t="shared" si="30"/>
        <v>#N/A</v>
      </c>
      <c r="AC1950" s="570" t="e">
        <f t="shared" si="31"/>
        <v>#N/A</v>
      </c>
      <c r="AD1950" s="570" t="e">
        <f t="shared" si="32"/>
        <v>#N/A</v>
      </c>
      <c r="AE1950" s="569">
        <f>VLOOKUP(D1950,TRANSPORT!H:J,3,0)</f>
        <v>0</v>
      </c>
      <c r="AF1950" s="569">
        <f>+VLOOKUP(D1950,TRANSPORT!N:O,2,0)</f>
        <v>0</v>
      </c>
      <c r="AG1950" s="569">
        <f t="shared" si="33"/>
        <v>0</v>
      </c>
      <c r="AH1950" s="571" t="e">
        <f t="shared" si="34"/>
        <v>#N/A</v>
      </c>
      <c r="AI1950" s="571" t="e">
        <f t="shared" si="35"/>
        <v>#N/A</v>
      </c>
      <c r="AJ1950" s="571" t="e">
        <f t="shared" si="36"/>
        <v>#N/A</v>
      </c>
      <c r="AK1950" s="571" t="e">
        <f t="shared" si="37"/>
        <v>#N/A</v>
      </c>
      <c r="AL1950" s="572">
        <f>VLOOKUP(D1950,'INTEGRATION PAR CLIENT '!A1345:J1373,10,0)</f>
        <v>0</v>
      </c>
      <c r="AM1950" s="572">
        <f>VLOOKUP(D1950,'INTEGRATION PAR CLIENT '!A1345:L1373,12,0)</f>
        <v>0</v>
      </c>
      <c r="AN1950" s="572" t="str">
        <f>+VLOOKUP(D1950,'INTEGRATION PAR CLIENT '!A1345:N1373,14,0)</f>
        <v>10%-90%</v>
      </c>
      <c r="AO1950" s="572">
        <f>+VLOOKUP(D1950,'INTEGRATION PAR CLIENT '!A1345:P1373,16,0)</f>
        <v>0</v>
      </c>
    </row>
    <row r="1951" spans="1:41">
      <c r="A1951" s="617">
        <v>71</v>
      </c>
      <c r="B1951" s="496" t="str">
        <f t="shared" si="24"/>
        <v>071</v>
      </c>
      <c r="C1951" s="496">
        <f t="shared" si="25"/>
        <v>0</v>
      </c>
      <c r="D1951" s="566" t="str">
        <f>'2025'!D72</f>
        <v>FAE-25-00071</v>
      </c>
      <c r="E1951" s="496" t="str">
        <f t="shared" si="38"/>
        <v>071</v>
      </c>
      <c r="F1951" s="567">
        <f>+'2025'!G72</f>
        <v>45780</v>
      </c>
      <c r="G1951" s="496">
        <f t="shared" si="26"/>
        <v>2025</v>
      </c>
      <c r="H1951" s="586" t="s">
        <v>17276</v>
      </c>
      <c r="I1951" s="496" t="str">
        <f>+VLOOKUP(H1951,Sheet1!A:C,3,0)</f>
        <v>MATMATA TRADING</v>
      </c>
      <c r="J1951" s="496" t="str">
        <f>+VLOOKUP(H1951,Sheet1!A:D,4,0)</f>
        <v>EUR</v>
      </c>
      <c r="K1951" s="497">
        <f t="shared" si="27"/>
        <v>46469.095400000006</v>
      </c>
      <c r="L1951" s="586">
        <v>3.3663500000000002</v>
      </c>
      <c r="M1951" s="587">
        <v>13804</v>
      </c>
      <c r="N1951" s="496" t="str">
        <f>+VLOOKUP(E1951,'2025'!E:F,2,0)</f>
        <v>OUI</v>
      </c>
      <c r="O1951" s="496" t="str">
        <f>VLOOKUP(E1951,'2025'!E:N,10,0)</f>
        <v>Mauritanie</v>
      </c>
      <c r="P1951" s="880">
        <f>VLOOKUP(E1951,'2025'!E:O,11,0)</f>
        <v>45735</v>
      </c>
      <c r="Q1951" s="565">
        <f>VLOOKUP(E1951,'2025'!E:H,4,0)</f>
        <v>19200</v>
      </c>
      <c r="R1951" s="565">
        <f>VLOOKUP(E1951,'2025'!E:I,5,0)</f>
        <v>0</v>
      </c>
      <c r="S1951" s="565">
        <f>VLOOKUP(E1951,'2025'!E:J,6,0)</f>
        <v>0</v>
      </c>
      <c r="T1951" s="565">
        <f>VLOOKUP(E1951,'2025'!E:K,7,0)</f>
        <v>0</v>
      </c>
      <c r="U1951" s="565">
        <f t="shared" si="28"/>
        <v>19200</v>
      </c>
      <c r="V1951" s="354"/>
      <c r="W1951" s="569" t="e">
        <f>+VLOOKUP(D1951,'JOURNAL FACTURES'!A:O,15,0)</f>
        <v>#N/A</v>
      </c>
      <c r="X1951" s="569" t="e">
        <f>VLOOKUP(D1951,'JOURNAL FACTURES'!A:P,16,0)</f>
        <v>#N/A</v>
      </c>
      <c r="Y1951" s="569" t="e">
        <f>VLOOKUP(D1951,'JOURNAL FACTURES'!A:Q,17,0)</f>
        <v>#N/A</v>
      </c>
      <c r="Z1951" s="569" t="e">
        <f>VLOOKUP(D1951,'JOURNAL FACTURES'!A:R,18,0)</f>
        <v>#N/A</v>
      </c>
      <c r="AA1951" s="570" t="e">
        <f t="shared" si="29"/>
        <v>#N/A</v>
      </c>
      <c r="AB1951" s="570" t="e">
        <f t="shared" si="30"/>
        <v>#N/A</v>
      </c>
      <c r="AC1951" s="570" t="e">
        <f t="shared" si="31"/>
        <v>#N/A</v>
      </c>
      <c r="AD1951" s="570" t="e">
        <f t="shared" si="32"/>
        <v>#N/A</v>
      </c>
      <c r="AE1951" s="569">
        <f>VLOOKUP(D1951,TRANSPORT!H:J,3,0)</f>
        <v>1140.3</v>
      </c>
      <c r="AF1951" s="569">
        <f>+VLOOKUP(D1951,TRANSPORT!N:O,2,0)</f>
        <v>7292.43</v>
      </c>
      <c r="AG1951" s="569">
        <f t="shared" si="33"/>
        <v>0.37981406249999999</v>
      </c>
      <c r="AH1951" s="571" t="e">
        <f t="shared" si="34"/>
        <v>#N/A</v>
      </c>
      <c r="AI1951" s="571" t="e">
        <f t="shared" si="35"/>
        <v>#N/A</v>
      </c>
      <c r="AJ1951" s="571" t="e">
        <f t="shared" si="36"/>
        <v>#N/A</v>
      </c>
      <c r="AK1951" s="571" t="e">
        <f t="shared" si="37"/>
        <v>#N/A</v>
      </c>
      <c r="AL1951" s="572">
        <f>VLOOKUP(D1951,'INTEGRATION PAR CLIENT '!A1346:J1374,10,0)</f>
        <v>0</v>
      </c>
      <c r="AM1951" s="572">
        <f>VLOOKUP(D1951,'INTEGRATION PAR CLIENT '!A1346:L1374,12,0)</f>
        <v>0</v>
      </c>
      <c r="AN1951" s="572">
        <f>+VLOOKUP(D1951,'INTEGRATION PAR CLIENT '!A1346:N1374,14,0)</f>
        <v>0</v>
      </c>
      <c r="AO1951" s="572">
        <f>+VLOOKUP(D1951,'INTEGRATION PAR CLIENT '!A1346:P1374,16,0)</f>
        <v>0</v>
      </c>
    </row>
    <row r="1952" spans="1:41">
      <c r="A1952" s="617">
        <v>72</v>
      </c>
      <c r="B1952" s="496" t="str">
        <f t="shared" si="24"/>
        <v>072</v>
      </c>
      <c r="C1952" s="496">
        <f t="shared" si="25"/>
        <v>0</v>
      </c>
      <c r="D1952" s="566" t="str">
        <f>'2025'!D73</f>
        <v>FAE-25-00072</v>
      </c>
      <c r="E1952" s="496" t="str">
        <f t="shared" si="38"/>
        <v>072</v>
      </c>
      <c r="F1952" s="567">
        <f>+'2025'!G73</f>
        <v>45723</v>
      </c>
      <c r="G1952" s="496">
        <f t="shared" si="26"/>
        <v>2025</v>
      </c>
      <c r="H1952" s="586" t="s">
        <v>16560</v>
      </c>
      <c r="I1952" s="496" t="str">
        <f>+VLOOKUP(H1952,Sheet1!A:C,3,0)</f>
        <v>ETS KASSO IMPORT EXPORT</v>
      </c>
      <c r="J1952" s="496" t="str">
        <f>+VLOOKUP(H1952,Sheet1!A:D,4,0)</f>
        <v>EUR</v>
      </c>
      <c r="K1952" s="497">
        <f t="shared" si="27"/>
        <v>141355.16999999998</v>
      </c>
      <c r="L1952" s="586">
        <v>3.3595999999999999</v>
      </c>
      <c r="M1952" s="587">
        <v>42075</v>
      </c>
      <c r="N1952" s="496" t="str">
        <f>+VLOOKUP(E1952,'2025'!E:F,2,0)</f>
        <v>OUI</v>
      </c>
      <c r="O1952" s="496" t="str">
        <f>VLOOKUP(E1952,'2025'!E:N,10,0)</f>
        <v>Niger</v>
      </c>
      <c r="P1952" s="880">
        <f>VLOOKUP(E1952,'2025'!E:O,11,0)</f>
        <v>45728</v>
      </c>
      <c r="Q1952" s="565">
        <f>VLOOKUP(E1952,'2025'!E:H,4,0)</f>
        <v>0</v>
      </c>
      <c r="R1952" s="565">
        <f>VLOOKUP(E1952,'2025'!E:I,5,0)</f>
        <v>0</v>
      </c>
      <c r="S1952" s="565">
        <f>VLOOKUP(E1952,'2025'!E:J,6,0)</f>
        <v>82500</v>
      </c>
      <c r="T1952" s="565">
        <f>VLOOKUP(E1952,'2025'!E:K,7,0)</f>
        <v>0</v>
      </c>
      <c r="U1952" s="565">
        <f t="shared" si="28"/>
        <v>82500</v>
      </c>
      <c r="V1952" s="354"/>
      <c r="W1952" s="569" t="e">
        <f>+VLOOKUP(D1952,'JOURNAL FACTURES'!A:O,15,0)</f>
        <v>#N/A</v>
      </c>
      <c r="X1952" s="569" t="e">
        <f>VLOOKUP(D1952,'JOURNAL FACTURES'!A:P,16,0)</f>
        <v>#N/A</v>
      </c>
      <c r="Y1952" s="569" t="e">
        <f>VLOOKUP(D1952,'JOURNAL FACTURES'!A:Q,17,0)</f>
        <v>#N/A</v>
      </c>
      <c r="Z1952" s="569" t="e">
        <f>VLOOKUP(D1952,'JOURNAL FACTURES'!A:R,18,0)</f>
        <v>#N/A</v>
      </c>
      <c r="AA1952" s="570" t="e">
        <f t="shared" si="29"/>
        <v>#N/A</v>
      </c>
      <c r="AB1952" s="570" t="e">
        <f t="shared" si="30"/>
        <v>#N/A</v>
      </c>
      <c r="AC1952" s="570" t="e">
        <f t="shared" si="31"/>
        <v>#N/A</v>
      </c>
      <c r="AD1952" s="570" t="e">
        <f t="shared" si="32"/>
        <v>#N/A</v>
      </c>
      <c r="AE1952" s="569">
        <f>VLOOKUP(D1952,TRANSPORT!H:J,3,0)</f>
        <v>2735.076</v>
      </c>
      <c r="AF1952" s="569">
        <f>+VLOOKUP(D1952,TRANSPORT!N:O,2,0)</f>
        <v>19038.63</v>
      </c>
      <c r="AG1952" s="569">
        <f t="shared" si="33"/>
        <v>0.23077127272727274</v>
      </c>
      <c r="AH1952" s="571" t="e">
        <f t="shared" si="34"/>
        <v>#N/A</v>
      </c>
      <c r="AI1952" s="571" t="e">
        <f t="shared" si="35"/>
        <v>#N/A</v>
      </c>
      <c r="AJ1952" s="571" t="e">
        <f t="shared" si="36"/>
        <v>#N/A</v>
      </c>
      <c r="AK1952" s="571" t="e">
        <f t="shared" si="37"/>
        <v>#N/A</v>
      </c>
      <c r="AL1952" s="572">
        <f>VLOOKUP(D1952,'INTEGRATION PAR CLIENT '!A1347:J1375,10,0)</f>
        <v>0</v>
      </c>
      <c r="AM1952" s="572">
        <f>VLOOKUP(D1952,'INTEGRATION PAR CLIENT '!A1347:L1375,12,0)</f>
        <v>0</v>
      </c>
      <c r="AN1952" s="572" t="str">
        <f>+VLOOKUP(D1952,'INTEGRATION PAR CLIENT '!A1347:N1375,14,0)</f>
        <v>10%-90%</v>
      </c>
      <c r="AO1952" s="572">
        <f>+VLOOKUP(D1952,'INTEGRATION PAR CLIENT '!A1347:P1375,16,0)</f>
        <v>0</v>
      </c>
    </row>
    <row r="1953" spans="1:41">
      <c r="A1953" s="617">
        <v>73</v>
      </c>
      <c r="B1953" s="496" t="str">
        <f t="shared" si="24"/>
        <v>073</v>
      </c>
      <c r="C1953" s="496">
        <f t="shared" si="25"/>
        <v>0</v>
      </c>
      <c r="D1953" s="566" t="str">
        <f>'2025'!D74</f>
        <v>FAE-25-00073</v>
      </c>
      <c r="E1953" s="496" t="str">
        <f t="shared" si="38"/>
        <v>073</v>
      </c>
      <c r="F1953" s="567">
        <f>+'2025'!G74</f>
        <v>45723</v>
      </c>
      <c r="G1953" s="496">
        <f t="shared" si="26"/>
        <v>2025</v>
      </c>
      <c r="H1953" s="586" t="s">
        <v>16560</v>
      </c>
      <c r="I1953" s="496" t="str">
        <f>+VLOOKUP(H1953,Sheet1!A:C,3,0)</f>
        <v>ETS KASSO IMPORT EXPORT</v>
      </c>
      <c r="J1953" s="496" t="str">
        <f>+VLOOKUP(H1953,Sheet1!A:D,4,0)</f>
        <v>EUR</v>
      </c>
      <c r="K1953" s="497">
        <f t="shared" si="27"/>
        <v>185113.96</v>
      </c>
      <c r="L1953" s="586">
        <v>3.3595999999999999</v>
      </c>
      <c r="M1953" s="587">
        <v>55100</v>
      </c>
      <c r="N1953" s="496" t="str">
        <f>+VLOOKUP(E1953,'2025'!E:F,2,0)</f>
        <v>OUI</v>
      </c>
      <c r="O1953" s="496" t="str">
        <f>VLOOKUP(E1953,'2025'!E:N,10,0)</f>
        <v>Niger</v>
      </c>
      <c r="P1953" s="880">
        <f>VLOOKUP(E1953,'2025'!E:O,11,0)</f>
        <v>45730</v>
      </c>
      <c r="Q1953" s="565">
        <f>VLOOKUP(E1953,'2025'!E:H,4,0)</f>
        <v>0</v>
      </c>
      <c r="R1953" s="565">
        <f>VLOOKUP(E1953,'2025'!E:I,5,0)</f>
        <v>0</v>
      </c>
      <c r="S1953" s="565">
        <f>VLOOKUP(E1953,'2025'!E:J,6,0)</f>
        <v>110000</v>
      </c>
      <c r="T1953" s="565">
        <f>VLOOKUP(E1953,'2025'!E:K,7,0)</f>
        <v>0</v>
      </c>
      <c r="U1953" s="565">
        <f t="shared" si="28"/>
        <v>110000</v>
      </c>
      <c r="V1953" s="354"/>
      <c r="W1953" s="569" t="e">
        <f>+VLOOKUP(D1953,'JOURNAL FACTURES'!A:O,15,0)</f>
        <v>#N/A</v>
      </c>
      <c r="X1953" s="569" t="e">
        <f>VLOOKUP(D1953,'JOURNAL FACTURES'!A:P,16,0)</f>
        <v>#N/A</v>
      </c>
      <c r="Y1953" s="569" t="e">
        <f>VLOOKUP(D1953,'JOURNAL FACTURES'!A:Q,17,0)</f>
        <v>#N/A</v>
      </c>
      <c r="Z1953" s="569" t="e">
        <f>VLOOKUP(D1953,'JOURNAL FACTURES'!A:R,18,0)</f>
        <v>#N/A</v>
      </c>
      <c r="AA1953" s="570" t="e">
        <f t="shared" si="29"/>
        <v>#N/A</v>
      </c>
      <c r="AB1953" s="570" t="e">
        <f t="shared" si="30"/>
        <v>#N/A</v>
      </c>
      <c r="AC1953" s="570" t="e">
        <f t="shared" si="31"/>
        <v>#N/A</v>
      </c>
      <c r="AD1953" s="570" t="e">
        <f t="shared" si="32"/>
        <v>#N/A</v>
      </c>
      <c r="AE1953" s="569">
        <f>VLOOKUP(D1953,TRANSPORT!H:J,3,0)</f>
        <v>3263.8320000000003</v>
      </c>
      <c r="AF1953" s="569">
        <f>+VLOOKUP(D1953,TRANSPORT!N:O,2,0)</f>
        <v>26315.781999999999</v>
      </c>
      <c r="AG1953" s="569">
        <f t="shared" si="33"/>
        <v>0.23923438181818182</v>
      </c>
      <c r="AH1953" s="571" t="e">
        <f t="shared" si="34"/>
        <v>#N/A</v>
      </c>
      <c r="AI1953" s="571" t="e">
        <f t="shared" si="35"/>
        <v>#N/A</v>
      </c>
      <c r="AJ1953" s="571" t="e">
        <f t="shared" si="36"/>
        <v>#N/A</v>
      </c>
      <c r="AK1953" s="571" t="e">
        <f t="shared" si="37"/>
        <v>#N/A</v>
      </c>
      <c r="AL1953" s="572">
        <f>VLOOKUP(D1953,'INTEGRATION PAR CLIENT '!A1348:J1376,10,0)</f>
        <v>0</v>
      </c>
      <c r="AM1953" s="572">
        <f>VLOOKUP(D1953,'INTEGRATION PAR CLIENT '!A1348:L1376,12,0)</f>
        <v>0</v>
      </c>
      <c r="AN1953" s="572" t="str">
        <f>+VLOOKUP(D1953,'INTEGRATION PAR CLIENT '!A1348:N1376,14,0)</f>
        <v>10%-90%</v>
      </c>
      <c r="AO1953" s="572">
        <f>+VLOOKUP(D1953,'INTEGRATION PAR CLIENT '!A1348:P1376,16,0)</f>
        <v>0</v>
      </c>
    </row>
    <row r="1954" spans="1:41">
      <c r="A1954" s="617">
        <v>74</v>
      </c>
      <c r="B1954" s="496" t="str">
        <f t="shared" si="24"/>
        <v>074</v>
      </c>
      <c r="C1954" s="496">
        <f t="shared" si="25"/>
        <v>0</v>
      </c>
      <c r="D1954" s="566" t="str">
        <f>'2025'!D75</f>
        <v>FAE-25-00074</v>
      </c>
      <c r="E1954" s="496" t="str">
        <f t="shared" si="38"/>
        <v>074</v>
      </c>
      <c r="F1954" s="567">
        <f>+'2025'!G75</f>
        <v>45723</v>
      </c>
      <c r="G1954" s="496">
        <f t="shared" si="26"/>
        <v>2025</v>
      </c>
      <c r="H1954" s="586" t="s">
        <v>16560</v>
      </c>
      <c r="I1954" s="496" t="str">
        <f>+VLOOKUP(H1954,Sheet1!A:C,3,0)</f>
        <v>ETS KASSO IMPORT EXPORT</v>
      </c>
      <c r="J1954" s="496" t="str">
        <f>+VLOOKUP(H1954,Sheet1!A:D,4,0)</f>
        <v>EUR</v>
      </c>
      <c r="K1954" s="497">
        <f t="shared" si="27"/>
        <v>185667.715</v>
      </c>
      <c r="L1954" s="586">
        <v>3.36965</v>
      </c>
      <c r="M1954" s="587">
        <v>55100</v>
      </c>
      <c r="N1954" s="496" t="str">
        <f>+VLOOKUP(E1954,'2025'!E:F,2,0)</f>
        <v>OUI</v>
      </c>
      <c r="O1954" s="496" t="str">
        <f>VLOOKUP(E1954,'2025'!E:N,10,0)</f>
        <v>Niger</v>
      </c>
      <c r="P1954" s="880">
        <f>VLOOKUP(E1954,'2025'!E:O,11,0)</f>
        <v>45733</v>
      </c>
      <c r="Q1954" s="565">
        <f>VLOOKUP(E1954,'2025'!E:H,4,0)</f>
        <v>0</v>
      </c>
      <c r="R1954" s="565">
        <f>VLOOKUP(E1954,'2025'!E:I,5,0)</f>
        <v>0</v>
      </c>
      <c r="S1954" s="565">
        <f>VLOOKUP(E1954,'2025'!E:J,6,0)</f>
        <v>110000</v>
      </c>
      <c r="T1954" s="565">
        <f>VLOOKUP(E1954,'2025'!E:K,7,0)</f>
        <v>0</v>
      </c>
      <c r="U1954" s="565">
        <f t="shared" si="28"/>
        <v>110000</v>
      </c>
      <c r="V1954" s="354"/>
      <c r="W1954" s="569" t="e">
        <f>+VLOOKUP(D1954,'JOURNAL FACTURES'!A:O,15,0)</f>
        <v>#N/A</v>
      </c>
      <c r="X1954" s="569" t="e">
        <f>VLOOKUP(D1954,'JOURNAL FACTURES'!A:P,16,0)</f>
        <v>#N/A</v>
      </c>
      <c r="Y1954" s="569" t="e">
        <f>VLOOKUP(D1954,'JOURNAL FACTURES'!A:Q,17,0)</f>
        <v>#N/A</v>
      </c>
      <c r="Z1954" s="569" t="e">
        <f>VLOOKUP(D1954,'JOURNAL FACTURES'!A:R,18,0)</f>
        <v>#N/A</v>
      </c>
      <c r="AA1954" s="570" t="e">
        <f t="shared" si="29"/>
        <v>#N/A</v>
      </c>
      <c r="AB1954" s="570" t="e">
        <f t="shared" si="30"/>
        <v>#N/A</v>
      </c>
      <c r="AC1954" s="570" t="e">
        <f t="shared" si="31"/>
        <v>#N/A</v>
      </c>
      <c r="AD1954" s="570" t="e">
        <f t="shared" si="32"/>
        <v>#N/A</v>
      </c>
      <c r="AE1954" s="569">
        <f>VLOOKUP(D1954,TRANSPORT!H:J,3,0)</f>
        <v>3263.8320000000003</v>
      </c>
      <c r="AF1954" s="569">
        <f>+VLOOKUP(D1954,TRANSPORT!N:O,2,0)</f>
        <v>26315.781999999999</v>
      </c>
      <c r="AG1954" s="569">
        <f t="shared" si="33"/>
        <v>0.23923438181818182</v>
      </c>
      <c r="AH1954" s="571" t="e">
        <f t="shared" si="34"/>
        <v>#N/A</v>
      </c>
      <c r="AI1954" s="571" t="e">
        <f t="shared" si="35"/>
        <v>#N/A</v>
      </c>
      <c r="AJ1954" s="571" t="e">
        <f t="shared" si="36"/>
        <v>#N/A</v>
      </c>
      <c r="AK1954" s="571" t="e">
        <f t="shared" si="37"/>
        <v>#N/A</v>
      </c>
      <c r="AL1954" s="572">
        <f>VLOOKUP(D1954,'INTEGRATION PAR CLIENT '!A1349:J1377,10,0)</f>
        <v>0</v>
      </c>
      <c r="AM1954" s="572">
        <f>VLOOKUP(D1954,'INTEGRATION PAR CLIENT '!A1349:L1377,12,0)</f>
        <v>0</v>
      </c>
      <c r="AN1954" s="572" t="str">
        <f>+VLOOKUP(D1954,'INTEGRATION PAR CLIENT '!A1349:N1377,14,0)</f>
        <v>10%-90%</v>
      </c>
      <c r="AO1954" s="572">
        <f>+VLOOKUP(D1954,'INTEGRATION PAR CLIENT '!A1349:P1377,16,0)</f>
        <v>0</v>
      </c>
    </row>
    <row r="1955" spans="1:41">
      <c r="A1955" s="617">
        <v>75</v>
      </c>
      <c r="B1955" s="496" t="str">
        <f t="shared" si="24"/>
        <v>075</v>
      </c>
      <c r="C1955" s="496">
        <f t="shared" si="25"/>
        <v>0</v>
      </c>
      <c r="D1955" s="566" t="str">
        <f>'2025'!D76</f>
        <v>FAE-25-00075</v>
      </c>
      <c r="E1955" s="496" t="str">
        <f t="shared" si="38"/>
        <v>075</v>
      </c>
      <c r="F1955" s="567">
        <f>+'2025'!G76</f>
        <v>45723</v>
      </c>
      <c r="G1955" s="496">
        <f t="shared" si="26"/>
        <v>2025</v>
      </c>
      <c r="H1955" s="586" t="s">
        <v>16560</v>
      </c>
      <c r="I1955" s="496" t="str">
        <f>+VLOOKUP(H1955,Sheet1!A:C,3,0)</f>
        <v>ETS KASSO IMPORT EXPORT</v>
      </c>
      <c r="J1955" s="496" t="str">
        <f>+VLOOKUP(H1955,Sheet1!A:D,4,0)</f>
        <v>EUR</v>
      </c>
      <c r="K1955" s="497">
        <f t="shared" si="27"/>
        <v>185262.72999999998</v>
      </c>
      <c r="L1955" s="586">
        <v>3.3622999999999998</v>
      </c>
      <c r="M1955" s="587">
        <v>55100</v>
      </c>
      <c r="N1955" s="496" t="str">
        <f>+VLOOKUP(E1955,'2025'!E:F,2,0)</f>
        <v>OUI</v>
      </c>
      <c r="O1955" s="496" t="str">
        <f>VLOOKUP(E1955,'2025'!E:N,10,0)</f>
        <v>Niger</v>
      </c>
      <c r="P1955" s="880">
        <f>VLOOKUP(E1955,'2025'!E:O,11,0)</f>
        <v>45733</v>
      </c>
      <c r="Q1955" s="565">
        <f>VLOOKUP(E1955,'2025'!E:H,4,0)</f>
        <v>0</v>
      </c>
      <c r="R1955" s="565">
        <f>VLOOKUP(E1955,'2025'!E:I,5,0)</f>
        <v>0</v>
      </c>
      <c r="S1955" s="565">
        <f>VLOOKUP(E1955,'2025'!E:J,6,0)</f>
        <v>110000</v>
      </c>
      <c r="T1955" s="565">
        <f>VLOOKUP(E1955,'2025'!E:K,7,0)</f>
        <v>0</v>
      </c>
      <c r="U1955" s="565">
        <f t="shared" si="28"/>
        <v>110000</v>
      </c>
      <c r="V1955" s="354"/>
      <c r="W1955" s="569" t="e">
        <f>+VLOOKUP(D1955,'JOURNAL FACTURES'!A:O,15,0)</f>
        <v>#N/A</v>
      </c>
      <c r="X1955" s="569" t="e">
        <f>VLOOKUP(D1955,'JOURNAL FACTURES'!A:P,16,0)</f>
        <v>#N/A</v>
      </c>
      <c r="Y1955" s="569" t="e">
        <f>VLOOKUP(D1955,'JOURNAL FACTURES'!A:Q,17,0)</f>
        <v>#N/A</v>
      </c>
      <c r="Z1955" s="569" t="e">
        <f>VLOOKUP(D1955,'JOURNAL FACTURES'!A:R,18,0)</f>
        <v>#N/A</v>
      </c>
      <c r="AA1955" s="570" t="e">
        <f t="shared" si="29"/>
        <v>#N/A</v>
      </c>
      <c r="AB1955" s="570" t="e">
        <f t="shared" si="30"/>
        <v>#N/A</v>
      </c>
      <c r="AC1955" s="570" t="e">
        <f t="shared" si="31"/>
        <v>#N/A</v>
      </c>
      <c r="AD1955" s="570" t="e">
        <f t="shared" si="32"/>
        <v>#N/A</v>
      </c>
      <c r="AE1955" s="569">
        <f>VLOOKUP(D1955,TRANSPORT!H:J,3,0)</f>
        <v>3263.8320000000003</v>
      </c>
      <c r="AF1955" s="569">
        <f>+VLOOKUP(D1955,TRANSPORT!N:O,2,0)</f>
        <v>25780.281999999999</v>
      </c>
      <c r="AG1955" s="569">
        <f t="shared" si="33"/>
        <v>0.2343662</v>
      </c>
      <c r="AH1955" s="571" t="e">
        <f t="shared" si="34"/>
        <v>#N/A</v>
      </c>
      <c r="AI1955" s="571" t="e">
        <f t="shared" si="35"/>
        <v>#N/A</v>
      </c>
      <c r="AJ1955" s="571" t="e">
        <f t="shared" si="36"/>
        <v>#N/A</v>
      </c>
      <c r="AK1955" s="571" t="e">
        <f t="shared" si="37"/>
        <v>#N/A</v>
      </c>
      <c r="AL1955" s="572">
        <f>VLOOKUP(D1955,'INTEGRATION PAR CLIENT '!A1350:J1378,10,0)</f>
        <v>0</v>
      </c>
      <c r="AM1955" s="572">
        <f>VLOOKUP(D1955,'INTEGRATION PAR CLIENT '!A1350:L1378,12,0)</f>
        <v>0</v>
      </c>
      <c r="AN1955" s="572" t="str">
        <f>+VLOOKUP(D1955,'INTEGRATION PAR CLIENT '!A1350:N1378,14,0)</f>
        <v>10%-90%</v>
      </c>
      <c r="AO1955" s="572">
        <f>+VLOOKUP(D1955,'INTEGRATION PAR CLIENT '!A1350:P1378,16,0)</f>
        <v>0</v>
      </c>
    </row>
    <row r="1956" spans="1:41">
      <c r="A1956" s="617">
        <v>76</v>
      </c>
      <c r="B1956" s="496" t="str">
        <f t="shared" si="24"/>
        <v>076</v>
      </c>
      <c r="C1956" s="496">
        <f t="shared" si="25"/>
        <v>0</v>
      </c>
      <c r="D1956" s="566" t="str">
        <f>'2025'!D77</f>
        <v>FAE-25-00076</v>
      </c>
      <c r="E1956" s="496" t="str">
        <f t="shared" si="38"/>
        <v>076</v>
      </c>
      <c r="F1956" s="567">
        <f>+'2025'!G77</f>
        <v>45723</v>
      </c>
      <c r="G1956" s="496">
        <f t="shared" si="26"/>
        <v>2025</v>
      </c>
      <c r="H1956" s="586" t="s">
        <v>16957</v>
      </c>
      <c r="I1956" s="496" t="str">
        <f>+VLOOKUP(H1956,Sheet1!A:C,3,0)</f>
        <v>ANGSTREM TRADING</v>
      </c>
      <c r="J1956" s="496" t="str">
        <f>+VLOOKUP(H1956,Sheet1!A:D,4,0)</f>
        <v>USD</v>
      </c>
      <c r="K1956" s="497">
        <f t="shared" si="27"/>
        <v>103066.40370000001</v>
      </c>
      <c r="L1956" s="586">
        <v>3.0813000000000001</v>
      </c>
      <c r="M1956" s="587">
        <v>33449</v>
      </c>
      <c r="N1956" s="496" t="str">
        <f>+VLOOKUP(E1956,'2025'!E:F,2,0)</f>
        <v>OUI</v>
      </c>
      <c r="O1956" s="496" t="str">
        <f>VLOOKUP(E1956,'2025'!E:N,10,0)</f>
        <v>Russie</v>
      </c>
      <c r="P1956" s="880">
        <f>VLOOKUP(E1956,'2025'!E:O,11,0)</f>
        <v>45758</v>
      </c>
      <c r="Q1956" s="565">
        <f>VLOOKUP(E1956,'2025'!E:H,4,0)</f>
        <v>40300</v>
      </c>
      <c r="R1956" s="565">
        <f>VLOOKUP(E1956,'2025'!E:I,5,0)</f>
        <v>0</v>
      </c>
      <c r="S1956" s="565">
        <f>VLOOKUP(E1956,'2025'!E:J,6,0)</f>
        <v>0</v>
      </c>
      <c r="T1956" s="565">
        <f>VLOOKUP(E1956,'2025'!E:K,7,0)</f>
        <v>0</v>
      </c>
      <c r="U1956" s="565">
        <f t="shared" si="28"/>
        <v>40300</v>
      </c>
      <c r="V1956" s="354"/>
      <c r="W1956" s="569" t="e">
        <f>+VLOOKUP(D1956,'JOURNAL FACTURES'!A:O,15,0)</f>
        <v>#N/A</v>
      </c>
      <c r="X1956" s="569" t="e">
        <f>VLOOKUP(D1956,'JOURNAL FACTURES'!A:P,16,0)</f>
        <v>#N/A</v>
      </c>
      <c r="Y1956" s="569" t="e">
        <f>VLOOKUP(D1956,'JOURNAL FACTURES'!A:Q,17,0)</f>
        <v>#N/A</v>
      </c>
      <c r="Z1956" s="569" t="e">
        <f>VLOOKUP(D1956,'JOURNAL FACTURES'!A:R,18,0)</f>
        <v>#N/A</v>
      </c>
      <c r="AA1956" s="570" t="e">
        <f t="shared" si="29"/>
        <v>#N/A</v>
      </c>
      <c r="AB1956" s="570" t="e">
        <f t="shared" si="30"/>
        <v>#N/A</v>
      </c>
      <c r="AC1956" s="570" t="e">
        <f t="shared" si="31"/>
        <v>#N/A</v>
      </c>
      <c r="AD1956" s="570" t="e">
        <f t="shared" si="32"/>
        <v>#N/A</v>
      </c>
      <c r="AE1956" s="569">
        <f>VLOOKUP(D1956,TRANSPORT!H:J,3,0)</f>
        <v>1191.45</v>
      </c>
      <c r="AF1956" s="569">
        <f>+VLOOKUP(D1956,TRANSPORT!N:O,2,0)</f>
        <v>11663.125</v>
      </c>
      <c r="AG1956" s="569">
        <f t="shared" si="33"/>
        <v>0.2894075682382134</v>
      </c>
      <c r="AH1956" s="571" t="e">
        <f t="shared" si="34"/>
        <v>#N/A</v>
      </c>
      <c r="AI1956" s="571" t="e">
        <f t="shared" si="35"/>
        <v>#N/A</v>
      </c>
      <c r="AJ1956" s="571" t="e">
        <f t="shared" si="36"/>
        <v>#N/A</v>
      </c>
      <c r="AK1956" s="571" t="e">
        <f t="shared" si="37"/>
        <v>#N/A</v>
      </c>
      <c r="AL1956" s="572">
        <f>VLOOKUP(D1956,'INTEGRATION PAR CLIENT '!A1351:J1379,10,0)</f>
        <v>1</v>
      </c>
      <c r="AM1956" s="572">
        <f>VLOOKUP(D1956,'INTEGRATION PAR CLIENT '!A1351:L1379,12,0)</f>
        <v>0</v>
      </c>
      <c r="AN1956" s="572">
        <f>+VLOOKUP(D1956,'INTEGRATION PAR CLIENT '!A1351:N1379,14,0)</f>
        <v>0</v>
      </c>
      <c r="AO1956" s="572">
        <f>+VLOOKUP(D1956,'INTEGRATION PAR CLIENT '!A1351:P1379,16,0)</f>
        <v>0</v>
      </c>
    </row>
    <row r="1957" spans="1:41">
      <c r="A1957" s="617">
        <v>77</v>
      </c>
      <c r="B1957" s="496" t="str">
        <f t="shared" si="24"/>
        <v>077</v>
      </c>
      <c r="C1957" s="496">
        <f t="shared" si="25"/>
        <v>0</v>
      </c>
      <c r="D1957" s="566" t="str">
        <f>'2025'!D78</f>
        <v>FAE-25-00077</v>
      </c>
      <c r="E1957" s="496" t="str">
        <f t="shared" si="38"/>
        <v>077</v>
      </c>
      <c r="F1957" s="567">
        <f>+'2025'!G78</f>
        <v>45726</v>
      </c>
      <c r="G1957" s="496">
        <f t="shared" si="26"/>
        <v>2025</v>
      </c>
      <c r="H1957" s="586" t="s">
        <v>17396</v>
      </c>
      <c r="I1957" s="496" t="str">
        <f>+VLOOKUP(H1957,Sheet1!A:C,3,0)</f>
        <v>CHB</v>
      </c>
      <c r="J1957" s="496" t="str">
        <f>+VLOOKUP(H1957,Sheet1!A:D,4,0)</f>
        <v>USD</v>
      </c>
      <c r="K1957" s="497">
        <f t="shared" si="27"/>
        <v>51850.640101999998</v>
      </c>
      <c r="L1957" s="586">
        <v>3.3563499999999999</v>
      </c>
      <c r="M1957" s="587">
        <v>15448.52</v>
      </c>
      <c r="N1957" s="496" t="str">
        <f>+VLOOKUP(E1957,'2025'!E:F,2,0)</f>
        <v>OUI</v>
      </c>
      <c r="O1957" s="496" t="str">
        <f>VLOOKUP(E1957,'2025'!E:N,10,0)</f>
        <v>Russie</v>
      </c>
      <c r="P1957" s="880">
        <f>VLOOKUP(E1957,'2025'!E:O,11,0)</f>
        <v>45734</v>
      </c>
      <c r="Q1957" s="565">
        <f>VLOOKUP(E1957,'2025'!E:H,4,0)</f>
        <v>0</v>
      </c>
      <c r="R1957" s="565">
        <f>VLOOKUP(E1957,'2025'!E:I,5,0)</f>
        <v>11160</v>
      </c>
      <c r="S1957" s="565">
        <f>VLOOKUP(E1957,'2025'!E:J,6,0)</f>
        <v>4440</v>
      </c>
      <c r="T1957" s="565">
        <f>VLOOKUP(E1957,'2025'!E:K,7,0)</f>
        <v>900</v>
      </c>
      <c r="U1957" s="565">
        <f t="shared" si="28"/>
        <v>16500</v>
      </c>
      <c r="V1957" s="354"/>
      <c r="W1957" s="569" t="e">
        <f>+VLOOKUP(D1957,'JOURNAL FACTURES'!A:O,15,0)</f>
        <v>#N/A</v>
      </c>
      <c r="X1957" s="569" t="e">
        <f>VLOOKUP(D1957,'JOURNAL FACTURES'!A:P,16,0)</f>
        <v>#N/A</v>
      </c>
      <c r="Y1957" s="569" t="e">
        <f>VLOOKUP(D1957,'JOURNAL FACTURES'!A:Q,17,0)</f>
        <v>#N/A</v>
      </c>
      <c r="Z1957" s="569" t="e">
        <f>VLOOKUP(D1957,'JOURNAL FACTURES'!A:R,18,0)</f>
        <v>#N/A</v>
      </c>
      <c r="AA1957" s="570" t="e">
        <f t="shared" si="29"/>
        <v>#N/A</v>
      </c>
      <c r="AB1957" s="570" t="e">
        <f t="shared" si="30"/>
        <v>#N/A</v>
      </c>
      <c r="AC1957" s="570" t="e">
        <f t="shared" si="31"/>
        <v>#N/A</v>
      </c>
      <c r="AD1957" s="570" t="e">
        <f t="shared" si="32"/>
        <v>#N/A</v>
      </c>
      <c r="AE1957" s="569">
        <f>VLOOKUP(D1957,TRANSPORT!H:J,3,0)</f>
        <v>761.42300000000012</v>
      </c>
      <c r="AF1957" s="569">
        <f>+VLOOKUP(D1957,TRANSPORT!N:O,2,0)</f>
        <v>7257.61</v>
      </c>
      <c r="AG1957" s="569">
        <f t="shared" si="33"/>
        <v>0.43985515151515148</v>
      </c>
      <c r="AH1957" s="571" t="e">
        <f t="shared" si="34"/>
        <v>#N/A</v>
      </c>
      <c r="AI1957" s="571" t="e">
        <f t="shared" si="35"/>
        <v>#N/A</v>
      </c>
      <c r="AJ1957" s="571" t="e">
        <f t="shared" si="36"/>
        <v>#N/A</v>
      </c>
      <c r="AK1957" s="571" t="e">
        <f t="shared" si="37"/>
        <v>#N/A</v>
      </c>
      <c r="AL1957" s="572">
        <f>VLOOKUP(D1957,'INTEGRATION PAR CLIENT '!A1352:J1380,10,0)</f>
        <v>0</v>
      </c>
      <c r="AM1957" s="572">
        <f>VLOOKUP(D1957,'INTEGRATION PAR CLIENT '!A1352:L1380,12,0)</f>
        <v>1</v>
      </c>
      <c r="AN1957" s="572">
        <f>+VLOOKUP(D1957,'INTEGRATION PAR CLIENT '!A1352:N1380,14,0)</f>
        <v>1</v>
      </c>
      <c r="AO1957" s="572">
        <f>+VLOOKUP(D1957,'INTEGRATION PAR CLIENT '!A1352:P1380,16,0)</f>
        <v>1</v>
      </c>
    </row>
    <row r="1958" spans="1:41">
      <c r="A1958" s="617">
        <v>78</v>
      </c>
      <c r="B1958" s="496" t="str">
        <f t="shared" si="24"/>
        <v>078</v>
      </c>
      <c r="C1958" s="496">
        <f t="shared" si="25"/>
        <v>0</v>
      </c>
      <c r="D1958" s="566" t="str">
        <f>'2025'!D79</f>
        <v>FAE-25-00078</v>
      </c>
      <c r="E1958" s="496" t="str">
        <f t="shared" si="38"/>
        <v>078</v>
      </c>
      <c r="F1958" s="567">
        <f>+'2025'!G79</f>
        <v>45726</v>
      </c>
      <c r="G1958" s="496">
        <f t="shared" si="26"/>
        <v>2025</v>
      </c>
      <c r="H1958" s="586" t="s">
        <v>16470</v>
      </c>
      <c r="I1958" s="496" t="str">
        <f>+VLOOKUP(H1958,Sheet1!A:C,3,0)</f>
        <v>SAWABA - GUINEE</v>
      </c>
      <c r="J1958" s="496" t="str">
        <f>+VLOOKUP(H1958,Sheet1!A:D,4,0)</f>
        <v>USD</v>
      </c>
      <c r="K1958" s="497">
        <f t="shared" si="27"/>
        <v>734503.67183199991</v>
      </c>
      <c r="L1958" s="586">
        <v>3.0897999999999999</v>
      </c>
      <c r="M1958" s="587">
        <v>237718.84</v>
      </c>
      <c r="N1958" s="496" t="str">
        <f>+VLOOKUP(E1958,'2025'!E:F,2,0)</f>
        <v>OUI</v>
      </c>
      <c r="O1958" s="496" t="str">
        <f>VLOOKUP(E1958,'2025'!E:N,10,0)</f>
        <v>Guinée</v>
      </c>
      <c r="P1958" s="880">
        <f>VLOOKUP(E1958,'2025'!E:O,11,0)</f>
        <v>45740</v>
      </c>
      <c r="Q1958" s="565">
        <f>VLOOKUP(E1958,'2025'!E:H,4,0)</f>
        <v>48000</v>
      </c>
      <c r="R1958" s="565">
        <f>VLOOKUP(E1958,'2025'!E:I,5,0)</f>
        <v>288300</v>
      </c>
      <c r="S1958" s="565">
        <f>VLOOKUP(E1958,'2025'!E:J,6,0)</f>
        <v>0</v>
      </c>
      <c r="T1958" s="565">
        <f>VLOOKUP(E1958,'2025'!E:K,7,0)</f>
        <v>0</v>
      </c>
      <c r="U1958" s="565">
        <f t="shared" si="28"/>
        <v>336300</v>
      </c>
      <c r="V1958" s="354"/>
      <c r="W1958" s="569" t="e">
        <f>+VLOOKUP(D1958,'JOURNAL FACTURES'!A:O,15,0)</f>
        <v>#N/A</v>
      </c>
      <c r="X1958" s="569" t="e">
        <f>VLOOKUP(D1958,'JOURNAL FACTURES'!A:P,16,0)</f>
        <v>#N/A</v>
      </c>
      <c r="Y1958" s="569" t="e">
        <f>VLOOKUP(D1958,'JOURNAL FACTURES'!A:Q,17,0)</f>
        <v>#N/A</v>
      </c>
      <c r="Z1958" s="569" t="e">
        <f>VLOOKUP(D1958,'JOURNAL FACTURES'!A:R,18,0)</f>
        <v>#N/A</v>
      </c>
      <c r="AA1958" s="570" t="e">
        <f t="shared" si="29"/>
        <v>#N/A</v>
      </c>
      <c r="AB1958" s="570" t="e">
        <f t="shared" si="30"/>
        <v>#N/A</v>
      </c>
      <c r="AC1958" s="570" t="e">
        <f t="shared" si="31"/>
        <v>#N/A</v>
      </c>
      <c r="AD1958" s="570" t="e">
        <f t="shared" si="32"/>
        <v>#N/A</v>
      </c>
      <c r="AE1958" s="569">
        <f>VLOOKUP(D1958,TRANSPORT!H:J,3,0)</f>
        <v>14432.112000000001</v>
      </c>
      <c r="AF1958" s="569">
        <f>+VLOOKUP(D1958,TRANSPORT!N:O,2,0)</f>
        <v>94407.06</v>
      </c>
      <c r="AG1958" s="569">
        <f t="shared" si="33"/>
        <v>0.28072274754683318</v>
      </c>
      <c r="AH1958" s="571" t="e">
        <f t="shared" si="34"/>
        <v>#N/A</v>
      </c>
      <c r="AI1958" s="571" t="e">
        <f t="shared" si="35"/>
        <v>#N/A</v>
      </c>
      <c r="AJ1958" s="571" t="e">
        <f t="shared" si="36"/>
        <v>#N/A</v>
      </c>
      <c r="AK1958" s="571" t="e">
        <f t="shared" si="37"/>
        <v>#N/A</v>
      </c>
      <c r="AL1958" s="572">
        <f>VLOOKUP(D1958,'INTEGRATION PAR CLIENT '!A1353:J1381,10,0)</f>
        <v>1</v>
      </c>
      <c r="AM1958" s="572" t="str">
        <f>VLOOKUP(D1958,'INTEGRATION PAR CLIENT '!A1353:L1381,12,0)</f>
        <v>'30%S-70%F</v>
      </c>
      <c r="AN1958" s="572">
        <f>+VLOOKUP(D1958,'INTEGRATION PAR CLIENT '!A1353:N1381,14,0)</f>
        <v>0</v>
      </c>
      <c r="AO1958" s="572">
        <f>+VLOOKUP(D1958,'INTEGRATION PAR CLIENT '!A1353:P1381,16,0)</f>
        <v>0</v>
      </c>
    </row>
    <row r="1959" spans="1:41">
      <c r="A1959" s="617">
        <v>79</v>
      </c>
      <c r="B1959" s="496" t="str">
        <f t="shared" si="24"/>
        <v>079</v>
      </c>
      <c r="C1959" s="496">
        <f t="shared" si="25"/>
        <v>0</v>
      </c>
      <c r="D1959" s="566" t="str">
        <f>'2025'!D80</f>
        <v>FAE-25-00079</v>
      </c>
      <c r="E1959" s="496" t="str">
        <f t="shared" si="38"/>
        <v>079</v>
      </c>
      <c r="F1959" s="567">
        <f>+'2025'!G80</f>
        <v>45726</v>
      </c>
      <c r="G1959" s="496">
        <f t="shared" si="26"/>
        <v>2025</v>
      </c>
      <c r="H1959" s="586" t="s">
        <v>16470</v>
      </c>
      <c r="I1959" s="496" t="str">
        <f>+VLOOKUP(H1959,Sheet1!A:C,3,0)</f>
        <v>SAWABA - GUINEE</v>
      </c>
      <c r="J1959" s="496" t="str">
        <f>+VLOOKUP(H1959,Sheet1!A:D,4,0)</f>
        <v>USD</v>
      </c>
      <c r="K1959" s="497">
        <f t="shared" si="27"/>
        <v>735502.09095999994</v>
      </c>
      <c r="L1959" s="586">
        <v>3.0939999999999999</v>
      </c>
      <c r="M1959" s="587">
        <v>237718.84</v>
      </c>
      <c r="N1959" s="496" t="str">
        <f>+VLOOKUP(E1959,'2025'!E:F,2,0)</f>
        <v>OUI</v>
      </c>
      <c r="O1959" s="496" t="str">
        <f>VLOOKUP(E1959,'2025'!E:N,10,0)</f>
        <v>Guinée</v>
      </c>
      <c r="P1959" s="880">
        <f>VLOOKUP(E1959,'2025'!E:O,11,0)</f>
        <v>45742</v>
      </c>
      <c r="Q1959" s="565">
        <f>VLOOKUP(E1959,'2025'!E:H,4,0)</f>
        <v>48000</v>
      </c>
      <c r="R1959" s="565">
        <f>VLOOKUP(E1959,'2025'!E:I,5,0)</f>
        <v>288300</v>
      </c>
      <c r="S1959" s="565">
        <f>VLOOKUP(E1959,'2025'!E:J,6,0)</f>
        <v>0</v>
      </c>
      <c r="T1959" s="565">
        <f>VLOOKUP(E1959,'2025'!E:K,7,0)</f>
        <v>0</v>
      </c>
      <c r="U1959" s="565">
        <f t="shared" si="28"/>
        <v>336300</v>
      </c>
      <c r="V1959" s="354"/>
      <c r="W1959" s="569" t="e">
        <f>+VLOOKUP(D1959,'JOURNAL FACTURES'!A:O,15,0)</f>
        <v>#N/A</v>
      </c>
      <c r="X1959" s="569" t="e">
        <f>VLOOKUP(D1959,'JOURNAL FACTURES'!A:P,16,0)</f>
        <v>#N/A</v>
      </c>
      <c r="Y1959" s="569" t="e">
        <f>VLOOKUP(D1959,'JOURNAL FACTURES'!A:Q,17,0)</f>
        <v>#N/A</v>
      </c>
      <c r="Z1959" s="569" t="e">
        <f>VLOOKUP(D1959,'JOURNAL FACTURES'!A:R,18,0)</f>
        <v>#N/A</v>
      </c>
      <c r="AA1959" s="570" t="e">
        <f t="shared" si="29"/>
        <v>#N/A</v>
      </c>
      <c r="AB1959" s="570" t="e">
        <f t="shared" si="30"/>
        <v>#N/A</v>
      </c>
      <c r="AC1959" s="570" t="e">
        <f t="shared" si="31"/>
        <v>#N/A</v>
      </c>
      <c r="AD1959" s="570" t="e">
        <f t="shared" si="32"/>
        <v>#N/A</v>
      </c>
      <c r="AE1959" s="569">
        <f>VLOOKUP(D1959,TRANSPORT!H:J,3,0)</f>
        <v>14432.112000000001</v>
      </c>
      <c r="AF1959" s="569">
        <f>+VLOOKUP(D1959,TRANSPORT!N:O,2,0)</f>
        <v>92902.66</v>
      </c>
      <c r="AG1959" s="569">
        <f t="shared" si="33"/>
        <v>0.27624936068986028</v>
      </c>
      <c r="AH1959" s="571" t="e">
        <f t="shared" si="34"/>
        <v>#N/A</v>
      </c>
      <c r="AI1959" s="571" t="e">
        <f t="shared" si="35"/>
        <v>#N/A</v>
      </c>
      <c r="AJ1959" s="571" t="e">
        <f t="shared" si="36"/>
        <v>#N/A</v>
      </c>
      <c r="AK1959" s="571" t="e">
        <f t="shared" si="37"/>
        <v>#N/A</v>
      </c>
      <c r="AL1959" s="572">
        <f>VLOOKUP(D1959,'INTEGRATION PAR CLIENT '!A1354:J1382,10,0)</f>
        <v>1</v>
      </c>
      <c r="AM1959" s="572" t="str">
        <f>VLOOKUP(D1959,'INTEGRATION PAR CLIENT '!A1354:L1382,12,0)</f>
        <v>'30%S-70%F</v>
      </c>
      <c r="AN1959" s="572">
        <f>+VLOOKUP(D1959,'INTEGRATION PAR CLIENT '!A1354:N1382,14,0)</f>
        <v>0</v>
      </c>
      <c r="AO1959" s="572">
        <f>+VLOOKUP(D1959,'INTEGRATION PAR CLIENT '!A1354:P1382,16,0)</f>
        <v>0</v>
      </c>
    </row>
    <row r="1960" spans="1:41">
      <c r="A1960" s="617">
        <v>80</v>
      </c>
      <c r="B1960" s="496" t="str">
        <f t="shared" si="24"/>
        <v>080</v>
      </c>
      <c r="C1960" s="496">
        <f t="shared" si="25"/>
        <v>0</v>
      </c>
      <c r="D1960" s="566" t="str">
        <f>'2025'!D81</f>
        <v>FAE-25-00080</v>
      </c>
      <c r="E1960" s="496" t="str">
        <f t="shared" si="38"/>
        <v>080</v>
      </c>
      <c r="F1960" s="567">
        <f>+'2025'!G81</f>
        <v>45726</v>
      </c>
      <c r="G1960" s="496">
        <f t="shared" si="26"/>
        <v>2025</v>
      </c>
      <c r="H1960" s="586" t="s">
        <v>16444</v>
      </c>
      <c r="I1960" s="496" t="str">
        <f>+VLOOKUP(H1960,Sheet1!A:C,3,0)</f>
        <v>SAHEL INTERNATIONAL TRADE</v>
      </c>
      <c r="J1960" s="496" t="str">
        <f>+VLOOKUP(H1960,Sheet1!A:D,4,0)</f>
        <v>TND</v>
      </c>
      <c r="K1960" s="497">
        <f t="shared" si="27"/>
        <v>74272</v>
      </c>
      <c r="L1960" s="586">
        <v>1</v>
      </c>
      <c r="M1960" s="587">
        <v>74272</v>
      </c>
      <c r="N1960" s="496" t="str">
        <f>+VLOOKUP(E1960,'2025'!E:F,2,0)</f>
        <v>OUI</v>
      </c>
      <c r="O1960" s="496" t="str">
        <f>VLOOKUP(E1960,'2025'!E:N,10,0)</f>
        <v>Burkina Faso</v>
      </c>
      <c r="P1960" s="880">
        <f>VLOOKUP(E1960,'2025'!E:O,11,0)</f>
        <v>45742</v>
      </c>
      <c r="Q1960" s="565">
        <f>VLOOKUP(E1960,'2025'!E:H,4,0)</f>
        <v>0</v>
      </c>
      <c r="R1960" s="565">
        <f>VLOOKUP(E1960,'2025'!E:I,5,0)</f>
        <v>42200</v>
      </c>
      <c r="S1960" s="565">
        <f>VLOOKUP(E1960,'2025'!E:J,6,0)</f>
        <v>0</v>
      </c>
      <c r="T1960" s="565">
        <f>VLOOKUP(E1960,'2025'!E:K,7,0)</f>
        <v>0</v>
      </c>
      <c r="U1960" s="565">
        <f t="shared" si="28"/>
        <v>42200</v>
      </c>
      <c r="V1960" s="354"/>
      <c r="W1960" s="569" t="e">
        <f>+VLOOKUP(D1960,'JOURNAL FACTURES'!A:O,15,0)</f>
        <v>#N/A</v>
      </c>
      <c r="X1960" s="569" t="e">
        <f>VLOOKUP(D1960,'JOURNAL FACTURES'!A:P,16,0)</f>
        <v>#N/A</v>
      </c>
      <c r="Y1960" s="569" t="e">
        <f>VLOOKUP(D1960,'JOURNAL FACTURES'!A:Q,17,0)</f>
        <v>#N/A</v>
      </c>
      <c r="Z1960" s="569" t="e">
        <f>VLOOKUP(D1960,'JOURNAL FACTURES'!A:R,18,0)</f>
        <v>#N/A</v>
      </c>
      <c r="AA1960" s="570" t="e">
        <f t="shared" si="29"/>
        <v>#N/A</v>
      </c>
      <c r="AB1960" s="570" t="e">
        <f t="shared" si="30"/>
        <v>#N/A</v>
      </c>
      <c r="AC1960" s="570" t="e">
        <f t="shared" si="31"/>
        <v>#N/A</v>
      </c>
      <c r="AD1960" s="570" t="e">
        <f t="shared" si="32"/>
        <v>#N/A</v>
      </c>
      <c r="AE1960" s="569">
        <f>VLOOKUP(D1960,TRANSPORT!H:J,3,0)</f>
        <v>0</v>
      </c>
      <c r="AF1960" s="569">
        <f>+VLOOKUP(D1960,TRANSPORT!N:O,2,0)</f>
        <v>0</v>
      </c>
      <c r="AG1960" s="569">
        <f t="shared" si="33"/>
        <v>0</v>
      </c>
      <c r="AH1960" s="571" t="e">
        <f t="shared" si="34"/>
        <v>#N/A</v>
      </c>
      <c r="AI1960" s="571" t="e">
        <f t="shared" si="35"/>
        <v>#N/A</v>
      </c>
      <c r="AJ1960" s="571" t="e">
        <f t="shared" si="36"/>
        <v>#N/A</v>
      </c>
      <c r="AK1960" s="571" t="e">
        <f t="shared" si="37"/>
        <v>#N/A</v>
      </c>
      <c r="AL1960" s="572">
        <f>VLOOKUP(D1960,'INTEGRATION PAR CLIENT '!A1355:J1383,10,0)</f>
        <v>0</v>
      </c>
      <c r="AM1960" s="572" t="str">
        <f>VLOOKUP(D1960,'INTEGRATION PAR CLIENT '!A1355:L1383,12,0)</f>
        <v>'30%S-70%F</v>
      </c>
      <c r="AN1960" s="572">
        <f>+VLOOKUP(D1960,'INTEGRATION PAR CLIENT '!A1355:N1383,14,0)</f>
        <v>0</v>
      </c>
      <c r="AO1960" s="572">
        <f>+VLOOKUP(D1960,'INTEGRATION PAR CLIENT '!A1355:P1383,16,0)</f>
        <v>0</v>
      </c>
    </row>
    <row r="1961" spans="1:41">
      <c r="A1961" s="617">
        <v>81</v>
      </c>
      <c r="B1961" s="496" t="str">
        <f t="shared" si="24"/>
        <v>081</v>
      </c>
      <c r="C1961" s="496">
        <f t="shared" si="25"/>
        <v>0</v>
      </c>
      <c r="D1961" s="566" t="str">
        <f>'2025'!D82</f>
        <v>FAE-25-00081</v>
      </c>
      <c r="E1961" s="496" t="str">
        <f t="shared" si="38"/>
        <v>081</v>
      </c>
      <c r="F1961" s="567">
        <f>+'2025'!G82</f>
        <v>45728</v>
      </c>
      <c r="G1961" s="496">
        <f t="shared" si="26"/>
        <v>2025</v>
      </c>
      <c r="H1961" s="586" t="s">
        <v>16444</v>
      </c>
      <c r="I1961" s="496" t="str">
        <f>+VLOOKUP(H1961,Sheet1!A:C,3,0)</f>
        <v>SAHEL INTERNATIONAL TRADE</v>
      </c>
      <c r="J1961" s="496" t="str">
        <f>+VLOOKUP(H1961,Sheet1!A:D,4,0)</f>
        <v>TND</v>
      </c>
      <c r="K1961" s="497">
        <f t="shared" si="27"/>
        <v>47317.2</v>
      </c>
      <c r="L1961" s="586">
        <v>1</v>
      </c>
      <c r="M1961" s="587">
        <v>47317.2</v>
      </c>
      <c r="N1961" s="496" t="str">
        <f>+VLOOKUP(E1961,'2025'!E:F,2,0)</f>
        <v>OUI</v>
      </c>
      <c r="O1961" s="496" t="str">
        <f>VLOOKUP(E1961,'2025'!E:N,10,0)</f>
        <v>Niger</v>
      </c>
      <c r="P1961" s="880">
        <f>VLOOKUP(E1961,'2025'!E:O,11,0)</f>
        <v>45742</v>
      </c>
      <c r="Q1961" s="565">
        <f>VLOOKUP(E1961,'2025'!E:H,4,0)</f>
        <v>22008</v>
      </c>
      <c r="R1961" s="565">
        <f>VLOOKUP(E1961,'2025'!E:I,5,0)</f>
        <v>0</v>
      </c>
      <c r="S1961" s="565">
        <f>VLOOKUP(E1961,'2025'!E:J,6,0)</f>
        <v>0</v>
      </c>
      <c r="T1961" s="565">
        <f>VLOOKUP(E1961,'2025'!E:K,7,0)</f>
        <v>0</v>
      </c>
      <c r="U1961" s="565">
        <f t="shared" si="28"/>
        <v>22008</v>
      </c>
      <c r="V1961" s="354"/>
      <c r="W1961" s="569" t="e">
        <f>+VLOOKUP(D1961,'JOURNAL FACTURES'!A:O,15,0)</f>
        <v>#N/A</v>
      </c>
      <c r="X1961" s="569" t="e">
        <f>VLOOKUP(D1961,'JOURNAL FACTURES'!A:P,16,0)</f>
        <v>#N/A</v>
      </c>
      <c r="Y1961" s="569" t="e">
        <f>VLOOKUP(D1961,'JOURNAL FACTURES'!A:Q,17,0)</f>
        <v>#N/A</v>
      </c>
      <c r="Z1961" s="569" t="e">
        <f>VLOOKUP(D1961,'JOURNAL FACTURES'!A:R,18,0)</f>
        <v>#N/A</v>
      </c>
      <c r="AA1961" s="570" t="e">
        <f t="shared" si="29"/>
        <v>#N/A</v>
      </c>
      <c r="AB1961" s="570" t="e">
        <f t="shared" si="30"/>
        <v>#N/A</v>
      </c>
      <c r="AC1961" s="570" t="e">
        <f t="shared" si="31"/>
        <v>#N/A</v>
      </c>
      <c r="AD1961" s="570" t="e">
        <f t="shared" si="32"/>
        <v>#N/A</v>
      </c>
      <c r="AE1961" s="569">
        <f>VLOOKUP(D1961,TRANSPORT!H:J,3,0)</f>
        <v>0</v>
      </c>
      <c r="AF1961" s="569">
        <f>+VLOOKUP(D1961,TRANSPORT!N:O,2,0)</f>
        <v>0</v>
      </c>
      <c r="AG1961" s="569">
        <f t="shared" si="33"/>
        <v>0</v>
      </c>
      <c r="AH1961" s="571" t="e">
        <f t="shared" si="34"/>
        <v>#N/A</v>
      </c>
      <c r="AI1961" s="571" t="e">
        <f t="shared" si="35"/>
        <v>#N/A</v>
      </c>
      <c r="AJ1961" s="571" t="e">
        <f t="shared" si="36"/>
        <v>#N/A</v>
      </c>
      <c r="AK1961" s="571" t="e">
        <f t="shared" si="37"/>
        <v>#N/A</v>
      </c>
      <c r="AL1961" s="572">
        <f>VLOOKUP(D1961,'INTEGRATION PAR CLIENT '!A1356:J1384,10,0)</f>
        <v>1</v>
      </c>
      <c r="AM1961" s="572">
        <f>VLOOKUP(D1961,'INTEGRATION PAR CLIENT '!A1356:L1384,12,0)</f>
        <v>0</v>
      </c>
      <c r="AN1961" s="572">
        <f>+VLOOKUP(D1961,'INTEGRATION PAR CLIENT '!A1356:N1384,14,0)</f>
        <v>0</v>
      </c>
      <c r="AO1961" s="572">
        <f>+VLOOKUP(D1961,'INTEGRATION PAR CLIENT '!A1356:P1384,16,0)</f>
        <v>0</v>
      </c>
    </row>
    <row r="1962" spans="1:41">
      <c r="A1962" s="617">
        <v>82</v>
      </c>
      <c r="B1962" s="496" t="str">
        <f t="shared" si="24"/>
        <v>082</v>
      </c>
      <c r="C1962" s="496">
        <f t="shared" si="25"/>
        <v>0</v>
      </c>
      <c r="D1962" s="566" t="str">
        <f>'2025'!D83</f>
        <v>FAE-25-00082</v>
      </c>
      <c r="E1962" s="496" t="str">
        <f t="shared" si="38"/>
        <v>082</v>
      </c>
      <c r="F1962" s="567">
        <f>+'2025'!G83</f>
        <v>45728</v>
      </c>
      <c r="G1962" s="496">
        <f t="shared" si="26"/>
        <v>2025</v>
      </c>
      <c r="H1962" s="586" t="s">
        <v>16838</v>
      </c>
      <c r="I1962" s="496" t="str">
        <f>+VLOOKUP(H1962,Sheet1!A:C,3,0)</f>
        <v>TUNISIAN AFRICAN BUSINESS</v>
      </c>
      <c r="J1962" s="496" t="str">
        <f>+VLOOKUP(H1962,Sheet1!A:D,4,0)</f>
        <v>TND</v>
      </c>
      <c r="K1962" s="497">
        <f t="shared" si="27"/>
        <v>90232.8</v>
      </c>
      <c r="L1962" s="586">
        <v>1</v>
      </c>
      <c r="M1962" s="587">
        <v>90232.8</v>
      </c>
      <c r="N1962" s="496" t="str">
        <f>+VLOOKUP(E1962,'2025'!E:F,2,0)</f>
        <v>OUI</v>
      </c>
      <c r="O1962" s="496" t="str">
        <f>VLOOKUP(E1962,'2025'!E:N,10,0)</f>
        <v>Sierra Leone</v>
      </c>
      <c r="P1962" s="880">
        <f>VLOOKUP(E1962,'2025'!E:O,11,0)</f>
        <v>45741</v>
      </c>
      <c r="Q1962" s="565">
        <f>VLOOKUP(E1962,'2025'!E:H,4,0)</f>
        <v>44016</v>
      </c>
      <c r="R1962" s="565">
        <f>VLOOKUP(E1962,'2025'!E:I,5,0)</f>
        <v>0</v>
      </c>
      <c r="S1962" s="565">
        <f>VLOOKUP(E1962,'2025'!E:J,6,0)</f>
        <v>0</v>
      </c>
      <c r="T1962" s="565">
        <f>VLOOKUP(E1962,'2025'!E:K,7,0)</f>
        <v>0</v>
      </c>
      <c r="U1962" s="565">
        <f t="shared" si="28"/>
        <v>44016</v>
      </c>
      <c r="V1962" s="354"/>
      <c r="W1962" s="569" t="e">
        <f>+VLOOKUP(D1962,'JOURNAL FACTURES'!A:O,15,0)</f>
        <v>#N/A</v>
      </c>
      <c r="X1962" s="569" t="e">
        <f>VLOOKUP(D1962,'JOURNAL FACTURES'!A:P,16,0)</f>
        <v>#N/A</v>
      </c>
      <c r="Y1962" s="569" t="e">
        <f>VLOOKUP(D1962,'JOURNAL FACTURES'!A:Q,17,0)</f>
        <v>#N/A</v>
      </c>
      <c r="Z1962" s="569" t="e">
        <f>VLOOKUP(D1962,'JOURNAL FACTURES'!A:R,18,0)</f>
        <v>#N/A</v>
      </c>
      <c r="AA1962" s="570" t="e">
        <f t="shared" si="29"/>
        <v>#N/A</v>
      </c>
      <c r="AB1962" s="570" t="e">
        <f t="shared" si="30"/>
        <v>#N/A</v>
      </c>
      <c r="AC1962" s="570" t="e">
        <f t="shared" si="31"/>
        <v>#N/A</v>
      </c>
      <c r="AD1962" s="570" t="e">
        <f t="shared" si="32"/>
        <v>#N/A</v>
      </c>
      <c r="AE1962" s="569">
        <f>VLOOKUP(D1962,TRANSPORT!H:J,3,0)</f>
        <v>0</v>
      </c>
      <c r="AF1962" s="569">
        <f>+VLOOKUP(D1962,TRANSPORT!N:O,2,0)</f>
        <v>0</v>
      </c>
      <c r="AG1962" s="569">
        <f t="shared" si="33"/>
        <v>0</v>
      </c>
      <c r="AH1962" s="571" t="e">
        <f t="shared" si="34"/>
        <v>#N/A</v>
      </c>
      <c r="AI1962" s="571" t="e">
        <f t="shared" si="35"/>
        <v>#N/A</v>
      </c>
      <c r="AJ1962" s="571" t="e">
        <f t="shared" si="36"/>
        <v>#N/A</v>
      </c>
      <c r="AK1962" s="571" t="e">
        <f t="shared" si="37"/>
        <v>#N/A</v>
      </c>
      <c r="AL1962" s="572">
        <f>VLOOKUP(D1962,'INTEGRATION PAR CLIENT '!A1357:J1385,10,0)</f>
        <v>1</v>
      </c>
      <c r="AM1962" s="572">
        <f>VLOOKUP(D1962,'INTEGRATION PAR CLIENT '!A1357:L1385,12,0)</f>
        <v>0</v>
      </c>
      <c r="AN1962" s="572">
        <f>+VLOOKUP(D1962,'INTEGRATION PAR CLIENT '!A1357:N1385,14,0)</f>
        <v>0</v>
      </c>
      <c r="AO1962" s="572">
        <f>+VLOOKUP(D1962,'INTEGRATION PAR CLIENT '!A1357:P1385,16,0)</f>
        <v>0</v>
      </c>
    </row>
    <row r="1963" spans="1:41">
      <c r="A1963" s="617">
        <v>83</v>
      </c>
      <c r="B1963" s="496" t="str">
        <f t="shared" si="24"/>
        <v>083</v>
      </c>
      <c r="C1963" s="496">
        <f t="shared" si="25"/>
        <v>0</v>
      </c>
      <c r="D1963" s="566" t="str">
        <f>'2025'!D84</f>
        <v>FAE-25-00083</v>
      </c>
      <c r="E1963" s="496" t="str">
        <f t="shared" si="38"/>
        <v>083</v>
      </c>
      <c r="F1963" s="567">
        <f>+'2025'!G84</f>
        <v>45728</v>
      </c>
      <c r="G1963" s="496">
        <f t="shared" si="26"/>
        <v>2025</v>
      </c>
      <c r="H1963" s="586" t="s">
        <v>17017</v>
      </c>
      <c r="I1963" s="496" t="str">
        <f>+VLOOKUP(H1963,Sheet1!A:C,3,0)</f>
        <v>ARCADIA</v>
      </c>
      <c r="J1963" s="496" t="str">
        <f>+VLOOKUP(H1963,Sheet1!A:D,4,0)</f>
        <v>TND</v>
      </c>
      <c r="K1963" s="497">
        <f t="shared" si="27"/>
        <v>47150</v>
      </c>
      <c r="L1963" s="586">
        <v>1</v>
      </c>
      <c r="M1963" s="587">
        <v>47150</v>
      </c>
      <c r="N1963" s="496" t="str">
        <f>+VLOOKUP(E1963,'2025'!E:F,2,0)</f>
        <v>OUI</v>
      </c>
      <c r="O1963" s="496" t="str">
        <f>VLOOKUP(E1963,'2025'!E:N,10,0)</f>
        <v>Lithuanie</v>
      </c>
      <c r="P1963" s="880">
        <f>VLOOKUP(E1963,'2025'!E:O,11,0)</f>
        <v>45735</v>
      </c>
      <c r="Q1963" s="565">
        <f>VLOOKUP(E1963,'2025'!E:H,4,0)</f>
        <v>0</v>
      </c>
      <c r="R1963" s="565">
        <f>VLOOKUP(E1963,'2025'!E:I,5,0)</f>
        <v>20500</v>
      </c>
      <c r="S1963" s="565">
        <f>VLOOKUP(E1963,'2025'!E:J,6,0)</f>
        <v>0</v>
      </c>
      <c r="T1963" s="565">
        <f>VLOOKUP(E1963,'2025'!E:K,7,0)</f>
        <v>0</v>
      </c>
      <c r="U1963" s="565">
        <f t="shared" si="28"/>
        <v>20500</v>
      </c>
      <c r="V1963" s="354"/>
      <c r="W1963" s="569" t="e">
        <f>+VLOOKUP(D1963,'JOURNAL FACTURES'!A:O,15,0)</f>
        <v>#N/A</v>
      </c>
      <c r="X1963" s="569" t="e">
        <f>VLOOKUP(D1963,'JOURNAL FACTURES'!A:P,16,0)</f>
        <v>#N/A</v>
      </c>
      <c r="Y1963" s="569" t="e">
        <f>VLOOKUP(D1963,'JOURNAL FACTURES'!A:Q,17,0)</f>
        <v>#N/A</v>
      </c>
      <c r="Z1963" s="569" t="e">
        <f>VLOOKUP(D1963,'JOURNAL FACTURES'!A:R,18,0)</f>
        <v>#N/A</v>
      </c>
      <c r="AA1963" s="570" t="e">
        <f t="shared" si="29"/>
        <v>#N/A</v>
      </c>
      <c r="AB1963" s="570" t="e">
        <f t="shared" si="30"/>
        <v>#N/A</v>
      </c>
      <c r="AC1963" s="570" t="e">
        <f t="shared" si="31"/>
        <v>#N/A</v>
      </c>
      <c r="AD1963" s="570" t="e">
        <f t="shared" si="32"/>
        <v>#N/A</v>
      </c>
      <c r="AE1963" s="569">
        <f>VLOOKUP(D1963,TRANSPORT!H:J,3,0)</f>
        <v>0</v>
      </c>
      <c r="AF1963" s="569">
        <f>+VLOOKUP(D1963,TRANSPORT!N:O,2,0)</f>
        <v>0</v>
      </c>
      <c r="AG1963" s="569">
        <f t="shared" si="33"/>
        <v>0</v>
      </c>
      <c r="AH1963" s="571" t="e">
        <f t="shared" si="34"/>
        <v>#N/A</v>
      </c>
      <c r="AI1963" s="571" t="e">
        <f t="shared" si="35"/>
        <v>#N/A</v>
      </c>
      <c r="AJ1963" s="571" t="e">
        <f t="shared" si="36"/>
        <v>#N/A</v>
      </c>
      <c r="AK1963" s="571" t="e">
        <f t="shared" si="37"/>
        <v>#N/A</v>
      </c>
      <c r="AL1963" s="572">
        <f>VLOOKUP(D1963,'INTEGRATION PAR CLIENT '!A1358:J1386,10,0)</f>
        <v>0</v>
      </c>
      <c r="AM1963" s="572">
        <f>VLOOKUP(D1963,'INTEGRATION PAR CLIENT '!A1358:L1386,12,0)</f>
        <v>1</v>
      </c>
      <c r="AN1963" s="572">
        <f>+VLOOKUP(D1963,'INTEGRATION PAR CLIENT '!A1358:N1386,14,0)</f>
        <v>0</v>
      </c>
      <c r="AO1963" s="572">
        <f>+VLOOKUP(D1963,'INTEGRATION PAR CLIENT '!A1358:P1386,16,0)</f>
        <v>0</v>
      </c>
    </row>
    <row r="1964" spans="1:41">
      <c r="A1964" s="617">
        <v>84</v>
      </c>
      <c r="B1964" s="496" t="str">
        <f t="shared" si="24"/>
        <v>084</v>
      </c>
      <c r="C1964" s="496">
        <f t="shared" si="25"/>
        <v>0</v>
      </c>
      <c r="D1964" s="566" t="str">
        <f>'2025'!D85</f>
        <v>FAE-25-00084</v>
      </c>
      <c r="E1964" s="496" t="str">
        <f t="shared" si="38"/>
        <v>084</v>
      </c>
      <c r="F1964" s="567">
        <f>+'2025'!G85</f>
        <v>45730</v>
      </c>
      <c r="G1964" s="496">
        <f t="shared" si="26"/>
        <v>2025</v>
      </c>
      <c r="H1964" s="586" t="s">
        <v>16972</v>
      </c>
      <c r="I1964" s="496" t="str">
        <f>+VLOOKUP(H1964,Sheet1!A:C,3,0)</f>
        <v>STE OMEGA TRADING</v>
      </c>
      <c r="J1964" s="496" t="str">
        <f>+VLOOKUP(H1964,Sheet1!A:D,4,0)</f>
        <v>TND</v>
      </c>
      <c r="K1964" s="497">
        <f t="shared" si="27"/>
        <v>398750</v>
      </c>
      <c r="L1964" s="586">
        <v>1</v>
      </c>
      <c r="M1964" s="587">
        <v>398750</v>
      </c>
      <c r="N1964" s="496" t="str">
        <f>+VLOOKUP(E1964,'2025'!E:F,2,0)</f>
        <v>OUI</v>
      </c>
      <c r="O1964" s="496" t="str">
        <f>VLOOKUP(E1964,'2025'!E:N,10,0)</f>
        <v>Niger</v>
      </c>
      <c r="P1964" s="880">
        <f>VLOOKUP(E1964,'2025'!E:O,11,0)</f>
        <v>45744</v>
      </c>
      <c r="Q1964" s="565">
        <f>VLOOKUP(E1964,'2025'!E:H,4,0)</f>
        <v>0</v>
      </c>
      <c r="R1964" s="565">
        <f>VLOOKUP(E1964,'2025'!E:I,5,0)</f>
        <v>0</v>
      </c>
      <c r="S1964" s="565">
        <f>VLOOKUP(E1964,'2025'!E:J,6,0)</f>
        <v>275000</v>
      </c>
      <c r="T1964" s="565">
        <f>VLOOKUP(E1964,'2025'!E:K,7,0)</f>
        <v>0</v>
      </c>
      <c r="U1964" s="565">
        <f t="shared" si="28"/>
        <v>275000</v>
      </c>
      <c r="V1964" s="354"/>
      <c r="W1964" s="569" t="e">
        <f>+VLOOKUP(D1964,'JOURNAL FACTURES'!A:O,15,0)</f>
        <v>#N/A</v>
      </c>
      <c r="X1964" s="569" t="e">
        <f>VLOOKUP(D1964,'JOURNAL FACTURES'!A:P,16,0)</f>
        <v>#N/A</v>
      </c>
      <c r="Y1964" s="569" t="e">
        <f>VLOOKUP(D1964,'JOURNAL FACTURES'!A:Q,17,0)</f>
        <v>#N/A</v>
      </c>
      <c r="Z1964" s="569" t="e">
        <f>VLOOKUP(D1964,'JOURNAL FACTURES'!A:R,18,0)</f>
        <v>#N/A</v>
      </c>
      <c r="AA1964" s="570" t="e">
        <f t="shared" si="29"/>
        <v>#N/A</v>
      </c>
      <c r="AB1964" s="570" t="e">
        <f t="shared" si="30"/>
        <v>#N/A</v>
      </c>
      <c r="AC1964" s="570" t="e">
        <f t="shared" si="31"/>
        <v>#N/A</v>
      </c>
      <c r="AD1964" s="570" t="e">
        <f t="shared" si="32"/>
        <v>#N/A</v>
      </c>
      <c r="AE1964" s="569">
        <f>VLOOKUP(D1964,TRANSPORT!H:J,3,0)</f>
        <v>0</v>
      </c>
      <c r="AF1964" s="569">
        <f>+VLOOKUP(D1964,TRANSPORT!N:O,2,0)</f>
        <v>0</v>
      </c>
      <c r="AG1964" s="569">
        <f t="shared" si="33"/>
        <v>0</v>
      </c>
      <c r="AH1964" s="571" t="e">
        <f t="shared" si="34"/>
        <v>#N/A</v>
      </c>
      <c r="AI1964" s="571" t="e">
        <f t="shared" si="35"/>
        <v>#N/A</v>
      </c>
      <c r="AJ1964" s="571" t="e">
        <f t="shared" si="36"/>
        <v>#N/A</v>
      </c>
      <c r="AK1964" s="571" t="e">
        <f t="shared" si="37"/>
        <v>#N/A</v>
      </c>
      <c r="AL1964" s="572">
        <f>VLOOKUP(D1964,'INTEGRATION PAR CLIENT '!A1359:J1388,10,0)</f>
        <v>0</v>
      </c>
      <c r="AM1964" s="572">
        <f>VLOOKUP(D1964,'INTEGRATION PAR CLIENT '!A1359:L1388,12,0)</f>
        <v>0</v>
      </c>
      <c r="AN1964" s="572" t="str">
        <f>+VLOOKUP(D1964,'INTEGRATION PAR CLIENT '!A1359:N1388,14,0)</f>
        <v>10%-90%</v>
      </c>
      <c r="AO1964" s="572">
        <f>+VLOOKUP(D1964,'INTEGRATION PAR CLIENT '!A1359:P1388,16,0)</f>
        <v>0</v>
      </c>
    </row>
    <row r="1965" spans="1:41">
      <c r="A1965" s="617">
        <v>85</v>
      </c>
      <c r="B1965" s="496" t="str">
        <f t="shared" si="24"/>
        <v>085</v>
      </c>
      <c r="C1965" s="496">
        <f t="shared" si="25"/>
        <v>0</v>
      </c>
      <c r="D1965" s="566" t="str">
        <f>'2025'!D86</f>
        <v>FAE-25-00085</v>
      </c>
      <c r="E1965" s="496" t="str">
        <f t="shared" si="38"/>
        <v>085</v>
      </c>
      <c r="F1965" s="567">
        <f>+'2025'!G86</f>
        <v>45733</v>
      </c>
      <c r="G1965" s="496">
        <f t="shared" si="26"/>
        <v>2025</v>
      </c>
      <c r="H1965" s="586" t="s">
        <v>16384</v>
      </c>
      <c r="I1965" s="496" t="str">
        <f>+VLOOKUP(H1965,Sheet1!A:C,3,0)</f>
        <v>STE DE COMMERCE INTERNATIONAL</v>
      </c>
      <c r="J1965" s="496" t="str">
        <f>+VLOOKUP(H1965,Sheet1!A:D,4,0)</f>
        <v>TND</v>
      </c>
      <c r="K1965" s="497">
        <f t="shared" si="27"/>
        <v>167808</v>
      </c>
      <c r="L1965" s="586">
        <v>1</v>
      </c>
      <c r="M1965" s="587">
        <v>167808</v>
      </c>
      <c r="N1965" s="496" t="str">
        <f>+VLOOKUP(E1965,'2025'!E:F,2,0)</f>
        <v>OUI</v>
      </c>
      <c r="O1965" s="496" t="str">
        <f>VLOOKUP(E1965,'2025'!E:N,10,0)</f>
        <v>Gambie</v>
      </c>
      <c r="P1965" s="880">
        <f>VLOOKUP(E1965,'2025'!E:O,11,0)</f>
        <v>45758</v>
      </c>
      <c r="Q1965" s="565">
        <f>VLOOKUP(E1965,'2025'!E:H,4,0)</f>
        <v>76800</v>
      </c>
      <c r="R1965" s="565">
        <f>VLOOKUP(E1965,'2025'!E:I,5,0)</f>
        <v>0</v>
      </c>
      <c r="S1965" s="565">
        <f>VLOOKUP(E1965,'2025'!E:J,6,0)</f>
        <v>0</v>
      </c>
      <c r="T1965" s="565">
        <f>VLOOKUP(E1965,'2025'!E:K,7,0)</f>
        <v>0</v>
      </c>
      <c r="U1965" s="565">
        <f t="shared" si="28"/>
        <v>76800</v>
      </c>
      <c r="V1965" s="354"/>
      <c r="W1965" s="569" t="e">
        <f>+VLOOKUP(D1965,'JOURNAL FACTURES'!A:O,15,0)</f>
        <v>#N/A</v>
      </c>
      <c r="X1965" s="569" t="e">
        <f>VLOOKUP(D1965,'JOURNAL FACTURES'!A:P,16,0)</f>
        <v>#N/A</v>
      </c>
      <c r="Y1965" s="569" t="e">
        <f>VLOOKUP(D1965,'JOURNAL FACTURES'!A:Q,17,0)</f>
        <v>#N/A</v>
      </c>
      <c r="Z1965" s="569" t="e">
        <f>VLOOKUP(D1965,'JOURNAL FACTURES'!A:R,18,0)</f>
        <v>#N/A</v>
      </c>
      <c r="AA1965" s="570" t="e">
        <f t="shared" si="29"/>
        <v>#N/A</v>
      </c>
      <c r="AB1965" s="570" t="e">
        <f t="shared" si="30"/>
        <v>#N/A</v>
      </c>
      <c r="AC1965" s="570" t="e">
        <f t="shared" si="31"/>
        <v>#N/A</v>
      </c>
      <c r="AD1965" s="570" t="e">
        <f t="shared" si="32"/>
        <v>#N/A</v>
      </c>
      <c r="AE1965" s="569">
        <f>VLOOKUP(D1965,TRANSPORT!H:J,3,0)</f>
        <v>0</v>
      </c>
      <c r="AF1965" s="569">
        <f>+VLOOKUP(D1965,TRANSPORT!N:O,2,0)</f>
        <v>0</v>
      </c>
      <c r="AG1965" s="569">
        <f t="shared" ref="AG1965" si="39">AF1965/U1965</f>
        <v>0</v>
      </c>
      <c r="AH1965" s="571" t="e">
        <f t="shared" si="34"/>
        <v>#N/A</v>
      </c>
      <c r="AI1965" s="571" t="e">
        <f t="shared" si="35"/>
        <v>#N/A</v>
      </c>
      <c r="AJ1965" s="571" t="e">
        <f t="shared" si="36"/>
        <v>#N/A</v>
      </c>
      <c r="AK1965" s="571" t="e">
        <f t="shared" si="37"/>
        <v>#N/A</v>
      </c>
      <c r="AL1965" s="572">
        <f>VLOOKUP(D1965,'INTEGRATION PAR CLIENT '!A1360:J1389,10,0)</f>
        <v>1</v>
      </c>
      <c r="AM1965" s="572">
        <f>VLOOKUP(D1965,'INTEGRATION PAR CLIENT '!A1360:L1389,12,0)</f>
        <v>0</v>
      </c>
      <c r="AN1965" s="572">
        <f>+VLOOKUP(D1965,'INTEGRATION PAR CLIENT '!A1360:N1389,14,0)</f>
        <v>0</v>
      </c>
      <c r="AO1965" s="572">
        <f>+VLOOKUP(D1965,'INTEGRATION PAR CLIENT '!A1360:P1389,16,0)</f>
        <v>0</v>
      </c>
    </row>
    <row r="1966" spans="1:41">
      <c r="A1966" s="617">
        <v>86</v>
      </c>
      <c r="B1966" s="496" t="str">
        <f t="shared" si="24"/>
        <v>086</v>
      </c>
      <c r="C1966" s="496">
        <f t="shared" si="25"/>
        <v>0</v>
      </c>
      <c r="D1966" s="566" t="str">
        <f>'2025'!D87</f>
        <v>FAE-25-00086</v>
      </c>
      <c r="E1966" s="496" t="str">
        <f t="shared" si="38"/>
        <v>086</v>
      </c>
      <c r="F1966" s="567">
        <f>+'2025'!G87</f>
        <v>45733</v>
      </c>
      <c r="G1966" s="496">
        <f t="shared" si="26"/>
        <v>2025</v>
      </c>
      <c r="H1966" s="586" t="s">
        <v>17399</v>
      </c>
      <c r="I1966" s="496" t="str">
        <f>+VLOOKUP(H1966,Sheet1!A:C,3,0)</f>
        <v>BEST FOODS TRADING ESTABLISHM</v>
      </c>
      <c r="J1966" s="496" t="str">
        <f>+VLOOKUP(H1966,Sheet1!A:D,4,0)</f>
        <v>TND</v>
      </c>
      <c r="K1966" s="497">
        <f t="shared" si="27"/>
        <v>16005.315000000001</v>
      </c>
      <c r="L1966" s="586">
        <v>1</v>
      </c>
      <c r="M1966" s="587">
        <v>16005.315000000001</v>
      </c>
      <c r="N1966" s="496" t="str">
        <f>+VLOOKUP(E1966,'2025'!E:F,2,0)</f>
        <v>OUI</v>
      </c>
      <c r="O1966" s="496" t="str">
        <f>VLOOKUP(E1966,'2025'!E:N,10,0)</f>
        <v>Malaisie</v>
      </c>
      <c r="P1966" s="880">
        <f>VLOOKUP(E1966,'2025'!E:O,11,0)</f>
        <v>45784</v>
      </c>
      <c r="Q1966" s="565">
        <f>VLOOKUP(E1966,'2025'!E:H,4,0)</f>
        <v>6000</v>
      </c>
      <c r="R1966" s="565">
        <f>VLOOKUP(E1966,'2025'!E:I,5,0)</f>
        <v>0</v>
      </c>
      <c r="S1966" s="565">
        <f>VLOOKUP(E1966,'2025'!E:J,6,0)</f>
        <v>0</v>
      </c>
      <c r="T1966" s="565">
        <f>VLOOKUP(E1966,'2025'!E:K,7,0)</f>
        <v>0</v>
      </c>
      <c r="U1966" s="565">
        <f t="shared" si="28"/>
        <v>6000</v>
      </c>
      <c r="V1966" s="354"/>
      <c r="W1966" s="569" t="e">
        <f>+VLOOKUP(D1966,'JOURNAL FACTURES'!A:O,15,0)</f>
        <v>#N/A</v>
      </c>
      <c r="X1966" s="569" t="e">
        <f>VLOOKUP(D1966,'JOURNAL FACTURES'!A:P,16,0)</f>
        <v>#N/A</v>
      </c>
      <c r="Y1966" s="569" t="e">
        <f>VLOOKUP(D1966,'JOURNAL FACTURES'!A:Q,17,0)</f>
        <v>#N/A</v>
      </c>
      <c r="Z1966" s="569" t="e">
        <f>VLOOKUP(D1966,'JOURNAL FACTURES'!A:R,18,0)</f>
        <v>#N/A</v>
      </c>
      <c r="AA1966" s="570" t="e">
        <f t="shared" si="29"/>
        <v>#N/A</v>
      </c>
      <c r="AB1966" s="570" t="e">
        <f t="shared" si="30"/>
        <v>#N/A</v>
      </c>
      <c r="AC1966" s="570" t="e">
        <f t="shared" si="31"/>
        <v>#N/A</v>
      </c>
      <c r="AD1966" s="570" t="e">
        <f t="shared" si="32"/>
        <v>#N/A</v>
      </c>
      <c r="AE1966" s="569">
        <f>VLOOKUP(D1966,TRANSPORT!H:J,3,0)</f>
        <v>0</v>
      </c>
      <c r="AF1966" s="569">
        <f>+VLOOKUP(D1966,TRANSPORT!N:O,2,0)</f>
        <v>0</v>
      </c>
      <c r="AG1966" s="569">
        <f t="shared" si="33"/>
        <v>0</v>
      </c>
      <c r="AH1966" s="571" t="e">
        <f t="shared" si="34"/>
        <v>#N/A</v>
      </c>
      <c r="AI1966" s="571" t="e">
        <f t="shared" si="35"/>
        <v>#N/A</v>
      </c>
      <c r="AJ1966" s="571" t="e">
        <f t="shared" si="36"/>
        <v>#N/A</v>
      </c>
      <c r="AK1966" s="571" t="e">
        <f t="shared" si="37"/>
        <v>#N/A</v>
      </c>
      <c r="AL1966" s="572">
        <f>VLOOKUP(D1966,'INTEGRATION PAR CLIENT '!A1361:J1390,10,0)</f>
        <v>1</v>
      </c>
      <c r="AM1966" s="572">
        <f>VLOOKUP(D1966,'INTEGRATION PAR CLIENT '!A1361:L1390,12,0)</f>
        <v>0</v>
      </c>
      <c r="AN1966" s="572">
        <f>+VLOOKUP(D1966,'INTEGRATION PAR CLIENT '!A1361:N1390,14,0)</f>
        <v>0</v>
      </c>
      <c r="AO1966" s="572">
        <f>+VLOOKUP(D1966,'INTEGRATION PAR CLIENT '!A1361:P1390,16,0)</f>
        <v>0</v>
      </c>
    </row>
    <row r="1967" spans="1:41">
      <c r="A1967" s="617">
        <v>87</v>
      </c>
      <c r="B1967" s="496" t="str">
        <f t="shared" si="24"/>
        <v>087</v>
      </c>
      <c r="C1967" s="496">
        <f t="shared" si="25"/>
        <v>0</v>
      </c>
      <c r="D1967" s="566" t="str">
        <f>'2025'!D88</f>
        <v>FAE-25-00087</v>
      </c>
      <c r="E1967" s="496" t="str">
        <f t="shared" si="38"/>
        <v>087</v>
      </c>
      <c r="F1967" s="567">
        <f>+'2025'!G88</f>
        <v>45734</v>
      </c>
      <c r="G1967" s="496">
        <f t="shared" si="26"/>
        <v>2025</v>
      </c>
      <c r="H1967" s="586" t="s">
        <v>17264</v>
      </c>
      <c r="I1967" s="496" t="str">
        <f>+VLOOKUP(H1967,Sheet1!A:C,3,0)</f>
        <v>VALENCIA FOR MARKETING</v>
      </c>
      <c r="J1967" s="496" t="str">
        <f>+VLOOKUP(H1967,Sheet1!A:D,4,0)</f>
        <v>USD</v>
      </c>
      <c r="K1967" s="497">
        <f t="shared" si="27"/>
        <v>139706.69884999999</v>
      </c>
      <c r="L1967" s="586">
        <v>2.97065</v>
      </c>
      <c r="M1967" s="587">
        <v>47029</v>
      </c>
      <c r="N1967" s="496" t="str">
        <f>+VLOOKUP(E1967,'2025'!E:F,2,0)</f>
        <v>OUI</v>
      </c>
      <c r="O1967" s="496" t="str">
        <f>VLOOKUP(E1967,'2025'!E:N,10,0)</f>
        <v>Liban</v>
      </c>
      <c r="P1967" s="880">
        <f>VLOOKUP(E1967,'2025'!E:O,11,0)</f>
        <v>45772</v>
      </c>
      <c r="Q1967" s="565">
        <f>VLOOKUP(E1967,'2025'!E:H,4,0)</f>
        <v>0</v>
      </c>
      <c r="R1967" s="565">
        <f>VLOOKUP(E1967,'2025'!E:I,5,0)</f>
        <v>0</v>
      </c>
      <c r="S1967" s="565">
        <f>VLOOKUP(E1967,'2025'!E:J,6,0)</f>
        <v>0</v>
      </c>
      <c r="T1967" s="565">
        <f>VLOOKUP(E1967,'2025'!E:K,7,0)</f>
        <v>27500</v>
      </c>
      <c r="U1967" s="565">
        <f t="shared" si="28"/>
        <v>27500</v>
      </c>
      <c r="V1967" s="354"/>
      <c r="W1967" s="569" t="e">
        <f>+VLOOKUP(D1967,'JOURNAL FACTURES'!A:O,15,0)</f>
        <v>#N/A</v>
      </c>
      <c r="X1967" s="569" t="e">
        <f>VLOOKUP(D1967,'JOURNAL FACTURES'!A:P,16,0)</f>
        <v>#N/A</v>
      </c>
      <c r="Y1967" s="569" t="e">
        <f>VLOOKUP(D1967,'JOURNAL FACTURES'!A:Q,17,0)</f>
        <v>#N/A</v>
      </c>
      <c r="Z1967" s="569" t="e">
        <f>VLOOKUP(D1967,'JOURNAL FACTURES'!A:R,18,0)</f>
        <v>#N/A</v>
      </c>
      <c r="AA1967" s="570" t="e">
        <f t="shared" si="29"/>
        <v>#N/A</v>
      </c>
      <c r="AB1967" s="570" t="e">
        <f t="shared" si="30"/>
        <v>#N/A</v>
      </c>
      <c r="AC1967" s="570" t="e">
        <f t="shared" si="31"/>
        <v>#N/A</v>
      </c>
      <c r="AD1967" s="570" t="e">
        <f t="shared" si="32"/>
        <v>#N/A</v>
      </c>
      <c r="AE1967" s="569">
        <f>VLOOKUP(D1967,TRANSPORT!H:J,3,0)</f>
        <v>0</v>
      </c>
      <c r="AF1967" s="569">
        <f>+VLOOKUP(D1967,TRANSPORT!N:O,2,0)</f>
        <v>4000</v>
      </c>
      <c r="AG1967" s="569">
        <f t="shared" si="33"/>
        <v>0.14545454545454545</v>
      </c>
      <c r="AH1967" s="571" t="e">
        <f t="shared" si="34"/>
        <v>#N/A</v>
      </c>
      <c r="AI1967" s="571" t="e">
        <f t="shared" si="35"/>
        <v>#N/A</v>
      </c>
      <c r="AJ1967" s="571" t="e">
        <f t="shared" si="36"/>
        <v>#N/A</v>
      </c>
      <c r="AK1967" s="571" t="e">
        <f t="shared" si="37"/>
        <v>#N/A</v>
      </c>
      <c r="AL1967" s="572">
        <f>VLOOKUP(D1967,'INTEGRATION PAR CLIENT '!A1362:J1391,10,0)</f>
        <v>0</v>
      </c>
      <c r="AM1967" s="572">
        <f>VLOOKUP(D1967,'INTEGRATION PAR CLIENT '!A1362:L1391,12,0)</f>
        <v>0</v>
      </c>
      <c r="AN1967" s="572">
        <f>+VLOOKUP(D1967,'INTEGRATION PAR CLIENT '!A1362:N1391,14,0)</f>
        <v>0</v>
      </c>
      <c r="AO1967" s="572">
        <f>+VLOOKUP(D1967,'INTEGRATION PAR CLIENT '!A1362:P1391,16,0)</f>
        <v>1</v>
      </c>
    </row>
    <row r="1968" spans="1:41">
      <c r="A1968" s="617">
        <v>88</v>
      </c>
      <c r="B1968" s="496" t="str">
        <f t="shared" si="24"/>
        <v>088</v>
      </c>
      <c r="C1968" s="496">
        <f t="shared" si="25"/>
        <v>0</v>
      </c>
      <c r="D1968" s="566" t="str">
        <f>'2025'!D89</f>
        <v>FAE-25-00088</v>
      </c>
      <c r="E1968" s="496" t="str">
        <f t="shared" si="38"/>
        <v>088</v>
      </c>
      <c r="F1968" s="567">
        <f>+'2025'!G89</f>
        <v>45735</v>
      </c>
      <c r="G1968" s="496">
        <f t="shared" si="26"/>
        <v>2025</v>
      </c>
      <c r="H1968" s="586" t="s">
        <v>16838</v>
      </c>
      <c r="I1968" s="496" t="str">
        <f>+VLOOKUP(H1968,Sheet1!A:C,3,0)</f>
        <v>TUNISIAN AFRICAN BUSINESS</v>
      </c>
      <c r="J1968" s="496" t="str">
        <f>+VLOOKUP(H1968,Sheet1!A:D,4,0)</f>
        <v>TND</v>
      </c>
      <c r="K1968" s="497">
        <f t="shared" si="27"/>
        <v>236070</v>
      </c>
      <c r="L1968" s="586">
        <v>1</v>
      </c>
      <c r="M1968" s="587">
        <v>236070</v>
      </c>
      <c r="N1968" s="496" t="str">
        <f>+VLOOKUP(E1968,'2025'!E:F,2,0)</f>
        <v>OUI</v>
      </c>
      <c r="O1968" s="496" t="str">
        <f>VLOOKUP(E1968,'2025'!E:N,10,0)</f>
        <v>Gabon</v>
      </c>
      <c r="P1968" s="880">
        <f>VLOOKUP(E1968,'2025'!E:O,11,0)</f>
        <v>45750</v>
      </c>
      <c r="Q1968" s="565">
        <f>VLOOKUP(E1968,'2025'!E:H,4,0)</f>
        <v>20750</v>
      </c>
      <c r="R1968" s="565">
        <f>VLOOKUP(E1968,'2025'!E:I,5,0)</f>
        <v>0</v>
      </c>
      <c r="S1968" s="565">
        <f>VLOOKUP(E1968,'2025'!E:J,6,0)</f>
        <v>112000</v>
      </c>
      <c r="T1968" s="565">
        <f>VLOOKUP(E1968,'2025'!E:K,7,0)</f>
        <v>0</v>
      </c>
      <c r="U1968" s="565">
        <f t="shared" si="28"/>
        <v>132750</v>
      </c>
      <c r="V1968" s="354"/>
      <c r="W1968" s="569" t="e">
        <f>+VLOOKUP(D1968,'JOURNAL FACTURES'!A:O,15,0)</f>
        <v>#N/A</v>
      </c>
      <c r="X1968" s="569" t="e">
        <f>VLOOKUP(D1968,'JOURNAL FACTURES'!A:P,16,0)</f>
        <v>#N/A</v>
      </c>
      <c r="Y1968" s="569" t="e">
        <f>VLOOKUP(D1968,'JOURNAL FACTURES'!A:Q,17,0)</f>
        <v>#N/A</v>
      </c>
      <c r="Z1968" s="569" t="e">
        <f>VLOOKUP(D1968,'JOURNAL FACTURES'!A:R,18,0)</f>
        <v>#N/A</v>
      </c>
      <c r="AA1968" s="570" t="e">
        <f t="shared" si="29"/>
        <v>#N/A</v>
      </c>
      <c r="AB1968" s="570" t="e">
        <f t="shared" si="30"/>
        <v>#N/A</v>
      </c>
      <c r="AC1968" s="570" t="e">
        <f t="shared" si="31"/>
        <v>#N/A</v>
      </c>
      <c r="AD1968" s="570" t="e">
        <f t="shared" si="32"/>
        <v>#N/A</v>
      </c>
      <c r="AE1968" s="569">
        <f>VLOOKUP(D1968,TRANSPORT!H:J,3,0)</f>
        <v>0</v>
      </c>
      <c r="AF1968" s="569">
        <f>+VLOOKUP(D1968,TRANSPORT!N:O,2,0)</f>
        <v>0</v>
      </c>
      <c r="AG1968" s="569">
        <f t="shared" si="33"/>
        <v>0</v>
      </c>
      <c r="AH1968" s="571" t="e">
        <f t="shared" si="34"/>
        <v>#N/A</v>
      </c>
      <c r="AI1968" s="571" t="e">
        <f t="shared" si="35"/>
        <v>#N/A</v>
      </c>
      <c r="AJ1968" s="571" t="e">
        <f t="shared" si="36"/>
        <v>#N/A</v>
      </c>
      <c r="AK1968" s="571" t="e">
        <f t="shared" si="37"/>
        <v>#N/A</v>
      </c>
      <c r="AL1968" s="572">
        <f>VLOOKUP(D1968,'INTEGRATION PAR CLIENT '!A1363:J1392,10,0)</f>
        <v>1</v>
      </c>
      <c r="AM1968" s="572">
        <f>VLOOKUP(D1968,'INTEGRATION PAR CLIENT '!A1363:L1392,12,0)</f>
        <v>0</v>
      </c>
      <c r="AN1968" s="572" t="str">
        <f>+VLOOKUP(D1968,'INTEGRATION PAR CLIENT '!A1363:N1392,14,0)</f>
        <v>10%-90%</v>
      </c>
      <c r="AO1968" s="572">
        <f>+VLOOKUP(D1968,'INTEGRATION PAR CLIENT '!A1363:P1392,16,0)</f>
        <v>0</v>
      </c>
    </row>
    <row r="1969" spans="1:41">
      <c r="A1969" s="617">
        <v>89</v>
      </c>
      <c r="B1969" s="496" t="str">
        <f t="shared" si="24"/>
        <v>089</v>
      </c>
      <c r="C1969" s="496">
        <f t="shared" si="25"/>
        <v>0</v>
      </c>
      <c r="D1969" s="566" t="str">
        <f>'2025'!D90</f>
        <v>FAE-25-00089</v>
      </c>
      <c r="E1969" s="496" t="str">
        <f t="shared" si="38"/>
        <v>089</v>
      </c>
      <c r="F1969" s="567">
        <f>+'2025'!G90</f>
        <v>45735</v>
      </c>
      <c r="G1969" s="496">
        <f t="shared" si="26"/>
        <v>2025</v>
      </c>
      <c r="H1969" s="586" t="s">
        <v>16384</v>
      </c>
      <c r="I1969" s="496" t="str">
        <f>+VLOOKUP(H1969,Sheet1!A:C,3,0)</f>
        <v>STE DE COMMERCE INTERNATIONAL</v>
      </c>
      <c r="J1969" s="496" t="str">
        <f>+VLOOKUP(H1969,Sheet1!A:D,4,0)</f>
        <v>TND</v>
      </c>
      <c r="K1969" s="497">
        <f t="shared" si="27"/>
        <v>40780</v>
      </c>
      <c r="L1969" s="586">
        <v>1</v>
      </c>
      <c r="M1969" s="587">
        <v>40780</v>
      </c>
      <c r="N1969" s="496" t="str">
        <f>+VLOOKUP(E1969,'2025'!E:F,2,0)</f>
        <v>OUI</v>
      </c>
      <c r="O1969" s="496" t="str">
        <f>VLOOKUP(E1969,'2025'!E:N,10,0)</f>
        <v>Liberia</v>
      </c>
      <c r="P1969" s="880">
        <f>VLOOKUP(E1969,'2025'!E:O,11,0)</f>
        <v>45734</v>
      </c>
      <c r="Q1969" s="565">
        <f>VLOOKUP(E1969,'2025'!E:H,4,0)</f>
        <v>19200</v>
      </c>
      <c r="R1969" s="565">
        <f>VLOOKUP(E1969,'2025'!E:I,5,0)</f>
        <v>0</v>
      </c>
      <c r="S1969" s="565">
        <f>VLOOKUP(E1969,'2025'!E:J,6,0)</f>
        <v>0</v>
      </c>
      <c r="T1969" s="565">
        <f>VLOOKUP(E1969,'2025'!E:K,7,0)</f>
        <v>0</v>
      </c>
      <c r="U1969" s="565">
        <f t="shared" si="28"/>
        <v>19200</v>
      </c>
      <c r="V1969" s="354"/>
      <c r="W1969" s="569" t="e">
        <f>+VLOOKUP(D1969,'JOURNAL FACTURES'!A:O,15,0)</f>
        <v>#N/A</v>
      </c>
      <c r="X1969" s="569" t="e">
        <f>VLOOKUP(D1969,'JOURNAL FACTURES'!A:P,16,0)</f>
        <v>#N/A</v>
      </c>
      <c r="Y1969" s="569" t="e">
        <f>VLOOKUP(D1969,'JOURNAL FACTURES'!A:Q,17,0)</f>
        <v>#N/A</v>
      </c>
      <c r="Z1969" s="569" t="e">
        <f>VLOOKUP(D1969,'JOURNAL FACTURES'!A:R,18,0)</f>
        <v>#N/A</v>
      </c>
      <c r="AA1969" s="570" t="e">
        <f t="shared" si="29"/>
        <v>#N/A</v>
      </c>
      <c r="AB1969" s="570" t="e">
        <f t="shared" si="30"/>
        <v>#N/A</v>
      </c>
      <c r="AC1969" s="570" t="e">
        <f t="shared" si="31"/>
        <v>#N/A</v>
      </c>
      <c r="AD1969" s="570" t="e">
        <f t="shared" si="32"/>
        <v>#N/A</v>
      </c>
      <c r="AE1969" s="569">
        <f>VLOOKUP(D1969,TRANSPORT!H:J,3,0)</f>
        <v>0</v>
      </c>
      <c r="AF1969" s="569">
        <f>+VLOOKUP(D1969,TRANSPORT!N:O,2,0)</f>
        <v>0</v>
      </c>
      <c r="AG1969" s="569">
        <f t="shared" si="33"/>
        <v>0</v>
      </c>
      <c r="AH1969" s="571" t="e">
        <f t="shared" si="34"/>
        <v>#N/A</v>
      </c>
      <c r="AI1969" s="571" t="e">
        <f t="shared" si="35"/>
        <v>#N/A</v>
      </c>
      <c r="AJ1969" s="571" t="e">
        <f t="shared" si="36"/>
        <v>#N/A</v>
      </c>
      <c r="AK1969" s="571" t="e">
        <f t="shared" si="37"/>
        <v>#N/A</v>
      </c>
      <c r="AL1969" s="572">
        <f>VLOOKUP(D1969,'INTEGRATION PAR CLIENT '!A1364:J1393,10,0)</f>
        <v>0</v>
      </c>
      <c r="AM1969" s="572">
        <f>VLOOKUP(D1969,'INTEGRATION PAR CLIENT '!A1364:L1393,12,0)</f>
        <v>0</v>
      </c>
      <c r="AN1969" s="572">
        <f>+VLOOKUP(D1969,'INTEGRATION PAR CLIENT '!A1364:N1393,14,0)</f>
        <v>0</v>
      </c>
      <c r="AO1969" s="572">
        <f>+VLOOKUP(D1969,'INTEGRATION PAR CLIENT '!A1364:P1393,16,0)</f>
        <v>0</v>
      </c>
    </row>
    <row r="1970" spans="1:41">
      <c r="A1970" s="617">
        <v>90</v>
      </c>
      <c r="B1970" s="496" t="str">
        <f t="shared" si="24"/>
        <v>090</v>
      </c>
      <c r="C1970" s="496">
        <f t="shared" si="25"/>
        <v>0</v>
      </c>
      <c r="D1970" s="566" t="str">
        <f>'2025'!D91</f>
        <v>FAE-25-00090</v>
      </c>
      <c r="E1970" s="496" t="str">
        <f t="shared" si="38"/>
        <v>090</v>
      </c>
      <c r="F1970" s="567">
        <f>+'2025'!G91</f>
        <v>45735</v>
      </c>
      <c r="G1970" s="496">
        <f t="shared" si="26"/>
        <v>2025</v>
      </c>
      <c r="H1970" s="586" t="s">
        <v>17017</v>
      </c>
      <c r="I1970" s="496" t="str">
        <f>+VLOOKUP(H1970,Sheet1!A:C,3,0)</f>
        <v>ARCADIA</v>
      </c>
      <c r="J1970" s="496" t="str">
        <f>+VLOOKUP(H1970,Sheet1!A:D,4,0)</f>
        <v>TND</v>
      </c>
      <c r="K1970" s="497">
        <f t="shared" si="27"/>
        <v>55475</v>
      </c>
      <c r="L1970" s="586">
        <v>1</v>
      </c>
      <c r="M1970" s="587">
        <v>55475</v>
      </c>
      <c r="N1970" s="496" t="str">
        <f>+VLOOKUP(E1970,'2025'!E:F,2,0)</f>
        <v>OUI</v>
      </c>
      <c r="O1970" s="496" t="str">
        <f>VLOOKUP(E1970,'2025'!E:N,10,0)</f>
        <v>Maroc</v>
      </c>
      <c r="P1970" s="880">
        <f>VLOOKUP(E1970,'2025'!E:O,11,0)</f>
        <v>45776</v>
      </c>
      <c r="Q1970" s="565">
        <f>VLOOKUP(E1970,'2025'!E:H,4,0)</f>
        <v>0</v>
      </c>
      <c r="R1970" s="565">
        <f>VLOOKUP(E1970,'2025'!E:I,5,0)</f>
        <v>5500</v>
      </c>
      <c r="S1970" s="565">
        <f>VLOOKUP(E1970,'2025'!E:J,6,0)</f>
        <v>5000</v>
      </c>
      <c r="T1970" s="565">
        <f>VLOOKUP(E1970,'2025'!E:K,7,0)</f>
        <v>5000</v>
      </c>
      <c r="U1970" s="565">
        <f t="shared" si="28"/>
        <v>15500</v>
      </c>
      <c r="V1970" s="354"/>
      <c r="W1970" s="569" t="e">
        <f>+VLOOKUP(D1970,'JOURNAL FACTURES'!A:O,15,0)</f>
        <v>#N/A</v>
      </c>
      <c r="X1970" s="569" t="e">
        <f>VLOOKUP(D1970,'JOURNAL FACTURES'!A:P,16,0)</f>
        <v>#N/A</v>
      </c>
      <c r="Y1970" s="569" t="e">
        <f>VLOOKUP(D1970,'JOURNAL FACTURES'!A:Q,17,0)</f>
        <v>#N/A</v>
      </c>
      <c r="Z1970" s="569" t="e">
        <f>VLOOKUP(D1970,'JOURNAL FACTURES'!A:R,18,0)</f>
        <v>#N/A</v>
      </c>
      <c r="AA1970" s="570" t="e">
        <f t="shared" si="29"/>
        <v>#N/A</v>
      </c>
      <c r="AB1970" s="570" t="e">
        <f t="shared" si="30"/>
        <v>#N/A</v>
      </c>
      <c r="AC1970" s="570" t="e">
        <f t="shared" si="31"/>
        <v>#N/A</v>
      </c>
      <c r="AD1970" s="570" t="e">
        <f t="shared" si="32"/>
        <v>#N/A</v>
      </c>
      <c r="AE1970" s="569">
        <f>VLOOKUP(D1970,TRANSPORT!H:J,3,0)</f>
        <v>0</v>
      </c>
      <c r="AF1970" s="569">
        <f>+VLOOKUP(D1970,TRANSPORT!N:O,2,0)</f>
        <v>0</v>
      </c>
      <c r="AG1970" s="569">
        <f t="shared" si="33"/>
        <v>0</v>
      </c>
      <c r="AH1970" s="571" t="e">
        <f t="shared" si="34"/>
        <v>#N/A</v>
      </c>
      <c r="AI1970" s="571" t="e">
        <f t="shared" si="35"/>
        <v>#N/A</v>
      </c>
      <c r="AJ1970" s="571" t="e">
        <f t="shared" si="36"/>
        <v>#N/A</v>
      </c>
      <c r="AK1970" s="571" t="e">
        <f t="shared" si="37"/>
        <v>#N/A</v>
      </c>
      <c r="AL1970" s="572">
        <f>VLOOKUP(D1970,'INTEGRATION PAR CLIENT '!A1365:J1394,10,0)</f>
        <v>0</v>
      </c>
      <c r="AM1970" s="572">
        <f>VLOOKUP(D1970,'INTEGRATION PAR CLIENT '!A1365:L1394,12,0)</f>
        <v>0</v>
      </c>
      <c r="AN1970" s="572">
        <f>+VLOOKUP(D1970,'INTEGRATION PAR CLIENT '!A1365:N1394,14,0)</f>
        <v>0</v>
      </c>
      <c r="AO1970" s="572">
        <f>+VLOOKUP(D1970,'INTEGRATION PAR CLIENT '!A1365:P1394,16,0)</f>
        <v>1</v>
      </c>
    </row>
    <row r="1971" spans="1:41">
      <c r="A1971" s="617">
        <v>91</v>
      </c>
      <c r="B1971" s="496" t="str">
        <f t="shared" si="24"/>
        <v>091</v>
      </c>
      <c r="C1971" s="496">
        <f t="shared" si="25"/>
        <v>0</v>
      </c>
      <c r="D1971" s="566" t="str">
        <f>'2025'!D92</f>
        <v>FAE-25-00091</v>
      </c>
      <c r="E1971" s="496" t="str">
        <f t="shared" si="38"/>
        <v>091</v>
      </c>
      <c r="F1971" s="567">
        <f>+'2025'!G92</f>
        <v>45737</v>
      </c>
      <c r="G1971" s="496">
        <f t="shared" si="26"/>
        <v>2025</v>
      </c>
      <c r="H1971" s="586" t="s">
        <v>16444</v>
      </c>
      <c r="I1971" s="496" t="str">
        <f>+VLOOKUP(H1971,Sheet1!A:C,3,0)</f>
        <v>SAHEL INTERNATIONAL TRADE</v>
      </c>
      <c r="J1971" s="496" t="str">
        <f>+VLOOKUP(H1971,Sheet1!A:D,4,0)</f>
        <v>TND</v>
      </c>
      <c r="K1971" s="497">
        <f t="shared" si="27"/>
        <v>90232.8</v>
      </c>
      <c r="L1971" s="586">
        <v>1</v>
      </c>
      <c r="M1971" s="587">
        <v>90232.8</v>
      </c>
      <c r="N1971" s="496" t="str">
        <f>+VLOOKUP(E1971,'2025'!E:F,2,0)</f>
        <v>OUI</v>
      </c>
      <c r="O1971" s="496" t="str">
        <f>VLOOKUP(E1971,'2025'!E:N,10,0)</f>
        <v>Sierra Leone</v>
      </c>
      <c r="P1971" s="880">
        <f>VLOOKUP(E1971,'2025'!E:O,11,0)</f>
        <v>45749</v>
      </c>
      <c r="Q1971" s="565">
        <f>VLOOKUP(E1971,'2025'!E:H,4,0)</f>
        <v>44016</v>
      </c>
      <c r="R1971" s="565">
        <f>VLOOKUP(E1971,'2025'!E:I,5,0)</f>
        <v>0</v>
      </c>
      <c r="S1971" s="565">
        <f>VLOOKUP(E1971,'2025'!E:J,6,0)</f>
        <v>0</v>
      </c>
      <c r="T1971" s="565">
        <f>VLOOKUP(E1971,'2025'!E:K,7,0)</f>
        <v>0</v>
      </c>
      <c r="U1971" s="565">
        <f t="shared" si="28"/>
        <v>44016</v>
      </c>
      <c r="V1971" s="354"/>
      <c r="W1971" s="569" t="e">
        <f>+VLOOKUP(D1971,'JOURNAL FACTURES'!A:O,15,0)</f>
        <v>#N/A</v>
      </c>
      <c r="X1971" s="569" t="e">
        <f>VLOOKUP(D1971,'JOURNAL FACTURES'!A:P,16,0)</f>
        <v>#N/A</v>
      </c>
      <c r="Y1971" s="569" t="e">
        <f>VLOOKUP(D1971,'JOURNAL FACTURES'!A:Q,17,0)</f>
        <v>#N/A</v>
      </c>
      <c r="Z1971" s="569" t="e">
        <f>VLOOKUP(D1971,'JOURNAL FACTURES'!A:R,18,0)</f>
        <v>#N/A</v>
      </c>
      <c r="AA1971" s="570" t="e">
        <f t="shared" si="29"/>
        <v>#N/A</v>
      </c>
      <c r="AB1971" s="570" t="e">
        <f t="shared" si="30"/>
        <v>#N/A</v>
      </c>
      <c r="AC1971" s="570" t="e">
        <f t="shared" si="31"/>
        <v>#N/A</v>
      </c>
      <c r="AD1971" s="570" t="e">
        <f t="shared" si="32"/>
        <v>#N/A</v>
      </c>
      <c r="AE1971" s="569">
        <f>VLOOKUP(D1971,TRANSPORT!H:J,3,0)</f>
        <v>0</v>
      </c>
      <c r="AF1971" s="569">
        <f>+VLOOKUP(D1971,TRANSPORT!N:O,2,0)</f>
        <v>0</v>
      </c>
      <c r="AG1971" s="569">
        <f t="shared" si="33"/>
        <v>0</v>
      </c>
      <c r="AH1971" s="571" t="e">
        <f t="shared" si="34"/>
        <v>#N/A</v>
      </c>
      <c r="AI1971" s="571" t="e">
        <f t="shared" si="35"/>
        <v>#N/A</v>
      </c>
      <c r="AJ1971" s="571" t="e">
        <f t="shared" si="36"/>
        <v>#N/A</v>
      </c>
      <c r="AK1971" s="571" t="e">
        <f t="shared" si="37"/>
        <v>#N/A</v>
      </c>
      <c r="AL1971" s="572">
        <f>VLOOKUP(D1971,'INTEGRATION PAR CLIENT '!A1366:J1395,10,0)</f>
        <v>1</v>
      </c>
      <c r="AM1971" s="572">
        <f>VLOOKUP(D1971,'INTEGRATION PAR CLIENT '!A1366:L1395,12,0)</f>
        <v>0</v>
      </c>
      <c r="AN1971" s="572">
        <f>+VLOOKUP(D1971,'INTEGRATION PAR CLIENT '!A1366:N1395,14,0)</f>
        <v>0</v>
      </c>
      <c r="AO1971" s="572">
        <f>+VLOOKUP(D1971,'INTEGRATION PAR CLIENT '!A1366:P1395,16,0)</f>
        <v>0</v>
      </c>
    </row>
    <row r="1972" spans="1:41">
      <c r="A1972" s="617">
        <v>92</v>
      </c>
      <c r="B1972" s="496" t="str">
        <f t="shared" si="24"/>
        <v>092</v>
      </c>
      <c r="C1972" s="496">
        <f t="shared" si="25"/>
        <v>0</v>
      </c>
      <c r="D1972" s="566" t="str">
        <f>'2025'!D93</f>
        <v>FAE-25-00092</v>
      </c>
      <c r="E1972" s="496" t="str">
        <f t="shared" si="38"/>
        <v>092</v>
      </c>
      <c r="F1972" s="567">
        <f>+'2025'!G93</f>
        <v>45742</v>
      </c>
      <c r="G1972" s="496">
        <f t="shared" si="26"/>
        <v>2025</v>
      </c>
      <c r="H1972" s="586" t="s">
        <v>16904</v>
      </c>
      <c r="I1972" s="496" t="str">
        <f>+VLOOKUP(H1972,Sheet1!A:C,3,0)</f>
        <v>SODIFRAM SAS</v>
      </c>
      <c r="J1972" s="496" t="str">
        <f>+VLOOKUP(H1972,Sheet1!A:D,4,0)</f>
        <v>EUR</v>
      </c>
      <c r="K1972" s="497">
        <f t="shared" si="27"/>
        <v>81325.875191999992</v>
      </c>
      <c r="L1972" s="586">
        <v>3.3550499999999999</v>
      </c>
      <c r="M1972" s="587">
        <v>24239.84</v>
      </c>
      <c r="N1972" s="496" t="str">
        <f>+VLOOKUP(E1972,'2025'!E:F,2,0)</f>
        <v>OUI</v>
      </c>
      <c r="O1972" s="496" t="str">
        <f>VLOOKUP(E1972,'2025'!E:N,10,0)</f>
        <v>Mayotte</v>
      </c>
      <c r="P1972" s="880">
        <f>VLOOKUP(E1972,'2025'!E:O,11,0)</f>
        <v>45751</v>
      </c>
      <c r="Q1972" s="565">
        <f>VLOOKUP(E1972,'2025'!E:H,4,0)</f>
        <v>0</v>
      </c>
      <c r="R1972" s="565">
        <f>VLOOKUP(E1972,'2025'!E:I,5,0)</f>
        <v>14472</v>
      </c>
      <c r="S1972" s="565">
        <f>VLOOKUP(E1972,'2025'!E:J,6,0)</f>
        <v>13500</v>
      </c>
      <c r="T1972" s="565">
        <f>VLOOKUP(E1972,'2025'!E:K,7,0)</f>
        <v>0</v>
      </c>
      <c r="U1972" s="565">
        <f t="shared" si="28"/>
        <v>27972</v>
      </c>
      <c r="V1972" s="354"/>
      <c r="W1972" s="569" t="e">
        <f>+VLOOKUP(D1972,'JOURNAL FACTURES'!A:O,15,0)</f>
        <v>#N/A</v>
      </c>
      <c r="X1972" s="569" t="e">
        <f>VLOOKUP(D1972,'JOURNAL FACTURES'!A:P,16,0)</f>
        <v>#N/A</v>
      </c>
      <c r="Y1972" s="569" t="e">
        <f>VLOOKUP(D1972,'JOURNAL FACTURES'!A:Q,17,0)</f>
        <v>#N/A</v>
      </c>
      <c r="Z1972" s="569" t="e">
        <f>VLOOKUP(D1972,'JOURNAL FACTURES'!A:R,18,0)</f>
        <v>#N/A</v>
      </c>
      <c r="AA1972" s="570" t="e">
        <f t="shared" si="29"/>
        <v>#N/A</v>
      </c>
      <c r="AB1972" s="570" t="e">
        <f t="shared" si="30"/>
        <v>#N/A</v>
      </c>
      <c r="AC1972" s="570" t="e">
        <f t="shared" si="31"/>
        <v>#N/A</v>
      </c>
      <c r="AD1972" s="570" t="e">
        <f t="shared" si="32"/>
        <v>#N/A</v>
      </c>
      <c r="AE1972" s="569">
        <f>VLOOKUP(D1972,TRANSPORT!H:J,3,0)</f>
        <v>2928</v>
      </c>
      <c r="AF1972" s="569">
        <f>+VLOOKUP(D1972,TRANSPORT!N:O,2,0)</f>
        <v>16559.45</v>
      </c>
      <c r="AG1972" s="569">
        <f t="shared" si="33"/>
        <v>0.59200092950092953</v>
      </c>
      <c r="AH1972" s="571" t="e">
        <f t="shared" si="34"/>
        <v>#N/A</v>
      </c>
      <c r="AI1972" s="571" t="e">
        <f t="shared" si="35"/>
        <v>#N/A</v>
      </c>
      <c r="AJ1972" s="571" t="e">
        <f t="shared" si="36"/>
        <v>#N/A</v>
      </c>
      <c r="AK1972" s="571" t="e">
        <f t="shared" si="37"/>
        <v>#N/A</v>
      </c>
      <c r="AL1972" s="572">
        <f>VLOOKUP(D1972,'INTEGRATION PAR CLIENT '!A1367:J1396,10,0)</f>
        <v>0</v>
      </c>
      <c r="AM1972" s="572">
        <f>VLOOKUP(D1972,'INTEGRATION PAR CLIENT '!A1367:L1396,12,0)</f>
        <v>1</v>
      </c>
      <c r="AN1972" s="572">
        <f>+VLOOKUP(D1972,'INTEGRATION PAR CLIENT '!A1367:N1396,14,0)</f>
        <v>1</v>
      </c>
      <c r="AO1972" s="572">
        <f>+VLOOKUP(D1972,'INTEGRATION PAR CLIENT '!A1367:P1396,16,0)</f>
        <v>0</v>
      </c>
    </row>
    <row r="1973" spans="1:41">
      <c r="A1973" s="617">
        <v>93</v>
      </c>
      <c r="B1973" s="496" t="str">
        <f t="shared" si="24"/>
        <v>093</v>
      </c>
      <c r="C1973" s="496">
        <f t="shared" si="25"/>
        <v>0</v>
      </c>
      <c r="D1973" s="566" t="str">
        <f>'2025'!D94</f>
        <v>FAE-25-00093</v>
      </c>
      <c r="E1973" s="496" t="str">
        <f t="shared" si="38"/>
        <v>093</v>
      </c>
      <c r="F1973" s="567">
        <f>+'2025'!G94</f>
        <v>45742</v>
      </c>
      <c r="G1973" s="496">
        <f t="shared" si="26"/>
        <v>2025</v>
      </c>
      <c r="H1973" s="586" t="s">
        <v>16904</v>
      </c>
      <c r="I1973" s="496" t="str">
        <f>+VLOOKUP(H1973,Sheet1!A:C,3,0)</f>
        <v>SODIFRAM SAS</v>
      </c>
      <c r="J1973" s="496" t="str">
        <f>+VLOOKUP(H1973,Sheet1!A:D,4,0)</f>
        <v>EUR</v>
      </c>
      <c r="K1973" s="497">
        <f t="shared" si="27"/>
        <v>76614.579779999985</v>
      </c>
      <c r="L1973" s="586">
        <v>3.3550499999999999</v>
      </c>
      <c r="M1973" s="587">
        <v>22835.599999999999</v>
      </c>
      <c r="N1973" s="496" t="str">
        <f>+VLOOKUP(E1973,'2025'!E:F,2,0)</f>
        <v>OUI</v>
      </c>
      <c r="O1973" s="496" t="str">
        <f>VLOOKUP(E1973,'2025'!E:N,10,0)</f>
        <v>Mayotte</v>
      </c>
      <c r="P1973" s="880">
        <f>VLOOKUP(E1973,'2025'!E:O,11,0)</f>
        <v>45751</v>
      </c>
      <c r="Q1973" s="565">
        <f>VLOOKUP(E1973,'2025'!E:H,4,0)</f>
        <v>0</v>
      </c>
      <c r="R1973" s="565">
        <f>VLOOKUP(E1973,'2025'!E:I,5,0)</f>
        <v>15480</v>
      </c>
      <c r="S1973" s="565">
        <f>VLOOKUP(E1973,'2025'!E:J,6,0)</f>
        <v>10500</v>
      </c>
      <c r="T1973" s="565">
        <f>VLOOKUP(E1973,'2025'!E:K,7,0)</f>
        <v>0</v>
      </c>
      <c r="U1973" s="565">
        <f t="shared" si="28"/>
        <v>25980</v>
      </c>
      <c r="V1973" s="354"/>
      <c r="W1973" s="569" t="e">
        <f>+VLOOKUP(D1973,'JOURNAL FACTURES'!A:O,15,0)</f>
        <v>#N/A</v>
      </c>
      <c r="X1973" s="569" t="e">
        <f>VLOOKUP(D1973,'JOURNAL FACTURES'!A:P,16,0)</f>
        <v>#N/A</v>
      </c>
      <c r="Y1973" s="569" t="e">
        <f>VLOOKUP(D1973,'JOURNAL FACTURES'!A:Q,17,0)</f>
        <v>#N/A</v>
      </c>
      <c r="Z1973" s="569" t="e">
        <f>VLOOKUP(D1973,'JOURNAL FACTURES'!A:R,18,0)</f>
        <v>#N/A</v>
      </c>
      <c r="AA1973" s="570" t="e">
        <f t="shared" si="29"/>
        <v>#N/A</v>
      </c>
      <c r="AB1973" s="570" t="e">
        <f t="shared" si="30"/>
        <v>#N/A</v>
      </c>
      <c r="AC1973" s="570" t="e">
        <f t="shared" si="31"/>
        <v>#N/A</v>
      </c>
      <c r="AD1973" s="570" t="e">
        <f t="shared" si="32"/>
        <v>#N/A</v>
      </c>
      <c r="AE1973" s="569">
        <f>VLOOKUP(D1973,TRANSPORT!H:J,3,0)</f>
        <v>2928</v>
      </c>
      <c r="AF1973" s="569">
        <f>+VLOOKUP(D1973,TRANSPORT!N:O,2,0)</f>
        <v>18357.75</v>
      </c>
      <c r="AG1973" s="569">
        <f t="shared" si="33"/>
        <v>0.70661085450346417</v>
      </c>
      <c r="AH1973" s="571" t="e">
        <f t="shared" si="34"/>
        <v>#N/A</v>
      </c>
      <c r="AI1973" s="571" t="e">
        <f t="shared" si="35"/>
        <v>#N/A</v>
      </c>
      <c r="AJ1973" s="571" t="e">
        <f t="shared" si="36"/>
        <v>#N/A</v>
      </c>
      <c r="AK1973" s="571" t="e">
        <f t="shared" si="37"/>
        <v>#N/A</v>
      </c>
      <c r="AL1973" s="572">
        <f>VLOOKUP(D1973,'INTEGRATION PAR CLIENT '!A1368:J1397,10,0)</f>
        <v>0</v>
      </c>
      <c r="AM1973" s="572">
        <f>VLOOKUP(D1973,'INTEGRATION PAR CLIENT '!A1368:L1397,12,0)</f>
        <v>1</v>
      </c>
      <c r="AN1973" s="572">
        <f>+VLOOKUP(D1973,'INTEGRATION PAR CLIENT '!A1368:N1397,14,0)</f>
        <v>1</v>
      </c>
      <c r="AO1973" s="572">
        <f>+VLOOKUP(D1973,'INTEGRATION PAR CLIENT '!A1368:P1397,16,0)</f>
        <v>0</v>
      </c>
    </row>
    <row r="1974" spans="1:41">
      <c r="A1974" s="617">
        <v>94</v>
      </c>
      <c r="B1974" s="496" t="str">
        <f t="shared" si="24"/>
        <v>094</v>
      </c>
      <c r="C1974" s="496">
        <f t="shared" si="25"/>
        <v>0</v>
      </c>
      <c r="D1974" s="566" t="str">
        <f>'2025'!D95</f>
        <v>FAE-25-00094</v>
      </c>
      <c r="E1974" s="496" t="str">
        <f t="shared" si="38"/>
        <v>094</v>
      </c>
      <c r="F1974" s="567">
        <f>+'2025'!G95</f>
        <v>45742</v>
      </c>
      <c r="G1974" s="496">
        <f t="shared" si="26"/>
        <v>2025</v>
      </c>
      <c r="H1974" s="586" t="s">
        <v>16904</v>
      </c>
      <c r="I1974" s="496" t="str">
        <f>+VLOOKUP(H1974,Sheet1!A:C,3,0)</f>
        <v>SODIFRAM SAS</v>
      </c>
      <c r="J1974" s="496" t="str">
        <f>+VLOOKUP(H1974,Sheet1!A:D,4,0)</f>
        <v>EUR</v>
      </c>
      <c r="K1974" s="497">
        <f t="shared" si="27"/>
        <v>76962.431363999989</v>
      </c>
      <c r="L1974" s="586">
        <v>3.3550499999999999</v>
      </c>
      <c r="M1974" s="587">
        <v>22939.279999999999</v>
      </c>
      <c r="N1974" s="496" t="str">
        <f>+VLOOKUP(E1974,'2025'!E:F,2,0)</f>
        <v>OUI</v>
      </c>
      <c r="O1974" s="496" t="str">
        <f>VLOOKUP(E1974,'2025'!E:N,10,0)</f>
        <v>Mayotte</v>
      </c>
      <c r="P1974" s="880">
        <f>VLOOKUP(E1974,'2025'!E:O,11,0)</f>
        <v>45751</v>
      </c>
      <c r="Q1974" s="565">
        <f>VLOOKUP(E1974,'2025'!E:H,4,0)</f>
        <v>0</v>
      </c>
      <c r="R1974" s="565">
        <f>VLOOKUP(E1974,'2025'!E:I,5,0)</f>
        <v>15624</v>
      </c>
      <c r="S1974" s="565">
        <f>VLOOKUP(E1974,'2025'!E:J,6,0)</f>
        <v>10500</v>
      </c>
      <c r="T1974" s="565">
        <f>VLOOKUP(E1974,'2025'!E:K,7,0)</f>
        <v>0</v>
      </c>
      <c r="U1974" s="565">
        <f t="shared" si="28"/>
        <v>26124</v>
      </c>
      <c r="V1974" s="354"/>
      <c r="W1974" s="569" t="e">
        <f>+VLOOKUP(D1974,'JOURNAL FACTURES'!A:O,15,0)</f>
        <v>#N/A</v>
      </c>
      <c r="X1974" s="569" t="e">
        <f>VLOOKUP(D1974,'JOURNAL FACTURES'!A:P,16,0)</f>
        <v>#N/A</v>
      </c>
      <c r="Y1974" s="569" t="e">
        <f>VLOOKUP(D1974,'JOURNAL FACTURES'!A:Q,17,0)</f>
        <v>#N/A</v>
      </c>
      <c r="Z1974" s="569" t="e">
        <f>VLOOKUP(D1974,'JOURNAL FACTURES'!A:R,18,0)</f>
        <v>#N/A</v>
      </c>
      <c r="AA1974" s="570" t="e">
        <f t="shared" si="29"/>
        <v>#N/A</v>
      </c>
      <c r="AB1974" s="570" t="e">
        <f t="shared" si="30"/>
        <v>#N/A</v>
      </c>
      <c r="AC1974" s="570" t="e">
        <f t="shared" si="31"/>
        <v>#N/A</v>
      </c>
      <c r="AD1974" s="570" t="e">
        <f t="shared" si="32"/>
        <v>#N/A</v>
      </c>
      <c r="AE1974" s="569">
        <f>VLOOKUP(D1974,TRANSPORT!H:J,3,0)</f>
        <v>2928</v>
      </c>
      <c r="AF1974" s="569">
        <f>+VLOOKUP(D1974,TRANSPORT!N:O,2,0)</f>
        <v>16550.45</v>
      </c>
      <c r="AG1974" s="569">
        <f t="shared" si="33"/>
        <v>0.63353429796355842</v>
      </c>
      <c r="AH1974" s="571" t="e">
        <f t="shared" si="34"/>
        <v>#N/A</v>
      </c>
      <c r="AI1974" s="571" t="e">
        <f t="shared" si="35"/>
        <v>#N/A</v>
      </c>
      <c r="AJ1974" s="571" t="e">
        <f t="shared" si="36"/>
        <v>#N/A</v>
      </c>
      <c r="AK1974" s="571" t="e">
        <f t="shared" si="37"/>
        <v>#N/A</v>
      </c>
      <c r="AL1974" s="572">
        <f>VLOOKUP(D1974,'INTEGRATION PAR CLIENT '!A1369:J1398,10,0)</f>
        <v>0</v>
      </c>
      <c r="AM1974" s="572">
        <f>VLOOKUP(D1974,'INTEGRATION PAR CLIENT '!A1369:L1398,12,0)</f>
        <v>1</v>
      </c>
      <c r="AN1974" s="572">
        <f>+VLOOKUP(D1974,'INTEGRATION PAR CLIENT '!A1369:N1398,14,0)</f>
        <v>1</v>
      </c>
      <c r="AO1974" s="572">
        <f>+VLOOKUP(D1974,'INTEGRATION PAR CLIENT '!A1369:P1398,16,0)</f>
        <v>0</v>
      </c>
    </row>
    <row r="1975" spans="1:41">
      <c r="A1975" s="617">
        <v>95</v>
      </c>
      <c r="B1975" s="496" t="str">
        <f t="shared" si="24"/>
        <v>095</v>
      </c>
      <c r="C1975" s="496">
        <f t="shared" si="25"/>
        <v>0</v>
      </c>
      <c r="D1975" s="566" t="str">
        <f>'2025'!D96</f>
        <v>FAE-25-00095</v>
      </c>
      <c r="E1975" s="496" t="str">
        <f t="shared" si="38"/>
        <v>095</v>
      </c>
      <c r="F1975" s="567">
        <f>+'2025'!G96</f>
        <v>45749</v>
      </c>
      <c r="G1975" s="496">
        <f t="shared" si="26"/>
        <v>2025</v>
      </c>
      <c r="H1975" s="586" t="s">
        <v>16823</v>
      </c>
      <c r="I1975" s="496" t="str">
        <f>+VLOOKUP(H1975,Sheet1!A:C,3,0)</f>
        <v>E.A.S.B. NAFA</v>
      </c>
      <c r="J1975" s="496" t="str">
        <f>+VLOOKUP(H1975,Sheet1!A:D,4,0)</f>
        <v>USD</v>
      </c>
      <c r="K1975" s="497">
        <f t="shared" si="27"/>
        <v>58756.534200000002</v>
      </c>
      <c r="L1975" s="586">
        <v>3.0621499999999999</v>
      </c>
      <c r="M1975" s="587">
        <v>19188</v>
      </c>
      <c r="N1975" s="496" t="str">
        <f>+VLOOKUP(E1975,'2025'!E:F,2,0)</f>
        <v>OUI</v>
      </c>
      <c r="O1975" s="496" t="str">
        <f>VLOOKUP(E1975,'2025'!E:N,10,0)</f>
        <v>Gambie</v>
      </c>
      <c r="P1975" s="880">
        <f>VLOOKUP(E1975,'2025'!E:O,11,0)</f>
        <v>45754</v>
      </c>
      <c r="Q1975" s="565">
        <f>VLOOKUP(E1975,'2025'!E:H,4,0)</f>
        <v>0</v>
      </c>
      <c r="R1975" s="565">
        <f>VLOOKUP(E1975,'2025'!E:I,5,0)</f>
        <v>27600</v>
      </c>
      <c r="S1975" s="565">
        <f>VLOOKUP(E1975,'2025'!E:J,6,0)</f>
        <v>0</v>
      </c>
      <c r="T1975" s="565">
        <f>VLOOKUP(E1975,'2025'!E:K,7,0)</f>
        <v>0</v>
      </c>
      <c r="U1975" s="565">
        <f t="shared" si="28"/>
        <v>27600</v>
      </c>
      <c r="V1975" s="354"/>
      <c r="W1975" s="569" t="e">
        <f>+VLOOKUP(D1975,'JOURNAL FACTURES'!A:O,15,0)</f>
        <v>#N/A</v>
      </c>
      <c r="X1975" s="569" t="e">
        <f>VLOOKUP(D1975,'JOURNAL FACTURES'!A:P,16,0)</f>
        <v>#N/A</v>
      </c>
      <c r="Y1975" s="569" t="e">
        <f>VLOOKUP(D1975,'JOURNAL FACTURES'!A:Q,17,0)</f>
        <v>#N/A</v>
      </c>
      <c r="Z1975" s="569" t="e">
        <f>VLOOKUP(D1975,'JOURNAL FACTURES'!A:R,18,0)</f>
        <v>#N/A</v>
      </c>
      <c r="AA1975" s="570" t="e">
        <f t="shared" si="29"/>
        <v>#N/A</v>
      </c>
      <c r="AB1975" s="570" t="e">
        <f t="shared" si="30"/>
        <v>#N/A</v>
      </c>
      <c r="AC1975" s="570" t="e">
        <f t="shared" si="31"/>
        <v>#N/A</v>
      </c>
      <c r="AD1975" s="570" t="e">
        <f t="shared" si="32"/>
        <v>#N/A</v>
      </c>
      <c r="AE1975" s="569">
        <f>VLOOKUP(D1975,TRANSPORT!H:J,3,0)</f>
        <v>0</v>
      </c>
      <c r="AF1975" s="569">
        <f>+VLOOKUP(D1975,TRANSPORT!N:O,2,0)</f>
        <v>0</v>
      </c>
      <c r="AG1975" s="569">
        <f t="shared" si="33"/>
        <v>0</v>
      </c>
      <c r="AH1975" s="571" t="e">
        <f t="shared" si="34"/>
        <v>#N/A</v>
      </c>
      <c r="AI1975" s="571" t="e">
        <f t="shared" si="35"/>
        <v>#N/A</v>
      </c>
      <c r="AJ1975" s="571" t="e">
        <f t="shared" si="36"/>
        <v>#N/A</v>
      </c>
      <c r="AK1975" s="571" t="e">
        <f t="shared" si="37"/>
        <v>#N/A</v>
      </c>
      <c r="AL1975" s="572">
        <f>VLOOKUP(D1975,'INTEGRATION PAR CLIENT '!A1370:J1399,10,0)</f>
        <v>0</v>
      </c>
      <c r="AM1975" s="572" t="str">
        <f>VLOOKUP(D1975,'INTEGRATION PAR CLIENT '!A1370:L1399,12,0)</f>
        <v>'30%S-70%F</v>
      </c>
      <c r="AN1975" s="572">
        <f>+VLOOKUP(D1975,'INTEGRATION PAR CLIENT '!A1370:N1399,14,0)</f>
        <v>0</v>
      </c>
      <c r="AO1975" s="572">
        <f>+VLOOKUP(D1975,'INTEGRATION PAR CLIENT '!A1370:P1399,16,0)</f>
        <v>0</v>
      </c>
    </row>
    <row r="1976" spans="1:41">
      <c r="A1976" s="617">
        <v>96</v>
      </c>
      <c r="B1976" s="496" t="str">
        <f t="shared" si="24"/>
        <v>096</v>
      </c>
      <c r="C1976" s="496">
        <f t="shared" si="25"/>
        <v>0</v>
      </c>
      <c r="D1976" s="566" t="str">
        <f>'2025'!D97</f>
        <v>FAE-25-00096</v>
      </c>
      <c r="E1976" s="496" t="str">
        <f t="shared" si="38"/>
        <v>096</v>
      </c>
      <c r="F1976" s="567">
        <f>+'2025'!G97</f>
        <v>45751</v>
      </c>
      <c r="G1976" s="496">
        <f t="shared" si="26"/>
        <v>2025</v>
      </c>
      <c r="H1976" s="586" t="s">
        <v>20383</v>
      </c>
      <c r="I1976" s="496" t="str">
        <f>+VLOOKUP(H1976,Sheet1!A:C,3,0)</f>
        <v>DAVIS TRADING CO LTD</v>
      </c>
      <c r="J1976" s="496" t="str">
        <f>+VLOOKUP(H1976,Sheet1!A:D,4,0)</f>
        <v>USD</v>
      </c>
      <c r="K1976" s="497">
        <f t="shared" si="27"/>
        <v>113009.95077749998</v>
      </c>
      <c r="L1976" s="586">
        <v>2.9857499999999999</v>
      </c>
      <c r="M1976" s="587">
        <v>37849.769999999997</v>
      </c>
      <c r="N1976" s="496" t="str">
        <f>+VLOOKUP(E1976,'2025'!E:F,2,0)</f>
        <v>OUI</v>
      </c>
      <c r="O1976" s="496" t="str">
        <f>VLOOKUP(E1976,'2025'!E:N,10,0)</f>
        <v>New Zealand</v>
      </c>
      <c r="P1976" s="880">
        <f>VLOOKUP(E1976,'2025'!E:O,11,0)</f>
        <v>45806</v>
      </c>
      <c r="Q1976" s="565">
        <f>VLOOKUP(E1976,'2025'!E:H,4,0)</f>
        <v>5000</v>
      </c>
      <c r="R1976" s="565">
        <f>VLOOKUP(E1976,'2025'!E:I,5,0)</f>
        <v>22370</v>
      </c>
      <c r="S1976" s="565">
        <f>VLOOKUP(E1976,'2025'!E:J,6,0)</f>
        <v>0</v>
      </c>
      <c r="T1976" s="565">
        <f>VLOOKUP(E1976,'2025'!E:K,7,0)</f>
        <v>0</v>
      </c>
      <c r="U1976" s="565">
        <f t="shared" si="28"/>
        <v>27370</v>
      </c>
      <c r="V1976" s="354"/>
      <c r="W1976" s="569" t="e">
        <f>+VLOOKUP(D1976,'JOURNAL FACTURES'!A:O,15,0)</f>
        <v>#N/A</v>
      </c>
      <c r="X1976" s="569" t="e">
        <f>VLOOKUP(D1976,'JOURNAL FACTURES'!A:P,16,0)</f>
        <v>#N/A</v>
      </c>
      <c r="Y1976" s="569" t="e">
        <f>VLOOKUP(D1976,'JOURNAL FACTURES'!A:Q,17,0)</f>
        <v>#N/A</v>
      </c>
      <c r="Z1976" s="569" t="e">
        <f>VLOOKUP(D1976,'JOURNAL FACTURES'!A:R,18,0)</f>
        <v>#N/A</v>
      </c>
      <c r="AA1976" s="570" t="e">
        <f t="shared" si="29"/>
        <v>#N/A</v>
      </c>
      <c r="AB1976" s="570" t="e">
        <f t="shared" si="30"/>
        <v>#N/A</v>
      </c>
      <c r="AC1976" s="570" t="e">
        <f t="shared" si="31"/>
        <v>#N/A</v>
      </c>
      <c r="AD1976" s="570" t="e">
        <f t="shared" si="32"/>
        <v>#N/A</v>
      </c>
      <c r="AE1976" s="569">
        <f>VLOOKUP(D1976,TRANSPORT!H:J,3,0)</f>
        <v>0</v>
      </c>
      <c r="AF1976" s="569">
        <f>+VLOOKUP(D1976,TRANSPORT!N:O,2,0)</f>
        <v>2729.5639999999999</v>
      </c>
      <c r="AG1976" s="569">
        <f t="shared" si="33"/>
        <v>9.9728315674095722E-2</v>
      </c>
      <c r="AH1976" s="571" t="e">
        <f t="shared" si="34"/>
        <v>#N/A</v>
      </c>
      <c r="AI1976" s="571" t="e">
        <f t="shared" si="35"/>
        <v>#N/A</v>
      </c>
      <c r="AJ1976" s="571" t="e">
        <f t="shared" si="36"/>
        <v>#N/A</v>
      </c>
      <c r="AK1976" s="571" t="e">
        <f t="shared" si="37"/>
        <v>#N/A</v>
      </c>
      <c r="AL1976" s="572">
        <f>VLOOKUP(D1976,'INTEGRATION PAR CLIENT '!A1371:J1400,10,0)</f>
        <v>0</v>
      </c>
      <c r="AM1976" s="572">
        <f>VLOOKUP(D1976,'INTEGRATION PAR CLIENT '!A1371:L1400,12,0)</f>
        <v>0</v>
      </c>
      <c r="AN1976" s="572">
        <f>+VLOOKUP(D1976,'INTEGRATION PAR CLIENT '!A1371:N1400,14,0)</f>
        <v>0</v>
      </c>
      <c r="AO1976" s="572">
        <f>+VLOOKUP(D1976,'INTEGRATION PAR CLIENT '!A1371:P1400,16,0)</f>
        <v>0</v>
      </c>
    </row>
    <row r="1977" spans="1:41">
      <c r="A1977" s="617">
        <v>97</v>
      </c>
      <c r="B1977" s="496" t="str">
        <f t="shared" si="24"/>
        <v>097</v>
      </c>
      <c r="C1977" s="496">
        <f t="shared" si="25"/>
        <v>0</v>
      </c>
      <c r="D1977" s="566" t="str">
        <f>'2025'!D98</f>
        <v>FAE-25-00097</v>
      </c>
      <c r="E1977" s="496" t="str">
        <f t="shared" si="38"/>
        <v>097</v>
      </c>
      <c r="F1977" s="567">
        <f>+'2025'!G98</f>
        <v>45751</v>
      </c>
      <c r="G1977" s="496">
        <f t="shared" si="26"/>
        <v>2025</v>
      </c>
      <c r="H1977" s="586" t="s">
        <v>17384</v>
      </c>
      <c r="I1977" s="496" t="str">
        <f>+VLOOKUP(H1977,Sheet1!A:C,3,0)</f>
        <v>RIVEXIA</v>
      </c>
      <c r="J1977" s="496" t="str">
        <f>+VLOOKUP(H1977,Sheet1!A:D,4,0)</f>
        <v>TND</v>
      </c>
      <c r="K1977" s="497">
        <f t="shared" si="27"/>
        <v>77087.520000000004</v>
      </c>
      <c r="L1977" s="586">
        <v>1</v>
      </c>
      <c r="M1977" s="587">
        <v>77087.520000000004</v>
      </c>
      <c r="N1977" s="496" t="str">
        <f>+VLOOKUP(E1977,'2025'!E:F,2,0)</f>
        <v>OUI</v>
      </c>
      <c r="O1977" s="496" t="str">
        <f>VLOOKUP(E1977,'2025'!E:N,10,0)</f>
        <v>Burkina Faso</v>
      </c>
      <c r="P1977" s="880">
        <f>VLOOKUP(E1977,'2025'!E:O,11,0)</f>
        <v>45763</v>
      </c>
      <c r="Q1977" s="565">
        <f>VLOOKUP(E1977,'2025'!E:H,4,0)</f>
        <v>38400</v>
      </c>
      <c r="R1977" s="565">
        <f>VLOOKUP(E1977,'2025'!E:I,5,0)</f>
        <v>0</v>
      </c>
      <c r="S1977" s="565">
        <f>VLOOKUP(E1977,'2025'!E:J,6,0)</f>
        <v>0</v>
      </c>
      <c r="T1977" s="565">
        <f>VLOOKUP(E1977,'2025'!E:K,7,0)</f>
        <v>0</v>
      </c>
      <c r="U1977" s="565">
        <f t="shared" si="28"/>
        <v>38400</v>
      </c>
      <c r="V1977" s="354"/>
      <c r="W1977" s="569" t="e">
        <f>+VLOOKUP(D1977,'JOURNAL FACTURES'!A:O,15,0)</f>
        <v>#N/A</v>
      </c>
      <c r="X1977" s="569" t="e">
        <f>VLOOKUP(D1977,'JOURNAL FACTURES'!A:P,16,0)</f>
        <v>#N/A</v>
      </c>
      <c r="Y1977" s="569" t="e">
        <f>VLOOKUP(D1977,'JOURNAL FACTURES'!A:Q,17,0)</f>
        <v>#N/A</v>
      </c>
      <c r="Z1977" s="569" t="e">
        <f>VLOOKUP(D1977,'JOURNAL FACTURES'!A:R,18,0)</f>
        <v>#N/A</v>
      </c>
      <c r="AA1977" s="570" t="e">
        <f t="shared" si="29"/>
        <v>#N/A</v>
      </c>
      <c r="AB1977" s="570" t="e">
        <f t="shared" si="30"/>
        <v>#N/A</v>
      </c>
      <c r="AC1977" s="570" t="e">
        <f t="shared" si="31"/>
        <v>#N/A</v>
      </c>
      <c r="AD1977" s="570" t="e">
        <f t="shared" si="32"/>
        <v>#N/A</v>
      </c>
      <c r="AE1977" s="569">
        <f>VLOOKUP(D1977,TRANSPORT!H:J,3,0)</f>
        <v>0</v>
      </c>
      <c r="AF1977" s="569">
        <f>+VLOOKUP(D1977,TRANSPORT!N:O,2,0)</f>
        <v>0</v>
      </c>
      <c r="AG1977" s="569">
        <f t="shared" si="33"/>
        <v>0</v>
      </c>
      <c r="AH1977" s="571" t="e">
        <f t="shared" si="34"/>
        <v>#N/A</v>
      </c>
      <c r="AI1977" s="571" t="e">
        <f t="shared" si="35"/>
        <v>#N/A</v>
      </c>
      <c r="AJ1977" s="571" t="e">
        <f t="shared" si="36"/>
        <v>#N/A</v>
      </c>
      <c r="AK1977" s="571" t="e">
        <f t="shared" si="37"/>
        <v>#N/A</v>
      </c>
      <c r="AL1977" s="572">
        <f>VLOOKUP(D1977,'INTEGRATION PAR CLIENT '!A1372:J1401,10,0)</f>
        <v>1</v>
      </c>
      <c r="AM1977" s="572">
        <f>VLOOKUP(D1977,'INTEGRATION PAR CLIENT '!A1372:L1401,12,0)</f>
        <v>0</v>
      </c>
      <c r="AN1977" s="572">
        <f>+VLOOKUP(D1977,'INTEGRATION PAR CLIENT '!A1372:N1401,14,0)</f>
        <v>0</v>
      </c>
      <c r="AO1977" s="572">
        <f>+VLOOKUP(D1977,'INTEGRATION PAR CLIENT '!A1372:P1401,16,0)</f>
        <v>0</v>
      </c>
    </row>
    <row r="1978" spans="1:41">
      <c r="A1978" s="617">
        <v>98</v>
      </c>
      <c r="B1978" s="496" t="str">
        <f t="shared" si="24"/>
        <v>098</v>
      </c>
      <c r="C1978" s="496">
        <f t="shared" si="25"/>
        <v>0</v>
      </c>
      <c r="D1978" s="566" t="str">
        <f>'2025'!D99</f>
        <v>FAE-25-00098</v>
      </c>
      <c r="E1978" s="496" t="str">
        <f t="shared" si="38"/>
        <v>098</v>
      </c>
      <c r="F1978" s="567">
        <f>+'2025'!G99</f>
        <v>45751</v>
      </c>
      <c r="G1978" s="496">
        <f t="shared" si="26"/>
        <v>2025</v>
      </c>
      <c r="H1978" s="586" t="s">
        <v>16444</v>
      </c>
      <c r="I1978" s="496" t="str">
        <f>+VLOOKUP(H1978,Sheet1!A:C,3,0)</f>
        <v>SAHEL INTERNATIONAL TRADE</v>
      </c>
      <c r="J1978" s="496" t="str">
        <f>+VLOOKUP(H1978,Sheet1!A:D,4,0)</f>
        <v>TND</v>
      </c>
      <c r="K1978" s="497">
        <f t="shared" si="27"/>
        <v>84480</v>
      </c>
      <c r="L1978" s="586">
        <v>1</v>
      </c>
      <c r="M1978" s="587">
        <v>84480</v>
      </c>
      <c r="N1978" s="496" t="str">
        <f>+VLOOKUP(E1978,'2025'!E:F,2,0)</f>
        <v>OUI</v>
      </c>
      <c r="O1978" s="496" t="str">
        <f>VLOOKUP(E1978,'2025'!E:N,10,0)</f>
        <v>Burkina Faso</v>
      </c>
      <c r="P1978" s="880">
        <f>VLOOKUP(E1978,'2025'!E:O,11,0)</f>
        <v>45775</v>
      </c>
      <c r="Q1978" s="565">
        <f>VLOOKUP(E1978,'2025'!E:H,4,0)</f>
        <v>38400</v>
      </c>
      <c r="R1978" s="565">
        <f>VLOOKUP(E1978,'2025'!E:I,5,0)</f>
        <v>0</v>
      </c>
      <c r="S1978" s="565">
        <f>VLOOKUP(E1978,'2025'!E:J,6,0)</f>
        <v>0</v>
      </c>
      <c r="T1978" s="565">
        <f>VLOOKUP(E1978,'2025'!E:K,7,0)</f>
        <v>0</v>
      </c>
      <c r="U1978" s="565">
        <f t="shared" si="28"/>
        <v>38400</v>
      </c>
      <c r="V1978" s="354"/>
      <c r="W1978" s="569" t="e">
        <f>+VLOOKUP(D1978,'JOURNAL FACTURES'!A:O,15,0)</f>
        <v>#N/A</v>
      </c>
      <c r="X1978" s="569" t="e">
        <f>VLOOKUP(D1978,'JOURNAL FACTURES'!A:P,16,0)</f>
        <v>#N/A</v>
      </c>
      <c r="Y1978" s="569" t="e">
        <f>VLOOKUP(D1978,'JOURNAL FACTURES'!A:Q,17,0)</f>
        <v>#N/A</v>
      </c>
      <c r="Z1978" s="569" t="e">
        <f>VLOOKUP(D1978,'JOURNAL FACTURES'!A:R,18,0)</f>
        <v>#N/A</v>
      </c>
      <c r="AA1978" s="570" t="e">
        <f t="shared" si="29"/>
        <v>#N/A</v>
      </c>
      <c r="AB1978" s="570" t="e">
        <f t="shared" si="30"/>
        <v>#N/A</v>
      </c>
      <c r="AC1978" s="570" t="e">
        <f t="shared" si="31"/>
        <v>#N/A</v>
      </c>
      <c r="AD1978" s="570" t="e">
        <f t="shared" si="32"/>
        <v>#N/A</v>
      </c>
      <c r="AE1978" s="569">
        <f>VLOOKUP(D1978,TRANSPORT!H:J,3,0)</f>
        <v>0</v>
      </c>
      <c r="AF1978" s="569">
        <f>+VLOOKUP(D1978,TRANSPORT!N:O,2,0)</f>
        <v>0</v>
      </c>
      <c r="AG1978" s="569">
        <f t="shared" si="33"/>
        <v>0</v>
      </c>
      <c r="AH1978" s="571" t="e">
        <f t="shared" si="34"/>
        <v>#N/A</v>
      </c>
      <c r="AI1978" s="571" t="e">
        <f t="shared" si="35"/>
        <v>#N/A</v>
      </c>
      <c r="AJ1978" s="571" t="e">
        <f t="shared" si="36"/>
        <v>#N/A</v>
      </c>
      <c r="AK1978" s="571" t="e">
        <f t="shared" si="37"/>
        <v>#N/A</v>
      </c>
      <c r="AL1978" s="572">
        <f>VLOOKUP(D1978,'INTEGRATION PAR CLIENT '!A1373:J1402,10,0)</f>
        <v>1</v>
      </c>
      <c r="AM1978" s="572">
        <f>VLOOKUP(D1978,'INTEGRATION PAR CLIENT '!A1373:L1402,12,0)</f>
        <v>0</v>
      </c>
      <c r="AN1978" s="572">
        <f>+VLOOKUP(D1978,'INTEGRATION PAR CLIENT '!A1373:N1402,14,0)</f>
        <v>0</v>
      </c>
      <c r="AO1978" s="572">
        <f>+VLOOKUP(D1978,'INTEGRATION PAR CLIENT '!A1373:P1402,16,0)</f>
        <v>0</v>
      </c>
    </row>
    <row r="1979" spans="1:41">
      <c r="A1979" s="617">
        <v>99</v>
      </c>
      <c r="B1979" s="496" t="str">
        <f t="shared" si="24"/>
        <v>099</v>
      </c>
      <c r="C1979" s="496">
        <f t="shared" si="25"/>
        <v>0</v>
      </c>
      <c r="D1979" s="566" t="str">
        <f>'2025'!D100</f>
        <v>FAE-25-00099</v>
      </c>
      <c r="E1979" s="496" t="str">
        <f t="shared" si="38"/>
        <v>099</v>
      </c>
      <c r="F1979" s="567">
        <f>+'2025'!G100</f>
        <v>45751</v>
      </c>
      <c r="G1979" s="496">
        <f t="shared" si="26"/>
        <v>2025</v>
      </c>
      <c r="H1979" s="586" t="s">
        <v>16700</v>
      </c>
      <c r="I1979" s="496" t="str">
        <f>+VLOOKUP(H1979,Sheet1!A:C,3,0)</f>
        <v>JP BEEMSTERBOER BV</v>
      </c>
      <c r="J1979" s="496" t="str">
        <f>+VLOOKUP(H1979,Sheet1!A:D,4,0)</f>
        <v>USD</v>
      </c>
      <c r="K1979" s="497">
        <f t="shared" si="27"/>
        <v>262039.23341999998</v>
      </c>
      <c r="L1979" s="586">
        <v>3.4108499999999999</v>
      </c>
      <c r="M1979" s="587">
        <v>76825.2</v>
      </c>
      <c r="N1979" s="496" t="str">
        <f>+VLOOKUP(E1979,'2025'!E:F,2,0)</f>
        <v>OUI</v>
      </c>
      <c r="O1979" s="496" t="str">
        <f>VLOOKUP(E1979,'2025'!E:N,10,0)</f>
        <v>Sierra Leone</v>
      </c>
      <c r="P1979" s="880">
        <f>VLOOKUP(E1979,'2025'!E:O,11,0)</f>
        <v>45762</v>
      </c>
      <c r="Q1979" s="565">
        <f>VLOOKUP(E1979,'2025'!E:H,4,0)</f>
        <v>110040</v>
      </c>
      <c r="R1979" s="565">
        <f>VLOOKUP(E1979,'2025'!E:I,5,0)</f>
        <v>0</v>
      </c>
      <c r="S1979" s="565">
        <f>VLOOKUP(E1979,'2025'!E:J,6,0)</f>
        <v>0</v>
      </c>
      <c r="T1979" s="565">
        <f>VLOOKUP(E1979,'2025'!E:K,7,0)</f>
        <v>0</v>
      </c>
      <c r="U1979" s="565">
        <f t="shared" si="28"/>
        <v>110040</v>
      </c>
      <c r="V1979" s="354"/>
      <c r="W1979" s="569" t="e">
        <f>+VLOOKUP(D1979,'JOURNAL FACTURES'!A:O,15,0)</f>
        <v>#N/A</v>
      </c>
      <c r="X1979" s="569" t="e">
        <f>VLOOKUP(D1979,'JOURNAL FACTURES'!A:P,16,0)</f>
        <v>#N/A</v>
      </c>
      <c r="Y1979" s="569" t="e">
        <f>VLOOKUP(D1979,'JOURNAL FACTURES'!A:Q,17,0)</f>
        <v>#N/A</v>
      </c>
      <c r="Z1979" s="569" t="e">
        <f>VLOOKUP(D1979,'JOURNAL FACTURES'!A:R,18,0)</f>
        <v>#N/A</v>
      </c>
      <c r="AA1979" s="570" t="e">
        <f t="shared" si="29"/>
        <v>#N/A</v>
      </c>
      <c r="AB1979" s="570" t="e">
        <f t="shared" si="30"/>
        <v>#N/A</v>
      </c>
      <c r="AC1979" s="570" t="e">
        <f t="shared" si="31"/>
        <v>#N/A</v>
      </c>
      <c r="AD1979" s="570" t="e">
        <f t="shared" si="32"/>
        <v>#N/A</v>
      </c>
      <c r="AE1979" s="569">
        <f>VLOOKUP(D1979,TRANSPORT!H:J,3,0)</f>
        <v>4881.6000000000004</v>
      </c>
      <c r="AF1979" s="569">
        <f>+VLOOKUP(D1979,TRANSPORT!N:O,2,0)</f>
        <v>30980.7</v>
      </c>
      <c r="AG1979" s="569">
        <f t="shared" si="33"/>
        <v>0.28154034896401309</v>
      </c>
      <c r="AH1979" s="571" t="e">
        <f t="shared" si="34"/>
        <v>#N/A</v>
      </c>
      <c r="AI1979" s="571" t="e">
        <f t="shared" si="35"/>
        <v>#N/A</v>
      </c>
      <c r="AJ1979" s="571" t="e">
        <f t="shared" si="36"/>
        <v>#N/A</v>
      </c>
      <c r="AK1979" s="571" t="e">
        <f t="shared" si="37"/>
        <v>#N/A</v>
      </c>
      <c r="AL1979" s="572">
        <f>VLOOKUP(D1979,'INTEGRATION PAR CLIENT '!A1374:J1403,10,0)</f>
        <v>1</v>
      </c>
      <c r="AM1979" s="572">
        <f>VLOOKUP(D1979,'INTEGRATION PAR CLIENT '!A1374:L1403,12,0)</f>
        <v>0</v>
      </c>
      <c r="AN1979" s="572">
        <f>+VLOOKUP(D1979,'INTEGRATION PAR CLIENT '!A1374:N1403,14,0)</f>
        <v>0</v>
      </c>
      <c r="AO1979" s="572">
        <f>+VLOOKUP(D1979,'INTEGRATION PAR CLIENT '!A1374:P1403,16,0)</f>
        <v>0</v>
      </c>
    </row>
    <row r="1980" spans="1:41">
      <c r="A1980" s="617">
        <v>100</v>
      </c>
      <c r="B1980" s="496" t="str">
        <f t="shared" si="24"/>
        <v>100</v>
      </c>
      <c r="C1980" s="496">
        <f t="shared" si="25"/>
        <v>0</v>
      </c>
      <c r="D1980" s="566" t="str">
        <f>'2025'!D101</f>
        <v>FAE-25-00100</v>
      </c>
      <c r="E1980" s="496" t="str">
        <f t="shared" si="38"/>
        <v>100</v>
      </c>
      <c r="F1980" s="567">
        <f>+'2025'!G101</f>
        <v>45751</v>
      </c>
      <c r="G1980" s="496">
        <f t="shared" si="26"/>
        <v>2025</v>
      </c>
      <c r="H1980" s="586" t="s">
        <v>17402</v>
      </c>
      <c r="I1980" s="496" t="str">
        <f>+VLOOKUP(H1980,Sheet1!A:C,3,0)</f>
        <v>UBL</v>
      </c>
      <c r="J1980" s="496" t="str">
        <f>+VLOOKUP(H1980,Sheet1!A:D,4,0)</f>
        <v>USD</v>
      </c>
      <c r="K1980" s="497">
        <f t="shared" si="27"/>
        <v>56399.925450000002</v>
      </c>
      <c r="L1980" s="586">
        <v>2.99315</v>
      </c>
      <c r="M1980" s="587">
        <v>18843</v>
      </c>
      <c r="N1980" s="496" t="str">
        <f>+VLOOKUP(E1980,'2025'!E:F,2,0)</f>
        <v>OUI</v>
      </c>
      <c r="O1980" s="496" t="str">
        <f>VLOOKUP(E1980,'2025'!E:N,10,0)</f>
        <v>Qatar</v>
      </c>
      <c r="P1980" s="880">
        <f>VLOOKUP(E1980,'2025'!E:O,11,0)</f>
        <v>45773</v>
      </c>
      <c r="Q1980" s="565">
        <f>VLOOKUP(E1980,'2025'!E:H,4,0)</f>
        <v>0</v>
      </c>
      <c r="R1980" s="565">
        <f>VLOOKUP(E1980,'2025'!E:I,5,0)</f>
        <v>12900</v>
      </c>
      <c r="S1980" s="565">
        <f>VLOOKUP(E1980,'2025'!E:J,6,0)</f>
        <v>0</v>
      </c>
      <c r="T1980" s="565">
        <f>VLOOKUP(E1980,'2025'!E:K,7,0)</f>
        <v>3800</v>
      </c>
      <c r="U1980" s="565">
        <f t="shared" si="28"/>
        <v>16700</v>
      </c>
      <c r="V1980" s="354"/>
      <c r="W1980" s="569" t="e">
        <f>+VLOOKUP(D1980,'JOURNAL FACTURES'!A:O,15,0)</f>
        <v>#N/A</v>
      </c>
      <c r="X1980" s="569" t="e">
        <f>VLOOKUP(D1980,'JOURNAL FACTURES'!A:P,16,0)</f>
        <v>#N/A</v>
      </c>
      <c r="Y1980" s="569" t="e">
        <f>VLOOKUP(D1980,'JOURNAL FACTURES'!A:Q,17,0)</f>
        <v>#N/A</v>
      </c>
      <c r="Z1980" s="569" t="e">
        <f>VLOOKUP(D1980,'JOURNAL FACTURES'!A:R,18,0)</f>
        <v>#N/A</v>
      </c>
      <c r="AA1980" s="570" t="e">
        <f t="shared" si="29"/>
        <v>#N/A</v>
      </c>
      <c r="AB1980" s="570" t="e">
        <f t="shared" si="30"/>
        <v>#N/A</v>
      </c>
      <c r="AC1980" s="570" t="e">
        <f t="shared" si="31"/>
        <v>#N/A</v>
      </c>
      <c r="AD1980" s="570" t="e">
        <f t="shared" si="32"/>
        <v>#N/A</v>
      </c>
      <c r="AE1980" s="569">
        <f>VLOOKUP(D1980,TRANSPORT!H:J,3,0)</f>
        <v>496.30672000000004</v>
      </c>
      <c r="AF1980" s="569">
        <f>+VLOOKUP(D1980,TRANSPORT!N:O,2,0)</f>
        <v>6936.3940000000002</v>
      </c>
      <c r="AG1980" s="569">
        <f t="shared" si="33"/>
        <v>0.41535293413173652</v>
      </c>
      <c r="AH1980" s="571" t="e">
        <f t="shared" si="34"/>
        <v>#N/A</v>
      </c>
      <c r="AI1980" s="571" t="e">
        <f t="shared" si="35"/>
        <v>#N/A</v>
      </c>
      <c r="AJ1980" s="571" t="e">
        <f t="shared" si="36"/>
        <v>#N/A</v>
      </c>
      <c r="AK1980" s="571" t="e">
        <f t="shared" si="37"/>
        <v>#N/A</v>
      </c>
      <c r="AL1980" s="572">
        <f>VLOOKUP(D1980,'INTEGRATION PAR CLIENT '!A1375:J1404,10,0)</f>
        <v>0</v>
      </c>
      <c r="AM1980" s="572">
        <f>VLOOKUP(D1980,'INTEGRATION PAR CLIENT '!A1375:L1404,12,0)</f>
        <v>1</v>
      </c>
      <c r="AN1980" s="572">
        <f>+VLOOKUP(D1980,'INTEGRATION PAR CLIENT '!A1375:N1404,14,0)</f>
        <v>0</v>
      </c>
      <c r="AO1980" s="572">
        <f>+VLOOKUP(D1980,'INTEGRATION PAR CLIENT '!A1375:P1404,16,0)</f>
        <v>1</v>
      </c>
    </row>
    <row r="1981" spans="1:41">
      <c r="A1981" s="617">
        <v>101</v>
      </c>
      <c r="B1981" s="496" t="str">
        <f t="shared" si="24"/>
        <v>101</v>
      </c>
      <c r="C1981" s="496">
        <f t="shared" si="25"/>
        <v>0</v>
      </c>
      <c r="D1981" s="566" t="str">
        <f>'2025'!D102</f>
        <v>FAE-25-00101</v>
      </c>
      <c r="E1981" s="496" t="str">
        <f t="shared" si="38"/>
        <v>101</v>
      </c>
      <c r="F1981" s="567">
        <f>+'2025'!G102</f>
        <v>45751</v>
      </c>
      <c r="G1981" s="496">
        <f t="shared" si="26"/>
        <v>2025</v>
      </c>
      <c r="H1981" s="586" t="s">
        <v>16972</v>
      </c>
      <c r="I1981" s="496" t="str">
        <f>+VLOOKUP(H1981,Sheet1!A:C,3,0)</f>
        <v>STE OMEGA TRADING</v>
      </c>
      <c r="J1981" s="496" t="str">
        <f>+VLOOKUP(H1981,Sheet1!A:D,4,0)</f>
        <v>TND</v>
      </c>
      <c r="K1981" s="497">
        <f t="shared" si="27"/>
        <v>398750</v>
      </c>
      <c r="L1981" s="586">
        <v>1</v>
      </c>
      <c r="M1981" s="587">
        <v>398750</v>
      </c>
      <c r="N1981" s="496" t="str">
        <f>+VLOOKUP(E1981,'2025'!E:F,2,0)</f>
        <v>OUI</v>
      </c>
      <c r="O1981" s="496" t="str">
        <f>VLOOKUP(E1981,'2025'!E:N,10,0)</f>
        <v>Niger</v>
      </c>
      <c r="P1981" s="880">
        <f>VLOOKUP(E1981,'2025'!E:O,11,0)</f>
        <v>45761</v>
      </c>
      <c r="Q1981" s="565">
        <f>VLOOKUP(E1981,'2025'!E:H,4,0)</f>
        <v>0</v>
      </c>
      <c r="R1981" s="565">
        <f>VLOOKUP(E1981,'2025'!E:I,5,0)</f>
        <v>0</v>
      </c>
      <c r="S1981" s="565">
        <f>VLOOKUP(E1981,'2025'!E:J,6,0)</f>
        <v>275000</v>
      </c>
      <c r="T1981" s="565">
        <f>VLOOKUP(E1981,'2025'!E:K,7,0)</f>
        <v>0</v>
      </c>
      <c r="U1981" s="565">
        <f t="shared" si="28"/>
        <v>275000</v>
      </c>
      <c r="V1981" s="354"/>
      <c r="W1981" s="569" t="e">
        <f>+VLOOKUP(D1981,'JOURNAL FACTURES'!A:O,15,0)</f>
        <v>#N/A</v>
      </c>
      <c r="X1981" s="569" t="e">
        <f>VLOOKUP(D1981,'JOURNAL FACTURES'!A:P,16,0)</f>
        <v>#N/A</v>
      </c>
      <c r="Y1981" s="569" t="e">
        <f>VLOOKUP(D1981,'JOURNAL FACTURES'!A:Q,17,0)</f>
        <v>#N/A</v>
      </c>
      <c r="Z1981" s="569" t="e">
        <f>VLOOKUP(D1981,'JOURNAL FACTURES'!A:R,18,0)</f>
        <v>#N/A</v>
      </c>
      <c r="AA1981" s="570" t="e">
        <f t="shared" si="29"/>
        <v>#N/A</v>
      </c>
      <c r="AB1981" s="570" t="e">
        <f t="shared" si="30"/>
        <v>#N/A</v>
      </c>
      <c r="AC1981" s="570" t="e">
        <f t="shared" si="31"/>
        <v>#N/A</v>
      </c>
      <c r="AD1981" s="570" t="e">
        <f t="shared" si="32"/>
        <v>#N/A</v>
      </c>
      <c r="AE1981" s="569">
        <f>VLOOKUP(D1981,TRANSPORT!H:J,3,0)</f>
        <v>0</v>
      </c>
      <c r="AF1981" s="569">
        <f>+VLOOKUP(D1981,TRANSPORT!N:O,2,0)</f>
        <v>0</v>
      </c>
      <c r="AG1981" s="569">
        <f t="shared" si="33"/>
        <v>0</v>
      </c>
      <c r="AH1981" s="571" t="e">
        <f t="shared" si="34"/>
        <v>#N/A</v>
      </c>
      <c r="AI1981" s="571" t="e">
        <f t="shared" si="35"/>
        <v>#N/A</v>
      </c>
      <c r="AJ1981" s="571" t="e">
        <f t="shared" si="36"/>
        <v>#N/A</v>
      </c>
      <c r="AK1981" s="571" t="e">
        <f t="shared" si="37"/>
        <v>#N/A</v>
      </c>
      <c r="AL1981" s="572">
        <f>VLOOKUP(D1981,'INTEGRATION PAR CLIENT '!A1376:J1405,10,0)</f>
        <v>0</v>
      </c>
      <c r="AM1981" s="572">
        <f>VLOOKUP(D1981,'INTEGRATION PAR CLIENT '!A1376:L1405,12,0)</f>
        <v>0</v>
      </c>
      <c r="AN1981" s="572" t="str">
        <f>+VLOOKUP(D1981,'INTEGRATION PAR CLIENT '!A1376:N1405,14,0)</f>
        <v>10%-90%</v>
      </c>
      <c r="AO1981" s="572">
        <f>+VLOOKUP(D1981,'INTEGRATION PAR CLIENT '!A1376:P1405,16,0)</f>
        <v>0</v>
      </c>
    </row>
    <row r="1982" spans="1:41">
      <c r="A1982" s="617">
        <v>102</v>
      </c>
      <c r="B1982" s="496" t="str">
        <f t="shared" si="24"/>
        <v>102</v>
      </c>
      <c r="C1982" s="496">
        <f t="shared" si="25"/>
        <v>0</v>
      </c>
      <c r="D1982" s="566" t="str">
        <f>'2025'!D103</f>
        <v>FAE-25-00102</v>
      </c>
      <c r="E1982" s="496" t="str">
        <f t="shared" si="38"/>
        <v>102</v>
      </c>
      <c r="F1982" s="567">
        <f>+'2025'!G103</f>
        <v>45751</v>
      </c>
      <c r="G1982" s="496">
        <f t="shared" si="26"/>
        <v>2025</v>
      </c>
      <c r="H1982" s="586" t="s">
        <v>16384</v>
      </c>
      <c r="I1982" s="496" t="str">
        <f>+VLOOKUP(H1982,Sheet1!A:C,3,0)</f>
        <v>STE DE COMMERCE INTERNATIONAL</v>
      </c>
      <c r="J1982" s="496" t="str">
        <f>+VLOOKUP(H1982,Sheet1!A:D,4,0)</f>
        <v>TND</v>
      </c>
      <c r="K1982" s="497">
        <f t="shared" si="27"/>
        <v>359941.08</v>
      </c>
      <c r="L1982" s="586">
        <v>1</v>
      </c>
      <c r="M1982" s="587">
        <v>359941.08</v>
      </c>
      <c r="N1982" s="496" t="str">
        <f>+VLOOKUP(E1982,'2025'!E:F,2,0)</f>
        <v>OUI</v>
      </c>
      <c r="O1982" s="496" t="str">
        <f>VLOOKUP(E1982,'2025'!E:N,10,0)</f>
        <v>Sierra Leone</v>
      </c>
      <c r="P1982" s="880">
        <f>VLOOKUP(E1982,'2025'!E:O,11,0)</f>
        <v>45765</v>
      </c>
      <c r="Q1982" s="565">
        <f>VLOOKUP(E1982,'2025'!E:H,4,0)</f>
        <v>152832</v>
      </c>
      <c r="R1982" s="565">
        <f>VLOOKUP(E1982,'2025'!E:I,5,0)</f>
        <v>18456</v>
      </c>
      <c r="S1982" s="565">
        <f>VLOOKUP(E1982,'2025'!E:J,6,0)</f>
        <v>0</v>
      </c>
      <c r="T1982" s="565">
        <f>VLOOKUP(E1982,'2025'!E:K,7,0)</f>
        <v>0</v>
      </c>
      <c r="U1982" s="565">
        <f t="shared" si="28"/>
        <v>171288</v>
      </c>
      <c r="V1982" s="354"/>
      <c r="W1982" s="569" t="e">
        <f>+VLOOKUP(D1982,'JOURNAL FACTURES'!A:O,15,0)</f>
        <v>#N/A</v>
      </c>
      <c r="X1982" s="569" t="e">
        <f>VLOOKUP(D1982,'JOURNAL FACTURES'!A:P,16,0)</f>
        <v>#N/A</v>
      </c>
      <c r="Y1982" s="569" t="e">
        <f>VLOOKUP(D1982,'JOURNAL FACTURES'!A:Q,17,0)</f>
        <v>#N/A</v>
      </c>
      <c r="Z1982" s="569" t="e">
        <f>VLOOKUP(D1982,'JOURNAL FACTURES'!A:R,18,0)</f>
        <v>#N/A</v>
      </c>
      <c r="AA1982" s="570" t="e">
        <f t="shared" si="29"/>
        <v>#N/A</v>
      </c>
      <c r="AB1982" s="570" t="e">
        <f t="shared" si="30"/>
        <v>#N/A</v>
      </c>
      <c r="AC1982" s="570" t="e">
        <f t="shared" si="31"/>
        <v>#N/A</v>
      </c>
      <c r="AD1982" s="570" t="e">
        <f t="shared" si="32"/>
        <v>#N/A</v>
      </c>
      <c r="AE1982" s="569">
        <f>VLOOKUP(D1982,TRANSPORT!H:J,3,0)</f>
        <v>0</v>
      </c>
      <c r="AF1982" s="569">
        <f>+VLOOKUP(D1982,TRANSPORT!N:O,2,0)</f>
        <v>0</v>
      </c>
      <c r="AG1982" s="569">
        <f t="shared" si="33"/>
        <v>0</v>
      </c>
      <c r="AH1982" s="571" t="e">
        <f t="shared" si="34"/>
        <v>#N/A</v>
      </c>
      <c r="AI1982" s="571" t="e">
        <f t="shared" si="35"/>
        <v>#N/A</v>
      </c>
      <c r="AJ1982" s="571" t="e">
        <f t="shared" si="36"/>
        <v>#N/A</v>
      </c>
      <c r="AK1982" s="571" t="e">
        <f t="shared" si="37"/>
        <v>#N/A</v>
      </c>
      <c r="AL1982" s="572">
        <f>VLOOKUP(D1982,'INTEGRATION PAR CLIENT '!A1377:J1406,10,0)</f>
        <v>1</v>
      </c>
      <c r="AM1982" s="572" t="str">
        <f>VLOOKUP(D1982,'INTEGRATION PAR CLIENT '!A1377:L1406,12,0)</f>
        <v>'30%S-70%F</v>
      </c>
      <c r="AN1982" s="572">
        <f>+VLOOKUP(D1982,'INTEGRATION PAR CLIENT '!A1377:N1406,14,0)</f>
        <v>0</v>
      </c>
      <c r="AO1982" s="572">
        <f>+VLOOKUP(D1982,'INTEGRATION PAR CLIENT '!A1377:P1406,16,0)</f>
        <v>0</v>
      </c>
    </row>
    <row r="1983" spans="1:41">
      <c r="A1983" s="617">
        <v>103</v>
      </c>
      <c r="B1983" s="496" t="str">
        <f t="shared" si="24"/>
        <v>103</v>
      </c>
      <c r="C1983" s="496">
        <f t="shared" si="25"/>
        <v>0</v>
      </c>
      <c r="D1983" s="566" t="str">
        <f>'2025'!D104</f>
        <v>FAE-25-00103</v>
      </c>
      <c r="E1983" s="496" t="str">
        <f t="shared" si="38"/>
        <v>103</v>
      </c>
      <c r="F1983" s="567">
        <f>+'2025'!G104</f>
        <v>45751</v>
      </c>
      <c r="G1983" s="496">
        <f t="shared" si="26"/>
        <v>2025</v>
      </c>
      <c r="H1983" s="586" t="s">
        <v>16823</v>
      </c>
      <c r="I1983" s="496" t="str">
        <f>+VLOOKUP(H1983,Sheet1!A:C,3,0)</f>
        <v>E.A.S.B. NAFA</v>
      </c>
      <c r="J1983" s="496" t="str">
        <f>+VLOOKUP(H1983,Sheet1!A:D,4,0)</f>
        <v>USD</v>
      </c>
      <c r="K1983" s="497">
        <f t="shared" si="27"/>
        <v>99176.184000000008</v>
      </c>
      <c r="L1983" s="586">
        <v>2.9944500000000001</v>
      </c>
      <c r="M1983" s="587">
        <v>33120</v>
      </c>
      <c r="N1983" s="496" t="str">
        <f>+VLOOKUP(E1983,'2025'!E:F,2,0)</f>
        <v>OUI</v>
      </c>
      <c r="O1983" s="496" t="str">
        <f>VLOOKUP(E1983,'2025'!E:N,10,0)</f>
        <v>Gambie</v>
      </c>
      <c r="P1983" s="880">
        <f>VLOOKUP(E1983,'2025'!E:O,11,0)</f>
        <v>45763</v>
      </c>
      <c r="Q1983" s="565">
        <f>VLOOKUP(E1983,'2025'!E:H,4,0)</f>
        <v>0</v>
      </c>
      <c r="R1983" s="565">
        <f>VLOOKUP(E1983,'2025'!E:I,5,0)</f>
        <v>0</v>
      </c>
      <c r="S1983" s="565">
        <f>VLOOKUP(E1983,'2025'!E:J,6,0)</f>
        <v>52000</v>
      </c>
      <c r="T1983" s="565">
        <f>VLOOKUP(E1983,'2025'!E:K,7,0)</f>
        <v>0</v>
      </c>
      <c r="U1983" s="565">
        <f t="shared" si="28"/>
        <v>52000</v>
      </c>
      <c r="V1983" s="354"/>
      <c r="W1983" s="569" t="e">
        <f>+VLOOKUP(D1983,'JOURNAL FACTURES'!A:O,15,0)</f>
        <v>#N/A</v>
      </c>
      <c r="X1983" s="569" t="e">
        <f>VLOOKUP(D1983,'JOURNAL FACTURES'!A:P,16,0)</f>
        <v>#N/A</v>
      </c>
      <c r="Y1983" s="569" t="e">
        <f>VLOOKUP(D1983,'JOURNAL FACTURES'!A:Q,17,0)</f>
        <v>#N/A</v>
      </c>
      <c r="Z1983" s="569" t="e">
        <f>VLOOKUP(D1983,'JOURNAL FACTURES'!A:R,18,0)</f>
        <v>#N/A</v>
      </c>
      <c r="AA1983" s="570" t="e">
        <f t="shared" si="29"/>
        <v>#N/A</v>
      </c>
      <c r="AB1983" s="570" t="e">
        <f t="shared" si="30"/>
        <v>#N/A</v>
      </c>
      <c r="AC1983" s="570" t="e">
        <f t="shared" si="31"/>
        <v>#N/A</v>
      </c>
      <c r="AD1983" s="570" t="e">
        <f t="shared" si="32"/>
        <v>#N/A</v>
      </c>
      <c r="AE1983" s="569">
        <f>VLOOKUP(D1983,TRANSPORT!H:J,3,0)</f>
        <v>2471.1200000000003</v>
      </c>
      <c r="AF1983" s="569">
        <f>+VLOOKUP(D1983,TRANSPORT!N:O,2,0)</f>
        <v>15582.258</v>
      </c>
      <c r="AG1983" s="569">
        <f t="shared" si="33"/>
        <v>0.29965880769230768</v>
      </c>
      <c r="AH1983" s="571" t="e">
        <f t="shared" si="34"/>
        <v>#N/A</v>
      </c>
      <c r="AI1983" s="571" t="e">
        <f t="shared" si="35"/>
        <v>#N/A</v>
      </c>
      <c r="AJ1983" s="571" t="e">
        <f t="shared" si="36"/>
        <v>#N/A</v>
      </c>
      <c r="AK1983" s="571" t="e">
        <f t="shared" si="37"/>
        <v>#N/A</v>
      </c>
      <c r="AL1983" s="572">
        <f>VLOOKUP(D1983,'INTEGRATION PAR CLIENT '!A1378:J1407,10,0)</f>
        <v>0</v>
      </c>
      <c r="AM1983" s="572">
        <f>VLOOKUP(D1983,'INTEGRATION PAR CLIENT '!A1378:L1407,12,0)</f>
        <v>0</v>
      </c>
      <c r="AN1983" s="572" t="str">
        <f>+VLOOKUP(D1983,'INTEGRATION PAR CLIENT '!A1378:N1407,14,0)</f>
        <v>10%-90%</v>
      </c>
      <c r="AO1983" s="572">
        <f>+VLOOKUP(D1983,'INTEGRATION PAR CLIENT '!A1378:P1407,16,0)</f>
        <v>0</v>
      </c>
    </row>
    <row r="1984" spans="1:41">
      <c r="A1984" s="617">
        <v>104</v>
      </c>
      <c r="B1984" s="496" t="str">
        <f t="shared" si="24"/>
        <v>104</v>
      </c>
      <c r="C1984" s="496">
        <f t="shared" si="25"/>
        <v>0</v>
      </c>
      <c r="D1984" s="566" t="str">
        <f>'2025'!D105</f>
        <v>FAE-25-00104</v>
      </c>
      <c r="E1984" s="496" t="str">
        <f t="shared" si="38"/>
        <v>104</v>
      </c>
      <c r="F1984" s="567">
        <f>+'2025'!G105</f>
        <v>45751</v>
      </c>
      <c r="G1984" s="496">
        <f t="shared" si="26"/>
        <v>2025</v>
      </c>
      <c r="H1984" s="586" t="s">
        <v>16823</v>
      </c>
      <c r="I1984" s="496" t="str">
        <f>+VLOOKUP(H1984,Sheet1!A:C,3,0)</f>
        <v>E.A.S.B. NAFA</v>
      </c>
      <c r="J1984" s="496" t="str">
        <f>+VLOOKUP(H1984,Sheet1!A:D,4,0)</f>
        <v>USD</v>
      </c>
      <c r="K1984" s="497">
        <f t="shared" si="27"/>
        <v>97361.547300000006</v>
      </c>
      <c r="L1984" s="586">
        <v>2.9944500000000001</v>
      </c>
      <c r="M1984" s="587">
        <v>32514</v>
      </c>
      <c r="N1984" s="496" t="str">
        <f>+VLOOKUP(E1984,'2025'!E:F,2,0)</f>
        <v>OUI</v>
      </c>
      <c r="O1984" s="496" t="str">
        <f>VLOOKUP(E1984,'2025'!E:N,10,0)</f>
        <v>Gambie</v>
      </c>
      <c r="P1984" s="880">
        <f>VLOOKUP(E1984,'2025'!E:O,11,0)</f>
        <v>45763</v>
      </c>
      <c r="Q1984" s="565">
        <f>VLOOKUP(E1984,'2025'!E:H,4,0)</f>
        <v>0</v>
      </c>
      <c r="R1984" s="565">
        <f>VLOOKUP(E1984,'2025'!E:I,5,0)</f>
        <v>41800</v>
      </c>
      <c r="S1984" s="565">
        <f>VLOOKUP(E1984,'2025'!E:J,6,0)</f>
        <v>0</v>
      </c>
      <c r="T1984" s="565">
        <f>VLOOKUP(E1984,'2025'!E:K,7,0)</f>
        <v>0</v>
      </c>
      <c r="U1984" s="565">
        <f t="shared" si="28"/>
        <v>41800</v>
      </c>
      <c r="V1984" s="354"/>
      <c r="W1984" s="569" t="e">
        <f>+VLOOKUP(D1984,'JOURNAL FACTURES'!A:O,15,0)</f>
        <v>#N/A</v>
      </c>
      <c r="X1984" s="569" t="e">
        <f>VLOOKUP(D1984,'JOURNAL FACTURES'!A:P,16,0)</f>
        <v>#N/A</v>
      </c>
      <c r="Y1984" s="569" t="e">
        <f>VLOOKUP(D1984,'JOURNAL FACTURES'!A:Q,17,0)</f>
        <v>#N/A</v>
      </c>
      <c r="Z1984" s="569" t="e">
        <f>VLOOKUP(D1984,'JOURNAL FACTURES'!A:R,18,0)</f>
        <v>#N/A</v>
      </c>
      <c r="AA1984" s="570" t="e">
        <f t="shared" si="29"/>
        <v>#N/A</v>
      </c>
      <c r="AB1984" s="570" t="e">
        <f t="shared" si="30"/>
        <v>#N/A</v>
      </c>
      <c r="AC1984" s="570" t="e">
        <f t="shared" si="31"/>
        <v>#N/A</v>
      </c>
      <c r="AD1984" s="570" t="e">
        <f t="shared" si="32"/>
        <v>#N/A</v>
      </c>
      <c r="AE1984" s="569">
        <f>VLOOKUP(D1984,TRANSPORT!H:J,3,0)</f>
        <v>3713.5616000000005</v>
      </c>
      <c r="AF1984" s="569">
        <f>+VLOOKUP(D1984,TRANSPORT!N:O,2,0)</f>
        <v>21825.606</v>
      </c>
      <c r="AG1984" s="569">
        <f t="shared" si="33"/>
        <v>0.52214368421052626</v>
      </c>
      <c r="AH1984" s="571" t="e">
        <f t="shared" si="34"/>
        <v>#N/A</v>
      </c>
      <c r="AI1984" s="571" t="e">
        <f t="shared" si="35"/>
        <v>#N/A</v>
      </c>
      <c r="AJ1984" s="571" t="e">
        <f t="shared" si="36"/>
        <v>#N/A</v>
      </c>
      <c r="AK1984" s="571" t="e">
        <f t="shared" si="37"/>
        <v>#N/A</v>
      </c>
      <c r="AL1984" s="572">
        <f>VLOOKUP(D1984,'INTEGRATION PAR CLIENT '!A1379:J1408,10,0)</f>
        <v>0</v>
      </c>
      <c r="AM1984" s="572" t="str">
        <f>VLOOKUP(D1984,'INTEGRATION PAR CLIENT '!A1379:L1408,12,0)</f>
        <v>'30%S-70%F</v>
      </c>
      <c r="AN1984" s="572">
        <f>+VLOOKUP(D1984,'INTEGRATION PAR CLIENT '!A1379:N1408,14,0)</f>
        <v>0</v>
      </c>
      <c r="AO1984" s="572">
        <f>+VLOOKUP(D1984,'INTEGRATION PAR CLIENT '!A1379:P1408,16,0)</f>
        <v>0</v>
      </c>
    </row>
    <row r="1985" spans="1:41">
      <c r="A1985" s="617">
        <v>105</v>
      </c>
      <c r="B1985" s="496" t="str">
        <f t="shared" si="24"/>
        <v>105</v>
      </c>
      <c r="C1985" s="496">
        <f t="shared" si="25"/>
        <v>0</v>
      </c>
      <c r="D1985" s="566" t="str">
        <f>'2025'!D106</f>
        <v>FAE-25-00105</v>
      </c>
      <c r="E1985" s="496" t="str">
        <f t="shared" si="38"/>
        <v>105</v>
      </c>
      <c r="F1985" s="567">
        <f>+'2025'!G106</f>
        <v>45751</v>
      </c>
      <c r="G1985" s="496">
        <f t="shared" si="26"/>
        <v>2025</v>
      </c>
      <c r="H1985" s="586" t="s">
        <v>17248</v>
      </c>
      <c r="I1985" s="496" t="str">
        <f>+VLOOKUP(H1985,Sheet1!A:C,3,0)</f>
        <v>GREEN WORLD FOOD EXPRESS</v>
      </c>
      <c r="J1985" s="496" t="str">
        <f>+VLOOKUP(H1985,Sheet1!A:D,4,0)</f>
        <v>USD</v>
      </c>
      <c r="K1985" s="497">
        <f t="shared" si="27"/>
        <v>146019.09244799998</v>
      </c>
      <c r="L1985" s="586">
        <v>2.97065</v>
      </c>
      <c r="M1985" s="587">
        <v>49153.919999999998</v>
      </c>
      <c r="N1985" s="496" t="str">
        <f>+VLOOKUP(E1985,'2025'!E:F,2,0)</f>
        <v>OUI</v>
      </c>
      <c r="O1985" s="496" t="str">
        <f>VLOOKUP(E1985,'2025'!E:N,10,0)</f>
        <v>Canada</v>
      </c>
      <c r="P1985" s="880">
        <f>VLOOKUP(E1985,'2025'!E:O,11,0)</f>
        <v>45772</v>
      </c>
      <c r="Q1985" s="565">
        <f>VLOOKUP(E1985,'2025'!E:H,4,0)</f>
        <v>0</v>
      </c>
      <c r="R1985" s="565">
        <f>VLOOKUP(E1985,'2025'!E:I,5,0)</f>
        <v>47942</v>
      </c>
      <c r="S1985" s="565">
        <f>VLOOKUP(E1985,'2025'!E:J,6,0)</f>
        <v>0</v>
      </c>
      <c r="T1985" s="565">
        <f>VLOOKUP(E1985,'2025'!E:K,7,0)</f>
        <v>0</v>
      </c>
      <c r="U1985" s="565">
        <f t="shared" si="28"/>
        <v>47942</v>
      </c>
      <c r="V1985" s="354"/>
      <c r="W1985" s="569" t="e">
        <f>+VLOOKUP(D1985,'JOURNAL FACTURES'!A:O,15,0)</f>
        <v>#N/A</v>
      </c>
      <c r="X1985" s="569" t="e">
        <f>VLOOKUP(D1985,'JOURNAL FACTURES'!A:P,16,0)</f>
        <v>#N/A</v>
      </c>
      <c r="Y1985" s="569" t="e">
        <f>VLOOKUP(D1985,'JOURNAL FACTURES'!A:Q,17,0)</f>
        <v>#N/A</v>
      </c>
      <c r="Z1985" s="569" t="e">
        <f>VLOOKUP(D1985,'JOURNAL FACTURES'!A:R,18,0)</f>
        <v>#N/A</v>
      </c>
      <c r="AA1985" s="570" t="e">
        <f t="shared" si="29"/>
        <v>#N/A</v>
      </c>
      <c r="AB1985" s="570" t="e">
        <f t="shared" si="30"/>
        <v>#N/A</v>
      </c>
      <c r="AC1985" s="570" t="e">
        <f t="shared" si="31"/>
        <v>#N/A</v>
      </c>
      <c r="AD1985" s="570" t="e">
        <f t="shared" si="32"/>
        <v>#N/A</v>
      </c>
      <c r="AE1985" s="569">
        <f>VLOOKUP(D1985,TRANSPORT!H:J,3,0)</f>
        <v>2045.992</v>
      </c>
      <c r="AF1985" s="569">
        <f>+VLOOKUP(D1985,TRANSPORT!N:O,2,0)</f>
        <v>19036.16</v>
      </c>
      <c r="AG1985" s="569">
        <f t="shared" si="33"/>
        <v>0.39706645530015433</v>
      </c>
      <c r="AH1985" s="571" t="e">
        <f t="shared" si="34"/>
        <v>#N/A</v>
      </c>
      <c r="AI1985" s="571" t="e">
        <f t="shared" si="35"/>
        <v>#N/A</v>
      </c>
      <c r="AJ1985" s="571" t="e">
        <f t="shared" si="36"/>
        <v>#N/A</v>
      </c>
      <c r="AK1985" s="571" t="e">
        <f t="shared" si="37"/>
        <v>#N/A</v>
      </c>
      <c r="AL1985" s="572">
        <f>VLOOKUP(D1985,'INTEGRATION PAR CLIENT '!A1380:J1409,10,0)</f>
        <v>0</v>
      </c>
      <c r="AM1985" s="572">
        <f>VLOOKUP(D1985,'INTEGRATION PAR CLIENT '!A1380:L1409,12,0)</f>
        <v>1</v>
      </c>
      <c r="AN1985" s="572">
        <f>+VLOOKUP(D1985,'INTEGRATION PAR CLIENT '!A1380:N1409,14,0)</f>
        <v>0</v>
      </c>
      <c r="AO1985" s="572">
        <f>+VLOOKUP(D1985,'INTEGRATION PAR CLIENT '!A1380:P1409,16,0)</f>
        <v>0</v>
      </c>
    </row>
    <row r="1986" spans="1:41">
      <c r="A1986" s="617">
        <v>106</v>
      </c>
      <c r="B1986" s="496" t="str">
        <f t="shared" si="24"/>
        <v>106</v>
      </c>
      <c r="C1986" s="496">
        <f t="shared" si="25"/>
        <v>0</v>
      </c>
      <c r="D1986" s="566" t="str">
        <f>'2025'!D107</f>
        <v>FAE-25-00106</v>
      </c>
      <c r="E1986" s="496" t="str">
        <f t="shared" si="38"/>
        <v>106</v>
      </c>
      <c r="F1986" s="567">
        <f>+'2025'!G107</f>
        <v>45751</v>
      </c>
      <c r="G1986" s="496">
        <f t="shared" si="26"/>
        <v>2025</v>
      </c>
      <c r="H1986" s="586" t="s">
        <v>17276</v>
      </c>
      <c r="I1986" s="496" t="str">
        <f>+VLOOKUP(H1986,Sheet1!A:C,3,0)</f>
        <v>MATMATA TRADING</v>
      </c>
      <c r="J1986" s="496" t="str">
        <f>+VLOOKUP(H1986,Sheet1!A:D,4,0)</f>
        <v>EUR</v>
      </c>
      <c r="K1986" s="497">
        <f t="shared" si="27"/>
        <v>47057.145799999998</v>
      </c>
      <c r="L1986" s="586">
        <v>3.4089499999999999</v>
      </c>
      <c r="M1986" s="587">
        <v>13804</v>
      </c>
      <c r="N1986" s="496" t="str">
        <f>+VLOOKUP(E1986,'2025'!E:F,2,0)</f>
        <v>OUI</v>
      </c>
      <c r="O1986" s="496" t="str">
        <f>VLOOKUP(E1986,'2025'!E:N,10,0)</f>
        <v>Mauritanie</v>
      </c>
      <c r="P1986" s="880">
        <f>VLOOKUP(E1986,'2025'!E:O,11,0)</f>
        <v>45764</v>
      </c>
      <c r="Q1986" s="565">
        <f>VLOOKUP(E1986,'2025'!E:H,4,0)</f>
        <v>19200</v>
      </c>
      <c r="R1986" s="565">
        <f>VLOOKUP(E1986,'2025'!E:I,5,0)</f>
        <v>0</v>
      </c>
      <c r="S1986" s="565">
        <f>VLOOKUP(E1986,'2025'!E:J,6,0)</f>
        <v>0</v>
      </c>
      <c r="T1986" s="565">
        <f>VLOOKUP(E1986,'2025'!E:K,7,0)</f>
        <v>0</v>
      </c>
      <c r="U1986" s="565">
        <f t="shared" si="28"/>
        <v>19200</v>
      </c>
      <c r="V1986" s="354"/>
      <c r="W1986" s="569" t="e">
        <f>+VLOOKUP(D1986,'JOURNAL FACTURES'!A:O,15,0)</f>
        <v>#N/A</v>
      </c>
      <c r="X1986" s="569" t="e">
        <f>VLOOKUP(D1986,'JOURNAL FACTURES'!A:P,16,0)</f>
        <v>#N/A</v>
      </c>
      <c r="Y1986" s="569" t="e">
        <f>VLOOKUP(D1986,'JOURNAL FACTURES'!A:Q,17,0)</f>
        <v>#N/A</v>
      </c>
      <c r="Z1986" s="569" t="e">
        <f>VLOOKUP(D1986,'JOURNAL FACTURES'!A:R,18,0)</f>
        <v>#N/A</v>
      </c>
      <c r="AA1986" s="570" t="e">
        <f t="shared" si="29"/>
        <v>#N/A</v>
      </c>
      <c r="AB1986" s="570" t="e">
        <f t="shared" si="30"/>
        <v>#N/A</v>
      </c>
      <c r="AC1986" s="570" t="e">
        <f t="shared" si="31"/>
        <v>#N/A</v>
      </c>
      <c r="AD1986" s="570" t="e">
        <f t="shared" si="32"/>
        <v>#N/A</v>
      </c>
      <c r="AE1986" s="569">
        <f>VLOOKUP(D1986,TRANSPORT!H:J,3,0)</f>
        <v>946.74</v>
      </c>
      <c r="AF1986" s="569">
        <f>+VLOOKUP(D1986,TRANSPORT!N:O,2,0)</f>
        <v>6836.69</v>
      </c>
      <c r="AG1986" s="569">
        <f t="shared" si="33"/>
        <v>0.35607760416666667</v>
      </c>
      <c r="AH1986" s="571" t="e">
        <f t="shared" si="34"/>
        <v>#N/A</v>
      </c>
      <c r="AI1986" s="571" t="e">
        <f t="shared" si="35"/>
        <v>#N/A</v>
      </c>
      <c r="AJ1986" s="571" t="e">
        <f t="shared" si="36"/>
        <v>#N/A</v>
      </c>
      <c r="AK1986" s="571" t="e">
        <f t="shared" si="37"/>
        <v>#N/A</v>
      </c>
      <c r="AL1986" s="572">
        <f>VLOOKUP(D1986,'INTEGRATION PAR CLIENT '!A1381:J1410,10,0)</f>
        <v>0</v>
      </c>
      <c r="AM1986" s="572">
        <f>VLOOKUP(D1986,'INTEGRATION PAR CLIENT '!A1381:L1410,12,0)</f>
        <v>0</v>
      </c>
      <c r="AN1986" s="572">
        <f>+VLOOKUP(D1986,'INTEGRATION PAR CLIENT '!A1381:N1410,14,0)</f>
        <v>0</v>
      </c>
      <c r="AO1986" s="572">
        <f>+VLOOKUP(D1986,'INTEGRATION PAR CLIENT '!A1381:P1410,16,0)</f>
        <v>0</v>
      </c>
    </row>
    <row r="1987" spans="1:41">
      <c r="A1987" s="617">
        <v>107</v>
      </c>
      <c r="B1987" s="496" t="str">
        <f t="shared" si="24"/>
        <v>107</v>
      </c>
      <c r="C1987" s="496">
        <f t="shared" si="25"/>
        <v>0</v>
      </c>
      <c r="D1987" s="566" t="str">
        <f>'2025'!D108</f>
        <v>FAE-25-00107</v>
      </c>
      <c r="E1987" s="496" t="str">
        <f t="shared" si="38"/>
        <v>107</v>
      </c>
      <c r="F1987" s="567">
        <f>+'2025'!G108</f>
        <v>45751</v>
      </c>
      <c r="G1987" s="496">
        <f t="shared" si="26"/>
        <v>2025</v>
      </c>
      <c r="H1987" s="586" t="s">
        <v>17276</v>
      </c>
      <c r="I1987" s="496" t="str">
        <f>+VLOOKUP(H1987,Sheet1!A:C,3,0)</f>
        <v>MATMATA TRADING</v>
      </c>
      <c r="J1987" s="496" t="str">
        <f>+VLOOKUP(H1987,Sheet1!A:D,4,0)</f>
        <v>EUR</v>
      </c>
      <c r="K1987" s="497">
        <f t="shared" si="27"/>
        <v>120980.7945</v>
      </c>
      <c r="L1987" s="586">
        <v>3.4069500000000001</v>
      </c>
      <c r="M1987" s="587">
        <v>35510</v>
      </c>
      <c r="N1987" s="496" t="str">
        <f>+VLOOKUP(E1987,'2025'!E:F,2,0)</f>
        <v>OUI</v>
      </c>
      <c r="O1987" s="496" t="str">
        <f>VLOOKUP(E1987,'2025'!E:N,10,0)</f>
        <v>Mauritanie</v>
      </c>
      <c r="P1987" s="880">
        <f>VLOOKUP(E1987,'2025'!E:O,11,0)</f>
        <v>45770</v>
      </c>
      <c r="Q1987" s="565">
        <f>VLOOKUP(E1987,'2025'!E:H,4,0)</f>
        <v>0</v>
      </c>
      <c r="R1987" s="565">
        <f>VLOOKUP(E1987,'2025'!E:I,5,0)</f>
        <v>56000</v>
      </c>
      <c r="S1987" s="565">
        <f>VLOOKUP(E1987,'2025'!E:J,6,0)</f>
        <v>0</v>
      </c>
      <c r="T1987" s="565">
        <f>VLOOKUP(E1987,'2025'!E:K,7,0)</f>
        <v>0</v>
      </c>
      <c r="U1987" s="565">
        <f t="shared" si="28"/>
        <v>56000</v>
      </c>
      <c r="V1987" s="354"/>
      <c r="W1987" s="569" t="e">
        <f>+VLOOKUP(D1987,'JOURNAL FACTURES'!A:O,15,0)</f>
        <v>#N/A</v>
      </c>
      <c r="X1987" s="569" t="e">
        <f>VLOOKUP(D1987,'JOURNAL FACTURES'!A:P,16,0)</f>
        <v>#N/A</v>
      </c>
      <c r="Y1987" s="569" t="e">
        <f>VLOOKUP(D1987,'JOURNAL FACTURES'!A:Q,17,0)</f>
        <v>#N/A</v>
      </c>
      <c r="Z1987" s="569" t="e">
        <f>VLOOKUP(D1987,'JOURNAL FACTURES'!A:R,18,0)</f>
        <v>#N/A</v>
      </c>
      <c r="AA1987" s="570" t="e">
        <f t="shared" si="29"/>
        <v>#N/A</v>
      </c>
      <c r="AB1987" s="570" t="e">
        <f t="shared" si="30"/>
        <v>#N/A</v>
      </c>
      <c r="AC1987" s="570" t="e">
        <f t="shared" si="31"/>
        <v>#N/A</v>
      </c>
      <c r="AD1987" s="570" t="e">
        <f t="shared" si="32"/>
        <v>#N/A</v>
      </c>
      <c r="AE1987" s="569">
        <f>VLOOKUP(D1987,TRANSPORT!H:J,3,0)</f>
        <v>3117.1200000000003</v>
      </c>
      <c r="AF1987" s="569">
        <f>+VLOOKUP(D1987,TRANSPORT!N:O,2,0)</f>
        <v>18609.36</v>
      </c>
      <c r="AG1987" s="569">
        <f t="shared" si="33"/>
        <v>0.33230999999999999</v>
      </c>
      <c r="AH1987" s="571" t="e">
        <f t="shared" si="34"/>
        <v>#N/A</v>
      </c>
      <c r="AI1987" s="571" t="e">
        <f t="shared" si="35"/>
        <v>#N/A</v>
      </c>
      <c r="AJ1987" s="571" t="e">
        <f t="shared" si="36"/>
        <v>#N/A</v>
      </c>
      <c r="AK1987" s="571" t="e">
        <f t="shared" si="37"/>
        <v>#N/A</v>
      </c>
      <c r="AL1987" s="572">
        <f>VLOOKUP(D1987,'INTEGRATION PAR CLIENT '!A1382:J1411,10,0)</f>
        <v>0</v>
      </c>
      <c r="AM1987" s="572" t="str">
        <f>VLOOKUP(D1987,'INTEGRATION PAR CLIENT '!A1382:L1411,12,0)</f>
        <v>'30%S-70%F</v>
      </c>
      <c r="AN1987" s="572">
        <f>+VLOOKUP(D1987,'INTEGRATION PAR CLIENT '!A1382:N1411,14,0)</f>
        <v>0</v>
      </c>
      <c r="AO1987" s="572">
        <f>+VLOOKUP(D1987,'INTEGRATION PAR CLIENT '!A1382:P1411,16,0)</f>
        <v>0</v>
      </c>
    </row>
    <row r="1988" spans="1:41">
      <c r="A1988" s="617">
        <v>108</v>
      </c>
      <c r="B1988" s="496" t="str">
        <f t="shared" si="24"/>
        <v>108</v>
      </c>
      <c r="C1988" s="496">
        <f t="shared" si="25"/>
        <v>0</v>
      </c>
      <c r="D1988" s="566" t="str">
        <f>'2025'!D109</f>
        <v>FAE-25-00108</v>
      </c>
      <c r="E1988" s="496" t="str">
        <f t="shared" si="38"/>
        <v>108</v>
      </c>
      <c r="F1988" s="567">
        <f>+'2025'!G109</f>
        <v>45751</v>
      </c>
      <c r="G1988" s="496">
        <f t="shared" si="26"/>
        <v>2025</v>
      </c>
      <c r="H1988" s="586" t="s">
        <v>17309</v>
      </c>
      <c r="I1988" s="496" t="str">
        <f>+VLOOKUP(H1988,Sheet1!A:C,3,0)</f>
        <v>MARCOM INTERN</v>
      </c>
      <c r="J1988" s="496" t="str">
        <f>+VLOOKUP(H1988,Sheet1!A:D,4,0)</f>
        <v>TND</v>
      </c>
      <c r="K1988" s="497">
        <f t="shared" si="27"/>
        <v>161280</v>
      </c>
      <c r="L1988" s="586">
        <v>1</v>
      </c>
      <c r="M1988" s="587">
        <v>161280</v>
      </c>
      <c r="N1988" s="496" t="str">
        <f>+VLOOKUP(E1988,'2025'!E:F,2,0)</f>
        <v>OUI</v>
      </c>
      <c r="O1988" s="496" t="str">
        <f>VLOOKUP(E1988,'2025'!E:N,10,0)</f>
        <v>Burkina Faso</v>
      </c>
      <c r="P1988" s="880">
        <f>VLOOKUP(E1988,'2025'!E:O,11,0)</f>
        <v>45777</v>
      </c>
      <c r="Q1988" s="565">
        <f>VLOOKUP(E1988,'2025'!E:H,4,0)</f>
        <v>76800</v>
      </c>
      <c r="R1988" s="565">
        <f>VLOOKUP(E1988,'2025'!E:I,5,0)</f>
        <v>0</v>
      </c>
      <c r="S1988" s="565">
        <f>VLOOKUP(E1988,'2025'!E:J,6,0)</f>
        <v>0</v>
      </c>
      <c r="T1988" s="565">
        <f>VLOOKUP(E1988,'2025'!E:K,7,0)</f>
        <v>0</v>
      </c>
      <c r="U1988" s="565">
        <f t="shared" si="28"/>
        <v>76800</v>
      </c>
      <c r="V1988" s="354"/>
      <c r="W1988" s="569" t="e">
        <f>+VLOOKUP(D1988,'JOURNAL FACTURES'!A:O,15,0)</f>
        <v>#N/A</v>
      </c>
      <c r="X1988" s="569" t="e">
        <f>VLOOKUP(D1988,'JOURNAL FACTURES'!A:P,16,0)</f>
        <v>#N/A</v>
      </c>
      <c r="Y1988" s="569" t="e">
        <f>VLOOKUP(D1988,'JOURNAL FACTURES'!A:Q,17,0)</f>
        <v>#N/A</v>
      </c>
      <c r="Z1988" s="569" t="e">
        <f>VLOOKUP(D1988,'JOURNAL FACTURES'!A:R,18,0)</f>
        <v>#N/A</v>
      </c>
      <c r="AA1988" s="570" t="e">
        <f t="shared" si="29"/>
        <v>#N/A</v>
      </c>
      <c r="AB1988" s="570" t="e">
        <f t="shared" si="30"/>
        <v>#N/A</v>
      </c>
      <c r="AC1988" s="570" t="e">
        <f t="shared" si="31"/>
        <v>#N/A</v>
      </c>
      <c r="AD1988" s="570" t="e">
        <f t="shared" si="32"/>
        <v>#N/A</v>
      </c>
      <c r="AE1988" s="569">
        <f>VLOOKUP(D1988,TRANSPORT!H:J,3,0)</f>
        <v>0</v>
      </c>
      <c r="AF1988" s="569">
        <f>+VLOOKUP(D1988,TRANSPORT!N:O,2,0)</f>
        <v>0</v>
      </c>
      <c r="AG1988" s="569">
        <f t="shared" si="33"/>
        <v>0</v>
      </c>
      <c r="AH1988" s="571" t="e">
        <f t="shared" si="34"/>
        <v>#N/A</v>
      </c>
      <c r="AI1988" s="571" t="e">
        <f t="shared" si="35"/>
        <v>#N/A</v>
      </c>
      <c r="AJ1988" s="571" t="e">
        <f t="shared" si="36"/>
        <v>#N/A</v>
      </c>
      <c r="AK1988" s="571" t="e">
        <f t="shared" si="37"/>
        <v>#N/A</v>
      </c>
      <c r="AL1988" s="572">
        <f>VLOOKUP(D1988,'INTEGRATION PAR CLIENT '!A1383:J1412,10,0)</f>
        <v>1</v>
      </c>
      <c r="AM1988" s="572">
        <f>VLOOKUP(D1988,'INTEGRATION PAR CLIENT '!A1383:L1412,12,0)</f>
        <v>0</v>
      </c>
      <c r="AN1988" s="572">
        <f>+VLOOKUP(D1988,'INTEGRATION PAR CLIENT '!A1383:N1412,14,0)</f>
        <v>0</v>
      </c>
      <c r="AO1988" s="572">
        <f>+VLOOKUP(D1988,'INTEGRATION PAR CLIENT '!A1383:P1412,16,0)</f>
        <v>0</v>
      </c>
    </row>
    <row r="1989" spans="1:41">
      <c r="A1989" s="617">
        <v>109</v>
      </c>
      <c r="B1989" s="496" t="str">
        <f t="shared" si="24"/>
        <v>109</v>
      </c>
      <c r="C1989" s="496">
        <f t="shared" si="25"/>
        <v>0</v>
      </c>
      <c r="D1989" s="566" t="str">
        <f>'2025'!D110</f>
        <v>FAE-25-00109</v>
      </c>
      <c r="E1989" s="496" t="str">
        <f t="shared" si="38"/>
        <v>109</v>
      </c>
      <c r="F1989" s="567" t="str">
        <f>+'2025'!G110</f>
        <v>14/04/2025</v>
      </c>
      <c r="G1989" s="496">
        <f t="shared" si="26"/>
        <v>2025</v>
      </c>
      <c r="H1989" s="586" t="s">
        <v>17309</v>
      </c>
      <c r="I1989" s="496" t="str">
        <f>+VLOOKUP(H1989,Sheet1!A:C,3,0)</f>
        <v>MARCOM INTERN</v>
      </c>
      <c r="J1989" s="496" t="str">
        <f>+VLOOKUP(H1989,Sheet1!A:D,4,0)</f>
        <v>TND</v>
      </c>
      <c r="K1989" s="497">
        <f t="shared" si="27"/>
        <v>806137</v>
      </c>
      <c r="L1989" s="586">
        <v>1</v>
      </c>
      <c r="M1989" s="587">
        <v>806137</v>
      </c>
      <c r="N1989" s="496" t="str">
        <f>+VLOOKUP(E1989,'2025'!E:F,2,0)</f>
        <v>OUI</v>
      </c>
      <c r="O1989" s="496" t="str">
        <f>VLOOKUP(E1989,'2025'!E:N,10,0)</f>
        <v>Senegal</v>
      </c>
      <c r="P1989" s="880">
        <f>VLOOKUP(E1989,'2025'!E:O,11,0)</f>
        <v>45777</v>
      </c>
      <c r="Q1989" s="565">
        <f>VLOOKUP(E1989,'2025'!E:H,4,0)</f>
        <v>46000</v>
      </c>
      <c r="R1989" s="565">
        <f>VLOOKUP(E1989,'2025'!E:I,5,0)</f>
        <v>45000</v>
      </c>
      <c r="S1989" s="565">
        <f>VLOOKUP(E1989,'2025'!E:J,6,0)</f>
        <v>400000</v>
      </c>
      <c r="T1989" s="565">
        <f>VLOOKUP(E1989,'2025'!E:K,7,0)</f>
        <v>0</v>
      </c>
      <c r="U1989" s="565">
        <f t="shared" si="28"/>
        <v>491000</v>
      </c>
      <c r="V1989" s="354"/>
      <c r="W1989" s="569" t="e">
        <f>+VLOOKUP(D1989,'JOURNAL FACTURES'!A:O,15,0)</f>
        <v>#N/A</v>
      </c>
      <c r="X1989" s="569" t="e">
        <f>VLOOKUP(D1989,'JOURNAL FACTURES'!A:P,16,0)</f>
        <v>#N/A</v>
      </c>
      <c r="Y1989" s="569" t="e">
        <f>VLOOKUP(D1989,'JOURNAL FACTURES'!A:Q,17,0)</f>
        <v>#N/A</v>
      </c>
      <c r="Z1989" s="569" t="e">
        <f>VLOOKUP(D1989,'JOURNAL FACTURES'!A:R,18,0)</f>
        <v>#N/A</v>
      </c>
      <c r="AA1989" s="570" t="e">
        <f t="shared" si="29"/>
        <v>#N/A</v>
      </c>
      <c r="AB1989" s="570" t="e">
        <f t="shared" si="30"/>
        <v>#N/A</v>
      </c>
      <c r="AC1989" s="570" t="e">
        <f t="shared" si="31"/>
        <v>#N/A</v>
      </c>
      <c r="AD1989" s="570" t="e">
        <f t="shared" si="32"/>
        <v>#N/A</v>
      </c>
      <c r="AE1989" s="569">
        <f>VLOOKUP(D1989,TRANSPORT!H:J,3,0)</f>
        <v>0</v>
      </c>
      <c r="AF1989" s="569">
        <f>+VLOOKUP(D1989,TRANSPORT!N:O,2,0)</f>
        <v>0</v>
      </c>
      <c r="AG1989" s="569">
        <f t="shared" si="33"/>
        <v>0</v>
      </c>
      <c r="AH1989" s="571" t="e">
        <f t="shared" si="34"/>
        <v>#N/A</v>
      </c>
      <c r="AI1989" s="571" t="e">
        <f t="shared" si="35"/>
        <v>#N/A</v>
      </c>
      <c r="AJ1989" s="571" t="e">
        <f t="shared" si="36"/>
        <v>#N/A</v>
      </c>
      <c r="AK1989" s="571" t="e">
        <f t="shared" si="37"/>
        <v>#N/A</v>
      </c>
      <c r="AL1989" s="572">
        <f>VLOOKUP(D1989,'INTEGRATION PAR CLIENT '!A1384:J1413,10,0)</f>
        <v>0</v>
      </c>
      <c r="AM1989" s="572" t="str">
        <f>VLOOKUP(D1989,'INTEGRATION PAR CLIENT '!A1384:L1413,12,0)</f>
        <v>10%-90%</v>
      </c>
      <c r="AN1989" s="572">
        <f>+VLOOKUP(D1989,'INTEGRATION PAR CLIENT '!A1384:N1413,14,0)</f>
        <v>0</v>
      </c>
      <c r="AO1989" s="572">
        <f>+VLOOKUP(D1989,'INTEGRATION PAR CLIENT '!A1384:P1413,16,0)</f>
        <v>0</v>
      </c>
    </row>
    <row r="1990" spans="1:41">
      <c r="A1990" s="617">
        <v>110</v>
      </c>
      <c r="B1990" s="496" t="str">
        <f t="shared" si="24"/>
        <v>110</v>
      </c>
      <c r="C1990" s="496">
        <f t="shared" si="25"/>
        <v>0</v>
      </c>
      <c r="D1990" s="566" t="str">
        <f>'2025'!D111</f>
        <v>FAE-25-00110</v>
      </c>
      <c r="E1990" s="496" t="str">
        <f t="shared" si="38"/>
        <v>110</v>
      </c>
      <c r="F1990" s="567">
        <f>+'2025'!G111</f>
        <v>45761</v>
      </c>
      <c r="G1990" s="496">
        <f t="shared" si="26"/>
        <v>2025</v>
      </c>
      <c r="H1990" s="586" t="s">
        <v>16838</v>
      </c>
      <c r="I1990" s="496" t="str">
        <f>+VLOOKUP(H1990,Sheet1!A:C,3,0)</f>
        <v>TUNISIAN AFRICAN BUSINESS</v>
      </c>
      <c r="J1990" s="496" t="str">
        <f>+VLOOKUP(H1990,Sheet1!A:D,4,0)</f>
        <v>TND</v>
      </c>
      <c r="K1990" s="497">
        <f t="shared" si="27"/>
        <v>293400</v>
      </c>
      <c r="L1990" s="586">
        <v>1</v>
      </c>
      <c r="M1990" s="587">
        <v>293400</v>
      </c>
      <c r="N1990" s="496" t="str">
        <f>+VLOOKUP(E1990,'2025'!E:F,2,0)</f>
        <v>OUI</v>
      </c>
      <c r="O1990" s="496" t="str">
        <f>VLOOKUP(E1990,'2025'!E:N,10,0)</f>
        <v>Senegal</v>
      </c>
      <c r="P1990" s="880">
        <f>VLOOKUP(E1990,'2025'!E:O,11,0)</f>
        <v>45771</v>
      </c>
      <c r="Q1990" s="565">
        <f>VLOOKUP(E1990,'2025'!E:H,4,0)</f>
        <v>0</v>
      </c>
      <c r="R1990" s="565">
        <f>VLOOKUP(E1990,'2025'!E:I,5,0)</f>
        <v>180000</v>
      </c>
      <c r="S1990" s="565">
        <f>VLOOKUP(E1990,'2025'!E:J,6,0)</f>
        <v>0</v>
      </c>
      <c r="T1990" s="565">
        <f>VLOOKUP(E1990,'2025'!E:K,7,0)</f>
        <v>0</v>
      </c>
      <c r="U1990" s="565">
        <f t="shared" si="28"/>
        <v>180000</v>
      </c>
      <c r="V1990" s="354"/>
      <c r="W1990" s="569" t="e">
        <f>+VLOOKUP(D1990,'JOURNAL FACTURES'!A:O,15,0)</f>
        <v>#N/A</v>
      </c>
      <c r="X1990" s="569" t="e">
        <f>VLOOKUP(D1990,'JOURNAL FACTURES'!A:P,16,0)</f>
        <v>#N/A</v>
      </c>
      <c r="Y1990" s="569" t="e">
        <f>VLOOKUP(D1990,'JOURNAL FACTURES'!A:Q,17,0)</f>
        <v>#N/A</v>
      </c>
      <c r="Z1990" s="569" t="e">
        <f>VLOOKUP(D1990,'JOURNAL FACTURES'!A:R,18,0)</f>
        <v>#N/A</v>
      </c>
      <c r="AA1990" s="570" t="e">
        <f t="shared" si="29"/>
        <v>#N/A</v>
      </c>
      <c r="AB1990" s="570" t="e">
        <f t="shared" si="30"/>
        <v>#N/A</v>
      </c>
      <c r="AC1990" s="570" t="e">
        <f t="shared" si="31"/>
        <v>#N/A</v>
      </c>
      <c r="AD1990" s="570" t="e">
        <f t="shared" si="32"/>
        <v>#N/A</v>
      </c>
      <c r="AE1990" s="569">
        <f>VLOOKUP(D1990,TRANSPORT!H:J,3,0)</f>
        <v>0</v>
      </c>
      <c r="AF1990" s="569">
        <f>+VLOOKUP(D1990,TRANSPORT!N:O,2,0)</f>
        <v>0</v>
      </c>
      <c r="AG1990" s="569">
        <f t="shared" si="33"/>
        <v>0</v>
      </c>
      <c r="AH1990" s="571" t="e">
        <f t="shared" si="34"/>
        <v>#N/A</v>
      </c>
      <c r="AI1990" s="571" t="e">
        <f t="shared" si="35"/>
        <v>#N/A</v>
      </c>
      <c r="AJ1990" s="571" t="e">
        <f t="shared" si="36"/>
        <v>#N/A</v>
      </c>
      <c r="AK1990" s="571" t="e">
        <f t="shared" si="37"/>
        <v>#N/A</v>
      </c>
      <c r="AL1990" s="572">
        <f>VLOOKUP(D1990,'INTEGRATION PAR CLIENT '!A1385:J1414,10,0)</f>
        <v>0</v>
      </c>
      <c r="AM1990" s="572" t="str">
        <f>VLOOKUP(D1990,'INTEGRATION PAR CLIENT '!A1385:L1414,12,0)</f>
        <v>10%-90%</v>
      </c>
      <c r="AN1990" s="572">
        <f>+VLOOKUP(D1990,'INTEGRATION PAR CLIENT '!A1385:N1414,14,0)</f>
        <v>0</v>
      </c>
      <c r="AO1990" s="572">
        <f>+VLOOKUP(D1990,'INTEGRATION PAR CLIENT '!A1385:P1414,16,0)</f>
        <v>0</v>
      </c>
    </row>
    <row r="1991" spans="1:41">
      <c r="A1991" s="617">
        <v>111</v>
      </c>
      <c r="B1991" s="496" t="str">
        <f t="shared" si="24"/>
        <v>111</v>
      </c>
      <c r="C1991" s="496">
        <f t="shared" si="25"/>
        <v>0</v>
      </c>
      <c r="D1991" s="566" t="str">
        <f>'2025'!D112</f>
        <v>FAE-25-00111</v>
      </c>
      <c r="E1991" s="496" t="str">
        <f t="shared" si="38"/>
        <v>111</v>
      </c>
      <c r="F1991" s="567">
        <f>+'2025'!G112</f>
        <v>45761</v>
      </c>
      <c r="G1991" s="496">
        <f t="shared" si="26"/>
        <v>2025</v>
      </c>
      <c r="H1991" s="586" t="s">
        <v>17259</v>
      </c>
      <c r="I1991" s="496" t="str">
        <f>+VLOOKUP(H1991,Sheet1!A:C,3,0)</f>
        <v>RNK DISTRIBUTION</v>
      </c>
      <c r="J1991" s="496" t="str">
        <f>+VLOOKUP(H1991,Sheet1!A:D,4,0)</f>
        <v>USD</v>
      </c>
      <c r="K1991" s="497">
        <f t="shared" si="27"/>
        <v>107929.62179999999</v>
      </c>
      <c r="L1991" s="586">
        <v>2.99505</v>
      </c>
      <c r="M1991" s="587">
        <v>36036</v>
      </c>
      <c r="N1991" s="496" t="str">
        <f>+VLOOKUP(E1991,'2025'!E:F,2,0)</f>
        <v>OUI</v>
      </c>
      <c r="O1991" s="496" t="str">
        <f>VLOOKUP(E1991,'2025'!E:N,10,0)</f>
        <v>Madagascar</v>
      </c>
      <c r="P1991" s="880">
        <f>VLOOKUP(E1991,'2025'!E:O,11,0)</f>
        <v>45765</v>
      </c>
      <c r="Q1991" s="565">
        <f>VLOOKUP(E1991,'2025'!E:H,4,0)</f>
        <v>0</v>
      </c>
      <c r="R1991" s="565">
        <f>VLOOKUP(E1991,'2025'!E:I,5,0)</f>
        <v>25200</v>
      </c>
      <c r="S1991" s="565">
        <f>VLOOKUP(E1991,'2025'!E:J,6,0)</f>
        <v>30800</v>
      </c>
      <c r="T1991" s="565">
        <f>VLOOKUP(E1991,'2025'!E:K,7,0)</f>
        <v>0</v>
      </c>
      <c r="U1991" s="565">
        <f t="shared" si="28"/>
        <v>56000</v>
      </c>
      <c r="V1991" s="354"/>
      <c r="W1991" s="569" t="e">
        <f>+VLOOKUP(D1991,'JOURNAL FACTURES'!A:O,15,0)</f>
        <v>#N/A</v>
      </c>
      <c r="X1991" s="569" t="e">
        <f>VLOOKUP(D1991,'JOURNAL FACTURES'!A:P,16,0)</f>
        <v>#N/A</v>
      </c>
      <c r="Y1991" s="569" t="e">
        <f>VLOOKUP(D1991,'JOURNAL FACTURES'!A:Q,17,0)</f>
        <v>#N/A</v>
      </c>
      <c r="Z1991" s="569" t="e">
        <f>VLOOKUP(D1991,'JOURNAL FACTURES'!A:R,18,0)</f>
        <v>#N/A</v>
      </c>
      <c r="AA1991" s="570" t="e">
        <f t="shared" si="29"/>
        <v>#N/A</v>
      </c>
      <c r="AB1991" s="570" t="e">
        <f t="shared" si="30"/>
        <v>#N/A</v>
      </c>
      <c r="AC1991" s="570" t="e">
        <f t="shared" si="31"/>
        <v>#N/A</v>
      </c>
      <c r="AD1991" s="570" t="e">
        <f t="shared" si="32"/>
        <v>#N/A</v>
      </c>
      <c r="AE1991" s="569">
        <f>VLOOKUP(D1991,TRANSPORT!H:J,3,0)</f>
        <v>2992.92</v>
      </c>
      <c r="AF1991" s="569">
        <f>+VLOOKUP(D1991,TRANSPORT!N:O,2,0)</f>
        <v>19042.29</v>
      </c>
      <c r="AG1991" s="569">
        <f t="shared" si="33"/>
        <v>0.3400408928571429</v>
      </c>
      <c r="AH1991" s="571" t="e">
        <f t="shared" si="34"/>
        <v>#N/A</v>
      </c>
      <c r="AI1991" s="571" t="e">
        <f t="shared" si="35"/>
        <v>#N/A</v>
      </c>
      <c r="AJ1991" s="571" t="e">
        <f t="shared" si="36"/>
        <v>#N/A</v>
      </c>
      <c r="AK1991" s="571" t="e">
        <f t="shared" si="37"/>
        <v>#N/A</v>
      </c>
      <c r="AL1991" s="572">
        <f>VLOOKUP(D1991,'INTEGRATION PAR CLIENT '!A1386:J1415,10,0)</f>
        <v>0</v>
      </c>
      <c r="AM1991" s="572" t="str">
        <f>VLOOKUP(D1991,'INTEGRATION PAR CLIENT '!A1386:L1415,12,0)</f>
        <v>20%S-80%F</v>
      </c>
      <c r="AN1991" s="572" t="str">
        <f>+VLOOKUP(D1991,'INTEGRATION PAR CLIENT '!A1386:N1415,14,0)</f>
        <v>10%-90%</v>
      </c>
      <c r="AO1991" s="572">
        <f>+VLOOKUP(D1991,'INTEGRATION PAR CLIENT '!A1386:P1415,16,0)</f>
        <v>0</v>
      </c>
    </row>
    <row r="1992" spans="1:41">
      <c r="A1992" s="617">
        <v>112</v>
      </c>
      <c r="B1992" s="496" t="str">
        <f t="shared" si="24"/>
        <v>112</v>
      </c>
      <c r="C1992" s="496">
        <f t="shared" si="25"/>
        <v>0</v>
      </c>
      <c r="D1992" s="566" t="str">
        <f>'2025'!D113</f>
        <v>FAE-25-00112</v>
      </c>
      <c r="E1992" s="496" t="str">
        <f t="shared" si="38"/>
        <v>112</v>
      </c>
      <c r="F1992" s="567">
        <f>+'2025'!G113</f>
        <v>45761</v>
      </c>
      <c r="G1992" s="496">
        <f t="shared" si="26"/>
        <v>2025</v>
      </c>
      <c r="H1992" s="586" t="s">
        <v>16972</v>
      </c>
      <c r="I1992" s="496" t="str">
        <f>+VLOOKUP(H1992,Sheet1!A:C,3,0)</f>
        <v>STE OMEGA TRADING</v>
      </c>
      <c r="J1992" s="496" t="str">
        <f>+VLOOKUP(H1992,Sheet1!A:D,4,0)</f>
        <v>TND</v>
      </c>
      <c r="K1992" s="497">
        <f t="shared" si="27"/>
        <v>83350</v>
      </c>
      <c r="L1992" s="586">
        <v>1</v>
      </c>
      <c r="M1992" s="587">
        <v>83350</v>
      </c>
      <c r="N1992" s="496" t="str">
        <f>+VLOOKUP(E1992,'2025'!E:F,2,0)</f>
        <v>OUI</v>
      </c>
      <c r="O1992" s="496" t="str">
        <f>VLOOKUP(E1992,'2025'!E:N,10,0)</f>
        <v>Niger</v>
      </c>
      <c r="P1992" s="880">
        <f>VLOOKUP(E1992,'2025'!E:O,11,0)</f>
        <v>45784</v>
      </c>
      <c r="Q1992" s="565">
        <f>VLOOKUP(E1992,'2025'!E:H,4,0)</f>
        <v>39200</v>
      </c>
      <c r="R1992" s="565">
        <f>VLOOKUP(E1992,'2025'!E:I,5,0)</f>
        <v>0</v>
      </c>
      <c r="S1992" s="565">
        <f>VLOOKUP(E1992,'2025'!E:J,6,0)</f>
        <v>0</v>
      </c>
      <c r="T1992" s="565">
        <f>VLOOKUP(E1992,'2025'!E:K,7,0)</f>
        <v>0</v>
      </c>
      <c r="U1992" s="565">
        <f t="shared" si="28"/>
        <v>39200</v>
      </c>
      <c r="V1992" s="354"/>
      <c r="W1992" s="569" t="e">
        <f>+VLOOKUP(D1992,'JOURNAL FACTURES'!A:O,15,0)</f>
        <v>#N/A</v>
      </c>
      <c r="X1992" s="569" t="e">
        <f>VLOOKUP(D1992,'JOURNAL FACTURES'!A:P,16,0)</f>
        <v>#N/A</v>
      </c>
      <c r="Y1992" s="569" t="e">
        <f>VLOOKUP(D1992,'JOURNAL FACTURES'!A:Q,17,0)</f>
        <v>#N/A</v>
      </c>
      <c r="Z1992" s="569" t="e">
        <f>VLOOKUP(D1992,'JOURNAL FACTURES'!A:R,18,0)</f>
        <v>#N/A</v>
      </c>
      <c r="AA1992" s="570" t="e">
        <f t="shared" si="29"/>
        <v>#N/A</v>
      </c>
      <c r="AB1992" s="570" t="e">
        <f t="shared" si="30"/>
        <v>#N/A</v>
      </c>
      <c r="AC1992" s="570" t="e">
        <f t="shared" si="31"/>
        <v>#N/A</v>
      </c>
      <c r="AD1992" s="570" t="e">
        <f t="shared" si="32"/>
        <v>#N/A</v>
      </c>
      <c r="AE1992" s="569">
        <f>VLOOKUP(D1992,TRANSPORT!H:J,3,0)</f>
        <v>0</v>
      </c>
      <c r="AF1992" s="569">
        <f>+VLOOKUP(D1992,TRANSPORT!N:O,2,0)</f>
        <v>0</v>
      </c>
      <c r="AG1992" s="569">
        <f t="shared" si="33"/>
        <v>0</v>
      </c>
      <c r="AH1992" s="571" t="e">
        <f t="shared" si="34"/>
        <v>#N/A</v>
      </c>
      <c r="AI1992" s="571" t="e">
        <f t="shared" si="35"/>
        <v>#N/A</v>
      </c>
      <c r="AJ1992" s="571" t="e">
        <f t="shared" si="36"/>
        <v>#N/A</v>
      </c>
      <c r="AK1992" s="571" t="e">
        <f t="shared" si="37"/>
        <v>#N/A</v>
      </c>
      <c r="AL1992" s="572">
        <f>VLOOKUP(D1992,'INTEGRATION PAR CLIENT '!A1388:J1416,10,0)</f>
        <v>1</v>
      </c>
      <c r="AM1992" s="572">
        <f>VLOOKUP(D1992,'INTEGRATION PAR CLIENT '!A1388:L1416,12,0)</f>
        <v>0</v>
      </c>
      <c r="AN1992" s="572">
        <f>+VLOOKUP(D1992,'INTEGRATION PAR CLIENT '!A1388:N1416,14,0)</f>
        <v>0</v>
      </c>
      <c r="AO1992" s="572">
        <f>+VLOOKUP(D1992,'INTEGRATION PAR CLIENT '!A1388:P1416,16,0)</f>
        <v>0</v>
      </c>
    </row>
    <row r="1993" spans="1:41">
      <c r="A1993" s="617">
        <v>113</v>
      </c>
      <c r="B1993" s="496" t="str">
        <f t="shared" si="24"/>
        <v>113</v>
      </c>
      <c r="C1993" s="496">
        <f t="shared" si="25"/>
        <v>0</v>
      </c>
      <c r="D1993" s="566" t="str">
        <f>'2025'!D114</f>
        <v>FAE-25-00113</v>
      </c>
      <c r="E1993" s="496" t="str">
        <f t="shared" si="38"/>
        <v>113</v>
      </c>
      <c r="F1993" s="567">
        <f>+'2025'!G114</f>
        <v>45761</v>
      </c>
      <c r="G1993" s="496">
        <f t="shared" si="26"/>
        <v>2025</v>
      </c>
      <c r="H1993" s="586" t="s">
        <v>16444</v>
      </c>
      <c r="I1993" s="496" t="str">
        <f>+VLOOKUP(H1993,Sheet1!A:C,3,0)</f>
        <v>SAHEL INTERNATIONAL TRADE</v>
      </c>
      <c r="J1993" s="496" t="str">
        <f>+VLOOKUP(H1993,Sheet1!A:D,4,0)</f>
        <v>TND</v>
      </c>
      <c r="K1993" s="497">
        <f t="shared" si="27"/>
        <v>412500</v>
      </c>
      <c r="L1993" s="586">
        <v>1</v>
      </c>
      <c r="M1993" s="587">
        <v>412500</v>
      </c>
      <c r="N1993" s="496" t="str">
        <f>+VLOOKUP(E1993,'2025'!E:F,2,0)</f>
        <v>OUI</v>
      </c>
      <c r="O1993" s="496" t="str">
        <f>VLOOKUP(E1993,'2025'!E:N,10,0)</f>
        <v>Niger</v>
      </c>
      <c r="P1993" s="880" t="str">
        <f>VLOOKUP(E1993,'2025'!E:O,11,0)</f>
        <v>30/04/2025&amp;07/05/2025</v>
      </c>
      <c r="Q1993" s="565">
        <f>VLOOKUP(E1993,'2025'!E:H,4,0)</f>
        <v>0</v>
      </c>
      <c r="R1993" s="565">
        <f>VLOOKUP(E1993,'2025'!E:I,5,0)</f>
        <v>0</v>
      </c>
      <c r="S1993" s="565">
        <f>VLOOKUP(E1993,'2025'!E:J,6,0)</f>
        <v>275000</v>
      </c>
      <c r="T1993" s="565">
        <f>VLOOKUP(E1993,'2025'!E:K,7,0)</f>
        <v>0</v>
      </c>
      <c r="U1993" s="565">
        <f t="shared" si="28"/>
        <v>275000</v>
      </c>
      <c r="V1993" s="354"/>
      <c r="W1993" s="569" t="e">
        <f>+VLOOKUP(D1993,'JOURNAL FACTURES'!A:O,15,0)</f>
        <v>#N/A</v>
      </c>
      <c r="X1993" s="569" t="e">
        <f>VLOOKUP(D1993,'JOURNAL FACTURES'!A:P,16,0)</f>
        <v>#N/A</v>
      </c>
      <c r="Y1993" s="569" t="e">
        <f>VLOOKUP(D1993,'JOURNAL FACTURES'!A:Q,17,0)</f>
        <v>#N/A</v>
      </c>
      <c r="Z1993" s="569" t="e">
        <f>VLOOKUP(D1993,'JOURNAL FACTURES'!A:R,18,0)</f>
        <v>#N/A</v>
      </c>
      <c r="AA1993" s="570" t="e">
        <f t="shared" si="29"/>
        <v>#N/A</v>
      </c>
      <c r="AB1993" s="570" t="e">
        <f t="shared" si="30"/>
        <v>#N/A</v>
      </c>
      <c r="AC1993" s="570" t="e">
        <f t="shared" si="31"/>
        <v>#N/A</v>
      </c>
      <c r="AD1993" s="570" t="e">
        <f t="shared" si="32"/>
        <v>#N/A</v>
      </c>
      <c r="AE1993" s="569">
        <f>VLOOKUP(D1993,TRANSPORT!H:J,3,0)</f>
        <v>0</v>
      </c>
      <c r="AF1993" s="569">
        <f>+VLOOKUP(D1993,TRANSPORT!N:O,2,0)</f>
        <v>0</v>
      </c>
      <c r="AG1993" s="569">
        <f t="shared" si="33"/>
        <v>0</v>
      </c>
      <c r="AH1993" s="571" t="e">
        <f t="shared" si="34"/>
        <v>#N/A</v>
      </c>
      <c r="AI1993" s="571" t="e">
        <f t="shared" si="35"/>
        <v>#N/A</v>
      </c>
      <c r="AJ1993" s="571" t="e">
        <f t="shared" si="36"/>
        <v>#N/A</v>
      </c>
      <c r="AK1993" s="571" t="e">
        <f t="shared" si="37"/>
        <v>#N/A</v>
      </c>
      <c r="AL1993" s="572">
        <f>VLOOKUP(D1993,'INTEGRATION PAR CLIENT '!A1389:J1417,10,0)</f>
        <v>0</v>
      </c>
      <c r="AM1993" s="572">
        <f>VLOOKUP(D1993,'INTEGRATION PAR CLIENT '!A1389:L1417,12,0)</f>
        <v>0</v>
      </c>
      <c r="AN1993" s="572" t="str">
        <f>+VLOOKUP(D1993,'INTEGRATION PAR CLIENT '!A1389:N1417,14,0)</f>
        <v>10%-90%</v>
      </c>
      <c r="AO1993" s="572">
        <f>+VLOOKUP(D1993,'INTEGRATION PAR CLIENT '!A1389:P1417,16,0)</f>
        <v>0</v>
      </c>
    </row>
    <row r="1994" spans="1:41">
      <c r="A1994" s="617">
        <v>114</v>
      </c>
      <c r="B1994" s="496" t="str">
        <f t="shared" si="24"/>
        <v>114</v>
      </c>
      <c r="C1994" s="496">
        <f t="shared" si="25"/>
        <v>0</v>
      </c>
      <c r="D1994" s="566" t="str">
        <f>'2025'!D115</f>
        <v>FAE-25-00114</v>
      </c>
      <c r="E1994" s="496" t="str">
        <f t="shared" si="38"/>
        <v>114</v>
      </c>
      <c r="F1994" s="567" t="str">
        <f>+'2025'!G115</f>
        <v>14/04/2025</v>
      </c>
      <c r="G1994" s="496">
        <f t="shared" si="26"/>
        <v>2025</v>
      </c>
      <c r="H1994" s="586" t="s">
        <v>17402</v>
      </c>
      <c r="I1994" s="496" t="str">
        <f>+VLOOKUP(H1994,Sheet1!A:C,3,0)</f>
        <v>UBL</v>
      </c>
      <c r="J1994" s="496" t="str">
        <f>+VLOOKUP(H1994,Sheet1!A:D,4,0)</f>
        <v>USD</v>
      </c>
      <c r="K1994" s="497">
        <f t="shared" si="27"/>
        <v>19605.549600000002</v>
      </c>
      <c r="L1994" s="586">
        <v>2.9923000000000002</v>
      </c>
      <c r="M1994" s="587">
        <v>6552</v>
      </c>
      <c r="N1994" s="496" t="str">
        <f>+VLOOKUP(E1994,'2025'!E:F,2,0)</f>
        <v>OUI</v>
      </c>
      <c r="O1994" s="496" t="str">
        <f>VLOOKUP(E1994,'2025'!E:N,10,0)</f>
        <v>Qatar</v>
      </c>
      <c r="P1994" s="880">
        <f>VLOOKUP(E1994,'2025'!E:O,11,0)</f>
        <v>45800</v>
      </c>
      <c r="Q1994" s="565">
        <f>VLOOKUP(E1994,'2025'!E:H,4,0)</f>
        <v>8400</v>
      </c>
      <c r="R1994" s="565">
        <f>VLOOKUP(E1994,'2025'!E:I,5,0)</f>
        <v>0</v>
      </c>
      <c r="S1994" s="565">
        <f>VLOOKUP(E1994,'2025'!E:J,6,0)</f>
        <v>0</v>
      </c>
      <c r="T1994" s="565">
        <f>VLOOKUP(E1994,'2025'!E:K,7,0)</f>
        <v>0</v>
      </c>
      <c r="U1994" s="565">
        <f t="shared" si="28"/>
        <v>8400</v>
      </c>
      <c r="V1994" s="354"/>
      <c r="W1994" s="569" t="e">
        <f>+VLOOKUP(D1994,'JOURNAL FACTURES'!A:O,15,0)</f>
        <v>#N/A</v>
      </c>
      <c r="X1994" s="569" t="e">
        <f>VLOOKUP(D1994,'JOURNAL FACTURES'!A:P,16,0)</f>
        <v>#N/A</v>
      </c>
      <c r="Y1994" s="569" t="e">
        <f>VLOOKUP(D1994,'JOURNAL FACTURES'!A:Q,17,0)</f>
        <v>#N/A</v>
      </c>
      <c r="Z1994" s="569" t="e">
        <f>VLOOKUP(D1994,'JOURNAL FACTURES'!A:R,18,0)</f>
        <v>#N/A</v>
      </c>
      <c r="AA1994" s="570" t="e">
        <f t="shared" si="29"/>
        <v>#N/A</v>
      </c>
      <c r="AB1994" s="570" t="e">
        <f t="shared" si="30"/>
        <v>#N/A</v>
      </c>
      <c r="AC1994" s="570" t="e">
        <f t="shared" si="31"/>
        <v>#N/A</v>
      </c>
      <c r="AD1994" s="570" t="e">
        <f t="shared" si="32"/>
        <v>#N/A</v>
      </c>
      <c r="AE1994" s="569">
        <f>VLOOKUP(D1994,TRANSPORT!H:J,3,0)</f>
        <v>520</v>
      </c>
      <c r="AF1994" s="569">
        <f>+VLOOKUP(D1994,TRANSPORT!N:O,2,0)</f>
        <v>4500</v>
      </c>
      <c r="AG1994" s="569">
        <f t="shared" si="33"/>
        <v>0.5357142857142857</v>
      </c>
      <c r="AH1994" s="571" t="e">
        <f t="shared" si="34"/>
        <v>#N/A</v>
      </c>
      <c r="AI1994" s="571" t="e">
        <f t="shared" si="35"/>
        <v>#N/A</v>
      </c>
      <c r="AJ1994" s="571" t="e">
        <f t="shared" si="36"/>
        <v>#N/A</v>
      </c>
      <c r="AK1994" s="571" t="e">
        <f t="shared" si="37"/>
        <v>#N/A</v>
      </c>
      <c r="AL1994" s="572">
        <f>VLOOKUP(D1994,'INTEGRATION PAR CLIENT '!A1390:J1418,10,0)</f>
        <v>1</v>
      </c>
      <c r="AM1994" s="572">
        <f>VLOOKUP(D1994,'INTEGRATION PAR CLIENT '!A1390:L1418,12,0)</f>
        <v>0</v>
      </c>
      <c r="AN1994" s="572">
        <f>+VLOOKUP(D1994,'INTEGRATION PAR CLIENT '!A1390:N1418,14,0)</f>
        <v>0</v>
      </c>
      <c r="AO1994" s="572">
        <f>+VLOOKUP(D1994,'INTEGRATION PAR CLIENT '!A1390:P1418,16,0)</f>
        <v>0</v>
      </c>
    </row>
    <row r="1995" spans="1:41">
      <c r="A1995" s="617">
        <v>115</v>
      </c>
      <c r="B1995" s="496" t="str">
        <f t="shared" si="24"/>
        <v>115</v>
      </c>
      <c r="C1995" s="496">
        <f t="shared" si="25"/>
        <v>0</v>
      </c>
      <c r="D1995" s="566" t="str">
        <f>'2025'!D116</f>
        <v>FAE-25-00115</v>
      </c>
      <c r="E1995" s="496" t="str">
        <f t="shared" si="38"/>
        <v>115</v>
      </c>
      <c r="F1995" s="567">
        <f>+'2025'!G116</f>
        <v>45761</v>
      </c>
      <c r="G1995" s="496">
        <f t="shared" si="26"/>
        <v>2025</v>
      </c>
      <c r="H1995" s="586" t="s">
        <v>17299</v>
      </c>
      <c r="I1995" s="496" t="str">
        <f>+VLOOKUP(H1995,Sheet1!A:C,3,0)</f>
        <v>LAMP FALL IMP EXP - LAFFIMEX</v>
      </c>
      <c r="J1995" s="496" t="str">
        <f>+VLOOKUP(H1995,Sheet1!A:D,4,0)</f>
        <v>EUR</v>
      </c>
      <c r="K1995" s="497">
        <f t="shared" si="27"/>
        <v>460697.27399999998</v>
      </c>
      <c r="L1995" s="586">
        <v>3.41865</v>
      </c>
      <c r="M1995" s="587">
        <v>134760</v>
      </c>
      <c r="N1995" s="496" t="str">
        <f>+VLOOKUP(E1995,'2025'!E:F,2,0)</f>
        <v>OUI</v>
      </c>
      <c r="O1995" s="496" t="str">
        <f>VLOOKUP(E1995,'2025'!E:N,10,0)</f>
        <v>Senegal</v>
      </c>
      <c r="P1995" s="880">
        <f>VLOOKUP(E1995,'2025'!E:O,11,0)</f>
        <v>45775</v>
      </c>
      <c r="Q1995" s="565">
        <f>VLOOKUP(E1995,'2025'!E:H,4,0)</f>
        <v>192000</v>
      </c>
      <c r="R1995" s="565">
        <f>VLOOKUP(E1995,'2025'!E:I,5,0)</f>
        <v>0</v>
      </c>
      <c r="S1995" s="565">
        <f>VLOOKUP(E1995,'2025'!E:J,6,0)</f>
        <v>0</v>
      </c>
      <c r="T1995" s="565">
        <f>VLOOKUP(E1995,'2025'!E:K,7,0)</f>
        <v>0</v>
      </c>
      <c r="U1995" s="565">
        <f t="shared" si="28"/>
        <v>192000</v>
      </c>
      <c r="V1995" s="354"/>
      <c r="W1995" s="569" t="e">
        <f>+VLOOKUP(D1995,'JOURNAL FACTURES'!A:O,15,0)</f>
        <v>#N/A</v>
      </c>
      <c r="X1995" s="569" t="e">
        <f>VLOOKUP(D1995,'JOURNAL FACTURES'!A:P,16,0)</f>
        <v>#N/A</v>
      </c>
      <c r="Y1995" s="569" t="e">
        <f>VLOOKUP(D1995,'JOURNAL FACTURES'!A:Q,17,0)</f>
        <v>#N/A</v>
      </c>
      <c r="Z1995" s="569" t="e">
        <f>VLOOKUP(D1995,'JOURNAL FACTURES'!A:R,18,0)</f>
        <v>#N/A</v>
      </c>
      <c r="AA1995" s="570" t="e">
        <f t="shared" si="29"/>
        <v>#N/A</v>
      </c>
      <c r="AB1995" s="570" t="e">
        <f t="shared" si="30"/>
        <v>#N/A</v>
      </c>
      <c r="AC1995" s="570" t="e">
        <f t="shared" si="31"/>
        <v>#N/A</v>
      </c>
      <c r="AD1995" s="570" t="e">
        <f t="shared" si="32"/>
        <v>#N/A</v>
      </c>
      <c r="AE1995" s="569">
        <f>VLOOKUP(D1995,TRANSPORT!H:J,3,0)</f>
        <v>8418</v>
      </c>
      <c r="AF1995" s="569">
        <f>+VLOOKUP(D1995,TRANSPORT!N:O,2,0)</f>
        <v>60395.15</v>
      </c>
      <c r="AG1995" s="569">
        <f t="shared" si="33"/>
        <v>0.31455807291666665</v>
      </c>
      <c r="AH1995" s="571" t="e">
        <f t="shared" si="34"/>
        <v>#N/A</v>
      </c>
      <c r="AI1995" s="571" t="e">
        <f t="shared" si="35"/>
        <v>#N/A</v>
      </c>
      <c r="AJ1995" s="571" t="e">
        <f t="shared" si="36"/>
        <v>#N/A</v>
      </c>
      <c r="AK1995" s="571" t="e">
        <f t="shared" si="37"/>
        <v>#N/A</v>
      </c>
      <c r="AL1995" s="572">
        <f>VLOOKUP(D1995,'INTEGRATION PAR CLIENT '!A1391:J1419,10,0)</f>
        <v>1</v>
      </c>
      <c r="AM1995" s="572">
        <f>VLOOKUP(D1995,'INTEGRATION PAR CLIENT '!A1391:L1419,12,0)</f>
        <v>0</v>
      </c>
      <c r="AN1995" s="572">
        <f>+VLOOKUP(D1995,'INTEGRATION PAR CLIENT '!A1391:N1419,14,0)</f>
        <v>0</v>
      </c>
      <c r="AO1995" s="572">
        <f>+VLOOKUP(D1995,'INTEGRATION PAR CLIENT '!A1391:P1419,16,0)</f>
        <v>0</v>
      </c>
    </row>
    <row r="1996" spans="1:41">
      <c r="A1996" s="617">
        <v>116</v>
      </c>
      <c r="B1996" s="496" t="str">
        <f t="shared" si="24"/>
        <v>116</v>
      </c>
      <c r="C1996" s="496">
        <f t="shared" si="25"/>
        <v>0</v>
      </c>
      <c r="D1996" s="566" t="str">
        <f>'2025'!D117</f>
        <v>FAE-25-00116</v>
      </c>
      <c r="E1996" s="496" t="str">
        <f t="shared" si="38"/>
        <v>116</v>
      </c>
      <c r="F1996" s="567">
        <f>+'2025'!G117</f>
        <v>45761</v>
      </c>
      <c r="G1996" s="496">
        <f t="shared" si="26"/>
        <v>2025</v>
      </c>
      <c r="H1996" s="586" t="s">
        <v>17342</v>
      </c>
      <c r="I1996" s="496" t="str">
        <f>+VLOOKUP(H1996,Sheet1!A:C,3,0)</f>
        <v>SODIC</v>
      </c>
      <c r="J1996" s="496" t="str">
        <f>+VLOOKUP(H1996,Sheet1!A:D,4,0)</f>
        <v>EUR</v>
      </c>
      <c r="K1996" s="497">
        <f t="shared" si="27"/>
        <v>24600.074063999997</v>
      </c>
      <c r="L1996" s="586">
        <v>3.4089499999999999</v>
      </c>
      <c r="M1996" s="587">
        <v>7216.32</v>
      </c>
      <c r="N1996" s="496" t="str">
        <f>+VLOOKUP(E1996,'2025'!E:F,2,0)</f>
        <v>OUI</v>
      </c>
      <c r="O1996" s="496" t="str">
        <f>VLOOKUP(E1996,'2025'!E:N,10,0)</f>
        <v>France</v>
      </c>
      <c r="P1996" s="880">
        <f>VLOOKUP(E1996,'2025'!E:O,11,0)</f>
        <v>45764</v>
      </c>
      <c r="Q1996" s="565">
        <f>VLOOKUP(E1996,'2025'!E:H,4,0)</f>
        <v>10080</v>
      </c>
      <c r="R1996" s="565">
        <f>VLOOKUP(E1996,'2025'!E:I,5,0)</f>
        <v>2592</v>
      </c>
      <c r="S1996" s="565">
        <f>VLOOKUP(E1996,'2025'!E:J,6,0)</f>
        <v>2400</v>
      </c>
      <c r="T1996" s="565">
        <f>VLOOKUP(E1996,'2025'!E:K,7,0)</f>
        <v>2120</v>
      </c>
      <c r="U1996" s="565">
        <f t="shared" si="28"/>
        <v>17192</v>
      </c>
      <c r="V1996" s="354"/>
      <c r="W1996" s="569" t="e">
        <f>+VLOOKUP(D1996,'JOURNAL FACTURES'!A:O,15,0)</f>
        <v>#N/A</v>
      </c>
      <c r="X1996" s="569" t="e">
        <f>VLOOKUP(D1996,'JOURNAL FACTURES'!A:P,16,0)</f>
        <v>#N/A</v>
      </c>
      <c r="Y1996" s="569" t="e">
        <f>VLOOKUP(D1996,'JOURNAL FACTURES'!A:Q,17,0)</f>
        <v>#N/A</v>
      </c>
      <c r="Z1996" s="569" t="e">
        <f>VLOOKUP(D1996,'JOURNAL FACTURES'!A:R,18,0)</f>
        <v>#N/A</v>
      </c>
      <c r="AA1996" s="570" t="e">
        <f t="shared" si="29"/>
        <v>#N/A</v>
      </c>
      <c r="AB1996" s="570" t="e">
        <f t="shared" si="30"/>
        <v>#N/A</v>
      </c>
      <c r="AC1996" s="570" t="e">
        <f t="shared" si="31"/>
        <v>#N/A</v>
      </c>
      <c r="AD1996" s="570" t="e">
        <f t="shared" si="32"/>
        <v>#N/A</v>
      </c>
      <c r="AE1996" s="569">
        <f>VLOOKUP(D1996,TRANSPORT!H:J,3,0)</f>
        <v>320.63902000000002</v>
      </c>
      <c r="AF1996" s="569">
        <f>+VLOOKUP(D1996,TRANSPORT!N:O,2,0)</f>
        <v>4349.5200000000004</v>
      </c>
      <c r="AG1996" s="569">
        <f t="shared" si="33"/>
        <v>0.2529967426710098</v>
      </c>
      <c r="AH1996" s="571" t="e">
        <f t="shared" si="34"/>
        <v>#N/A</v>
      </c>
      <c r="AI1996" s="571" t="e">
        <f t="shared" si="35"/>
        <v>#N/A</v>
      </c>
      <c r="AJ1996" s="571" t="e">
        <f t="shared" si="36"/>
        <v>#N/A</v>
      </c>
      <c r="AK1996" s="571" t="e">
        <f t="shared" si="37"/>
        <v>#N/A</v>
      </c>
      <c r="AL1996" s="572">
        <f>VLOOKUP(D1996,'INTEGRATION PAR CLIENT '!A1392:J1420,10,0)</f>
        <v>1</v>
      </c>
      <c r="AM1996" s="572">
        <f>VLOOKUP(D1996,'INTEGRATION PAR CLIENT '!A1392:L1420,12,0)</f>
        <v>1</v>
      </c>
      <c r="AN1996" s="572">
        <f>+VLOOKUP(D1996,'INTEGRATION PAR CLIENT '!A1392:N1420,14,0)</f>
        <v>1</v>
      </c>
      <c r="AO1996" s="572">
        <f>+VLOOKUP(D1996,'INTEGRATION PAR CLIENT '!A1392:P1420,16,0)</f>
        <v>1</v>
      </c>
    </row>
    <row r="1997" spans="1:41">
      <c r="A1997" s="617">
        <v>117</v>
      </c>
      <c r="B1997" s="496" t="str">
        <f t="shared" si="24"/>
        <v>117</v>
      </c>
      <c r="C1997" s="496">
        <f t="shared" si="25"/>
        <v>0</v>
      </c>
      <c r="D1997" s="566" t="str">
        <f>'2025'!D118</f>
        <v>FAE-25-00117</v>
      </c>
      <c r="E1997" s="496" t="str">
        <f t="shared" si="38"/>
        <v>117</v>
      </c>
      <c r="F1997" s="567">
        <f>+'2025'!G118</f>
        <v>45762</v>
      </c>
      <c r="G1997" s="496">
        <f t="shared" si="26"/>
        <v>2025</v>
      </c>
      <c r="H1997" s="586" t="s">
        <v>17342</v>
      </c>
      <c r="I1997" s="496" t="str">
        <f>+VLOOKUP(H1997,Sheet1!A:C,3,0)</f>
        <v>SODIC</v>
      </c>
      <c r="J1997" s="496" t="str">
        <f>+VLOOKUP(H1997,Sheet1!A:D,4,0)</f>
        <v>EUR</v>
      </c>
      <c r="K1997" s="497">
        <f t="shared" si="27"/>
        <v>34676.384831999996</v>
      </c>
      <c r="L1997" s="586">
        <v>3.4089499999999999</v>
      </c>
      <c r="M1997" s="587">
        <v>10172.16</v>
      </c>
      <c r="N1997" s="496" t="str">
        <f>+VLOOKUP(E1997,'2025'!E:F,2,0)</f>
        <v>OUI</v>
      </c>
      <c r="O1997" s="496" t="str">
        <f>VLOOKUP(E1997,'2025'!E:N,10,0)</f>
        <v>France</v>
      </c>
      <c r="P1997" s="880">
        <f>VLOOKUP(E1997,'2025'!E:O,11,0)</f>
        <v>45764</v>
      </c>
      <c r="Q1997" s="565">
        <f>VLOOKUP(E1997,'2025'!E:H,4,0)</f>
        <v>0</v>
      </c>
      <c r="R1997" s="565">
        <f>VLOOKUP(E1997,'2025'!E:I,5,0)</f>
        <v>17040</v>
      </c>
      <c r="S1997" s="565">
        <f>VLOOKUP(E1997,'2025'!E:J,6,0)</f>
        <v>1200</v>
      </c>
      <c r="T1997" s="565">
        <f>VLOOKUP(E1997,'2025'!E:K,7,0)</f>
        <v>2240</v>
      </c>
      <c r="U1997" s="565">
        <f t="shared" si="28"/>
        <v>20480</v>
      </c>
      <c r="V1997" s="354"/>
      <c r="W1997" s="569" t="e">
        <f>+VLOOKUP(D1997,'JOURNAL FACTURES'!A:O,15,0)</f>
        <v>#N/A</v>
      </c>
      <c r="X1997" s="569" t="e">
        <f>VLOOKUP(D1997,'JOURNAL FACTURES'!A:P,16,0)</f>
        <v>#N/A</v>
      </c>
      <c r="Y1997" s="569" t="e">
        <f>VLOOKUP(D1997,'JOURNAL FACTURES'!A:Q,17,0)</f>
        <v>#N/A</v>
      </c>
      <c r="Z1997" s="569" t="e">
        <f>VLOOKUP(D1997,'JOURNAL FACTURES'!A:R,18,0)</f>
        <v>#N/A</v>
      </c>
      <c r="AA1997" s="570" t="e">
        <f t="shared" si="29"/>
        <v>#N/A</v>
      </c>
      <c r="AB1997" s="570" t="e">
        <f t="shared" si="30"/>
        <v>#N/A</v>
      </c>
      <c r="AC1997" s="570" t="e">
        <f t="shared" si="31"/>
        <v>#N/A</v>
      </c>
      <c r="AD1997" s="570" t="e">
        <f t="shared" si="32"/>
        <v>#N/A</v>
      </c>
      <c r="AE1997" s="569">
        <f>VLOOKUP(D1997,TRANSPORT!H:J,3,0)</f>
        <v>1152.4162000000001</v>
      </c>
      <c r="AF1997" s="569">
        <f>+VLOOKUP(D1997,TRANSPORT!N:O,2,0)</f>
        <v>12358.16</v>
      </c>
      <c r="AG1997" s="569">
        <f t="shared" si="33"/>
        <v>0.60342578125000002</v>
      </c>
      <c r="AH1997" s="571" t="e">
        <f t="shared" si="34"/>
        <v>#N/A</v>
      </c>
      <c r="AI1997" s="571" t="e">
        <f t="shared" si="35"/>
        <v>#N/A</v>
      </c>
      <c r="AJ1997" s="571" t="e">
        <f t="shared" si="36"/>
        <v>#N/A</v>
      </c>
      <c r="AK1997" s="571" t="e">
        <f t="shared" si="37"/>
        <v>#N/A</v>
      </c>
      <c r="AL1997" s="572">
        <f>VLOOKUP(D1997,'INTEGRATION PAR CLIENT '!A1393:J1421,10,0)</f>
        <v>0</v>
      </c>
      <c r="AM1997" s="572">
        <f>VLOOKUP(D1997,'INTEGRATION PAR CLIENT '!A1393:L1421,12,0)</f>
        <v>1</v>
      </c>
      <c r="AN1997" s="572">
        <f>+VLOOKUP(D1997,'INTEGRATION PAR CLIENT '!A1393:N1421,14,0)</f>
        <v>1</v>
      </c>
      <c r="AO1997" s="572">
        <f>+VLOOKUP(D1997,'INTEGRATION PAR CLIENT '!A1393:P1421,16,0)</f>
        <v>1</v>
      </c>
    </row>
    <row r="1998" spans="1:41">
      <c r="A1998" s="617">
        <v>118</v>
      </c>
      <c r="B1998" s="496" t="str">
        <f t="shared" si="24"/>
        <v>118</v>
      </c>
      <c r="C1998" s="496">
        <f t="shared" si="25"/>
        <v>0</v>
      </c>
      <c r="D1998" s="566" t="str">
        <f>'2025'!D119</f>
        <v>FAE-25-00118</v>
      </c>
      <c r="E1998" s="496" t="str">
        <f t="shared" si="38"/>
        <v>118</v>
      </c>
      <c r="F1998" s="567" t="str">
        <f>+'2025'!G119</f>
        <v>23/04/2025</v>
      </c>
      <c r="G1998" s="496">
        <f t="shared" si="26"/>
        <v>2025</v>
      </c>
      <c r="H1998" s="586" t="s">
        <v>16838</v>
      </c>
      <c r="I1998" s="496" t="str">
        <f>+VLOOKUP(H1998,Sheet1!A:C,3,0)</f>
        <v>TUNISIAN AFRICAN BUSINESS</v>
      </c>
      <c r="J1998" s="496" t="str">
        <f>+VLOOKUP(H1998,Sheet1!A:D,4,0)</f>
        <v>TND</v>
      </c>
      <c r="K1998" s="497">
        <f t="shared" si="27"/>
        <v>256725</v>
      </c>
      <c r="L1998" s="586">
        <v>1</v>
      </c>
      <c r="M1998" s="587">
        <v>256725</v>
      </c>
      <c r="N1998" s="496" t="str">
        <f>+VLOOKUP(E1998,'2025'!E:F,2,0)</f>
        <v>OUI</v>
      </c>
      <c r="O1998" s="496" t="str">
        <f>VLOOKUP(E1998,'2025'!E:N,10,0)</f>
        <v>Senegal</v>
      </c>
      <c r="P1998" s="880">
        <f>VLOOKUP(E1998,'2025'!E:O,11,0)</f>
        <v>45777</v>
      </c>
      <c r="Q1998" s="565">
        <f>VLOOKUP(E1998,'2025'!E:H,4,0)</f>
        <v>0</v>
      </c>
      <c r="R1998" s="565">
        <f>VLOOKUP(E1998,'2025'!E:I,5,0)</f>
        <v>157500</v>
      </c>
      <c r="S1998" s="565">
        <f>VLOOKUP(E1998,'2025'!E:J,6,0)</f>
        <v>0</v>
      </c>
      <c r="T1998" s="565">
        <f>VLOOKUP(E1998,'2025'!E:K,7,0)</f>
        <v>0</v>
      </c>
      <c r="U1998" s="565">
        <f t="shared" si="28"/>
        <v>157500</v>
      </c>
      <c r="V1998" s="354"/>
      <c r="W1998" s="569" t="e">
        <f>+VLOOKUP(D1998,'JOURNAL FACTURES'!A:O,15,0)</f>
        <v>#N/A</v>
      </c>
      <c r="X1998" s="569" t="e">
        <f>VLOOKUP(D1998,'JOURNAL FACTURES'!A:P,16,0)</f>
        <v>#N/A</v>
      </c>
      <c r="Y1998" s="569" t="e">
        <f>VLOOKUP(D1998,'JOURNAL FACTURES'!A:Q,17,0)</f>
        <v>#N/A</v>
      </c>
      <c r="Z1998" s="569" t="e">
        <f>VLOOKUP(D1998,'JOURNAL FACTURES'!A:R,18,0)</f>
        <v>#N/A</v>
      </c>
      <c r="AA1998" s="570" t="e">
        <f t="shared" si="29"/>
        <v>#N/A</v>
      </c>
      <c r="AB1998" s="570" t="e">
        <f t="shared" si="30"/>
        <v>#N/A</v>
      </c>
      <c r="AC1998" s="570" t="e">
        <f t="shared" si="31"/>
        <v>#N/A</v>
      </c>
      <c r="AD1998" s="570" t="e">
        <f t="shared" si="32"/>
        <v>#N/A</v>
      </c>
      <c r="AE1998" s="569">
        <f>VLOOKUP(D1998,TRANSPORT!H:J,3,0)</f>
        <v>0</v>
      </c>
      <c r="AF1998" s="569">
        <f>+VLOOKUP(D1998,TRANSPORT!N:O,2,0)</f>
        <v>0</v>
      </c>
      <c r="AG1998" s="569">
        <f t="shared" si="33"/>
        <v>0</v>
      </c>
      <c r="AH1998" s="571" t="e">
        <f t="shared" si="34"/>
        <v>#N/A</v>
      </c>
      <c r="AI1998" s="571" t="e">
        <f t="shared" si="35"/>
        <v>#N/A</v>
      </c>
      <c r="AJ1998" s="571" t="e">
        <f t="shared" si="36"/>
        <v>#N/A</v>
      </c>
      <c r="AK1998" s="571" t="e">
        <f t="shared" si="37"/>
        <v>#N/A</v>
      </c>
      <c r="AL1998" s="572">
        <f>VLOOKUP(D1998,'INTEGRATION PAR CLIENT '!A1394:J1422,10,0)</f>
        <v>0</v>
      </c>
      <c r="AM1998" s="572" t="str">
        <f>VLOOKUP(D1998,'INTEGRATION PAR CLIENT '!A1394:L1422,12,0)</f>
        <v>10%-90%</v>
      </c>
      <c r="AN1998" s="572">
        <f>+VLOOKUP(D1998,'INTEGRATION PAR CLIENT '!A1394:N1422,14,0)</f>
        <v>0</v>
      </c>
      <c r="AO1998" s="572">
        <f>+VLOOKUP(D1998,'INTEGRATION PAR CLIENT '!A1394:P1422,16,0)</f>
        <v>0</v>
      </c>
    </row>
    <row r="1999" spans="1:41">
      <c r="A1999" s="617">
        <v>119</v>
      </c>
      <c r="B1999" s="496" t="str">
        <f t="shared" si="24"/>
        <v>119</v>
      </c>
      <c r="C1999" s="496">
        <f t="shared" si="25"/>
        <v>0</v>
      </c>
      <c r="D1999" s="566" t="str">
        <f>'2025'!D120</f>
        <v>FAE-25-00119</v>
      </c>
      <c r="E1999" s="496" t="str">
        <f t="shared" si="38"/>
        <v>119</v>
      </c>
      <c r="F1999" s="567" t="str">
        <f>+'2025'!G120</f>
        <v>23/04/2025</v>
      </c>
      <c r="G1999" s="496">
        <f t="shared" si="26"/>
        <v>2025</v>
      </c>
      <c r="H1999" s="586" t="s">
        <v>16444</v>
      </c>
      <c r="I1999" s="496" t="str">
        <f>+VLOOKUP(H1999,Sheet1!A:C,3,0)</f>
        <v>SAHEL INTERNATIONAL TRADE</v>
      </c>
      <c r="J1999" s="496" t="str">
        <f>+VLOOKUP(H1999,Sheet1!A:D,4,0)</f>
        <v>TND</v>
      </c>
      <c r="K1999" s="497">
        <f t="shared" si="27"/>
        <v>85490</v>
      </c>
      <c r="L1999" s="586">
        <v>1</v>
      </c>
      <c r="M1999" s="587">
        <v>85490</v>
      </c>
      <c r="N1999" s="496" t="str">
        <f>+VLOOKUP(E1999,'2025'!E:F,2,0)</f>
        <v>OUI</v>
      </c>
      <c r="O1999" s="496" t="str">
        <f>VLOOKUP(E1999,'2025'!E:N,10,0)</f>
        <v>Togo</v>
      </c>
      <c r="P1999" s="880">
        <f>VLOOKUP(E1999,'2025'!E:O,11,0)</f>
        <v>45775</v>
      </c>
      <c r="Q1999" s="565">
        <f>VLOOKUP(E1999,'2025'!E:H,4,0)</f>
        <v>41500</v>
      </c>
      <c r="R1999" s="565">
        <f>VLOOKUP(E1999,'2025'!E:I,5,0)</f>
        <v>0</v>
      </c>
      <c r="S1999" s="565">
        <f>VLOOKUP(E1999,'2025'!E:J,6,0)</f>
        <v>0</v>
      </c>
      <c r="T1999" s="565">
        <f>VLOOKUP(E1999,'2025'!E:K,7,0)</f>
        <v>0</v>
      </c>
      <c r="U1999" s="565">
        <f t="shared" si="28"/>
        <v>41500</v>
      </c>
      <c r="V1999" s="354"/>
      <c r="W1999" s="569" t="e">
        <f>+VLOOKUP(D1999,'JOURNAL FACTURES'!A:O,15,0)</f>
        <v>#N/A</v>
      </c>
      <c r="X1999" s="569" t="e">
        <f>VLOOKUP(D1999,'JOURNAL FACTURES'!A:P,16,0)</f>
        <v>#N/A</v>
      </c>
      <c r="Y1999" s="569" t="e">
        <f>VLOOKUP(D1999,'JOURNAL FACTURES'!A:Q,17,0)</f>
        <v>#N/A</v>
      </c>
      <c r="Z1999" s="569" t="e">
        <f>VLOOKUP(D1999,'JOURNAL FACTURES'!A:R,18,0)</f>
        <v>#N/A</v>
      </c>
      <c r="AA1999" s="570" t="e">
        <f t="shared" si="29"/>
        <v>#N/A</v>
      </c>
      <c r="AB1999" s="570" t="e">
        <f t="shared" si="30"/>
        <v>#N/A</v>
      </c>
      <c r="AC1999" s="570" t="e">
        <f t="shared" si="31"/>
        <v>#N/A</v>
      </c>
      <c r="AD1999" s="570" t="e">
        <f t="shared" si="32"/>
        <v>#N/A</v>
      </c>
      <c r="AE1999" s="569">
        <f>VLOOKUP(D1999,TRANSPORT!H:J,3,0)</f>
        <v>0</v>
      </c>
      <c r="AF1999" s="569">
        <f>+VLOOKUP(D1999,TRANSPORT!N:O,2,0)</f>
        <v>0</v>
      </c>
      <c r="AG1999" s="569">
        <f t="shared" si="33"/>
        <v>0</v>
      </c>
      <c r="AH1999" s="571" t="e">
        <f t="shared" si="34"/>
        <v>#N/A</v>
      </c>
      <c r="AI1999" s="571" t="e">
        <f t="shared" si="35"/>
        <v>#N/A</v>
      </c>
      <c r="AJ1999" s="571" t="e">
        <f t="shared" si="36"/>
        <v>#N/A</v>
      </c>
      <c r="AK1999" s="571" t="e">
        <f t="shared" si="37"/>
        <v>#N/A</v>
      </c>
      <c r="AL1999" s="572">
        <f>VLOOKUP(D1999,'INTEGRATION PAR CLIENT '!A1395:J1423,10,0)</f>
        <v>1</v>
      </c>
      <c r="AM1999" s="572">
        <f>VLOOKUP(D1999,'INTEGRATION PAR CLIENT '!A1395:L1423,12,0)</f>
        <v>0</v>
      </c>
      <c r="AN1999" s="572">
        <f>+VLOOKUP(D1999,'INTEGRATION PAR CLIENT '!A1395:N1423,14,0)</f>
        <v>0</v>
      </c>
      <c r="AO1999" s="572">
        <f>+VLOOKUP(D1999,'INTEGRATION PAR CLIENT '!A1395:P1423,16,0)</f>
        <v>0</v>
      </c>
    </row>
    <row r="2000" spans="1:41">
      <c r="A2000" s="617">
        <v>120</v>
      </c>
      <c r="B2000" s="496" t="str">
        <f t="shared" si="24"/>
        <v>120</v>
      </c>
      <c r="C2000" s="496">
        <f t="shared" si="25"/>
        <v>0</v>
      </c>
      <c r="D2000" s="566" t="str">
        <f>'2025'!D121</f>
        <v>FAE-25-00120</v>
      </c>
      <c r="E2000" s="496" t="str">
        <f t="shared" si="38"/>
        <v>120</v>
      </c>
      <c r="F2000" s="567" t="str">
        <f>+'2025'!G121</f>
        <v>25/04/2025</v>
      </c>
      <c r="G2000" s="496">
        <f t="shared" si="26"/>
        <v>2025</v>
      </c>
      <c r="H2000" s="586" t="s">
        <v>17390</v>
      </c>
      <c r="I2000" s="496" t="str">
        <f>+VLOOKUP(H2000,Sheet1!A:C,3,0)</f>
        <v>ALMOSTAWRED ALJADEED CO. FOR IMPORT</v>
      </c>
      <c r="J2000" s="496" t="str">
        <f>+VLOOKUP(H2000,Sheet1!A:D,4,0)</f>
        <v>USD</v>
      </c>
      <c r="K2000" s="497">
        <f t="shared" si="27"/>
        <v>530096.62160000007</v>
      </c>
      <c r="L2000" s="586">
        <v>2.9997500000000001</v>
      </c>
      <c r="M2000" s="587">
        <v>176713.60000000001</v>
      </c>
      <c r="N2000" s="496" t="str">
        <f>+VLOOKUP(E2000,'2025'!E:F,2,0)</f>
        <v>OUI</v>
      </c>
      <c r="O2000" s="496" t="str">
        <f>VLOOKUP(E2000,'2025'!E:N,10,0)</f>
        <v>Libye</v>
      </c>
      <c r="P2000" s="880">
        <f>VLOOKUP(E2000,'2025'!E:O,11,0)</f>
        <v>45777</v>
      </c>
      <c r="Q2000" s="565">
        <f>VLOOKUP(E2000,'2025'!E:H,4,0)</f>
        <v>0</v>
      </c>
      <c r="R2000" s="565">
        <f>VLOOKUP(E2000,'2025'!E:I,5,0)</f>
        <v>201680</v>
      </c>
      <c r="S2000" s="565">
        <f>VLOOKUP(E2000,'2025'!E:J,6,0)</f>
        <v>38400</v>
      </c>
      <c r="T2000" s="565">
        <f>VLOOKUP(E2000,'2025'!E:K,7,0)</f>
        <v>0</v>
      </c>
      <c r="U2000" s="565">
        <f t="shared" si="28"/>
        <v>240080</v>
      </c>
      <c r="V2000" s="354"/>
      <c r="W2000" s="569" t="e">
        <f>+VLOOKUP(D2000,'JOURNAL FACTURES'!A:O,15,0)</f>
        <v>#N/A</v>
      </c>
      <c r="X2000" s="569" t="e">
        <f>VLOOKUP(D2000,'JOURNAL FACTURES'!A:P,16,0)</f>
        <v>#N/A</v>
      </c>
      <c r="Y2000" s="569" t="e">
        <f>VLOOKUP(D2000,'JOURNAL FACTURES'!A:Q,17,0)</f>
        <v>#N/A</v>
      </c>
      <c r="Z2000" s="569" t="e">
        <f>VLOOKUP(D2000,'JOURNAL FACTURES'!A:R,18,0)</f>
        <v>#N/A</v>
      </c>
      <c r="AA2000" s="570" t="e">
        <f t="shared" si="29"/>
        <v>#N/A</v>
      </c>
      <c r="AB2000" s="570" t="e">
        <f t="shared" si="30"/>
        <v>#N/A</v>
      </c>
      <c r="AC2000" s="570" t="e">
        <f t="shared" si="31"/>
        <v>#N/A</v>
      </c>
      <c r="AD2000" s="570" t="e">
        <f t="shared" si="32"/>
        <v>#N/A</v>
      </c>
      <c r="AE2000" s="569">
        <f>VLOOKUP(D2000,TRANSPORT!H:J,3,0)</f>
        <v>0</v>
      </c>
      <c r="AF2000" s="569">
        <f>+VLOOKUP(D2000,TRANSPORT!N:O,2,0)</f>
        <v>0</v>
      </c>
      <c r="AG2000" s="569">
        <f t="shared" si="33"/>
        <v>0</v>
      </c>
      <c r="AH2000" s="571" t="e">
        <f t="shared" si="34"/>
        <v>#N/A</v>
      </c>
      <c r="AI2000" s="571" t="e">
        <f t="shared" si="35"/>
        <v>#N/A</v>
      </c>
      <c r="AJ2000" s="571" t="e">
        <f t="shared" si="36"/>
        <v>#N/A</v>
      </c>
      <c r="AK2000" s="571" t="e">
        <f t="shared" si="37"/>
        <v>#N/A</v>
      </c>
      <c r="AL2000" s="572">
        <f>VLOOKUP(D2000,'INTEGRATION PAR CLIENT '!A1396:J1424,10,0)</f>
        <v>0</v>
      </c>
      <c r="AM2000" s="572" t="str">
        <f>VLOOKUP(D2000,'INTEGRATION PAR CLIENT '!A1396:L1424,12,0)</f>
        <v>50%-50%</v>
      </c>
      <c r="AN2000" s="572" t="str">
        <f>+VLOOKUP(D2000,'INTEGRATION PAR CLIENT '!A1396:N1424,14,0)</f>
        <v>50%-50%</v>
      </c>
      <c r="AO2000" s="572">
        <f>+VLOOKUP(D2000,'INTEGRATION PAR CLIENT '!A1396:P1424,16,0)</f>
        <v>0</v>
      </c>
    </row>
    <row r="2001" spans="1:41">
      <c r="A2001" s="617">
        <v>121</v>
      </c>
      <c r="B2001" s="496" t="str">
        <f t="shared" si="24"/>
        <v>121</v>
      </c>
      <c r="C2001" s="496">
        <f t="shared" si="25"/>
        <v>0</v>
      </c>
      <c r="D2001" s="566" t="str">
        <f>'2025'!D122</f>
        <v>FAE-25-00121</v>
      </c>
      <c r="E2001" s="496" t="str">
        <f t="shared" si="38"/>
        <v>121</v>
      </c>
      <c r="F2001" s="567" t="str">
        <f>+'2025'!G122</f>
        <v>29/04/2025</v>
      </c>
      <c r="G2001" s="496">
        <f t="shared" si="26"/>
        <v>2025</v>
      </c>
      <c r="H2001" s="586" t="s">
        <v>16384</v>
      </c>
      <c r="I2001" s="496" t="str">
        <f>+VLOOKUP(H2001,Sheet1!A:C,3,0)</f>
        <v>STE DE COMMERCE INTERNATIONAL</v>
      </c>
      <c r="J2001" s="496" t="str">
        <f>+VLOOKUP(H2001,Sheet1!A:D,4,0)</f>
        <v>TND</v>
      </c>
      <c r="K2001" s="497">
        <f t="shared" si="27"/>
        <v>126144</v>
      </c>
      <c r="L2001" s="586">
        <v>1</v>
      </c>
      <c r="M2001" s="587">
        <v>126144</v>
      </c>
      <c r="N2001" s="496" t="str">
        <f>+VLOOKUP(E2001,'2025'!E:F,2,0)</f>
        <v>OUI</v>
      </c>
      <c r="O2001" s="496" t="str">
        <f>VLOOKUP(E2001,'2025'!E:N,10,0)</f>
        <v>Burkina Faso</v>
      </c>
      <c r="P2001" s="880">
        <f>VLOOKUP(E2001,'2025'!E:O,11,0)</f>
        <v>45785</v>
      </c>
      <c r="Q2001" s="565">
        <f>VLOOKUP(E2001,'2025'!E:H,4,0)</f>
        <v>57600</v>
      </c>
      <c r="R2001" s="565">
        <f>VLOOKUP(E2001,'2025'!E:I,5,0)</f>
        <v>0</v>
      </c>
      <c r="S2001" s="565">
        <f>VLOOKUP(E2001,'2025'!E:J,6,0)</f>
        <v>0</v>
      </c>
      <c r="T2001" s="565">
        <f>VLOOKUP(E2001,'2025'!E:K,7,0)</f>
        <v>0</v>
      </c>
      <c r="U2001" s="565">
        <f t="shared" si="28"/>
        <v>57600</v>
      </c>
      <c r="V2001" s="354"/>
      <c r="W2001" s="569" t="e">
        <f>+VLOOKUP(D2001,'JOURNAL FACTURES'!A:O,15,0)</f>
        <v>#N/A</v>
      </c>
      <c r="X2001" s="569" t="e">
        <f>VLOOKUP(D2001,'JOURNAL FACTURES'!A:P,16,0)</f>
        <v>#N/A</v>
      </c>
      <c r="Y2001" s="569" t="e">
        <f>VLOOKUP(D2001,'JOURNAL FACTURES'!A:Q,17,0)</f>
        <v>#N/A</v>
      </c>
      <c r="Z2001" s="569" t="e">
        <f>VLOOKUP(D2001,'JOURNAL FACTURES'!A:R,18,0)</f>
        <v>#N/A</v>
      </c>
      <c r="AA2001" s="570" t="e">
        <f t="shared" si="29"/>
        <v>#N/A</v>
      </c>
      <c r="AB2001" s="570" t="e">
        <f t="shared" si="30"/>
        <v>#N/A</v>
      </c>
      <c r="AC2001" s="570" t="e">
        <f t="shared" si="31"/>
        <v>#N/A</v>
      </c>
      <c r="AD2001" s="570" t="e">
        <f t="shared" si="32"/>
        <v>#N/A</v>
      </c>
      <c r="AE2001" s="569">
        <f>VLOOKUP(D2001,TRANSPORT!H:J,3,0)</f>
        <v>0</v>
      </c>
      <c r="AF2001" s="569">
        <f>+VLOOKUP(D2001,TRANSPORT!N:O,2,0)</f>
        <v>0</v>
      </c>
      <c r="AG2001" s="569">
        <f t="shared" si="33"/>
        <v>0</v>
      </c>
      <c r="AH2001" s="571" t="e">
        <f t="shared" si="34"/>
        <v>#N/A</v>
      </c>
      <c r="AI2001" s="571" t="e">
        <f t="shared" si="35"/>
        <v>#N/A</v>
      </c>
      <c r="AJ2001" s="571" t="e">
        <f t="shared" si="36"/>
        <v>#N/A</v>
      </c>
      <c r="AK2001" s="571" t="e">
        <f t="shared" si="37"/>
        <v>#N/A</v>
      </c>
      <c r="AL2001" s="572">
        <f>VLOOKUP(D2001,'INTEGRATION PAR CLIENT '!A1397:J1425,10,0)</f>
        <v>1</v>
      </c>
      <c r="AM2001" s="572">
        <f>VLOOKUP(D2001,'INTEGRATION PAR CLIENT '!A1397:L1425,12,0)</f>
        <v>0</v>
      </c>
      <c r="AN2001" s="572">
        <f>+VLOOKUP(D2001,'INTEGRATION PAR CLIENT '!A1397:N1425,14,0)</f>
        <v>0</v>
      </c>
      <c r="AO2001" s="572">
        <f>+VLOOKUP(D2001,'INTEGRATION PAR CLIENT '!A1397:P1425,16,0)</f>
        <v>0</v>
      </c>
    </row>
    <row r="2002" spans="1:41">
      <c r="A2002" s="617">
        <v>122</v>
      </c>
      <c r="B2002" s="496" t="str">
        <f t="shared" si="24"/>
        <v>122</v>
      </c>
      <c r="C2002" s="496">
        <f t="shared" si="25"/>
        <v>0</v>
      </c>
      <c r="D2002" s="566" t="str">
        <f>'2025'!D123</f>
        <v>FAE-25-00122</v>
      </c>
      <c r="E2002" s="496" t="str">
        <f t="shared" si="38"/>
        <v>122</v>
      </c>
      <c r="F2002" s="567">
        <f>+'2025'!G123</f>
        <v>45782</v>
      </c>
      <c r="G2002" s="496">
        <f t="shared" si="26"/>
        <v>2025</v>
      </c>
      <c r="H2002" s="586" t="s">
        <v>16384</v>
      </c>
      <c r="I2002" s="496" t="str">
        <f>+VLOOKUP(H2002,Sheet1!A:C,3,0)</f>
        <v>STE DE COMMERCE INTERNATIONAL</v>
      </c>
      <c r="J2002" s="496" t="str">
        <f>+VLOOKUP(H2002,Sheet1!A:D,4,0)</f>
        <v>TND</v>
      </c>
      <c r="K2002" s="497">
        <f t="shared" si="27"/>
        <v>168960</v>
      </c>
      <c r="L2002" s="586">
        <v>1</v>
      </c>
      <c r="M2002" s="587">
        <v>168960</v>
      </c>
      <c r="N2002" s="496" t="str">
        <f>+VLOOKUP(E2002,'2025'!E:F,2,0)</f>
        <v>OUI</v>
      </c>
      <c r="O2002" s="496" t="str">
        <f>VLOOKUP(E2002,'2025'!E:N,10,0)</f>
        <v>Gambie</v>
      </c>
      <c r="P2002" s="880">
        <f>VLOOKUP(E2002,'2025'!E:O,11,0)</f>
        <v>45786</v>
      </c>
      <c r="Q2002" s="565">
        <f>VLOOKUP(E2002,'2025'!E:H,4,0)</f>
        <v>76800</v>
      </c>
      <c r="R2002" s="565">
        <f>VLOOKUP(E2002,'2025'!E:I,5,0)</f>
        <v>0</v>
      </c>
      <c r="S2002" s="565">
        <f>VLOOKUP(E2002,'2025'!E:J,6,0)</f>
        <v>0</v>
      </c>
      <c r="T2002" s="565">
        <f>VLOOKUP(E2002,'2025'!E:K,7,0)</f>
        <v>0</v>
      </c>
      <c r="U2002" s="565">
        <f t="shared" si="28"/>
        <v>76800</v>
      </c>
      <c r="V2002" s="354"/>
      <c r="W2002" s="569" t="e">
        <f>+VLOOKUP(D2002,'JOURNAL FACTURES'!A:O,15,0)</f>
        <v>#N/A</v>
      </c>
      <c r="X2002" s="569" t="e">
        <f>VLOOKUP(D2002,'JOURNAL FACTURES'!A:P,16,0)</f>
        <v>#N/A</v>
      </c>
      <c r="Y2002" s="569" t="e">
        <f>VLOOKUP(D2002,'JOURNAL FACTURES'!A:Q,17,0)</f>
        <v>#N/A</v>
      </c>
      <c r="Z2002" s="569" t="e">
        <f>VLOOKUP(D2002,'JOURNAL FACTURES'!A:R,18,0)</f>
        <v>#N/A</v>
      </c>
      <c r="AA2002" s="570" t="e">
        <f t="shared" si="29"/>
        <v>#N/A</v>
      </c>
      <c r="AB2002" s="570" t="e">
        <f t="shared" si="30"/>
        <v>#N/A</v>
      </c>
      <c r="AC2002" s="570" t="e">
        <f t="shared" si="31"/>
        <v>#N/A</v>
      </c>
      <c r="AD2002" s="570" t="e">
        <f t="shared" si="32"/>
        <v>#N/A</v>
      </c>
      <c r="AE2002" s="569">
        <f>VLOOKUP(D2002,TRANSPORT!H:J,3,0)</f>
        <v>0</v>
      </c>
      <c r="AF2002" s="569">
        <f>+VLOOKUP(D2002,TRANSPORT!N:O,2,0)</f>
        <v>0</v>
      </c>
      <c r="AG2002" s="569">
        <f t="shared" si="33"/>
        <v>0</v>
      </c>
      <c r="AH2002" s="571" t="e">
        <f t="shared" si="34"/>
        <v>#N/A</v>
      </c>
      <c r="AI2002" s="571" t="e">
        <f t="shared" si="35"/>
        <v>#N/A</v>
      </c>
      <c r="AJ2002" s="571" t="e">
        <f t="shared" si="36"/>
        <v>#N/A</v>
      </c>
      <c r="AK2002" s="571" t="e">
        <f t="shared" si="37"/>
        <v>#N/A</v>
      </c>
      <c r="AL2002" s="572">
        <f>VLOOKUP(D2002,'INTEGRATION PAR CLIENT '!A1398:J1426,10,0)</f>
        <v>1</v>
      </c>
      <c r="AM2002" s="572">
        <f>VLOOKUP(D2002,'INTEGRATION PAR CLIENT '!A1398:L1426,12,0)</f>
        <v>0</v>
      </c>
      <c r="AN2002" s="572">
        <f>+VLOOKUP(D2002,'INTEGRATION PAR CLIENT '!A1398:N1426,14,0)</f>
        <v>0</v>
      </c>
      <c r="AO2002" s="572">
        <f>+VLOOKUP(D2002,'INTEGRATION PAR CLIENT '!A1398:P1426,16,0)</f>
        <v>0</v>
      </c>
    </row>
    <row r="2003" spans="1:41">
      <c r="A2003" s="617">
        <v>123</v>
      </c>
      <c r="B2003" s="496" t="str">
        <f t="shared" si="24"/>
        <v>123</v>
      </c>
      <c r="C2003" s="496">
        <f t="shared" si="25"/>
        <v>0</v>
      </c>
      <c r="D2003" s="566" t="str">
        <f>'2025'!D124</f>
        <v>FAE-25-00123</v>
      </c>
      <c r="E2003" s="496" t="str">
        <f t="shared" si="38"/>
        <v>123</v>
      </c>
      <c r="F2003" s="567">
        <f>+'2025'!G124</f>
        <v>45782</v>
      </c>
      <c r="G2003" s="496">
        <f t="shared" si="26"/>
        <v>2025</v>
      </c>
      <c r="H2003" s="586" t="s">
        <v>16444</v>
      </c>
      <c r="I2003" s="496" t="str">
        <f>+VLOOKUP(H2003,Sheet1!A:C,3,0)</f>
        <v>SAHEL INTERNATIONAL TRADE</v>
      </c>
      <c r="J2003" s="496" t="str">
        <f>+VLOOKUP(H2003,Sheet1!A:D,4,0)</f>
        <v>TND</v>
      </c>
      <c r="K2003" s="497">
        <f t="shared" si="27"/>
        <v>412500</v>
      </c>
      <c r="L2003" s="586">
        <v>1</v>
      </c>
      <c r="M2003" s="587">
        <v>412500</v>
      </c>
      <c r="N2003" s="496" t="str">
        <f>+VLOOKUP(E2003,'2025'!E:F,2,0)</f>
        <v>OUI</v>
      </c>
      <c r="O2003" s="496" t="str">
        <f>VLOOKUP(E2003,'2025'!E:N,10,0)</f>
        <v>Niger</v>
      </c>
      <c r="P2003" s="880">
        <f>VLOOKUP(E2003,'2025'!E:O,11,0)</f>
        <v>45792</v>
      </c>
      <c r="Q2003" s="565">
        <f>VLOOKUP(E2003,'2025'!E:H,4,0)</f>
        <v>0</v>
      </c>
      <c r="R2003" s="565">
        <f>VLOOKUP(E2003,'2025'!E:I,5,0)</f>
        <v>0</v>
      </c>
      <c r="S2003" s="565">
        <f>VLOOKUP(E2003,'2025'!E:J,6,0)</f>
        <v>275000</v>
      </c>
      <c r="T2003" s="565">
        <f>VLOOKUP(E2003,'2025'!E:K,7,0)</f>
        <v>0</v>
      </c>
      <c r="U2003" s="565">
        <f t="shared" si="28"/>
        <v>275000</v>
      </c>
      <c r="V2003" s="354"/>
      <c r="W2003" s="569" t="e">
        <f>+VLOOKUP(D2003,'JOURNAL FACTURES'!A:O,15,0)</f>
        <v>#N/A</v>
      </c>
      <c r="X2003" s="569" t="e">
        <f>VLOOKUP(D2003,'JOURNAL FACTURES'!A:P,16,0)</f>
        <v>#N/A</v>
      </c>
      <c r="Y2003" s="569" t="e">
        <f>VLOOKUP(D2003,'JOURNAL FACTURES'!A:Q,17,0)</f>
        <v>#N/A</v>
      </c>
      <c r="Z2003" s="569" t="e">
        <f>VLOOKUP(D2003,'JOURNAL FACTURES'!A:R,18,0)</f>
        <v>#N/A</v>
      </c>
      <c r="AA2003" s="570" t="e">
        <f t="shared" si="29"/>
        <v>#N/A</v>
      </c>
      <c r="AB2003" s="570" t="e">
        <f t="shared" si="30"/>
        <v>#N/A</v>
      </c>
      <c r="AC2003" s="570" t="e">
        <f t="shared" si="31"/>
        <v>#N/A</v>
      </c>
      <c r="AD2003" s="570" t="e">
        <f t="shared" si="32"/>
        <v>#N/A</v>
      </c>
      <c r="AE2003" s="569">
        <f>VLOOKUP(D2003,TRANSPORT!H:J,3,0)</f>
        <v>0</v>
      </c>
      <c r="AF2003" s="569">
        <f>+VLOOKUP(D2003,TRANSPORT!N:O,2,0)</f>
        <v>0</v>
      </c>
      <c r="AG2003" s="569">
        <f t="shared" si="33"/>
        <v>0</v>
      </c>
      <c r="AH2003" s="571" t="e">
        <f t="shared" si="34"/>
        <v>#N/A</v>
      </c>
      <c r="AI2003" s="571" t="e">
        <f t="shared" si="35"/>
        <v>#N/A</v>
      </c>
      <c r="AJ2003" s="571" t="e">
        <f t="shared" si="36"/>
        <v>#N/A</v>
      </c>
      <c r="AK2003" s="571" t="e">
        <f t="shared" si="37"/>
        <v>#N/A</v>
      </c>
      <c r="AL2003" s="572">
        <f>VLOOKUP(D2003,'INTEGRATION PAR CLIENT '!A1399:J1427,10,0)</f>
        <v>0</v>
      </c>
      <c r="AM2003" s="572">
        <f>VLOOKUP(D2003,'INTEGRATION PAR CLIENT '!A1399:L1427,12,0)</f>
        <v>0</v>
      </c>
      <c r="AN2003" s="572" t="str">
        <f>+VLOOKUP(D2003,'INTEGRATION PAR CLIENT '!A1399:N1427,14,0)</f>
        <v>10%-90%</v>
      </c>
      <c r="AO2003" s="572">
        <f>+VLOOKUP(D2003,'INTEGRATION PAR CLIENT '!A1399:P1427,16,0)</f>
        <v>0</v>
      </c>
    </row>
    <row r="2004" spans="1:41">
      <c r="A2004" s="342">
        <v>124</v>
      </c>
      <c r="B2004" s="277" t="str">
        <f t="shared" ref="B2004:B2027" si="40">+RIGHT(D2004,3)</f>
        <v>124</v>
      </c>
      <c r="C2004" s="277">
        <v>0</v>
      </c>
      <c r="D2004" s="343" t="str">
        <f>'2025'!D125</f>
        <v>FAE-25-00124</v>
      </c>
      <c r="E2004" s="277" t="str">
        <f t="shared" ref="E2004:E2027" si="41">RIGHT(D2004,3)</f>
        <v>124</v>
      </c>
      <c r="F2004" s="972">
        <v>45786</v>
      </c>
      <c r="G2004" s="619">
        <f t="shared" ref="G2004:G2067" si="42">+YEAR(F2004)</f>
        <v>2025</v>
      </c>
      <c r="H2004" s="383" t="s">
        <v>16823</v>
      </c>
      <c r="I2004" s="277" t="str">
        <f>+VLOOKUP(H2004,Sheet1!A:C,3,0)</f>
        <v>E.A.S.B. NAFA</v>
      </c>
      <c r="J2004" s="277" t="str">
        <f>+VLOOKUP(H2004,Sheet1!A:D,4,0)</f>
        <v>USD</v>
      </c>
      <c r="K2004" s="278">
        <f t="shared" ref="K2004:K2027" si="43">+L2004*M2004</f>
        <v>100580.47199999999</v>
      </c>
      <c r="L2004" s="383">
        <v>3.0368499999999998</v>
      </c>
      <c r="M2004" s="384">
        <v>33120</v>
      </c>
      <c r="N2004" s="277" t="str">
        <f>+VLOOKUP(E2004,'2025'!E:F,2,0)</f>
        <v>OUI</v>
      </c>
      <c r="O2004" s="277" t="str">
        <f>VLOOKUP(E2004,'2025'!E:N,10,0)</f>
        <v>Gambie</v>
      </c>
      <c r="P2004" s="890">
        <f>VLOOKUP(E2004,'2025'!E:O,11,0)</f>
        <v>45792</v>
      </c>
      <c r="Q2004" s="347">
        <f>VLOOKUP(E2004,'2025'!E:H,4,0)</f>
        <v>0</v>
      </c>
      <c r="R2004" s="347">
        <f>VLOOKUP(E2004,'2025'!E:I,5,0)</f>
        <v>0</v>
      </c>
      <c r="S2004" s="347">
        <f>VLOOKUP(E2004,'2025'!E:J,6,0)</f>
        <v>52000</v>
      </c>
      <c r="T2004" s="347">
        <f>VLOOKUP(E2004,'2025'!E:K,7,0)</f>
        <v>0</v>
      </c>
      <c r="U2004" s="347">
        <f t="shared" ref="U2004:U2027" si="44">SUM(Q2004:T2004)</f>
        <v>52000</v>
      </c>
      <c r="V2004" s="348"/>
      <c r="W2004" s="349" t="e">
        <f>+VLOOKUP(D2004,'JOURNAL FACTURES'!A:O,15,0)</f>
        <v>#N/A</v>
      </c>
      <c r="X2004" s="349" t="e">
        <f>VLOOKUP(D2004,'JOURNAL FACTURES'!A:P,16,0)</f>
        <v>#N/A</v>
      </c>
      <c r="Y2004" s="349" t="e">
        <f>VLOOKUP(D2004,'JOURNAL FACTURES'!A:Q,17,0)</f>
        <v>#N/A</v>
      </c>
      <c r="Z2004" s="349" t="e">
        <f>VLOOKUP(D2004,'JOURNAL FACTURES'!A:R,18,0)</f>
        <v>#N/A</v>
      </c>
      <c r="AA2004" s="350" t="e">
        <f t="shared" ref="AA2004:AA2027" si="45">+W2004/Q2004</f>
        <v>#N/A</v>
      </c>
      <c r="AB2004" s="350" t="e">
        <f t="shared" ref="AB2004:AB2027" si="46">+X2004/R2004</f>
        <v>#N/A</v>
      </c>
      <c r="AC2004" s="350" t="e">
        <f t="shared" ref="AC2004:AC2027" si="47">+Y2004/S2004</f>
        <v>#N/A</v>
      </c>
      <c r="AD2004" s="350" t="e">
        <f t="shared" ref="AD2004:AD2027" si="48">Z2004/T2004</f>
        <v>#N/A</v>
      </c>
      <c r="AE2004" s="349">
        <f>VLOOKUP(D2004,TRANSPORT!H:J,3,0)</f>
        <v>2436.36</v>
      </c>
      <c r="AF2004" s="349">
        <f>+VLOOKUP(D2004,TRANSPORT!N:O,2,0)</f>
        <v>15435.2</v>
      </c>
      <c r="AG2004" s="349">
        <f t="shared" ref="AG2004:AG2027" si="49">AF2004/U2004</f>
        <v>0.29683076923076923</v>
      </c>
      <c r="AH2004" s="351" t="e">
        <f t="shared" ref="AH2004:AH2027" si="50">AA2004-AG2004</f>
        <v>#N/A</v>
      </c>
      <c r="AI2004" s="351" t="e">
        <f t="shared" ref="AI2004:AI2027" si="51">AB2004-AG2004</f>
        <v>#N/A</v>
      </c>
      <c r="AJ2004" s="351" t="e">
        <f t="shared" ref="AJ2004:AJ2027" si="52">AC2004-AG2004</f>
        <v>#N/A</v>
      </c>
      <c r="AK2004" s="351" t="e">
        <f t="shared" ref="AK2004:AK2027" si="53">AD2004-AG2004</f>
        <v>#N/A</v>
      </c>
      <c r="AL2004" s="352">
        <f>VLOOKUP(D2004,'INTEGRATION PAR CLIENT '!A1400:J1428,10,0)</f>
        <v>0</v>
      </c>
      <c r="AM2004" s="352">
        <f>VLOOKUP(D2004,'INTEGRATION PAR CLIENT '!A1400:L1428,12,0)</f>
        <v>0</v>
      </c>
      <c r="AN2004" s="352" t="str">
        <f>+VLOOKUP(D2004,'INTEGRATION PAR CLIENT '!A1400:N1428,14,0)</f>
        <v>10%-90%</v>
      </c>
      <c r="AO2004" s="352">
        <f>+VLOOKUP(D2004,'INTEGRATION PAR CLIENT '!A1400:P1428,16,0)</f>
        <v>0</v>
      </c>
    </row>
    <row r="2005" spans="1:41">
      <c r="A2005" s="342">
        <v>125</v>
      </c>
      <c r="B2005" s="277" t="str">
        <f t="shared" si="40"/>
        <v>125</v>
      </c>
      <c r="C2005" s="277">
        <v>0</v>
      </c>
      <c r="D2005" s="343" t="str">
        <f>'2025'!D126</f>
        <v>FAE-25-00125</v>
      </c>
      <c r="E2005" s="277" t="str">
        <f t="shared" si="41"/>
        <v>125</v>
      </c>
      <c r="F2005" s="972">
        <v>45786</v>
      </c>
      <c r="G2005" s="619">
        <f t="shared" si="42"/>
        <v>2025</v>
      </c>
      <c r="H2005" s="383" t="s">
        <v>16823</v>
      </c>
      <c r="I2005" s="277" t="str">
        <f>+VLOOKUP(H2005,Sheet1!A:C,3,0)</f>
        <v>E.A.S.B. NAFA</v>
      </c>
      <c r="J2005" s="277" t="str">
        <f>+VLOOKUP(H2005,Sheet1!A:D,4,0)</f>
        <v>USD</v>
      </c>
      <c r="K2005" s="278">
        <f t="shared" si="43"/>
        <v>107680.9078</v>
      </c>
      <c r="L2005" s="383">
        <v>2.9923000000000002</v>
      </c>
      <c r="M2005" s="384">
        <v>35986</v>
      </c>
      <c r="N2005" s="277" t="str">
        <f>+VLOOKUP(E2005,'2025'!E:F,2,0)</f>
        <v>OUI</v>
      </c>
      <c r="O2005" s="277" t="str">
        <f>VLOOKUP(E2005,'2025'!E:N,10,0)</f>
        <v>Gambie</v>
      </c>
      <c r="P2005" s="890">
        <f>VLOOKUP(E2005,'2025'!E:O,11,0)</f>
        <v>45800</v>
      </c>
      <c r="Q2005" s="347">
        <f>VLOOKUP(E2005,'2025'!E:H,4,0)</f>
        <v>19600</v>
      </c>
      <c r="R2005" s="347">
        <f>VLOOKUP(E2005,'2025'!E:I,5,0)</f>
        <v>8400</v>
      </c>
      <c r="S2005" s="347">
        <f>VLOOKUP(E2005,'2025'!E:J,6,0)</f>
        <v>26000</v>
      </c>
      <c r="T2005" s="347">
        <f>VLOOKUP(E2005,'2025'!E:K,7,0)</f>
        <v>0</v>
      </c>
      <c r="U2005" s="347">
        <f t="shared" si="44"/>
        <v>54000</v>
      </c>
      <c r="V2005" s="348"/>
      <c r="W2005" s="349" t="e">
        <f>+VLOOKUP(D2005,'JOURNAL FACTURES'!A:O,15,0)</f>
        <v>#N/A</v>
      </c>
      <c r="X2005" s="349" t="e">
        <f>VLOOKUP(D2005,'JOURNAL FACTURES'!A:P,16,0)</f>
        <v>#N/A</v>
      </c>
      <c r="Y2005" s="349" t="e">
        <f>VLOOKUP(D2005,'JOURNAL FACTURES'!A:Q,17,0)</f>
        <v>#N/A</v>
      </c>
      <c r="Z2005" s="349" t="e">
        <f>VLOOKUP(D2005,'JOURNAL FACTURES'!A:R,18,0)</f>
        <v>#N/A</v>
      </c>
      <c r="AA2005" s="350" t="e">
        <f t="shared" si="45"/>
        <v>#N/A</v>
      </c>
      <c r="AB2005" s="350" t="e">
        <f t="shared" si="46"/>
        <v>#N/A</v>
      </c>
      <c r="AC2005" s="350" t="e">
        <f t="shared" si="47"/>
        <v>#N/A</v>
      </c>
      <c r="AD2005" s="350" t="e">
        <f t="shared" si="48"/>
        <v>#N/A</v>
      </c>
      <c r="AE2005" s="349">
        <f>VLOOKUP(D2005,TRANSPORT!H:J,3,0)</f>
        <v>2106.6491999999998</v>
      </c>
      <c r="AF2005" s="349">
        <f>+VLOOKUP(D2005,TRANSPORT!N:O,2,0)</f>
        <v>14219.495999999999</v>
      </c>
      <c r="AG2005" s="349">
        <f t="shared" si="49"/>
        <v>0.263324</v>
      </c>
      <c r="AH2005" s="351" t="e">
        <f t="shared" si="50"/>
        <v>#N/A</v>
      </c>
      <c r="AI2005" s="351" t="e">
        <f t="shared" si="51"/>
        <v>#N/A</v>
      </c>
      <c r="AJ2005" s="351" t="e">
        <f t="shared" si="52"/>
        <v>#N/A</v>
      </c>
      <c r="AK2005" s="351" t="e">
        <f t="shared" si="53"/>
        <v>#N/A</v>
      </c>
      <c r="AL2005" s="352">
        <f>VLOOKUP(D2005,'INTEGRATION PAR CLIENT '!A1401:J1429,10,0)</f>
        <v>1</v>
      </c>
      <c r="AM2005" s="352" t="str">
        <f>VLOOKUP(D2005,'INTEGRATION PAR CLIENT '!A1401:L1429,12,0)</f>
        <v>'30%S-70%F</v>
      </c>
      <c r="AN2005" s="352" t="str">
        <f>+VLOOKUP(D2005,'INTEGRATION PAR CLIENT '!A1401:N1429,14,0)</f>
        <v>10%-90%</v>
      </c>
      <c r="AO2005" s="352">
        <f>+VLOOKUP(D2005,'INTEGRATION PAR CLIENT '!A1401:P1429,16,0)</f>
        <v>0</v>
      </c>
    </row>
    <row r="2006" spans="1:41">
      <c r="A2006" s="342">
        <v>126</v>
      </c>
      <c r="B2006" s="277" t="str">
        <f t="shared" si="40"/>
        <v>126</v>
      </c>
      <c r="C2006" s="277">
        <v>0</v>
      </c>
      <c r="D2006" s="343" t="str">
        <f>'2025'!D127</f>
        <v>FAE-25-00126</v>
      </c>
      <c r="E2006" s="277" t="str">
        <f t="shared" si="41"/>
        <v>126</v>
      </c>
      <c r="F2006" s="972">
        <v>45786</v>
      </c>
      <c r="G2006" s="619">
        <f t="shared" si="42"/>
        <v>2025</v>
      </c>
      <c r="H2006" s="383" t="s">
        <v>16643</v>
      </c>
      <c r="I2006" s="277" t="str">
        <f>+VLOOKUP(H2006,Sheet1!A:C,3,0)</f>
        <v>BAH MAMADOU SALIOU</v>
      </c>
      <c r="J2006" s="277" t="str">
        <f>+VLOOKUP(H2006,Sheet1!A:D,4,0)</f>
        <v>EUR</v>
      </c>
      <c r="K2006" s="278">
        <f t="shared" si="43"/>
        <v>41531.130799999999</v>
      </c>
      <c r="L2006" s="383">
        <v>3.3908499999999999</v>
      </c>
      <c r="M2006" s="384">
        <v>12248</v>
      </c>
      <c r="N2006" s="277" t="str">
        <f>+VLOOKUP(E2006,'2025'!E:F,2,0)</f>
        <v>OUI</v>
      </c>
      <c r="O2006" s="277" t="str">
        <f>VLOOKUP(E2006,'2025'!E:N,10,0)</f>
        <v>Guinée</v>
      </c>
      <c r="P2006" s="890">
        <f>VLOOKUP(E2006,'2025'!E:O,11,0)</f>
        <v>45800</v>
      </c>
      <c r="Q2006" s="347">
        <f>VLOOKUP(E2006,'2025'!E:H,4,0)</f>
        <v>0</v>
      </c>
      <c r="R2006" s="347">
        <f>VLOOKUP(E2006,'2025'!E:I,5,0)</f>
        <v>19200</v>
      </c>
      <c r="S2006" s="347">
        <f>VLOOKUP(E2006,'2025'!E:J,6,0)</f>
        <v>0</v>
      </c>
      <c r="T2006" s="347">
        <f>VLOOKUP(E2006,'2025'!E:K,7,0)</f>
        <v>0</v>
      </c>
      <c r="U2006" s="347">
        <f t="shared" si="44"/>
        <v>19200</v>
      </c>
      <c r="V2006" s="348"/>
      <c r="W2006" s="349" t="e">
        <f>+VLOOKUP(D2006,'JOURNAL FACTURES'!A:O,15,0)</f>
        <v>#N/A</v>
      </c>
      <c r="X2006" s="349" t="e">
        <f>VLOOKUP(D2006,'JOURNAL FACTURES'!A:P,16,0)</f>
        <v>#N/A</v>
      </c>
      <c r="Y2006" s="349" t="e">
        <f>VLOOKUP(D2006,'JOURNAL FACTURES'!A:Q,17,0)</f>
        <v>#N/A</v>
      </c>
      <c r="Z2006" s="349" t="e">
        <f>VLOOKUP(D2006,'JOURNAL FACTURES'!A:R,18,0)</f>
        <v>#N/A</v>
      </c>
      <c r="AA2006" s="350" t="e">
        <f t="shared" si="45"/>
        <v>#N/A</v>
      </c>
      <c r="AB2006" s="350" t="e">
        <f t="shared" si="46"/>
        <v>#N/A</v>
      </c>
      <c r="AC2006" s="350" t="e">
        <f t="shared" si="47"/>
        <v>#N/A</v>
      </c>
      <c r="AD2006" s="350" t="e">
        <f t="shared" si="48"/>
        <v>#N/A</v>
      </c>
      <c r="AE2006" s="349">
        <f>VLOOKUP(D2006,TRANSPORT!H:J,3,0)</f>
        <v>1017.072</v>
      </c>
      <c r="AF2006" s="349">
        <f>+VLOOKUP(D2006,TRANSPORT!N:O,2,0)</f>
        <v>7010.0050000000001</v>
      </c>
      <c r="AG2006" s="349">
        <f t="shared" si="49"/>
        <v>0.36510442708333335</v>
      </c>
      <c r="AH2006" s="351" t="e">
        <f t="shared" si="50"/>
        <v>#N/A</v>
      </c>
      <c r="AI2006" s="351" t="e">
        <f t="shared" si="51"/>
        <v>#N/A</v>
      </c>
      <c r="AJ2006" s="351" t="e">
        <f t="shared" si="52"/>
        <v>#N/A</v>
      </c>
      <c r="AK2006" s="351" t="e">
        <f t="shared" si="53"/>
        <v>#N/A</v>
      </c>
      <c r="AL2006" s="352">
        <f>VLOOKUP(D2006,'INTEGRATION PAR CLIENT '!A1402:J1430,10,0)</f>
        <v>0</v>
      </c>
      <c r="AM2006" s="352" t="str">
        <f>VLOOKUP(D2006,'INTEGRATION PAR CLIENT '!A1402:L1430,12,0)</f>
        <v>'30%S-70%F</v>
      </c>
      <c r="AN2006" s="352">
        <f>+VLOOKUP(D2006,'INTEGRATION PAR CLIENT '!A1402:N1430,14,0)</f>
        <v>0</v>
      </c>
      <c r="AO2006" s="352">
        <f>+VLOOKUP(D2006,'INTEGRATION PAR CLIENT '!A1402:P1430,16,0)</f>
        <v>0</v>
      </c>
    </row>
    <row r="2007" spans="1:41">
      <c r="A2007" s="342">
        <v>127</v>
      </c>
      <c r="B2007" s="277" t="str">
        <f t="shared" si="40"/>
        <v>127</v>
      </c>
      <c r="C2007" s="277">
        <v>0</v>
      </c>
      <c r="D2007" s="343" t="str">
        <f>'2025'!D128</f>
        <v>FAE-25-00127</v>
      </c>
      <c r="E2007" s="277" t="str">
        <f t="shared" si="41"/>
        <v>127</v>
      </c>
      <c r="F2007" s="972">
        <v>45786</v>
      </c>
      <c r="G2007" s="619">
        <f t="shared" si="42"/>
        <v>2025</v>
      </c>
      <c r="H2007" s="383" t="s">
        <v>16643</v>
      </c>
      <c r="I2007" s="277" t="str">
        <f>+VLOOKUP(H2007,Sheet1!A:C,3,0)</f>
        <v>BAH MAMADOU SALIOU</v>
      </c>
      <c r="J2007" s="277" t="str">
        <f>+VLOOKUP(H2007,Sheet1!A:D,4,0)</f>
        <v>EUR</v>
      </c>
      <c r="K2007" s="278">
        <f t="shared" si="43"/>
        <v>167484.1906</v>
      </c>
      <c r="L2007" s="383">
        <v>3.3791500000000001</v>
      </c>
      <c r="M2007" s="384">
        <v>49564</v>
      </c>
      <c r="N2007" s="277" t="str">
        <f>+VLOOKUP(E2007,'2025'!E:F,2,0)</f>
        <v>OUI</v>
      </c>
      <c r="O2007" s="277" t="str">
        <f>VLOOKUP(E2007,'2025'!E:N,10,0)</f>
        <v>Guinée</v>
      </c>
      <c r="P2007" s="890">
        <f>VLOOKUP(E2007,'2025'!E:O,11,0)</f>
        <v>45796</v>
      </c>
      <c r="Q2007" s="347">
        <f>VLOOKUP(E2007,'2025'!E:H,4,0)</f>
        <v>0</v>
      </c>
      <c r="R2007" s="347">
        <f>VLOOKUP(E2007,'2025'!E:I,5,0)</f>
        <v>54000</v>
      </c>
      <c r="S2007" s="347">
        <f>VLOOKUP(E2007,'2025'!E:J,6,0)</f>
        <v>0</v>
      </c>
      <c r="T2007" s="347">
        <f>VLOOKUP(E2007,'2025'!E:K,7,0)</f>
        <v>8000</v>
      </c>
      <c r="U2007" s="347">
        <f t="shared" si="44"/>
        <v>62000</v>
      </c>
      <c r="V2007" s="348"/>
      <c r="W2007" s="349" t="e">
        <f>+VLOOKUP(D2007,'JOURNAL FACTURES'!A:O,15,0)</f>
        <v>#N/A</v>
      </c>
      <c r="X2007" s="349" t="e">
        <f>VLOOKUP(D2007,'JOURNAL FACTURES'!A:P,16,0)</f>
        <v>#N/A</v>
      </c>
      <c r="Y2007" s="349" t="e">
        <f>VLOOKUP(D2007,'JOURNAL FACTURES'!A:Q,17,0)</f>
        <v>#N/A</v>
      </c>
      <c r="Z2007" s="349" t="e">
        <f>VLOOKUP(D2007,'JOURNAL FACTURES'!A:R,18,0)</f>
        <v>#N/A</v>
      </c>
      <c r="AA2007" s="350" t="e">
        <f t="shared" si="45"/>
        <v>#N/A</v>
      </c>
      <c r="AB2007" s="350" t="e">
        <f t="shared" si="46"/>
        <v>#N/A</v>
      </c>
      <c r="AC2007" s="350" t="e">
        <f t="shared" si="47"/>
        <v>#N/A</v>
      </c>
      <c r="AD2007" s="350" t="e">
        <f t="shared" si="48"/>
        <v>#N/A</v>
      </c>
      <c r="AE2007" s="349">
        <f>VLOOKUP(D2007,TRANSPORT!H:J,3,0)</f>
        <v>3952.56</v>
      </c>
      <c r="AF2007" s="349">
        <f>+VLOOKUP(D2007,TRANSPORT!N:O,2,0)</f>
        <v>24495.34</v>
      </c>
      <c r="AG2007" s="349">
        <f t="shared" si="49"/>
        <v>0.39508612903225809</v>
      </c>
      <c r="AH2007" s="351" t="e">
        <f t="shared" si="50"/>
        <v>#N/A</v>
      </c>
      <c r="AI2007" s="351" t="e">
        <f t="shared" si="51"/>
        <v>#N/A</v>
      </c>
      <c r="AJ2007" s="351" t="e">
        <f t="shared" si="52"/>
        <v>#N/A</v>
      </c>
      <c r="AK2007" s="351" t="e">
        <f t="shared" si="53"/>
        <v>#N/A</v>
      </c>
      <c r="AL2007" s="352">
        <f>VLOOKUP(D2007,'INTEGRATION PAR CLIENT '!A1403:J1431,10,0)</f>
        <v>0</v>
      </c>
      <c r="AM2007" s="352" t="str">
        <f>VLOOKUP(D2007,'INTEGRATION PAR CLIENT '!A1403:L1431,12,0)</f>
        <v>'30%S-70%F</v>
      </c>
      <c r="AN2007" s="352">
        <f>+VLOOKUP(D2007,'INTEGRATION PAR CLIENT '!A1403:N1431,14,0)</f>
        <v>0</v>
      </c>
      <c r="AO2007" s="352">
        <f>+VLOOKUP(D2007,'INTEGRATION PAR CLIENT '!A1403:P1431,16,0)</f>
        <v>1</v>
      </c>
    </row>
    <row r="2008" spans="1:41">
      <c r="A2008" s="342">
        <v>128</v>
      </c>
      <c r="B2008" s="277" t="str">
        <f t="shared" si="40"/>
        <v>128</v>
      </c>
      <c r="C2008" s="277">
        <v>0</v>
      </c>
      <c r="D2008" s="343" t="str">
        <f>'2025'!D129</f>
        <v>FAE-25-00128</v>
      </c>
      <c r="E2008" s="277" t="str">
        <f t="shared" si="41"/>
        <v>128</v>
      </c>
      <c r="F2008" s="972">
        <v>45786</v>
      </c>
      <c r="G2008" s="619">
        <f t="shared" si="42"/>
        <v>2025</v>
      </c>
      <c r="H2008" s="383" t="s">
        <v>17299</v>
      </c>
      <c r="I2008" s="277" t="str">
        <f>+VLOOKUP(H2008,Sheet1!A:C,3,0)</f>
        <v>LAMP FALL IMP EXP - LAFFIMEX</v>
      </c>
      <c r="J2008" s="277" t="str">
        <f>+VLOOKUP(H2008,Sheet1!A:D,4,0)</f>
        <v>EUR</v>
      </c>
      <c r="K2008" s="278">
        <f t="shared" si="43"/>
        <v>232992.24000000002</v>
      </c>
      <c r="L2008" s="383">
        <v>3.3816000000000002</v>
      </c>
      <c r="M2008" s="384">
        <v>68900</v>
      </c>
      <c r="N2008" s="277" t="str">
        <f>+VLOOKUP(E2008,'2025'!E:F,2,0)</f>
        <v>OUI</v>
      </c>
      <c r="O2008" s="277" t="str">
        <f>VLOOKUP(E2008,'2025'!E:N,10,0)</f>
        <v>Senegal</v>
      </c>
      <c r="P2008" s="890">
        <f>VLOOKUP(E2008,'2025'!E:O,11,0)</f>
        <v>45796</v>
      </c>
      <c r="Q2008" s="347">
        <f>VLOOKUP(E2008,'2025'!E:H,4,0)</f>
        <v>96000</v>
      </c>
      <c r="R2008" s="347">
        <f>VLOOKUP(E2008,'2025'!E:I,5,0)</f>
        <v>0</v>
      </c>
      <c r="S2008" s="347">
        <f>VLOOKUP(E2008,'2025'!E:J,6,0)</f>
        <v>0</v>
      </c>
      <c r="T2008" s="347">
        <f>VLOOKUP(E2008,'2025'!E:K,7,0)</f>
        <v>0</v>
      </c>
      <c r="U2008" s="347">
        <f t="shared" si="44"/>
        <v>96000</v>
      </c>
      <c r="V2008" s="348"/>
      <c r="W2008" s="349" t="e">
        <f>+VLOOKUP(D2008,'JOURNAL FACTURES'!A:O,15,0)</f>
        <v>#N/A</v>
      </c>
      <c r="X2008" s="349" t="e">
        <f>VLOOKUP(D2008,'JOURNAL FACTURES'!A:P,16,0)</f>
        <v>#N/A</v>
      </c>
      <c r="Y2008" s="349" t="e">
        <f>VLOOKUP(D2008,'JOURNAL FACTURES'!A:Q,17,0)</f>
        <v>#N/A</v>
      </c>
      <c r="Z2008" s="349" t="e">
        <f>VLOOKUP(D2008,'JOURNAL FACTURES'!A:R,18,0)</f>
        <v>#N/A</v>
      </c>
      <c r="AA2008" s="350" t="e">
        <f t="shared" si="45"/>
        <v>#N/A</v>
      </c>
      <c r="AB2008" s="350" t="e">
        <f t="shared" si="46"/>
        <v>#N/A</v>
      </c>
      <c r="AC2008" s="350" t="e">
        <f t="shared" si="47"/>
        <v>#N/A</v>
      </c>
      <c r="AD2008" s="350" t="e">
        <f t="shared" si="48"/>
        <v>#N/A</v>
      </c>
      <c r="AE2008" s="349">
        <f>VLOOKUP(D2008,TRANSPORT!H:J,3,0)</f>
        <v>4170.3599999999997</v>
      </c>
      <c r="AF2008" s="349">
        <f>+VLOOKUP(D2008,TRANSPORT!N:O,2,0)</f>
        <v>28326.47</v>
      </c>
      <c r="AG2008" s="349">
        <f t="shared" si="49"/>
        <v>0.29506739583333336</v>
      </c>
      <c r="AH2008" s="351" t="e">
        <f t="shared" si="50"/>
        <v>#N/A</v>
      </c>
      <c r="AI2008" s="351" t="e">
        <f t="shared" si="51"/>
        <v>#N/A</v>
      </c>
      <c r="AJ2008" s="351" t="e">
        <f t="shared" si="52"/>
        <v>#N/A</v>
      </c>
      <c r="AK2008" s="351" t="e">
        <f t="shared" si="53"/>
        <v>#N/A</v>
      </c>
      <c r="AL2008" s="352">
        <f>VLOOKUP(D2008,'INTEGRATION PAR CLIENT '!A1404:J1432,10,0)</f>
        <v>1</v>
      </c>
      <c r="AM2008" s="352">
        <f>VLOOKUP(D2008,'INTEGRATION PAR CLIENT '!A1404:L1432,12,0)</f>
        <v>0</v>
      </c>
      <c r="AN2008" s="352">
        <f>+VLOOKUP(D2008,'INTEGRATION PAR CLIENT '!A1404:N1432,14,0)</f>
        <v>0</v>
      </c>
      <c r="AO2008" s="352">
        <f>+VLOOKUP(D2008,'INTEGRATION PAR CLIENT '!A1404:P1432,16,0)</f>
        <v>0</v>
      </c>
    </row>
    <row r="2009" spans="1:41">
      <c r="A2009" s="342">
        <v>129</v>
      </c>
      <c r="B2009" s="277" t="str">
        <f t="shared" si="40"/>
        <v>129</v>
      </c>
      <c r="C2009" s="277">
        <v>0</v>
      </c>
      <c r="D2009" s="343" t="str">
        <f>'2025'!D130</f>
        <v>FAE-25-00129</v>
      </c>
      <c r="E2009" s="277" t="str">
        <f t="shared" si="41"/>
        <v>129</v>
      </c>
      <c r="F2009" s="972">
        <v>45786</v>
      </c>
      <c r="G2009" s="619">
        <f t="shared" si="42"/>
        <v>2025</v>
      </c>
      <c r="H2009" s="383" t="s">
        <v>17388</v>
      </c>
      <c r="I2009" s="277" t="str">
        <f>+VLOOKUP(H2009,Sheet1!A:C,3,0)</f>
        <v xml:space="preserve">GENERIC BRANDS LIMITED </v>
      </c>
      <c r="J2009" s="277" t="str">
        <f>+VLOOKUP(H2009,Sheet1!A:D,4,0)</f>
        <v>USD</v>
      </c>
      <c r="K2009" s="278">
        <f t="shared" si="43"/>
        <v>444009.398812</v>
      </c>
      <c r="L2009" s="383">
        <v>2.9909500000000002</v>
      </c>
      <c r="M2009" s="384">
        <v>148450.96</v>
      </c>
      <c r="N2009" s="277" t="str">
        <f>+VLOOKUP(E2009,'2025'!E:F,2,0)</f>
        <v>OUI</v>
      </c>
      <c r="O2009" s="277" t="str">
        <f>VLOOKUP(E2009,'2025'!E:N,10,0)</f>
        <v>Kenya</v>
      </c>
      <c r="P2009" s="890">
        <f>VLOOKUP(E2009,'2025'!E:O,11,0)</f>
        <v>45807</v>
      </c>
      <c r="Q2009" s="347">
        <f>VLOOKUP(E2009,'2025'!E:H,4,0)</f>
        <v>0</v>
      </c>
      <c r="R2009" s="347">
        <f>VLOOKUP(E2009,'2025'!E:I,5,0)</f>
        <v>0</v>
      </c>
      <c r="S2009" s="347">
        <f>VLOOKUP(E2009,'2025'!E:J,6,0)</f>
        <v>234066</v>
      </c>
      <c r="T2009" s="347">
        <f>VLOOKUP(E2009,'2025'!E:K,7,0)</f>
        <v>0</v>
      </c>
      <c r="U2009" s="347">
        <f t="shared" si="44"/>
        <v>234066</v>
      </c>
      <c r="V2009" s="348"/>
      <c r="W2009" s="349" t="e">
        <f>+VLOOKUP(D2009,'JOURNAL FACTURES'!A:O,15,0)</f>
        <v>#N/A</v>
      </c>
      <c r="X2009" s="349" t="e">
        <f>VLOOKUP(D2009,'JOURNAL FACTURES'!A:P,16,0)</f>
        <v>#N/A</v>
      </c>
      <c r="Y2009" s="349" t="e">
        <f>VLOOKUP(D2009,'JOURNAL FACTURES'!A:Q,17,0)</f>
        <v>#N/A</v>
      </c>
      <c r="Z2009" s="349" t="e">
        <f>VLOOKUP(D2009,'JOURNAL FACTURES'!A:R,18,0)</f>
        <v>#N/A</v>
      </c>
      <c r="AA2009" s="350" t="e">
        <f t="shared" si="45"/>
        <v>#N/A</v>
      </c>
      <c r="AB2009" s="350" t="e">
        <f t="shared" si="46"/>
        <v>#N/A</v>
      </c>
      <c r="AC2009" s="350" t="e">
        <f t="shared" si="47"/>
        <v>#N/A</v>
      </c>
      <c r="AD2009" s="350" t="e">
        <f t="shared" si="48"/>
        <v>#N/A</v>
      </c>
      <c r="AE2009" s="349">
        <f>VLOOKUP(D2009,TRANSPORT!H:J,3,0)</f>
        <v>7942.2300000000005</v>
      </c>
      <c r="AF2009" s="349">
        <f>+VLOOKUP(D2009,TRANSPORT!N:O,2,0)</f>
        <v>56599.05</v>
      </c>
      <c r="AG2009" s="349">
        <f t="shared" si="49"/>
        <v>0.2418080797723719</v>
      </c>
      <c r="AH2009" s="351" t="e">
        <f t="shared" si="50"/>
        <v>#N/A</v>
      </c>
      <c r="AI2009" s="351" t="e">
        <f t="shared" si="51"/>
        <v>#N/A</v>
      </c>
      <c r="AJ2009" s="351" t="e">
        <f t="shared" si="52"/>
        <v>#N/A</v>
      </c>
      <c r="AK2009" s="351" t="e">
        <f t="shared" si="53"/>
        <v>#N/A</v>
      </c>
      <c r="AL2009" s="352">
        <f>VLOOKUP(D2009,'INTEGRATION PAR CLIENT '!A1405:J1433,10,0)</f>
        <v>0</v>
      </c>
      <c r="AM2009" s="352">
        <f>VLOOKUP(D2009,'INTEGRATION PAR CLIENT '!A1405:L1433,12,0)</f>
        <v>0</v>
      </c>
      <c r="AN2009" s="352" t="str">
        <f>+VLOOKUP(D2009,'INTEGRATION PAR CLIENT '!A1405:N1433,14,0)</f>
        <v>10%-90%</v>
      </c>
      <c r="AO2009" s="352">
        <f>+VLOOKUP(D2009,'INTEGRATION PAR CLIENT '!A1405:P1433,16,0)</f>
        <v>0</v>
      </c>
    </row>
    <row r="2010" spans="1:41">
      <c r="A2010" s="342">
        <v>130</v>
      </c>
      <c r="B2010" s="277" t="str">
        <f t="shared" si="40"/>
        <v>130</v>
      </c>
      <c r="C2010" s="277">
        <v>0</v>
      </c>
      <c r="D2010" s="343" t="str">
        <f>'2025'!D131</f>
        <v>FAE-25-00130</v>
      </c>
      <c r="E2010" s="277" t="str">
        <f t="shared" si="41"/>
        <v>130</v>
      </c>
      <c r="F2010" s="972">
        <v>45786</v>
      </c>
      <c r="G2010" s="619">
        <f t="shared" si="42"/>
        <v>2025</v>
      </c>
      <c r="H2010" s="383" t="s">
        <v>17374</v>
      </c>
      <c r="I2010" s="277" t="str">
        <f>+VLOOKUP(H2010,Sheet1!A:C,3,0)</f>
        <v>SOCIETE CHEMA</v>
      </c>
      <c r="J2010" s="277" t="str">
        <f>+VLOOKUP(H2010,Sheet1!A:D,4,0)</f>
        <v>EUR</v>
      </c>
      <c r="K2010" s="278">
        <f t="shared" si="43"/>
        <v>196256.18687999999</v>
      </c>
      <c r="L2010" s="383">
        <v>3.3891499999999999</v>
      </c>
      <c r="M2010" s="384">
        <v>57907.199999999997</v>
      </c>
      <c r="N2010" s="277" t="str">
        <f>+VLOOKUP(E2010,'2025'!E:F,2,0)</f>
        <v>OUI</v>
      </c>
      <c r="O2010" s="277" t="str">
        <f>VLOOKUP(E2010,'2025'!E:N,10,0)</f>
        <v>Tchad</v>
      </c>
      <c r="P2010" s="890">
        <f>VLOOKUP(E2010,'2025'!E:O,11,0)</f>
        <v>45802</v>
      </c>
      <c r="Q2010" s="347">
        <f>VLOOKUP(E2010,'2025'!E:H,4,0)</f>
        <v>0</v>
      </c>
      <c r="R2010" s="347">
        <f>VLOOKUP(E2010,'2025'!E:I,5,0)</f>
        <v>0</v>
      </c>
      <c r="S2010" s="347">
        <f>VLOOKUP(E2010,'2025'!E:J,6,0)</f>
        <v>111360</v>
      </c>
      <c r="T2010" s="347">
        <f>VLOOKUP(E2010,'2025'!E:K,7,0)</f>
        <v>0</v>
      </c>
      <c r="U2010" s="347">
        <f t="shared" si="44"/>
        <v>111360</v>
      </c>
      <c r="V2010" s="348"/>
      <c r="W2010" s="349" t="e">
        <f>+VLOOKUP(D2010,'JOURNAL FACTURES'!A:O,15,0)</f>
        <v>#N/A</v>
      </c>
      <c r="X2010" s="349" t="e">
        <f>VLOOKUP(D2010,'JOURNAL FACTURES'!A:P,16,0)</f>
        <v>#N/A</v>
      </c>
      <c r="Y2010" s="349" t="e">
        <f>VLOOKUP(D2010,'JOURNAL FACTURES'!A:Q,17,0)</f>
        <v>#N/A</v>
      </c>
      <c r="Z2010" s="349" t="e">
        <f>VLOOKUP(D2010,'JOURNAL FACTURES'!A:R,18,0)</f>
        <v>#N/A</v>
      </c>
      <c r="AA2010" s="350" t="e">
        <f t="shared" si="45"/>
        <v>#N/A</v>
      </c>
      <c r="AB2010" s="350" t="e">
        <f t="shared" si="46"/>
        <v>#N/A</v>
      </c>
      <c r="AC2010" s="350" t="e">
        <f t="shared" si="47"/>
        <v>#N/A</v>
      </c>
      <c r="AD2010" s="350" t="e">
        <f t="shared" si="48"/>
        <v>#N/A</v>
      </c>
      <c r="AE2010" s="349">
        <f>VLOOKUP(D2010,TRANSPORT!H:J,3,0)</f>
        <v>3359.4</v>
      </c>
      <c r="AF2010" s="349">
        <f>+VLOOKUP(D2010,TRANSPORT!N:O,2,0)</f>
        <v>25710.962</v>
      </c>
      <c r="AG2010" s="349">
        <f t="shared" si="49"/>
        <v>0.23088148347701148</v>
      </c>
      <c r="AH2010" s="351" t="e">
        <f t="shared" si="50"/>
        <v>#N/A</v>
      </c>
      <c r="AI2010" s="351" t="e">
        <f t="shared" si="51"/>
        <v>#N/A</v>
      </c>
      <c r="AJ2010" s="351" t="e">
        <f t="shared" si="52"/>
        <v>#N/A</v>
      </c>
      <c r="AK2010" s="351" t="e">
        <f t="shared" si="53"/>
        <v>#N/A</v>
      </c>
      <c r="AL2010" s="352">
        <f>VLOOKUP(D2010,'INTEGRATION PAR CLIENT '!A1406:J1434,10,0)</f>
        <v>0</v>
      </c>
      <c r="AM2010" s="352">
        <f>VLOOKUP(D2010,'INTEGRATION PAR CLIENT '!A1406:L1434,12,0)</f>
        <v>0</v>
      </c>
      <c r="AN2010" s="352" t="str">
        <f>+VLOOKUP(D2010,'INTEGRATION PAR CLIENT '!A1406:N1434,14,0)</f>
        <v>10%-90%</v>
      </c>
      <c r="AO2010" s="352">
        <f>+VLOOKUP(D2010,'INTEGRATION PAR CLIENT '!A1406:P1434,16,0)</f>
        <v>0</v>
      </c>
    </row>
    <row r="2011" spans="1:41">
      <c r="A2011" s="342">
        <v>131</v>
      </c>
      <c r="B2011" s="277" t="str">
        <f t="shared" si="40"/>
        <v>131</v>
      </c>
      <c r="C2011" s="277">
        <v>0</v>
      </c>
      <c r="D2011" s="343" t="str">
        <f>'2025'!D132</f>
        <v>FAE-25-00131</v>
      </c>
      <c r="E2011" s="277" t="str">
        <f t="shared" si="41"/>
        <v>131</v>
      </c>
      <c r="F2011" s="972">
        <v>45786</v>
      </c>
      <c r="G2011" s="619">
        <f t="shared" si="42"/>
        <v>2025</v>
      </c>
      <c r="H2011" s="383" t="s">
        <v>17374</v>
      </c>
      <c r="I2011" s="277" t="str">
        <f>+VLOOKUP(H2011,Sheet1!A:C,3,0)</f>
        <v>SOCIETE CHEMA</v>
      </c>
      <c r="J2011" s="277" t="str">
        <f>+VLOOKUP(H2011,Sheet1!A:D,4,0)</f>
        <v>EUR</v>
      </c>
      <c r="K2011" s="278">
        <f t="shared" si="43"/>
        <v>254517.201</v>
      </c>
      <c r="L2011" s="383">
        <v>3.3908499999999999</v>
      </c>
      <c r="M2011" s="384">
        <v>75060</v>
      </c>
      <c r="N2011" s="277" t="str">
        <f>+VLOOKUP(E2011,'2025'!E:F,2,0)</f>
        <v>OUI</v>
      </c>
      <c r="O2011" s="277" t="str">
        <f>VLOOKUP(E2011,'2025'!E:N,10,0)</f>
        <v>Tchad</v>
      </c>
      <c r="P2011" s="890">
        <f>VLOOKUP(E2011,'2025'!E:O,11,0)</f>
        <v>45803</v>
      </c>
      <c r="Q2011" s="347">
        <f>VLOOKUP(E2011,'2025'!E:H,4,0)</f>
        <v>0</v>
      </c>
      <c r="R2011" s="347">
        <f>VLOOKUP(E2011,'2025'!E:I,5,0)</f>
        <v>125100</v>
      </c>
      <c r="S2011" s="347">
        <f>VLOOKUP(E2011,'2025'!E:J,6,0)</f>
        <v>0</v>
      </c>
      <c r="T2011" s="347">
        <f>VLOOKUP(E2011,'2025'!E:K,7,0)</f>
        <v>0</v>
      </c>
      <c r="U2011" s="347">
        <f t="shared" si="44"/>
        <v>125100</v>
      </c>
      <c r="V2011" s="348"/>
      <c r="W2011" s="349" t="e">
        <f>+VLOOKUP(D2011,'JOURNAL FACTURES'!A:O,15,0)</f>
        <v>#N/A</v>
      </c>
      <c r="X2011" s="349" t="e">
        <f>VLOOKUP(D2011,'JOURNAL FACTURES'!A:P,16,0)</f>
        <v>#N/A</v>
      </c>
      <c r="Y2011" s="349" t="e">
        <f>VLOOKUP(D2011,'JOURNAL FACTURES'!A:Q,17,0)</f>
        <v>#N/A</v>
      </c>
      <c r="Z2011" s="349" t="e">
        <f>VLOOKUP(D2011,'JOURNAL FACTURES'!A:R,18,0)</f>
        <v>#N/A</v>
      </c>
      <c r="AA2011" s="350" t="e">
        <f t="shared" si="45"/>
        <v>#N/A</v>
      </c>
      <c r="AB2011" s="350" t="e">
        <f t="shared" si="46"/>
        <v>#N/A</v>
      </c>
      <c r="AC2011" s="350" t="e">
        <f t="shared" si="47"/>
        <v>#N/A</v>
      </c>
      <c r="AD2011" s="350" t="e">
        <f t="shared" si="48"/>
        <v>#N/A</v>
      </c>
      <c r="AE2011" s="349">
        <f>VLOOKUP(D2011,TRANSPORT!H:J,3,0)</f>
        <v>3359.4</v>
      </c>
      <c r="AF2011" s="349">
        <f>+VLOOKUP(D2011,TRANSPORT!N:O,2,0)</f>
        <v>25710.962</v>
      </c>
      <c r="AG2011" s="349">
        <f t="shared" si="49"/>
        <v>0.20552327737809753</v>
      </c>
      <c r="AH2011" s="351" t="e">
        <f t="shared" si="50"/>
        <v>#N/A</v>
      </c>
      <c r="AI2011" s="351" t="e">
        <f t="shared" si="51"/>
        <v>#N/A</v>
      </c>
      <c r="AJ2011" s="351" t="e">
        <f t="shared" si="52"/>
        <v>#N/A</v>
      </c>
      <c r="AK2011" s="351" t="e">
        <f t="shared" si="53"/>
        <v>#N/A</v>
      </c>
      <c r="AL2011" s="352">
        <f>VLOOKUP(D2011,'INTEGRATION PAR CLIENT '!A1407:J1435,10,0)</f>
        <v>0</v>
      </c>
      <c r="AM2011" s="352" t="str">
        <f>VLOOKUP(D2011,'INTEGRATION PAR CLIENT '!A1407:L1435,12,0)</f>
        <v>20%S-80%F</v>
      </c>
      <c r="AN2011" s="352">
        <f>+VLOOKUP(D2011,'INTEGRATION PAR CLIENT '!A1407:N1435,14,0)</f>
        <v>0</v>
      </c>
      <c r="AO2011" s="352">
        <f>+VLOOKUP(D2011,'INTEGRATION PAR CLIENT '!A1407:P1435,16,0)</f>
        <v>0</v>
      </c>
    </row>
    <row r="2012" spans="1:41">
      <c r="A2012" s="342">
        <v>132</v>
      </c>
      <c r="B2012" s="277" t="str">
        <f t="shared" si="40"/>
        <v>132</v>
      </c>
      <c r="C2012" s="277">
        <v>0</v>
      </c>
      <c r="D2012" s="343" t="str">
        <f>'2025'!D133</f>
        <v>FAE-25-00132</v>
      </c>
      <c r="E2012" s="277" t="str">
        <f t="shared" si="41"/>
        <v>132</v>
      </c>
      <c r="F2012" s="972">
        <v>45786</v>
      </c>
      <c r="G2012" s="619">
        <f t="shared" si="42"/>
        <v>2025</v>
      </c>
      <c r="H2012" s="383" t="s">
        <v>16560</v>
      </c>
      <c r="I2012" s="277" t="str">
        <f>+VLOOKUP(H2012,Sheet1!A:C,3,0)</f>
        <v>ETS KASSO IMPORT EXPORT</v>
      </c>
      <c r="J2012" s="277" t="str">
        <f>+VLOOKUP(H2012,Sheet1!A:D,4,0)</f>
        <v>EUR</v>
      </c>
      <c r="K2012" s="278">
        <f t="shared" si="43"/>
        <v>186191.16500000001</v>
      </c>
      <c r="L2012" s="383">
        <v>3.3791500000000001</v>
      </c>
      <c r="M2012" s="384">
        <v>55100</v>
      </c>
      <c r="N2012" s="277" t="str">
        <f>+VLOOKUP(E2012,'2025'!E:F,2,0)</f>
        <v>OUI</v>
      </c>
      <c r="O2012" s="277" t="str">
        <f>VLOOKUP(E2012,'2025'!E:N,10,0)</f>
        <v>Niger</v>
      </c>
      <c r="P2012" s="890">
        <f>VLOOKUP(E2012,'2025'!E:O,11,0)</f>
        <v>45797</v>
      </c>
      <c r="Q2012" s="347">
        <f>VLOOKUP(E2012,'2025'!E:H,4,0)</f>
        <v>0</v>
      </c>
      <c r="R2012" s="347">
        <f>VLOOKUP(E2012,'2025'!E:I,5,0)</f>
        <v>0</v>
      </c>
      <c r="S2012" s="347">
        <f>VLOOKUP(E2012,'2025'!E:J,6,0)</f>
        <v>110000</v>
      </c>
      <c r="T2012" s="347">
        <f>VLOOKUP(E2012,'2025'!E:K,7,0)</f>
        <v>0</v>
      </c>
      <c r="U2012" s="347">
        <f t="shared" si="44"/>
        <v>110000</v>
      </c>
      <c r="V2012" s="348"/>
      <c r="W2012" s="349" t="e">
        <f>+VLOOKUP(D2012,'JOURNAL FACTURES'!A:O,15,0)</f>
        <v>#N/A</v>
      </c>
      <c r="X2012" s="349" t="e">
        <f>VLOOKUP(D2012,'JOURNAL FACTURES'!A:P,16,0)</f>
        <v>#N/A</v>
      </c>
      <c r="Y2012" s="349" t="e">
        <f>VLOOKUP(D2012,'JOURNAL FACTURES'!A:Q,17,0)</f>
        <v>#N/A</v>
      </c>
      <c r="Z2012" s="349" t="e">
        <f>VLOOKUP(D2012,'JOURNAL FACTURES'!A:R,18,0)</f>
        <v>#N/A</v>
      </c>
      <c r="AA2012" s="350" t="e">
        <f t="shared" si="45"/>
        <v>#N/A</v>
      </c>
      <c r="AB2012" s="350" t="e">
        <f t="shared" si="46"/>
        <v>#N/A</v>
      </c>
      <c r="AC2012" s="350" t="e">
        <f t="shared" si="47"/>
        <v>#N/A</v>
      </c>
      <c r="AD2012" s="350" t="e">
        <f t="shared" si="48"/>
        <v>#N/A</v>
      </c>
      <c r="AE2012" s="349">
        <f>VLOOKUP(D2012,TRANSPORT!H:J,3,0)</f>
        <v>3868.5696000000007</v>
      </c>
      <c r="AF2012" s="349">
        <f>+VLOOKUP(D2012,TRANSPORT!N:O,2,0)</f>
        <v>26514.148000000001</v>
      </c>
      <c r="AG2012" s="349">
        <f t="shared" si="49"/>
        <v>0.2410377090909091</v>
      </c>
      <c r="AH2012" s="351" t="e">
        <f t="shared" si="50"/>
        <v>#N/A</v>
      </c>
      <c r="AI2012" s="351" t="e">
        <f t="shared" si="51"/>
        <v>#N/A</v>
      </c>
      <c r="AJ2012" s="351" t="e">
        <f t="shared" si="52"/>
        <v>#N/A</v>
      </c>
      <c r="AK2012" s="351" t="e">
        <f t="shared" si="53"/>
        <v>#N/A</v>
      </c>
      <c r="AL2012" s="352">
        <f>VLOOKUP(D2012,'INTEGRATION PAR CLIENT '!A1408:J1436,10,0)</f>
        <v>0</v>
      </c>
      <c r="AM2012" s="352">
        <f>VLOOKUP(D2012,'INTEGRATION PAR CLIENT '!A1408:L1436,12,0)</f>
        <v>0</v>
      </c>
      <c r="AN2012" s="352" t="str">
        <f>+VLOOKUP(D2012,'INTEGRATION PAR CLIENT '!A1408:N1436,14,0)</f>
        <v>10%-90%</v>
      </c>
      <c r="AO2012" s="352">
        <f>+VLOOKUP(D2012,'INTEGRATION PAR CLIENT '!A1408:P1436,16,0)</f>
        <v>0</v>
      </c>
    </row>
    <row r="2013" spans="1:41">
      <c r="A2013" s="342">
        <v>133</v>
      </c>
      <c r="B2013" s="277" t="str">
        <f t="shared" si="40"/>
        <v>133</v>
      </c>
      <c r="C2013" s="277">
        <v>0</v>
      </c>
      <c r="D2013" s="343" t="str">
        <f>'2025'!D134</f>
        <v>FAE-25-00133</v>
      </c>
      <c r="E2013" s="277" t="str">
        <f t="shared" si="41"/>
        <v>133</v>
      </c>
      <c r="F2013" s="972">
        <v>45786</v>
      </c>
      <c r="G2013" s="619">
        <f t="shared" si="42"/>
        <v>2025</v>
      </c>
      <c r="H2013" s="383" t="s">
        <v>16560</v>
      </c>
      <c r="I2013" s="277" t="str">
        <f>+VLOOKUP(H2013,Sheet1!A:C,3,0)</f>
        <v>ETS KASSO IMPORT EXPORT</v>
      </c>
      <c r="J2013" s="277" t="str">
        <f>+VLOOKUP(H2013,Sheet1!A:D,4,0)</f>
        <v>EUR</v>
      </c>
      <c r="K2013" s="278">
        <f t="shared" si="43"/>
        <v>138798.58624999999</v>
      </c>
      <c r="L2013" s="383">
        <v>3.3791500000000001</v>
      </c>
      <c r="M2013" s="384">
        <v>41075</v>
      </c>
      <c r="N2013" s="277" t="str">
        <f>+VLOOKUP(E2013,'2025'!E:F,2,0)</f>
        <v>OUI</v>
      </c>
      <c r="O2013" s="277" t="str">
        <f>VLOOKUP(E2013,'2025'!E:N,10,0)</f>
        <v>Niger</v>
      </c>
      <c r="P2013" s="890">
        <f>VLOOKUP(E2013,'2025'!E:O,11,0)</f>
        <v>45796</v>
      </c>
      <c r="Q2013" s="347">
        <f>VLOOKUP(E2013,'2025'!E:H,4,0)</f>
        <v>0</v>
      </c>
      <c r="R2013" s="347">
        <f>VLOOKUP(E2013,'2025'!E:I,5,0)</f>
        <v>0</v>
      </c>
      <c r="S2013" s="347">
        <f>VLOOKUP(E2013,'2025'!E:J,6,0)</f>
        <v>82500</v>
      </c>
      <c r="T2013" s="347">
        <f>VLOOKUP(E2013,'2025'!E:K,7,0)</f>
        <v>0</v>
      </c>
      <c r="U2013" s="347">
        <f t="shared" si="44"/>
        <v>82500</v>
      </c>
      <c r="V2013" s="348"/>
      <c r="W2013" s="349" t="e">
        <f>+VLOOKUP(D2013,'JOURNAL FACTURES'!A:O,15,0)</f>
        <v>#N/A</v>
      </c>
      <c r="X2013" s="349" t="e">
        <f>VLOOKUP(D2013,'JOURNAL FACTURES'!A:P,16,0)</f>
        <v>#N/A</v>
      </c>
      <c r="Y2013" s="349" t="e">
        <f>VLOOKUP(D2013,'JOURNAL FACTURES'!A:Q,17,0)</f>
        <v>#N/A</v>
      </c>
      <c r="Z2013" s="349" t="e">
        <f>VLOOKUP(D2013,'JOURNAL FACTURES'!A:R,18,0)</f>
        <v>#N/A</v>
      </c>
      <c r="AA2013" s="350" t="e">
        <f t="shared" si="45"/>
        <v>#N/A</v>
      </c>
      <c r="AB2013" s="350" t="e">
        <f t="shared" si="46"/>
        <v>#N/A</v>
      </c>
      <c r="AC2013" s="350" t="e">
        <f t="shared" si="47"/>
        <v>#N/A</v>
      </c>
      <c r="AD2013" s="350" t="e">
        <f t="shared" si="48"/>
        <v>#N/A</v>
      </c>
      <c r="AE2013" s="349">
        <f>VLOOKUP(D2013,TRANSPORT!H:J,3,0)</f>
        <v>2901.4272000000001</v>
      </c>
      <c r="AF2013" s="349">
        <f>+VLOOKUP(D2013,TRANSPORT!N:O,2,0)</f>
        <v>19930.885999999999</v>
      </c>
      <c r="AG2013" s="349">
        <f t="shared" si="49"/>
        <v>0.24158649696969695</v>
      </c>
      <c r="AH2013" s="351" t="e">
        <f t="shared" si="50"/>
        <v>#N/A</v>
      </c>
      <c r="AI2013" s="351" t="e">
        <f t="shared" si="51"/>
        <v>#N/A</v>
      </c>
      <c r="AJ2013" s="351" t="e">
        <f t="shared" si="52"/>
        <v>#N/A</v>
      </c>
      <c r="AK2013" s="351" t="e">
        <f t="shared" si="53"/>
        <v>#N/A</v>
      </c>
      <c r="AL2013" s="352">
        <f>VLOOKUP(D2013,'INTEGRATION PAR CLIENT '!A1409:J1437,10,0)</f>
        <v>0</v>
      </c>
      <c r="AM2013" s="352">
        <f>VLOOKUP(D2013,'INTEGRATION PAR CLIENT '!A1409:L1437,12,0)</f>
        <v>0</v>
      </c>
      <c r="AN2013" s="352" t="str">
        <f>+VLOOKUP(D2013,'INTEGRATION PAR CLIENT '!A1409:N1437,14,0)</f>
        <v>10%-90%</v>
      </c>
      <c r="AO2013" s="352">
        <f>+VLOOKUP(D2013,'INTEGRATION PAR CLIENT '!A1409:P1437,16,0)</f>
        <v>0</v>
      </c>
    </row>
    <row r="2014" spans="1:41">
      <c r="A2014" s="342">
        <v>134</v>
      </c>
      <c r="B2014" s="277" t="str">
        <f t="shared" si="40"/>
        <v>134</v>
      </c>
      <c r="C2014" s="277">
        <v>0</v>
      </c>
      <c r="D2014" s="343" t="str">
        <f>'2025'!D135</f>
        <v>FAE-25-00134</v>
      </c>
      <c r="E2014" s="277" t="str">
        <f t="shared" si="41"/>
        <v>134</v>
      </c>
      <c r="F2014" s="972">
        <v>45786</v>
      </c>
      <c r="G2014" s="619">
        <f t="shared" si="42"/>
        <v>2025</v>
      </c>
      <c r="H2014" s="383" t="s">
        <v>16560</v>
      </c>
      <c r="I2014" s="277" t="str">
        <f>+VLOOKUP(H2014,Sheet1!A:C,3,0)</f>
        <v>ETS KASSO IMPORT EXPORT</v>
      </c>
      <c r="J2014" s="277" t="str">
        <f>+VLOOKUP(H2014,Sheet1!A:D,4,0)</f>
        <v>EUR</v>
      </c>
      <c r="K2014" s="278">
        <f t="shared" si="43"/>
        <v>186317.89499999999</v>
      </c>
      <c r="L2014" s="383">
        <v>3.3814500000000001</v>
      </c>
      <c r="M2014" s="384">
        <v>55100</v>
      </c>
      <c r="N2014" s="277" t="str">
        <f>+VLOOKUP(E2014,'2025'!E:F,2,0)</f>
        <v>OUI</v>
      </c>
      <c r="O2014" s="277" t="str">
        <f>VLOOKUP(E2014,'2025'!E:N,10,0)</f>
        <v>Niger</v>
      </c>
      <c r="P2014" s="890">
        <f>VLOOKUP(E2014,'2025'!E:O,11,0)</f>
        <v>45798</v>
      </c>
      <c r="Q2014" s="347">
        <f>VLOOKUP(E2014,'2025'!E:H,4,0)</f>
        <v>0</v>
      </c>
      <c r="R2014" s="347">
        <f>VLOOKUP(E2014,'2025'!E:I,5,0)</f>
        <v>0</v>
      </c>
      <c r="S2014" s="347">
        <f>VLOOKUP(E2014,'2025'!E:J,6,0)</f>
        <v>110000</v>
      </c>
      <c r="T2014" s="347">
        <f>VLOOKUP(E2014,'2025'!E:K,7,0)</f>
        <v>0</v>
      </c>
      <c r="U2014" s="347">
        <f t="shared" si="44"/>
        <v>110000</v>
      </c>
      <c r="V2014" s="348"/>
      <c r="W2014" s="349" t="e">
        <f>+VLOOKUP(D2014,'JOURNAL FACTURES'!A:O,15,0)</f>
        <v>#N/A</v>
      </c>
      <c r="X2014" s="349" t="e">
        <f>VLOOKUP(D2014,'JOURNAL FACTURES'!A:P,16,0)</f>
        <v>#N/A</v>
      </c>
      <c r="Y2014" s="349" t="e">
        <f>VLOOKUP(D2014,'JOURNAL FACTURES'!A:Q,17,0)</f>
        <v>#N/A</v>
      </c>
      <c r="Z2014" s="349" t="e">
        <f>VLOOKUP(D2014,'JOURNAL FACTURES'!A:R,18,0)</f>
        <v>#N/A</v>
      </c>
      <c r="AA2014" s="350" t="e">
        <f t="shared" si="45"/>
        <v>#N/A</v>
      </c>
      <c r="AB2014" s="350" t="e">
        <f t="shared" si="46"/>
        <v>#N/A</v>
      </c>
      <c r="AC2014" s="350" t="e">
        <f t="shared" si="47"/>
        <v>#N/A</v>
      </c>
      <c r="AD2014" s="350" t="e">
        <f t="shared" si="48"/>
        <v>#N/A</v>
      </c>
      <c r="AE2014" s="349">
        <f>VLOOKUP(D2014,TRANSPORT!H:J,3,0)</f>
        <v>3868.5696000000007</v>
      </c>
      <c r="AF2014" s="349">
        <f>+VLOOKUP(D2014,TRANSPORT!N:O,2,0)</f>
        <v>25657.348000000002</v>
      </c>
      <c r="AG2014" s="349">
        <f t="shared" si="49"/>
        <v>0.23324861818181819</v>
      </c>
      <c r="AH2014" s="351" t="e">
        <f t="shared" si="50"/>
        <v>#N/A</v>
      </c>
      <c r="AI2014" s="351" t="e">
        <f t="shared" si="51"/>
        <v>#N/A</v>
      </c>
      <c r="AJ2014" s="351" t="e">
        <f t="shared" si="52"/>
        <v>#N/A</v>
      </c>
      <c r="AK2014" s="351" t="e">
        <f t="shared" si="53"/>
        <v>#N/A</v>
      </c>
      <c r="AL2014" s="352">
        <f>VLOOKUP(D2014,'INTEGRATION PAR CLIENT '!A1410:J1438,10,0)</f>
        <v>0</v>
      </c>
      <c r="AM2014" s="352">
        <f>VLOOKUP(D2014,'INTEGRATION PAR CLIENT '!A1410:L1438,12,0)</f>
        <v>0</v>
      </c>
      <c r="AN2014" s="352" t="str">
        <f>+VLOOKUP(D2014,'INTEGRATION PAR CLIENT '!A1410:N1438,14,0)</f>
        <v>10%-90%</v>
      </c>
      <c r="AO2014" s="352">
        <f>+VLOOKUP(D2014,'INTEGRATION PAR CLIENT '!A1410:P1438,16,0)</f>
        <v>0</v>
      </c>
    </row>
    <row r="2015" spans="1:41">
      <c r="A2015" s="342">
        <v>135</v>
      </c>
      <c r="B2015" s="277" t="str">
        <f t="shared" si="40"/>
        <v>135</v>
      </c>
      <c r="C2015" s="277">
        <v>0</v>
      </c>
      <c r="D2015" s="343" t="str">
        <f>'2025'!D136</f>
        <v>FAE-25-00135</v>
      </c>
      <c r="E2015" s="277" t="str">
        <f t="shared" si="41"/>
        <v>135</v>
      </c>
      <c r="F2015" s="972">
        <v>45789</v>
      </c>
      <c r="G2015" s="619">
        <f t="shared" si="42"/>
        <v>2025</v>
      </c>
      <c r="H2015" s="383" t="s">
        <v>17400</v>
      </c>
      <c r="I2015" s="277" t="str">
        <f>+VLOOKUP(H2015,Sheet1!A:C,3,0)</f>
        <v>AL MOSTAFA - FAYROUZ</v>
      </c>
      <c r="J2015" s="277" t="str">
        <f>+VLOOKUP(H2015,Sheet1!A:D,4,0)</f>
        <v>USD</v>
      </c>
      <c r="K2015" s="278">
        <f t="shared" si="43"/>
        <v>113946.0255625</v>
      </c>
      <c r="L2015" s="383">
        <v>3.0008499999999998</v>
      </c>
      <c r="M2015" s="384">
        <v>37971.25</v>
      </c>
      <c r="N2015" s="277" t="str">
        <f>+VLOOKUP(E2015,'2025'!E:F,2,0)</f>
        <v>OUI</v>
      </c>
      <c r="O2015" s="277" t="str">
        <f>VLOOKUP(E2015,'2025'!E:N,10,0)</f>
        <v>Egypte</v>
      </c>
      <c r="P2015" s="890">
        <f>VLOOKUP(E2015,'2025'!E:O,11,0)</f>
        <v>45807</v>
      </c>
      <c r="Q2015" s="347">
        <f>VLOOKUP(E2015,'2025'!E:H,4,0)</f>
        <v>59150</v>
      </c>
      <c r="R2015" s="347">
        <f>VLOOKUP(E2015,'2025'!E:I,5,0)</f>
        <v>0</v>
      </c>
      <c r="S2015" s="347">
        <f>VLOOKUP(E2015,'2025'!E:J,6,0)</f>
        <v>0</v>
      </c>
      <c r="T2015" s="347">
        <f>VLOOKUP(E2015,'2025'!E:K,7,0)</f>
        <v>0</v>
      </c>
      <c r="U2015" s="347">
        <f t="shared" si="44"/>
        <v>59150</v>
      </c>
      <c r="V2015" s="348"/>
      <c r="W2015" s="349" t="e">
        <f>+VLOOKUP(D2015,'JOURNAL FACTURES'!A:O,15,0)</f>
        <v>#N/A</v>
      </c>
      <c r="X2015" s="349" t="e">
        <f>VLOOKUP(D2015,'JOURNAL FACTURES'!A:P,16,0)</f>
        <v>#N/A</v>
      </c>
      <c r="Y2015" s="349" t="e">
        <f>VLOOKUP(D2015,'JOURNAL FACTURES'!A:Q,17,0)</f>
        <v>#N/A</v>
      </c>
      <c r="Z2015" s="349" t="e">
        <f>VLOOKUP(D2015,'JOURNAL FACTURES'!A:R,18,0)</f>
        <v>#N/A</v>
      </c>
      <c r="AA2015" s="350" t="e">
        <f t="shared" si="45"/>
        <v>#N/A</v>
      </c>
      <c r="AB2015" s="350" t="e">
        <f t="shared" si="46"/>
        <v>#N/A</v>
      </c>
      <c r="AC2015" s="350" t="e">
        <f t="shared" si="47"/>
        <v>#N/A</v>
      </c>
      <c r="AD2015" s="350" t="e">
        <f t="shared" si="48"/>
        <v>#N/A</v>
      </c>
      <c r="AE2015" s="349">
        <f>VLOOKUP(D2015,TRANSPORT!H:J,3,0)</f>
        <v>1214.556</v>
      </c>
      <c r="AF2015" s="349">
        <f>+VLOOKUP(D2015,TRANSPORT!N:O,2,0)</f>
        <v>12210.53</v>
      </c>
      <c r="AG2015" s="349">
        <f t="shared" si="49"/>
        <v>0.20643330515638209</v>
      </c>
      <c r="AH2015" s="351" t="e">
        <f t="shared" si="50"/>
        <v>#N/A</v>
      </c>
      <c r="AI2015" s="351" t="e">
        <f t="shared" si="51"/>
        <v>#N/A</v>
      </c>
      <c r="AJ2015" s="351" t="e">
        <f t="shared" si="52"/>
        <v>#N/A</v>
      </c>
      <c r="AK2015" s="351" t="e">
        <f t="shared" si="53"/>
        <v>#N/A</v>
      </c>
      <c r="AL2015" s="352">
        <f>VLOOKUP(D2015,'INTEGRATION PAR CLIENT '!A1411:J1439,10,0)</f>
        <v>0</v>
      </c>
      <c r="AM2015" s="352">
        <f>VLOOKUP(D2015,'INTEGRATION PAR CLIENT '!A1411:L1439,12,0)</f>
        <v>0</v>
      </c>
      <c r="AN2015" s="352">
        <f>+VLOOKUP(D2015,'INTEGRATION PAR CLIENT '!A1411:N1439,14,0)</f>
        <v>0</v>
      </c>
      <c r="AO2015" s="352">
        <f>+VLOOKUP(D2015,'INTEGRATION PAR CLIENT '!A1411:P1439,16,0)</f>
        <v>0</v>
      </c>
    </row>
    <row r="2016" spans="1:41">
      <c r="A2016" s="342">
        <v>136</v>
      </c>
      <c r="B2016" s="277" t="str">
        <f t="shared" si="40"/>
        <v>136</v>
      </c>
      <c r="C2016" s="277">
        <v>0</v>
      </c>
      <c r="D2016" s="343" t="str">
        <f>'2025'!D137</f>
        <v>FAE-25-00136</v>
      </c>
      <c r="E2016" s="277" t="str">
        <f t="shared" si="41"/>
        <v>136</v>
      </c>
      <c r="F2016" s="972">
        <v>45789</v>
      </c>
      <c r="G2016" s="619">
        <f t="shared" si="42"/>
        <v>2025</v>
      </c>
      <c r="H2016" s="383" t="s">
        <v>17304</v>
      </c>
      <c r="I2016" s="277" t="str">
        <f>+VLOOKUP(H2016,Sheet1!A:C,3,0)</f>
        <v>SAFA FOOD</v>
      </c>
      <c r="J2016" s="277" t="str">
        <f>+VLOOKUP(H2016,Sheet1!A:D,4,0)</f>
        <v>CAD</v>
      </c>
      <c r="K2016" s="278">
        <f t="shared" si="43"/>
        <v>60447.389788999993</v>
      </c>
      <c r="L2016" s="383">
        <v>2.1639499999999998</v>
      </c>
      <c r="M2016" s="384">
        <v>27933.82</v>
      </c>
      <c r="N2016" s="277" t="str">
        <f>+VLOOKUP(E2016,'2025'!E:F,2,0)</f>
        <v>OUI</v>
      </c>
      <c r="O2016" s="277" t="str">
        <f>VLOOKUP(E2016,'2025'!E:N,10,0)</f>
        <v>USA</v>
      </c>
      <c r="P2016" s="890">
        <f>VLOOKUP(E2016,'2025'!E:O,11,0)</f>
        <v>45804</v>
      </c>
      <c r="Q2016" s="347">
        <f>VLOOKUP(E2016,'2025'!E:H,4,0)</f>
        <v>0</v>
      </c>
      <c r="R2016" s="347">
        <f>VLOOKUP(E2016,'2025'!E:I,5,0)</f>
        <v>0</v>
      </c>
      <c r="S2016" s="347">
        <f>VLOOKUP(E2016,'2025'!E:J,6,0)</f>
        <v>18614</v>
      </c>
      <c r="T2016" s="347">
        <f>VLOOKUP(E2016,'2025'!E:K,7,0)</f>
        <v>0</v>
      </c>
      <c r="U2016" s="347">
        <f t="shared" si="44"/>
        <v>18614</v>
      </c>
      <c r="V2016" s="348"/>
      <c r="W2016" s="349" t="e">
        <f>+VLOOKUP(D2016,'JOURNAL FACTURES'!A:O,15,0)</f>
        <v>#N/A</v>
      </c>
      <c r="X2016" s="349" t="e">
        <f>VLOOKUP(D2016,'JOURNAL FACTURES'!A:P,16,0)</f>
        <v>#N/A</v>
      </c>
      <c r="Y2016" s="349" t="e">
        <f>VLOOKUP(D2016,'JOURNAL FACTURES'!A:Q,17,0)</f>
        <v>#N/A</v>
      </c>
      <c r="Z2016" s="349" t="e">
        <f>VLOOKUP(D2016,'JOURNAL FACTURES'!A:R,18,0)</f>
        <v>#N/A</v>
      </c>
      <c r="AA2016" s="350" t="e">
        <f t="shared" si="45"/>
        <v>#N/A</v>
      </c>
      <c r="AB2016" s="350" t="e">
        <f t="shared" si="46"/>
        <v>#N/A</v>
      </c>
      <c r="AC2016" s="350" t="e">
        <f t="shared" si="47"/>
        <v>#N/A</v>
      </c>
      <c r="AD2016" s="350" t="e">
        <f t="shared" si="48"/>
        <v>#N/A</v>
      </c>
      <c r="AE2016" s="349">
        <f>VLOOKUP(D2016,TRANSPORT!H:J,3,0)</f>
        <v>1987.2255</v>
      </c>
      <c r="AF2016" s="349">
        <f>+VLOOKUP(D2016,TRANSPORT!N:O,2,0)</f>
        <v>16916.794999999998</v>
      </c>
      <c r="AG2016" s="349">
        <f t="shared" si="49"/>
        <v>0.9088210486730417</v>
      </c>
      <c r="AH2016" s="351" t="e">
        <f t="shared" si="50"/>
        <v>#N/A</v>
      </c>
      <c r="AI2016" s="351" t="e">
        <f t="shared" si="51"/>
        <v>#N/A</v>
      </c>
      <c r="AJ2016" s="351" t="e">
        <f t="shared" si="52"/>
        <v>#N/A</v>
      </c>
      <c r="AK2016" s="351" t="e">
        <f t="shared" si="53"/>
        <v>#N/A</v>
      </c>
      <c r="AL2016" s="352">
        <f>VLOOKUP(D2016,'INTEGRATION PAR CLIENT '!A1412:J1440,10,0)</f>
        <v>0</v>
      </c>
      <c r="AM2016" s="352">
        <f>VLOOKUP(D2016,'INTEGRATION PAR CLIENT '!A1412:L1440,12,0)</f>
        <v>0</v>
      </c>
      <c r="AN2016" s="352">
        <f>+VLOOKUP(D2016,'INTEGRATION PAR CLIENT '!A1412:N1440,14,0)</f>
        <v>1</v>
      </c>
      <c r="AO2016" s="352">
        <f>+VLOOKUP(D2016,'INTEGRATION PAR CLIENT '!A1412:P1440,16,0)</f>
        <v>0</v>
      </c>
    </row>
    <row r="2017" spans="1:41">
      <c r="A2017" s="342">
        <v>137</v>
      </c>
      <c r="B2017" s="277" t="str">
        <f t="shared" si="40"/>
        <v>137</v>
      </c>
      <c r="C2017" s="277">
        <v>0</v>
      </c>
      <c r="D2017" s="343" t="str">
        <f>'2025'!D138</f>
        <v>FAE-25-00137</v>
      </c>
      <c r="E2017" s="277" t="str">
        <f t="shared" si="41"/>
        <v>137</v>
      </c>
      <c r="F2017" s="972">
        <v>45789</v>
      </c>
      <c r="G2017" s="619">
        <f t="shared" si="42"/>
        <v>2025</v>
      </c>
      <c r="H2017" s="383" t="s">
        <v>17304</v>
      </c>
      <c r="I2017" s="277" t="str">
        <f>+VLOOKUP(H2017,Sheet1!A:C,3,0)</f>
        <v>SAFA FOOD</v>
      </c>
      <c r="J2017" s="277" t="str">
        <f>+VLOOKUP(H2017,Sheet1!A:D,4,0)</f>
        <v>CAD</v>
      </c>
      <c r="K2017" s="278">
        <f t="shared" si="43"/>
        <v>47236.234499999999</v>
      </c>
      <c r="L2017" s="383">
        <v>2.17</v>
      </c>
      <c r="M2017" s="384">
        <v>21767.85</v>
      </c>
      <c r="N2017" s="277" t="str">
        <f>+VLOOKUP(E2017,'2025'!E:F,2,0)</f>
        <v>OUI</v>
      </c>
      <c r="O2017" s="277" t="str">
        <f>VLOOKUP(E2017,'2025'!E:N,10,0)</f>
        <v>Canada</v>
      </c>
      <c r="P2017" s="890">
        <f>VLOOKUP(E2017,'2025'!E:O,11,0)</f>
        <v>45806</v>
      </c>
      <c r="Q2017" s="347">
        <f>VLOOKUP(E2017,'2025'!E:H,4,0)</f>
        <v>0</v>
      </c>
      <c r="R2017" s="347">
        <f>VLOOKUP(E2017,'2025'!E:I,5,0)</f>
        <v>9344</v>
      </c>
      <c r="S2017" s="347">
        <f>VLOOKUP(E2017,'2025'!E:J,6,0)</f>
        <v>1634</v>
      </c>
      <c r="T2017" s="347">
        <f>VLOOKUP(E2017,'2025'!E:K,7,0)</f>
        <v>1440</v>
      </c>
      <c r="U2017" s="347">
        <f t="shared" si="44"/>
        <v>12418</v>
      </c>
      <c r="V2017" s="348"/>
      <c r="W2017" s="349" t="e">
        <f>+VLOOKUP(D2017,'JOURNAL FACTURES'!A:O,15,0)</f>
        <v>#N/A</v>
      </c>
      <c r="X2017" s="349" t="e">
        <f>VLOOKUP(D2017,'JOURNAL FACTURES'!A:P,16,0)</f>
        <v>#N/A</v>
      </c>
      <c r="Y2017" s="349" t="e">
        <f>VLOOKUP(D2017,'JOURNAL FACTURES'!A:Q,17,0)</f>
        <v>#N/A</v>
      </c>
      <c r="Z2017" s="349" t="e">
        <f>VLOOKUP(D2017,'JOURNAL FACTURES'!A:R,18,0)</f>
        <v>#N/A</v>
      </c>
      <c r="AA2017" s="350" t="e">
        <f t="shared" si="45"/>
        <v>#N/A</v>
      </c>
      <c r="AB2017" s="350" t="e">
        <f t="shared" si="46"/>
        <v>#N/A</v>
      </c>
      <c r="AC2017" s="350" t="e">
        <f t="shared" si="47"/>
        <v>#N/A</v>
      </c>
      <c r="AD2017" s="350" t="e">
        <f t="shared" si="48"/>
        <v>#N/A</v>
      </c>
      <c r="AE2017" s="349">
        <f>VLOOKUP(D2017,TRANSPORT!H:J,3,0)</f>
        <v>1567.202</v>
      </c>
      <c r="AF2017" s="349">
        <f>+VLOOKUP(D2017,TRANSPORT!N:O,2,0)</f>
        <v>13949.92</v>
      </c>
      <c r="AG2017" s="349">
        <f t="shared" si="49"/>
        <v>1.1233628603639878</v>
      </c>
      <c r="AH2017" s="351" t="e">
        <f t="shared" si="50"/>
        <v>#N/A</v>
      </c>
      <c r="AI2017" s="351" t="e">
        <f t="shared" si="51"/>
        <v>#N/A</v>
      </c>
      <c r="AJ2017" s="351" t="e">
        <f t="shared" si="52"/>
        <v>#N/A</v>
      </c>
      <c r="AK2017" s="351" t="e">
        <f t="shared" si="53"/>
        <v>#N/A</v>
      </c>
      <c r="AL2017" s="352">
        <f>VLOOKUP(D2017,'INTEGRATION PAR CLIENT '!A1413:J1441,10,0)</f>
        <v>0</v>
      </c>
      <c r="AM2017" s="352">
        <f>VLOOKUP(D2017,'INTEGRATION PAR CLIENT '!A1413:L1441,12,0)</f>
        <v>1</v>
      </c>
      <c r="AN2017" s="352">
        <f>+VLOOKUP(D2017,'INTEGRATION PAR CLIENT '!A1413:N1441,14,0)</f>
        <v>1</v>
      </c>
      <c r="AO2017" s="352">
        <f>+VLOOKUP(D2017,'INTEGRATION PAR CLIENT '!A1413:P1441,16,0)</f>
        <v>1</v>
      </c>
    </row>
    <row r="2018" spans="1:41">
      <c r="A2018" s="342">
        <v>138</v>
      </c>
      <c r="B2018" s="277" t="str">
        <f t="shared" si="40"/>
        <v>138</v>
      </c>
      <c r="C2018" s="277">
        <v>0</v>
      </c>
      <c r="D2018" s="343" t="str">
        <f>'2025'!D139</f>
        <v>FAE-25-00138</v>
      </c>
      <c r="E2018" s="277" t="str">
        <f t="shared" si="41"/>
        <v>138</v>
      </c>
      <c r="F2018" s="972">
        <v>45789</v>
      </c>
      <c r="G2018" s="619">
        <f t="shared" si="42"/>
        <v>2025</v>
      </c>
      <c r="H2018" s="383" t="s">
        <v>17304</v>
      </c>
      <c r="I2018" s="277" t="str">
        <f>+VLOOKUP(H2018,Sheet1!A:C,3,0)</f>
        <v>SAFA FOOD</v>
      </c>
      <c r="J2018" s="277" t="str">
        <f>+VLOOKUP(H2018,Sheet1!A:D,4,0)</f>
        <v>CAD</v>
      </c>
      <c r="K2018" s="278">
        <f t="shared" si="43"/>
        <v>47774.213892</v>
      </c>
      <c r="L2018" s="383">
        <v>2.1726000000000001</v>
      </c>
      <c r="M2018" s="384">
        <v>21989.42</v>
      </c>
      <c r="N2018" s="277" t="str">
        <f>+VLOOKUP(E2018,'2025'!E:F,2,0)</f>
        <v>OUI</v>
      </c>
      <c r="O2018" s="277" t="str">
        <f>VLOOKUP(E2018,'2025'!E:N,10,0)</f>
        <v>Canada</v>
      </c>
      <c r="P2018" s="890">
        <f>VLOOKUP(E2018,'2025'!E:O,11,0)</f>
        <v>45805</v>
      </c>
      <c r="Q2018" s="347">
        <f>VLOOKUP(E2018,'2025'!E:H,4,0)</f>
        <v>0</v>
      </c>
      <c r="R2018" s="347">
        <f>VLOOKUP(E2018,'2025'!E:I,5,0)</f>
        <v>9484</v>
      </c>
      <c r="S2018" s="347">
        <f>VLOOKUP(E2018,'2025'!E:J,6,0)</f>
        <v>1634</v>
      </c>
      <c r="T2018" s="347">
        <f>VLOOKUP(E2018,'2025'!E:K,7,0)</f>
        <v>1250</v>
      </c>
      <c r="U2018" s="347">
        <f t="shared" si="44"/>
        <v>12368</v>
      </c>
      <c r="V2018" s="348"/>
      <c r="W2018" s="349" t="e">
        <f>+VLOOKUP(D2018,'JOURNAL FACTURES'!A:O,15,0)</f>
        <v>#N/A</v>
      </c>
      <c r="X2018" s="349" t="e">
        <f>VLOOKUP(D2018,'JOURNAL FACTURES'!A:P,16,0)</f>
        <v>#N/A</v>
      </c>
      <c r="Y2018" s="349" t="e">
        <f>VLOOKUP(D2018,'JOURNAL FACTURES'!A:Q,17,0)</f>
        <v>#N/A</v>
      </c>
      <c r="Z2018" s="349" t="e">
        <f>VLOOKUP(D2018,'JOURNAL FACTURES'!A:R,18,0)</f>
        <v>#N/A</v>
      </c>
      <c r="AA2018" s="350" t="e">
        <f t="shared" si="45"/>
        <v>#N/A</v>
      </c>
      <c r="AB2018" s="350" t="e">
        <f t="shared" si="46"/>
        <v>#N/A</v>
      </c>
      <c r="AC2018" s="350" t="e">
        <f t="shared" si="47"/>
        <v>#N/A</v>
      </c>
      <c r="AD2018" s="350" t="e">
        <f t="shared" si="48"/>
        <v>#N/A</v>
      </c>
      <c r="AE2018" s="349">
        <f>VLOOKUP(D2018,TRANSPORT!H:J,3,0)</f>
        <v>1570.2830000000001</v>
      </c>
      <c r="AF2018" s="349">
        <f>+VLOOKUP(D2018,TRANSPORT!N:O,2,0)</f>
        <v>13984.63</v>
      </c>
      <c r="AG2018" s="349">
        <f t="shared" si="49"/>
        <v>1.130710705045278</v>
      </c>
      <c r="AH2018" s="351" t="e">
        <f t="shared" si="50"/>
        <v>#N/A</v>
      </c>
      <c r="AI2018" s="351" t="e">
        <f t="shared" si="51"/>
        <v>#N/A</v>
      </c>
      <c r="AJ2018" s="351" t="e">
        <f t="shared" si="52"/>
        <v>#N/A</v>
      </c>
      <c r="AK2018" s="351" t="e">
        <f t="shared" si="53"/>
        <v>#N/A</v>
      </c>
      <c r="AL2018" s="352">
        <f>VLOOKUP(D2018,'INTEGRATION PAR CLIENT '!A1414:J1442,10,0)</f>
        <v>0</v>
      </c>
      <c r="AM2018" s="352">
        <f>VLOOKUP(D2018,'INTEGRATION PAR CLIENT '!A1414:L1442,12,0)</f>
        <v>1</v>
      </c>
      <c r="AN2018" s="352">
        <f>+VLOOKUP(D2018,'INTEGRATION PAR CLIENT '!A1414:N1442,14,0)</f>
        <v>1</v>
      </c>
      <c r="AO2018" s="352">
        <f>+VLOOKUP(D2018,'INTEGRATION PAR CLIENT '!A1414:P1442,16,0)</f>
        <v>1</v>
      </c>
    </row>
    <row r="2019" spans="1:41">
      <c r="A2019" s="342">
        <v>139</v>
      </c>
      <c r="B2019" s="277" t="str">
        <f t="shared" si="40"/>
        <v>139</v>
      </c>
      <c r="C2019" s="277">
        <v>0</v>
      </c>
      <c r="D2019" s="343" t="str">
        <f>'2025'!D140</f>
        <v>FAE-25-00139</v>
      </c>
      <c r="E2019" s="277" t="str">
        <f t="shared" si="41"/>
        <v>139</v>
      </c>
      <c r="F2019" s="972">
        <v>45789</v>
      </c>
      <c r="G2019" s="619">
        <f t="shared" si="42"/>
        <v>2025</v>
      </c>
      <c r="H2019" s="383" t="s">
        <v>17278</v>
      </c>
      <c r="I2019" s="277" t="str">
        <f>+VLOOKUP(H2019,Sheet1!A:C,3,0)</f>
        <v>SEYAL TCHAD SA</v>
      </c>
      <c r="J2019" s="277" t="str">
        <f>+VLOOKUP(H2019,Sheet1!A:D,4,0)</f>
        <v>EUR</v>
      </c>
      <c r="K2019" s="278">
        <f t="shared" si="43"/>
        <v>802658.91671999998</v>
      </c>
      <c r="L2019" s="383">
        <v>3.3914</v>
      </c>
      <c r="M2019" s="384">
        <v>236674.8</v>
      </c>
      <c r="N2019" s="277" t="str">
        <f>+VLOOKUP(E2019,'2025'!E:F,2,0)</f>
        <v>OUI</v>
      </c>
      <c r="O2019" s="277" t="str">
        <f>VLOOKUP(E2019,'2025'!E:N,10,0)</f>
        <v>Tchad</v>
      </c>
      <c r="P2019" s="890">
        <f>VLOOKUP(E2019,'2025'!E:O,11,0)</f>
        <v>45808</v>
      </c>
      <c r="Q2019" s="347">
        <f>VLOOKUP(E2019,'2025'!E:H,4,0)</f>
        <v>38400</v>
      </c>
      <c r="R2019" s="347">
        <f>VLOOKUP(E2019,'2025'!E:I,5,0)</f>
        <v>291600</v>
      </c>
      <c r="S2019" s="347">
        <f>VLOOKUP(E2019,'2025'!E:J,6,0)</f>
        <v>0</v>
      </c>
      <c r="T2019" s="347">
        <f>VLOOKUP(E2019,'2025'!E:K,7,0)</f>
        <v>0</v>
      </c>
      <c r="U2019" s="347">
        <f t="shared" si="44"/>
        <v>330000</v>
      </c>
      <c r="V2019" s="348"/>
      <c r="W2019" s="349" t="e">
        <f>+VLOOKUP(D2019,'JOURNAL FACTURES'!A:O,15,0)</f>
        <v>#N/A</v>
      </c>
      <c r="X2019" s="349" t="e">
        <f>VLOOKUP(D2019,'JOURNAL FACTURES'!A:P,16,0)</f>
        <v>#N/A</v>
      </c>
      <c r="Y2019" s="349" t="e">
        <f>VLOOKUP(D2019,'JOURNAL FACTURES'!A:Q,17,0)</f>
        <v>#N/A</v>
      </c>
      <c r="Z2019" s="349" t="e">
        <f>VLOOKUP(D2019,'JOURNAL FACTURES'!A:R,18,0)</f>
        <v>#N/A</v>
      </c>
      <c r="AA2019" s="350" t="e">
        <f t="shared" si="45"/>
        <v>#N/A</v>
      </c>
      <c r="AB2019" s="350" t="e">
        <f t="shared" si="46"/>
        <v>#N/A</v>
      </c>
      <c r="AC2019" s="350" t="e">
        <f t="shared" si="47"/>
        <v>#N/A</v>
      </c>
      <c r="AD2019" s="350" t="e">
        <f t="shared" si="48"/>
        <v>#N/A</v>
      </c>
      <c r="AE2019" s="349">
        <f>VLOOKUP(D2019,TRANSPORT!H:J,3,0)</f>
        <v>23062.978000000003</v>
      </c>
      <c r="AF2019" s="349">
        <f>+VLOOKUP(D2019,TRANSPORT!N:O,2,0)</f>
        <v>150180.42199999999</v>
      </c>
      <c r="AG2019" s="349">
        <f t="shared" si="49"/>
        <v>0.45509218787878786</v>
      </c>
      <c r="AH2019" s="351" t="e">
        <f t="shared" si="50"/>
        <v>#N/A</v>
      </c>
      <c r="AI2019" s="351" t="e">
        <f t="shared" si="51"/>
        <v>#N/A</v>
      </c>
      <c r="AJ2019" s="351" t="e">
        <f t="shared" si="52"/>
        <v>#N/A</v>
      </c>
      <c r="AK2019" s="351" t="e">
        <f t="shared" si="53"/>
        <v>#N/A</v>
      </c>
      <c r="AL2019" s="352">
        <f>VLOOKUP(D2019,'INTEGRATION PAR CLIENT '!A1415:J1443,10,0)</f>
        <v>1</v>
      </c>
      <c r="AM2019" s="352" t="str">
        <f>VLOOKUP(D2019,'INTEGRATION PAR CLIENT '!A1415:L1443,12,0)</f>
        <v>20%S-80%F</v>
      </c>
      <c r="AN2019" s="352">
        <f>+VLOOKUP(D2019,'INTEGRATION PAR CLIENT '!A1415:N1443,14,0)</f>
        <v>0</v>
      </c>
      <c r="AO2019" s="352">
        <f>+VLOOKUP(D2019,'INTEGRATION PAR CLIENT '!A1415:P1443,16,0)</f>
        <v>0</v>
      </c>
    </row>
    <row r="2020" spans="1:41">
      <c r="A2020" s="342">
        <v>140</v>
      </c>
      <c r="B2020" s="277" t="str">
        <f t="shared" si="40"/>
        <v>140</v>
      </c>
      <c r="C2020" s="277">
        <v>0</v>
      </c>
      <c r="D2020" s="343" t="str">
        <f>'2025'!D141</f>
        <v>FAE-25-00140</v>
      </c>
      <c r="E2020" s="277" t="str">
        <f t="shared" si="41"/>
        <v>140</v>
      </c>
      <c r="F2020" s="972">
        <v>45789</v>
      </c>
      <c r="G2020" s="619">
        <f t="shared" si="42"/>
        <v>2025</v>
      </c>
      <c r="H2020" s="383" t="s">
        <v>16384</v>
      </c>
      <c r="I2020" s="277" t="str">
        <f>+VLOOKUP(H2020,Sheet1!A:C,3,0)</f>
        <v>STE DE COMMERCE INTERNATIONAL</v>
      </c>
      <c r="J2020" s="277" t="str">
        <f>+VLOOKUP(H2020,Sheet1!A:D,4,0)</f>
        <v>TND</v>
      </c>
      <c r="K2020" s="278">
        <f t="shared" si="43"/>
        <v>168960</v>
      </c>
      <c r="L2020" s="383">
        <v>1</v>
      </c>
      <c r="M2020" s="384">
        <v>168960</v>
      </c>
      <c r="N2020" s="277" t="str">
        <f>+VLOOKUP(E2020,'2025'!E:F,2,0)</f>
        <v>OUI</v>
      </c>
      <c r="O2020" s="277" t="str">
        <f>VLOOKUP(E2020,'2025'!E:N,10,0)</f>
        <v>Gambie</v>
      </c>
      <c r="P2020" s="890">
        <f>VLOOKUP(E2020,'2025'!E:O,11,0)</f>
        <v>45797</v>
      </c>
      <c r="Q2020" s="347">
        <f>VLOOKUP(E2020,'2025'!E:H,4,0)</f>
        <v>76800</v>
      </c>
      <c r="R2020" s="347">
        <f>VLOOKUP(E2020,'2025'!E:I,5,0)</f>
        <v>0</v>
      </c>
      <c r="S2020" s="347">
        <f>VLOOKUP(E2020,'2025'!E:J,6,0)</f>
        <v>0</v>
      </c>
      <c r="T2020" s="347">
        <f>VLOOKUP(E2020,'2025'!E:K,7,0)</f>
        <v>0</v>
      </c>
      <c r="U2020" s="347">
        <f t="shared" si="44"/>
        <v>76800</v>
      </c>
      <c r="V2020" s="348"/>
      <c r="W2020" s="349" t="e">
        <f>+VLOOKUP(D2020,'JOURNAL FACTURES'!A:O,15,0)</f>
        <v>#N/A</v>
      </c>
      <c r="X2020" s="349" t="e">
        <f>VLOOKUP(D2020,'JOURNAL FACTURES'!A:P,16,0)</f>
        <v>#N/A</v>
      </c>
      <c r="Y2020" s="349" t="e">
        <f>VLOOKUP(D2020,'JOURNAL FACTURES'!A:Q,17,0)</f>
        <v>#N/A</v>
      </c>
      <c r="Z2020" s="349" t="e">
        <f>VLOOKUP(D2020,'JOURNAL FACTURES'!A:R,18,0)</f>
        <v>#N/A</v>
      </c>
      <c r="AA2020" s="350" t="e">
        <f t="shared" si="45"/>
        <v>#N/A</v>
      </c>
      <c r="AB2020" s="350" t="e">
        <f t="shared" si="46"/>
        <v>#N/A</v>
      </c>
      <c r="AC2020" s="350" t="e">
        <f t="shared" si="47"/>
        <v>#N/A</v>
      </c>
      <c r="AD2020" s="350" t="e">
        <f t="shared" si="48"/>
        <v>#N/A</v>
      </c>
      <c r="AE2020" s="349">
        <f>VLOOKUP(D2020,TRANSPORT!H:J,3,0)</f>
        <v>0</v>
      </c>
      <c r="AF2020" s="349">
        <f>+VLOOKUP(D2020,TRANSPORT!N:O,2,0)</f>
        <v>0</v>
      </c>
      <c r="AG2020" s="349">
        <f t="shared" si="49"/>
        <v>0</v>
      </c>
      <c r="AH2020" s="351" t="e">
        <f t="shared" si="50"/>
        <v>#N/A</v>
      </c>
      <c r="AI2020" s="351" t="e">
        <f t="shared" si="51"/>
        <v>#N/A</v>
      </c>
      <c r="AJ2020" s="351" t="e">
        <f t="shared" si="52"/>
        <v>#N/A</v>
      </c>
      <c r="AK2020" s="351" t="e">
        <f t="shared" si="53"/>
        <v>#N/A</v>
      </c>
      <c r="AL2020" s="352">
        <f>VLOOKUP(D2020,'INTEGRATION PAR CLIENT '!A1416:J1444,10,0)</f>
        <v>1</v>
      </c>
      <c r="AM2020" s="352">
        <f>VLOOKUP(D2020,'INTEGRATION PAR CLIENT '!A1416:L1444,12,0)</f>
        <v>0</v>
      </c>
      <c r="AN2020" s="352">
        <f>+VLOOKUP(D2020,'INTEGRATION PAR CLIENT '!A1416:N1444,14,0)</f>
        <v>0</v>
      </c>
      <c r="AO2020" s="352">
        <f>+VLOOKUP(D2020,'INTEGRATION PAR CLIENT '!A1416:P1444,16,0)</f>
        <v>0</v>
      </c>
    </row>
    <row r="2021" spans="1:41">
      <c r="A2021" s="342">
        <v>141</v>
      </c>
      <c r="B2021" s="277" t="str">
        <f t="shared" si="40"/>
        <v>141</v>
      </c>
      <c r="C2021" s="277">
        <v>0</v>
      </c>
      <c r="D2021" s="343" t="str">
        <f>'2025'!D142</f>
        <v>FAE-25-00141</v>
      </c>
      <c r="E2021" s="277" t="str">
        <f t="shared" si="41"/>
        <v>141</v>
      </c>
      <c r="F2021" s="972">
        <v>45789</v>
      </c>
      <c r="G2021" s="619">
        <f t="shared" si="42"/>
        <v>2025</v>
      </c>
      <c r="H2021" s="383" t="s">
        <v>16444</v>
      </c>
      <c r="I2021" s="277" t="str">
        <f>+VLOOKUP(H2021,Sheet1!A:C,3,0)</f>
        <v>SAHEL INTERNATIONAL TRADE</v>
      </c>
      <c r="J2021" s="277" t="str">
        <f>+VLOOKUP(H2021,Sheet1!A:D,4,0)</f>
        <v>TND</v>
      </c>
      <c r="K2021" s="278">
        <f t="shared" si="43"/>
        <v>92880</v>
      </c>
      <c r="L2021" s="383">
        <v>1</v>
      </c>
      <c r="M2021" s="384">
        <v>92880</v>
      </c>
      <c r="N2021" s="277" t="str">
        <f>+VLOOKUP(E2021,'2025'!E:F,2,0)</f>
        <v>OUI</v>
      </c>
      <c r="O2021" s="277" t="str">
        <f>VLOOKUP(E2021,'2025'!E:N,10,0)</f>
        <v>Tchad</v>
      </c>
      <c r="P2021" s="890">
        <f>VLOOKUP(E2021,'2025'!E:O,11,0)</f>
        <v>45799</v>
      </c>
      <c r="Q2021" s="347">
        <f>VLOOKUP(E2021,'2025'!E:H,4,0)</f>
        <v>43200</v>
      </c>
      <c r="R2021" s="347">
        <f>VLOOKUP(E2021,'2025'!E:I,5,0)</f>
        <v>0</v>
      </c>
      <c r="S2021" s="347">
        <f>VLOOKUP(E2021,'2025'!E:J,6,0)</f>
        <v>0</v>
      </c>
      <c r="T2021" s="347">
        <f>VLOOKUP(E2021,'2025'!E:K,7,0)</f>
        <v>0</v>
      </c>
      <c r="U2021" s="347">
        <f t="shared" si="44"/>
        <v>43200</v>
      </c>
      <c r="V2021" s="348"/>
      <c r="W2021" s="349" t="e">
        <f>+VLOOKUP(D2021,'JOURNAL FACTURES'!A:O,15,0)</f>
        <v>#N/A</v>
      </c>
      <c r="X2021" s="349" t="e">
        <f>VLOOKUP(D2021,'JOURNAL FACTURES'!A:P,16,0)</f>
        <v>#N/A</v>
      </c>
      <c r="Y2021" s="349" t="e">
        <f>VLOOKUP(D2021,'JOURNAL FACTURES'!A:Q,17,0)</f>
        <v>#N/A</v>
      </c>
      <c r="Z2021" s="349" t="e">
        <f>VLOOKUP(D2021,'JOURNAL FACTURES'!A:R,18,0)</f>
        <v>#N/A</v>
      </c>
      <c r="AA2021" s="350" t="e">
        <f t="shared" si="45"/>
        <v>#N/A</v>
      </c>
      <c r="AB2021" s="350" t="e">
        <f t="shared" si="46"/>
        <v>#N/A</v>
      </c>
      <c r="AC2021" s="350" t="e">
        <f t="shared" si="47"/>
        <v>#N/A</v>
      </c>
      <c r="AD2021" s="350" t="e">
        <f t="shared" si="48"/>
        <v>#N/A</v>
      </c>
      <c r="AE2021" s="349">
        <f>VLOOKUP(D2021,TRANSPORT!H:J,3,0)</f>
        <v>0</v>
      </c>
      <c r="AF2021" s="349">
        <f>+VLOOKUP(D2021,TRANSPORT!N:O,2,0)</f>
        <v>0</v>
      </c>
      <c r="AG2021" s="349">
        <f t="shared" si="49"/>
        <v>0</v>
      </c>
      <c r="AH2021" s="351" t="e">
        <f t="shared" si="50"/>
        <v>#N/A</v>
      </c>
      <c r="AI2021" s="351" t="e">
        <f t="shared" si="51"/>
        <v>#N/A</v>
      </c>
      <c r="AJ2021" s="351" t="e">
        <f t="shared" si="52"/>
        <v>#N/A</v>
      </c>
      <c r="AK2021" s="351" t="e">
        <f t="shared" si="53"/>
        <v>#N/A</v>
      </c>
      <c r="AL2021" s="352">
        <f>VLOOKUP(D2021,'INTEGRATION PAR CLIENT '!A1417:J1445,10,0)</f>
        <v>1</v>
      </c>
      <c r="AM2021" s="352">
        <f>VLOOKUP(D2021,'INTEGRATION PAR CLIENT '!A1417:L1445,12,0)</f>
        <v>0</v>
      </c>
      <c r="AN2021" s="352">
        <f>+VLOOKUP(D2021,'INTEGRATION PAR CLIENT '!A1417:N1445,14,0)</f>
        <v>0</v>
      </c>
      <c r="AO2021" s="352">
        <f>+VLOOKUP(D2021,'INTEGRATION PAR CLIENT '!A1417:P1445,16,0)</f>
        <v>0</v>
      </c>
    </row>
    <row r="2022" spans="1:41">
      <c r="A2022" s="342">
        <v>142</v>
      </c>
      <c r="B2022" s="277" t="str">
        <f t="shared" si="40"/>
        <v>142</v>
      </c>
      <c r="C2022" s="277">
        <v>0</v>
      </c>
      <c r="D2022" s="343" t="str">
        <f>'2025'!D143</f>
        <v>FAE-25-00142</v>
      </c>
      <c r="E2022" s="277" t="str">
        <f t="shared" si="41"/>
        <v>142</v>
      </c>
      <c r="F2022" s="972">
        <v>45789</v>
      </c>
      <c r="G2022" s="619">
        <f t="shared" si="42"/>
        <v>2025</v>
      </c>
      <c r="H2022" s="383" t="s">
        <v>16444</v>
      </c>
      <c r="I2022" s="277" t="str">
        <f>+VLOOKUP(H2022,Sheet1!A:C,3,0)</f>
        <v>SAHEL INTERNATIONAL TRADE</v>
      </c>
      <c r="J2022" s="277" t="str">
        <f>+VLOOKUP(H2022,Sheet1!A:D,4,0)</f>
        <v>TND</v>
      </c>
      <c r="K2022" s="278">
        <f t="shared" si="43"/>
        <v>46440</v>
      </c>
      <c r="L2022" s="383">
        <v>1</v>
      </c>
      <c r="M2022" s="384">
        <v>46440</v>
      </c>
      <c r="N2022" s="277" t="str">
        <f>+VLOOKUP(E2022,'2025'!E:F,2,0)</f>
        <v>OUI</v>
      </c>
      <c r="O2022" s="277" t="str">
        <f>VLOOKUP(E2022,'2025'!E:N,10,0)</f>
        <v>Sierra Leone</v>
      </c>
      <c r="P2022" s="890">
        <f>VLOOKUP(E2022,'2025'!E:O,11,0)</f>
        <v>45806</v>
      </c>
      <c r="Q2022" s="347">
        <f>VLOOKUP(E2022,'2025'!E:H,4,0)</f>
        <v>21600</v>
      </c>
      <c r="R2022" s="347">
        <f>VLOOKUP(E2022,'2025'!E:I,5,0)</f>
        <v>0</v>
      </c>
      <c r="S2022" s="347">
        <f>VLOOKUP(E2022,'2025'!E:J,6,0)</f>
        <v>0</v>
      </c>
      <c r="T2022" s="347">
        <f>VLOOKUP(E2022,'2025'!E:K,7,0)</f>
        <v>0</v>
      </c>
      <c r="U2022" s="347">
        <f t="shared" si="44"/>
        <v>21600</v>
      </c>
      <c r="V2022" s="348"/>
      <c r="W2022" s="349" t="e">
        <f>+VLOOKUP(D2022,'JOURNAL FACTURES'!A:O,15,0)</f>
        <v>#N/A</v>
      </c>
      <c r="X2022" s="349" t="e">
        <f>VLOOKUP(D2022,'JOURNAL FACTURES'!A:P,16,0)</f>
        <v>#N/A</v>
      </c>
      <c r="Y2022" s="349" t="e">
        <f>VLOOKUP(D2022,'JOURNAL FACTURES'!A:Q,17,0)</f>
        <v>#N/A</v>
      </c>
      <c r="Z2022" s="349" t="e">
        <f>VLOOKUP(D2022,'JOURNAL FACTURES'!A:R,18,0)</f>
        <v>#N/A</v>
      </c>
      <c r="AA2022" s="350" t="e">
        <f t="shared" si="45"/>
        <v>#N/A</v>
      </c>
      <c r="AB2022" s="350" t="e">
        <f t="shared" si="46"/>
        <v>#N/A</v>
      </c>
      <c r="AC2022" s="350" t="e">
        <f t="shared" si="47"/>
        <v>#N/A</v>
      </c>
      <c r="AD2022" s="350" t="e">
        <f t="shared" si="48"/>
        <v>#N/A</v>
      </c>
      <c r="AE2022" s="349">
        <f>VLOOKUP(D2022,TRANSPORT!H:J,3,0)</f>
        <v>0</v>
      </c>
      <c r="AF2022" s="349">
        <f>+VLOOKUP(D2022,TRANSPORT!N:O,2,0)</f>
        <v>0</v>
      </c>
      <c r="AG2022" s="349">
        <f t="shared" si="49"/>
        <v>0</v>
      </c>
      <c r="AH2022" s="351" t="e">
        <f t="shared" si="50"/>
        <v>#N/A</v>
      </c>
      <c r="AI2022" s="351" t="e">
        <f t="shared" si="51"/>
        <v>#N/A</v>
      </c>
      <c r="AJ2022" s="351" t="e">
        <f t="shared" si="52"/>
        <v>#N/A</v>
      </c>
      <c r="AK2022" s="351" t="e">
        <f t="shared" si="53"/>
        <v>#N/A</v>
      </c>
      <c r="AL2022" s="352">
        <f>VLOOKUP(D2022,'INTEGRATION PAR CLIENT '!A1418:J1446,10,0)</f>
        <v>1</v>
      </c>
      <c r="AM2022" s="352">
        <f>VLOOKUP(D2022,'INTEGRATION PAR CLIENT '!A1418:L1446,12,0)</f>
        <v>0</v>
      </c>
      <c r="AN2022" s="352">
        <f>+VLOOKUP(D2022,'INTEGRATION PAR CLIENT '!A1418:N1446,14,0)</f>
        <v>0</v>
      </c>
      <c r="AO2022" s="352">
        <f>+VLOOKUP(D2022,'INTEGRATION PAR CLIENT '!A1418:P1446,16,0)</f>
        <v>0</v>
      </c>
    </row>
    <row r="2023" spans="1:41">
      <c r="A2023" s="342">
        <v>143</v>
      </c>
      <c r="B2023" s="277" t="str">
        <f t="shared" si="40"/>
        <v>143</v>
      </c>
      <c r="C2023" s="277">
        <v>0</v>
      </c>
      <c r="D2023" s="343" t="str">
        <f>'2025'!D144</f>
        <v>FAE-25-00143</v>
      </c>
      <c r="E2023" s="277" t="str">
        <f t="shared" si="41"/>
        <v>143</v>
      </c>
      <c r="F2023" s="972">
        <v>45789</v>
      </c>
      <c r="G2023" s="619">
        <f t="shared" si="42"/>
        <v>2025</v>
      </c>
      <c r="H2023" s="383" t="s">
        <v>16444</v>
      </c>
      <c r="I2023" s="277" t="str">
        <f>+VLOOKUP(H2023,Sheet1!A:C,3,0)</f>
        <v>SAHEL INTERNATIONAL TRADE</v>
      </c>
      <c r="J2023" s="277" t="str">
        <f>+VLOOKUP(H2023,Sheet1!A:D,4,0)</f>
        <v>TND</v>
      </c>
      <c r="K2023" s="278">
        <f t="shared" si="43"/>
        <v>42298.8</v>
      </c>
      <c r="L2023" s="383">
        <v>1</v>
      </c>
      <c r="M2023" s="384">
        <v>42298.8</v>
      </c>
      <c r="N2023" s="277" t="str">
        <f>+VLOOKUP(E2023,'2025'!E:F,2,0)</f>
        <v>OUI</v>
      </c>
      <c r="O2023" s="277" t="str">
        <f>VLOOKUP(E2023,'2025'!E:N,10,0)</f>
        <v>Burkina Faso</v>
      </c>
      <c r="P2023" s="890">
        <f>VLOOKUP(E2023,'2025'!E:O,11,0)</f>
        <v>45806</v>
      </c>
      <c r="Q2023" s="347">
        <f>VLOOKUP(E2023,'2025'!E:H,4,0)</f>
        <v>19204</v>
      </c>
      <c r="R2023" s="347">
        <f>VLOOKUP(E2023,'2025'!E:I,5,0)</f>
        <v>0</v>
      </c>
      <c r="S2023" s="347">
        <f>VLOOKUP(E2023,'2025'!E:J,6,0)</f>
        <v>0</v>
      </c>
      <c r="T2023" s="347">
        <f>VLOOKUP(E2023,'2025'!E:K,7,0)</f>
        <v>0</v>
      </c>
      <c r="U2023" s="347">
        <f t="shared" si="44"/>
        <v>19204</v>
      </c>
      <c r="V2023" s="348"/>
      <c r="W2023" s="349" t="e">
        <f>+VLOOKUP(D2023,'JOURNAL FACTURES'!A:O,15,0)</f>
        <v>#N/A</v>
      </c>
      <c r="X2023" s="349" t="e">
        <f>VLOOKUP(D2023,'JOURNAL FACTURES'!A:P,16,0)</f>
        <v>#N/A</v>
      </c>
      <c r="Y2023" s="349" t="e">
        <f>VLOOKUP(D2023,'JOURNAL FACTURES'!A:Q,17,0)</f>
        <v>#N/A</v>
      </c>
      <c r="Z2023" s="349" t="e">
        <f>VLOOKUP(D2023,'JOURNAL FACTURES'!A:R,18,0)</f>
        <v>#N/A</v>
      </c>
      <c r="AA2023" s="350" t="e">
        <f t="shared" si="45"/>
        <v>#N/A</v>
      </c>
      <c r="AB2023" s="350" t="e">
        <f t="shared" si="46"/>
        <v>#N/A</v>
      </c>
      <c r="AC2023" s="350" t="e">
        <f t="shared" si="47"/>
        <v>#N/A</v>
      </c>
      <c r="AD2023" s="350" t="e">
        <f t="shared" si="48"/>
        <v>#N/A</v>
      </c>
      <c r="AE2023" s="349">
        <f>VLOOKUP(D2023,TRANSPORT!H:J,3,0)</f>
        <v>0</v>
      </c>
      <c r="AF2023" s="349">
        <f>+VLOOKUP(D2023,TRANSPORT!N:O,2,0)</f>
        <v>0</v>
      </c>
      <c r="AG2023" s="349">
        <f t="shared" si="49"/>
        <v>0</v>
      </c>
      <c r="AH2023" s="351" t="e">
        <f t="shared" si="50"/>
        <v>#N/A</v>
      </c>
      <c r="AI2023" s="351" t="e">
        <f t="shared" si="51"/>
        <v>#N/A</v>
      </c>
      <c r="AJ2023" s="351" t="e">
        <f t="shared" si="52"/>
        <v>#N/A</v>
      </c>
      <c r="AK2023" s="351" t="e">
        <f t="shared" si="53"/>
        <v>#N/A</v>
      </c>
      <c r="AL2023" s="352">
        <f>VLOOKUP(D2023,'INTEGRATION PAR CLIENT '!A1419:J1447,10,0)</f>
        <v>1</v>
      </c>
      <c r="AM2023" s="352">
        <f>VLOOKUP(D2023,'INTEGRATION PAR CLIENT '!A1419:L1447,12,0)</f>
        <v>0</v>
      </c>
      <c r="AN2023" s="352">
        <f>+VLOOKUP(D2023,'INTEGRATION PAR CLIENT '!A1419:N1447,14,0)</f>
        <v>0</v>
      </c>
      <c r="AO2023" s="352">
        <f>+VLOOKUP(D2023,'INTEGRATION PAR CLIENT '!A1419:P1447,16,0)</f>
        <v>0</v>
      </c>
    </row>
    <row r="2024" spans="1:41">
      <c r="A2024" s="342">
        <v>144</v>
      </c>
      <c r="B2024" s="277" t="str">
        <f t="shared" si="40"/>
        <v>144</v>
      </c>
      <c r="C2024" s="277">
        <v>0</v>
      </c>
      <c r="D2024" s="343" t="str">
        <f>'2025'!D145</f>
        <v>FAE-25-00144</v>
      </c>
      <c r="E2024" s="277" t="str">
        <f t="shared" si="41"/>
        <v>144</v>
      </c>
      <c r="F2024" s="972">
        <v>45789</v>
      </c>
      <c r="G2024" s="619">
        <f t="shared" si="42"/>
        <v>2025</v>
      </c>
      <c r="H2024" s="383" t="s">
        <v>16444</v>
      </c>
      <c r="I2024" s="277" t="str">
        <f>+VLOOKUP(H2024,Sheet1!A:C,3,0)</f>
        <v>SAHEL INTERNATIONAL TRADE</v>
      </c>
      <c r="J2024" s="277" t="str">
        <f>+VLOOKUP(H2024,Sheet1!A:D,4,0)</f>
        <v>TND</v>
      </c>
      <c r="K2024" s="278">
        <f t="shared" si="43"/>
        <v>42298.8</v>
      </c>
      <c r="L2024" s="383">
        <v>1</v>
      </c>
      <c r="M2024" s="384">
        <v>42298.8</v>
      </c>
      <c r="N2024" s="277" t="str">
        <f>+VLOOKUP(E2024,'2025'!E:F,2,0)</f>
        <v>OUI</v>
      </c>
      <c r="O2024" s="277" t="str">
        <f>VLOOKUP(E2024,'2025'!E:N,10,0)</f>
        <v>Burkina Faso</v>
      </c>
      <c r="P2024" s="890">
        <f>VLOOKUP(E2024,'2025'!E:O,11,0)</f>
        <v>45806</v>
      </c>
      <c r="Q2024" s="347">
        <f>VLOOKUP(E2024,'2025'!E:H,4,0)</f>
        <v>19204</v>
      </c>
      <c r="R2024" s="347">
        <f>VLOOKUP(E2024,'2025'!E:I,5,0)</f>
        <v>0</v>
      </c>
      <c r="S2024" s="347">
        <f>VLOOKUP(E2024,'2025'!E:J,6,0)</f>
        <v>0</v>
      </c>
      <c r="T2024" s="347">
        <f>VLOOKUP(E2024,'2025'!E:K,7,0)</f>
        <v>0</v>
      </c>
      <c r="U2024" s="347">
        <f t="shared" si="44"/>
        <v>19204</v>
      </c>
      <c r="V2024" s="348"/>
      <c r="W2024" s="349" t="e">
        <f>+VLOOKUP(D2024,'JOURNAL FACTURES'!A:O,15,0)</f>
        <v>#N/A</v>
      </c>
      <c r="X2024" s="349" t="e">
        <f>VLOOKUP(D2024,'JOURNAL FACTURES'!A:P,16,0)</f>
        <v>#N/A</v>
      </c>
      <c r="Y2024" s="349" t="e">
        <f>VLOOKUP(D2024,'JOURNAL FACTURES'!A:Q,17,0)</f>
        <v>#N/A</v>
      </c>
      <c r="Z2024" s="349" t="e">
        <f>VLOOKUP(D2024,'JOURNAL FACTURES'!A:R,18,0)</f>
        <v>#N/A</v>
      </c>
      <c r="AA2024" s="350" t="e">
        <f t="shared" si="45"/>
        <v>#N/A</v>
      </c>
      <c r="AB2024" s="350" t="e">
        <f t="shared" si="46"/>
        <v>#N/A</v>
      </c>
      <c r="AC2024" s="350" t="e">
        <f t="shared" si="47"/>
        <v>#N/A</v>
      </c>
      <c r="AD2024" s="350" t="e">
        <f t="shared" si="48"/>
        <v>#N/A</v>
      </c>
      <c r="AE2024" s="349">
        <f>VLOOKUP(D2024,TRANSPORT!H:J,3,0)</f>
        <v>0</v>
      </c>
      <c r="AF2024" s="349">
        <f>+VLOOKUP(D2024,TRANSPORT!N:O,2,0)</f>
        <v>0</v>
      </c>
      <c r="AG2024" s="349">
        <f t="shared" si="49"/>
        <v>0</v>
      </c>
      <c r="AH2024" s="351" t="e">
        <f t="shared" si="50"/>
        <v>#N/A</v>
      </c>
      <c r="AI2024" s="351" t="e">
        <f t="shared" si="51"/>
        <v>#N/A</v>
      </c>
      <c r="AJ2024" s="351" t="e">
        <f t="shared" si="52"/>
        <v>#N/A</v>
      </c>
      <c r="AK2024" s="351" t="e">
        <f t="shared" si="53"/>
        <v>#N/A</v>
      </c>
      <c r="AL2024" s="352">
        <f>VLOOKUP(D2024,'INTEGRATION PAR CLIENT '!A1420:J1448,10,0)</f>
        <v>1</v>
      </c>
      <c r="AM2024" s="352">
        <f>VLOOKUP(D2024,'INTEGRATION PAR CLIENT '!A1420:L1448,12,0)</f>
        <v>0</v>
      </c>
      <c r="AN2024" s="352">
        <f>+VLOOKUP(D2024,'INTEGRATION PAR CLIENT '!A1420:N1448,14,0)</f>
        <v>0</v>
      </c>
      <c r="AO2024" s="352">
        <f>+VLOOKUP(D2024,'INTEGRATION PAR CLIENT '!A1420:P1448,16,0)</f>
        <v>0</v>
      </c>
    </row>
    <row r="2025" spans="1:41">
      <c r="A2025" s="342">
        <v>145</v>
      </c>
      <c r="B2025" s="277" t="str">
        <f t="shared" si="40"/>
        <v>145</v>
      </c>
      <c r="C2025" s="277">
        <v>0</v>
      </c>
      <c r="D2025" s="343" t="str">
        <f>'2025'!D146</f>
        <v>FAE-25-00145</v>
      </c>
      <c r="E2025" s="277" t="str">
        <f t="shared" si="41"/>
        <v>145</v>
      </c>
      <c r="F2025" s="972">
        <v>45789</v>
      </c>
      <c r="G2025" s="619">
        <f t="shared" si="42"/>
        <v>2025</v>
      </c>
      <c r="H2025" s="383" t="s">
        <v>16444</v>
      </c>
      <c r="I2025" s="277" t="str">
        <f>+VLOOKUP(H2025,Sheet1!A:C,3,0)</f>
        <v>SAHEL INTERNATIONAL TRADE</v>
      </c>
      <c r="J2025" s="277" t="str">
        <f>+VLOOKUP(H2025,Sheet1!A:D,4,0)</f>
        <v>TND</v>
      </c>
      <c r="K2025" s="278">
        <f t="shared" si="43"/>
        <v>96160</v>
      </c>
      <c r="L2025" s="383">
        <v>1</v>
      </c>
      <c r="M2025" s="384">
        <v>96160</v>
      </c>
      <c r="N2025" s="277" t="str">
        <f>+VLOOKUP(E2025,'2025'!E:F,2,0)</f>
        <v>OUI</v>
      </c>
      <c r="O2025" s="277" t="str">
        <f>VLOOKUP(E2025,'2025'!E:N,10,0)</f>
        <v>Tchad</v>
      </c>
      <c r="P2025" s="890">
        <f>VLOOKUP(E2025,'2025'!E:O,11,0)</f>
        <v>45799</v>
      </c>
      <c r="Q2025" s="347">
        <f>VLOOKUP(E2025,'2025'!E:H,4,0)</f>
        <v>0</v>
      </c>
      <c r="R2025" s="347">
        <f>VLOOKUP(E2025,'2025'!E:I,5,0)</f>
        <v>56000</v>
      </c>
      <c r="S2025" s="347">
        <f>VLOOKUP(E2025,'2025'!E:J,6,0)</f>
        <v>0</v>
      </c>
      <c r="T2025" s="347">
        <f>VLOOKUP(E2025,'2025'!E:K,7,0)</f>
        <v>0</v>
      </c>
      <c r="U2025" s="347">
        <f t="shared" si="44"/>
        <v>56000</v>
      </c>
      <c r="V2025" s="348"/>
      <c r="W2025" s="349" t="e">
        <f>+VLOOKUP(D2025,'JOURNAL FACTURES'!A:O,15,0)</f>
        <v>#N/A</v>
      </c>
      <c r="X2025" s="349" t="e">
        <f>VLOOKUP(D2025,'JOURNAL FACTURES'!A:P,16,0)</f>
        <v>#N/A</v>
      </c>
      <c r="Y2025" s="349" t="e">
        <f>VLOOKUP(D2025,'JOURNAL FACTURES'!A:Q,17,0)</f>
        <v>#N/A</v>
      </c>
      <c r="Z2025" s="349" t="e">
        <f>VLOOKUP(D2025,'JOURNAL FACTURES'!A:R,18,0)</f>
        <v>#N/A</v>
      </c>
      <c r="AA2025" s="350" t="e">
        <f t="shared" si="45"/>
        <v>#N/A</v>
      </c>
      <c r="AB2025" s="350" t="e">
        <f t="shared" si="46"/>
        <v>#N/A</v>
      </c>
      <c r="AC2025" s="350" t="e">
        <f t="shared" si="47"/>
        <v>#N/A</v>
      </c>
      <c r="AD2025" s="350" t="e">
        <f t="shared" si="48"/>
        <v>#N/A</v>
      </c>
      <c r="AE2025" s="349">
        <f>VLOOKUP(D2025,TRANSPORT!H:J,3,0)</f>
        <v>0</v>
      </c>
      <c r="AF2025" s="349">
        <f>+VLOOKUP(D2025,TRANSPORT!N:O,2,0)</f>
        <v>0</v>
      </c>
      <c r="AG2025" s="349">
        <f t="shared" si="49"/>
        <v>0</v>
      </c>
      <c r="AH2025" s="351" t="e">
        <f t="shared" si="50"/>
        <v>#N/A</v>
      </c>
      <c r="AI2025" s="351" t="e">
        <f t="shared" si="51"/>
        <v>#N/A</v>
      </c>
      <c r="AJ2025" s="351" t="e">
        <f t="shared" si="52"/>
        <v>#N/A</v>
      </c>
      <c r="AK2025" s="351" t="e">
        <f t="shared" si="53"/>
        <v>#N/A</v>
      </c>
      <c r="AL2025" s="352">
        <f>VLOOKUP(D2025,'INTEGRATION PAR CLIENT '!A1421:J1449,10,0)</f>
        <v>0</v>
      </c>
      <c r="AM2025" s="352" t="str">
        <f>VLOOKUP(D2025,'INTEGRATION PAR CLIENT '!A1421:L1449,12,0)</f>
        <v>20%S-80%F</v>
      </c>
      <c r="AN2025" s="352">
        <f>+VLOOKUP(D2025,'INTEGRATION PAR CLIENT '!A1421:N1449,14,0)</f>
        <v>0</v>
      </c>
      <c r="AO2025" s="352">
        <f>+VLOOKUP(D2025,'INTEGRATION PAR CLIENT '!A1421:P1449,16,0)</f>
        <v>0</v>
      </c>
    </row>
    <row r="2026" spans="1:41">
      <c r="A2026" s="342">
        <v>146</v>
      </c>
      <c r="B2026" s="277" t="str">
        <f t="shared" si="40"/>
        <v>146</v>
      </c>
      <c r="C2026" s="277">
        <v>0</v>
      </c>
      <c r="D2026" s="343" t="str">
        <f>'2025'!D147</f>
        <v>FAE-25-00146</v>
      </c>
      <c r="E2026" s="277" t="str">
        <f t="shared" si="41"/>
        <v>146</v>
      </c>
      <c r="F2026" s="618" t="str">
        <f>+'2025'!G147</f>
        <v>13/05/2025</v>
      </c>
      <c r="G2026" s="619">
        <f t="shared" si="42"/>
        <v>2025</v>
      </c>
      <c r="H2026" s="383" t="s">
        <v>17342</v>
      </c>
      <c r="I2026" s="277" t="str">
        <f>+VLOOKUP(H2026,Sheet1!A:C,3,0)</f>
        <v>SODIC</v>
      </c>
      <c r="J2026" s="277" t="str">
        <f>+VLOOKUP(H2026,Sheet1!A:D,4,0)</f>
        <v>EUR</v>
      </c>
      <c r="K2026" s="278">
        <f t="shared" si="43"/>
        <v>0</v>
      </c>
      <c r="L2026" s="383"/>
      <c r="M2026" s="384">
        <v>2556.56</v>
      </c>
      <c r="N2026" s="277" t="str">
        <f>+VLOOKUP(E2026,'2025'!E:F,2,0)</f>
        <v>NON</v>
      </c>
      <c r="O2026" s="277" t="str">
        <f>VLOOKUP(E2026,'2025'!E:N,10,0)</f>
        <v>France</v>
      </c>
      <c r="P2026" s="890">
        <f>VLOOKUP(E2026,'2025'!E:O,11,0)</f>
        <v>0</v>
      </c>
      <c r="Q2026" s="347">
        <f>VLOOKUP(E2026,'2025'!E:H,4,0)</f>
        <v>1600</v>
      </c>
      <c r="R2026" s="347">
        <f>VLOOKUP(E2026,'2025'!E:I,5,0)</f>
        <v>3168</v>
      </c>
      <c r="S2026" s="347">
        <f>VLOOKUP(E2026,'2025'!E:J,6,0)</f>
        <v>0</v>
      </c>
      <c r="T2026" s="347">
        <f>VLOOKUP(E2026,'2025'!E:K,7,0)</f>
        <v>1680</v>
      </c>
      <c r="U2026" s="347">
        <f t="shared" si="44"/>
        <v>6448</v>
      </c>
      <c r="V2026" s="348"/>
      <c r="W2026" s="349" t="e">
        <f>+VLOOKUP(D2026,'JOURNAL FACTURES'!A:O,15,0)</f>
        <v>#N/A</v>
      </c>
      <c r="X2026" s="349" t="e">
        <f>VLOOKUP(D2026,'JOURNAL FACTURES'!A:P,16,0)</f>
        <v>#N/A</v>
      </c>
      <c r="Y2026" s="349" t="e">
        <f>VLOOKUP(D2026,'JOURNAL FACTURES'!A:Q,17,0)</f>
        <v>#N/A</v>
      </c>
      <c r="Z2026" s="349" t="e">
        <f>VLOOKUP(D2026,'JOURNAL FACTURES'!A:R,18,0)</f>
        <v>#N/A</v>
      </c>
      <c r="AA2026" s="350" t="e">
        <f t="shared" si="45"/>
        <v>#N/A</v>
      </c>
      <c r="AB2026" s="350" t="e">
        <f t="shared" si="46"/>
        <v>#N/A</v>
      </c>
      <c r="AC2026" s="350" t="e">
        <f t="shared" si="47"/>
        <v>#N/A</v>
      </c>
      <c r="AD2026" s="350" t="e">
        <f t="shared" si="48"/>
        <v>#N/A</v>
      </c>
      <c r="AE2026" s="349" t="e">
        <f>VLOOKUP(D2026,TRANSPORT!H:J,3,0)</f>
        <v>#N/A</v>
      </c>
      <c r="AF2026" s="349" t="e">
        <f>+VLOOKUP(D2026,TRANSPORT!N:O,2,0)</f>
        <v>#N/A</v>
      </c>
      <c r="AG2026" s="349" t="e">
        <f t="shared" si="49"/>
        <v>#N/A</v>
      </c>
      <c r="AH2026" s="351" t="e">
        <f t="shared" si="50"/>
        <v>#N/A</v>
      </c>
      <c r="AI2026" s="351" t="e">
        <f t="shared" si="51"/>
        <v>#N/A</v>
      </c>
      <c r="AJ2026" s="351" t="e">
        <f t="shared" si="52"/>
        <v>#N/A</v>
      </c>
      <c r="AK2026" s="351" t="e">
        <f t="shared" si="53"/>
        <v>#N/A</v>
      </c>
      <c r="AL2026" s="352">
        <f>VLOOKUP(D2026,'INTEGRATION PAR CLIENT '!A1422:J1450,10,0)</f>
        <v>1</v>
      </c>
      <c r="AM2026" s="352">
        <f>VLOOKUP(D2026,'INTEGRATION PAR CLIENT '!A1422:L1450,12,0)</f>
        <v>1</v>
      </c>
      <c r="AN2026" s="352">
        <f>+VLOOKUP(D2026,'INTEGRATION PAR CLIENT '!A1422:N1450,14,0)</f>
        <v>0</v>
      </c>
      <c r="AO2026" s="352">
        <f>+VLOOKUP(D2026,'INTEGRATION PAR CLIENT '!A1422:P1450,16,0)</f>
        <v>1</v>
      </c>
    </row>
    <row r="2027" spans="1:41">
      <c r="A2027" s="342">
        <v>147</v>
      </c>
      <c r="B2027" s="277" t="str">
        <f t="shared" si="40"/>
        <v>147</v>
      </c>
      <c r="C2027" s="277">
        <v>0</v>
      </c>
      <c r="D2027" s="343" t="str">
        <f>'2025'!D148</f>
        <v>FAE-25-00147</v>
      </c>
      <c r="E2027" s="277" t="str">
        <f t="shared" si="41"/>
        <v>147</v>
      </c>
      <c r="F2027" s="618" t="str">
        <f>+'2025'!G148</f>
        <v>13/05/2025</v>
      </c>
      <c r="G2027" s="619">
        <f t="shared" si="42"/>
        <v>2025</v>
      </c>
      <c r="H2027" s="383" t="s">
        <v>16444</v>
      </c>
      <c r="I2027" s="277" t="str">
        <f>+VLOOKUP(H2027,Sheet1!A:C,3,0)</f>
        <v>SAHEL INTERNATIONAL TRADE</v>
      </c>
      <c r="J2027" s="277" t="str">
        <f>+VLOOKUP(H2027,Sheet1!A:D,4,0)</f>
        <v>TND</v>
      </c>
      <c r="K2027" s="278">
        <f t="shared" si="43"/>
        <v>93134.36</v>
      </c>
      <c r="L2027" s="383">
        <v>1</v>
      </c>
      <c r="M2027" s="384">
        <v>93134.36</v>
      </c>
      <c r="N2027" s="277" t="str">
        <f>+VLOOKUP(E2027,'2025'!E:F,2,0)</f>
        <v>OUI</v>
      </c>
      <c r="O2027" s="277" t="str">
        <f>VLOOKUP(E2027,'2025'!E:N,10,0)</f>
        <v>Burkina Faso</v>
      </c>
      <c r="P2027" s="890">
        <f>VLOOKUP(E2027,'2025'!E:O,11,0)</f>
        <v>45799</v>
      </c>
      <c r="Q2027" s="347">
        <f>VLOOKUP(E2027,'2025'!E:H,4,0)</f>
        <v>7000</v>
      </c>
      <c r="R2027" s="347">
        <f>VLOOKUP(E2027,'2025'!E:I,5,0)</f>
        <v>40212</v>
      </c>
      <c r="S2027" s="347">
        <f>VLOOKUP(E2027,'2025'!E:J,6,0)</f>
        <v>5004</v>
      </c>
      <c r="T2027" s="347">
        <f>VLOOKUP(E2027,'2025'!E:K,7,0)</f>
        <v>0</v>
      </c>
      <c r="U2027" s="347">
        <f t="shared" si="44"/>
        <v>52216</v>
      </c>
      <c r="V2027" s="348"/>
      <c r="W2027" s="349" t="e">
        <f>+VLOOKUP(D2027,'JOURNAL FACTURES'!A:O,15,0)</f>
        <v>#N/A</v>
      </c>
      <c r="X2027" s="349" t="e">
        <f>VLOOKUP(D2027,'JOURNAL FACTURES'!A:P,16,0)</f>
        <v>#N/A</v>
      </c>
      <c r="Y2027" s="349" t="e">
        <f>VLOOKUP(D2027,'JOURNAL FACTURES'!A:Q,17,0)</f>
        <v>#N/A</v>
      </c>
      <c r="Z2027" s="349" t="e">
        <f>VLOOKUP(D2027,'JOURNAL FACTURES'!A:R,18,0)</f>
        <v>#N/A</v>
      </c>
      <c r="AA2027" s="350" t="e">
        <f t="shared" si="45"/>
        <v>#N/A</v>
      </c>
      <c r="AB2027" s="350" t="e">
        <f t="shared" si="46"/>
        <v>#N/A</v>
      </c>
      <c r="AC2027" s="350" t="e">
        <f t="shared" si="47"/>
        <v>#N/A</v>
      </c>
      <c r="AD2027" s="350" t="e">
        <f t="shared" si="48"/>
        <v>#N/A</v>
      </c>
      <c r="AE2027" s="349">
        <f>VLOOKUP(D2027,TRANSPORT!H:J,3,0)</f>
        <v>0</v>
      </c>
      <c r="AF2027" s="349">
        <f>+VLOOKUP(D2027,TRANSPORT!N:O,2,0)</f>
        <v>0</v>
      </c>
      <c r="AG2027" s="349">
        <f t="shared" si="49"/>
        <v>0</v>
      </c>
      <c r="AH2027" s="351" t="e">
        <f t="shared" si="50"/>
        <v>#N/A</v>
      </c>
      <c r="AI2027" s="351" t="e">
        <f t="shared" si="51"/>
        <v>#N/A</v>
      </c>
      <c r="AJ2027" s="351" t="e">
        <f t="shared" si="52"/>
        <v>#N/A</v>
      </c>
      <c r="AK2027" s="351" t="e">
        <f t="shared" si="53"/>
        <v>#N/A</v>
      </c>
      <c r="AL2027" s="352">
        <f>VLOOKUP(D2027,'INTEGRATION PAR CLIENT '!A1423:J1451,10,0)</f>
        <v>1</v>
      </c>
      <c r="AM2027" s="352" t="str">
        <f>VLOOKUP(D2027,'INTEGRATION PAR CLIENT '!A1423:L1451,12,0)</f>
        <v>'30%S-70%F</v>
      </c>
      <c r="AN2027" s="352" t="str">
        <f>+VLOOKUP(D2027,'INTEGRATION PAR CLIENT '!A1423:N1451,14,0)</f>
        <v>10%-90%</v>
      </c>
      <c r="AO2027" s="352">
        <f>+VLOOKUP(D2027,'INTEGRATION PAR CLIENT '!A1423:P1451,16,0)</f>
        <v>0</v>
      </c>
    </row>
    <row r="2028" spans="1:41">
      <c r="A2028" s="342">
        <v>148</v>
      </c>
      <c r="B2028" s="277" t="str">
        <f t="shared" ref="B2028:B2041" si="54">+RIGHT(D2028,3)</f>
        <v>148</v>
      </c>
      <c r="C2028" s="277">
        <v>0</v>
      </c>
      <c r="D2028" s="343" t="str">
        <f>'2025'!D149</f>
        <v>FAE-25-00148</v>
      </c>
      <c r="E2028" s="277" t="str">
        <f t="shared" ref="E2028:E2041" si="55">RIGHT(D2028,3)</f>
        <v>148</v>
      </c>
      <c r="F2028" s="618" t="str">
        <f>+'2025'!G149</f>
        <v>13/05/2025</v>
      </c>
      <c r="G2028" s="619">
        <f t="shared" si="42"/>
        <v>2025</v>
      </c>
      <c r="H2028" s="383" t="s">
        <v>16904</v>
      </c>
      <c r="I2028" s="277" t="str">
        <f>+VLOOKUP(H2028,Sheet1!A:C,3,0)</f>
        <v>SODIFRAM SAS</v>
      </c>
      <c r="J2028" s="277" t="str">
        <f>+VLOOKUP(H2028,Sheet1!A:D,4,0)</f>
        <v>EUR</v>
      </c>
      <c r="K2028" s="278">
        <f t="shared" ref="K2028:K2041" si="56">+L2028*M2028</f>
        <v>79098.399787000002</v>
      </c>
      <c r="L2028" s="383">
        <v>3.3791500000000001</v>
      </c>
      <c r="M2028" s="384">
        <v>23407.78</v>
      </c>
      <c r="N2028" s="277" t="str">
        <f>+VLOOKUP(E2028,'2025'!E:F,2,0)</f>
        <v>OUI</v>
      </c>
      <c r="O2028" s="277" t="str">
        <f>VLOOKUP(E2028,'2025'!E:N,10,0)</f>
        <v>Mayotte</v>
      </c>
      <c r="P2028" s="890">
        <f>VLOOKUP(E2028,'2025'!E:O,11,0)</f>
        <v>45797</v>
      </c>
      <c r="Q2028" s="347">
        <f>VLOOKUP(E2028,'2025'!E:H,4,0)</f>
        <v>0</v>
      </c>
      <c r="R2028" s="347">
        <f>VLOOKUP(E2028,'2025'!E:I,5,0)</f>
        <v>14164</v>
      </c>
      <c r="S2028" s="347">
        <f>VLOOKUP(E2028,'2025'!E:J,6,0)</f>
        <v>10556</v>
      </c>
      <c r="T2028" s="347">
        <f>VLOOKUP(E2028,'2025'!E:K,7,0)</f>
        <v>0</v>
      </c>
      <c r="U2028" s="347">
        <f t="shared" ref="U2028:U2041" si="57">SUM(Q2028:T2028)</f>
        <v>24720</v>
      </c>
      <c r="V2028" s="348"/>
      <c r="W2028" s="349" t="e">
        <f>+VLOOKUP(D2028,'JOURNAL FACTURES'!A:O,15,0)</f>
        <v>#N/A</v>
      </c>
      <c r="X2028" s="349" t="e">
        <f>VLOOKUP(D2028,'JOURNAL FACTURES'!A:P,16,0)</f>
        <v>#N/A</v>
      </c>
      <c r="Y2028" s="349" t="e">
        <f>VLOOKUP(D2028,'JOURNAL FACTURES'!A:Q,17,0)</f>
        <v>#N/A</v>
      </c>
      <c r="Z2028" s="349" t="e">
        <f>VLOOKUP(D2028,'JOURNAL FACTURES'!A:R,18,0)</f>
        <v>#N/A</v>
      </c>
      <c r="AA2028" s="350" t="e">
        <f t="shared" ref="AA2028:AA2041" si="58">+W2028/Q2028</f>
        <v>#N/A</v>
      </c>
      <c r="AB2028" s="350" t="e">
        <f t="shared" ref="AB2028:AB2041" si="59">+X2028/R2028</f>
        <v>#N/A</v>
      </c>
      <c r="AC2028" s="350" t="e">
        <f t="shared" ref="AC2028:AC2041" si="60">+Y2028/S2028</f>
        <v>#N/A</v>
      </c>
      <c r="AD2028" s="350" t="e">
        <f t="shared" ref="AD2028:AD2041" si="61">Z2028/T2028</f>
        <v>#N/A</v>
      </c>
      <c r="AE2028" s="349">
        <f>VLOOKUP(D2028,TRANSPORT!H:J,3,0)</f>
        <v>2904.96</v>
      </c>
      <c r="AF2028" s="349">
        <f>+VLOOKUP(D2028,TRANSPORT!N:O,2,0)</f>
        <v>16535.41</v>
      </c>
      <c r="AG2028" s="349">
        <f t="shared" ref="AG2028:AG2041" si="62">AF2028/U2028</f>
        <v>0.66890817152103554</v>
      </c>
      <c r="AH2028" s="351" t="e">
        <f t="shared" ref="AH2028:AH2041" si="63">AA2028-AG2028</f>
        <v>#N/A</v>
      </c>
      <c r="AI2028" s="351" t="e">
        <f t="shared" ref="AI2028:AI2041" si="64">AB2028-AG2028</f>
        <v>#N/A</v>
      </c>
      <c r="AJ2028" s="351" t="e">
        <f t="shared" ref="AJ2028:AJ2041" si="65">AC2028-AG2028</f>
        <v>#N/A</v>
      </c>
      <c r="AK2028" s="351" t="e">
        <f t="shared" ref="AK2028:AK2041" si="66">AD2028-AG2028</f>
        <v>#N/A</v>
      </c>
      <c r="AL2028" s="352">
        <f>VLOOKUP(D2028,'INTEGRATION PAR CLIENT '!A1424:J1452,10,0)</f>
        <v>0</v>
      </c>
      <c r="AM2028" s="352">
        <f>VLOOKUP(D2028,'INTEGRATION PAR CLIENT '!A1424:L1452,12,0)</f>
        <v>1</v>
      </c>
      <c r="AN2028" s="352">
        <f>+VLOOKUP(D2028,'INTEGRATION PAR CLIENT '!A1424:N1452,14,0)</f>
        <v>1</v>
      </c>
      <c r="AO2028" s="352">
        <f>+VLOOKUP(D2028,'INTEGRATION PAR CLIENT '!A1424:P1452,16,0)</f>
        <v>0</v>
      </c>
    </row>
    <row r="2029" spans="1:41">
      <c r="A2029" s="342">
        <v>149</v>
      </c>
      <c r="B2029" s="277" t="str">
        <f t="shared" si="54"/>
        <v>149</v>
      </c>
      <c r="C2029" s="277">
        <v>0</v>
      </c>
      <c r="D2029" s="343" t="str">
        <f>'2025'!D150</f>
        <v>FAE-25-00149</v>
      </c>
      <c r="E2029" s="277" t="str">
        <f t="shared" si="55"/>
        <v>149</v>
      </c>
      <c r="F2029" s="618" t="str">
        <f>+'2025'!G150</f>
        <v>13/05/2025</v>
      </c>
      <c r="G2029" s="619">
        <f t="shared" si="42"/>
        <v>2025</v>
      </c>
      <c r="H2029" s="383" t="s">
        <v>16904</v>
      </c>
      <c r="I2029" s="277" t="str">
        <f>+VLOOKUP(H2029,Sheet1!A:C,3,0)</f>
        <v>SODIFRAM SAS</v>
      </c>
      <c r="J2029" s="277" t="str">
        <f>+VLOOKUP(H2029,Sheet1!A:D,4,0)</f>
        <v>EUR</v>
      </c>
      <c r="K2029" s="278">
        <f t="shared" si="56"/>
        <v>74053.708704000004</v>
      </c>
      <c r="L2029" s="383">
        <v>3.3889499999999999</v>
      </c>
      <c r="M2029" s="384">
        <v>21851.52</v>
      </c>
      <c r="N2029" s="277" t="str">
        <f>+VLOOKUP(E2029,'2025'!E:F,2,0)</f>
        <v>OUI</v>
      </c>
      <c r="O2029" s="277" t="str">
        <f>VLOOKUP(E2029,'2025'!E:N,10,0)</f>
        <v>Mayotte</v>
      </c>
      <c r="P2029" s="890">
        <f>VLOOKUP(E2029,'2025'!E:O,11,0)</f>
        <v>45808</v>
      </c>
      <c r="Q2029" s="347">
        <f>VLOOKUP(E2029,'2025'!E:H,4,0)</f>
        <v>0</v>
      </c>
      <c r="R2029" s="347">
        <f>VLOOKUP(E2029,'2025'!E:I,5,0)</f>
        <v>14516</v>
      </c>
      <c r="S2029" s="347">
        <f>VLOOKUP(E2029,'2025'!E:J,6,0)</f>
        <v>6400</v>
      </c>
      <c r="T2029" s="347">
        <f>VLOOKUP(E2029,'2025'!E:K,7,0)</f>
        <v>0</v>
      </c>
      <c r="U2029" s="347">
        <f t="shared" si="57"/>
        <v>20916</v>
      </c>
      <c r="V2029" s="348"/>
      <c r="W2029" s="349" t="e">
        <f>+VLOOKUP(D2029,'JOURNAL FACTURES'!A:O,15,0)</f>
        <v>#N/A</v>
      </c>
      <c r="X2029" s="349" t="e">
        <f>VLOOKUP(D2029,'JOURNAL FACTURES'!A:P,16,0)</f>
        <v>#N/A</v>
      </c>
      <c r="Y2029" s="349" t="e">
        <f>VLOOKUP(D2029,'JOURNAL FACTURES'!A:Q,17,0)</f>
        <v>#N/A</v>
      </c>
      <c r="Z2029" s="349" t="e">
        <f>VLOOKUP(D2029,'JOURNAL FACTURES'!A:R,18,0)</f>
        <v>#N/A</v>
      </c>
      <c r="AA2029" s="350" t="e">
        <f t="shared" si="58"/>
        <v>#N/A</v>
      </c>
      <c r="AB2029" s="350" t="e">
        <f t="shared" si="59"/>
        <v>#N/A</v>
      </c>
      <c r="AC2029" s="350" t="e">
        <f t="shared" si="60"/>
        <v>#N/A</v>
      </c>
      <c r="AD2029" s="350" t="e">
        <f t="shared" si="61"/>
        <v>#N/A</v>
      </c>
      <c r="AE2029" s="349">
        <f>VLOOKUP(D2029,TRANSPORT!H:J,3,0)</f>
        <v>2904.96</v>
      </c>
      <c r="AF2029" s="349">
        <f>+VLOOKUP(D2029,TRANSPORT!N:O,2,0)</f>
        <v>16175.21</v>
      </c>
      <c r="AG2029" s="349">
        <f t="shared" si="62"/>
        <v>0.77334146108242485</v>
      </c>
      <c r="AH2029" s="351" t="e">
        <f t="shared" si="63"/>
        <v>#N/A</v>
      </c>
      <c r="AI2029" s="351" t="e">
        <f t="shared" si="64"/>
        <v>#N/A</v>
      </c>
      <c r="AJ2029" s="351" t="e">
        <f t="shared" si="65"/>
        <v>#N/A</v>
      </c>
      <c r="AK2029" s="351" t="e">
        <f t="shared" si="66"/>
        <v>#N/A</v>
      </c>
      <c r="AL2029" s="352">
        <f>VLOOKUP(D2029,'INTEGRATION PAR CLIENT '!A1425:J1453,10,0)</f>
        <v>0</v>
      </c>
      <c r="AM2029" s="352">
        <f>VLOOKUP(D2029,'INTEGRATION PAR CLIENT '!A1425:L1453,12,0)</f>
        <v>1</v>
      </c>
      <c r="AN2029" s="352">
        <f>+VLOOKUP(D2029,'INTEGRATION PAR CLIENT '!A1425:N1453,14,0)</f>
        <v>1</v>
      </c>
      <c r="AO2029" s="352">
        <f>+VLOOKUP(D2029,'INTEGRATION PAR CLIENT '!A1425:P1453,16,0)</f>
        <v>0</v>
      </c>
    </row>
    <row r="2030" spans="1:41">
      <c r="A2030" s="342">
        <v>150</v>
      </c>
      <c r="B2030" s="277" t="str">
        <f t="shared" si="54"/>
        <v>150</v>
      </c>
      <c r="C2030" s="277">
        <v>0</v>
      </c>
      <c r="D2030" s="343" t="str">
        <f>'2025'!D151</f>
        <v>FAE-25-00150</v>
      </c>
      <c r="E2030" s="277" t="str">
        <f t="shared" si="55"/>
        <v>150</v>
      </c>
      <c r="F2030" s="618" t="str">
        <f>+'2025'!G151</f>
        <v>13/05/2025</v>
      </c>
      <c r="G2030" s="619">
        <f t="shared" si="42"/>
        <v>2025</v>
      </c>
      <c r="H2030" s="383" t="s">
        <v>16904</v>
      </c>
      <c r="I2030" s="277" t="str">
        <f>+VLOOKUP(H2030,Sheet1!A:C,3,0)</f>
        <v>SODIFRAM SAS</v>
      </c>
      <c r="J2030" s="277" t="str">
        <f>+VLOOKUP(H2030,Sheet1!A:D,4,0)</f>
        <v>EUR</v>
      </c>
      <c r="K2030" s="278">
        <f t="shared" si="56"/>
        <v>75687.047045999992</v>
      </c>
      <c r="L2030" s="383">
        <v>3.3889499999999999</v>
      </c>
      <c r="M2030" s="384">
        <v>22333.48</v>
      </c>
      <c r="N2030" s="277" t="str">
        <f>+VLOOKUP(E2030,'2025'!E:F,2,0)</f>
        <v>OUI</v>
      </c>
      <c r="O2030" s="277" t="str">
        <f>VLOOKUP(E2030,'2025'!E:N,10,0)</f>
        <v>Mayotte</v>
      </c>
      <c r="P2030" s="890">
        <f>VLOOKUP(E2030,'2025'!E:O,11,0)</f>
        <v>45808</v>
      </c>
      <c r="Q2030" s="347">
        <f>VLOOKUP(E2030,'2025'!E:H,4,0)</f>
        <v>0</v>
      </c>
      <c r="R2030" s="347">
        <f>VLOOKUP(E2030,'2025'!E:I,5,0)</f>
        <v>15984</v>
      </c>
      <c r="S2030" s="347">
        <f>VLOOKUP(E2030,'2025'!E:J,6,0)</f>
        <v>8450</v>
      </c>
      <c r="T2030" s="347">
        <f>VLOOKUP(E2030,'2025'!E:K,7,0)</f>
        <v>0</v>
      </c>
      <c r="U2030" s="347">
        <f t="shared" si="57"/>
        <v>24434</v>
      </c>
      <c r="V2030" s="348"/>
      <c r="W2030" s="349" t="e">
        <f>+VLOOKUP(D2030,'JOURNAL FACTURES'!A:O,15,0)</f>
        <v>#N/A</v>
      </c>
      <c r="X2030" s="349" t="e">
        <f>VLOOKUP(D2030,'JOURNAL FACTURES'!A:P,16,0)</f>
        <v>#N/A</v>
      </c>
      <c r="Y2030" s="349" t="e">
        <f>VLOOKUP(D2030,'JOURNAL FACTURES'!A:Q,17,0)</f>
        <v>#N/A</v>
      </c>
      <c r="Z2030" s="349" t="e">
        <f>VLOOKUP(D2030,'JOURNAL FACTURES'!A:R,18,0)</f>
        <v>#N/A</v>
      </c>
      <c r="AA2030" s="350" t="e">
        <f t="shared" si="58"/>
        <v>#N/A</v>
      </c>
      <c r="AB2030" s="350" t="e">
        <f t="shared" si="59"/>
        <v>#N/A</v>
      </c>
      <c r="AC2030" s="350" t="e">
        <f t="shared" si="60"/>
        <v>#N/A</v>
      </c>
      <c r="AD2030" s="350" t="e">
        <f t="shared" si="61"/>
        <v>#N/A</v>
      </c>
      <c r="AE2030" s="349">
        <f>VLOOKUP(D2030,TRANSPORT!H:J,3,0)</f>
        <v>2904.96</v>
      </c>
      <c r="AF2030" s="349">
        <f>+VLOOKUP(D2030,TRANSPORT!N:O,2,0)</f>
        <v>16174.41</v>
      </c>
      <c r="AG2030" s="349">
        <f t="shared" si="62"/>
        <v>0.66196324793320782</v>
      </c>
      <c r="AH2030" s="351" t="e">
        <f t="shared" si="63"/>
        <v>#N/A</v>
      </c>
      <c r="AI2030" s="351" t="e">
        <f t="shared" si="64"/>
        <v>#N/A</v>
      </c>
      <c r="AJ2030" s="351" t="e">
        <f t="shared" si="65"/>
        <v>#N/A</v>
      </c>
      <c r="AK2030" s="351" t="e">
        <f t="shared" si="66"/>
        <v>#N/A</v>
      </c>
      <c r="AL2030" s="352">
        <f>VLOOKUP(D2030,'INTEGRATION PAR CLIENT '!A1426:J1454,10,0)</f>
        <v>0</v>
      </c>
      <c r="AM2030" s="352">
        <f>VLOOKUP(D2030,'INTEGRATION PAR CLIENT '!A1426:L1454,12,0)</f>
        <v>1</v>
      </c>
      <c r="AN2030" s="352">
        <f>+VLOOKUP(D2030,'INTEGRATION PAR CLIENT '!A1426:N1454,14,0)</f>
        <v>1</v>
      </c>
      <c r="AO2030" s="352">
        <f>+VLOOKUP(D2030,'INTEGRATION PAR CLIENT '!A1426:P1454,16,0)</f>
        <v>0</v>
      </c>
    </row>
    <row r="2031" spans="1:41">
      <c r="A2031" s="342">
        <v>151</v>
      </c>
      <c r="B2031" s="277" t="str">
        <f t="shared" si="54"/>
        <v>151</v>
      </c>
      <c r="C2031" s="277">
        <v>0</v>
      </c>
      <c r="D2031" s="343" t="str">
        <f>'2025'!D152</f>
        <v>FAE-25-00151</v>
      </c>
      <c r="E2031" s="277" t="str">
        <f t="shared" si="55"/>
        <v>151</v>
      </c>
      <c r="F2031" s="618" t="str">
        <f>+'2025'!G152</f>
        <v>13/05/2025</v>
      </c>
      <c r="G2031" s="619">
        <f t="shared" si="42"/>
        <v>2025</v>
      </c>
      <c r="H2031" s="383" t="s">
        <v>16904</v>
      </c>
      <c r="I2031" s="277" t="str">
        <f>+VLOOKUP(H2031,Sheet1!A:C,3,0)</f>
        <v>SODIFRAM SAS</v>
      </c>
      <c r="J2031" s="277" t="str">
        <f>+VLOOKUP(H2031,Sheet1!A:D,4,0)</f>
        <v>EUR</v>
      </c>
      <c r="K2031" s="278">
        <f t="shared" si="56"/>
        <v>76375.173343499991</v>
      </c>
      <c r="L2031" s="383">
        <v>3.3889499999999999</v>
      </c>
      <c r="M2031" s="384">
        <v>22536.53</v>
      </c>
      <c r="N2031" s="277" t="str">
        <f>+VLOOKUP(E2031,'2025'!E:F,2,0)</f>
        <v>OUI</v>
      </c>
      <c r="O2031" s="277" t="str">
        <f>VLOOKUP(E2031,'2025'!E:N,10,0)</f>
        <v>Mayotte</v>
      </c>
      <c r="P2031" s="890">
        <f>VLOOKUP(E2031,'2025'!E:O,11,0)</f>
        <v>45807</v>
      </c>
      <c r="Q2031" s="347">
        <f>VLOOKUP(E2031,'2025'!E:H,4,0)</f>
        <v>0</v>
      </c>
      <c r="R2031" s="347">
        <f>VLOOKUP(E2031,'2025'!E:I,5,0)</f>
        <v>15614</v>
      </c>
      <c r="S2031" s="347">
        <f>VLOOKUP(E2031,'2025'!E:J,6,0)</f>
        <v>8106</v>
      </c>
      <c r="T2031" s="347">
        <f>VLOOKUP(E2031,'2025'!E:K,7,0)</f>
        <v>0</v>
      </c>
      <c r="U2031" s="347">
        <f t="shared" si="57"/>
        <v>23720</v>
      </c>
      <c r="V2031" s="348"/>
      <c r="W2031" s="349" t="e">
        <f>+VLOOKUP(D2031,'JOURNAL FACTURES'!A:O,15,0)</f>
        <v>#N/A</v>
      </c>
      <c r="X2031" s="349" t="e">
        <f>VLOOKUP(D2031,'JOURNAL FACTURES'!A:P,16,0)</f>
        <v>#N/A</v>
      </c>
      <c r="Y2031" s="349" t="e">
        <f>VLOOKUP(D2031,'JOURNAL FACTURES'!A:Q,17,0)</f>
        <v>#N/A</v>
      </c>
      <c r="Z2031" s="349" t="e">
        <f>VLOOKUP(D2031,'JOURNAL FACTURES'!A:R,18,0)</f>
        <v>#N/A</v>
      </c>
      <c r="AA2031" s="350" t="e">
        <f t="shared" si="58"/>
        <v>#N/A</v>
      </c>
      <c r="AB2031" s="350" t="e">
        <f t="shared" si="59"/>
        <v>#N/A</v>
      </c>
      <c r="AC2031" s="350" t="e">
        <f t="shared" si="60"/>
        <v>#N/A</v>
      </c>
      <c r="AD2031" s="350" t="e">
        <f t="shared" si="61"/>
        <v>#N/A</v>
      </c>
      <c r="AE2031" s="349">
        <f>VLOOKUP(D2031,TRANSPORT!H:J,3,0)</f>
        <v>2904.96</v>
      </c>
      <c r="AF2031" s="349">
        <f>+VLOOKUP(D2031,TRANSPORT!N:O,2,0)</f>
        <v>16165.21</v>
      </c>
      <c r="AG2031" s="349">
        <f t="shared" si="62"/>
        <v>0.68150126475548056</v>
      </c>
      <c r="AH2031" s="351" t="e">
        <f t="shared" si="63"/>
        <v>#N/A</v>
      </c>
      <c r="AI2031" s="351" t="e">
        <f t="shared" si="64"/>
        <v>#N/A</v>
      </c>
      <c r="AJ2031" s="351" t="e">
        <f t="shared" si="65"/>
        <v>#N/A</v>
      </c>
      <c r="AK2031" s="351" t="e">
        <f t="shared" si="66"/>
        <v>#N/A</v>
      </c>
      <c r="AL2031" s="352">
        <f>VLOOKUP(D2031,'INTEGRATION PAR CLIENT '!A1427:J1455,10,0)</f>
        <v>0</v>
      </c>
      <c r="AM2031" s="352">
        <f>VLOOKUP(D2031,'INTEGRATION PAR CLIENT '!A1427:L1455,12,0)</f>
        <v>1</v>
      </c>
      <c r="AN2031" s="352">
        <f>+VLOOKUP(D2031,'INTEGRATION PAR CLIENT '!A1427:N1455,14,0)</f>
        <v>1</v>
      </c>
      <c r="AO2031" s="352">
        <f>+VLOOKUP(D2031,'INTEGRATION PAR CLIENT '!A1427:P1455,16,0)</f>
        <v>0</v>
      </c>
    </row>
    <row r="2032" spans="1:41">
      <c r="A2032" s="342">
        <v>152</v>
      </c>
      <c r="B2032" s="277" t="str">
        <f t="shared" si="54"/>
        <v>152</v>
      </c>
      <c r="C2032" s="277">
        <v>0</v>
      </c>
      <c r="D2032" s="343" t="str">
        <f>'2025'!D153</f>
        <v>FAE-25-00152</v>
      </c>
      <c r="E2032" s="277" t="str">
        <f t="shared" si="55"/>
        <v>152</v>
      </c>
      <c r="F2032" s="618" t="str">
        <f>+'2025'!G153</f>
        <v>13/05/2025</v>
      </c>
      <c r="G2032" s="619">
        <f t="shared" si="42"/>
        <v>2025</v>
      </c>
      <c r="H2032" s="383" t="s">
        <v>17329</v>
      </c>
      <c r="I2032" s="277" t="str">
        <f>+VLOOKUP(H2032,Sheet1!A:C,3,0)</f>
        <v>DEBENHAM</v>
      </c>
      <c r="J2032" s="277" t="str">
        <f>+VLOOKUP(H2032,Sheet1!A:D,4,0)</f>
        <v>USD</v>
      </c>
      <c r="K2032" s="278">
        <f t="shared" si="56"/>
        <v>0</v>
      </c>
      <c r="L2032" s="383"/>
      <c r="M2032" s="384">
        <v>27820</v>
      </c>
      <c r="N2032" s="277" t="str">
        <f>+VLOOKUP(E2032,'2025'!E:F,2,0)</f>
        <v>NON</v>
      </c>
      <c r="O2032" s="277" t="str">
        <f>VLOOKUP(E2032,'2025'!E:N,10,0)</f>
        <v>Burandi</v>
      </c>
      <c r="P2032" s="890">
        <f>VLOOKUP(E2032,'2025'!E:O,11,0)</f>
        <v>0</v>
      </c>
      <c r="Q2032" s="347">
        <f>VLOOKUP(E2032,'2025'!E:H,4,0)</f>
        <v>0</v>
      </c>
      <c r="R2032" s="347">
        <f>VLOOKUP(E2032,'2025'!E:I,5,0)</f>
        <v>0</v>
      </c>
      <c r="S2032" s="347">
        <f>VLOOKUP(E2032,'2025'!E:J,6,0)</f>
        <v>52000</v>
      </c>
      <c r="T2032" s="347">
        <f>VLOOKUP(E2032,'2025'!E:K,7,0)</f>
        <v>0</v>
      </c>
      <c r="U2032" s="347">
        <f t="shared" si="57"/>
        <v>52000</v>
      </c>
      <c r="V2032" s="348"/>
      <c r="W2032" s="349" t="e">
        <f>+VLOOKUP(D2032,'JOURNAL FACTURES'!A:O,15,0)</f>
        <v>#N/A</v>
      </c>
      <c r="X2032" s="349" t="e">
        <f>VLOOKUP(D2032,'JOURNAL FACTURES'!A:P,16,0)</f>
        <v>#N/A</v>
      </c>
      <c r="Y2032" s="349" t="e">
        <f>VLOOKUP(D2032,'JOURNAL FACTURES'!A:Q,17,0)</f>
        <v>#N/A</v>
      </c>
      <c r="Z2032" s="349" t="e">
        <f>VLOOKUP(D2032,'JOURNAL FACTURES'!A:R,18,0)</f>
        <v>#N/A</v>
      </c>
      <c r="AA2032" s="350" t="e">
        <f t="shared" si="58"/>
        <v>#N/A</v>
      </c>
      <c r="AB2032" s="350" t="e">
        <f t="shared" si="59"/>
        <v>#N/A</v>
      </c>
      <c r="AC2032" s="350" t="e">
        <f t="shared" si="60"/>
        <v>#N/A</v>
      </c>
      <c r="AD2032" s="350" t="e">
        <f t="shared" si="61"/>
        <v>#N/A</v>
      </c>
      <c r="AE2032" s="349" t="e">
        <f>VLOOKUP(D2032,TRANSPORT!H:J,3,0)</f>
        <v>#N/A</v>
      </c>
      <c r="AF2032" s="349" t="e">
        <f>+VLOOKUP(D2032,TRANSPORT!N:O,2,0)</f>
        <v>#N/A</v>
      </c>
      <c r="AG2032" s="349" t="e">
        <f t="shared" si="62"/>
        <v>#N/A</v>
      </c>
      <c r="AH2032" s="351" t="e">
        <f t="shared" si="63"/>
        <v>#N/A</v>
      </c>
      <c r="AI2032" s="351" t="e">
        <f t="shared" si="64"/>
        <v>#N/A</v>
      </c>
      <c r="AJ2032" s="351" t="e">
        <f t="shared" si="65"/>
        <v>#N/A</v>
      </c>
      <c r="AK2032" s="351" t="e">
        <f t="shared" si="66"/>
        <v>#N/A</v>
      </c>
      <c r="AL2032" s="352">
        <f>VLOOKUP(D2032,'INTEGRATION PAR CLIENT '!A1428:J1456,10,0)</f>
        <v>0</v>
      </c>
      <c r="AM2032" s="352">
        <f>VLOOKUP(D2032,'INTEGRATION PAR CLIENT '!A1428:L1456,12,0)</f>
        <v>0</v>
      </c>
      <c r="AN2032" s="352" t="str">
        <f>+VLOOKUP(D2032,'INTEGRATION PAR CLIENT '!A1428:N1456,14,0)</f>
        <v>10%-90%</v>
      </c>
      <c r="AO2032" s="352">
        <f>+VLOOKUP(D2032,'INTEGRATION PAR CLIENT '!A1428:P1456,16,0)</f>
        <v>0</v>
      </c>
    </row>
    <row r="2033" spans="1:41">
      <c r="A2033" s="342">
        <v>153</v>
      </c>
      <c r="B2033" s="277" t="str">
        <f t="shared" si="54"/>
        <v>153</v>
      </c>
      <c r="C2033" s="277">
        <v>0</v>
      </c>
      <c r="D2033" s="343" t="str">
        <f>'2025'!D154</f>
        <v>FAE-25-00153</v>
      </c>
      <c r="E2033" s="277" t="str">
        <f t="shared" si="55"/>
        <v>153</v>
      </c>
      <c r="F2033" s="618" t="str">
        <f>+'2025'!G154</f>
        <v>14/05/2025</v>
      </c>
      <c r="G2033" s="619">
        <f t="shared" si="42"/>
        <v>2025</v>
      </c>
      <c r="H2033" s="383" t="s">
        <v>17390</v>
      </c>
      <c r="I2033" s="277" t="str">
        <f>+VLOOKUP(H2033,Sheet1!A:C,3,0)</f>
        <v>ALMOSTAWRED ALJADEED CO. FOR IMPORT</v>
      </c>
      <c r="J2033" s="277" t="str">
        <f>+VLOOKUP(H2033,Sheet1!A:D,4,0)</f>
        <v>USD</v>
      </c>
      <c r="K2033" s="278">
        <f t="shared" si="56"/>
        <v>82744.462500000009</v>
      </c>
      <c r="L2033" s="383">
        <v>3.0012500000000002</v>
      </c>
      <c r="M2033" s="384">
        <v>27570</v>
      </c>
      <c r="N2033" s="277" t="str">
        <f>+VLOOKUP(E2033,'2025'!E:F,2,0)</f>
        <v>OUI</v>
      </c>
      <c r="O2033" s="277" t="str">
        <f>VLOOKUP(E2033,'2025'!E:N,10,0)</f>
        <v>Libye</v>
      </c>
      <c r="P2033" s="890">
        <f>VLOOKUP(E2033,'2025'!E:O,11,0)</f>
        <v>45799</v>
      </c>
      <c r="Q2033" s="347">
        <f>VLOOKUP(E2033,'2025'!E:H,4,0)</f>
        <v>24000</v>
      </c>
      <c r="R2033" s="347">
        <f>VLOOKUP(E2033,'2025'!E:I,5,0)</f>
        <v>0</v>
      </c>
      <c r="S2033" s="347">
        <f>VLOOKUP(E2033,'2025'!E:J,6,0)</f>
        <v>0</v>
      </c>
      <c r="T2033" s="347">
        <f>VLOOKUP(E2033,'2025'!E:K,7,0)</f>
        <v>0</v>
      </c>
      <c r="U2033" s="347">
        <f t="shared" si="57"/>
        <v>24000</v>
      </c>
      <c r="V2033" s="348"/>
      <c r="W2033" s="349" t="e">
        <f>+VLOOKUP(D2033,'JOURNAL FACTURES'!A:O,15,0)</f>
        <v>#N/A</v>
      </c>
      <c r="X2033" s="349" t="e">
        <f>VLOOKUP(D2033,'JOURNAL FACTURES'!A:P,16,0)</f>
        <v>#N/A</v>
      </c>
      <c r="Y2033" s="349" t="e">
        <f>VLOOKUP(D2033,'JOURNAL FACTURES'!A:Q,17,0)</f>
        <v>#N/A</v>
      </c>
      <c r="Z2033" s="349" t="e">
        <f>VLOOKUP(D2033,'JOURNAL FACTURES'!A:R,18,0)</f>
        <v>#N/A</v>
      </c>
      <c r="AA2033" s="350" t="e">
        <f t="shared" si="58"/>
        <v>#N/A</v>
      </c>
      <c r="AB2033" s="350" t="e">
        <f t="shared" si="59"/>
        <v>#N/A</v>
      </c>
      <c r="AC2033" s="350" t="e">
        <f t="shared" si="60"/>
        <v>#N/A</v>
      </c>
      <c r="AD2033" s="350" t="e">
        <f t="shared" si="61"/>
        <v>#N/A</v>
      </c>
      <c r="AE2033" s="349">
        <f>VLOOKUP(D2033,TRANSPORT!H:J,3,0)</f>
        <v>0</v>
      </c>
      <c r="AF2033" s="349">
        <f>+VLOOKUP(D2033,TRANSPORT!N:O,2,0)</f>
        <v>0</v>
      </c>
      <c r="AG2033" s="349">
        <f t="shared" si="62"/>
        <v>0</v>
      </c>
      <c r="AH2033" s="351" t="e">
        <f t="shared" si="63"/>
        <v>#N/A</v>
      </c>
      <c r="AI2033" s="351" t="e">
        <f t="shared" si="64"/>
        <v>#N/A</v>
      </c>
      <c r="AJ2033" s="351" t="e">
        <f t="shared" si="65"/>
        <v>#N/A</v>
      </c>
      <c r="AK2033" s="351" t="e">
        <f t="shared" si="66"/>
        <v>#N/A</v>
      </c>
      <c r="AL2033" s="352">
        <f>VLOOKUP(D2033,'INTEGRATION PAR CLIENT '!A1429:J1457,10,0)</f>
        <v>1</v>
      </c>
      <c r="AM2033" s="352">
        <f>VLOOKUP(D2033,'INTEGRATION PAR CLIENT '!A1429:L1457,12,0)</f>
        <v>0</v>
      </c>
      <c r="AN2033" s="352">
        <f>+VLOOKUP(D2033,'INTEGRATION PAR CLIENT '!A1429:N1457,14,0)</f>
        <v>0</v>
      </c>
      <c r="AO2033" s="352">
        <f>+VLOOKUP(D2033,'INTEGRATION PAR CLIENT '!A1429:P1457,16,0)</f>
        <v>0</v>
      </c>
    </row>
    <row r="2034" spans="1:41">
      <c r="A2034" s="342">
        <v>154</v>
      </c>
      <c r="B2034" s="277" t="str">
        <f t="shared" si="54"/>
        <v>154</v>
      </c>
      <c r="C2034" s="277">
        <v>0</v>
      </c>
      <c r="D2034" s="343" t="str">
        <f>'2025'!D155</f>
        <v>FAE-25-00154</v>
      </c>
      <c r="E2034" s="277" t="str">
        <f t="shared" si="55"/>
        <v>154</v>
      </c>
      <c r="F2034" s="618" t="str">
        <f>+'2025'!G155</f>
        <v>16/05/2025</v>
      </c>
      <c r="G2034" s="619">
        <f t="shared" si="42"/>
        <v>2025</v>
      </c>
      <c r="H2034" s="383" t="s">
        <v>16700</v>
      </c>
      <c r="I2034" s="277" t="str">
        <f>+VLOOKUP(H2034,Sheet1!A:C,3,0)</f>
        <v>JP BEEMSTERBOER BV</v>
      </c>
      <c r="J2034" s="277" t="str">
        <f>+VLOOKUP(H2034,Sheet1!A:D,4,0)</f>
        <v>USD</v>
      </c>
      <c r="K2034" s="278">
        <f t="shared" si="56"/>
        <v>256642.70592000001</v>
      </c>
      <c r="L2034" s="383">
        <v>3.3891499999999999</v>
      </c>
      <c r="M2034" s="384">
        <v>75724.800000000003</v>
      </c>
      <c r="N2034" s="277" t="str">
        <f>+VLOOKUP(E2034,'2025'!E:F,2,0)</f>
        <v>OUI</v>
      </c>
      <c r="O2034" s="277" t="str">
        <f>VLOOKUP(E2034,'2025'!E:N,10,0)</f>
        <v>Sierra Leone</v>
      </c>
      <c r="P2034" s="890">
        <f>VLOOKUP(E2034,'2025'!E:O,11,0)</f>
        <v>45804</v>
      </c>
      <c r="Q2034" s="347">
        <f>VLOOKUP(E2034,'2025'!E:H,4,0)</f>
        <v>110040</v>
      </c>
      <c r="R2034" s="347">
        <f>VLOOKUP(E2034,'2025'!E:I,5,0)</f>
        <v>0</v>
      </c>
      <c r="S2034" s="347">
        <f>VLOOKUP(E2034,'2025'!E:J,6,0)</f>
        <v>0</v>
      </c>
      <c r="T2034" s="347">
        <f>VLOOKUP(E2034,'2025'!E:K,7,0)</f>
        <v>0</v>
      </c>
      <c r="U2034" s="347">
        <f t="shared" si="57"/>
        <v>110040</v>
      </c>
      <c r="V2034" s="348"/>
      <c r="W2034" s="349" t="e">
        <f>+VLOOKUP(D2034,'JOURNAL FACTURES'!A:O,15,0)</f>
        <v>#N/A</v>
      </c>
      <c r="X2034" s="349" t="e">
        <f>VLOOKUP(D2034,'JOURNAL FACTURES'!A:P,16,0)</f>
        <v>#N/A</v>
      </c>
      <c r="Y2034" s="349" t="e">
        <f>VLOOKUP(D2034,'JOURNAL FACTURES'!A:Q,17,0)</f>
        <v>#N/A</v>
      </c>
      <c r="Z2034" s="349" t="e">
        <f>VLOOKUP(D2034,'JOURNAL FACTURES'!A:R,18,0)</f>
        <v>#N/A</v>
      </c>
      <c r="AA2034" s="350" t="e">
        <f t="shared" si="58"/>
        <v>#N/A</v>
      </c>
      <c r="AB2034" s="350" t="e">
        <f t="shared" si="59"/>
        <v>#N/A</v>
      </c>
      <c r="AC2034" s="350" t="e">
        <f t="shared" si="60"/>
        <v>#N/A</v>
      </c>
      <c r="AD2034" s="350" t="e">
        <f t="shared" si="61"/>
        <v>#N/A</v>
      </c>
      <c r="AE2034" s="349">
        <f>VLOOKUP(D2034,TRANSPORT!H:J,3,0)</f>
        <v>4965.4949999999999</v>
      </c>
      <c r="AF2034" s="349">
        <f>+VLOOKUP(D2034,TRANSPORT!N:O,2,0)</f>
        <v>31695.974999999999</v>
      </c>
      <c r="AG2034" s="349">
        <f t="shared" si="62"/>
        <v>0.28804048527808068</v>
      </c>
      <c r="AH2034" s="351" t="e">
        <f t="shared" si="63"/>
        <v>#N/A</v>
      </c>
      <c r="AI2034" s="351" t="e">
        <f t="shared" si="64"/>
        <v>#N/A</v>
      </c>
      <c r="AJ2034" s="351" t="e">
        <f t="shared" si="65"/>
        <v>#N/A</v>
      </c>
      <c r="AK2034" s="351" t="e">
        <f t="shared" si="66"/>
        <v>#N/A</v>
      </c>
      <c r="AL2034" s="352">
        <f>VLOOKUP(D2034,'INTEGRATION PAR CLIENT '!A1430:J1458,10,0)</f>
        <v>1</v>
      </c>
      <c r="AM2034" s="352">
        <f>VLOOKUP(D2034,'INTEGRATION PAR CLIENT '!A1430:L1458,12,0)</f>
        <v>0</v>
      </c>
      <c r="AN2034" s="352">
        <f>+VLOOKUP(D2034,'INTEGRATION PAR CLIENT '!A1430:N1458,14,0)</f>
        <v>0</v>
      </c>
      <c r="AO2034" s="352">
        <f>+VLOOKUP(D2034,'INTEGRATION PAR CLIENT '!A1430:P1458,16,0)</f>
        <v>0</v>
      </c>
    </row>
    <row r="2035" spans="1:41">
      <c r="A2035" s="342">
        <v>155</v>
      </c>
      <c r="B2035" s="277" t="str">
        <f t="shared" si="54"/>
        <v>155</v>
      </c>
      <c r="C2035" s="277">
        <v>0</v>
      </c>
      <c r="D2035" s="343" t="str">
        <f>'2025'!D156</f>
        <v>FAE-25-00155</v>
      </c>
      <c r="E2035" s="277" t="str">
        <f t="shared" si="55"/>
        <v>155</v>
      </c>
      <c r="F2035" s="618" t="str">
        <f>+'2025'!G156</f>
        <v>16/05/2025</v>
      </c>
      <c r="G2035" s="619">
        <f t="shared" si="42"/>
        <v>2025</v>
      </c>
      <c r="H2035" s="383" t="s">
        <v>17402</v>
      </c>
      <c r="I2035" s="277" t="str">
        <f>+VLOOKUP(H2035,Sheet1!A:C,3,0)</f>
        <v>UBL</v>
      </c>
      <c r="J2035" s="277" t="str">
        <f>+VLOOKUP(H2035,Sheet1!A:D,4,0)</f>
        <v>USD</v>
      </c>
      <c r="K2035" s="278">
        <f t="shared" si="56"/>
        <v>66696.693159999995</v>
      </c>
      <c r="L2035" s="383">
        <v>2.9778500000000001</v>
      </c>
      <c r="M2035" s="384">
        <v>22397.599999999999</v>
      </c>
      <c r="N2035" s="277" t="str">
        <f>+VLOOKUP(E2035,'2025'!E:F,2,0)</f>
        <v>OUI</v>
      </c>
      <c r="O2035" s="277" t="str">
        <f>VLOOKUP(E2035,'2025'!E:N,10,0)</f>
        <v>Qatar</v>
      </c>
      <c r="P2035" s="890">
        <f>VLOOKUP(E2035,'2025'!E:O,11,0)</f>
        <v>45805</v>
      </c>
      <c r="Q2035" s="347">
        <f>VLOOKUP(E2035,'2025'!E:H,4,0)</f>
        <v>0</v>
      </c>
      <c r="R2035" s="347">
        <f>VLOOKUP(E2035,'2025'!E:I,5,0)</f>
        <v>0</v>
      </c>
      <c r="S2035" s="347">
        <f>VLOOKUP(E2035,'2025'!E:J,6,0)</f>
        <v>27840</v>
      </c>
      <c r="T2035" s="347">
        <f>VLOOKUP(E2035,'2025'!E:K,7,0)</f>
        <v>0</v>
      </c>
      <c r="U2035" s="347">
        <f t="shared" si="57"/>
        <v>27840</v>
      </c>
      <c r="V2035" s="348"/>
      <c r="W2035" s="349" t="e">
        <f>+VLOOKUP(D2035,'JOURNAL FACTURES'!A:O,15,0)</f>
        <v>#N/A</v>
      </c>
      <c r="X2035" s="349" t="e">
        <f>VLOOKUP(D2035,'JOURNAL FACTURES'!A:P,16,0)</f>
        <v>#N/A</v>
      </c>
      <c r="Y2035" s="349" t="e">
        <f>VLOOKUP(D2035,'JOURNAL FACTURES'!A:Q,17,0)</f>
        <v>#N/A</v>
      </c>
      <c r="Z2035" s="349" t="e">
        <f>VLOOKUP(D2035,'JOURNAL FACTURES'!A:R,18,0)</f>
        <v>#N/A</v>
      </c>
      <c r="AA2035" s="350" t="e">
        <f t="shared" si="58"/>
        <v>#N/A</v>
      </c>
      <c r="AB2035" s="350" t="e">
        <f t="shared" si="59"/>
        <v>#N/A</v>
      </c>
      <c r="AC2035" s="350" t="e">
        <f t="shared" si="60"/>
        <v>#N/A</v>
      </c>
      <c r="AD2035" s="350" t="e">
        <f t="shared" si="61"/>
        <v>#N/A</v>
      </c>
      <c r="AE2035" s="349">
        <f>VLOOKUP(D2035,TRANSPORT!H:J,3,0)</f>
        <v>387.09450000000004</v>
      </c>
      <c r="AF2035" s="349">
        <f>+VLOOKUP(D2035,TRANSPORT!N:O,2,0)</f>
        <v>5043.9889999999996</v>
      </c>
      <c r="AG2035" s="349">
        <f t="shared" si="62"/>
        <v>0.18117776580459768</v>
      </c>
      <c r="AH2035" s="351" t="e">
        <f t="shared" si="63"/>
        <v>#N/A</v>
      </c>
      <c r="AI2035" s="351" t="e">
        <f t="shared" si="64"/>
        <v>#N/A</v>
      </c>
      <c r="AJ2035" s="351" t="e">
        <f t="shared" si="65"/>
        <v>#N/A</v>
      </c>
      <c r="AK2035" s="351" t="e">
        <f t="shared" si="66"/>
        <v>#N/A</v>
      </c>
      <c r="AL2035" s="352">
        <f>VLOOKUP(D2035,'INTEGRATION PAR CLIENT '!A1431:J1459,10,0)</f>
        <v>0</v>
      </c>
      <c r="AM2035" s="352">
        <f>VLOOKUP(D2035,'INTEGRATION PAR CLIENT '!A1431:L1459,12,0)</f>
        <v>0</v>
      </c>
      <c r="AN2035" s="352">
        <f>+VLOOKUP(D2035,'INTEGRATION PAR CLIENT '!A1431:N1459,14,0)</f>
        <v>1</v>
      </c>
      <c r="AO2035" s="352">
        <f>+VLOOKUP(D2035,'INTEGRATION PAR CLIENT '!A1431:P1459,16,0)</f>
        <v>0</v>
      </c>
    </row>
    <row r="2036" spans="1:41">
      <c r="A2036" s="342">
        <v>156</v>
      </c>
      <c r="B2036" s="277" t="str">
        <f t="shared" si="54"/>
        <v>156</v>
      </c>
      <c r="C2036" s="277">
        <v>0</v>
      </c>
      <c r="D2036" s="343" t="str">
        <f>'2025'!D157</f>
        <v>FAE-25-00156</v>
      </c>
      <c r="E2036" s="277" t="str">
        <f t="shared" si="55"/>
        <v>156</v>
      </c>
      <c r="F2036" s="618" t="str">
        <f>+'2025'!G157</f>
        <v>26/05/2025</v>
      </c>
      <c r="G2036" s="619">
        <f t="shared" si="42"/>
        <v>2025</v>
      </c>
      <c r="H2036" s="383" t="s">
        <v>17342</v>
      </c>
      <c r="I2036" s="277" t="str">
        <f>+VLOOKUP(H2036,Sheet1!A:C,3,0)</f>
        <v>SODIC</v>
      </c>
      <c r="J2036" s="277" t="str">
        <f>+VLOOKUP(H2036,Sheet1!A:D,4,0)</f>
        <v>EUR</v>
      </c>
      <c r="K2036" s="278">
        <f t="shared" si="56"/>
        <v>61789.849697999998</v>
      </c>
      <c r="L2036" s="383">
        <v>3.3914</v>
      </c>
      <c r="M2036" s="384">
        <v>18219.57</v>
      </c>
      <c r="N2036" s="277" t="str">
        <f>+VLOOKUP(E2036,'2025'!E:F,2,0)</f>
        <v>OUI</v>
      </c>
      <c r="O2036" s="277" t="str">
        <f>VLOOKUP(E2036,'2025'!E:N,10,0)</f>
        <v>France</v>
      </c>
      <c r="P2036" s="890">
        <f>VLOOKUP(E2036,'2025'!E:O,11,0)</f>
        <v>45806</v>
      </c>
      <c r="Q2036" s="347">
        <f>VLOOKUP(E2036,'2025'!E:H,4,0)</f>
        <v>1600</v>
      </c>
      <c r="R2036" s="347">
        <f>VLOOKUP(E2036,'2025'!E:I,5,0)</f>
        <v>28622</v>
      </c>
      <c r="S2036" s="347">
        <f>VLOOKUP(E2036,'2025'!E:J,6,0)</f>
        <v>8400</v>
      </c>
      <c r="T2036" s="347">
        <f>VLOOKUP(E2036,'2025'!E:K,7,0)</f>
        <v>3800</v>
      </c>
      <c r="U2036" s="347">
        <f t="shared" si="57"/>
        <v>42422</v>
      </c>
      <c r="V2036" s="348"/>
      <c r="W2036" s="349" t="e">
        <f>+VLOOKUP(D2036,'JOURNAL FACTURES'!A:O,15,0)</f>
        <v>#N/A</v>
      </c>
      <c r="X2036" s="349" t="e">
        <f>VLOOKUP(D2036,'JOURNAL FACTURES'!A:P,16,0)</f>
        <v>#N/A</v>
      </c>
      <c r="Y2036" s="349" t="e">
        <f>VLOOKUP(D2036,'JOURNAL FACTURES'!A:Q,17,0)</f>
        <v>#N/A</v>
      </c>
      <c r="Z2036" s="349" t="e">
        <f>VLOOKUP(D2036,'JOURNAL FACTURES'!A:R,18,0)</f>
        <v>#N/A</v>
      </c>
      <c r="AA2036" s="350" t="e">
        <f t="shared" si="58"/>
        <v>#N/A</v>
      </c>
      <c r="AB2036" s="350" t="e">
        <f t="shared" si="59"/>
        <v>#N/A</v>
      </c>
      <c r="AC2036" s="350" t="e">
        <f t="shared" si="60"/>
        <v>#N/A</v>
      </c>
      <c r="AD2036" s="350" t="e">
        <f t="shared" si="61"/>
        <v>#N/A</v>
      </c>
      <c r="AE2036" s="349">
        <f>VLOOKUP(D2036,TRANSPORT!H:J,3,0)</f>
        <v>2056.5038</v>
      </c>
      <c r="AF2036" s="349">
        <f>+VLOOKUP(D2036,TRANSPORT!N:O,2,0)</f>
        <v>22935.360000000001</v>
      </c>
      <c r="AG2036" s="349">
        <f t="shared" si="62"/>
        <v>0.54064777709678946</v>
      </c>
      <c r="AH2036" s="351" t="e">
        <f t="shared" si="63"/>
        <v>#N/A</v>
      </c>
      <c r="AI2036" s="351" t="e">
        <f t="shared" si="64"/>
        <v>#N/A</v>
      </c>
      <c r="AJ2036" s="351" t="e">
        <f t="shared" si="65"/>
        <v>#N/A</v>
      </c>
      <c r="AK2036" s="351" t="e">
        <f t="shared" si="66"/>
        <v>#N/A</v>
      </c>
      <c r="AL2036" s="352">
        <f>VLOOKUP(D2036,'INTEGRATION PAR CLIENT '!A1432:J1460,10,0)</f>
        <v>1</v>
      </c>
      <c r="AM2036" s="352">
        <f>VLOOKUP(D2036,'INTEGRATION PAR CLIENT '!A1432:L1460,12,0)</f>
        <v>1</v>
      </c>
      <c r="AN2036" s="352">
        <f>+VLOOKUP(D2036,'INTEGRATION PAR CLIENT '!A1432:N1460,14,0)</f>
        <v>1</v>
      </c>
      <c r="AO2036" s="352">
        <f>+VLOOKUP(D2036,'INTEGRATION PAR CLIENT '!A1432:P1460,16,0)</f>
        <v>1</v>
      </c>
    </row>
    <row r="2037" spans="1:41">
      <c r="A2037" s="342">
        <v>157</v>
      </c>
      <c r="B2037" s="277" t="str">
        <f t="shared" si="54"/>
        <v>157</v>
      </c>
      <c r="C2037" s="277">
        <v>0</v>
      </c>
      <c r="D2037" s="343" t="str">
        <f>'2025'!D158</f>
        <v>FAE-25-00157</v>
      </c>
      <c r="E2037" s="277" t="str">
        <f t="shared" si="55"/>
        <v>157</v>
      </c>
      <c r="F2037" s="972">
        <v>45817</v>
      </c>
      <c r="G2037" s="619">
        <f t="shared" si="42"/>
        <v>2025</v>
      </c>
      <c r="H2037" s="383" t="s">
        <v>17390</v>
      </c>
      <c r="I2037" s="277" t="str">
        <f>+VLOOKUP(H2037,Sheet1!A:C,3,0)</f>
        <v>ALMOSTAWRED ALJADEED CO. FOR IMPORT</v>
      </c>
      <c r="J2037" s="277" t="str">
        <f>+VLOOKUP(H2037,Sheet1!A:D,4,0)</f>
        <v>USD</v>
      </c>
      <c r="K2037" s="278">
        <f t="shared" si="56"/>
        <v>79316.1875</v>
      </c>
      <c r="L2037" s="383">
        <v>2.9512999999999998</v>
      </c>
      <c r="M2037" s="384">
        <v>26875</v>
      </c>
      <c r="N2037" s="277" t="str">
        <f>+VLOOKUP(E2037,'2025'!E:F,2,0)</f>
        <v>OUI</v>
      </c>
      <c r="O2037" s="277" t="str">
        <f>VLOOKUP(E2037,'2025'!E:N,10,0)</f>
        <v>Libye</v>
      </c>
      <c r="P2037" s="890">
        <f>VLOOKUP(E2037,'2025'!E:O,11,0)</f>
        <v>45831</v>
      </c>
      <c r="Q2037" s="347">
        <f>VLOOKUP(E2037,'2025'!E:H,4,0)</f>
        <v>0</v>
      </c>
      <c r="R2037" s="347">
        <f>VLOOKUP(E2037,'2025'!E:I,5,0)</f>
        <v>0</v>
      </c>
      <c r="S2037" s="347">
        <f>VLOOKUP(E2037,'2025'!E:J,6,0)</f>
        <v>0</v>
      </c>
      <c r="T2037" s="347">
        <f>VLOOKUP(E2037,'2025'!E:K,7,0)</f>
        <v>16250</v>
      </c>
      <c r="U2037" s="347">
        <f t="shared" si="57"/>
        <v>16250</v>
      </c>
      <c r="V2037" s="348"/>
      <c r="W2037" s="349" t="e">
        <f>+VLOOKUP(D2037,'JOURNAL FACTURES'!A:O,15,0)</f>
        <v>#N/A</v>
      </c>
      <c r="X2037" s="349" t="e">
        <f>VLOOKUP(D2037,'JOURNAL FACTURES'!A:P,16,0)</f>
        <v>#N/A</v>
      </c>
      <c r="Y2037" s="349" t="e">
        <f>VLOOKUP(D2037,'JOURNAL FACTURES'!A:Q,17,0)</f>
        <v>#N/A</v>
      </c>
      <c r="Z2037" s="349" t="e">
        <f>VLOOKUP(D2037,'JOURNAL FACTURES'!A:R,18,0)</f>
        <v>#N/A</v>
      </c>
      <c r="AA2037" s="350" t="e">
        <f t="shared" si="58"/>
        <v>#N/A</v>
      </c>
      <c r="AB2037" s="350" t="e">
        <f t="shared" si="59"/>
        <v>#N/A</v>
      </c>
      <c r="AC2037" s="350" t="e">
        <f t="shared" si="60"/>
        <v>#N/A</v>
      </c>
      <c r="AD2037" s="350" t="e">
        <f t="shared" si="61"/>
        <v>#N/A</v>
      </c>
      <c r="AE2037" s="349">
        <f>VLOOKUP(D2037,TRANSPORT!H:J,3,0)</f>
        <v>0</v>
      </c>
      <c r="AF2037" s="349">
        <f>+VLOOKUP(D2037,TRANSPORT!N:O,2,0)</f>
        <v>0</v>
      </c>
      <c r="AG2037" s="349">
        <f t="shared" si="62"/>
        <v>0</v>
      </c>
      <c r="AH2037" s="351" t="e">
        <f t="shared" si="63"/>
        <v>#N/A</v>
      </c>
      <c r="AI2037" s="351" t="e">
        <f t="shared" si="64"/>
        <v>#N/A</v>
      </c>
      <c r="AJ2037" s="351" t="e">
        <f t="shared" si="65"/>
        <v>#N/A</v>
      </c>
      <c r="AK2037" s="351" t="e">
        <f t="shared" si="66"/>
        <v>#N/A</v>
      </c>
      <c r="AL2037" s="352">
        <f>VLOOKUP(D2037,'INTEGRATION PAR CLIENT '!A1433:J1461,10,0)</f>
        <v>0</v>
      </c>
      <c r="AM2037" s="352">
        <f>VLOOKUP(D2037,'INTEGRATION PAR CLIENT '!A1433:L1461,12,0)</f>
        <v>0</v>
      </c>
      <c r="AN2037" s="352">
        <f>+VLOOKUP(D2037,'INTEGRATION PAR CLIENT '!A1433:N1461,14,0)</f>
        <v>0</v>
      </c>
      <c r="AO2037" s="352">
        <f>+VLOOKUP(D2037,'INTEGRATION PAR CLIENT '!A1433:P1461,16,0)</f>
        <v>1</v>
      </c>
    </row>
    <row r="2038" spans="1:41">
      <c r="A2038" s="342">
        <v>158</v>
      </c>
      <c r="B2038" s="277" t="str">
        <f t="shared" si="54"/>
        <v>158</v>
      </c>
      <c r="C2038" s="277">
        <v>0</v>
      </c>
      <c r="D2038" s="343" t="str">
        <f>'2025'!D159</f>
        <v>FAE-25-00158</v>
      </c>
      <c r="E2038" s="277" t="str">
        <f t="shared" si="55"/>
        <v>158</v>
      </c>
      <c r="F2038" s="972">
        <v>45817</v>
      </c>
      <c r="G2038" s="619">
        <f t="shared" si="42"/>
        <v>2025</v>
      </c>
      <c r="H2038" s="383" t="s">
        <v>17376</v>
      </c>
      <c r="I2038" s="277" t="str">
        <f>+VLOOKUP(H2038,Sheet1!A:C,3,0)</f>
        <v>STE AL AKIL</v>
      </c>
      <c r="J2038" s="277" t="str">
        <f>+VLOOKUP(H2038,Sheet1!A:D,4,0)</f>
        <v>TND</v>
      </c>
      <c r="K2038" s="278">
        <f t="shared" si="56"/>
        <v>404022.38</v>
      </c>
      <c r="L2038" s="383">
        <v>1</v>
      </c>
      <c r="M2038" s="384">
        <v>404022.38</v>
      </c>
      <c r="N2038" s="277" t="str">
        <f>+VLOOKUP(E2038,'2025'!E:F,2,0)</f>
        <v>OUI</v>
      </c>
      <c r="O2038" s="277" t="str">
        <f>VLOOKUP(E2038,'2025'!E:N,10,0)</f>
        <v>Libye</v>
      </c>
      <c r="P2038" s="890">
        <f>VLOOKUP(E2038,'2025'!E:O,11,0)</f>
        <v>45824</v>
      </c>
      <c r="Q2038" s="347">
        <f>VLOOKUP(E2038,'2025'!E:H,4,0)</f>
        <v>200011</v>
      </c>
      <c r="R2038" s="347">
        <f>VLOOKUP(E2038,'2025'!E:I,5,0)</f>
        <v>0</v>
      </c>
      <c r="S2038" s="347">
        <f>VLOOKUP(E2038,'2025'!E:J,6,0)</f>
        <v>0</v>
      </c>
      <c r="T2038" s="347">
        <f>VLOOKUP(E2038,'2025'!E:K,7,0)</f>
        <v>0</v>
      </c>
      <c r="U2038" s="347">
        <f t="shared" si="57"/>
        <v>200011</v>
      </c>
      <c r="V2038" s="348"/>
      <c r="W2038" s="349" t="e">
        <f>+VLOOKUP(D2038,'JOURNAL FACTURES'!A:O,15,0)</f>
        <v>#N/A</v>
      </c>
      <c r="X2038" s="349" t="e">
        <f>VLOOKUP(D2038,'JOURNAL FACTURES'!A:P,16,0)</f>
        <v>#N/A</v>
      </c>
      <c r="Y2038" s="349" t="e">
        <f>VLOOKUP(D2038,'JOURNAL FACTURES'!A:Q,17,0)</f>
        <v>#N/A</v>
      </c>
      <c r="Z2038" s="349" t="e">
        <f>VLOOKUP(D2038,'JOURNAL FACTURES'!A:R,18,0)</f>
        <v>#N/A</v>
      </c>
      <c r="AA2038" s="350" t="e">
        <f t="shared" si="58"/>
        <v>#N/A</v>
      </c>
      <c r="AB2038" s="350" t="e">
        <f t="shared" si="59"/>
        <v>#N/A</v>
      </c>
      <c r="AC2038" s="350" t="e">
        <f t="shared" si="60"/>
        <v>#N/A</v>
      </c>
      <c r="AD2038" s="350" t="e">
        <f t="shared" si="61"/>
        <v>#N/A</v>
      </c>
      <c r="AE2038" s="349">
        <f>VLOOKUP(D2038,TRANSPORT!H:J,3,0)</f>
        <v>0</v>
      </c>
      <c r="AF2038" s="349">
        <f>+VLOOKUP(D2038,TRANSPORT!N:O,2,0)</f>
        <v>0</v>
      </c>
      <c r="AG2038" s="349">
        <f t="shared" si="62"/>
        <v>0</v>
      </c>
      <c r="AH2038" s="351" t="e">
        <f t="shared" si="63"/>
        <v>#N/A</v>
      </c>
      <c r="AI2038" s="351" t="e">
        <f t="shared" si="64"/>
        <v>#N/A</v>
      </c>
      <c r="AJ2038" s="351" t="e">
        <f t="shared" si="65"/>
        <v>#N/A</v>
      </c>
      <c r="AK2038" s="351" t="e">
        <f t="shared" si="66"/>
        <v>#N/A</v>
      </c>
      <c r="AL2038" s="352" t="str">
        <f>VLOOKUP(D2038,'INTEGRATION PAR CLIENT '!A1434:J1462,10,0)</f>
        <v>50%-50%</v>
      </c>
      <c r="AM2038" s="352">
        <f>VLOOKUP(D2038,'INTEGRATION PAR CLIENT '!A1434:L1462,12,0)</f>
        <v>0</v>
      </c>
      <c r="AN2038" s="352">
        <f>+VLOOKUP(D2038,'INTEGRATION PAR CLIENT '!A1434:N1462,14,0)</f>
        <v>0</v>
      </c>
      <c r="AO2038" s="352">
        <f>+VLOOKUP(D2038,'INTEGRATION PAR CLIENT '!A1434:P1462,16,0)</f>
        <v>0</v>
      </c>
    </row>
    <row r="2039" spans="1:41">
      <c r="A2039" s="342">
        <v>159</v>
      </c>
      <c r="B2039" s="277" t="str">
        <f t="shared" si="54"/>
        <v>159</v>
      </c>
      <c r="C2039" s="277">
        <v>0</v>
      </c>
      <c r="D2039" s="343" t="str">
        <f>'2025'!D160</f>
        <v>FAE-25-00159</v>
      </c>
      <c r="E2039" s="277" t="str">
        <f t="shared" si="55"/>
        <v>159</v>
      </c>
      <c r="F2039" s="972" t="str">
        <f>+'2025'!G160</f>
        <v>23/06/2025</v>
      </c>
      <c r="G2039" s="619">
        <f t="shared" si="42"/>
        <v>2025</v>
      </c>
      <c r="H2039" s="383" t="s">
        <v>17276</v>
      </c>
      <c r="I2039" s="277" t="str">
        <f>+VLOOKUP(H2039,Sheet1!A:C,3,0)</f>
        <v>MATMATA TRADING</v>
      </c>
      <c r="J2039" s="277" t="str">
        <f>+VLOOKUP(H2039,Sheet1!A:D,4,0)</f>
        <v>EUR</v>
      </c>
      <c r="K2039" s="278">
        <f t="shared" si="56"/>
        <v>50987.42</v>
      </c>
      <c r="L2039" s="383">
        <v>3.4082499999999998</v>
      </c>
      <c r="M2039" s="384">
        <v>14960</v>
      </c>
      <c r="N2039" s="277" t="str">
        <f>+VLOOKUP(E2039,'2025'!E:F,2,0)</f>
        <v>OUI</v>
      </c>
      <c r="O2039" s="277" t="str">
        <f>VLOOKUP(E2039,'2025'!E:N,10,0)</f>
        <v>Mauritanie</v>
      </c>
      <c r="P2039" s="890">
        <f>VLOOKUP(E2039,'2025'!E:O,11,0)</f>
        <v>45831</v>
      </c>
      <c r="Q2039" s="347">
        <f>VLOOKUP(E2039,'2025'!E:H,4,0)</f>
        <v>0</v>
      </c>
      <c r="R2039" s="347">
        <f>VLOOKUP(E2039,'2025'!E:I,5,0)</f>
        <v>0</v>
      </c>
      <c r="S2039" s="347">
        <f>VLOOKUP(E2039,'2025'!E:J,6,0)</f>
        <v>26000</v>
      </c>
      <c r="T2039" s="347">
        <f>VLOOKUP(E2039,'2025'!E:K,7,0)</f>
        <v>0</v>
      </c>
      <c r="U2039" s="347">
        <f t="shared" si="57"/>
        <v>26000</v>
      </c>
      <c r="V2039" s="348"/>
      <c r="W2039" s="349" t="e">
        <f>+VLOOKUP(D2039,'JOURNAL FACTURES'!A:O,15,0)</f>
        <v>#N/A</v>
      </c>
      <c r="X2039" s="349" t="e">
        <f>VLOOKUP(D2039,'JOURNAL FACTURES'!A:P,16,0)</f>
        <v>#N/A</v>
      </c>
      <c r="Y2039" s="349" t="e">
        <f>VLOOKUP(D2039,'JOURNAL FACTURES'!A:Q,17,0)</f>
        <v>#N/A</v>
      </c>
      <c r="Z2039" s="349" t="e">
        <f>VLOOKUP(D2039,'JOURNAL FACTURES'!A:R,18,0)</f>
        <v>#N/A</v>
      </c>
      <c r="AA2039" s="350" t="e">
        <f t="shared" si="58"/>
        <v>#N/A</v>
      </c>
      <c r="AB2039" s="350" t="e">
        <f t="shared" si="59"/>
        <v>#N/A</v>
      </c>
      <c r="AC2039" s="350" t="e">
        <f t="shared" si="60"/>
        <v>#N/A</v>
      </c>
      <c r="AD2039" s="350" t="e">
        <f t="shared" si="61"/>
        <v>#N/A</v>
      </c>
      <c r="AE2039" s="349">
        <f>VLOOKUP(D2039,TRANSPORT!H:J,3,0)</f>
        <v>1173.51</v>
      </c>
      <c r="AF2039" s="349">
        <f>+VLOOKUP(D2039,TRANSPORT!N:O,2,0)</f>
        <v>7769.0649999999996</v>
      </c>
      <c r="AG2039" s="349">
        <f t="shared" si="62"/>
        <v>0.29881019230769229</v>
      </c>
      <c r="AH2039" s="351" t="e">
        <f t="shared" si="63"/>
        <v>#N/A</v>
      </c>
      <c r="AI2039" s="351" t="e">
        <f t="shared" si="64"/>
        <v>#N/A</v>
      </c>
      <c r="AJ2039" s="351" t="e">
        <f t="shared" si="65"/>
        <v>#N/A</v>
      </c>
      <c r="AK2039" s="351" t="e">
        <f t="shared" si="66"/>
        <v>#N/A</v>
      </c>
      <c r="AL2039" s="352">
        <f>VLOOKUP(D2039,'INTEGRATION PAR CLIENT '!A1435:J1463,10,0)</f>
        <v>0</v>
      </c>
      <c r="AM2039" s="352">
        <f>VLOOKUP(D2039,'INTEGRATION PAR CLIENT '!A1435:L1463,12,0)</f>
        <v>0</v>
      </c>
      <c r="AN2039" s="352" t="str">
        <f>+VLOOKUP(D2039,'INTEGRATION PAR CLIENT '!A1435:N1463,14,0)</f>
        <v>10%-90%</v>
      </c>
      <c r="AO2039" s="352">
        <f>+VLOOKUP(D2039,'INTEGRATION PAR CLIENT '!A1435:P1463,16,0)</f>
        <v>0</v>
      </c>
    </row>
    <row r="2040" spans="1:41">
      <c r="A2040" s="342">
        <v>160</v>
      </c>
      <c r="B2040" s="277" t="str">
        <f t="shared" si="54"/>
        <v>160</v>
      </c>
      <c r="C2040" s="277">
        <v>0</v>
      </c>
      <c r="D2040" s="343" t="str">
        <f>'2025'!D161</f>
        <v>FAE-25-00160</v>
      </c>
      <c r="E2040" s="277" t="str">
        <f t="shared" si="55"/>
        <v>160</v>
      </c>
      <c r="F2040" s="972">
        <v>45819</v>
      </c>
      <c r="G2040" s="619">
        <f t="shared" si="42"/>
        <v>2025</v>
      </c>
      <c r="H2040" s="383" t="s">
        <v>17017</v>
      </c>
      <c r="I2040" s="277" t="str">
        <f>+VLOOKUP(H2040,Sheet1!A:C,3,0)</f>
        <v>ARCADIA</v>
      </c>
      <c r="J2040" s="277" t="str">
        <f>+VLOOKUP(H2040,Sheet1!A:D,4,0)</f>
        <v>TND</v>
      </c>
      <c r="K2040" s="278">
        <f t="shared" si="56"/>
        <v>44000</v>
      </c>
      <c r="L2040" s="383">
        <v>1</v>
      </c>
      <c r="M2040" s="384">
        <v>44000</v>
      </c>
      <c r="N2040" s="277" t="str">
        <f>+VLOOKUP(E2040,'2025'!E:F,2,0)</f>
        <v>OUI</v>
      </c>
      <c r="O2040" s="277" t="str">
        <f>VLOOKUP(E2040,'2025'!E:N,10,0)</f>
        <v>UK</v>
      </c>
      <c r="P2040" s="890">
        <f>VLOOKUP(E2040,'2025'!E:O,11,0)</f>
        <v>45832</v>
      </c>
      <c r="Q2040" s="347">
        <f>VLOOKUP(E2040,'2025'!E:H,4,0)</f>
        <v>20000</v>
      </c>
      <c r="R2040" s="347">
        <f>VLOOKUP(E2040,'2025'!E:I,5,0)</f>
        <v>0</v>
      </c>
      <c r="S2040" s="347">
        <f>VLOOKUP(E2040,'2025'!E:J,6,0)</f>
        <v>0</v>
      </c>
      <c r="T2040" s="347">
        <f>VLOOKUP(E2040,'2025'!E:K,7,0)</f>
        <v>0</v>
      </c>
      <c r="U2040" s="347">
        <f t="shared" si="57"/>
        <v>20000</v>
      </c>
      <c r="V2040" s="348"/>
      <c r="W2040" s="349" t="e">
        <f>+VLOOKUP(D2040,'JOURNAL FACTURES'!A:O,15,0)</f>
        <v>#N/A</v>
      </c>
      <c r="X2040" s="349" t="e">
        <f>VLOOKUP(D2040,'JOURNAL FACTURES'!A:P,16,0)</f>
        <v>#N/A</v>
      </c>
      <c r="Y2040" s="349" t="e">
        <f>VLOOKUP(D2040,'JOURNAL FACTURES'!A:Q,17,0)</f>
        <v>#N/A</v>
      </c>
      <c r="Z2040" s="349" t="e">
        <f>VLOOKUP(D2040,'JOURNAL FACTURES'!A:R,18,0)</f>
        <v>#N/A</v>
      </c>
      <c r="AA2040" s="350" t="e">
        <f t="shared" si="58"/>
        <v>#N/A</v>
      </c>
      <c r="AB2040" s="350" t="e">
        <f t="shared" si="59"/>
        <v>#N/A</v>
      </c>
      <c r="AC2040" s="350" t="e">
        <f t="shared" si="60"/>
        <v>#N/A</v>
      </c>
      <c r="AD2040" s="350" t="e">
        <f t="shared" si="61"/>
        <v>#N/A</v>
      </c>
      <c r="AE2040" s="349">
        <f>VLOOKUP(D2040,TRANSPORT!H:J,3,0)</f>
        <v>0</v>
      </c>
      <c r="AF2040" s="349">
        <f>+VLOOKUP(D2040,TRANSPORT!N:O,2,0)</f>
        <v>0</v>
      </c>
      <c r="AG2040" s="349">
        <f t="shared" si="62"/>
        <v>0</v>
      </c>
      <c r="AH2040" s="351" t="e">
        <f t="shared" si="63"/>
        <v>#N/A</v>
      </c>
      <c r="AI2040" s="351" t="e">
        <f t="shared" si="64"/>
        <v>#N/A</v>
      </c>
      <c r="AJ2040" s="351" t="e">
        <f t="shared" si="65"/>
        <v>#N/A</v>
      </c>
      <c r="AK2040" s="351" t="e">
        <f t="shared" si="66"/>
        <v>#N/A</v>
      </c>
      <c r="AL2040" s="352">
        <f>VLOOKUP(D2040,'INTEGRATION PAR CLIENT '!A1436:J1464,10,0)</f>
        <v>1</v>
      </c>
      <c r="AM2040" s="352">
        <f>VLOOKUP(D2040,'INTEGRATION PAR CLIENT '!A1436:L1464,12,0)</f>
        <v>0</v>
      </c>
      <c r="AN2040" s="352">
        <f>+VLOOKUP(D2040,'INTEGRATION PAR CLIENT '!A1436:N1464,14,0)</f>
        <v>0</v>
      </c>
      <c r="AO2040" s="352">
        <f>+VLOOKUP(D2040,'INTEGRATION PAR CLIENT '!A1436:P1464,16,0)</f>
        <v>0</v>
      </c>
    </row>
    <row r="2041" spans="1:41">
      <c r="A2041" s="342">
        <v>161</v>
      </c>
      <c r="B2041" s="277" t="str">
        <f t="shared" si="54"/>
        <v>161</v>
      </c>
      <c r="C2041" s="277">
        <v>0</v>
      </c>
      <c r="D2041" s="343" t="str">
        <f>'2025'!D162</f>
        <v>FAE-25-00161</v>
      </c>
      <c r="E2041" s="277" t="str">
        <f t="shared" si="55"/>
        <v>161</v>
      </c>
      <c r="F2041" s="972">
        <v>45819</v>
      </c>
      <c r="G2041" s="619">
        <f t="shared" si="42"/>
        <v>2025</v>
      </c>
      <c r="H2041" s="383" t="s">
        <v>16384</v>
      </c>
      <c r="I2041" s="277" t="str">
        <f>+VLOOKUP(H2041,Sheet1!A:C,3,0)</f>
        <v>STE DE COMMERCE INTERNATIONAL</v>
      </c>
      <c r="J2041" s="277" t="str">
        <f>+VLOOKUP(H2041,Sheet1!A:D,4,0)</f>
        <v>TND</v>
      </c>
      <c r="K2041" s="278">
        <f t="shared" si="56"/>
        <v>45684</v>
      </c>
      <c r="L2041" s="383">
        <v>1</v>
      </c>
      <c r="M2041" s="384">
        <v>45684</v>
      </c>
      <c r="N2041" s="277" t="str">
        <f>+VLOOKUP(E2041,'2025'!E:F,2,0)</f>
        <v>OUI</v>
      </c>
      <c r="O2041" s="277" t="str">
        <f>VLOOKUP(E2041,'2025'!E:N,10,0)</f>
        <v>Togo</v>
      </c>
      <c r="P2041" s="890">
        <f>VLOOKUP(E2041,'2025'!E:O,11,0)</f>
        <v>45832</v>
      </c>
      <c r="Q2041" s="347">
        <f>VLOOKUP(E2041,'2025'!E:H,4,0)</f>
        <v>21600</v>
      </c>
      <c r="R2041" s="347">
        <f>VLOOKUP(E2041,'2025'!E:I,5,0)</f>
        <v>0</v>
      </c>
      <c r="S2041" s="347">
        <f>VLOOKUP(E2041,'2025'!E:J,6,0)</f>
        <v>0</v>
      </c>
      <c r="T2041" s="347">
        <f>VLOOKUP(E2041,'2025'!E:K,7,0)</f>
        <v>0</v>
      </c>
      <c r="U2041" s="347">
        <f t="shared" si="57"/>
        <v>21600</v>
      </c>
      <c r="V2041" s="348"/>
      <c r="W2041" s="349" t="e">
        <f>+VLOOKUP(D2041,'JOURNAL FACTURES'!A:O,15,0)</f>
        <v>#N/A</v>
      </c>
      <c r="X2041" s="349" t="e">
        <f>VLOOKUP(D2041,'JOURNAL FACTURES'!A:P,16,0)</f>
        <v>#N/A</v>
      </c>
      <c r="Y2041" s="349" t="e">
        <f>VLOOKUP(D2041,'JOURNAL FACTURES'!A:Q,17,0)</f>
        <v>#N/A</v>
      </c>
      <c r="Z2041" s="349" t="e">
        <f>VLOOKUP(D2041,'JOURNAL FACTURES'!A:R,18,0)</f>
        <v>#N/A</v>
      </c>
      <c r="AA2041" s="350" t="e">
        <f t="shared" si="58"/>
        <v>#N/A</v>
      </c>
      <c r="AB2041" s="350" t="e">
        <f t="shared" si="59"/>
        <v>#N/A</v>
      </c>
      <c r="AC2041" s="350" t="e">
        <f t="shared" si="60"/>
        <v>#N/A</v>
      </c>
      <c r="AD2041" s="350" t="e">
        <f t="shared" si="61"/>
        <v>#N/A</v>
      </c>
      <c r="AE2041" s="349">
        <f>VLOOKUP(D2041,TRANSPORT!H:J,3,0)</f>
        <v>0</v>
      </c>
      <c r="AF2041" s="349">
        <f>+VLOOKUP(D2041,TRANSPORT!N:O,2,0)</f>
        <v>0</v>
      </c>
      <c r="AG2041" s="349">
        <f t="shared" si="62"/>
        <v>0</v>
      </c>
      <c r="AH2041" s="351" t="e">
        <f t="shared" si="63"/>
        <v>#N/A</v>
      </c>
      <c r="AI2041" s="351" t="e">
        <f t="shared" si="64"/>
        <v>#N/A</v>
      </c>
      <c r="AJ2041" s="351" t="e">
        <f t="shared" si="65"/>
        <v>#N/A</v>
      </c>
      <c r="AK2041" s="351" t="e">
        <f t="shared" si="66"/>
        <v>#N/A</v>
      </c>
      <c r="AL2041" s="352">
        <f>VLOOKUP(D2041,'INTEGRATION PAR CLIENT '!A1437:J1465,10,0)</f>
        <v>1</v>
      </c>
      <c r="AM2041" s="352">
        <f>VLOOKUP(D2041,'INTEGRATION PAR CLIENT '!A1437:L1465,12,0)</f>
        <v>0</v>
      </c>
      <c r="AN2041" s="352">
        <f>+VLOOKUP(D2041,'INTEGRATION PAR CLIENT '!A1437:N1465,14,0)</f>
        <v>0</v>
      </c>
      <c r="AO2041" s="352">
        <f>+VLOOKUP(D2041,'INTEGRATION PAR CLIENT '!A1437:P1465,16,0)</f>
        <v>0</v>
      </c>
    </row>
    <row r="2042" spans="1:41">
      <c r="A2042" s="342">
        <v>162</v>
      </c>
      <c r="B2042" s="277" t="str">
        <f t="shared" ref="B2042:B2061" si="67">+RIGHT(D2042,3)</f>
        <v>162</v>
      </c>
      <c r="C2042" s="277">
        <v>0</v>
      </c>
      <c r="D2042" s="343" t="str">
        <f>'2025'!D163</f>
        <v>FAE-25-00162</v>
      </c>
      <c r="E2042" s="277" t="str">
        <f t="shared" ref="E2042:E2061" si="68">RIGHT(D2042,3)</f>
        <v>162</v>
      </c>
      <c r="F2042" s="972">
        <v>45819</v>
      </c>
      <c r="G2042" s="619">
        <f t="shared" si="42"/>
        <v>2025</v>
      </c>
      <c r="H2042" s="383" t="s">
        <v>17209</v>
      </c>
      <c r="I2042" s="277" t="str">
        <f>+VLOOKUP(H2042,Sheet1!A:C,3,0)</f>
        <v>ABOURA FOODS</v>
      </c>
      <c r="J2042" s="277" t="str">
        <f>+VLOOKUP(H2042,Sheet1!A:D,4,0)</f>
        <v>USD</v>
      </c>
      <c r="K2042" s="278">
        <f t="shared" ref="K2042:K2061" si="69">+L2042*M2042</f>
        <v>61272.449100000005</v>
      </c>
      <c r="L2042" s="383">
        <v>2.9574500000000001</v>
      </c>
      <c r="M2042" s="384">
        <v>20718</v>
      </c>
      <c r="N2042" s="277" t="str">
        <f>+VLOOKUP(E2042,'2025'!E:F,2,0)</f>
        <v>OUI</v>
      </c>
      <c r="O2042" s="277" t="str">
        <f>VLOOKUP(E2042,'2025'!E:N,10,0)</f>
        <v>Jordanie</v>
      </c>
      <c r="P2042" s="890">
        <f>VLOOKUP(E2042,'2025'!E:O,11,0)</f>
        <v>45824</v>
      </c>
      <c r="Q2042" s="347">
        <f>VLOOKUP(E2042,'2025'!E:H,4,0)</f>
        <v>15000</v>
      </c>
      <c r="R2042" s="347">
        <f>VLOOKUP(E2042,'2025'!E:I,5,0)</f>
        <v>8100</v>
      </c>
      <c r="S2042" s="347">
        <f>VLOOKUP(E2042,'2025'!E:J,6,0)</f>
        <v>0</v>
      </c>
      <c r="T2042" s="347">
        <f>VLOOKUP(E2042,'2025'!E:K,7,0)</f>
        <v>0</v>
      </c>
      <c r="U2042" s="347">
        <f t="shared" ref="U2042:U2061" si="70">SUM(Q2042:T2042)</f>
        <v>23100</v>
      </c>
      <c r="V2042" s="348"/>
      <c r="W2042" s="349" t="e">
        <f>+VLOOKUP(D2042,'JOURNAL FACTURES'!A:O,15,0)</f>
        <v>#N/A</v>
      </c>
      <c r="X2042" s="349" t="e">
        <f>VLOOKUP(D2042,'JOURNAL FACTURES'!A:P,16,0)</f>
        <v>#N/A</v>
      </c>
      <c r="Y2042" s="349" t="e">
        <f>VLOOKUP(D2042,'JOURNAL FACTURES'!A:Q,17,0)</f>
        <v>#N/A</v>
      </c>
      <c r="Z2042" s="349" t="e">
        <f>VLOOKUP(D2042,'JOURNAL FACTURES'!A:R,18,0)</f>
        <v>#N/A</v>
      </c>
      <c r="AA2042" s="350" t="e">
        <f t="shared" ref="AA2042:AA2061" si="71">+W2042/Q2042</f>
        <v>#N/A</v>
      </c>
      <c r="AB2042" s="350" t="e">
        <f t="shared" ref="AB2042:AB2061" si="72">+X2042/R2042</f>
        <v>#N/A</v>
      </c>
      <c r="AC2042" s="350" t="e">
        <f t="shared" ref="AC2042:AC2061" si="73">+Y2042/S2042</f>
        <v>#N/A</v>
      </c>
      <c r="AD2042" s="350" t="e">
        <f t="shared" ref="AD2042:AD2061" si="74">Z2042/T2042</f>
        <v>#N/A</v>
      </c>
      <c r="AE2042" s="349">
        <f>VLOOKUP(D2042,TRANSPORT!H:J,3,0)</f>
        <v>503.38275000000004</v>
      </c>
      <c r="AF2042" s="349">
        <f>+VLOOKUP(D2042,TRANSPORT!N:O,2,0)</f>
        <v>5526.125</v>
      </c>
      <c r="AG2042" s="349">
        <f t="shared" ref="AG2042:AG2061" si="75">AF2042/U2042</f>
        <v>0.23922619047619048</v>
      </c>
      <c r="AH2042" s="351" t="e">
        <f t="shared" ref="AH2042:AH2061" si="76">AA2042-AG2042</f>
        <v>#N/A</v>
      </c>
      <c r="AI2042" s="351" t="e">
        <f t="shared" ref="AI2042:AI2061" si="77">AB2042-AG2042</f>
        <v>#N/A</v>
      </c>
      <c r="AJ2042" s="351" t="e">
        <f t="shared" ref="AJ2042:AJ2061" si="78">AC2042-AG2042</f>
        <v>#N/A</v>
      </c>
      <c r="AK2042" s="351" t="e">
        <f t="shared" ref="AK2042:AK2061" si="79">AD2042-AG2042</f>
        <v>#N/A</v>
      </c>
      <c r="AL2042" s="352">
        <f>VLOOKUP(D2042,'INTEGRATION PAR CLIENT '!A1438:J1466,10,0)</f>
        <v>1</v>
      </c>
      <c r="AM2042" s="352">
        <f>VLOOKUP(D2042,'INTEGRATION PAR CLIENT '!A1438:L1466,12,0)</f>
        <v>1</v>
      </c>
      <c r="AN2042" s="352">
        <f>+VLOOKUP(D2042,'INTEGRATION PAR CLIENT '!A1438:N1466,14,0)</f>
        <v>0</v>
      </c>
      <c r="AO2042" s="352">
        <f>+VLOOKUP(D2042,'INTEGRATION PAR CLIENT '!A1438:P1466,16,0)</f>
        <v>0</v>
      </c>
    </row>
    <row r="2043" spans="1:41">
      <c r="A2043" s="342">
        <v>163</v>
      </c>
      <c r="B2043" s="277" t="str">
        <f t="shared" si="67"/>
        <v>163</v>
      </c>
      <c r="C2043" s="277">
        <v>0</v>
      </c>
      <c r="D2043" s="343" t="str">
        <f>'2025'!D164</f>
        <v>FAE-25-00163</v>
      </c>
      <c r="E2043" s="277" t="str">
        <f t="shared" si="68"/>
        <v>163</v>
      </c>
      <c r="F2043" s="972">
        <v>45820</v>
      </c>
      <c r="G2043" s="619">
        <f t="shared" si="42"/>
        <v>2025</v>
      </c>
      <c r="H2043" s="383" t="s">
        <v>16384</v>
      </c>
      <c r="I2043" s="277" t="str">
        <f>+VLOOKUP(H2043,Sheet1!A:C,3,0)</f>
        <v>STE DE COMMERCE INTERNATIONAL</v>
      </c>
      <c r="J2043" s="277" t="str">
        <f>+VLOOKUP(H2043,Sheet1!A:D,4,0)</f>
        <v>TND</v>
      </c>
      <c r="K2043" s="278">
        <f t="shared" si="69"/>
        <v>86800</v>
      </c>
      <c r="L2043" s="383">
        <v>1</v>
      </c>
      <c r="M2043" s="384">
        <v>86800</v>
      </c>
      <c r="N2043" s="277" t="str">
        <f>+VLOOKUP(E2043,'2025'!E:F,2,0)</f>
        <v>OUI</v>
      </c>
      <c r="O2043" s="277" t="str">
        <f>VLOOKUP(E2043,'2025'!E:N,10,0)</f>
        <v>Cap Vert</v>
      </c>
      <c r="P2043" s="890">
        <f>VLOOKUP(E2043,'2025'!E:O,11,0)</f>
        <v>45832</v>
      </c>
      <c r="Q2043" s="347">
        <f>VLOOKUP(E2043,'2025'!E:H,4,0)</f>
        <v>0</v>
      </c>
      <c r="R2043" s="347">
        <f>VLOOKUP(E2043,'2025'!E:I,5,0)</f>
        <v>0</v>
      </c>
      <c r="S2043" s="347">
        <f>VLOOKUP(E2043,'2025'!E:J,6,0)</f>
        <v>56000</v>
      </c>
      <c r="T2043" s="347">
        <f>VLOOKUP(E2043,'2025'!E:K,7,0)</f>
        <v>0</v>
      </c>
      <c r="U2043" s="347">
        <f t="shared" si="70"/>
        <v>56000</v>
      </c>
      <c r="V2043" s="348"/>
      <c r="W2043" s="349" t="e">
        <f>+VLOOKUP(D2043,'JOURNAL FACTURES'!A:O,15,0)</f>
        <v>#N/A</v>
      </c>
      <c r="X2043" s="349" t="e">
        <f>VLOOKUP(D2043,'JOURNAL FACTURES'!A:P,16,0)</f>
        <v>#N/A</v>
      </c>
      <c r="Y2043" s="349" t="e">
        <f>VLOOKUP(D2043,'JOURNAL FACTURES'!A:Q,17,0)</f>
        <v>#N/A</v>
      </c>
      <c r="Z2043" s="349" t="e">
        <f>VLOOKUP(D2043,'JOURNAL FACTURES'!A:R,18,0)</f>
        <v>#N/A</v>
      </c>
      <c r="AA2043" s="350" t="e">
        <f t="shared" si="71"/>
        <v>#N/A</v>
      </c>
      <c r="AB2043" s="350" t="e">
        <f t="shared" si="72"/>
        <v>#N/A</v>
      </c>
      <c r="AC2043" s="350" t="e">
        <f t="shared" si="73"/>
        <v>#N/A</v>
      </c>
      <c r="AD2043" s="350" t="e">
        <f t="shared" si="74"/>
        <v>#N/A</v>
      </c>
      <c r="AE2043" s="349">
        <f>VLOOKUP(D2043,TRANSPORT!H:J,3,0)</f>
        <v>0</v>
      </c>
      <c r="AF2043" s="349">
        <f>+VLOOKUP(D2043,TRANSPORT!N:O,2,0)</f>
        <v>0</v>
      </c>
      <c r="AG2043" s="349">
        <f t="shared" si="75"/>
        <v>0</v>
      </c>
      <c r="AH2043" s="351" t="e">
        <f t="shared" si="76"/>
        <v>#N/A</v>
      </c>
      <c r="AI2043" s="351" t="e">
        <f t="shared" si="77"/>
        <v>#N/A</v>
      </c>
      <c r="AJ2043" s="351" t="e">
        <f t="shared" si="78"/>
        <v>#N/A</v>
      </c>
      <c r="AK2043" s="351" t="e">
        <f t="shared" si="79"/>
        <v>#N/A</v>
      </c>
      <c r="AL2043" s="352">
        <f>VLOOKUP(D2043,'INTEGRATION PAR CLIENT '!A1439:J1467,10,0)</f>
        <v>0</v>
      </c>
      <c r="AM2043" s="352">
        <f>VLOOKUP(D2043,'INTEGRATION PAR CLIENT '!A1439:L1467,12,0)</f>
        <v>0</v>
      </c>
      <c r="AN2043" s="352" t="str">
        <f>+VLOOKUP(D2043,'INTEGRATION PAR CLIENT '!A1439:N1467,14,0)</f>
        <v>10%-90%</v>
      </c>
      <c r="AO2043" s="352">
        <f>+VLOOKUP(D2043,'INTEGRATION PAR CLIENT '!A1439:P1467,16,0)</f>
        <v>0</v>
      </c>
    </row>
    <row r="2044" spans="1:41">
      <c r="A2044" s="342">
        <v>164</v>
      </c>
      <c r="B2044" s="277" t="str">
        <f t="shared" si="67"/>
        <v>164</v>
      </c>
      <c r="C2044" s="277">
        <v>0</v>
      </c>
      <c r="D2044" s="343" t="str">
        <f>'2025'!D165</f>
        <v>FAE-25-00164</v>
      </c>
      <c r="E2044" s="277" t="str">
        <f t="shared" si="68"/>
        <v>164</v>
      </c>
      <c r="F2044" s="618" t="str">
        <f>+'2025'!G165</f>
        <v>13/06/2025</v>
      </c>
      <c r="G2044" s="619">
        <f t="shared" si="42"/>
        <v>2025</v>
      </c>
      <c r="H2044" s="383" t="s">
        <v>17299</v>
      </c>
      <c r="I2044" s="277" t="str">
        <f>+VLOOKUP(H2044,Sheet1!A:C,3,0)</f>
        <v>LAMP FALL IMP EXP - LAFFIMEX</v>
      </c>
      <c r="J2044" s="277" t="str">
        <f>+VLOOKUP(H2044,Sheet1!A:D,4,0)</f>
        <v>EUR</v>
      </c>
      <c r="K2044" s="278">
        <f t="shared" si="69"/>
        <v>320504.81699999998</v>
      </c>
      <c r="L2044" s="383">
        <v>3.41675</v>
      </c>
      <c r="M2044" s="384">
        <v>93804</v>
      </c>
      <c r="N2044" s="277" t="str">
        <f>+VLOOKUP(E2044,'2025'!E:F,2,0)</f>
        <v>OUI</v>
      </c>
      <c r="O2044" s="277" t="str">
        <f>VLOOKUP(E2044,'2025'!E:N,10,0)</f>
        <v>Senegal</v>
      </c>
      <c r="P2044" s="890">
        <f>VLOOKUP(E2044,'2025'!E:O,11,0)</f>
        <v>45828</v>
      </c>
      <c r="Q2044" s="347">
        <f>VLOOKUP(E2044,'2025'!E:H,4,0)</f>
        <v>134400</v>
      </c>
      <c r="R2044" s="347">
        <f>VLOOKUP(E2044,'2025'!E:I,5,0)</f>
        <v>0</v>
      </c>
      <c r="S2044" s="347">
        <f>VLOOKUP(E2044,'2025'!E:J,6,0)</f>
        <v>0</v>
      </c>
      <c r="T2044" s="347">
        <f>VLOOKUP(E2044,'2025'!E:K,7,0)</f>
        <v>0</v>
      </c>
      <c r="U2044" s="347">
        <f t="shared" si="70"/>
        <v>134400</v>
      </c>
      <c r="V2044" s="348"/>
      <c r="W2044" s="349" t="e">
        <f>+VLOOKUP(D2044,'JOURNAL FACTURES'!A:O,15,0)</f>
        <v>#N/A</v>
      </c>
      <c r="X2044" s="349" t="e">
        <f>VLOOKUP(D2044,'JOURNAL FACTURES'!A:P,16,0)</f>
        <v>#N/A</v>
      </c>
      <c r="Y2044" s="349" t="e">
        <f>VLOOKUP(D2044,'JOURNAL FACTURES'!A:Q,17,0)</f>
        <v>#N/A</v>
      </c>
      <c r="Z2044" s="349" t="e">
        <f>VLOOKUP(D2044,'JOURNAL FACTURES'!A:R,18,0)</f>
        <v>#N/A</v>
      </c>
      <c r="AA2044" s="350" t="e">
        <f t="shared" si="71"/>
        <v>#N/A</v>
      </c>
      <c r="AB2044" s="350" t="e">
        <f t="shared" si="72"/>
        <v>#N/A</v>
      </c>
      <c r="AC2044" s="350" t="e">
        <f t="shared" si="73"/>
        <v>#N/A</v>
      </c>
      <c r="AD2044" s="350" t="e">
        <f t="shared" si="74"/>
        <v>#N/A</v>
      </c>
      <c r="AE2044" s="349">
        <f>VLOOKUP(D2044,TRANSPORT!H:J,3,0)</f>
        <v>5840.4360000000006</v>
      </c>
      <c r="AF2044" s="349">
        <f>+VLOOKUP(D2044,TRANSPORT!N:O,2,0)</f>
        <v>40553.285000000003</v>
      </c>
      <c r="AG2044" s="349">
        <f t="shared" si="75"/>
        <v>0.30173575148809528</v>
      </c>
      <c r="AH2044" s="351" t="e">
        <f t="shared" si="76"/>
        <v>#N/A</v>
      </c>
      <c r="AI2044" s="351" t="e">
        <f t="shared" si="77"/>
        <v>#N/A</v>
      </c>
      <c r="AJ2044" s="351" t="e">
        <f t="shared" si="78"/>
        <v>#N/A</v>
      </c>
      <c r="AK2044" s="351" t="e">
        <f t="shared" si="79"/>
        <v>#N/A</v>
      </c>
      <c r="AL2044" s="352">
        <f>VLOOKUP(D2044,'INTEGRATION PAR CLIENT '!A1440:J1468,10,0)</f>
        <v>1</v>
      </c>
      <c r="AM2044" s="352">
        <f>VLOOKUP(D2044,'INTEGRATION PAR CLIENT '!A1440:L1468,12,0)</f>
        <v>0</v>
      </c>
      <c r="AN2044" s="352">
        <f>+VLOOKUP(D2044,'INTEGRATION PAR CLIENT '!A1440:N1468,14,0)</f>
        <v>0</v>
      </c>
      <c r="AO2044" s="352">
        <f>+VLOOKUP(D2044,'INTEGRATION PAR CLIENT '!A1440:P1468,16,0)</f>
        <v>0</v>
      </c>
    </row>
    <row r="2045" spans="1:41">
      <c r="A2045" s="342">
        <v>165</v>
      </c>
      <c r="B2045" s="277" t="str">
        <f t="shared" si="67"/>
        <v>165</v>
      </c>
      <c r="C2045" s="277">
        <v>0</v>
      </c>
      <c r="D2045" s="343" t="str">
        <f>'2025'!D166</f>
        <v>FAE-25-00165</v>
      </c>
      <c r="E2045" s="277" t="str">
        <f t="shared" si="68"/>
        <v>165</v>
      </c>
      <c r="F2045" s="618" t="str">
        <f>+'2025'!G166</f>
        <v>13/06/2025</v>
      </c>
      <c r="G2045" s="619">
        <f t="shared" si="42"/>
        <v>2025</v>
      </c>
      <c r="H2045" s="383" t="s">
        <v>17390</v>
      </c>
      <c r="I2045" s="277" t="str">
        <f>+VLOOKUP(H2045,Sheet1!A:C,3,0)</f>
        <v>ALMOSTAWRED ALJADEED CO. FOR IMPORT</v>
      </c>
      <c r="J2045" s="277" t="str">
        <f>+VLOOKUP(H2045,Sheet1!A:D,4,0)</f>
        <v>USD</v>
      </c>
      <c r="K2045" s="278">
        <f t="shared" si="69"/>
        <v>511892.36031999998</v>
      </c>
      <c r="L2045" s="383">
        <v>2.9512999999999998</v>
      </c>
      <c r="M2045" s="384">
        <v>173446.39999999999</v>
      </c>
      <c r="N2045" s="277" t="str">
        <f>+VLOOKUP(E2045,'2025'!E:F,2,0)</f>
        <v>OUI</v>
      </c>
      <c r="O2045" s="277" t="str">
        <f>VLOOKUP(E2045,'2025'!E:N,10,0)</f>
        <v>Libye</v>
      </c>
      <c r="P2045" s="890">
        <f>VLOOKUP(E2045,'2025'!E:O,11,0)</f>
        <v>45828</v>
      </c>
      <c r="Q2045" s="347">
        <f>VLOOKUP(E2045,'2025'!E:H,4,0)</f>
        <v>0</v>
      </c>
      <c r="R2045" s="347">
        <f>VLOOKUP(E2045,'2025'!E:I,5,0)</f>
        <v>189120</v>
      </c>
      <c r="S2045" s="347">
        <f>VLOOKUP(E2045,'2025'!E:J,6,0)</f>
        <v>38800</v>
      </c>
      <c r="T2045" s="347">
        <f>VLOOKUP(E2045,'2025'!E:K,7,0)</f>
        <v>0</v>
      </c>
      <c r="U2045" s="347">
        <f t="shared" si="70"/>
        <v>227920</v>
      </c>
      <c r="V2045" s="348"/>
      <c r="W2045" s="349" t="e">
        <f>+VLOOKUP(D2045,'JOURNAL FACTURES'!A:O,15,0)</f>
        <v>#N/A</v>
      </c>
      <c r="X2045" s="349" t="e">
        <f>VLOOKUP(D2045,'JOURNAL FACTURES'!A:P,16,0)</f>
        <v>#N/A</v>
      </c>
      <c r="Y2045" s="349" t="e">
        <f>VLOOKUP(D2045,'JOURNAL FACTURES'!A:Q,17,0)</f>
        <v>#N/A</v>
      </c>
      <c r="Z2045" s="349" t="e">
        <f>VLOOKUP(D2045,'JOURNAL FACTURES'!A:R,18,0)</f>
        <v>#N/A</v>
      </c>
      <c r="AA2045" s="350" t="e">
        <f t="shared" si="71"/>
        <v>#N/A</v>
      </c>
      <c r="AB2045" s="350" t="e">
        <f t="shared" si="72"/>
        <v>#N/A</v>
      </c>
      <c r="AC2045" s="350" t="e">
        <f t="shared" si="73"/>
        <v>#N/A</v>
      </c>
      <c r="AD2045" s="350" t="e">
        <f t="shared" si="74"/>
        <v>#N/A</v>
      </c>
      <c r="AE2045" s="349">
        <f>VLOOKUP(D2045,TRANSPORT!H:J,3,0)</f>
        <v>0</v>
      </c>
      <c r="AF2045" s="349">
        <f>+VLOOKUP(D2045,TRANSPORT!N:O,2,0)</f>
        <v>0</v>
      </c>
      <c r="AG2045" s="349">
        <f t="shared" si="75"/>
        <v>0</v>
      </c>
      <c r="AH2045" s="351" t="e">
        <f t="shared" si="76"/>
        <v>#N/A</v>
      </c>
      <c r="AI2045" s="351" t="e">
        <f t="shared" si="77"/>
        <v>#N/A</v>
      </c>
      <c r="AJ2045" s="351" t="e">
        <f t="shared" si="78"/>
        <v>#N/A</v>
      </c>
      <c r="AK2045" s="351" t="e">
        <f t="shared" si="79"/>
        <v>#N/A</v>
      </c>
      <c r="AL2045" s="352">
        <f>VLOOKUP(D2045,'INTEGRATION PAR CLIENT '!A1441:J1469,10,0)</f>
        <v>0</v>
      </c>
      <c r="AM2045" s="352" t="str">
        <f>VLOOKUP(D2045,'INTEGRATION PAR CLIENT '!A1441:L1469,12,0)</f>
        <v>50%-50%</v>
      </c>
      <c r="AN2045" s="352" t="str">
        <f>+VLOOKUP(D2045,'INTEGRATION PAR CLIENT '!A1441:N1469,14,0)</f>
        <v>50%-50%</v>
      </c>
      <c r="AO2045" s="352">
        <f>+VLOOKUP(D2045,'INTEGRATION PAR CLIENT '!A1441:P1469,16,0)</f>
        <v>0</v>
      </c>
    </row>
    <row r="2046" spans="1:41">
      <c r="A2046" s="342">
        <v>166</v>
      </c>
      <c r="B2046" s="277" t="str">
        <f t="shared" si="67"/>
        <v>166</v>
      </c>
      <c r="C2046" s="277">
        <v>0</v>
      </c>
      <c r="D2046" s="343" t="str">
        <f>'2025'!D167</f>
        <v>FAE-25-00166</v>
      </c>
      <c r="E2046" s="277" t="str">
        <f t="shared" si="68"/>
        <v>166</v>
      </c>
      <c r="F2046" s="618" t="str">
        <f>+'2025'!G167</f>
        <v>16/06/2025</v>
      </c>
      <c r="G2046" s="619">
        <f t="shared" si="42"/>
        <v>2025</v>
      </c>
      <c r="H2046" s="383" t="s">
        <v>17259</v>
      </c>
      <c r="I2046" s="277" t="str">
        <f>+VLOOKUP(H2046,Sheet1!A:C,3,0)</f>
        <v>RNK DISTRIBUTION</v>
      </c>
      <c r="J2046" s="277" t="str">
        <f>+VLOOKUP(H2046,Sheet1!A:D,4,0)</f>
        <v>USD</v>
      </c>
      <c r="K2046" s="278">
        <f t="shared" si="69"/>
        <v>183675.98149999999</v>
      </c>
      <c r="L2046" s="383">
        <v>2.9639500000000001</v>
      </c>
      <c r="M2046" s="384">
        <v>61970</v>
      </c>
      <c r="N2046" s="277" t="str">
        <f>+VLOOKUP(E2046,'2025'!E:F,2,0)</f>
        <v>OUI</v>
      </c>
      <c r="O2046" s="277" t="str">
        <f>VLOOKUP(E2046,'2025'!E:N,10,0)</f>
        <v>Madagascar</v>
      </c>
      <c r="P2046" s="890">
        <f>VLOOKUP(E2046,'2025'!E:O,11,0)</f>
        <v>45833</v>
      </c>
      <c r="Q2046" s="347">
        <f>VLOOKUP(E2046,'2025'!E:H,4,0)</f>
        <v>0</v>
      </c>
      <c r="R2046" s="347">
        <f>VLOOKUP(E2046,'2025'!E:I,5,0)</f>
        <v>87600</v>
      </c>
      <c r="S2046" s="347">
        <f>VLOOKUP(E2046,'2025'!E:J,6,0)</f>
        <v>0</v>
      </c>
      <c r="T2046" s="347">
        <f>VLOOKUP(E2046,'2025'!E:K,7,0)</f>
        <v>0</v>
      </c>
      <c r="U2046" s="347">
        <f t="shared" si="70"/>
        <v>87600</v>
      </c>
      <c r="V2046" s="348"/>
      <c r="W2046" s="349" t="e">
        <f>+VLOOKUP(D2046,'JOURNAL FACTURES'!A:O,15,0)</f>
        <v>#N/A</v>
      </c>
      <c r="X2046" s="349" t="e">
        <f>VLOOKUP(D2046,'JOURNAL FACTURES'!A:P,16,0)</f>
        <v>#N/A</v>
      </c>
      <c r="Y2046" s="349" t="e">
        <f>VLOOKUP(D2046,'JOURNAL FACTURES'!A:Q,17,0)</f>
        <v>#N/A</v>
      </c>
      <c r="Z2046" s="349" t="e">
        <f>VLOOKUP(D2046,'JOURNAL FACTURES'!A:R,18,0)</f>
        <v>#N/A</v>
      </c>
      <c r="AA2046" s="350" t="e">
        <f t="shared" si="71"/>
        <v>#N/A</v>
      </c>
      <c r="AB2046" s="350" t="e">
        <f t="shared" si="72"/>
        <v>#N/A</v>
      </c>
      <c r="AC2046" s="350" t="e">
        <f t="shared" si="73"/>
        <v>#N/A</v>
      </c>
      <c r="AD2046" s="350" t="e">
        <f t="shared" si="74"/>
        <v>#N/A</v>
      </c>
      <c r="AE2046" s="349">
        <f>VLOOKUP(D2046,TRANSPORT!H:J,3,0)</f>
        <v>6018</v>
      </c>
      <c r="AF2046" s="349">
        <f>+VLOOKUP(D2046,TRANSPORT!N:O,2,0)</f>
        <v>36115.915000000001</v>
      </c>
      <c r="AG2046" s="349">
        <f t="shared" si="75"/>
        <v>0.41228213470319636</v>
      </c>
      <c r="AH2046" s="351" t="e">
        <f t="shared" si="76"/>
        <v>#N/A</v>
      </c>
      <c r="AI2046" s="351" t="e">
        <f t="shared" si="77"/>
        <v>#N/A</v>
      </c>
      <c r="AJ2046" s="351" t="e">
        <f t="shared" si="78"/>
        <v>#N/A</v>
      </c>
      <c r="AK2046" s="351" t="e">
        <f t="shared" si="79"/>
        <v>#N/A</v>
      </c>
      <c r="AL2046" s="352">
        <f>VLOOKUP(D2046,'INTEGRATION PAR CLIENT '!A1442:J1470,10,0)</f>
        <v>0</v>
      </c>
      <c r="AM2046" s="352" t="str">
        <f>VLOOKUP(D2046,'INTEGRATION PAR CLIENT '!A1442:L1470,12,0)</f>
        <v>20%S-80%F</v>
      </c>
      <c r="AN2046" s="352">
        <f>+VLOOKUP(D2046,'INTEGRATION PAR CLIENT '!A1442:N1470,14,0)</f>
        <v>0</v>
      </c>
      <c r="AO2046" s="352">
        <f>+VLOOKUP(D2046,'INTEGRATION PAR CLIENT '!A1442:P1470,16,0)</f>
        <v>0</v>
      </c>
    </row>
    <row r="2047" spans="1:41">
      <c r="A2047" s="342">
        <v>167</v>
      </c>
      <c r="B2047" s="277" t="str">
        <f t="shared" si="67"/>
        <v>167</v>
      </c>
      <c r="C2047" s="277">
        <v>0</v>
      </c>
      <c r="D2047" s="343" t="str">
        <f>'2025'!D168</f>
        <v>FAE-25-00167</v>
      </c>
      <c r="E2047" s="277" t="str">
        <f t="shared" si="68"/>
        <v>167</v>
      </c>
      <c r="F2047" s="618" t="str">
        <f>+'2025'!G168</f>
        <v>17/06/2025</v>
      </c>
      <c r="G2047" s="619">
        <f t="shared" si="42"/>
        <v>2025</v>
      </c>
      <c r="H2047" s="383" t="s">
        <v>16957</v>
      </c>
      <c r="I2047" s="277" t="str">
        <f>+VLOOKUP(H2047,Sheet1!A:C,3,0)</f>
        <v>ANGSTREM TRADING</v>
      </c>
      <c r="J2047" s="277" t="str">
        <f>+VLOOKUP(H2047,Sheet1!A:D,4,0)</f>
        <v>USD</v>
      </c>
      <c r="K2047" s="278">
        <f t="shared" si="69"/>
        <v>44139.244375000002</v>
      </c>
      <c r="L2047" s="383">
        <v>2.94625</v>
      </c>
      <c r="M2047" s="384">
        <v>14981.5</v>
      </c>
      <c r="N2047" s="277" t="str">
        <f>+VLOOKUP(E2047,'2025'!E:F,2,0)</f>
        <v>OUI</v>
      </c>
      <c r="O2047" s="277" t="str">
        <f>VLOOKUP(E2047,'2025'!E:N,10,0)</f>
        <v>Russie</v>
      </c>
      <c r="P2047" s="890">
        <f>VLOOKUP(E2047,'2025'!E:O,11,0)</f>
        <v>45835</v>
      </c>
      <c r="Q2047" s="347">
        <f>VLOOKUP(E2047,'2025'!E:H,4,0)</f>
        <v>20150</v>
      </c>
      <c r="R2047" s="347">
        <f>VLOOKUP(E2047,'2025'!E:I,5,0)</f>
        <v>0</v>
      </c>
      <c r="S2047" s="347">
        <f>VLOOKUP(E2047,'2025'!E:J,6,0)</f>
        <v>0</v>
      </c>
      <c r="T2047" s="347">
        <f>VLOOKUP(E2047,'2025'!E:K,7,0)</f>
        <v>0</v>
      </c>
      <c r="U2047" s="347">
        <f t="shared" si="70"/>
        <v>20150</v>
      </c>
      <c r="V2047" s="348"/>
      <c r="W2047" s="349" t="e">
        <f>+VLOOKUP(D2047,'JOURNAL FACTURES'!A:O,15,0)</f>
        <v>#N/A</v>
      </c>
      <c r="X2047" s="349" t="e">
        <f>VLOOKUP(D2047,'JOURNAL FACTURES'!A:P,16,0)</f>
        <v>#N/A</v>
      </c>
      <c r="Y2047" s="349" t="e">
        <f>VLOOKUP(D2047,'JOURNAL FACTURES'!A:Q,17,0)</f>
        <v>#N/A</v>
      </c>
      <c r="Z2047" s="349" t="e">
        <f>VLOOKUP(D2047,'JOURNAL FACTURES'!A:R,18,0)</f>
        <v>#N/A</v>
      </c>
      <c r="AA2047" s="350" t="e">
        <f t="shared" si="71"/>
        <v>#N/A</v>
      </c>
      <c r="AB2047" s="350" t="e">
        <f t="shared" si="72"/>
        <v>#N/A</v>
      </c>
      <c r="AC2047" s="350" t="e">
        <f t="shared" si="73"/>
        <v>#N/A</v>
      </c>
      <c r="AD2047" s="350" t="e">
        <f t="shared" si="74"/>
        <v>#N/A</v>
      </c>
      <c r="AE2047" s="349">
        <f>VLOOKUP(D2047,TRANSPORT!H:J,3,0)</f>
        <v>596.70000000000005</v>
      </c>
      <c r="AF2047" s="349">
        <f>+VLOOKUP(D2047,TRANSPORT!N:O,2,0)</f>
        <v>6045.4</v>
      </c>
      <c r="AG2047" s="349">
        <f t="shared" si="75"/>
        <v>0.30001985111662527</v>
      </c>
      <c r="AH2047" s="351" t="e">
        <f t="shared" si="76"/>
        <v>#N/A</v>
      </c>
      <c r="AI2047" s="351" t="e">
        <f t="shared" si="77"/>
        <v>#N/A</v>
      </c>
      <c r="AJ2047" s="351" t="e">
        <f t="shared" si="78"/>
        <v>#N/A</v>
      </c>
      <c r="AK2047" s="351" t="e">
        <f t="shared" si="79"/>
        <v>#N/A</v>
      </c>
      <c r="AL2047" s="352">
        <f>VLOOKUP(D2047,'INTEGRATION PAR CLIENT '!A1443:J1471,10,0)</f>
        <v>0</v>
      </c>
      <c r="AM2047" s="352">
        <f>VLOOKUP(D2047,'INTEGRATION PAR CLIENT '!A1443:L1471,12,0)</f>
        <v>0</v>
      </c>
      <c r="AN2047" s="352">
        <f>+VLOOKUP(D2047,'INTEGRATION PAR CLIENT '!A1443:N1471,14,0)</f>
        <v>0</v>
      </c>
      <c r="AO2047" s="352">
        <f>+VLOOKUP(D2047,'INTEGRATION PAR CLIENT '!A1443:P1471,16,0)</f>
        <v>0</v>
      </c>
    </row>
    <row r="2048" spans="1:41">
      <c r="A2048" s="342">
        <v>168</v>
      </c>
      <c r="B2048" s="277" t="str">
        <f t="shared" si="67"/>
        <v>168</v>
      </c>
      <c r="C2048" s="277">
        <v>0</v>
      </c>
      <c r="D2048" s="343" t="str">
        <f>'2025'!D169</f>
        <v>FAE-25-00168</v>
      </c>
      <c r="E2048" s="277" t="str">
        <f t="shared" si="68"/>
        <v>168</v>
      </c>
      <c r="F2048" s="618" t="str">
        <f>+'2025'!G169</f>
        <v>17/06/2025</v>
      </c>
      <c r="G2048" s="619">
        <f t="shared" si="42"/>
        <v>2025</v>
      </c>
      <c r="H2048" s="383" t="s">
        <v>16444</v>
      </c>
      <c r="I2048" s="277" t="str">
        <f>+VLOOKUP(H2048,Sheet1!A:C,3,0)</f>
        <v>SAHEL INTERNATIONAL TRADE</v>
      </c>
      <c r="J2048" s="277" t="str">
        <f>+VLOOKUP(H2048,Sheet1!A:D,4,0)</f>
        <v>TND</v>
      </c>
      <c r="K2048" s="278">
        <f t="shared" si="69"/>
        <v>272220</v>
      </c>
      <c r="L2048" s="383">
        <v>1</v>
      </c>
      <c r="M2048" s="384">
        <v>272220</v>
      </c>
      <c r="N2048" s="277" t="str">
        <f>+VLOOKUP(E2048,'2025'!E:F,2,0)</f>
        <v>OUI</v>
      </c>
      <c r="O2048" s="277" t="str">
        <f>VLOOKUP(E2048,'2025'!E:N,10,0)</f>
        <v>Gabon</v>
      </c>
      <c r="P2048" s="890">
        <f>VLOOKUP(E2048,'2025'!E:O,11,0)</f>
        <v>45838</v>
      </c>
      <c r="Q2048" s="347">
        <f>VLOOKUP(E2048,'2025'!E:H,4,0)</f>
        <v>0</v>
      </c>
      <c r="R2048" s="347">
        <f>VLOOKUP(E2048,'2025'!E:I,5,0)</f>
        <v>0</v>
      </c>
      <c r="S2048" s="347">
        <f>VLOOKUP(E2048,'2025'!E:J,6,0)</f>
        <v>156000</v>
      </c>
      <c r="T2048" s="347">
        <f>VLOOKUP(E2048,'2025'!E:K,7,0)</f>
        <v>0</v>
      </c>
      <c r="U2048" s="347">
        <f t="shared" si="70"/>
        <v>156000</v>
      </c>
      <c r="V2048" s="348"/>
      <c r="W2048" s="349" t="e">
        <f>+VLOOKUP(D2048,'JOURNAL FACTURES'!A:O,15,0)</f>
        <v>#N/A</v>
      </c>
      <c r="X2048" s="349" t="e">
        <f>VLOOKUP(D2048,'JOURNAL FACTURES'!A:P,16,0)</f>
        <v>#N/A</v>
      </c>
      <c r="Y2048" s="349" t="e">
        <f>VLOOKUP(D2048,'JOURNAL FACTURES'!A:Q,17,0)</f>
        <v>#N/A</v>
      </c>
      <c r="Z2048" s="349" t="e">
        <f>VLOOKUP(D2048,'JOURNAL FACTURES'!A:R,18,0)</f>
        <v>#N/A</v>
      </c>
      <c r="AA2048" s="350" t="e">
        <f t="shared" si="71"/>
        <v>#N/A</v>
      </c>
      <c r="AB2048" s="350" t="e">
        <f t="shared" si="72"/>
        <v>#N/A</v>
      </c>
      <c r="AC2048" s="350" t="e">
        <f t="shared" si="73"/>
        <v>#N/A</v>
      </c>
      <c r="AD2048" s="350" t="e">
        <f t="shared" si="74"/>
        <v>#N/A</v>
      </c>
      <c r="AE2048" s="349">
        <f>VLOOKUP(D2048,TRANSPORT!H:J,3,0)</f>
        <v>0</v>
      </c>
      <c r="AF2048" s="349">
        <f>+VLOOKUP(D2048,TRANSPORT!N:O,2,0)</f>
        <v>0</v>
      </c>
      <c r="AG2048" s="349">
        <f t="shared" si="75"/>
        <v>0</v>
      </c>
      <c r="AH2048" s="351" t="e">
        <f t="shared" si="76"/>
        <v>#N/A</v>
      </c>
      <c r="AI2048" s="351" t="e">
        <f t="shared" si="77"/>
        <v>#N/A</v>
      </c>
      <c r="AJ2048" s="351" t="e">
        <f t="shared" si="78"/>
        <v>#N/A</v>
      </c>
      <c r="AK2048" s="351" t="e">
        <f t="shared" si="79"/>
        <v>#N/A</v>
      </c>
      <c r="AL2048" s="352">
        <f>VLOOKUP(D2048,'INTEGRATION PAR CLIENT '!A1444:J1472,10,0)</f>
        <v>0</v>
      </c>
      <c r="AM2048" s="352">
        <f>VLOOKUP(D2048,'INTEGRATION PAR CLIENT '!A1444:L1472,12,0)</f>
        <v>0</v>
      </c>
      <c r="AN2048" s="352" t="str">
        <f>+VLOOKUP(D2048,'INTEGRATION PAR CLIENT '!A1444:N1472,14,0)</f>
        <v>10%-90%</v>
      </c>
      <c r="AO2048" s="352">
        <f>+VLOOKUP(D2048,'INTEGRATION PAR CLIENT '!A1444:P1472,16,0)</f>
        <v>0</v>
      </c>
    </row>
    <row r="2049" spans="1:41">
      <c r="A2049" s="342">
        <v>169</v>
      </c>
      <c r="B2049" s="277" t="str">
        <f t="shared" si="67"/>
        <v>169</v>
      </c>
      <c r="C2049" s="277">
        <v>0</v>
      </c>
      <c r="D2049" s="343" t="str">
        <f>'2025'!D170</f>
        <v>FAE-25-00169</v>
      </c>
      <c r="E2049" s="277" t="str">
        <f t="shared" si="68"/>
        <v>169</v>
      </c>
      <c r="F2049" s="618" t="str">
        <f>+'2025'!G170</f>
        <v>17/06/2025</v>
      </c>
      <c r="G2049" s="619">
        <f t="shared" si="42"/>
        <v>2025</v>
      </c>
      <c r="H2049" s="383" t="s">
        <v>16444</v>
      </c>
      <c r="I2049" s="277" t="str">
        <f>+VLOOKUP(H2049,Sheet1!A:C,3,0)</f>
        <v>SAHEL INTERNATIONAL TRADE</v>
      </c>
      <c r="J2049" s="277" t="str">
        <f>+VLOOKUP(H2049,Sheet1!A:D,4,0)</f>
        <v>TND</v>
      </c>
      <c r="K2049" s="278">
        <f t="shared" si="69"/>
        <v>144480</v>
      </c>
      <c r="L2049" s="383">
        <v>1</v>
      </c>
      <c r="M2049" s="384">
        <v>144480</v>
      </c>
      <c r="N2049" s="277" t="str">
        <f>+VLOOKUP(E2049,'2025'!E:F,2,0)</f>
        <v>OUI</v>
      </c>
      <c r="O2049" s="277" t="str">
        <f>VLOOKUP(E2049,'2025'!E:N,10,0)</f>
        <v>Tchad</v>
      </c>
      <c r="P2049" s="890">
        <f>VLOOKUP(E2049,'2025'!E:O,11,0)</f>
        <v>45831</v>
      </c>
      <c r="Q2049" s="347">
        <f>VLOOKUP(E2049,'2025'!E:H,4,0)</f>
        <v>0</v>
      </c>
      <c r="R2049" s="347">
        <f>VLOOKUP(E2049,'2025'!E:I,5,0)</f>
        <v>84000</v>
      </c>
      <c r="S2049" s="347">
        <f>VLOOKUP(E2049,'2025'!E:J,6,0)</f>
        <v>0</v>
      </c>
      <c r="T2049" s="347">
        <f>VLOOKUP(E2049,'2025'!E:K,7,0)</f>
        <v>0</v>
      </c>
      <c r="U2049" s="347">
        <f t="shared" si="70"/>
        <v>84000</v>
      </c>
      <c r="V2049" s="348"/>
      <c r="W2049" s="349" t="e">
        <f>+VLOOKUP(D2049,'JOURNAL FACTURES'!A:O,15,0)</f>
        <v>#N/A</v>
      </c>
      <c r="X2049" s="349" t="e">
        <f>VLOOKUP(D2049,'JOURNAL FACTURES'!A:P,16,0)</f>
        <v>#N/A</v>
      </c>
      <c r="Y2049" s="349" t="e">
        <f>VLOOKUP(D2049,'JOURNAL FACTURES'!A:Q,17,0)</f>
        <v>#N/A</v>
      </c>
      <c r="Z2049" s="349" t="e">
        <f>VLOOKUP(D2049,'JOURNAL FACTURES'!A:R,18,0)</f>
        <v>#N/A</v>
      </c>
      <c r="AA2049" s="350" t="e">
        <f t="shared" si="71"/>
        <v>#N/A</v>
      </c>
      <c r="AB2049" s="350" t="e">
        <f t="shared" si="72"/>
        <v>#N/A</v>
      </c>
      <c r="AC2049" s="350" t="e">
        <f t="shared" si="73"/>
        <v>#N/A</v>
      </c>
      <c r="AD2049" s="350" t="e">
        <f t="shared" si="74"/>
        <v>#N/A</v>
      </c>
      <c r="AE2049" s="349">
        <f>VLOOKUP(D2049,TRANSPORT!H:J,3,0)</f>
        <v>0</v>
      </c>
      <c r="AF2049" s="349">
        <f>+VLOOKUP(D2049,TRANSPORT!N:O,2,0)</f>
        <v>0</v>
      </c>
      <c r="AG2049" s="349">
        <f t="shared" si="75"/>
        <v>0</v>
      </c>
      <c r="AH2049" s="351" t="e">
        <f t="shared" si="76"/>
        <v>#N/A</v>
      </c>
      <c r="AI2049" s="351" t="e">
        <f t="shared" si="77"/>
        <v>#N/A</v>
      </c>
      <c r="AJ2049" s="351" t="e">
        <f t="shared" si="78"/>
        <v>#N/A</v>
      </c>
      <c r="AK2049" s="351" t="e">
        <f t="shared" si="79"/>
        <v>#N/A</v>
      </c>
      <c r="AL2049" s="352">
        <f>VLOOKUP(D2049,'INTEGRATION PAR CLIENT '!A1445:J1473,10,0)</f>
        <v>0</v>
      </c>
      <c r="AM2049" s="352" t="str">
        <f>VLOOKUP(D2049,'INTEGRATION PAR CLIENT '!A1445:L1473,12,0)</f>
        <v>20%S-80%F</v>
      </c>
      <c r="AN2049" s="352">
        <f>+VLOOKUP(D2049,'INTEGRATION PAR CLIENT '!A1445:N1473,14,0)</f>
        <v>0</v>
      </c>
      <c r="AO2049" s="352">
        <f>+VLOOKUP(D2049,'INTEGRATION PAR CLIENT '!A1445:P1473,16,0)</f>
        <v>0</v>
      </c>
    </row>
    <row r="2050" spans="1:41">
      <c r="A2050" s="342">
        <v>170</v>
      </c>
      <c r="B2050" s="277" t="str">
        <f t="shared" si="67"/>
        <v>170</v>
      </c>
      <c r="C2050" s="277">
        <v>0</v>
      </c>
      <c r="D2050" s="343" t="str">
        <f>'2025'!D171</f>
        <v>FAE-25-00170</v>
      </c>
      <c r="E2050" s="277" t="str">
        <f t="shared" si="68"/>
        <v>170</v>
      </c>
      <c r="F2050" s="618" t="str">
        <f>+'2025'!G171</f>
        <v>17/06/2025</v>
      </c>
      <c r="G2050" s="619">
        <f t="shared" si="42"/>
        <v>2025</v>
      </c>
      <c r="H2050" s="383" t="s">
        <v>16444</v>
      </c>
      <c r="I2050" s="277" t="str">
        <f>+VLOOKUP(H2050,Sheet1!A:C,3,0)</f>
        <v>SAHEL INTERNATIONAL TRADE</v>
      </c>
      <c r="J2050" s="277" t="str">
        <f>+VLOOKUP(H2050,Sheet1!A:D,4,0)</f>
        <v>TND</v>
      </c>
      <c r="K2050" s="278">
        <f t="shared" si="69"/>
        <v>94176</v>
      </c>
      <c r="L2050" s="383">
        <v>1</v>
      </c>
      <c r="M2050" s="384">
        <v>94176</v>
      </c>
      <c r="N2050" s="277" t="str">
        <f>+VLOOKUP(E2050,'2025'!E:F,2,0)</f>
        <v>OUI</v>
      </c>
      <c r="O2050" s="277" t="str">
        <f>VLOOKUP(E2050,'2025'!E:N,10,0)</f>
        <v>Tchad</v>
      </c>
      <c r="P2050" s="890">
        <f>VLOOKUP(E2050,'2025'!E:O,11,0)</f>
        <v>45847</v>
      </c>
      <c r="Q2050" s="347">
        <f>VLOOKUP(E2050,'2025'!E:H,4,0)</f>
        <v>43200</v>
      </c>
      <c r="R2050" s="347">
        <f>VLOOKUP(E2050,'2025'!E:I,5,0)</f>
        <v>0</v>
      </c>
      <c r="S2050" s="347">
        <f>VLOOKUP(E2050,'2025'!E:J,6,0)</f>
        <v>0</v>
      </c>
      <c r="T2050" s="347">
        <f>VLOOKUP(E2050,'2025'!E:K,7,0)</f>
        <v>0</v>
      </c>
      <c r="U2050" s="347">
        <f t="shared" si="70"/>
        <v>43200</v>
      </c>
      <c r="V2050" s="348"/>
      <c r="W2050" s="349" t="e">
        <f>+VLOOKUP(D2050,'JOURNAL FACTURES'!A:O,15,0)</f>
        <v>#N/A</v>
      </c>
      <c r="X2050" s="349" t="e">
        <f>VLOOKUP(D2050,'JOURNAL FACTURES'!A:P,16,0)</f>
        <v>#N/A</v>
      </c>
      <c r="Y2050" s="349" t="e">
        <f>VLOOKUP(D2050,'JOURNAL FACTURES'!A:Q,17,0)</f>
        <v>#N/A</v>
      </c>
      <c r="Z2050" s="349" t="e">
        <f>VLOOKUP(D2050,'JOURNAL FACTURES'!A:R,18,0)</f>
        <v>#N/A</v>
      </c>
      <c r="AA2050" s="350" t="e">
        <f t="shared" si="71"/>
        <v>#N/A</v>
      </c>
      <c r="AB2050" s="350" t="e">
        <f t="shared" si="72"/>
        <v>#N/A</v>
      </c>
      <c r="AC2050" s="350" t="e">
        <f t="shared" si="73"/>
        <v>#N/A</v>
      </c>
      <c r="AD2050" s="350" t="e">
        <f t="shared" si="74"/>
        <v>#N/A</v>
      </c>
      <c r="AE2050" s="349">
        <f>VLOOKUP(D2050,TRANSPORT!H:J,3,0)</f>
        <v>0</v>
      </c>
      <c r="AF2050" s="349">
        <f>+VLOOKUP(D2050,TRANSPORT!N:O,2,0)</f>
        <v>0</v>
      </c>
      <c r="AG2050" s="349">
        <f t="shared" si="75"/>
        <v>0</v>
      </c>
      <c r="AH2050" s="351" t="e">
        <f t="shared" si="76"/>
        <v>#N/A</v>
      </c>
      <c r="AI2050" s="351" t="e">
        <f t="shared" si="77"/>
        <v>#N/A</v>
      </c>
      <c r="AJ2050" s="351" t="e">
        <f t="shared" si="78"/>
        <v>#N/A</v>
      </c>
      <c r="AK2050" s="351" t="e">
        <f t="shared" si="79"/>
        <v>#N/A</v>
      </c>
      <c r="AL2050" s="352">
        <f>VLOOKUP(D2050,'INTEGRATION PAR CLIENT '!A1446:J1474,10,0)</f>
        <v>1</v>
      </c>
      <c r="AM2050" s="352">
        <f>VLOOKUP(D2050,'INTEGRATION PAR CLIENT '!A1446:L1474,12,0)</f>
        <v>0</v>
      </c>
      <c r="AN2050" s="352">
        <f>+VLOOKUP(D2050,'INTEGRATION PAR CLIENT '!A1446:N1474,14,0)</f>
        <v>0</v>
      </c>
      <c r="AO2050" s="352">
        <f>+VLOOKUP(D2050,'INTEGRATION PAR CLIENT '!A1446:P1474,16,0)</f>
        <v>0</v>
      </c>
    </row>
    <row r="2051" spans="1:41">
      <c r="A2051" s="342">
        <v>171</v>
      </c>
      <c r="B2051" s="277" t="str">
        <f t="shared" si="67"/>
        <v>171</v>
      </c>
      <c r="C2051" s="277">
        <v>0</v>
      </c>
      <c r="D2051" s="343" t="str">
        <f>'2025'!D172</f>
        <v>FAE-25-00171</v>
      </c>
      <c r="E2051" s="277" t="str">
        <f t="shared" si="68"/>
        <v>171</v>
      </c>
      <c r="F2051" s="618" t="str">
        <f>+'2025'!G172</f>
        <v>17/06/2025</v>
      </c>
      <c r="G2051" s="619">
        <f t="shared" si="42"/>
        <v>2025</v>
      </c>
      <c r="H2051" s="383" t="s">
        <v>16444</v>
      </c>
      <c r="I2051" s="277" t="str">
        <f>+VLOOKUP(H2051,Sheet1!A:C,3,0)</f>
        <v>SAHEL INTERNATIONAL TRADE</v>
      </c>
      <c r="J2051" s="277" t="str">
        <f>+VLOOKUP(H2051,Sheet1!A:D,4,0)</f>
        <v>TND</v>
      </c>
      <c r="K2051" s="278">
        <f t="shared" si="69"/>
        <v>47520</v>
      </c>
      <c r="L2051" s="383">
        <v>1</v>
      </c>
      <c r="M2051" s="384">
        <v>47520</v>
      </c>
      <c r="N2051" s="277" t="str">
        <f>+VLOOKUP(E2051,'2025'!E:F,2,0)</f>
        <v>OUI</v>
      </c>
      <c r="O2051" s="277" t="str">
        <f>VLOOKUP(E2051,'2025'!E:N,10,0)</f>
        <v>Togo</v>
      </c>
      <c r="P2051" s="890">
        <f>VLOOKUP(E2051,'2025'!E:O,11,0)</f>
        <v>45847</v>
      </c>
      <c r="Q2051" s="347">
        <f>VLOOKUP(E2051,'2025'!E:H,4,0)</f>
        <v>21600</v>
      </c>
      <c r="R2051" s="347">
        <f>VLOOKUP(E2051,'2025'!E:I,5,0)</f>
        <v>0</v>
      </c>
      <c r="S2051" s="347">
        <f>VLOOKUP(E2051,'2025'!E:J,6,0)</f>
        <v>0</v>
      </c>
      <c r="T2051" s="347">
        <f>VLOOKUP(E2051,'2025'!E:K,7,0)</f>
        <v>0</v>
      </c>
      <c r="U2051" s="347">
        <f t="shared" si="70"/>
        <v>21600</v>
      </c>
      <c r="V2051" s="348"/>
      <c r="W2051" s="349" t="e">
        <f>+VLOOKUP(D2051,'JOURNAL FACTURES'!A:O,15,0)</f>
        <v>#N/A</v>
      </c>
      <c r="X2051" s="349" t="e">
        <f>VLOOKUP(D2051,'JOURNAL FACTURES'!A:P,16,0)</f>
        <v>#N/A</v>
      </c>
      <c r="Y2051" s="349" t="e">
        <f>VLOOKUP(D2051,'JOURNAL FACTURES'!A:Q,17,0)</f>
        <v>#N/A</v>
      </c>
      <c r="Z2051" s="349" t="e">
        <f>VLOOKUP(D2051,'JOURNAL FACTURES'!A:R,18,0)</f>
        <v>#N/A</v>
      </c>
      <c r="AA2051" s="350" t="e">
        <f t="shared" si="71"/>
        <v>#N/A</v>
      </c>
      <c r="AB2051" s="350" t="e">
        <f t="shared" si="72"/>
        <v>#N/A</v>
      </c>
      <c r="AC2051" s="350" t="e">
        <f t="shared" si="73"/>
        <v>#N/A</v>
      </c>
      <c r="AD2051" s="350" t="e">
        <f t="shared" si="74"/>
        <v>#N/A</v>
      </c>
      <c r="AE2051" s="349">
        <f>VLOOKUP(D2051,TRANSPORT!H:J,3,0)</f>
        <v>0</v>
      </c>
      <c r="AF2051" s="349">
        <f>+VLOOKUP(D2051,TRANSPORT!N:O,2,0)</f>
        <v>0</v>
      </c>
      <c r="AG2051" s="349">
        <f t="shared" si="75"/>
        <v>0</v>
      </c>
      <c r="AH2051" s="351" t="e">
        <f t="shared" si="76"/>
        <v>#N/A</v>
      </c>
      <c r="AI2051" s="351" t="e">
        <f t="shared" si="77"/>
        <v>#N/A</v>
      </c>
      <c r="AJ2051" s="351" t="e">
        <f t="shared" si="78"/>
        <v>#N/A</v>
      </c>
      <c r="AK2051" s="351" t="e">
        <f t="shared" si="79"/>
        <v>#N/A</v>
      </c>
      <c r="AL2051" s="352">
        <f>VLOOKUP(D2051,'INTEGRATION PAR CLIENT '!A1447:J1475,10,0)</f>
        <v>1</v>
      </c>
      <c r="AM2051" s="352">
        <f>VLOOKUP(D2051,'INTEGRATION PAR CLIENT '!A1447:L1475,12,0)</f>
        <v>0</v>
      </c>
      <c r="AN2051" s="352">
        <f>+VLOOKUP(D2051,'INTEGRATION PAR CLIENT '!A1447:N1475,14,0)</f>
        <v>0</v>
      </c>
      <c r="AO2051" s="352">
        <f>+VLOOKUP(D2051,'INTEGRATION PAR CLIENT '!A1447:P1475,16,0)</f>
        <v>0</v>
      </c>
    </row>
    <row r="2052" spans="1:41">
      <c r="A2052" s="342">
        <v>172</v>
      </c>
      <c r="B2052" s="277" t="str">
        <f t="shared" si="67"/>
        <v>172</v>
      </c>
      <c r="C2052" s="277">
        <v>0</v>
      </c>
      <c r="D2052" s="343" t="str">
        <f>'2025'!D173</f>
        <v>FAE-25-00172</v>
      </c>
      <c r="E2052" s="277" t="str">
        <f t="shared" si="68"/>
        <v>172</v>
      </c>
      <c r="F2052" s="618" t="str">
        <f>+'2025'!G173</f>
        <v>17/06/2025</v>
      </c>
      <c r="G2052" s="619">
        <f t="shared" si="42"/>
        <v>2025</v>
      </c>
      <c r="H2052" s="383" t="s">
        <v>16444</v>
      </c>
      <c r="I2052" s="277" t="str">
        <f>+VLOOKUP(H2052,Sheet1!A:C,3,0)</f>
        <v>SAHEL INTERNATIONAL TRADE</v>
      </c>
      <c r="J2052" s="277" t="str">
        <f>+VLOOKUP(H2052,Sheet1!A:D,4,0)</f>
        <v>TND</v>
      </c>
      <c r="K2052" s="278">
        <f t="shared" si="69"/>
        <v>83880</v>
      </c>
      <c r="L2052" s="383">
        <v>1</v>
      </c>
      <c r="M2052" s="384">
        <v>83880</v>
      </c>
      <c r="N2052" s="277" t="str">
        <f>+VLOOKUP(E2052,'2025'!E:F,2,0)</f>
        <v>OUI</v>
      </c>
      <c r="O2052" s="277" t="str">
        <f>VLOOKUP(E2052,'2025'!E:N,10,0)</f>
        <v>Burkina Faso</v>
      </c>
      <c r="P2052" s="890">
        <f>VLOOKUP(E2052,'2025'!E:O,11,0)</f>
        <v>45847</v>
      </c>
      <c r="Q2052" s="347">
        <f>VLOOKUP(E2052,'2025'!E:H,4,0)</f>
        <v>0</v>
      </c>
      <c r="R2052" s="347">
        <f>VLOOKUP(E2052,'2025'!E:I,5,0)</f>
        <v>48000</v>
      </c>
      <c r="S2052" s="347">
        <f>VLOOKUP(E2052,'2025'!E:J,6,0)</f>
        <v>0</v>
      </c>
      <c r="T2052" s="347">
        <f>VLOOKUP(E2052,'2025'!E:K,7,0)</f>
        <v>0</v>
      </c>
      <c r="U2052" s="347">
        <f t="shared" si="70"/>
        <v>48000</v>
      </c>
      <c r="V2052" s="348"/>
      <c r="W2052" s="349" t="e">
        <f>+VLOOKUP(D2052,'JOURNAL FACTURES'!A:O,15,0)</f>
        <v>#N/A</v>
      </c>
      <c r="X2052" s="349" t="e">
        <f>VLOOKUP(D2052,'JOURNAL FACTURES'!A:P,16,0)</f>
        <v>#N/A</v>
      </c>
      <c r="Y2052" s="349" t="e">
        <f>VLOOKUP(D2052,'JOURNAL FACTURES'!A:Q,17,0)</f>
        <v>#N/A</v>
      </c>
      <c r="Z2052" s="349" t="e">
        <f>VLOOKUP(D2052,'JOURNAL FACTURES'!A:R,18,0)</f>
        <v>#N/A</v>
      </c>
      <c r="AA2052" s="350" t="e">
        <f t="shared" si="71"/>
        <v>#N/A</v>
      </c>
      <c r="AB2052" s="350" t="e">
        <f t="shared" si="72"/>
        <v>#N/A</v>
      </c>
      <c r="AC2052" s="350" t="e">
        <f t="shared" si="73"/>
        <v>#N/A</v>
      </c>
      <c r="AD2052" s="350" t="e">
        <f t="shared" si="74"/>
        <v>#N/A</v>
      </c>
      <c r="AE2052" s="349">
        <f>VLOOKUP(D2052,TRANSPORT!H:J,3,0)</f>
        <v>0</v>
      </c>
      <c r="AF2052" s="349">
        <f>+VLOOKUP(D2052,TRANSPORT!N:O,2,0)</f>
        <v>0</v>
      </c>
      <c r="AG2052" s="349">
        <f t="shared" si="75"/>
        <v>0</v>
      </c>
      <c r="AH2052" s="351" t="e">
        <f t="shared" si="76"/>
        <v>#N/A</v>
      </c>
      <c r="AI2052" s="351" t="e">
        <f t="shared" si="77"/>
        <v>#N/A</v>
      </c>
      <c r="AJ2052" s="351" t="e">
        <f t="shared" si="78"/>
        <v>#N/A</v>
      </c>
      <c r="AK2052" s="351" t="e">
        <f t="shared" si="79"/>
        <v>#N/A</v>
      </c>
      <c r="AL2052" s="352">
        <f>VLOOKUP(D2052,'INTEGRATION PAR CLIENT '!A1448:J1476,10,0)</f>
        <v>0</v>
      </c>
      <c r="AM2052" s="352" t="str">
        <f>VLOOKUP(D2052,'INTEGRATION PAR CLIENT '!A1448:L1476,12,0)</f>
        <v>'30%S-70%F</v>
      </c>
      <c r="AN2052" s="352">
        <f>+VLOOKUP(D2052,'INTEGRATION PAR CLIENT '!A1448:N1476,14,0)</f>
        <v>0</v>
      </c>
      <c r="AO2052" s="352">
        <f>+VLOOKUP(D2052,'INTEGRATION PAR CLIENT '!A1448:P1476,16,0)</f>
        <v>0</v>
      </c>
    </row>
    <row r="2053" spans="1:41">
      <c r="A2053" s="342">
        <v>173</v>
      </c>
      <c r="B2053" s="277" t="str">
        <f t="shared" si="67"/>
        <v>173</v>
      </c>
      <c r="C2053" s="277">
        <v>0</v>
      </c>
      <c r="D2053" s="343" t="str">
        <f>'2025'!D174</f>
        <v>FAE-25-00173</v>
      </c>
      <c r="E2053" s="277" t="str">
        <f t="shared" si="68"/>
        <v>173</v>
      </c>
      <c r="F2053" s="618" t="str">
        <f>+'2025'!G174</f>
        <v>17/06/2025</v>
      </c>
      <c r="G2053" s="619">
        <f t="shared" si="42"/>
        <v>2025</v>
      </c>
      <c r="H2053" s="383" t="s">
        <v>16384</v>
      </c>
      <c r="I2053" s="277" t="str">
        <f>+VLOOKUP(H2053,Sheet1!A:C,3,0)</f>
        <v>STE DE COMMERCE INTERNATIONAL</v>
      </c>
      <c r="J2053" s="277" t="str">
        <f>+VLOOKUP(H2053,Sheet1!A:D,4,0)</f>
        <v>TND</v>
      </c>
      <c r="K2053" s="278">
        <f t="shared" si="69"/>
        <v>39367.199999999997</v>
      </c>
      <c r="L2053" s="383">
        <v>1</v>
      </c>
      <c r="M2053" s="384">
        <v>39367.199999999997</v>
      </c>
      <c r="N2053" s="277" t="str">
        <f>+VLOOKUP(E2053,'2025'!E:F,2,0)</f>
        <v>OUI</v>
      </c>
      <c r="O2053" s="277" t="str">
        <f>VLOOKUP(E2053,'2025'!E:N,10,0)</f>
        <v>Gabon</v>
      </c>
      <c r="P2053" s="890">
        <f>VLOOKUP(E2053,'2025'!E:O,11,0)</f>
        <v>45846</v>
      </c>
      <c r="Q2053" s="347">
        <f>VLOOKUP(E2053,'2025'!E:H,4,0)</f>
        <v>0</v>
      </c>
      <c r="R2053" s="347">
        <f>VLOOKUP(E2053,'2025'!E:I,5,0)</f>
        <v>22560</v>
      </c>
      <c r="S2053" s="347">
        <f>VLOOKUP(E2053,'2025'!E:J,6,0)</f>
        <v>0</v>
      </c>
      <c r="T2053" s="347">
        <f>VLOOKUP(E2053,'2025'!E:K,7,0)</f>
        <v>0</v>
      </c>
      <c r="U2053" s="347">
        <f t="shared" si="70"/>
        <v>22560</v>
      </c>
      <c r="V2053" s="348"/>
      <c r="W2053" s="349" t="e">
        <f>+VLOOKUP(D2053,'JOURNAL FACTURES'!A:O,15,0)</f>
        <v>#N/A</v>
      </c>
      <c r="X2053" s="349" t="e">
        <f>VLOOKUP(D2053,'JOURNAL FACTURES'!A:P,16,0)</f>
        <v>#N/A</v>
      </c>
      <c r="Y2053" s="349" t="e">
        <f>VLOOKUP(D2053,'JOURNAL FACTURES'!A:Q,17,0)</f>
        <v>#N/A</v>
      </c>
      <c r="Z2053" s="349" t="e">
        <f>VLOOKUP(D2053,'JOURNAL FACTURES'!A:R,18,0)</f>
        <v>#N/A</v>
      </c>
      <c r="AA2053" s="350" t="e">
        <f t="shared" si="71"/>
        <v>#N/A</v>
      </c>
      <c r="AB2053" s="350" t="e">
        <f t="shared" si="72"/>
        <v>#N/A</v>
      </c>
      <c r="AC2053" s="350" t="e">
        <f t="shared" si="73"/>
        <v>#N/A</v>
      </c>
      <c r="AD2053" s="350" t="e">
        <f t="shared" si="74"/>
        <v>#N/A</v>
      </c>
      <c r="AE2053" s="349">
        <f>VLOOKUP(D2053,TRANSPORT!H:J,3,0)</f>
        <v>0</v>
      </c>
      <c r="AF2053" s="349">
        <f>+VLOOKUP(D2053,TRANSPORT!N:O,2,0)</f>
        <v>0</v>
      </c>
      <c r="AG2053" s="349">
        <f t="shared" si="75"/>
        <v>0</v>
      </c>
      <c r="AH2053" s="351" t="e">
        <f t="shared" si="76"/>
        <v>#N/A</v>
      </c>
      <c r="AI2053" s="351" t="e">
        <f t="shared" si="77"/>
        <v>#N/A</v>
      </c>
      <c r="AJ2053" s="351" t="e">
        <f t="shared" si="78"/>
        <v>#N/A</v>
      </c>
      <c r="AK2053" s="351" t="e">
        <f t="shared" si="79"/>
        <v>#N/A</v>
      </c>
      <c r="AL2053" s="352">
        <f>VLOOKUP(D2053,'INTEGRATION PAR CLIENT '!A1449:J1477,10,0)</f>
        <v>0</v>
      </c>
      <c r="AM2053" s="352" t="str">
        <f>VLOOKUP(D2053,'INTEGRATION PAR CLIENT '!A1449:L1477,12,0)</f>
        <v>'30%S-70%F</v>
      </c>
      <c r="AN2053" s="352">
        <f>+VLOOKUP(D2053,'INTEGRATION PAR CLIENT '!A1449:N1477,14,0)</f>
        <v>0</v>
      </c>
      <c r="AO2053" s="352">
        <f>+VLOOKUP(D2053,'INTEGRATION PAR CLIENT '!A1449:P1477,16,0)</f>
        <v>0</v>
      </c>
    </row>
    <row r="2054" spans="1:41">
      <c r="A2054" s="342">
        <v>174</v>
      </c>
      <c r="B2054" s="277" t="str">
        <f t="shared" si="67"/>
        <v>174</v>
      </c>
      <c r="C2054" s="277">
        <v>0</v>
      </c>
      <c r="D2054" s="343" t="str">
        <f>'2025'!D175</f>
        <v>FAE-25-00174</v>
      </c>
      <c r="E2054" s="277" t="str">
        <f t="shared" si="68"/>
        <v>174</v>
      </c>
      <c r="F2054" s="618" t="str">
        <f>+'2025'!G175</f>
        <v>17/06/2025</v>
      </c>
      <c r="G2054" s="619">
        <f t="shared" si="42"/>
        <v>2025</v>
      </c>
      <c r="H2054" s="383" t="s">
        <v>16384</v>
      </c>
      <c r="I2054" s="277" t="str">
        <f>+VLOOKUP(H2054,Sheet1!A:C,3,0)</f>
        <v>STE DE COMMERCE INTERNATIONAL</v>
      </c>
      <c r="J2054" s="277" t="str">
        <f>+VLOOKUP(H2054,Sheet1!A:D,4,0)</f>
        <v>TND</v>
      </c>
      <c r="K2054" s="278">
        <f t="shared" si="69"/>
        <v>168960</v>
      </c>
      <c r="L2054" s="383">
        <v>1</v>
      </c>
      <c r="M2054" s="384">
        <v>168960</v>
      </c>
      <c r="N2054" s="277" t="str">
        <f>+VLOOKUP(E2054,'2025'!E:F,2,0)</f>
        <v>OUI</v>
      </c>
      <c r="O2054" s="277" t="str">
        <f>VLOOKUP(E2054,'2025'!E:N,10,0)</f>
        <v>Gambie</v>
      </c>
      <c r="P2054" s="890">
        <f>VLOOKUP(E2054,'2025'!E:O,11,0)</f>
        <v>45841</v>
      </c>
      <c r="Q2054" s="347">
        <f>VLOOKUP(E2054,'2025'!E:H,4,0)</f>
        <v>76800</v>
      </c>
      <c r="R2054" s="347">
        <f>VLOOKUP(E2054,'2025'!E:I,5,0)</f>
        <v>0</v>
      </c>
      <c r="S2054" s="347">
        <f>VLOOKUP(E2054,'2025'!E:J,6,0)</f>
        <v>0</v>
      </c>
      <c r="T2054" s="347">
        <f>VLOOKUP(E2054,'2025'!E:K,7,0)</f>
        <v>0</v>
      </c>
      <c r="U2054" s="347">
        <f t="shared" si="70"/>
        <v>76800</v>
      </c>
      <c r="V2054" s="348"/>
      <c r="W2054" s="349" t="e">
        <f>+VLOOKUP(D2054,'JOURNAL FACTURES'!A:O,15,0)</f>
        <v>#N/A</v>
      </c>
      <c r="X2054" s="349" t="e">
        <f>VLOOKUP(D2054,'JOURNAL FACTURES'!A:P,16,0)</f>
        <v>#N/A</v>
      </c>
      <c r="Y2054" s="349" t="e">
        <f>VLOOKUP(D2054,'JOURNAL FACTURES'!A:Q,17,0)</f>
        <v>#N/A</v>
      </c>
      <c r="Z2054" s="349" t="e">
        <f>VLOOKUP(D2054,'JOURNAL FACTURES'!A:R,18,0)</f>
        <v>#N/A</v>
      </c>
      <c r="AA2054" s="350" t="e">
        <f t="shared" si="71"/>
        <v>#N/A</v>
      </c>
      <c r="AB2054" s="350" t="e">
        <f t="shared" si="72"/>
        <v>#N/A</v>
      </c>
      <c r="AC2054" s="350" t="e">
        <f t="shared" si="73"/>
        <v>#N/A</v>
      </c>
      <c r="AD2054" s="350" t="e">
        <f t="shared" si="74"/>
        <v>#N/A</v>
      </c>
      <c r="AE2054" s="349">
        <f>VLOOKUP(D2054,TRANSPORT!H:J,3,0)</f>
        <v>0</v>
      </c>
      <c r="AF2054" s="349">
        <f>+VLOOKUP(D2054,TRANSPORT!N:O,2,0)</f>
        <v>0</v>
      </c>
      <c r="AG2054" s="349">
        <f t="shared" si="75"/>
        <v>0</v>
      </c>
      <c r="AH2054" s="351" t="e">
        <f t="shared" si="76"/>
        <v>#N/A</v>
      </c>
      <c r="AI2054" s="351" t="e">
        <f t="shared" si="77"/>
        <v>#N/A</v>
      </c>
      <c r="AJ2054" s="351" t="e">
        <f t="shared" si="78"/>
        <v>#N/A</v>
      </c>
      <c r="AK2054" s="351" t="e">
        <f t="shared" si="79"/>
        <v>#N/A</v>
      </c>
      <c r="AL2054" s="352">
        <f>VLOOKUP(D2054,'INTEGRATION PAR CLIENT '!A1450:J1478,10,0)</f>
        <v>1</v>
      </c>
      <c r="AM2054" s="352">
        <f>VLOOKUP(D2054,'INTEGRATION PAR CLIENT '!A1450:L1478,12,0)</f>
        <v>0</v>
      </c>
      <c r="AN2054" s="352">
        <f>+VLOOKUP(D2054,'INTEGRATION PAR CLIENT '!A1450:N1478,14,0)</f>
        <v>0</v>
      </c>
      <c r="AO2054" s="352">
        <f>+VLOOKUP(D2054,'INTEGRATION PAR CLIENT '!A1450:P1478,16,0)</f>
        <v>0</v>
      </c>
    </row>
    <row r="2055" spans="1:41">
      <c r="A2055" s="342">
        <v>175</v>
      </c>
      <c r="B2055" s="277" t="str">
        <f t="shared" si="67"/>
        <v>175</v>
      </c>
      <c r="C2055" s="277">
        <v>0</v>
      </c>
      <c r="D2055" s="343" t="str">
        <f>'2025'!D176</f>
        <v>FAE-25-00175</v>
      </c>
      <c r="E2055" s="277" t="str">
        <f t="shared" si="68"/>
        <v>175</v>
      </c>
      <c r="F2055" s="618" t="str">
        <f>+'2025'!G176</f>
        <v>17/06/2025</v>
      </c>
      <c r="G2055" s="619">
        <f t="shared" si="42"/>
        <v>2025</v>
      </c>
      <c r="H2055" s="383" t="s">
        <v>16838</v>
      </c>
      <c r="I2055" s="277" t="str">
        <f>+VLOOKUP(H2055,Sheet1!A:C,3,0)</f>
        <v>TUNISIAN AFRICAN BUSINESS</v>
      </c>
      <c r="J2055" s="277" t="str">
        <f>+VLOOKUP(H2055,Sheet1!A:D,4,0)</f>
        <v>TND</v>
      </c>
      <c r="K2055" s="278">
        <f t="shared" si="69"/>
        <v>287391.03999999998</v>
      </c>
      <c r="L2055" s="383">
        <v>1</v>
      </c>
      <c r="M2055" s="384">
        <v>287391.03999999998</v>
      </c>
      <c r="N2055" s="277" t="str">
        <f>+VLOOKUP(E2055,'2025'!E:F,2,0)</f>
        <v>OUI</v>
      </c>
      <c r="O2055" s="277" t="str">
        <f>VLOOKUP(E2055,'2025'!E:N,10,0)</f>
        <v>Gabon</v>
      </c>
      <c r="P2055" s="890">
        <f>VLOOKUP(E2055,'2025'!E:O,11,0)</f>
        <v>45852</v>
      </c>
      <c r="Q2055" s="347">
        <f>VLOOKUP(E2055,'2025'!E:H,4,0)</f>
        <v>0</v>
      </c>
      <c r="R2055" s="347">
        <f>VLOOKUP(E2055,'2025'!E:I,5,0)</f>
        <v>25404</v>
      </c>
      <c r="S2055" s="347">
        <f>VLOOKUP(E2055,'2025'!E:J,6,0)</f>
        <v>140000</v>
      </c>
      <c r="T2055" s="347">
        <f>VLOOKUP(E2055,'2025'!E:K,7,0)</f>
        <v>250</v>
      </c>
      <c r="U2055" s="347">
        <f t="shared" si="70"/>
        <v>165654</v>
      </c>
      <c r="V2055" s="348"/>
      <c r="W2055" s="349" t="e">
        <f>+VLOOKUP(D2055,'JOURNAL FACTURES'!A:O,15,0)</f>
        <v>#N/A</v>
      </c>
      <c r="X2055" s="349" t="e">
        <f>VLOOKUP(D2055,'JOURNAL FACTURES'!A:P,16,0)</f>
        <v>#N/A</v>
      </c>
      <c r="Y2055" s="349" t="e">
        <f>VLOOKUP(D2055,'JOURNAL FACTURES'!A:Q,17,0)</f>
        <v>#N/A</v>
      </c>
      <c r="Z2055" s="349" t="e">
        <f>VLOOKUP(D2055,'JOURNAL FACTURES'!A:R,18,0)</f>
        <v>#N/A</v>
      </c>
      <c r="AA2055" s="350" t="e">
        <f t="shared" si="71"/>
        <v>#N/A</v>
      </c>
      <c r="AB2055" s="350" t="e">
        <f t="shared" si="72"/>
        <v>#N/A</v>
      </c>
      <c r="AC2055" s="350" t="e">
        <f t="shared" si="73"/>
        <v>#N/A</v>
      </c>
      <c r="AD2055" s="350" t="e">
        <f t="shared" si="74"/>
        <v>#N/A</v>
      </c>
      <c r="AE2055" s="349">
        <f>VLOOKUP(D2055,TRANSPORT!H:J,3,0)</f>
        <v>0</v>
      </c>
      <c r="AF2055" s="349">
        <f>+VLOOKUP(D2055,TRANSPORT!N:O,2,0)</f>
        <v>0</v>
      </c>
      <c r="AG2055" s="349">
        <f t="shared" si="75"/>
        <v>0</v>
      </c>
      <c r="AH2055" s="351" t="e">
        <f t="shared" si="76"/>
        <v>#N/A</v>
      </c>
      <c r="AI2055" s="351" t="e">
        <f t="shared" si="77"/>
        <v>#N/A</v>
      </c>
      <c r="AJ2055" s="351" t="e">
        <f t="shared" si="78"/>
        <v>#N/A</v>
      </c>
      <c r="AK2055" s="351" t="e">
        <f t="shared" si="79"/>
        <v>#N/A</v>
      </c>
      <c r="AL2055" s="352">
        <f>VLOOKUP(D2055,'INTEGRATION PAR CLIENT '!A1451:J1479,10,0)</f>
        <v>0</v>
      </c>
      <c r="AM2055" s="352" t="str">
        <f>VLOOKUP(D2055,'INTEGRATION PAR CLIENT '!A1451:L1479,12,0)</f>
        <v>'30%S-70%F</v>
      </c>
      <c r="AN2055" s="352" t="str">
        <f>+VLOOKUP(D2055,'INTEGRATION PAR CLIENT '!A1451:N1479,14,0)</f>
        <v>10%-90%</v>
      </c>
      <c r="AO2055" s="352">
        <f>+VLOOKUP(D2055,'INTEGRATION PAR CLIENT '!A1451:P1479,16,0)</f>
        <v>1</v>
      </c>
    </row>
    <row r="2056" spans="1:41">
      <c r="A2056" s="342">
        <v>176</v>
      </c>
      <c r="B2056" s="277" t="str">
        <f t="shared" si="67"/>
        <v>176</v>
      </c>
      <c r="C2056" s="277">
        <v>0</v>
      </c>
      <c r="D2056" s="343" t="str">
        <f>'2025'!D177</f>
        <v>FAE-25-00176</v>
      </c>
      <c r="E2056" s="277" t="str">
        <f t="shared" si="68"/>
        <v>176</v>
      </c>
      <c r="F2056" s="618" t="str">
        <f>+'2025'!G177</f>
        <v>17/06/2025</v>
      </c>
      <c r="G2056" s="619">
        <f t="shared" si="42"/>
        <v>2025</v>
      </c>
      <c r="H2056" s="383" t="s">
        <v>16838</v>
      </c>
      <c r="I2056" s="277" t="str">
        <f>+VLOOKUP(H2056,Sheet1!A:C,3,0)</f>
        <v>TUNISIAN AFRICAN BUSINESS</v>
      </c>
      <c r="J2056" s="277" t="str">
        <f>+VLOOKUP(H2056,Sheet1!A:D,4,0)</f>
        <v>TND</v>
      </c>
      <c r="K2056" s="278">
        <f t="shared" si="69"/>
        <v>190540</v>
      </c>
      <c r="L2056" s="383">
        <v>1</v>
      </c>
      <c r="M2056" s="384">
        <v>190540</v>
      </c>
      <c r="N2056" s="277" t="str">
        <f>+VLOOKUP(E2056,'2025'!E:F,2,0)</f>
        <v>OUI</v>
      </c>
      <c r="O2056" s="277" t="str">
        <f>VLOOKUP(E2056,'2025'!E:N,10,0)</f>
        <v>Gabon</v>
      </c>
      <c r="P2056" s="890">
        <f>VLOOKUP(E2056,'2025'!E:O,11,0)</f>
        <v>45846</v>
      </c>
      <c r="Q2056" s="347">
        <f>VLOOKUP(E2056,'2025'!E:H,4,0)</f>
        <v>2400</v>
      </c>
      <c r="R2056" s="347">
        <f>VLOOKUP(E2056,'2025'!E:I,5,0)</f>
        <v>24000</v>
      </c>
      <c r="S2056" s="347">
        <f>VLOOKUP(E2056,'2025'!E:J,6,0)</f>
        <v>84000</v>
      </c>
      <c r="T2056" s="347">
        <f>VLOOKUP(E2056,'2025'!E:K,7,0)</f>
        <v>0</v>
      </c>
      <c r="U2056" s="347">
        <f t="shared" si="70"/>
        <v>110400</v>
      </c>
      <c r="V2056" s="348"/>
      <c r="W2056" s="349" t="e">
        <f>+VLOOKUP(D2056,'JOURNAL FACTURES'!A:O,15,0)</f>
        <v>#N/A</v>
      </c>
      <c r="X2056" s="349" t="e">
        <f>VLOOKUP(D2056,'JOURNAL FACTURES'!A:P,16,0)</f>
        <v>#N/A</v>
      </c>
      <c r="Y2056" s="349" t="e">
        <f>VLOOKUP(D2056,'JOURNAL FACTURES'!A:Q,17,0)</f>
        <v>#N/A</v>
      </c>
      <c r="Z2056" s="349" t="e">
        <f>VLOOKUP(D2056,'JOURNAL FACTURES'!A:R,18,0)</f>
        <v>#N/A</v>
      </c>
      <c r="AA2056" s="350" t="e">
        <f t="shared" si="71"/>
        <v>#N/A</v>
      </c>
      <c r="AB2056" s="350" t="e">
        <f t="shared" si="72"/>
        <v>#N/A</v>
      </c>
      <c r="AC2056" s="350" t="e">
        <f t="shared" si="73"/>
        <v>#N/A</v>
      </c>
      <c r="AD2056" s="350" t="e">
        <f t="shared" si="74"/>
        <v>#N/A</v>
      </c>
      <c r="AE2056" s="349">
        <f>VLOOKUP(D2056,TRANSPORT!H:J,3,0)</f>
        <v>0</v>
      </c>
      <c r="AF2056" s="349">
        <f>+VLOOKUP(D2056,TRANSPORT!N:O,2,0)</f>
        <v>0</v>
      </c>
      <c r="AG2056" s="349">
        <f t="shared" si="75"/>
        <v>0</v>
      </c>
      <c r="AH2056" s="351" t="e">
        <f t="shared" si="76"/>
        <v>#N/A</v>
      </c>
      <c r="AI2056" s="351" t="e">
        <f t="shared" si="77"/>
        <v>#N/A</v>
      </c>
      <c r="AJ2056" s="351" t="e">
        <f t="shared" si="78"/>
        <v>#N/A</v>
      </c>
      <c r="AK2056" s="351" t="e">
        <f t="shared" si="79"/>
        <v>#N/A</v>
      </c>
      <c r="AL2056" s="352">
        <f>VLOOKUP(D2056,'INTEGRATION PAR CLIENT '!A1452:J1480,10,0)</f>
        <v>1</v>
      </c>
      <c r="AM2056" s="352" t="str">
        <f>VLOOKUP(D2056,'INTEGRATION PAR CLIENT '!A1452:L1480,12,0)</f>
        <v>'30%S-70%F</v>
      </c>
      <c r="AN2056" s="352" t="str">
        <f>+VLOOKUP(D2056,'INTEGRATION PAR CLIENT '!A1452:N1480,14,0)</f>
        <v>10%-90%</v>
      </c>
      <c r="AO2056" s="352">
        <f>+VLOOKUP(D2056,'INTEGRATION PAR CLIENT '!A1452:P1480,16,0)</f>
        <v>0</v>
      </c>
    </row>
    <row r="2057" spans="1:41">
      <c r="A2057" s="342">
        <v>177</v>
      </c>
      <c r="B2057" s="277" t="str">
        <f t="shared" si="67"/>
        <v>177</v>
      </c>
      <c r="C2057" s="277">
        <v>0</v>
      </c>
      <c r="D2057" s="343" t="str">
        <f>'2025'!D178</f>
        <v>FAE-25-00177</v>
      </c>
      <c r="E2057" s="277" t="str">
        <f t="shared" si="68"/>
        <v>177</v>
      </c>
      <c r="F2057" s="618" t="str">
        <f>+'2025'!G178</f>
        <v>17/06/2025</v>
      </c>
      <c r="G2057" s="619">
        <f t="shared" si="42"/>
        <v>2025</v>
      </c>
      <c r="H2057" s="383" t="s">
        <v>17017</v>
      </c>
      <c r="I2057" s="277" t="str">
        <f>+VLOOKUP(H2057,Sheet1!A:C,3,0)</f>
        <v>ARCADIA</v>
      </c>
      <c r="J2057" s="277" t="str">
        <f>+VLOOKUP(H2057,Sheet1!A:D,4,0)</f>
        <v>TND</v>
      </c>
      <c r="K2057" s="278">
        <f t="shared" si="69"/>
        <v>60678.84</v>
      </c>
      <c r="L2057" s="383">
        <v>1</v>
      </c>
      <c r="M2057" s="384">
        <v>60678.84</v>
      </c>
      <c r="N2057" s="277" t="str">
        <f>+VLOOKUP(E2057,'2025'!E:F,2,0)</f>
        <v>OUI</v>
      </c>
      <c r="O2057" s="277" t="str">
        <f>VLOOKUP(E2057,'2025'!E:N,10,0)</f>
        <v>UAE</v>
      </c>
      <c r="P2057" s="890">
        <f>VLOOKUP(E2057,'2025'!E:O,11,0)</f>
        <v>45861</v>
      </c>
      <c r="Q2057" s="347">
        <f>VLOOKUP(E2057,'2025'!E:H,4,0)</f>
        <v>0</v>
      </c>
      <c r="R2057" s="347">
        <f>VLOOKUP(E2057,'2025'!E:I,5,0)</f>
        <v>10380</v>
      </c>
      <c r="S2057" s="347">
        <f>VLOOKUP(E2057,'2025'!E:J,6,0)</f>
        <v>1152</v>
      </c>
      <c r="T2057" s="347">
        <f>VLOOKUP(E2057,'2025'!E:K,7,0)</f>
        <v>5400</v>
      </c>
      <c r="U2057" s="347">
        <f t="shared" si="70"/>
        <v>16932</v>
      </c>
      <c r="V2057" s="348"/>
      <c r="W2057" s="349" t="e">
        <f>+VLOOKUP(D2057,'JOURNAL FACTURES'!A:O,15,0)</f>
        <v>#N/A</v>
      </c>
      <c r="X2057" s="349" t="e">
        <f>VLOOKUP(D2057,'JOURNAL FACTURES'!A:P,16,0)</f>
        <v>#N/A</v>
      </c>
      <c r="Y2057" s="349" t="e">
        <f>VLOOKUP(D2057,'JOURNAL FACTURES'!A:Q,17,0)</f>
        <v>#N/A</v>
      </c>
      <c r="Z2057" s="349" t="e">
        <f>VLOOKUP(D2057,'JOURNAL FACTURES'!A:R,18,0)</f>
        <v>#N/A</v>
      </c>
      <c r="AA2057" s="350" t="e">
        <f t="shared" si="71"/>
        <v>#N/A</v>
      </c>
      <c r="AB2057" s="350" t="e">
        <f t="shared" si="72"/>
        <v>#N/A</v>
      </c>
      <c r="AC2057" s="350" t="e">
        <f t="shared" si="73"/>
        <v>#N/A</v>
      </c>
      <c r="AD2057" s="350" t="e">
        <f t="shared" si="74"/>
        <v>#N/A</v>
      </c>
      <c r="AE2057" s="349">
        <f>VLOOKUP(D2057,TRANSPORT!H:J,3,0)</f>
        <v>0</v>
      </c>
      <c r="AF2057" s="349">
        <f>+VLOOKUP(D2057,TRANSPORT!N:O,2,0)</f>
        <v>0</v>
      </c>
      <c r="AG2057" s="349">
        <f t="shared" si="75"/>
        <v>0</v>
      </c>
      <c r="AH2057" s="351" t="e">
        <f t="shared" si="76"/>
        <v>#N/A</v>
      </c>
      <c r="AI2057" s="351" t="e">
        <f t="shared" si="77"/>
        <v>#N/A</v>
      </c>
      <c r="AJ2057" s="351" t="e">
        <f t="shared" si="78"/>
        <v>#N/A</v>
      </c>
      <c r="AK2057" s="351" t="e">
        <f t="shared" si="79"/>
        <v>#N/A</v>
      </c>
      <c r="AL2057" s="352">
        <f>VLOOKUP(D2057,'INTEGRATION PAR CLIENT '!A1453:J1481,10,0)</f>
        <v>0</v>
      </c>
      <c r="AM2057" s="352">
        <f>VLOOKUP(D2057,'INTEGRATION PAR CLIENT '!A1453:L1481,12,0)</f>
        <v>1</v>
      </c>
      <c r="AN2057" s="352">
        <f>+VLOOKUP(D2057,'INTEGRATION PAR CLIENT '!A1453:N1481,14,0)</f>
        <v>1</v>
      </c>
      <c r="AO2057" s="352">
        <f>+VLOOKUP(D2057,'INTEGRATION PAR CLIENT '!A1453:P1481,16,0)</f>
        <v>1</v>
      </c>
    </row>
    <row r="2058" spans="1:41">
      <c r="A2058" s="342">
        <v>178</v>
      </c>
      <c r="B2058" s="277" t="str">
        <f t="shared" si="67"/>
        <v>178</v>
      </c>
      <c r="C2058" s="277">
        <v>0</v>
      </c>
      <c r="D2058" s="343" t="str">
        <f>'2025'!D179</f>
        <v>FAE-25-00178</v>
      </c>
      <c r="E2058" s="277" t="str">
        <f t="shared" si="68"/>
        <v>178</v>
      </c>
      <c r="F2058" s="618" t="str">
        <f>+'2025'!G179</f>
        <v>17/06/2025</v>
      </c>
      <c r="G2058" s="619">
        <f t="shared" si="42"/>
        <v>2025</v>
      </c>
      <c r="H2058" s="383" t="s">
        <v>17278</v>
      </c>
      <c r="I2058" s="277" t="str">
        <f>+VLOOKUP(H2058,Sheet1!A:C,3,0)</f>
        <v>SEYAL TCHAD SA</v>
      </c>
      <c r="J2058" s="277" t="str">
        <f>+VLOOKUP(H2058,Sheet1!A:D,4,0)</f>
        <v>EUR</v>
      </c>
      <c r="K2058" s="278">
        <f t="shared" si="69"/>
        <v>376926.52220000001</v>
      </c>
      <c r="L2058" s="383">
        <v>2.9180000000000001</v>
      </c>
      <c r="M2058" s="384">
        <v>129172.9</v>
      </c>
      <c r="N2058" s="277" t="str">
        <f>+VLOOKUP(E2058,'2025'!E:F,2,0)</f>
        <v>OUI</v>
      </c>
      <c r="O2058" s="277" t="str">
        <f>VLOOKUP(E2058,'2025'!E:N,10,0)</f>
        <v>Tchad</v>
      </c>
      <c r="P2058" s="890">
        <f>VLOOKUP(E2058,'2025'!E:O,11,0)</f>
        <v>45855</v>
      </c>
      <c r="Q2058" s="347">
        <f>VLOOKUP(E2058,'2025'!E:H,4,0)</f>
        <v>0</v>
      </c>
      <c r="R2058" s="347">
        <f>VLOOKUP(E2058,'2025'!E:I,5,0)</f>
        <v>155232</v>
      </c>
      <c r="S2058" s="347">
        <f>VLOOKUP(E2058,'2025'!E:J,6,0)</f>
        <v>33408</v>
      </c>
      <c r="T2058" s="347">
        <f>VLOOKUP(E2058,'2025'!E:K,7,0)</f>
        <v>0</v>
      </c>
      <c r="U2058" s="347">
        <f t="shared" si="70"/>
        <v>188640</v>
      </c>
      <c r="V2058" s="348"/>
      <c r="W2058" s="349" t="e">
        <f>+VLOOKUP(D2058,'JOURNAL FACTURES'!A:O,15,0)</f>
        <v>#N/A</v>
      </c>
      <c r="X2058" s="349" t="e">
        <f>VLOOKUP(D2058,'JOURNAL FACTURES'!A:P,16,0)</f>
        <v>#N/A</v>
      </c>
      <c r="Y2058" s="349" t="e">
        <f>VLOOKUP(D2058,'JOURNAL FACTURES'!A:Q,17,0)</f>
        <v>#N/A</v>
      </c>
      <c r="Z2058" s="349" t="e">
        <f>VLOOKUP(D2058,'JOURNAL FACTURES'!A:R,18,0)</f>
        <v>#N/A</v>
      </c>
      <c r="AA2058" s="350" t="e">
        <f t="shared" si="71"/>
        <v>#N/A</v>
      </c>
      <c r="AB2058" s="350" t="e">
        <f t="shared" si="72"/>
        <v>#N/A</v>
      </c>
      <c r="AC2058" s="350" t="e">
        <f t="shared" si="73"/>
        <v>#N/A</v>
      </c>
      <c r="AD2058" s="350" t="e">
        <f t="shared" si="74"/>
        <v>#N/A</v>
      </c>
      <c r="AE2058" s="349">
        <f>VLOOKUP(D2058,TRANSPORT!H:J,3,0)</f>
        <v>11576.95</v>
      </c>
      <c r="AF2058" s="349">
        <f>+VLOOKUP(D2058,TRANSPORT!N:O,2,0)</f>
        <v>74420.796000000002</v>
      </c>
      <c r="AG2058" s="349">
        <f t="shared" si="75"/>
        <v>0.3945122773536896</v>
      </c>
      <c r="AH2058" s="351" t="e">
        <f t="shared" si="76"/>
        <v>#N/A</v>
      </c>
      <c r="AI2058" s="351" t="e">
        <f t="shared" si="77"/>
        <v>#N/A</v>
      </c>
      <c r="AJ2058" s="351" t="e">
        <f t="shared" si="78"/>
        <v>#N/A</v>
      </c>
      <c r="AK2058" s="351" t="e">
        <f t="shared" si="79"/>
        <v>#N/A</v>
      </c>
      <c r="AL2058" s="352">
        <f>VLOOKUP(D2058,'INTEGRATION PAR CLIENT '!A1454:J1482,10,0)</f>
        <v>0</v>
      </c>
      <c r="AM2058" s="352" t="str">
        <f>VLOOKUP(D2058,'INTEGRATION PAR CLIENT '!A1454:L1482,12,0)</f>
        <v>20%S-80%F</v>
      </c>
      <c r="AN2058" s="352" t="str">
        <f>+VLOOKUP(D2058,'INTEGRATION PAR CLIENT '!A1454:N1482,14,0)</f>
        <v>10%-90%</v>
      </c>
      <c r="AO2058" s="352">
        <f>+VLOOKUP(D2058,'INTEGRATION PAR CLIENT '!A1454:P1482,16,0)</f>
        <v>0</v>
      </c>
    </row>
    <row r="2059" spans="1:41">
      <c r="A2059" s="342">
        <v>179</v>
      </c>
      <c r="B2059" s="277" t="str">
        <f t="shared" si="67"/>
        <v>179</v>
      </c>
      <c r="C2059" s="277">
        <v>0</v>
      </c>
      <c r="D2059" s="343" t="str">
        <f>'2025'!D180</f>
        <v>FAE-25-00179</v>
      </c>
      <c r="E2059" s="277" t="str">
        <f t="shared" si="68"/>
        <v>179</v>
      </c>
      <c r="F2059" s="618" t="str">
        <f>+'2025'!G180</f>
        <v>20/06/2025</v>
      </c>
      <c r="G2059" s="619">
        <f t="shared" si="42"/>
        <v>2025</v>
      </c>
      <c r="H2059" s="383" t="s">
        <v>17386</v>
      </c>
      <c r="I2059" s="277" t="str">
        <f>+VLOOKUP(H2059,Sheet1!A:C,3,0)</f>
        <v xml:space="preserve">WONDERCHAIN INTERNATIONAL TRADE </v>
      </c>
      <c r="J2059" s="277" t="str">
        <f>+VLOOKUP(H2059,Sheet1!A:D,4,0)</f>
        <v>TND</v>
      </c>
      <c r="K2059" s="278">
        <f t="shared" si="69"/>
        <v>120510</v>
      </c>
      <c r="L2059" s="383">
        <v>1</v>
      </c>
      <c r="M2059" s="384">
        <v>120510</v>
      </c>
      <c r="N2059" s="277" t="str">
        <f>+VLOOKUP(E2059,'2025'!E:F,2,0)</f>
        <v>OUI</v>
      </c>
      <c r="O2059" s="277" t="str">
        <f>VLOOKUP(E2059,'2025'!E:N,10,0)</f>
        <v>Benin</v>
      </c>
      <c r="P2059" s="890">
        <f>VLOOKUP(E2059,'2025'!E:O,11,0)</f>
        <v>45838</v>
      </c>
      <c r="Q2059" s="347">
        <f>VLOOKUP(E2059,'2025'!E:H,4,0)</f>
        <v>0</v>
      </c>
      <c r="R2059" s="347">
        <f>VLOOKUP(E2059,'2025'!E:I,5,0)</f>
        <v>0</v>
      </c>
      <c r="S2059" s="347">
        <f>VLOOKUP(E2059,'2025'!E:J,6,0)</f>
        <v>78000</v>
      </c>
      <c r="T2059" s="347">
        <f>VLOOKUP(E2059,'2025'!E:K,7,0)</f>
        <v>0</v>
      </c>
      <c r="U2059" s="347">
        <f t="shared" si="70"/>
        <v>78000</v>
      </c>
      <c r="V2059" s="348"/>
      <c r="W2059" s="349" t="e">
        <f>+VLOOKUP(D2059,'JOURNAL FACTURES'!A:O,15,0)</f>
        <v>#N/A</v>
      </c>
      <c r="X2059" s="349" t="e">
        <f>VLOOKUP(D2059,'JOURNAL FACTURES'!A:P,16,0)</f>
        <v>#N/A</v>
      </c>
      <c r="Y2059" s="349" t="e">
        <f>VLOOKUP(D2059,'JOURNAL FACTURES'!A:Q,17,0)</f>
        <v>#N/A</v>
      </c>
      <c r="Z2059" s="349" t="e">
        <f>VLOOKUP(D2059,'JOURNAL FACTURES'!A:R,18,0)</f>
        <v>#N/A</v>
      </c>
      <c r="AA2059" s="350" t="e">
        <f t="shared" si="71"/>
        <v>#N/A</v>
      </c>
      <c r="AB2059" s="350" t="e">
        <f t="shared" si="72"/>
        <v>#N/A</v>
      </c>
      <c r="AC2059" s="350" t="e">
        <f t="shared" si="73"/>
        <v>#N/A</v>
      </c>
      <c r="AD2059" s="350" t="e">
        <f t="shared" si="74"/>
        <v>#N/A</v>
      </c>
      <c r="AE2059" s="349">
        <f>VLOOKUP(D2059,TRANSPORT!H:J,3,0)</f>
        <v>0</v>
      </c>
      <c r="AF2059" s="349">
        <f>+VLOOKUP(D2059,TRANSPORT!N:O,2,0)</f>
        <v>0</v>
      </c>
      <c r="AG2059" s="349">
        <f t="shared" si="75"/>
        <v>0</v>
      </c>
      <c r="AH2059" s="351" t="e">
        <f t="shared" si="76"/>
        <v>#N/A</v>
      </c>
      <c r="AI2059" s="351" t="e">
        <f t="shared" si="77"/>
        <v>#N/A</v>
      </c>
      <c r="AJ2059" s="351" t="e">
        <f t="shared" si="78"/>
        <v>#N/A</v>
      </c>
      <c r="AK2059" s="351" t="e">
        <f t="shared" si="79"/>
        <v>#N/A</v>
      </c>
      <c r="AL2059" s="352">
        <f>VLOOKUP(D2059,'INTEGRATION PAR CLIENT '!A1455:J1483,10,0)</f>
        <v>0</v>
      </c>
      <c r="AM2059" s="352">
        <f>VLOOKUP(D2059,'INTEGRATION PAR CLIENT '!A1455:L1483,12,0)</f>
        <v>0</v>
      </c>
      <c r="AN2059" s="352" t="str">
        <f>+VLOOKUP(D2059,'INTEGRATION PAR CLIENT '!A1455:N1483,14,0)</f>
        <v>10%-90%</v>
      </c>
      <c r="AO2059" s="352">
        <f>+VLOOKUP(D2059,'INTEGRATION PAR CLIENT '!A1455:P1483,16,0)</f>
        <v>0</v>
      </c>
    </row>
    <row r="2060" spans="1:41">
      <c r="A2060" s="342">
        <v>180</v>
      </c>
      <c r="B2060" s="277" t="str">
        <f t="shared" si="67"/>
        <v>180</v>
      </c>
      <c r="C2060" s="277">
        <v>0</v>
      </c>
      <c r="D2060" s="343" t="str">
        <f>'2025'!D181</f>
        <v>FAE-25-00180</v>
      </c>
      <c r="E2060" s="277" t="str">
        <f t="shared" si="68"/>
        <v>180</v>
      </c>
      <c r="F2060" s="618" t="str">
        <f>+'2025'!G181</f>
        <v>20/06/2025</v>
      </c>
      <c r="G2060" s="619">
        <f t="shared" si="42"/>
        <v>2025</v>
      </c>
      <c r="H2060" s="383" t="s">
        <v>16444</v>
      </c>
      <c r="I2060" s="277" t="str">
        <f>+VLOOKUP(H2060,Sheet1!A:C,3,0)</f>
        <v>SAHEL INTERNATIONAL TRADE</v>
      </c>
      <c r="J2060" s="277" t="str">
        <f>+VLOOKUP(H2060,Sheet1!A:D,4,0)</f>
        <v>TND</v>
      </c>
      <c r="K2060" s="278">
        <f t="shared" si="69"/>
        <v>47317.2</v>
      </c>
      <c r="L2060" s="383">
        <v>1</v>
      </c>
      <c r="M2060" s="384">
        <v>47317.2</v>
      </c>
      <c r="N2060" s="277" t="str">
        <f>+VLOOKUP(E2060,'2025'!E:F,2,0)</f>
        <v>OUI</v>
      </c>
      <c r="O2060" s="277" t="str">
        <f>VLOOKUP(E2060,'2025'!E:N,10,0)</f>
        <v>Togo</v>
      </c>
      <c r="P2060" s="890">
        <f>VLOOKUP(E2060,'2025'!E:O,11,0)</f>
        <v>45849</v>
      </c>
      <c r="Q2060" s="347">
        <f>VLOOKUP(E2060,'2025'!E:H,4,0)</f>
        <v>22008</v>
      </c>
      <c r="R2060" s="347">
        <f>VLOOKUP(E2060,'2025'!E:I,5,0)</f>
        <v>0</v>
      </c>
      <c r="S2060" s="347">
        <f>VLOOKUP(E2060,'2025'!E:J,6,0)</f>
        <v>0</v>
      </c>
      <c r="T2060" s="347">
        <f>VLOOKUP(E2060,'2025'!E:K,7,0)</f>
        <v>0</v>
      </c>
      <c r="U2060" s="347">
        <f t="shared" si="70"/>
        <v>22008</v>
      </c>
      <c r="V2060" s="348"/>
      <c r="W2060" s="349" t="e">
        <f>+VLOOKUP(D2060,'JOURNAL FACTURES'!A:O,15,0)</f>
        <v>#N/A</v>
      </c>
      <c r="X2060" s="349" t="e">
        <f>VLOOKUP(D2060,'JOURNAL FACTURES'!A:P,16,0)</f>
        <v>#N/A</v>
      </c>
      <c r="Y2060" s="349" t="e">
        <f>VLOOKUP(D2060,'JOURNAL FACTURES'!A:Q,17,0)</f>
        <v>#N/A</v>
      </c>
      <c r="Z2060" s="349" t="e">
        <f>VLOOKUP(D2060,'JOURNAL FACTURES'!A:R,18,0)</f>
        <v>#N/A</v>
      </c>
      <c r="AA2060" s="350" t="e">
        <f t="shared" si="71"/>
        <v>#N/A</v>
      </c>
      <c r="AB2060" s="350" t="e">
        <f t="shared" si="72"/>
        <v>#N/A</v>
      </c>
      <c r="AC2060" s="350" t="e">
        <f t="shared" si="73"/>
        <v>#N/A</v>
      </c>
      <c r="AD2060" s="350" t="e">
        <f t="shared" si="74"/>
        <v>#N/A</v>
      </c>
      <c r="AE2060" s="349">
        <f>VLOOKUP(D2060,TRANSPORT!H:J,3,0)</f>
        <v>0</v>
      </c>
      <c r="AF2060" s="349">
        <f>+VLOOKUP(D2060,TRANSPORT!N:O,2,0)</f>
        <v>0</v>
      </c>
      <c r="AG2060" s="349">
        <f t="shared" si="75"/>
        <v>0</v>
      </c>
      <c r="AH2060" s="351" t="e">
        <f t="shared" si="76"/>
        <v>#N/A</v>
      </c>
      <c r="AI2060" s="351" t="e">
        <f t="shared" si="77"/>
        <v>#N/A</v>
      </c>
      <c r="AJ2060" s="351" t="e">
        <f t="shared" si="78"/>
        <v>#N/A</v>
      </c>
      <c r="AK2060" s="351" t="e">
        <f t="shared" si="79"/>
        <v>#N/A</v>
      </c>
      <c r="AL2060" s="352">
        <f>VLOOKUP(D2060,'INTEGRATION PAR CLIENT '!A1456:J1484,10,0)</f>
        <v>1</v>
      </c>
      <c r="AM2060" s="352">
        <f>VLOOKUP(D2060,'INTEGRATION PAR CLIENT '!A1456:L1484,12,0)</f>
        <v>0</v>
      </c>
      <c r="AN2060" s="352">
        <f>+VLOOKUP(D2060,'INTEGRATION PAR CLIENT '!A1456:N1484,14,0)</f>
        <v>0</v>
      </c>
      <c r="AO2060" s="352">
        <f>+VLOOKUP(D2060,'INTEGRATION PAR CLIENT '!A1456:P1484,16,0)</f>
        <v>0</v>
      </c>
    </row>
    <row r="2061" spans="1:41">
      <c r="A2061" s="342">
        <v>181</v>
      </c>
      <c r="B2061" s="277" t="str">
        <f t="shared" si="67"/>
        <v>181</v>
      </c>
      <c r="C2061" s="277">
        <v>0</v>
      </c>
      <c r="D2061" s="343" t="str">
        <f>'2025'!D182</f>
        <v>FAE-25-00181</v>
      </c>
      <c r="E2061" s="277" t="str">
        <f t="shared" si="68"/>
        <v>181</v>
      </c>
      <c r="F2061" s="618" t="str">
        <f>+'2025'!G182</f>
        <v>23/06/2025</v>
      </c>
      <c r="G2061" s="619">
        <f t="shared" si="42"/>
        <v>2025</v>
      </c>
      <c r="H2061" s="383" t="s">
        <v>17259</v>
      </c>
      <c r="I2061" s="277" t="str">
        <f>+VLOOKUP(H2061,Sheet1!A:C,3,0)</f>
        <v>RNK DISTRIBUTION</v>
      </c>
      <c r="J2061" s="277" t="str">
        <f>+VLOOKUP(H2061,Sheet1!A:D,4,0)</f>
        <v>USD</v>
      </c>
      <c r="K2061" s="278">
        <f t="shared" si="69"/>
        <v>181039.15800000002</v>
      </c>
      <c r="L2061" s="383">
        <v>2.9214000000000002</v>
      </c>
      <c r="M2061" s="384">
        <v>61970</v>
      </c>
      <c r="N2061" s="277" t="str">
        <f>+VLOOKUP(E2061,'2025'!E:F,2,0)</f>
        <v>OUI</v>
      </c>
      <c r="O2061" s="277" t="str">
        <f>VLOOKUP(E2061,'2025'!E:N,10,0)</f>
        <v>Madagascar</v>
      </c>
      <c r="P2061" s="890">
        <f>VLOOKUP(E2061,'2025'!E:O,11,0)</f>
        <v>45840</v>
      </c>
      <c r="Q2061" s="347">
        <f>VLOOKUP(E2061,'2025'!E:H,4,0)</f>
        <v>0</v>
      </c>
      <c r="R2061" s="347">
        <f>VLOOKUP(E2061,'2025'!E:I,5,0)</f>
        <v>87600</v>
      </c>
      <c r="S2061" s="347">
        <f>VLOOKUP(E2061,'2025'!E:J,6,0)</f>
        <v>0</v>
      </c>
      <c r="T2061" s="347">
        <f>VLOOKUP(E2061,'2025'!E:K,7,0)</f>
        <v>0</v>
      </c>
      <c r="U2061" s="347">
        <f t="shared" si="70"/>
        <v>87600</v>
      </c>
      <c r="V2061" s="348"/>
      <c r="W2061" s="349" t="e">
        <f>+VLOOKUP(D2061,'JOURNAL FACTURES'!A:O,15,0)</f>
        <v>#N/A</v>
      </c>
      <c r="X2061" s="349" t="e">
        <f>VLOOKUP(D2061,'JOURNAL FACTURES'!A:P,16,0)</f>
        <v>#N/A</v>
      </c>
      <c r="Y2061" s="349" t="e">
        <f>VLOOKUP(D2061,'JOURNAL FACTURES'!A:Q,17,0)</f>
        <v>#N/A</v>
      </c>
      <c r="Z2061" s="349" t="e">
        <f>VLOOKUP(D2061,'JOURNAL FACTURES'!A:R,18,0)</f>
        <v>#N/A</v>
      </c>
      <c r="AA2061" s="350" t="e">
        <f t="shared" si="71"/>
        <v>#N/A</v>
      </c>
      <c r="AB2061" s="350" t="e">
        <f t="shared" si="72"/>
        <v>#N/A</v>
      </c>
      <c r="AC2061" s="350" t="e">
        <f t="shared" si="73"/>
        <v>#N/A</v>
      </c>
      <c r="AD2061" s="350" t="e">
        <f t="shared" si="74"/>
        <v>#N/A</v>
      </c>
      <c r="AE2061" s="349">
        <f>VLOOKUP(D2061,TRANSPORT!H:J,3,0)</f>
        <v>5972</v>
      </c>
      <c r="AF2061" s="349">
        <f>+VLOOKUP(D2061,TRANSPORT!N:O,2,0)</f>
        <v>36168.11</v>
      </c>
      <c r="AG2061" s="349">
        <f t="shared" si="75"/>
        <v>0.41287796803652971</v>
      </c>
      <c r="AH2061" s="351" t="e">
        <f t="shared" si="76"/>
        <v>#N/A</v>
      </c>
      <c r="AI2061" s="351" t="e">
        <f t="shared" si="77"/>
        <v>#N/A</v>
      </c>
      <c r="AJ2061" s="351" t="e">
        <f t="shared" si="78"/>
        <v>#N/A</v>
      </c>
      <c r="AK2061" s="351" t="e">
        <f t="shared" si="79"/>
        <v>#N/A</v>
      </c>
      <c r="AL2061" s="352">
        <f>VLOOKUP(D2061,'INTEGRATION PAR CLIENT '!A1457:J1485,10,0)</f>
        <v>0</v>
      </c>
      <c r="AM2061" s="352" t="str">
        <f>VLOOKUP(D2061,'INTEGRATION PAR CLIENT '!A1457:L1485,12,0)</f>
        <v>20%S-80%F</v>
      </c>
      <c r="AN2061" s="352">
        <f>+VLOOKUP(D2061,'INTEGRATION PAR CLIENT '!A1457:N1485,14,0)</f>
        <v>0</v>
      </c>
      <c r="AO2061" s="352">
        <f>+VLOOKUP(D2061,'INTEGRATION PAR CLIENT '!A1457:P1485,16,0)</f>
        <v>0</v>
      </c>
    </row>
    <row r="2062" spans="1:41">
      <c r="A2062" s="342">
        <v>182</v>
      </c>
      <c r="B2062" s="277" t="str">
        <f t="shared" ref="B2062:B2073" si="80">+RIGHT(D2062,3)</f>
        <v>182</v>
      </c>
      <c r="C2062" s="277">
        <v>0</v>
      </c>
      <c r="D2062" s="343" t="str">
        <f>'2025'!D183</f>
        <v>FAE-25-00182</v>
      </c>
      <c r="E2062" s="277" t="str">
        <f t="shared" ref="E2062:E2073" si="81">RIGHT(D2062,3)</f>
        <v>182</v>
      </c>
      <c r="F2062" s="618" t="str">
        <f>+'2025'!G183</f>
        <v>23/06/2025</v>
      </c>
      <c r="G2062" s="619">
        <f t="shared" si="42"/>
        <v>2025</v>
      </c>
      <c r="H2062" s="383" t="s">
        <v>16880</v>
      </c>
      <c r="I2062" s="277" t="str">
        <f>+VLOOKUP(H2062,Sheet1!A:C,3,0)</f>
        <v>DAVIS TRADING CO LTD</v>
      </c>
      <c r="J2062" s="277" t="str">
        <f>+VLOOKUP(H2062,Sheet1!A:D,4,0)</f>
        <v>USD</v>
      </c>
      <c r="K2062" s="278">
        <f t="shared" ref="K2062:K2073" si="82">+L2062*M2062</f>
        <v>69980.968439999997</v>
      </c>
      <c r="L2062" s="383">
        <v>2.9214000000000002</v>
      </c>
      <c r="M2062" s="384">
        <v>23954.6</v>
      </c>
      <c r="N2062" s="277" t="str">
        <f>+VLOOKUP(E2062,'2025'!E:F,2,0)</f>
        <v>OUI</v>
      </c>
      <c r="O2062" s="277" t="str">
        <f>VLOOKUP(E2062,'2025'!E:N,10,0)</f>
        <v>New Zealand</v>
      </c>
      <c r="P2062" s="890">
        <f>VLOOKUP(E2062,'2025'!E:O,11,0)</f>
        <v>45842</v>
      </c>
      <c r="Q2062" s="347">
        <f>VLOOKUP(E2062,'2025'!E:H,4,0)</f>
        <v>8750</v>
      </c>
      <c r="R2062" s="347">
        <f>VLOOKUP(E2062,'2025'!E:I,5,0)</f>
        <v>9750</v>
      </c>
      <c r="S2062" s="347">
        <f>VLOOKUP(E2062,'2025'!E:J,6,0)</f>
        <v>0</v>
      </c>
      <c r="T2062" s="347">
        <f>VLOOKUP(E2062,'2025'!E:K,7,0)</f>
        <v>0</v>
      </c>
      <c r="U2062" s="347">
        <f t="shared" ref="U2062:U2073" si="83">SUM(Q2062:T2062)</f>
        <v>18500</v>
      </c>
      <c r="V2062" s="348"/>
      <c r="W2062" s="349" t="e">
        <f>+VLOOKUP(D2062,'JOURNAL FACTURES'!A:O,15,0)</f>
        <v>#N/A</v>
      </c>
      <c r="X2062" s="349" t="e">
        <f>VLOOKUP(D2062,'JOURNAL FACTURES'!A:P,16,0)</f>
        <v>#N/A</v>
      </c>
      <c r="Y2062" s="349" t="e">
        <f>VLOOKUP(D2062,'JOURNAL FACTURES'!A:Q,17,0)</f>
        <v>#N/A</v>
      </c>
      <c r="Z2062" s="349" t="e">
        <f>VLOOKUP(D2062,'JOURNAL FACTURES'!A:R,18,0)</f>
        <v>#N/A</v>
      </c>
      <c r="AA2062" s="350" t="e">
        <f t="shared" ref="AA2062:AA2073" si="84">+W2062/Q2062</f>
        <v>#N/A</v>
      </c>
      <c r="AB2062" s="350" t="e">
        <f t="shared" ref="AB2062:AB2073" si="85">+X2062/R2062</f>
        <v>#N/A</v>
      </c>
      <c r="AC2062" s="350" t="e">
        <f t="shared" ref="AC2062:AC2073" si="86">+Y2062/S2062</f>
        <v>#N/A</v>
      </c>
      <c r="AD2062" s="350" t="e">
        <f t="shared" ref="AD2062:AD2073" si="87">Z2062/T2062</f>
        <v>#N/A</v>
      </c>
      <c r="AE2062" s="349">
        <f>VLOOKUP(D2062,TRANSPORT!H:J,3,0)</f>
        <v>0</v>
      </c>
      <c r="AF2062" s="349">
        <f>+VLOOKUP(D2062,TRANSPORT!N:O,2,0)</f>
        <v>2608.1750000000002</v>
      </c>
      <c r="AG2062" s="349">
        <f t="shared" ref="AG2062:AG2073" si="88">AF2062/U2062</f>
        <v>0.14098243243243244</v>
      </c>
      <c r="AH2062" s="351" t="e">
        <f t="shared" ref="AH2062:AH2073" si="89">AA2062-AG2062</f>
        <v>#N/A</v>
      </c>
      <c r="AI2062" s="351" t="e">
        <f t="shared" ref="AI2062:AI2073" si="90">AB2062-AG2062</f>
        <v>#N/A</v>
      </c>
      <c r="AJ2062" s="351" t="e">
        <f t="shared" ref="AJ2062:AJ2073" si="91">AC2062-AG2062</f>
        <v>#N/A</v>
      </c>
      <c r="AK2062" s="351" t="e">
        <f t="shared" ref="AK2062:AK2073" si="92">AD2062-AG2062</f>
        <v>#N/A</v>
      </c>
      <c r="AL2062" s="352">
        <f>VLOOKUP(D2062,'INTEGRATION PAR CLIENT '!A1458:J1486,10,0)</f>
        <v>1</v>
      </c>
      <c r="AM2062" s="352">
        <f>VLOOKUP(D2062,'INTEGRATION PAR CLIENT '!A1458:L1486,12,0)</f>
        <v>1</v>
      </c>
      <c r="AN2062" s="352">
        <f>+VLOOKUP(D2062,'INTEGRATION PAR CLIENT '!A1458:N1486,14,0)</f>
        <v>0</v>
      </c>
      <c r="AO2062" s="352">
        <f>+VLOOKUP(D2062,'INTEGRATION PAR CLIENT '!A1458:P1486,16,0)</f>
        <v>0</v>
      </c>
    </row>
    <row r="2063" spans="1:41">
      <c r="A2063" s="342">
        <v>183</v>
      </c>
      <c r="B2063" s="277" t="str">
        <f t="shared" si="80"/>
        <v>183</v>
      </c>
      <c r="C2063" s="277">
        <v>0</v>
      </c>
      <c r="D2063" s="343" t="str">
        <f>'2025'!D184</f>
        <v>FAE-25-00183</v>
      </c>
      <c r="E2063" s="277" t="str">
        <f t="shared" si="81"/>
        <v>183</v>
      </c>
      <c r="F2063" s="972">
        <v>45831</v>
      </c>
      <c r="G2063" s="619">
        <f t="shared" si="42"/>
        <v>2025</v>
      </c>
      <c r="H2063" s="383" t="s">
        <v>16880</v>
      </c>
      <c r="I2063" s="277" t="str">
        <f>+VLOOKUP(H2063,Sheet1!A:C,3,0)</f>
        <v>DAVIS TRADING CO LTD</v>
      </c>
      <c r="J2063" s="277" t="str">
        <f>+VLOOKUP(H2063,Sheet1!A:D,4,0)</f>
        <v>USD</v>
      </c>
      <c r="K2063" s="278">
        <f t="shared" si="82"/>
        <v>85560.502500000002</v>
      </c>
      <c r="L2063" s="383">
        <v>2.9214000000000002</v>
      </c>
      <c r="M2063" s="384">
        <v>29287.5</v>
      </c>
      <c r="N2063" s="277" t="str">
        <f>+VLOOKUP(E2063,'2025'!E:F,2,0)</f>
        <v>OUI</v>
      </c>
      <c r="O2063" s="277" t="str">
        <f>VLOOKUP(E2063,'2025'!E:N,10,0)</f>
        <v>New Zealand</v>
      </c>
      <c r="P2063" s="890">
        <f>VLOOKUP(E2063,'2025'!E:O,11,0)</f>
        <v>45842</v>
      </c>
      <c r="Q2063" s="347">
        <f>VLOOKUP(E2063,'2025'!E:H,4,0)</f>
        <v>0</v>
      </c>
      <c r="R2063" s="347">
        <f>VLOOKUP(E2063,'2025'!E:I,5,0)</f>
        <v>20000</v>
      </c>
      <c r="S2063" s="347">
        <f>VLOOKUP(E2063,'2025'!E:J,6,0)</f>
        <v>0</v>
      </c>
      <c r="T2063" s="347">
        <f>VLOOKUP(E2063,'2025'!E:K,7,0)</f>
        <v>0</v>
      </c>
      <c r="U2063" s="347">
        <f t="shared" si="83"/>
        <v>20000</v>
      </c>
      <c r="V2063" s="348"/>
      <c r="W2063" s="349" t="e">
        <f>+VLOOKUP(D2063,'JOURNAL FACTURES'!A:O,15,0)</f>
        <v>#N/A</v>
      </c>
      <c r="X2063" s="349" t="e">
        <f>VLOOKUP(D2063,'JOURNAL FACTURES'!A:P,16,0)</f>
        <v>#N/A</v>
      </c>
      <c r="Y2063" s="349" t="e">
        <f>VLOOKUP(D2063,'JOURNAL FACTURES'!A:Q,17,0)</f>
        <v>#N/A</v>
      </c>
      <c r="Z2063" s="349" t="e">
        <f>VLOOKUP(D2063,'JOURNAL FACTURES'!A:R,18,0)</f>
        <v>#N/A</v>
      </c>
      <c r="AA2063" s="350" t="e">
        <f t="shared" si="84"/>
        <v>#N/A</v>
      </c>
      <c r="AB2063" s="350" t="e">
        <f t="shared" si="85"/>
        <v>#N/A</v>
      </c>
      <c r="AC2063" s="350" t="e">
        <f t="shared" si="86"/>
        <v>#N/A</v>
      </c>
      <c r="AD2063" s="350" t="e">
        <f t="shared" si="87"/>
        <v>#N/A</v>
      </c>
      <c r="AE2063" s="349">
        <f>VLOOKUP(D2063,TRANSPORT!H:J,3,0)</f>
        <v>0</v>
      </c>
      <c r="AF2063" s="349">
        <f>+VLOOKUP(D2063,TRANSPORT!N:O,2,0)</f>
        <v>2608.1750000000002</v>
      </c>
      <c r="AG2063" s="349">
        <f t="shared" si="88"/>
        <v>0.13040875000000002</v>
      </c>
      <c r="AH2063" s="351" t="e">
        <f t="shared" si="89"/>
        <v>#N/A</v>
      </c>
      <c r="AI2063" s="351" t="e">
        <f t="shared" si="90"/>
        <v>#N/A</v>
      </c>
      <c r="AJ2063" s="351" t="e">
        <f t="shared" si="91"/>
        <v>#N/A</v>
      </c>
      <c r="AK2063" s="351" t="e">
        <f t="shared" si="92"/>
        <v>#N/A</v>
      </c>
      <c r="AL2063" s="352">
        <f>VLOOKUP(D2063,'INTEGRATION PAR CLIENT '!A1459:J1487,10,0)</f>
        <v>0</v>
      </c>
      <c r="AM2063" s="352">
        <f>VLOOKUP(D2063,'INTEGRATION PAR CLIENT '!A1459:L1487,12,0)</f>
        <v>1</v>
      </c>
      <c r="AN2063" s="352">
        <f>+VLOOKUP(D2063,'INTEGRATION PAR CLIENT '!A1459:N1487,14,0)</f>
        <v>0</v>
      </c>
      <c r="AO2063" s="352">
        <f>+VLOOKUP(D2063,'INTEGRATION PAR CLIENT '!A1459:P1487,16,0)</f>
        <v>0</v>
      </c>
    </row>
    <row r="2064" spans="1:41">
      <c r="A2064" s="342">
        <v>184</v>
      </c>
      <c r="B2064" s="277" t="str">
        <f t="shared" si="80"/>
        <v>184</v>
      </c>
      <c r="C2064" s="277">
        <v>0</v>
      </c>
      <c r="D2064" s="343" t="str">
        <f>'2025'!D185</f>
        <v>FAE-25-00184</v>
      </c>
      <c r="E2064" s="277" t="str">
        <f t="shared" si="81"/>
        <v>184</v>
      </c>
      <c r="F2064" s="618" t="str">
        <f>+'2025'!G185</f>
        <v>23/06/2025</v>
      </c>
      <c r="G2064" s="619">
        <f t="shared" si="42"/>
        <v>2025</v>
      </c>
      <c r="H2064" s="383" t="s">
        <v>17342</v>
      </c>
      <c r="I2064" s="277" t="str">
        <f>+VLOOKUP(H2064,Sheet1!A:C,3,0)</f>
        <v>SODIC</v>
      </c>
      <c r="J2064" s="277" t="str">
        <f>+VLOOKUP(H2064,Sheet1!A:D,4,0)</f>
        <v>EUR</v>
      </c>
      <c r="K2064" s="278">
        <f t="shared" si="82"/>
        <v>57453.502140000004</v>
      </c>
      <c r="L2064" s="383">
        <v>3.4269500000000002</v>
      </c>
      <c r="M2064" s="384">
        <v>16765.2</v>
      </c>
      <c r="N2064" s="277" t="str">
        <f>+VLOOKUP(E2064,'2025'!E:F,2,0)</f>
        <v>OUI</v>
      </c>
      <c r="O2064" s="277" t="str">
        <f>VLOOKUP(E2064,'2025'!E:N,10,0)</f>
        <v>France</v>
      </c>
      <c r="P2064" s="890">
        <f>VLOOKUP(E2064,'2025'!E:O,11,0)</f>
        <v>45841</v>
      </c>
      <c r="Q2064" s="347">
        <f>VLOOKUP(E2064,'2025'!E:H,4,0)</f>
        <v>0</v>
      </c>
      <c r="R2064" s="347">
        <f>VLOOKUP(E2064,'2025'!E:I,5,0)</f>
        <v>36552</v>
      </c>
      <c r="S2064" s="347">
        <f>VLOOKUP(E2064,'2025'!E:J,6,0)</f>
        <v>8400</v>
      </c>
      <c r="T2064" s="347">
        <f>VLOOKUP(E2064,'2025'!E:K,7,0)</f>
        <v>560</v>
      </c>
      <c r="U2064" s="347">
        <f t="shared" si="83"/>
        <v>45512</v>
      </c>
      <c r="V2064" s="348"/>
      <c r="W2064" s="349" t="e">
        <f>+VLOOKUP(D2064,'JOURNAL FACTURES'!A:O,15,0)</f>
        <v>#N/A</v>
      </c>
      <c r="X2064" s="349" t="e">
        <f>VLOOKUP(D2064,'JOURNAL FACTURES'!A:P,16,0)</f>
        <v>#N/A</v>
      </c>
      <c r="Y2064" s="349" t="e">
        <f>VLOOKUP(D2064,'JOURNAL FACTURES'!A:Q,17,0)</f>
        <v>#N/A</v>
      </c>
      <c r="Z2064" s="349" t="e">
        <f>VLOOKUP(D2064,'JOURNAL FACTURES'!A:R,18,0)</f>
        <v>#N/A</v>
      </c>
      <c r="AA2064" s="350" t="e">
        <f t="shared" si="84"/>
        <v>#N/A</v>
      </c>
      <c r="AB2064" s="350" t="e">
        <f t="shared" si="85"/>
        <v>#N/A</v>
      </c>
      <c r="AC2064" s="350" t="e">
        <f t="shared" si="86"/>
        <v>#N/A</v>
      </c>
      <c r="AD2064" s="350" t="e">
        <f t="shared" si="87"/>
        <v>#N/A</v>
      </c>
      <c r="AE2064" s="349">
        <f>VLOOKUP(D2064,TRANSPORT!H:J,3,0)</f>
        <v>2230.69119</v>
      </c>
      <c r="AF2064" s="349">
        <f>+VLOOKUP(D2064,TRANSPORT!N:O,2,0)</f>
        <v>23991.119999999999</v>
      </c>
      <c r="AG2064" s="349">
        <f t="shared" si="88"/>
        <v>0.52713833714185265</v>
      </c>
      <c r="AH2064" s="351" t="e">
        <f t="shared" si="89"/>
        <v>#N/A</v>
      </c>
      <c r="AI2064" s="351" t="e">
        <f t="shared" si="90"/>
        <v>#N/A</v>
      </c>
      <c r="AJ2064" s="351" t="e">
        <f t="shared" si="91"/>
        <v>#N/A</v>
      </c>
      <c r="AK2064" s="351" t="e">
        <f t="shared" si="92"/>
        <v>#N/A</v>
      </c>
      <c r="AL2064" s="352">
        <f>VLOOKUP(D2064,'INTEGRATION PAR CLIENT '!A1460:J1488,10,0)</f>
        <v>0</v>
      </c>
      <c r="AM2064" s="352">
        <f>VLOOKUP(D2064,'INTEGRATION PAR CLIENT '!A1460:L1488,12,0)</f>
        <v>1</v>
      </c>
      <c r="AN2064" s="352">
        <f>+VLOOKUP(D2064,'INTEGRATION PAR CLIENT '!A1460:N1488,14,0)</f>
        <v>1</v>
      </c>
      <c r="AO2064" s="352">
        <f>+VLOOKUP(D2064,'INTEGRATION PAR CLIENT '!A1460:P1488,16,0)</f>
        <v>1</v>
      </c>
    </row>
    <row r="2065" spans="1:41">
      <c r="A2065" s="342">
        <v>185</v>
      </c>
      <c r="B2065" s="277" t="str">
        <f t="shared" si="80"/>
        <v>185</v>
      </c>
      <c r="C2065" s="277">
        <v>0</v>
      </c>
      <c r="D2065" s="343" t="str">
        <f>'2025'!D186</f>
        <v>FAE-25-00185</v>
      </c>
      <c r="E2065" s="277" t="str">
        <f t="shared" si="81"/>
        <v>185</v>
      </c>
      <c r="F2065" s="618">
        <f>+'2025'!G186</f>
        <v>45664</v>
      </c>
      <c r="G2065" s="619">
        <f t="shared" si="42"/>
        <v>2025</v>
      </c>
      <c r="H2065" s="383" t="s">
        <v>17304</v>
      </c>
      <c r="I2065" s="277" t="str">
        <f>+VLOOKUP(H2065,Sheet1!A:C,3,0)</f>
        <v>SAFA FOOD</v>
      </c>
      <c r="J2065" s="277" t="str">
        <f>+VLOOKUP(H2065,Sheet1!A:D,4,0)</f>
        <v>CAD</v>
      </c>
      <c r="K2065" s="278">
        <f t="shared" si="82"/>
        <v>57683.052239999997</v>
      </c>
      <c r="L2065" s="383">
        <v>2.13565</v>
      </c>
      <c r="M2065" s="384">
        <v>27009.599999999999</v>
      </c>
      <c r="N2065" s="277" t="str">
        <f>+VLOOKUP(E2065,'2025'!E:F,2,0)</f>
        <v>OUI</v>
      </c>
      <c r="O2065" s="277" t="str">
        <f>VLOOKUP(E2065,'2025'!E:N,10,0)</f>
        <v>Canada</v>
      </c>
      <c r="P2065" s="890">
        <f>VLOOKUP(E2065,'2025'!E:O,11,0)</f>
        <v>45849</v>
      </c>
      <c r="Q2065" s="347">
        <f>VLOOKUP(E2065,'2025'!E:H,4,0)</f>
        <v>0</v>
      </c>
      <c r="R2065" s="347">
        <f>VLOOKUP(E2065,'2025'!E:I,5,0)</f>
        <v>7800</v>
      </c>
      <c r="S2065" s="347">
        <f>VLOOKUP(E2065,'2025'!E:J,6,0)</f>
        <v>10080</v>
      </c>
      <c r="T2065" s="347">
        <f>VLOOKUP(E2065,'2025'!E:K,7,0)</f>
        <v>0</v>
      </c>
      <c r="U2065" s="347">
        <f t="shared" si="83"/>
        <v>17880</v>
      </c>
      <c r="V2065" s="348"/>
      <c r="W2065" s="349" t="e">
        <f>+VLOOKUP(D2065,'JOURNAL FACTURES'!A:O,15,0)</f>
        <v>#N/A</v>
      </c>
      <c r="X2065" s="349" t="e">
        <f>VLOOKUP(D2065,'JOURNAL FACTURES'!A:P,16,0)</f>
        <v>#N/A</v>
      </c>
      <c r="Y2065" s="349" t="e">
        <f>VLOOKUP(D2065,'JOURNAL FACTURES'!A:Q,17,0)</f>
        <v>#N/A</v>
      </c>
      <c r="Z2065" s="349" t="e">
        <f>VLOOKUP(D2065,'JOURNAL FACTURES'!A:R,18,0)</f>
        <v>#N/A</v>
      </c>
      <c r="AA2065" s="350" t="e">
        <f t="shared" si="84"/>
        <v>#N/A</v>
      </c>
      <c r="AB2065" s="350" t="e">
        <f t="shared" si="85"/>
        <v>#N/A</v>
      </c>
      <c r="AC2065" s="350" t="e">
        <f t="shared" si="86"/>
        <v>#N/A</v>
      </c>
      <c r="AD2065" s="350" t="e">
        <f t="shared" si="87"/>
        <v>#N/A</v>
      </c>
      <c r="AE2065" s="349">
        <f>VLOOKUP(D2065,TRANSPORT!H:J,3,0)</f>
        <v>1534.3380000000002</v>
      </c>
      <c r="AF2065" s="349">
        <f>+VLOOKUP(D2065,TRANSPORT!N:O,2,0)</f>
        <v>13778.18</v>
      </c>
      <c r="AG2065" s="349">
        <f t="shared" si="88"/>
        <v>0.77059172259507835</v>
      </c>
      <c r="AH2065" s="351" t="e">
        <f t="shared" si="89"/>
        <v>#N/A</v>
      </c>
      <c r="AI2065" s="351" t="e">
        <f t="shared" si="90"/>
        <v>#N/A</v>
      </c>
      <c r="AJ2065" s="351" t="e">
        <f t="shared" si="91"/>
        <v>#N/A</v>
      </c>
      <c r="AK2065" s="351" t="e">
        <f t="shared" si="92"/>
        <v>#N/A</v>
      </c>
      <c r="AL2065" s="352">
        <f>VLOOKUP(D2065,'INTEGRATION PAR CLIENT '!A1461:J1489,10,0)</f>
        <v>0</v>
      </c>
      <c r="AM2065" s="352">
        <f>VLOOKUP(D2065,'INTEGRATION PAR CLIENT '!A1461:L1489,12,0)</f>
        <v>1</v>
      </c>
      <c r="AN2065" s="352">
        <f>+VLOOKUP(D2065,'INTEGRATION PAR CLIENT '!A1461:N1489,14,0)</f>
        <v>1</v>
      </c>
      <c r="AO2065" s="352">
        <f>+VLOOKUP(D2065,'INTEGRATION PAR CLIENT '!A1461:P1489,16,0)</f>
        <v>0</v>
      </c>
    </row>
    <row r="2066" spans="1:41">
      <c r="A2066" s="342">
        <v>186</v>
      </c>
      <c r="B2066" s="277" t="str">
        <f t="shared" si="80"/>
        <v>186</v>
      </c>
      <c r="C2066" s="277">
        <v>0</v>
      </c>
      <c r="D2066" s="343" t="str">
        <f>'2025'!D187</f>
        <v>FAE-25-00186</v>
      </c>
      <c r="E2066" s="277" t="str">
        <f t="shared" si="81"/>
        <v>186</v>
      </c>
      <c r="F2066" s="618">
        <f>+'2025'!G187</f>
        <v>45664</v>
      </c>
      <c r="G2066" s="619">
        <f t="shared" si="42"/>
        <v>2025</v>
      </c>
      <c r="H2066" s="383" t="s">
        <v>16700</v>
      </c>
      <c r="I2066" s="277" t="str">
        <f>+VLOOKUP(H2066,Sheet1!A:C,3,0)</f>
        <v>JP BEEMSTERBOER BV</v>
      </c>
      <c r="J2066" s="277" t="str">
        <f>+VLOOKUP(H2066,Sheet1!A:D,4,0)</f>
        <v>USD</v>
      </c>
      <c r="K2066" s="278">
        <f t="shared" si="82"/>
        <v>259171.91424000001</v>
      </c>
      <c r="L2066" s="383">
        <v>3.4225500000000002</v>
      </c>
      <c r="M2066" s="384">
        <v>75724.800000000003</v>
      </c>
      <c r="N2066" s="277" t="str">
        <f>+VLOOKUP(E2066,'2025'!E:F,2,0)</f>
        <v>OUI</v>
      </c>
      <c r="O2066" s="277" t="str">
        <f>VLOOKUP(E2066,'2025'!E:N,10,0)</f>
        <v>Sierra Leone</v>
      </c>
      <c r="P2066" s="890">
        <f>VLOOKUP(E2066,'2025'!E:O,11,0)</f>
        <v>45848</v>
      </c>
      <c r="Q2066" s="347">
        <f>VLOOKUP(E2066,'2025'!E:H,4,0)</f>
        <v>110040</v>
      </c>
      <c r="R2066" s="347">
        <f>VLOOKUP(E2066,'2025'!E:I,5,0)</f>
        <v>0</v>
      </c>
      <c r="S2066" s="347">
        <f>VLOOKUP(E2066,'2025'!E:J,6,0)</f>
        <v>0</v>
      </c>
      <c r="T2066" s="347">
        <f>VLOOKUP(E2066,'2025'!E:K,7,0)</f>
        <v>0</v>
      </c>
      <c r="U2066" s="347">
        <f t="shared" si="83"/>
        <v>110040</v>
      </c>
      <c r="V2066" s="348"/>
      <c r="W2066" s="349" t="e">
        <f>+VLOOKUP(D2066,'JOURNAL FACTURES'!A:O,15,0)</f>
        <v>#N/A</v>
      </c>
      <c r="X2066" s="349" t="e">
        <f>VLOOKUP(D2066,'JOURNAL FACTURES'!A:P,16,0)</f>
        <v>#N/A</v>
      </c>
      <c r="Y2066" s="349" t="e">
        <f>VLOOKUP(D2066,'JOURNAL FACTURES'!A:Q,17,0)</f>
        <v>#N/A</v>
      </c>
      <c r="Z2066" s="349" t="e">
        <f>VLOOKUP(D2066,'JOURNAL FACTURES'!A:R,18,0)</f>
        <v>#N/A</v>
      </c>
      <c r="AA2066" s="350" t="e">
        <f t="shared" si="84"/>
        <v>#N/A</v>
      </c>
      <c r="AB2066" s="350" t="e">
        <f t="shared" si="85"/>
        <v>#N/A</v>
      </c>
      <c r="AC2066" s="350" t="e">
        <f t="shared" si="86"/>
        <v>#N/A</v>
      </c>
      <c r="AD2066" s="350" t="e">
        <f t="shared" si="87"/>
        <v>#N/A</v>
      </c>
      <c r="AE2066" s="349">
        <f>VLOOKUP(D2066,TRANSPORT!H:J,3,0)</f>
        <v>4885.38</v>
      </c>
      <c r="AF2066" s="349">
        <f>+VLOOKUP(D2066,TRANSPORT!N:O,2,0)</f>
        <v>30881.4</v>
      </c>
      <c r="AG2066" s="349">
        <f t="shared" si="88"/>
        <v>0.28063794983642315</v>
      </c>
      <c r="AH2066" s="351" t="e">
        <f t="shared" si="89"/>
        <v>#N/A</v>
      </c>
      <c r="AI2066" s="351" t="e">
        <f t="shared" si="90"/>
        <v>#N/A</v>
      </c>
      <c r="AJ2066" s="351" t="e">
        <f t="shared" si="91"/>
        <v>#N/A</v>
      </c>
      <c r="AK2066" s="351" t="e">
        <f t="shared" si="92"/>
        <v>#N/A</v>
      </c>
      <c r="AL2066" s="352">
        <f>VLOOKUP(D2066,'INTEGRATION PAR CLIENT '!A1462:J1490,10,0)</f>
        <v>1</v>
      </c>
      <c r="AM2066" s="352">
        <f>VLOOKUP(D2066,'INTEGRATION PAR CLIENT '!A1462:L1490,12,0)</f>
        <v>0</v>
      </c>
      <c r="AN2066" s="352">
        <f>+VLOOKUP(D2066,'INTEGRATION PAR CLIENT '!A1462:N1490,14,0)</f>
        <v>0</v>
      </c>
      <c r="AO2066" s="352">
        <f>+VLOOKUP(D2066,'INTEGRATION PAR CLIENT '!A1462:P1490,16,0)</f>
        <v>0</v>
      </c>
    </row>
    <row r="2067" spans="1:41">
      <c r="A2067" s="342">
        <v>187</v>
      </c>
      <c r="B2067" s="277" t="str">
        <f t="shared" si="80"/>
        <v>187</v>
      </c>
      <c r="C2067" s="277">
        <v>0</v>
      </c>
      <c r="D2067" s="343" t="str">
        <f>'2025'!D188</f>
        <v>FAE-25-00187</v>
      </c>
      <c r="E2067" s="277" t="str">
        <f t="shared" si="81"/>
        <v>187</v>
      </c>
      <c r="F2067" s="618">
        <f>+'2025'!G188</f>
        <v>45754</v>
      </c>
      <c r="G2067" s="619">
        <f t="shared" si="42"/>
        <v>2025</v>
      </c>
      <c r="H2067" s="383" t="s">
        <v>16384</v>
      </c>
      <c r="I2067" s="277" t="str">
        <f>+VLOOKUP(H2067,Sheet1!A:C,3,0)</f>
        <v>STE DE COMMERCE INTERNATIONAL</v>
      </c>
      <c r="J2067" s="277" t="str">
        <f>+VLOOKUP(H2067,Sheet1!A:D,4,0)</f>
        <v>TND</v>
      </c>
      <c r="K2067" s="278">
        <f t="shared" si="82"/>
        <v>49000</v>
      </c>
      <c r="L2067" s="383">
        <v>1</v>
      </c>
      <c r="M2067" s="384">
        <v>49000</v>
      </c>
      <c r="N2067" s="277" t="str">
        <f>+VLOOKUP(E2067,'2025'!E:F,2,0)</f>
        <v>OUI</v>
      </c>
      <c r="O2067" s="277" t="str">
        <f>VLOOKUP(E2067,'2025'!E:N,10,0)</f>
        <v>Gabon</v>
      </c>
      <c r="P2067" s="890">
        <f>VLOOKUP(E2067,'2025'!E:O,11,0)</f>
        <v>45846</v>
      </c>
      <c r="Q2067" s="347">
        <f>VLOOKUP(E2067,'2025'!E:H,4,0)</f>
        <v>0</v>
      </c>
      <c r="R2067" s="347">
        <f>VLOOKUP(E2067,'2025'!E:I,5,0)</f>
        <v>0</v>
      </c>
      <c r="S2067" s="347">
        <f>VLOOKUP(E2067,'2025'!E:J,6,0)</f>
        <v>28000</v>
      </c>
      <c r="T2067" s="347">
        <f>VLOOKUP(E2067,'2025'!E:K,7,0)</f>
        <v>0</v>
      </c>
      <c r="U2067" s="347">
        <f t="shared" si="83"/>
        <v>28000</v>
      </c>
      <c r="V2067" s="348"/>
      <c r="W2067" s="349" t="e">
        <f>+VLOOKUP(D2067,'JOURNAL FACTURES'!A:O,15,0)</f>
        <v>#N/A</v>
      </c>
      <c r="X2067" s="349" t="e">
        <f>VLOOKUP(D2067,'JOURNAL FACTURES'!A:P,16,0)</f>
        <v>#N/A</v>
      </c>
      <c r="Y2067" s="349" t="e">
        <f>VLOOKUP(D2067,'JOURNAL FACTURES'!A:Q,17,0)</f>
        <v>#N/A</v>
      </c>
      <c r="Z2067" s="349" t="e">
        <f>VLOOKUP(D2067,'JOURNAL FACTURES'!A:R,18,0)</f>
        <v>#N/A</v>
      </c>
      <c r="AA2067" s="350" t="e">
        <f t="shared" si="84"/>
        <v>#N/A</v>
      </c>
      <c r="AB2067" s="350" t="e">
        <f t="shared" si="85"/>
        <v>#N/A</v>
      </c>
      <c r="AC2067" s="350" t="e">
        <f t="shared" si="86"/>
        <v>#N/A</v>
      </c>
      <c r="AD2067" s="350" t="e">
        <f t="shared" si="87"/>
        <v>#N/A</v>
      </c>
      <c r="AE2067" s="349">
        <f>VLOOKUP(D2067,TRANSPORT!H:J,3,0)</f>
        <v>0</v>
      </c>
      <c r="AF2067" s="349">
        <f>+VLOOKUP(D2067,TRANSPORT!N:O,2,0)</f>
        <v>0</v>
      </c>
      <c r="AG2067" s="349">
        <f t="shared" si="88"/>
        <v>0</v>
      </c>
      <c r="AH2067" s="351" t="e">
        <f t="shared" si="89"/>
        <v>#N/A</v>
      </c>
      <c r="AI2067" s="351" t="e">
        <f t="shared" si="90"/>
        <v>#N/A</v>
      </c>
      <c r="AJ2067" s="351" t="e">
        <f t="shared" si="91"/>
        <v>#N/A</v>
      </c>
      <c r="AK2067" s="351" t="e">
        <f t="shared" si="92"/>
        <v>#N/A</v>
      </c>
      <c r="AL2067" s="352">
        <f>VLOOKUP(D2067,'INTEGRATION PAR CLIENT '!A1463:J1491,10,0)</f>
        <v>0</v>
      </c>
      <c r="AM2067" s="352">
        <f>VLOOKUP(D2067,'INTEGRATION PAR CLIENT '!A1463:L1491,12,0)</f>
        <v>0</v>
      </c>
      <c r="AN2067" s="352" t="str">
        <f>+VLOOKUP(D2067,'INTEGRATION PAR CLIENT '!A1463:N1491,14,0)</f>
        <v>10%-90%</v>
      </c>
      <c r="AO2067" s="352">
        <f>+VLOOKUP(D2067,'INTEGRATION PAR CLIENT '!A1463:P1491,16,0)</f>
        <v>0</v>
      </c>
    </row>
    <row r="2068" spans="1:41">
      <c r="A2068" s="342">
        <v>188</v>
      </c>
      <c r="B2068" s="277" t="str">
        <f t="shared" si="80"/>
        <v>188</v>
      </c>
      <c r="C2068" s="277">
        <v>0</v>
      </c>
      <c r="D2068" s="343" t="str">
        <f>'2025'!D189</f>
        <v>FAE-25-00188</v>
      </c>
      <c r="E2068" s="277" t="str">
        <f t="shared" si="81"/>
        <v>188</v>
      </c>
      <c r="F2068" s="618">
        <f>+'2025'!G189</f>
        <v>45845</v>
      </c>
      <c r="G2068" s="619">
        <f t="shared" ref="G2068:G2094" si="93">+YEAR(F2068)</f>
        <v>2025</v>
      </c>
      <c r="H2068" s="383" t="s">
        <v>16384</v>
      </c>
      <c r="I2068" s="277" t="str">
        <f>+VLOOKUP(H2068,Sheet1!A:C,3,0)</f>
        <v>STE DE COMMERCE INTERNATIONAL</v>
      </c>
      <c r="J2068" s="277" t="str">
        <f>+VLOOKUP(H2068,Sheet1!A:D,4,0)</f>
        <v>TND</v>
      </c>
      <c r="K2068" s="278">
        <f t="shared" si="82"/>
        <v>591784.31999999995</v>
      </c>
      <c r="L2068" s="383">
        <v>1</v>
      </c>
      <c r="M2068" s="384">
        <v>591784.31999999995</v>
      </c>
      <c r="N2068" s="277" t="str">
        <f>+VLOOKUP(E2068,'2025'!E:F,2,0)</f>
        <v>OUI</v>
      </c>
      <c r="O2068" s="277" t="str">
        <f>VLOOKUP(E2068,'2025'!E:N,10,0)</f>
        <v>Sierra Leone</v>
      </c>
      <c r="P2068" s="890">
        <f>VLOOKUP(E2068,'2025'!E:O,11,0)</f>
        <v>45857</v>
      </c>
      <c r="Q2068" s="347">
        <f>VLOOKUP(E2068,'2025'!E:H,4,0)</f>
        <v>262464</v>
      </c>
      <c r="R2068" s="347">
        <f>VLOOKUP(E2068,'2025'!E:I,5,0)</f>
        <v>17400</v>
      </c>
      <c r="S2068" s="347">
        <f>VLOOKUP(E2068,'2025'!E:J,6,0)</f>
        <v>0</v>
      </c>
      <c r="T2068" s="347">
        <f>VLOOKUP(E2068,'2025'!E:K,7,0)</f>
        <v>0</v>
      </c>
      <c r="U2068" s="347">
        <f t="shared" si="83"/>
        <v>279864</v>
      </c>
      <c r="V2068" s="348"/>
      <c r="W2068" s="349" t="e">
        <f>+VLOOKUP(D2068,'JOURNAL FACTURES'!A:O,15,0)</f>
        <v>#N/A</v>
      </c>
      <c r="X2068" s="349" t="e">
        <f>VLOOKUP(D2068,'JOURNAL FACTURES'!A:P,16,0)</f>
        <v>#N/A</v>
      </c>
      <c r="Y2068" s="349" t="e">
        <f>VLOOKUP(D2068,'JOURNAL FACTURES'!A:Q,17,0)</f>
        <v>#N/A</v>
      </c>
      <c r="Z2068" s="349" t="e">
        <f>VLOOKUP(D2068,'JOURNAL FACTURES'!A:R,18,0)</f>
        <v>#N/A</v>
      </c>
      <c r="AA2068" s="350" t="e">
        <f t="shared" si="84"/>
        <v>#N/A</v>
      </c>
      <c r="AB2068" s="350" t="e">
        <f t="shared" si="85"/>
        <v>#N/A</v>
      </c>
      <c r="AC2068" s="350" t="e">
        <f t="shared" si="86"/>
        <v>#N/A</v>
      </c>
      <c r="AD2068" s="350" t="e">
        <f t="shared" si="87"/>
        <v>#N/A</v>
      </c>
      <c r="AE2068" s="349">
        <f>VLOOKUP(D2068,TRANSPORT!H:J,3,0)</f>
        <v>0</v>
      </c>
      <c r="AF2068" s="349">
        <f>+VLOOKUP(D2068,TRANSPORT!N:O,2,0)</f>
        <v>0</v>
      </c>
      <c r="AG2068" s="349">
        <f t="shared" si="88"/>
        <v>0</v>
      </c>
      <c r="AH2068" s="351" t="e">
        <f t="shared" si="89"/>
        <v>#N/A</v>
      </c>
      <c r="AI2068" s="351" t="e">
        <f t="shared" si="90"/>
        <v>#N/A</v>
      </c>
      <c r="AJ2068" s="351" t="e">
        <f t="shared" si="91"/>
        <v>#N/A</v>
      </c>
      <c r="AK2068" s="351" t="e">
        <f t="shared" si="92"/>
        <v>#N/A</v>
      </c>
      <c r="AL2068" s="352">
        <f>VLOOKUP(D2068,'INTEGRATION PAR CLIENT '!A1464:J1492,10,0)</f>
        <v>1</v>
      </c>
      <c r="AM2068" s="352" t="str">
        <f>VLOOKUP(D2068,'INTEGRATION PAR CLIENT '!A1464:L1492,12,0)</f>
        <v>'30%S-70%F</v>
      </c>
      <c r="AN2068" s="352">
        <f>+VLOOKUP(D2068,'INTEGRATION PAR CLIENT '!A1464:N1492,14,0)</f>
        <v>0</v>
      </c>
      <c r="AO2068" s="352">
        <f>+VLOOKUP(D2068,'INTEGRATION PAR CLIENT '!A1464:P1492,16,0)</f>
        <v>0</v>
      </c>
    </row>
    <row r="2069" spans="1:41">
      <c r="A2069" s="342">
        <v>189</v>
      </c>
      <c r="B2069" s="277" t="str">
        <f t="shared" si="80"/>
        <v>189</v>
      </c>
      <c r="C2069" s="277">
        <v>0</v>
      </c>
      <c r="D2069" s="343" t="str">
        <f>'2025'!D190</f>
        <v>FAE-25-00189</v>
      </c>
      <c r="E2069" s="277" t="str">
        <f t="shared" si="81"/>
        <v>189</v>
      </c>
      <c r="F2069" s="618">
        <f>+'2025'!G190</f>
        <v>45845</v>
      </c>
      <c r="G2069" s="619">
        <f t="shared" si="93"/>
        <v>2025</v>
      </c>
      <c r="H2069" s="383" t="s">
        <v>16904</v>
      </c>
      <c r="I2069" s="277" t="str">
        <f>+VLOOKUP(H2069,Sheet1!A:C,3,0)</f>
        <v>SODIFRAM SAS</v>
      </c>
      <c r="J2069" s="277" t="str">
        <f>+VLOOKUP(H2069,Sheet1!A:D,4,0)</f>
        <v>EUR</v>
      </c>
      <c r="K2069" s="278">
        <f t="shared" si="82"/>
        <v>76643.01070649999</v>
      </c>
      <c r="L2069" s="383">
        <v>3.4240499999999998</v>
      </c>
      <c r="M2069" s="384">
        <v>22383.73</v>
      </c>
      <c r="N2069" s="277" t="str">
        <f>+VLOOKUP(E2069,'2025'!E:F,2,0)</f>
        <v>OUI</v>
      </c>
      <c r="O2069" s="277" t="str">
        <f>VLOOKUP(E2069,'2025'!E:N,10,0)</f>
        <v>Mayotte</v>
      </c>
      <c r="P2069" s="890">
        <f>VLOOKUP(E2069,'2025'!E:O,11,0)</f>
        <v>45862</v>
      </c>
      <c r="Q2069" s="347">
        <f>VLOOKUP(E2069,'2025'!E:H,4,0)</f>
        <v>0</v>
      </c>
      <c r="R2069" s="347">
        <f>VLOOKUP(E2069,'2025'!E:I,5,0)</f>
        <v>15584</v>
      </c>
      <c r="S2069" s="347">
        <f>VLOOKUP(E2069,'2025'!E:J,6,0)</f>
        <v>8450</v>
      </c>
      <c r="T2069" s="347">
        <f>VLOOKUP(E2069,'2025'!E:K,7,0)</f>
        <v>0</v>
      </c>
      <c r="U2069" s="347">
        <f t="shared" si="83"/>
        <v>24034</v>
      </c>
      <c r="V2069" s="348"/>
      <c r="W2069" s="349" t="e">
        <f>+VLOOKUP(D2069,'JOURNAL FACTURES'!A:O,15,0)</f>
        <v>#N/A</v>
      </c>
      <c r="X2069" s="349" t="e">
        <f>VLOOKUP(D2069,'JOURNAL FACTURES'!A:P,16,0)</f>
        <v>#N/A</v>
      </c>
      <c r="Y2069" s="349" t="e">
        <f>VLOOKUP(D2069,'JOURNAL FACTURES'!A:Q,17,0)</f>
        <v>#N/A</v>
      </c>
      <c r="Z2069" s="349" t="e">
        <f>VLOOKUP(D2069,'JOURNAL FACTURES'!A:R,18,0)</f>
        <v>#N/A</v>
      </c>
      <c r="AA2069" s="350" t="e">
        <f t="shared" si="84"/>
        <v>#N/A</v>
      </c>
      <c r="AB2069" s="350" t="e">
        <f t="shared" si="85"/>
        <v>#N/A</v>
      </c>
      <c r="AC2069" s="350" t="e">
        <f t="shared" si="86"/>
        <v>#N/A</v>
      </c>
      <c r="AD2069" s="350" t="e">
        <f t="shared" si="87"/>
        <v>#N/A</v>
      </c>
      <c r="AE2069" s="349">
        <f>VLOOKUP(D2069,TRANSPORT!H:J,3,0)</f>
        <v>2935.2200000000003</v>
      </c>
      <c r="AF2069" s="349">
        <f>+VLOOKUP(D2069,TRANSPORT!N:O,2,0)</f>
        <v>16649.71</v>
      </c>
      <c r="AG2069" s="349">
        <f t="shared" si="88"/>
        <v>0.69275651160855456</v>
      </c>
      <c r="AH2069" s="351" t="e">
        <f t="shared" si="89"/>
        <v>#N/A</v>
      </c>
      <c r="AI2069" s="351" t="e">
        <f t="shared" si="90"/>
        <v>#N/A</v>
      </c>
      <c r="AJ2069" s="351" t="e">
        <f t="shared" si="91"/>
        <v>#N/A</v>
      </c>
      <c r="AK2069" s="351" t="e">
        <f t="shared" si="92"/>
        <v>#N/A</v>
      </c>
      <c r="AL2069" s="352">
        <f>VLOOKUP(D2069,'INTEGRATION PAR CLIENT '!A1465:J1493,10,0)</f>
        <v>0</v>
      </c>
      <c r="AM2069" s="352">
        <f>VLOOKUP(D2069,'INTEGRATION PAR CLIENT '!A1465:L1493,12,0)</f>
        <v>1</v>
      </c>
      <c r="AN2069" s="352">
        <f>+VLOOKUP(D2069,'INTEGRATION PAR CLIENT '!A1465:N1493,14,0)</f>
        <v>1</v>
      </c>
      <c r="AO2069" s="352">
        <f>+VLOOKUP(D2069,'INTEGRATION PAR CLIENT '!A1465:P1493,16,0)</f>
        <v>0</v>
      </c>
    </row>
    <row r="2070" spans="1:41">
      <c r="A2070" s="342">
        <v>190</v>
      </c>
      <c r="B2070" s="277" t="str">
        <f t="shared" si="80"/>
        <v>190</v>
      </c>
      <c r="C2070" s="277">
        <v>0</v>
      </c>
      <c r="D2070" s="343" t="str">
        <f>'2025'!D191</f>
        <v>FAE-25-00190</v>
      </c>
      <c r="E2070" s="277" t="str">
        <f t="shared" si="81"/>
        <v>190</v>
      </c>
      <c r="F2070" s="618">
        <f>+'2025'!G191</f>
        <v>45845</v>
      </c>
      <c r="G2070" s="619">
        <f t="shared" si="93"/>
        <v>2025</v>
      </c>
      <c r="H2070" s="383" t="s">
        <v>16904</v>
      </c>
      <c r="I2070" s="277" t="str">
        <f>+VLOOKUP(H2070,Sheet1!A:C,3,0)</f>
        <v>SODIFRAM SAS</v>
      </c>
      <c r="J2070" s="277" t="str">
        <f>+VLOOKUP(H2070,Sheet1!A:D,4,0)</f>
        <v>EUR</v>
      </c>
      <c r="K2070" s="278">
        <f t="shared" si="82"/>
        <v>75682.183464999995</v>
      </c>
      <c r="L2070" s="383">
        <v>3.4277500000000001</v>
      </c>
      <c r="M2070" s="384">
        <v>22079.26</v>
      </c>
      <c r="N2070" s="277" t="str">
        <f>+VLOOKUP(E2070,'2025'!E:F,2,0)</f>
        <v>OUI</v>
      </c>
      <c r="O2070" s="277" t="str">
        <f>VLOOKUP(E2070,'2025'!E:N,10,0)</f>
        <v>Mayotte</v>
      </c>
      <c r="P2070" s="890">
        <f>VLOOKUP(E2070,'2025'!E:O,11,0)</f>
        <v>45862</v>
      </c>
      <c r="Q2070" s="347">
        <f>VLOOKUP(E2070,'2025'!E:H,4,0)</f>
        <v>0</v>
      </c>
      <c r="R2070" s="347">
        <f>VLOOKUP(E2070,'2025'!E:I,5,0)</f>
        <v>16458</v>
      </c>
      <c r="S2070" s="347">
        <f>VLOOKUP(E2070,'2025'!E:J,6,0)</f>
        <v>6950</v>
      </c>
      <c r="T2070" s="347">
        <f>VLOOKUP(E2070,'2025'!E:K,7,0)</f>
        <v>0</v>
      </c>
      <c r="U2070" s="347">
        <f t="shared" si="83"/>
        <v>23408</v>
      </c>
      <c r="V2070" s="348"/>
      <c r="W2070" s="349" t="e">
        <f>+VLOOKUP(D2070,'JOURNAL FACTURES'!A:O,15,0)</f>
        <v>#N/A</v>
      </c>
      <c r="X2070" s="349" t="e">
        <f>VLOOKUP(D2070,'JOURNAL FACTURES'!A:P,16,0)</f>
        <v>#N/A</v>
      </c>
      <c r="Y2070" s="349" t="e">
        <f>VLOOKUP(D2070,'JOURNAL FACTURES'!A:Q,17,0)</f>
        <v>#N/A</v>
      </c>
      <c r="Z2070" s="349" t="e">
        <f>VLOOKUP(D2070,'JOURNAL FACTURES'!A:R,18,0)</f>
        <v>#N/A</v>
      </c>
      <c r="AA2070" s="350" t="e">
        <f t="shared" si="84"/>
        <v>#N/A</v>
      </c>
      <c r="AB2070" s="350" t="e">
        <f t="shared" si="85"/>
        <v>#N/A</v>
      </c>
      <c r="AC2070" s="350" t="e">
        <f t="shared" si="86"/>
        <v>#N/A</v>
      </c>
      <c r="AD2070" s="350" t="e">
        <f t="shared" si="87"/>
        <v>#N/A</v>
      </c>
      <c r="AE2070" s="349">
        <f>VLOOKUP(D2070,TRANSPORT!H:J,3,0)</f>
        <v>2935.2200000000003</v>
      </c>
      <c r="AF2070" s="349">
        <f>+VLOOKUP(D2070,TRANSPORT!N:O,2,0)</f>
        <v>16386.509999999998</v>
      </c>
      <c r="AG2070" s="349">
        <f t="shared" si="88"/>
        <v>0.70003887559808609</v>
      </c>
      <c r="AH2070" s="351" t="e">
        <f t="shared" si="89"/>
        <v>#N/A</v>
      </c>
      <c r="AI2070" s="351" t="e">
        <f t="shared" si="90"/>
        <v>#N/A</v>
      </c>
      <c r="AJ2070" s="351" t="e">
        <f t="shared" si="91"/>
        <v>#N/A</v>
      </c>
      <c r="AK2070" s="351" t="e">
        <f t="shared" si="92"/>
        <v>#N/A</v>
      </c>
      <c r="AL2070" s="352">
        <f>VLOOKUP(D2070,'INTEGRATION PAR CLIENT '!A1466:J1494,10,0)</f>
        <v>0</v>
      </c>
      <c r="AM2070" s="352">
        <f>VLOOKUP(D2070,'INTEGRATION PAR CLIENT '!A1466:L1494,12,0)</f>
        <v>1</v>
      </c>
      <c r="AN2070" s="352">
        <f>+VLOOKUP(D2070,'INTEGRATION PAR CLIENT '!A1466:N1494,14,0)</f>
        <v>1</v>
      </c>
      <c r="AO2070" s="352">
        <f>+VLOOKUP(D2070,'INTEGRATION PAR CLIENT '!A1466:P1494,16,0)</f>
        <v>0</v>
      </c>
    </row>
    <row r="2071" spans="1:41">
      <c r="A2071" s="342">
        <v>191</v>
      </c>
      <c r="B2071" s="277" t="str">
        <f t="shared" si="80"/>
        <v>191</v>
      </c>
      <c r="C2071" s="277">
        <v>0</v>
      </c>
      <c r="D2071" s="343" t="str">
        <f>'2025'!D192</f>
        <v>FAE-25-00191</v>
      </c>
      <c r="E2071" s="277" t="str">
        <f t="shared" si="81"/>
        <v>191</v>
      </c>
      <c r="F2071" s="618">
        <f>+'2025'!G192</f>
        <v>45845</v>
      </c>
      <c r="G2071" s="619">
        <f t="shared" si="93"/>
        <v>2025</v>
      </c>
      <c r="H2071" s="383" t="s">
        <v>16904</v>
      </c>
      <c r="I2071" s="277" t="str">
        <f>+VLOOKUP(H2071,Sheet1!A:C,3,0)</f>
        <v>SODIFRAM SAS</v>
      </c>
      <c r="J2071" s="277" t="str">
        <f>+VLOOKUP(H2071,Sheet1!A:D,4,0)</f>
        <v>EUR</v>
      </c>
      <c r="K2071" s="278">
        <f t="shared" si="82"/>
        <v>79455.382110000006</v>
      </c>
      <c r="L2071" s="383">
        <v>3.4277500000000001</v>
      </c>
      <c r="M2071" s="384">
        <v>23180.04</v>
      </c>
      <c r="N2071" s="277" t="str">
        <f>+VLOOKUP(E2071,'2025'!E:F,2,0)</f>
        <v>OUI</v>
      </c>
      <c r="O2071" s="277" t="str">
        <f>VLOOKUP(E2071,'2025'!E:N,10,0)</f>
        <v>Mayotte</v>
      </c>
      <c r="P2071" s="890">
        <f>VLOOKUP(E2071,'2025'!E:O,11,0)</f>
        <v>45862</v>
      </c>
      <c r="Q2071" s="347">
        <f>VLOOKUP(E2071,'2025'!E:H,4,0)</f>
        <v>0</v>
      </c>
      <c r="R2071" s="347">
        <f>VLOOKUP(E2071,'2025'!E:I,5,0)</f>
        <v>15532</v>
      </c>
      <c r="S2071" s="347">
        <f>VLOOKUP(E2071,'2025'!E:J,6,0)</f>
        <v>9400</v>
      </c>
      <c r="T2071" s="347">
        <f>VLOOKUP(E2071,'2025'!E:K,7,0)</f>
        <v>0</v>
      </c>
      <c r="U2071" s="347">
        <f t="shared" si="83"/>
        <v>24932</v>
      </c>
      <c r="V2071" s="348"/>
      <c r="W2071" s="349" t="e">
        <f>+VLOOKUP(D2071,'JOURNAL FACTURES'!A:O,15,0)</f>
        <v>#N/A</v>
      </c>
      <c r="X2071" s="349" t="e">
        <f>VLOOKUP(D2071,'JOURNAL FACTURES'!A:P,16,0)</f>
        <v>#N/A</v>
      </c>
      <c r="Y2071" s="349" t="e">
        <f>VLOOKUP(D2071,'JOURNAL FACTURES'!A:Q,17,0)</f>
        <v>#N/A</v>
      </c>
      <c r="Z2071" s="349" t="e">
        <f>VLOOKUP(D2071,'JOURNAL FACTURES'!A:R,18,0)</f>
        <v>#N/A</v>
      </c>
      <c r="AA2071" s="350" t="e">
        <f t="shared" si="84"/>
        <v>#N/A</v>
      </c>
      <c r="AB2071" s="350" t="e">
        <f t="shared" si="85"/>
        <v>#N/A</v>
      </c>
      <c r="AC2071" s="350" t="e">
        <f t="shared" si="86"/>
        <v>#N/A</v>
      </c>
      <c r="AD2071" s="350" t="e">
        <f t="shared" si="87"/>
        <v>#N/A</v>
      </c>
      <c r="AE2071" s="349">
        <f>VLOOKUP(D2071,TRANSPORT!H:J,3,0)</f>
        <v>2935.2200000000003</v>
      </c>
      <c r="AF2071" s="349">
        <f>+VLOOKUP(D2071,TRANSPORT!N:O,2,0)</f>
        <v>16629.71</v>
      </c>
      <c r="AG2071" s="349">
        <f t="shared" si="88"/>
        <v>0.66700264720038505</v>
      </c>
      <c r="AH2071" s="351" t="e">
        <f t="shared" si="89"/>
        <v>#N/A</v>
      </c>
      <c r="AI2071" s="351" t="e">
        <f t="shared" si="90"/>
        <v>#N/A</v>
      </c>
      <c r="AJ2071" s="351" t="e">
        <f t="shared" si="91"/>
        <v>#N/A</v>
      </c>
      <c r="AK2071" s="351" t="e">
        <f t="shared" si="92"/>
        <v>#N/A</v>
      </c>
      <c r="AL2071" s="352">
        <f>VLOOKUP(D2071,'INTEGRATION PAR CLIENT '!A1467:J1495,10,0)</f>
        <v>0</v>
      </c>
      <c r="AM2071" s="352">
        <f>VLOOKUP(D2071,'INTEGRATION PAR CLIENT '!A1467:L1495,12,0)</f>
        <v>1</v>
      </c>
      <c r="AN2071" s="352">
        <f>+VLOOKUP(D2071,'INTEGRATION PAR CLIENT '!A1467:N1495,14,0)</f>
        <v>1</v>
      </c>
      <c r="AO2071" s="352">
        <f>+VLOOKUP(D2071,'INTEGRATION PAR CLIENT '!A1467:P1495,16,0)</f>
        <v>0</v>
      </c>
    </row>
    <row r="2072" spans="1:41">
      <c r="A2072" s="342">
        <v>192</v>
      </c>
      <c r="B2072" s="277" t="str">
        <f t="shared" si="80"/>
        <v>192</v>
      </c>
      <c r="C2072" s="277">
        <v>0</v>
      </c>
      <c r="D2072" s="343" t="str">
        <f>'2025'!D193</f>
        <v>FAE-25-00192</v>
      </c>
      <c r="E2072" s="277" t="str">
        <f t="shared" si="81"/>
        <v>192</v>
      </c>
      <c r="F2072" s="618">
        <f>+'2025'!G193</f>
        <v>45845</v>
      </c>
      <c r="G2072" s="619">
        <f t="shared" si="93"/>
        <v>2025</v>
      </c>
      <c r="H2072" s="383" t="s">
        <v>17276</v>
      </c>
      <c r="I2072" s="277" t="str">
        <f>+VLOOKUP(H2072,Sheet1!A:C,3,0)</f>
        <v>MATMATA TRADING</v>
      </c>
      <c r="J2072" s="277" t="str">
        <f>+VLOOKUP(H2072,Sheet1!A:D,4,0)</f>
        <v>EUR</v>
      </c>
      <c r="K2072" s="278">
        <f t="shared" si="82"/>
        <v>46276.381800000003</v>
      </c>
      <c r="L2072" s="383">
        <v>3.4258500000000001</v>
      </c>
      <c r="M2072" s="384">
        <v>13508</v>
      </c>
      <c r="N2072" s="277" t="str">
        <f>+VLOOKUP(E2072,'2025'!E:F,2,0)</f>
        <v>OUI</v>
      </c>
      <c r="O2072" s="277" t="str">
        <f>VLOOKUP(E2072,'2025'!E:N,10,0)</f>
        <v>Mauritanie</v>
      </c>
      <c r="P2072" s="890">
        <f>VLOOKUP(E2072,'2025'!E:O,11,0)</f>
        <v>45854</v>
      </c>
      <c r="Q2072" s="347">
        <f>VLOOKUP(E2072,'2025'!E:H,4,0)</f>
        <v>19200</v>
      </c>
      <c r="R2072" s="347">
        <f>VLOOKUP(E2072,'2025'!E:I,5,0)</f>
        <v>0</v>
      </c>
      <c r="S2072" s="347">
        <f>VLOOKUP(E2072,'2025'!E:J,6,0)</f>
        <v>0</v>
      </c>
      <c r="T2072" s="347">
        <f>VLOOKUP(E2072,'2025'!E:K,7,0)</f>
        <v>0</v>
      </c>
      <c r="U2072" s="347">
        <f t="shared" si="83"/>
        <v>19200</v>
      </c>
      <c r="V2072" s="348"/>
      <c r="W2072" s="349" t="e">
        <f>+VLOOKUP(D2072,'JOURNAL FACTURES'!A:O,15,0)</f>
        <v>#N/A</v>
      </c>
      <c r="X2072" s="349" t="e">
        <f>VLOOKUP(D2072,'JOURNAL FACTURES'!A:P,16,0)</f>
        <v>#N/A</v>
      </c>
      <c r="Y2072" s="349" t="e">
        <f>VLOOKUP(D2072,'JOURNAL FACTURES'!A:Q,17,0)</f>
        <v>#N/A</v>
      </c>
      <c r="Z2072" s="349" t="e">
        <f>VLOOKUP(D2072,'JOURNAL FACTURES'!A:R,18,0)</f>
        <v>#N/A</v>
      </c>
      <c r="AA2072" s="350" t="e">
        <f t="shared" si="84"/>
        <v>#N/A</v>
      </c>
      <c r="AB2072" s="350" t="e">
        <f t="shared" si="85"/>
        <v>#N/A</v>
      </c>
      <c r="AC2072" s="350" t="e">
        <f t="shared" si="86"/>
        <v>#N/A</v>
      </c>
      <c r="AD2072" s="350" t="e">
        <f t="shared" si="87"/>
        <v>#N/A</v>
      </c>
      <c r="AE2072" s="349">
        <f>VLOOKUP(D2072,TRANSPORT!H:J,3,0)</f>
        <v>1131.0899999999999</v>
      </c>
      <c r="AF2072" s="349">
        <f>+VLOOKUP(D2072,TRANSPORT!N:O,2,0)</f>
        <v>7273.6450000000004</v>
      </c>
      <c r="AG2072" s="349">
        <f t="shared" si="88"/>
        <v>0.37883567708333338</v>
      </c>
      <c r="AH2072" s="351" t="e">
        <f t="shared" si="89"/>
        <v>#N/A</v>
      </c>
      <c r="AI2072" s="351" t="e">
        <f t="shared" si="90"/>
        <v>#N/A</v>
      </c>
      <c r="AJ2072" s="351" t="e">
        <f t="shared" si="91"/>
        <v>#N/A</v>
      </c>
      <c r="AK2072" s="351" t="e">
        <f t="shared" si="92"/>
        <v>#N/A</v>
      </c>
      <c r="AL2072" s="352">
        <f>VLOOKUP(D2072,'INTEGRATION PAR CLIENT '!A1468:J1496,10,0)</f>
        <v>1</v>
      </c>
      <c r="AM2072" s="352">
        <f>VLOOKUP(D2072,'INTEGRATION PAR CLIENT '!A1468:L1496,12,0)</f>
        <v>0</v>
      </c>
      <c r="AN2072" s="352">
        <f>+VLOOKUP(D2072,'INTEGRATION PAR CLIENT '!A1468:N1496,14,0)</f>
        <v>0</v>
      </c>
      <c r="AO2072" s="352">
        <f>+VLOOKUP(D2072,'INTEGRATION PAR CLIENT '!A1468:P1496,16,0)</f>
        <v>0</v>
      </c>
    </row>
    <row r="2073" spans="1:41">
      <c r="A2073" s="342">
        <v>193</v>
      </c>
      <c r="B2073" s="277" t="str">
        <f t="shared" si="80"/>
        <v>193</v>
      </c>
      <c r="C2073" s="277">
        <v>0</v>
      </c>
      <c r="D2073" s="343" t="str">
        <f>'2025'!D194</f>
        <v>FAE-25-00193</v>
      </c>
      <c r="E2073" s="277" t="str">
        <f t="shared" si="81"/>
        <v>193</v>
      </c>
      <c r="F2073" s="972">
        <v>45848</v>
      </c>
      <c r="G2073" s="619">
        <f t="shared" si="93"/>
        <v>2025</v>
      </c>
      <c r="H2073" s="383" t="s">
        <v>17376</v>
      </c>
      <c r="I2073" s="277" t="str">
        <f>+VLOOKUP(H2073,Sheet1!A:C,3,0)</f>
        <v>STE AL AKIL</v>
      </c>
      <c r="J2073" s="277" t="str">
        <f>+VLOOKUP(H2073,Sheet1!A:D,4,0)</f>
        <v>TND</v>
      </c>
      <c r="K2073" s="278">
        <f t="shared" si="82"/>
        <v>207006.62</v>
      </c>
      <c r="L2073" s="383">
        <v>1</v>
      </c>
      <c r="M2073" s="384">
        <v>207006.62</v>
      </c>
      <c r="N2073" s="277" t="str">
        <f>+VLOOKUP(E2073,'2025'!E:F,2,0)</f>
        <v>OUI</v>
      </c>
      <c r="O2073" s="277" t="str">
        <f>VLOOKUP(E2073,'2025'!E:N,10,0)</f>
        <v>Libye</v>
      </c>
      <c r="P2073" s="890">
        <f>VLOOKUP(E2073,'2025'!E:O,11,0)</f>
        <v>45859</v>
      </c>
      <c r="Q2073" s="347">
        <f>VLOOKUP(E2073,'2025'!E:H,4,0)</f>
        <v>100003</v>
      </c>
      <c r="R2073" s="347">
        <f>VLOOKUP(E2073,'2025'!E:I,5,0)</f>
        <v>0</v>
      </c>
      <c r="S2073" s="347">
        <f>VLOOKUP(E2073,'2025'!E:J,6,0)</f>
        <v>0</v>
      </c>
      <c r="T2073" s="347">
        <f>VLOOKUP(E2073,'2025'!E:K,7,0)</f>
        <v>0</v>
      </c>
      <c r="U2073" s="347">
        <f t="shared" si="83"/>
        <v>100003</v>
      </c>
      <c r="V2073" s="348"/>
      <c r="W2073" s="349" t="e">
        <f>+VLOOKUP(D2073,'JOURNAL FACTURES'!A:O,15,0)</f>
        <v>#N/A</v>
      </c>
      <c r="X2073" s="349" t="e">
        <f>VLOOKUP(D2073,'JOURNAL FACTURES'!A:P,16,0)</f>
        <v>#N/A</v>
      </c>
      <c r="Y2073" s="349" t="e">
        <f>VLOOKUP(D2073,'JOURNAL FACTURES'!A:Q,17,0)</f>
        <v>#N/A</v>
      </c>
      <c r="Z2073" s="349" t="e">
        <f>VLOOKUP(D2073,'JOURNAL FACTURES'!A:R,18,0)</f>
        <v>#N/A</v>
      </c>
      <c r="AA2073" s="350" t="e">
        <f t="shared" si="84"/>
        <v>#N/A</v>
      </c>
      <c r="AB2073" s="350" t="e">
        <f t="shared" si="85"/>
        <v>#N/A</v>
      </c>
      <c r="AC2073" s="350" t="e">
        <f t="shared" si="86"/>
        <v>#N/A</v>
      </c>
      <c r="AD2073" s="350" t="e">
        <f t="shared" si="87"/>
        <v>#N/A</v>
      </c>
      <c r="AE2073" s="349">
        <f>VLOOKUP(D2073,TRANSPORT!H:J,3,0)</f>
        <v>0</v>
      </c>
      <c r="AF2073" s="349">
        <f>+VLOOKUP(D2073,TRANSPORT!N:O,2,0)</f>
        <v>0</v>
      </c>
      <c r="AG2073" s="349">
        <f t="shared" si="88"/>
        <v>0</v>
      </c>
      <c r="AH2073" s="351" t="e">
        <f t="shared" si="89"/>
        <v>#N/A</v>
      </c>
      <c r="AI2073" s="351" t="e">
        <f t="shared" si="90"/>
        <v>#N/A</v>
      </c>
      <c r="AJ2073" s="351" t="e">
        <f t="shared" si="91"/>
        <v>#N/A</v>
      </c>
      <c r="AK2073" s="351" t="e">
        <f t="shared" si="92"/>
        <v>#N/A</v>
      </c>
      <c r="AL2073" s="352">
        <f>VLOOKUP(D2073,'INTEGRATION PAR CLIENT '!A1469:J1497,10,0)</f>
        <v>1</v>
      </c>
      <c r="AM2073" s="352">
        <f>VLOOKUP(D2073,'INTEGRATION PAR CLIENT '!A1469:L1497,12,0)</f>
        <v>0</v>
      </c>
      <c r="AN2073" s="352">
        <f>+VLOOKUP(D2073,'INTEGRATION PAR CLIENT '!A1469:N1497,14,0)</f>
        <v>0</v>
      </c>
      <c r="AO2073" s="352">
        <f>+VLOOKUP(D2073,'INTEGRATION PAR CLIENT '!A1469:P1497,16,0)</f>
        <v>0</v>
      </c>
    </row>
    <row r="2074" spans="1:41">
      <c r="A2074" s="342" t="s">
        <v>206</v>
      </c>
      <c r="B2074" s="277" t="str">
        <f t="shared" ref="B2074:B2078" si="94">+RIGHT(D2074,3)</f>
        <v>194</v>
      </c>
      <c r="C2074" s="277">
        <v>0</v>
      </c>
      <c r="D2074" s="343" t="str">
        <f>'2025'!D195</f>
        <v>FAE-25-00194</v>
      </c>
      <c r="E2074" s="277" t="str">
        <f t="shared" ref="E2074:E2078" si="95">RIGHT(D2074,3)</f>
        <v>194</v>
      </c>
      <c r="F2074" s="972">
        <v>45848</v>
      </c>
      <c r="G2074" s="619">
        <f t="shared" si="93"/>
        <v>2025</v>
      </c>
      <c r="H2074" s="383" t="s">
        <v>17329</v>
      </c>
      <c r="I2074" s="277" t="str">
        <f>+VLOOKUP(H2074,Sheet1!A:C,3,0)</f>
        <v>DEBENHAM</v>
      </c>
      <c r="J2074" s="277" t="str">
        <f>+VLOOKUP(H2074,Sheet1!A:D,4,0)</f>
        <v>USD</v>
      </c>
      <c r="K2074" s="278">
        <f t="shared" ref="K2074:K2078" si="96">+L2074*M2074</f>
        <v>416746.78500000003</v>
      </c>
      <c r="L2074" s="383">
        <v>2.9410500000000002</v>
      </c>
      <c r="M2074" s="384">
        <v>141700</v>
      </c>
      <c r="N2074" s="277" t="str">
        <f>+VLOOKUP(E2074,'2025'!E:F,2,0)</f>
        <v>OUI</v>
      </c>
      <c r="O2074" s="277" t="str">
        <f>VLOOKUP(E2074,'2025'!E:N,10,0)</f>
        <v>Kenya</v>
      </c>
      <c r="P2074" s="890">
        <f>VLOOKUP(E2074,'2025'!E:O,11,0)</f>
        <v>45859</v>
      </c>
      <c r="Q2074" s="347">
        <f>VLOOKUP(E2074,'2025'!E:H,4,0)</f>
        <v>0</v>
      </c>
      <c r="R2074" s="347">
        <f>VLOOKUP(E2074,'2025'!E:I,5,0)</f>
        <v>0</v>
      </c>
      <c r="S2074" s="347">
        <f>VLOOKUP(E2074,'2025'!E:J,6,0)</f>
        <v>260000</v>
      </c>
      <c r="T2074" s="347">
        <f>VLOOKUP(E2074,'2025'!E:K,7,0)</f>
        <v>0</v>
      </c>
      <c r="U2074" s="347">
        <f t="shared" ref="U2074:U2078" si="97">SUM(Q2074:T2074)</f>
        <v>260000</v>
      </c>
      <c r="V2074" s="348"/>
      <c r="W2074" s="349" t="e">
        <f>+VLOOKUP(D2074,'JOURNAL FACTURES'!A:O,15,0)</f>
        <v>#N/A</v>
      </c>
      <c r="X2074" s="349" t="e">
        <f>VLOOKUP(D2074,'JOURNAL FACTURES'!A:P,16,0)</f>
        <v>#N/A</v>
      </c>
      <c r="Y2074" s="349" t="e">
        <f>VLOOKUP(D2074,'JOURNAL FACTURES'!A:Q,17,0)</f>
        <v>#N/A</v>
      </c>
      <c r="Z2074" s="349" t="e">
        <f>VLOOKUP(D2074,'JOURNAL FACTURES'!A:R,18,0)</f>
        <v>#N/A</v>
      </c>
      <c r="AA2074" s="350" t="e">
        <f t="shared" ref="AA2074:AA2078" si="98">+W2074/Q2074</f>
        <v>#N/A</v>
      </c>
      <c r="AB2074" s="350" t="e">
        <f t="shared" ref="AB2074:AB2078" si="99">+X2074/R2074</f>
        <v>#N/A</v>
      </c>
      <c r="AC2074" s="350" t="e">
        <f t="shared" ref="AC2074:AC2078" si="100">+Y2074/S2074</f>
        <v>#N/A</v>
      </c>
      <c r="AD2074" s="350" t="e">
        <f t="shared" ref="AD2074:AD2078" si="101">Z2074/T2074</f>
        <v>#N/A</v>
      </c>
      <c r="AE2074" s="349">
        <f>VLOOKUP(D2074,TRANSPORT!H:J,3,0)</f>
        <v>0</v>
      </c>
      <c r="AF2074" s="349">
        <f>+VLOOKUP(D2074,TRANSPORT!N:O,2,0)</f>
        <v>20512.343000000001</v>
      </c>
      <c r="AG2074" s="349">
        <f t="shared" ref="AG2074:AG2078" si="102">AF2074/U2074</f>
        <v>7.8893626923076929E-2</v>
      </c>
      <c r="AH2074" s="351" t="e">
        <f t="shared" ref="AH2074:AH2078" si="103">AA2074-AG2074</f>
        <v>#N/A</v>
      </c>
      <c r="AI2074" s="351" t="e">
        <f t="shared" ref="AI2074:AI2078" si="104">AB2074-AG2074</f>
        <v>#N/A</v>
      </c>
      <c r="AJ2074" s="351" t="e">
        <f t="shared" ref="AJ2074:AJ2078" si="105">AC2074-AG2074</f>
        <v>#N/A</v>
      </c>
      <c r="AK2074" s="351" t="e">
        <f t="shared" ref="AK2074:AK2078" si="106">AD2074-AG2074</f>
        <v>#N/A</v>
      </c>
      <c r="AL2074" s="352">
        <f>VLOOKUP(D2074,'INTEGRATION PAR CLIENT '!A1470:J1498,10,0)</f>
        <v>0</v>
      </c>
      <c r="AM2074" s="352">
        <f>VLOOKUP(D2074,'INTEGRATION PAR CLIENT '!A1470:L1498,12,0)</f>
        <v>0</v>
      </c>
      <c r="AN2074" s="352" t="str">
        <f>+VLOOKUP(D2074,'INTEGRATION PAR CLIENT '!A1470:N1498,14,0)</f>
        <v>10%-90%</v>
      </c>
      <c r="AO2074" s="352">
        <f>+VLOOKUP(D2074,'INTEGRATION PAR CLIENT '!A1470:P1498,16,0)</f>
        <v>0</v>
      </c>
    </row>
    <row r="2075" spans="1:41">
      <c r="A2075" s="342" t="s">
        <v>207</v>
      </c>
      <c r="B2075" s="277" t="str">
        <f t="shared" si="94"/>
        <v>195</v>
      </c>
      <c r="C2075" s="277">
        <v>0</v>
      </c>
      <c r="D2075" s="343" t="str">
        <f>'2025'!D196</f>
        <v>FAE-25-00195</v>
      </c>
      <c r="E2075" s="277" t="str">
        <f t="shared" si="95"/>
        <v>195</v>
      </c>
      <c r="F2075" s="972">
        <v>45849</v>
      </c>
      <c r="G2075" s="619">
        <f t="shared" si="93"/>
        <v>2025</v>
      </c>
      <c r="H2075" s="383" t="s">
        <v>16444</v>
      </c>
      <c r="I2075" s="277" t="str">
        <f>+VLOOKUP(H2075,Sheet1!A:C,3,0)</f>
        <v>SAHEL INTERNATIONAL TRADE</v>
      </c>
      <c r="J2075" s="277" t="str">
        <f>+VLOOKUP(H2075,Sheet1!A:D,4,0)</f>
        <v>TND</v>
      </c>
      <c r="K2075" s="278">
        <f t="shared" si="96"/>
        <v>330000</v>
      </c>
      <c r="L2075" s="383">
        <v>1</v>
      </c>
      <c r="M2075" s="384">
        <v>330000</v>
      </c>
      <c r="N2075" s="277" t="str">
        <f>+VLOOKUP(E2075,'2025'!E:F,2,0)</f>
        <v>OUI</v>
      </c>
      <c r="O2075" s="277" t="str">
        <f>VLOOKUP(E2075,'2025'!E:N,10,0)</f>
        <v>Niger</v>
      </c>
      <c r="P2075" s="890">
        <f>VLOOKUP(E2075,'2025'!E:O,11,0)</f>
        <v>45856</v>
      </c>
      <c r="Q2075" s="347">
        <f>VLOOKUP(E2075,'2025'!E:H,4,0)</f>
        <v>0</v>
      </c>
      <c r="R2075" s="347">
        <f>VLOOKUP(E2075,'2025'!E:I,5,0)</f>
        <v>0</v>
      </c>
      <c r="S2075" s="347">
        <f>VLOOKUP(E2075,'2025'!E:J,6,0)</f>
        <v>220000</v>
      </c>
      <c r="T2075" s="347">
        <f>VLOOKUP(E2075,'2025'!E:K,7,0)</f>
        <v>0</v>
      </c>
      <c r="U2075" s="347">
        <f t="shared" si="97"/>
        <v>220000</v>
      </c>
      <c r="V2075" s="348"/>
      <c r="W2075" s="349" t="e">
        <f>+VLOOKUP(D2075,'JOURNAL FACTURES'!A:O,15,0)</f>
        <v>#N/A</v>
      </c>
      <c r="X2075" s="349" t="e">
        <f>VLOOKUP(D2075,'JOURNAL FACTURES'!A:P,16,0)</f>
        <v>#N/A</v>
      </c>
      <c r="Y2075" s="349" t="e">
        <f>VLOOKUP(D2075,'JOURNAL FACTURES'!A:Q,17,0)</f>
        <v>#N/A</v>
      </c>
      <c r="Z2075" s="349" t="e">
        <f>VLOOKUP(D2075,'JOURNAL FACTURES'!A:R,18,0)</f>
        <v>#N/A</v>
      </c>
      <c r="AA2075" s="350" t="e">
        <f t="shared" si="98"/>
        <v>#N/A</v>
      </c>
      <c r="AB2075" s="350" t="e">
        <f t="shared" si="99"/>
        <v>#N/A</v>
      </c>
      <c r="AC2075" s="350" t="e">
        <f t="shared" si="100"/>
        <v>#N/A</v>
      </c>
      <c r="AD2075" s="350" t="e">
        <f t="shared" si="101"/>
        <v>#N/A</v>
      </c>
      <c r="AE2075" s="349">
        <f>VLOOKUP(D2075,TRANSPORT!H:J,3,0)</f>
        <v>0</v>
      </c>
      <c r="AF2075" s="349">
        <f>+VLOOKUP(D2075,TRANSPORT!N:O,2,0)</f>
        <v>0</v>
      </c>
      <c r="AG2075" s="349">
        <f t="shared" si="102"/>
        <v>0</v>
      </c>
      <c r="AH2075" s="351" t="e">
        <f t="shared" si="103"/>
        <v>#N/A</v>
      </c>
      <c r="AI2075" s="351" t="e">
        <f t="shared" si="104"/>
        <v>#N/A</v>
      </c>
      <c r="AJ2075" s="351" t="e">
        <f t="shared" si="105"/>
        <v>#N/A</v>
      </c>
      <c r="AK2075" s="351" t="e">
        <f t="shared" si="106"/>
        <v>#N/A</v>
      </c>
      <c r="AL2075" s="352">
        <f>VLOOKUP(D2075,'INTEGRATION PAR CLIENT '!A1471:J1499,10,0)</f>
        <v>0</v>
      </c>
      <c r="AM2075" s="352">
        <f>VLOOKUP(D2075,'INTEGRATION PAR CLIENT '!A1471:L1499,12,0)</f>
        <v>0</v>
      </c>
      <c r="AN2075" s="352" t="str">
        <f>+VLOOKUP(D2075,'INTEGRATION PAR CLIENT '!A1471:N1499,14,0)</f>
        <v>10%-90%</v>
      </c>
      <c r="AO2075" s="352">
        <f>+VLOOKUP(D2075,'INTEGRATION PAR CLIENT '!A1471:P1499,16,0)</f>
        <v>0</v>
      </c>
    </row>
    <row r="2076" spans="1:41">
      <c r="A2076" s="342" t="s">
        <v>208</v>
      </c>
      <c r="B2076" s="277" t="str">
        <f t="shared" si="94"/>
        <v>196</v>
      </c>
      <c r="C2076" s="277">
        <v>0</v>
      </c>
      <c r="D2076" s="343" t="str">
        <f>'2025'!D197</f>
        <v>FAE-25-00196</v>
      </c>
      <c r="E2076" s="277" t="str">
        <f t="shared" si="95"/>
        <v>196</v>
      </c>
      <c r="F2076" s="972">
        <v>45849</v>
      </c>
      <c r="G2076" s="619">
        <f t="shared" si="93"/>
        <v>2025</v>
      </c>
      <c r="H2076" s="383" t="s">
        <v>17404</v>
      </c>
      <c r="I2076" s="277" t="str">
        <f>+VLOOKUP(H2076,Sheet1!A:C,3,0)</f>
        <v>POWERTRADE</v>
      </c>
      <c r="J2076" s="277" t="str">
        <f>+VLOOKUP(H2076,Sheet1!A:D,4,0)</f>
        <v>USD</v>
      </c>
      <c r="K2076" s="278">
        <f t="shared" si="96"/>
        <v>68284.930000000008</v>
      </c>
      <c r="L2076" s="383">
        <v>2.93825</v>
      </c>
      <c r="M2076" s="384">
        <v>23240</v>
      </c>
      <c r="N2076" s="277" t="str">
        <f>+VLOOKUP(E2076,'2025'!E:F,2,0)</f>
        <v>OUI</v>
      </c>
      <c r="O2076" s="277" t="str">
        <f>VLOOKUP(E2076,'2025'!E:N,10,0)</f>
        <v>Russie</v>
      </c>
      <c r="P2076" s="890">
        <f>VLOOKUP(E2076,'2025'!E:O,11,0)</f>
        <v>45859</v>
      </c>
      <c r="Q2076" s="347">
        <f>VLOOKUP(E2076,'2025'!E:H,4,0)</f>
        <v>28000</v>
      </c>
      <c r="R2076" s="347">
        <f>VLOOKUP(E2076,'2025'!E:I,5,0)</f>
        <v>0</v>
      </c>
      <c r="S2076" s="347">
        <f>VLOOKUP(E2076,'2025'!E:J,6,0)</f>
        <v>0</v>
      </c>
      <c r="T2076" s="347">
        <f>VLOOKUP(E2076,'2025'!E:K,7,0)</f>
        <v>0</v>
      </c>
      <c r="U2076" s="347">
        <f t="shared" si="97"/>
        <v>28000</v>
      </c>
      <c r="V2076" s="348"/>
      <c r="W2076" s="349" t="e">
        <f>+VLOOKUP(D2076,'JOURNAL FACTURES'!A:O,15,0)</f>
        <v>#N/A</v>
      </c>
      <c r="X2076" s="349" t="e">
        <f>VLOOKUP(D2076,'JOURNAL FACTURES'!A:P,16,0)</f>
        <v>#N/A</v>
      </c>
      <c r="Y2076" s="349" t="e">
        <f>VLOOKUP(D2076,'JOURNAL FACTURES'!A:Q,17,0)</f>
        <v>#N/A</v>
      </c>
      <c r="Z2076" s="349" t="e">
        <f>VLOOKUP(D2076,'JOURNAL FACTURES'!A:R,18,0)</f>
        <v>#N/A</v>
      </c>
      <c r="AA2076" s="350" t="e">
        <f t="shared" si="98"/>
        <v>#N/A</v>
      </c>
      <c r="AB2076" s="350" t="e">
        <f t="shared" si="99"/>
        <v>#N/A</v>
      </c>
      <c r="AC2076" s="350" t="e">
        <f t="shared" si="100"/>
        <v>#N/A</v>
      </c>
      <c r="AD2076" s="350" t="e">
        <f t="shared" si="101"/>
        <v>#N/A</v>
      </c>
      <c r="AE2076" s="349">
        <f>VLOOKUP(D2076,TRANSPORT!H:J,3,0)</f>
        <v>767.09100000000001</v>
      </c>
      <c r="AF2076" s="349">
        <f>+VLOOKUP(D2076,TRANSPORT!N:O,2,0)</f>
        <v>7613.61</v>
      </c>
      <c r="AG2076" s="349">
        <f t="shared" si="102"/>
        <v>0.27191464285714284</v>
      </c>
      <c r="AH2076" s="351" t="e">
        <f t="shared" si="103"/>
        <v>#N/A</v>
      </c>
      <c r="AI2076" s="351" t="e">
        <f t="shared" si="104"/>
        <v>#N/A</v>
      </c>
      <c r="AJ2076" s="351" t="e">
        <f t="shared" si="105"/>
        <v>#N/A</v>
      </c>
      <c r="AK2076" s="351" t="e">
        <f t="shared" si="106"/>
        <v>#N/A</v>
      </c>
      <c r="AL2076" s="352">
        <f>VLOOKUP(D2076,'INTEGRATION PAR CLIENT '!A1472:J1500,10,0)</f>
        <v>0</v>
      </c>
      <c r="AM2076" s="352">
        <f>VLOOKUP(D2076,'INTEGRATION PAR CLIENT '!A1472:L1500,12,0)</f>
        <v>0</v>
      </c>
      <c r="AN2076" s="352">
        <f>+VLOOKUP(D2076,'INTEGRATION PAR CLIENT '!A1472:N1500,14,0)</f>
        <v>0</v>
      </c>
      <c r="AO2076" s="352">
        <f>+VLOOKUP(D2076,'INTEGRATION PAR CLIENT '!A1472:P1500,16,0)</f>
        <v>0</v>
      </c>
    </row>
    <row r="2077" spans="1:41">
      <c r="A2077" s="342" t="s">
        <v>209</v>
      </c>
      <c r="B2077" s="277" t="str">
        <f t="shared" si="94"/>
        <v>197</v>
      </c>
      <c r="C2077" s="277">
        <v>0</v>
      </c>
      <c r="D2077" s="343" t="str">
        <f>'2025'!D198</f>
        <v>FAE-25-00197</v>
      </c>
      <c r="E2077" s="277" t="str">
        <f t="shared" si="95"/>
        <v>197</v>
      </c>
      <c r="F2077" s="972">
        <v>45849</v>
      </c>
      <c r="G2077" s="619">
        <f t="shared" si="93"/>
        <v>2025</v>
      </c>
      <c r="H2077" s="383" t="s">
        <v>17404</v>
      </c>
      <c r="I2077" s="277" t="str">
        <f>+VLOOKUP(H2077,Sheet1!A:C,3,0)</f>
        <v>POWERTRADE</v>
      </c>
      <c r="J2077" s="277" t="str">
        <f>+VLOOKUP(H2077,Sheet1!A:D,4,0)</f>
        <v>USD</v>
      </c>
      <c r="K2077" s="278">
        <f t="shared" si="96"/>
        <v>68284.930000000008</v>
      </c>
      <c r="L2077" s="383">
        <v>2.93825</v>
      </c>
      <c r="M2077" s="384">
        <v>23240</v>
      </c>
      <c r="N2077" s="277" t="str">
        <f>+VLOOKUP(E2077,'2025'!E:F,2,0)</f>
        <v>OUI</v>
      </c>
      <c r="O2077" s="277" t="str">
        <f>VLOOKUP(E2077,'2025'!E:N,10,0)</f>
        <v>Russie</v>
      </c>
      <c r="P2077" s="890">
        <f>VLOOKUP(E2077,'2025'!E:O,11,0)</f>
        <v>45859</v>
      </c>
      <c r="Q2077" s="347">
        <f>VLOOKUP(E2077,'2025'!E:H,4,0)</f>
        <v>28000</v>
      </c>
      <c r="R2077" s="347">
        <f>VLOOKUP(E2077,'2025'!E:I,5,0)</f>
        <v>0</v>
      </c>
      <c r="S2077" s="347">
        <f>VLOOKUP(E2077,'2025'!E:J,6,0)</f>
        <v>0</v>
      </c>
      <c r="T2077" s="347">
        <f>VLOOKUP(E2077,'2025'!E:K,7,0)</f>
        <v>0</v>
      </c>
      <c r="U2077" s="347">
        <f t="shared" si="97"/>
        <v>28000</v>
      </c>
      <c r="V2077" s="348"/>
      <c r="W2077" s="349" t="e">
        <f>+VLOOKUP(D2077,'JOURNAL FACTURES'!A:O,15,0)</f>
        <v>#N/A</v>
      </c>
      <c r="X2077" s="349" t="e">
        <f>VLOOKUP(D2077,'JOURNAL FACTURES'!A:P,16,0)</f>
        <v>#N/A</v>
      </c>
      <c r="Y2077" s="349" t="e">
        <f>VLOOKUP(D2077,'JOURNAL FACTURES'!A:Q,17,0)</f>
        <v>#N/A</v>
      </c>
      <c r="Z2077" s="349" t="e">
        <f>VLOOKUP(D2077,'JOURNAL FACTURES'!A:R,18,0)</f>
        <v>#N/A</v>
      </c>
      <c r="AA2077" s="350" t="e">
        <f t="shared" si="98"/>
        <v>#N/A</v>
      </c>
      <c r="AB2077" s="350" t="e">
        <f t="shared" si="99"/>
        <v>#N/A</v>
      </c>
      <c r="AC2077" s="350" t="e">
        <f t="shared" si="100"/>
        <v>#N/A</v>
      </c>
      <c r="AD2077" s="350" t="e">
        <f t="shared" si="101"/>
        <v>#N/A</v>
      </c>
      <c r="AE2077" s="349">
        <f>VLOOKUP(D2077,TRANSPORT!H:J,3,0)</f>
        <v>767.09100000000001</v>
      </c>
      <c r="AF2077" s="349">
        <f>+VLOOKUP(D2077,TRANSPORT!N:O,2,0)</f>
        <v>7614.41</v>
      </c>
      <c r="AG2077" s="349">
        <f t="shared" si="102"/>
        <v>0.27194321428571427</v>
      </c>
      <c r="AH2077" s="351" t="e">
        <f t="shared" si="103"/>
        <v>#N/A</v>
      </c>
      <c r="AI2077" s="351" t="e">
        <f t="shared" si="104"/>
        <v>#N/A</v>
      </c>
      <c r="AJ2077" s="351" t="e">
        <f t="shared" si="105"/>
        <v>#N/A</v>
      </c>
      <c r="AK2077" s="351" t="e">
        <f t="shared" si="106"/>
        <v>#N/A</v>
      </c>
      <c r="AL2077" s="352">
        <f>VLOOKUP(D2077,'INTEGRATION PAR CLIENT '!A1473:J1501,10,0)</f>
        <v>0</v>
      </c>
      <c r="AM2077" s="352">
        <f>VLOOKUP(D2077,'INTEGRATION PAR CLIENT '!A1473:L1501,12,0)</f>
        <v>0</v>
      </c>
      <c r="AN2077" s="352">
        <f>+VLOOKUP(D2077,'INTEGRATION PAR CLIENT '!A1473:N1501,14,0)</f>
        <v>0</v>
      </c>
      <c r="AO2077" s="352">
        <f>+VLOOKUP(D2077,'INTEGRATION PAR CLIENT '!A1473:P1501,16,0)</f>
        <v>0</v>
      </c>
    </row>
    <row r="2078" spans="1:41">
      <c r="A2078" s="342" t="s">
        <v>210</v>
      </c>
      <c r="B2078" s="277" t="str">
        <f t="shared" si="94"/>
        <v>198</v>
      </c>
      <c r="C2078" s="277">
        <v>0</v>
      </c>
      <c r="D2078" s="343" t="str">
        <f>'2025'!D199</f>
        <v>FAE-25-00198</v>
      </c>
      <c r="E2078" s="277" t="str">
        <f t="shared" si="95"/>
        <v>198</v>
      </c>
      <c r="F2078" s="972">
        <v>45849</v>
      </c>
      <c r="G2078" s="619">
        <f t="shared" si="93"/>
        <v>2025</v>
      </c>
      <c r="H2078" s="383" t="s">
        <v>17404</v>
      </c>
      <c r="I2078" s="277" t="str">
        <f>+VLOOKUP(H2078,Sheet1!A:C,3,0)</f>
        <v>POWERTRADE</v>
      </c>
      <c r="J2078" s="277" t="str">
        <f>+VLOOKUP(H2078,Sheet1!A:D,4,0)</f>
        <v>USD</v>
      </c>
      <c r="K2078" s="278">
        <f t="shared" si="96"/>
        <v>68284.930000000008</v>
      </c>
      <c r="L2078" s="383">
        <v>2.93825</v>
      </c>
      <c r="M2078" s="384">
        <v>23240</v>
      </c>
      <c r="N2078" s="277" t="str">
        <f>+VLOOKUP(E2078,'2025'!E:F,2,0)</f>
        <v>OUI</v>
      </c>
      <c r="O2078" s="277" t="str">
        <f>VLOOKUP(E2078,'2025'!E:N,10,0)</f>
        <v>Russie</v>
      </c>
      <c r="P2078" s="890">
        <f>VLOOKUP(E2078,'2025'!E:O,11,0)</f>
        <v>45860</v>
      </c>
      <c r="Q2078" s="347">
        <f>VLOOKUP(E2078,'2025'!E:H,4,0)</f>
        <v>28000</v>
      </c>
      <c r="R2078" s="347">
        <f>VLOOKUP(E2078,'2025'!E:I,5,0)</f>
        <v>0</v>
      </c>
      <c r="S2078" s="347">
        <f>VLOOKUP(E2078,'2025'!E:J,6,0)</f>
        <v>0</v>
      </c>
      <c r="T2078" s="347">
        <f>VLOOKUP(E2078,'2025'!E:K,7,0)</f>
        <v>0</v>
      </c>
      <c r="U2078" s="347">
        <f t="shared" si="97"/>
        <v>28000</v>
      </c>
      <c r="V2078" s="348"/>
      <c r="W2078" s="349" t="e">
        <f>+VLOOKUP(D2078,'JOURNAL FACTURES'!A:O,15,0)</f>
        <v>#N/A</v>
      </c>
      <c r="X2078" s="349" t="e">
        <f>VLOOKUP(D2078,'JOURNAL FACTURES'!A:P,16,0)</f>
        <v>#N/A</v>
      </c>
      <c r="Y2078" s="349" t="e">
        <f>VLOOKUP(D2078,'JOURNAL FACTURES'!A:Q,17,0)</f>
        <v>#N/A</v>
      </c>
      <c r="Z2078" s="349" t="e">
        <f>VLOOKUP(D2078,'JOURNAL FACTURES'!A:R,18,0)</f>
        <v>#N/A</v>
      </c>
      <c r="AA2078" s="350" t="e">
        <f t="shared" si="98"/>
        <v>#N/A</v>
      </c>
      <c r="AB2078" s="350" t="e">
        <f t="shared" si="99"/>
        <v>#N/A</v>
      </c>
      <c r="AC2078" s="350" t="e">
        <f t="shared" si="100"/>
        <v>#N/A</v>
      </c>
      <c r="AD2078" s="350" t="e">
        <f t="shared" si="101"/>
        <v>#N/A</v>
      </c>
      <c r="AE2078" s="349">
        <f>VLOOKUP(D2078,TRANSPORT!H:J,3,0)</f>
        <v>767.09100000000001</v>
      </c>
      <c r="AF2078" s="349">
        <f>+VLOOKUP(D2078,TRANSPORT!N:O,2,0)</f>
        <v>7327.61</v>
      </c>
      <c r="AG2078" s="349">
        <f t="shared" si="102"/>
        <v>0.26170035714285711</v>
      </c>
      <c r="AH2078" s="351" t="e">
        <f t="shared" si="103"/>
        <v>#N/A</v>
      </c>
      <c r="AI2078" s="351" t="e">
        <f t="shared" si="104"/>
        <v>#N/A</v>
      </c>
      <c r="AJ2078" s="351" t="e">
        <f t="shared" si="105"/>
        <v>#N/A</v>
      </c>
      <c r="AK2078" s="351" t="e">
        <f t="shared" si="106"/>
        <v>#N/A</v>
      </c>
      <c r="AL2078" s="352">
        <f>VLOOKUP(D2078,'INTEGRATION PAR CLIENT '!A1474:J1502,10,0)</f>
        <v>0</v>
      </c>
      <c r="AM2078" s="352">
        <f>VLOOKUP(D2078,'INTEGRATION PAR CLIENT '!A1474:L1502,12,0)</f>
        <v>0</v>
      </c>
      <c r="AN2078" s="352">
        <f>+VLOOKUP(D2078,'INTEGRATION PAR CLIENT '!A1474:N1502,14,0)</f>
        <v>0</v>
      </c>
      <c r="AO2078" s="352">
        <f>+VLOOKUP(D2078,'INTEGRATION PAR CLIENT '!A1474:P1502,16,0)</f>
        <v>0</v>
      </c>
    </row>
    <row r="2079" spans="1:41">
      <c r="A2079" s="342" t="s">
        <v>211</v>
      </c>
      <c r="B2079" s="277" t="str">
        <f t="shared" ref="B2079:B2084" si="107">+RIGHT(D2079,3)</f>
        <v>199</v>
      </c>
      <c r="C2079" s="277">
        <v>0</v>
      </c>
      <c r="D2079" s="343" t="str">
        <f>'2025'!D200</f>
        <v>FAE-25-00199</v>
      </c>
      <c r="E2079" s="277" t="str">
        <f t="shared" ref="E2079:E2084" si="108">RIGHT(D2079,3)</f>
        <v>199</v>
      </c>
      <c r="F2079" s="972">
        <v>45849</v>
      </c>
      <c r="G2079" s="619">
        <f t="shared" si="93"/>
        <v>2025</v>
      </c>
      <c r="H2079" s="383" t="s">
        <v>17404</v>
      </c>
      <c r="I2079" s="277" t="str">
        <f>+VLOOKUP(H2079,Sheet1!A:C,3,0)</f>
        <v>POWERTRADE</v>
      </c>
      <c r="J2079" s="277" t="str">
        <f>+VLOOKUP(H2079,Sheet1!A:D,4,0)</f>
        <v>USD</v>
      </c>
      <c r="K2079" s="278">
        <f t="shared" ref="K2079:K2084" si="109">+L2079*M2079</f>
        <v>68284.930000000008</v>
      </c>
      <c r="L2079" s="383">
        <v>2.93825</v>
      </c>
      <c r="M2079" s="384">
        <v>23240</v>
      </c>
      <c r="N2079" s="277" t="str">
        <f>+VLOOKUP(E2079,'2025'!E:F,2,0)</f>
        <v>OUI</v>
      </c>
      <c r="O2079" s="277" t="str">
        <f>VLOOKUP(E2079,'2025'!E:N,10,0)</f>
        <v>Russie</v>
      </c>
      <c r="P2079" s="890">
        <f>VLOOKUP(E2079,'2025'!E:O,11,0)</f>
        <v>45860</v>
      </c>
      <c r="Q2079" s="347">
        <f>VLOOKUP(E2079,'2025'!E:H,4,0)</f>
        <v>28000</v>
      </c>
      <c r="R2079" s="347">
        <f>VLOOKUP(E2079,'2025'!E:I,5,0)</f>
        <v>0</v>
      </c>
      <c r="S2079" s="347">
        <f>VLOOKUP(E2079,'2025'!E:J,6,0)</f>
        <v>0</v>
      </c>
      <c r="T2079" s="347">
        <f>VLOOKUP(E2079,'2025'!E:K,7,0)</f>
        <v>0</v>
      </c>
      <c r="U2079" s="347">
        <f t="shared" ref="U2079:U2084" si="110">SUM(Q2079:T2079)</f>
        <v>28000</v>
      </c>
      <c r="V2079" s="348"/>
      <c r="W2079" s="349" t="e">
        <f>+VLOOKUP(D2079,'JOURNAL FACTURES'!A:O,15,0)</f>
        <v>#N/A</v>
      </c>
      <c r="X2079" s="349" t="e">
        <f>VLOOKUP(D2079,'JOURNAL FACTURES'!A:P,16,0)</f>
        <v>#N/A</v>
      </c>
      <c r="Y2079" s="349" t="e">
        <f>VLOOKUP(D2079,'JOURNAL FACTURES'!A:Q,17,0)</f>
        <v>#N/A</v>
      </c>
      <c r="Z2079" s="349" t="e">
        <f>VLOOKUP(D2079,'JOURNAL FACTURES'!A:R,18,0)</f>
        <v>#N/A</v>
      </c>
      <c r="AA2079" s="350" t="e">
        <f t="shared" ref="AA2079:AA2084" si="111">+W2079/Q2079</f>
        <v>#N/A</v>
      </c>
      <c r="AB2079" s="350" t="e">
        <f t="shared" ref="AB2079:AB2084" si="112">+X2079/R2079</f>
        <v>#N/A</v>
      </c>
      <c r="AC2079" s="350" t="e">
        <f t="shared" ref="AC2079:AC2084" si="113">+Y2079/S2079</f>
        <v>#N/A</v>
      </c>
      <c r="AD2079" s="350" t="e">
        <f t="shared" ref="AD2079:AD2084" si="114">Z2079/T2079</f>
        <v>#N/A</v>
      </c>
      <c r="AE2079" s="349">
        <f>VLOOKUP(D2079,TRANSPORT!H:J,3,0)</f>
        <v>377.09100000000001</v>
      </c>
      <c r="AF2079" s="349">
        <f>+VLOOKUP(D2079,TRANSPORT!N:O,2,0)</f>
        <v>7617.61</v>
      </c>
      <c r="AG2079" s="349">
        <f t="shared" ref="AG2079:AG2084" si="115">AF2079/U2079</f>
        <v>0.27205750000000001</v>
      </c>
      <c r="AH2079" s="351" t="e">
        <f t="shared" ref="AH2079:AH2084" si="116">AA2079-AG2079</f>
        <v>#N/A</v>
      </c>
      <c r="AI2079" s="351" t="e">
        <f t="shared" ref="AI2079:AI2084" si="117">AB2079-AG2079</f>
        <v>#N/A</v>
      </c>
      <c r="AJ2079" s="351" t="e">
        <f t="shared" ref="AJ2079:AJ2084" si="118">AC2079-AG2079</f>
        <v>#N/A</v>
      </c>
      <c r="AK2079" s="351" t="e">
        <f t="shared" ref="AK2079:AK2084" si="119">AD2079-AG2079</f>
        <v>#N/A</v>
      </c>
      <c r="AL2079" s="352">
        <f>VLOOKUP(D2079,'INTEGRATION PAR CLIENT '!A1475:J1503,10,0)</f>
        <v>0</v>
      </c>
      <c r="AM2079" s="352">
        <f>VLOOKUP(D2079,'INTEGRATION PAR CLIENT '!A1475:L1503,12,0)</f>
        <v>0</v>
      </c>
      <c r="AN2079" s="352">
        <f>+VLOOKUP(D2079,'INTEGRATION PAR CLIENT '!A1475:N1503,14,0)</f>
        <v>0</v>
      </c>
      <c r="AO2079" s="352">
        <f>+VLOOKUP(D2079,'INTEGRATION PAR CLIENT '!A1475:P1503,16,0)</f>
        <v>0</v>
      </c>
    </row>
    <row r="2080" spans="1:41">
      <c r="A2080" s="342" t="s">
        <v>212</v>
      </c>
      <c r="B2080" s="277" t="str">
        <f t="shared" si="107"/>
        <v>200</v>
      </c>
      <c r="C2080" s="277">
        <v>0</v>
      </c>
      <c r="D2080" s="343" t="str">
        <f>'2025'!D201</f>
        <v>FAE-25-00200</v>
      </c>
      <c r="E2080" s="277" t="str">
        <f t="shared" si="108"/>
        <v>200</v>
      </c>
      <c r="F2080" s="972">
        <v>45849</v>
      </c>
      <c r="G2080" s="619">
        <f t="shared" si="93"/>
        <v>2025</v>
      </c>
      <c r="H2080" s="383" t="s">
        <v>17404</v>
      </c>
      <c r="I2080" s="277" t="str">
        <f>+VLOOKUP(H2080,Sheet1!A:C,3,0)</f>
        <v>POWERTRADE</v>
      </c>
      <c r="J2080" s="277" t="str">
        <f>+VLOOKUP(H2080,Sheet1!A:D,4,0)</f>
        <v>USD</v>
      </c>
      <c r="K2080" s="278">
        <f t="shared" si="109"/>
        <v>68284.930000000008</v>
      </c>
      <c r="L2080" s="383">
        <v>2.93825</v>
      </c>
      <c r="M2080" s="384">
        <v>23240</v>
      </c>
      <c r="N2080" s="277" t="str">
        <f>+VLOOKUP(E2080,'2025'!E:F,2,0)</f>
        <v>OUI</v>
      </c>
      <c r="O2080" s="277" t="str">
        <f>VLOOKUP(E2080,'2025'!E:N,10,0)</f>
        <v>Russie</v>
      </c>
      <c r="P2080" s="890">
        <f>VLOOKUP(E2080,'2025'!E:O,11,0)</f>
        <v>45860</v>
      </c>
      <c r="Q2080" s="347">
        <f>VLOOKUP(E2080,'2025'!E:H,4,0)</f>
        <v>28000</v>
      </c>
      <c r="R2080" s="347">
        <f>VLOOKUP(E2080,'2025'!E:I,5,0)</f>
        <v>0</v>
      </c>
      <c r="S2080" s="347">
        <f>VLOOKUP(E2080,'2025'!E:J,6,0)</f>
        <v>0</v>
      </c>
      <c r="T2080" s="347">
        <f>VLOOKUP(E2080,'2025'!E:K,7,0)</f>
        <v>0</v>
      </c>
      <c r="U2080" s="347">
        <f t="shared" si="110"/>
        <v>28000</v>
      </c>
      <c r="V2080" s="348"/>
      <c r="W2080" s="349" t="e">
        <f>+VLOOKUP(D2080,'JOURNAL FACTURES'!A:O,15,0)</f>
        <v>#N/A</v>
      </c>
      <c r="X2080" s="349" t="e">
        <f>VLOOKUP(D2080,'JOURNAL FACTURES'!A:P,16,0)</f>
        <v>#N/A</v>
      </c>
      <c r="Y2080" s="349" t="e">
        <f>VLOOKUP(D2080,'JOURNAL FACTURES'!A:Q,17,0)</f>
        <v>#N/A</v>
      </c>
      <c r="Z2080" s="349" t="e">
        <f>VLOOKUP(D2080,'JOURNAL FACTURES'!A:R,18,0)</f>
        <v>#N/A</v>
      </c>
      <c r="AA2080" s="350" t="e">
        <f t="shared" si="111"/>
        <v>#N/A</v>
      </c>
      <c r="AB2080" s="350" t="e">
        <f t="shared" si="112"/>
        <v>#N/A</v>
      </c>
      <c r="AC2080" s="350" t="e">
        <f t="shared" si="113"/>
        <v>#N/A</v>
      </c>
      <c r="AD2080" s="350" t="e">
        <f t="shared" si="114"/>
        <v>#N/A</v>
      </c>
      <c r="AE2080" s="349">
        <f>VLOOKUP(D2080,TRANSPORT!H:J,3,0)</f>
        <v>767.09100000000001</v>
      </c>
      <c r="AF2080" s="349">
        <f>+VLOOKUP(D2080,TRANSPORT!N:O,2,0)</f>
        <v>7624.41</v>
      </c>
      <c r="AG2080" s="349">
        <f t="shared" si="115"/>
        <v>0.27230035714285716</v>
      </c>
      <c r="AH2080" s="351" t="e">
        <f t="shared" si="116"/>
        <v>#N/A</v>
      </c>
      <c r="AI2080" s="351" t="e">
        <f t="shared" si="117"/>
        <v>#N/A</v>
      </c>
      <c r="AJ2080" s="351" t="e">
        <f t="shared" si="118"/>
        <v>#N/A</v>
      </c>
      <c r="AK2080" s="351" t="e">
        <f t="shared" si="119"/>
        <v>#N/A</v>
      </c>
      <c r="AL2080" s="352">
        <f>VLOOKUP(D2080,'INTEGRATION PAR CLIENT '!A1476:J1504,10,0)</f>
        <v>0</v>
      </c>
      <c r="AM2080" s="352">
        <f>VLOOKUP(D2080,'INTEGRATION PAR CLIENT '!A1476:L1504,12,0)</f>
        <v>0</v>
      </c>
      <c r="AN2080" s="352">
        <f>+VLOOKUP(D2080,'INTEGRATION PAR CLIENT '!A1476:N1504,14,0)</f>
        <v>0</v>
      </c>
      <c r="AO2080" s="352">
        <f>+VLOOKUP(D2080,'INTEGRATION PAR CLIENT '!A1476:P1504,16,0)</f>
        <v>0</v>
      </c>
    </row>
    <row r="2081" spans="1:41">
      <c r="A2081" s="342" t="s">
        <v>213</v>
      </c>
      <c r="B2081" s="277" t="str">
        <f t="shared" si="107"/>
        <v>201</v>
      </c>
      <c r="C2081" s="277">
        <v>0</v>
      </c>
      <c r="D2081" s="343" t="str">
        <f>'2025'!D202</f>
        <v>FAE-25-00201</v>
      </c>
      <c r="E2081" s="277" t="str">
        <f t="shared" si="108"/>
        <v>201</v>
      </c>
      <c r="F2081" s="618" t="str">
        <f>+'2025'!G202</f>
        <v>17/07/2025</v>
      </c>
      <c r="G2081" s="619">
        <f t="shared" si="93"/>
        <v>2025</v>
      </c>
      <c r="H2081" s="383" t="s">
        <v>17309</v>
      </c>
      <c r="I2081" s="277" t="str">
        <f>+VLOOKUP(H2081,Sheet1!A:C,3,0)</f>
        <v>MARCOM INTERN</v>
      </c>
      <c r="J2081" s="277" t="str">
        <f>+VLOOKUP(H2081,Sheet1!A:D,4,0)</f>
        <v>TND</v>
      </c>
      <c r="K2081" s="278">
        <f t="shared" si="109"/>
        <v>817130.4</v>
      </c>
      <c r="L2081" s="383">
        <v>1</v>
      </c>
      <c r="M2081" s="384">
        <v>817130.4</v>
      </c>
      <c r="N2081" s="277" t="str">
        <f>+VLOOKUP(E2081,'2025'!E:F,2,0)</f>
        <v>OUI</v>
      </c>
      <c r="O2081" s="277" t="str">
        <f>VLOOKUP(E2081,'2025'!E:N,10,0)</f>
        <v>Senegal</v>
      </c>
      <c r="P2081" s="890">
        <f>VLOOKUP(E2081,'2025'!E:O,11,0)</f>
        <v>45867</v>
      </c>
      <c r="Q2081" s="347">
        <f>VLOOKUP(E2081,'2025'!E:H,4,0)</f>
        <v>54000</v>
      </c>
      <c r="R2081" s="347">
        <f>VLOOKUP(E2081,'2025'!E:I,5,0)</f>
        <v>26000</v>
      </c>
      <c r="S2081" s="347">
        <f>VLOOKUP(E2081,'2025'!E:J,6,0)</f>
        <v>410000</v>
      </c>
      <c r="T2081" s="347">
        <f>VLOOKUP(E2081,'2025'!E:K,7,0)</f>
        <v>0</v>
      </c>
      <c r="U2081" s="347">
        <f t="shared" si="110"/>
        <v>490000</v>
      </c>
      <c r="V2081" s="348"/>
      <c r="W2081" s="349" t="e">
        <f>+VLOOKUP(D2081,'JOURNAL FACTURES'!A:O,15,0)</f>
        <v>#N/A</v>
      </c>
      <c r="X2081" s="349" t="e">
        <f>VLOOKUP(D2081,'JOURNAL FACTURES'!A:P,16,0)</f>
        <v>#N/A</v>
      </c>
      <c r="Y2081" s="349" t="e">
        <f>VLOOKUP(D2081,'JOURNAL FACTURES'!A:Q,17,0)</f>
        <v>#N/A</v>
      </c>
      <c r="Z2081" s="349" t="e">
        <f>VLOOKUP(D2081,'JOURNAL FACTURES'!A:R,18,0)</f>
        <v>#N/A</v>
      </c>
      <c r="AA2081" s="350" t="e">
        <f t="shared" si="111"/>
        <v>#N/A</v>
      </c>
      <c r="AB2081" s="350" t="e">
        <f t="shared" si="112"/>
        <v>#N/A</v>
      </c>
      <c r="AC2081" s="350" t="e">
        <f t="shared" si="113"/>
        <v>#N/A</v>
      </c>
      <c r="AD2081" s="350" t="e">
        <f t="shared" si="114"/>
        <v>#N/A</v>
      </c>
      <c r="AE2081" s="349">
        <f>VLOOKUP(D2081,TRANSPORT!H:J,3,0)</f>
        <v>0</v>
      </c>
      <c r="AF2081" s="349">
        <f>+VLOOKUP(D2081,TRANSPORT!N:O,2,0)</f>
        <v>0</v>
      </c>
      <c r="AG2081" s="349">
        <f t="shared" si="115"/>
        <v>0</v>
      </c>
      <c r="AH2081" s="351" t="e">
        <f t="shared" si="116"/>
        <v>#N/A</v>
      </c>
      <c r="AI2081" s="351" t="e">
        <f t="shared" si="117"/>
        <v>#N/A</v>
      </c>
      <c r="AJ2081" s="351" t="e">
        <f t="shared" si="118"/>
        <v>#N/A</v>
      </c>
      <c r="AK2081" s="351" t="e">
        <f t="shared" si="119"/>
        <v>#N/A</v>
      </c>
      <c r="AL2081" s="352">
        <f>VLOOKUP(D2081,'INTEGRATION PAR CLIENT '!A1477:J1505,10,0)</f>
        <v>1</v>
      </c>
      <c r="AM2081" s="352" t="str">
        <f>VLOOKUP(D2081,'INTEGRATION PAR CLIENT '!A1477:L1505,12,0)</f>
        <v>10%-90%</v>
      </c>
      <c r="AN2081" s="352" t="str">
        <f>+VLOOKUP(D2081,'INTEGRATION PAR CLIENT '!A1477:N1505,14,0)</f>
        <v>10%-90%</v>
      </c>
      <c r="AO2081" s="352">
        <f>+VLOOKUP(D2081,'INTEGRATION PAR CLIENT '!A1477:P1505,16,0)</f>
        <v>0</v>
      </c>
    </row>
    <row r="2082" spans="1:41">
      <c r="A2082" s="342" t="s">
        <v>214</v>
      </c>
      <c r="B2082" s="277" t="str">
        <f t="shared" si="107"/>
        <v>202</v>
      </c>
      <c r="C2082" s="277">
        <v>0</v>
      </c>
      <c r="D2082" s="343" t="str">
        <f>'2025'!D203</f>
        <v>FAE-25-00202</v>
      </c>
      <c r="E2082" s="277" t="str">
        <f t="shared" si="108"/>
        <v>202</v>
      </c>
      <c r="F2082" s="618" t="str">
        <f>+'2025'!G203</f>
        <v>17/06/2025</v>
      </c>
      <c r="G2082" s="619">
        <f t="shared" si="93"/>
        <v>2025</v>
      </c>
      <c r="H2082" s="383" t="s">
        <v>17309</v>
      </c>
      <c r="I2082" s="277" t="str">
        <f>+VLOOKUP(H2082,Sheet1!A:C,3,0)</f>
        <v>MARCOM INTERN</v>
      </c>
      <c r="J2082" s="277" t="str">
        <f>+VLOOKUP(H2082,Sheet1!A:D,4,0)</f>
        <v>TND</v>
      </c>
      <c r="K2082" s="278">
        <f t="shared" si="109"/>
        <v>82752</v>
      </c>
      <c r="L2082" s="383">
        <v>1</v>
      </c>
      <c r="M2082" s="384">
        <v>82752</v>
      </c>
      <c r="N2082" s="277" t="str">
        <f>+VLOOKUP(E2082,'2025'!E:F,2,0)</f>
        <v>OUI</v>
      </c>
      <c r="O2082" s="277" t="str">
        <f>VLOOKUP(E2082,'2025'!E:N,10,0)</f>
        <v>Djibouti</v>
      </c>
      <c r="P2082" s="890">
        <f>VLOOKUP(E2082,'2025'!E:O,11,0)</f>
        <v>45861</v>
      </c>
      <c r="Q2082" s="347">
        <f>VLOOKUP(E2082,'2025'!E:H,4,0)</f>
        <v>38400</v>
      </c>
      <c r="R2082" s="347">
        <f>VLOOKUP(E2082,'2025'!E:I,5,0)</f>
        <v>0</v>
      </c>
      <c r="S2082" s="347">
        <f>VLOOKUP(E2082,'2025'!E:J,6,0)</f>
        <v>0</v>
      </c>
      <c r="T2082" s="347">
        <f>VLOOKUP(E2082,'2025'!E:K,7,0)</f>
        <v>0</v>
      </c>
      <c r="U2082" s="347">
        <f t="shared" si="110"/>
        <v>38400</v>
      </c>
      <c r="V2082" s="348"/>
      <c r="W2082" s="349" t="e">
        <f>+VLOOKUP(D2082,'JOURNAL FACTURES'!A:O,15,0)</f>
        <v>#N/A</v>
      </c>
      <c r="X2082" s="349" t="e">
        <f>VLOOKUP(D2082,'JOURNAL FACTURES'!A:P,16,0)</f>
        <v>#N/A</v>
      </c>
      <c r="Y2082" s="349" t="e">
        <f>VLOOKUP(D2082,'JOURNAL FACTURES'!A:Q,17,0)</f>
        <v>#N/A</v>
      </c>
      <c r="Z2082" s="349" t="e">
        <f>VLOOKUP(D2082,'JOURNAL FACTURES'!A:R,18,0)</f>
        <v>#N/A</v>
      </c>
      <c r="AA2082" s="350" t="e">
        <f t="shared" si="111"/>
        <v>#N/A</v>
      </c>
      <c r="AB2082" s="350" t="e">
        <f t="shared" si="112"/>
        <v>#N/A</v>
      </c>
      <c r="AC2082" s="350" t="e">
        <f t="shared" si="113"/>
        <v>#N/A</v>
      </c>
      <c r="AD2082" s="350" t="e">
        <f t="shared" si="114"/>
        <v>#N/A</v>
      </c>
      <c r="AE2082" s="349">
        <f>VLOOKUP(D2082,TRANSPORT!H:J,3,0)</f>
        <v>0</v>
      </c>
      <c r="AF2082" s="349">
        <f>+VLOOKUP(D2082,TRANSPORT!N:O,2,0)</f>
        <v>0</v>
      </c>
      <c r="AG2082" s="349">
        <f t="shared" si="115"/>
        <v>0</v>
      </c>
      <c r="AH2082" s="351" t="e">
        <f t="shared" si="116"/>
        <v>#N/A</v>
      </c>
      <c r="AI2082" s="351" t="e">
        <f t="shared" si="117"/>
        <v>#N/A</v>
      </c>
      <c r="AJ2082" s="351" t="e">
        <f t="shared" si="118"/>
        <v>#N/A</v>
      </c>
      <c r="AK2082" s="351" t="e">
        <f t="shared" si="119"/>
        <v>#N/A</v>
      </c>
      <c r="AL2082" s="352">
        <f>VLOOKUP(D2082,'INTEGRATION PAR CLIENT '!A1478:J1506,10,0)</f>
        <v>1</v>
      </c>
      <c r="AM2082" s="352">
        <f>VLOOKUP(D2082,'INTEGRATION PAR CLIENT '!A1478:L1506,12,0)</f>
        <v>0</v>
      </c>
      <c r="AN2082" s="352">
        <f>+VLOOKUP(D2082,'INTEGRATION PAR CLIENT '!A1478:N1506,14,0)</f>
        <v>0</v>
      </c>
      <c r="AO2082" s="352">
        <f>+VLOOKUP(D2082,'INTEGRATION PAR CLIENT '!A1478:P1506,16,0)</f>
        <v>0</v>
      </c>
    </row>
    <row r="2083" spans="1:41">
      <c r="A2083" s="342" t="s">
        <v>215</v>
      </c>
      <c r="B2083" s="277" t="str">
        <f t="shared" si="107"/>
        <v>203</v>
      </c>
      <c r="C2083" s="277">
        <v>0</v>
      </c>
      <c r="D2083" s="343" t="str">
        <f>'2025'!D204</f>
        <v>FAE-25-00203</v>
      </c>
      <c r="E2083" s="277" t="str">
        <f t="shared" si="108"/>
        <v>203</v>
      </c>
      <c r="F2083" s="618" t="str">
        <f>+'2025'!G204</f>
        <v>17/07/2025</v>
      </c>
      <c r="G2083" s="619">
        <f t="shared" si="93"/>
        <v>2025</v>
      </c>
      <c r="H2083" s="383" t="s">
        <v>16444</v>
      </c>
      <c r="I2083" s="277" t="str">
        <f>+VLOOKUP(H2083,Sheet1!A:C,3,0)</f>
        <v>SAHEL INTERNATIONAL TRADE</v>
      </c>
      <c r="J2083" s="277" t="str">
        <f>+VLOOKUP(H2083,Sheet1!A:D,4,0)</f>
        <v>TND</v>
      </c>
      <c r="K2083" s="278">
        <f t="shared" si="109"/>
        <v>107521.8</v>
      </c>
      <c r="L2083" s="383">
        <v>1</v>
      </c>
      <c r="M2083" s="384">
        <v>107521.8</v>
      </c>
      <c r="N2083" s="277" t="str">
        <f>+VLOOKUP(E2083,'2025'!E:F,2,0)</f>
        <v>OUI</v>
      </c>
      <c r="O2083" s="277" t="str">
        <f>VLOOKUP(E2083,'2025'!E:N,10,0)</f>
        <v>Burkina Faso</v>
      </c>
      <c r="P2083" s="890">
        <f>VLOOKUP(E2083,'2025'!E:O,11,0)</f>
        <v>45862</v>
      </c>
      <c r="Q2083" s="347">
        <f>VLOOKUP(E2083,'2025'!E:H,4,0)</f>
        <v>20504</v>
      </c>
      <c r="R2083" s="347">
        <f>VLOOKUP(E2083,'2025'!E:I,5,0)</f>
        <v>32400</v>
      </c>
      <c r="S2083" s="347">
        <f>VLOOKUP(E2083,'2025'!E:J,6,0)</f>
        <v>3000</v>
      </c>
      <c r="T2083" s="347">
        <f>VLOOKUP(E2083,'2025'!E:K,7,0)</f>
        <v>0</v>
      </c>
      <c r="U2083" s="347">
        <f t="shared" si="110"/>
        <v>55904</v>
      </c>
      <c r="V2083" s="348"/>
      <c r="W2083" s="349" t="e">
        <f>+VLOOKUP(D2083,'JOURNAL FACTURES'!A:O,15,0)</f>
        <v>#N/A</v>
      </c>
      <c r="X2083" s="349" t="e">
        <f>VLOOKUP(D2083,'JOURNAL FACTURES'!A:P,16,0)</f>
        <v>#N/A</v>
      </c>
      <c r="Y2083" s="349" t="e">
        <f>VLOOKUP(D2083,'JOURNAL FACTURES'!A:Q,17,0)</f>
        <v>#N/A</v>
      </c>
      <c r="Z2083" s="349" t="e">
        <f>VLOOKUP(D2083,'JOURNAL FACTURES'!A:R,18,0)</f>
        <v>#N/A</v>
      </c>
      <c r="AA2083" s="350" t="e">
        <f t="shared" si="111"/>
        <v>#N/A</v>
      </c>
      <c r="AB2083" s="350" t="e">
        <f t="shared" si="112"/>
        <v>#N/A</v>
      </c>
      <c r="AC2083" s="350" t="e">
        <f t="shared" si="113"/>
        <v>#N/A</v>
      </c>
      <c r="AD2083" s="350" t="e">
        <f t="shared" si="114"/>
        <v>#N/A</v>
      </c>
      <c r="AE2083" s="349">
        <f>VLOOKUP(D2083,TRANSPORT!H:J,3,0)</f>
        <v>0</v>
      </c>
      <c r="AF2083" s="349">
        <f>+VLOOKUP(D2083,TRANSPORT!N:O,2,0)</f>
        <v>0</v>
      </c>
      <c r="AG2083" s="349">
        <f t="shared" si="115"/>
        <v>0</v>
      </c>
      <c r="AH2083" s="351" t="e">
        <f t="shared" si="116"/>
        <v>#N/A</v>
      </c>
      <c r="AI2083" s="351" t="e">
        <f t="shared" si="117"/>
        <v>#N/A</v>
      </c>
      <c r="AJ2083" s="351" t="e">
        <f t="shared" si="118"/>
        <v>#N/A</v>
      </c>
      <c r="AK2083" s="351" t="e">
        <f t="shared" si="119"/>
        <v>#N/A</v>
      </c>
      <c r="AL2083" s="352">
        <f>VLOOKUP(D2083,'INTEGRATION PAR CLIENT '!A1479:J1507,10,0)</f>
        <v>1</v>
      </c>
      <c r="AM2083" s="352" t="str">
        <f>VLOOKUP(D2083,'INTEGRATION PAR CLIENT '!A1479:L1507,12,0)</f>
        <v>'30%S-70%F</v>
      </c>
      <c r="AN2083" s="352" t="str">
        <f>+VLOOKUP(D2083,'INTEGRATION PAR CLIENT '!A1479:N1507,14,0)</f>
        <v>10%-90%</v>
      </c>
      <c r="AO2083" s="352">
        <f>+VLOOKUP(D2083,'INTEGRATION PAR CLIENT '!A1479:P1507,16,0)</f>
        <v>0</v>
      </c>
    </row>
    <row r="2084" spans="1:41">
      <c r="A2084" s="342" t="s">
        <v>216</v>
      </c>
      <c r="B2084" s="277" t="str">
        <f t="shared" si="107"/>
        <v>204</v>
      </c>
      <c r="C2084" s="277">
        <v>0</v>
      </c>
      <c r="D2084" s="343" t="str">
        <f>'2025'!D205</f>
        <v>FAE-25-00204</v>
      </c>
      <c r="E2084" s="277" t="str">
        <f t="shared" si="108"/>
        <v>204</v>
      </c>
      <c r="F2084" s="618" t="str">
        <f>+'2025'!G205</f>
        <v>17/07/2025</v>
      </c>
      <c r="G2084" s="619">
        <f t="shared" si="93"/>
        <v>2025</v>
      </c>
      <c r="H2084" s="383" t="s">
        <v>17390</v>
      </c>
      <c r="I2084" s="277" t="str">
        <f>+VLOOKUP(H2084,Sheet1!A:C,3,0)</f>
        <v>ALMOSTAWRED ALJADEED CO. FOR IMPORT</v>
      </c>
      <c r="J2084" s="277" t="str">
        <f>+VLOOKUP(H2084,Sheet1!A:D,4,0)</f>
        <v>USD</v>
      </c>
      <c r="K2084" s="278">
        <f t="shared" si="109"/>
        <v>148493.04080000002</v>
      </c>
      <c r="L2084" s="383">
        <v>2.9146000000000001</v>
      </c>
      <c r="M2084" s="384">
        <v>50948</v>
      </c>
      <c r="N2084" s="277" t="str">
        <f>+VLOOKUP(E2084,'2025'!E:F,2,0)</f>
        <v>OUI</v>
      </c>
      <c r="O2084" s="277" t="str">
        <f>VLOOKUP(E2084,'2025'!E:N,10,0)</f>
        <v>Libye</v>
      </c>
      <c r="P2084" s="890">
        <f>VLOOKUP(E2084,'2025'!E:O,11,0)</f>
        <v>45867</v>
      </c>
      <c r="Q2084" s="347">
        <f>VLOOKUP(E2084,'2025'!E:H,4,0)</f>
        <v>0</v>
      </c>
      <c r="R2084" s="347">
        <f>VLOOKUP(E2084,'2025'!E:I,5,0)</f>
        <v>49400</v>
      </c>
      <c r="S2084" s="347">
        <f>VLOOKUP(E2084,'2025'!E:J,6,0)</f>
        <v>0</v>
      </c>
      <c r="T2084" s="347">
        <f>VLOOKUP(E2084,'2025'!E:K,7,0)</f>
        <v>0</v>
      </c>
      <c r="U2084" s="347">
        <f t="shared" si="110"/>
        <v>49400</v>
      </c>
      <c r="V2084" s="348"/>
      <c r="W2084" s="349" t="e">
        <f>+VLOOKUP(D2084,'JOURNAL FACTURES'!A:O,15,0)</f>
        <v>#N/A</v>
      </c>
      <c r="X2084" s="349" t="e">
        <f>VLOOKUP(D2084,'JOURNAL FACTURES'!A:P,16,0)</f>
        <v>#N/A</v>
      </c>
      <c r="Y2084" s="349" t="e">
        <f>VLOOKUP(D2084,'JOURNAL FACTURES'!A:Q,17,0)</f>
        <v>#N/A</v>
      </c>
      <c r="Z2084" s="349" t="e">
        <f>VLOOKUP(D2084,'JOURNAL FACTURES'!A:R,18,0)</f>
        <v>#N/A</v>
      </c>
      <c r="AA2084" s="350" t="e">
        <f t="shared" si="111"/>
        <v>#N/A</v>
      </c>
      <c r="AB2084" s="350" t="e">
        <f t="shared" si="112"/>
        <v>#N/A</v>
      </c>
      <c r="AC2084" s="350" t="e">
        <f t="shared" si="113"/>
        <v>#N/A</v>
      </c>
      <c r="AD2084" s="350" t="e">
        <f t="shared" si="114"/>
        <v>#N/A</v>
      </c>
      <c r="AE2084" s="349">
        <f>VLOOKUP(D2084,TRANSPORT!H:J,3,0)</f>
        <v>0</v>
      </c>
      <c r="AF2084" s="349">
        <f>+VLOOKUP(D2084,TRANSPORT!N:O,2,0)</f>
        <v>0</v>
      </c>
      <c r="AG2084" s="349">
        <f t="shared" si="115"/>
        <v>0</v>
      </c>
      <c r="AH2084" s="351" t="e">
        <f t="shared" si="116"/>
        <v>#N/A</v>
      </c>
      <c r="AI2084" s="351" t="e">
        <f t="shared" si="117"/>
        <v>#N/A</v>
      </c>
      <c r="AJ2084" s="351" t="e">
        <f t="shared" si="118"/>
        <v>#N/A</v>
      </c>
      <c r="AK2084" s="351" t="e">
        <f t="shared" si="119"/>
        <v>#N/A</v>
      </c>
      <c r="AL2084" s="352">
        <f>VLOOKUP(D2084,'INTEGRATION PAR CLIENT '!A1480:J1508,10,0)</f>
        <v>0</v>
      </c>
      <c r="AM2084" s="352" t="str">
        <f>VLOOKUP(D2084,'INTEGRATION PAR CLIENT '!A1480:L1508,12,0)</f>
        <v>50%-50%</v>
      </c>
      <c r="AN2084" s="352">
        <f>+VLOOKUP(D2084,'INTEGRATION PAR CLIENT '!A1480:N1508,14,0)</f>
        <v>0</v>
      </c>
      <c r="AO2084" s="352">
        <f>+VLOOKUP(D2084,'INTEGRATION PAR CLIENT '!A1480:P1508,16,0)</f>
        <v>0</v>
      </c>
    </row>
    <row r="2085" spans="1:41">
      <c r="A2085" s="342" t="s">
        <v>217</v>
      </c>
      <c r="B2085" s="277" t="str">
        <f t="shared" ref="B2085:B2102" si="120">+RIGHT(D2085,3)</f>
        <v>205</v>
      </c>
      <c r="C2085" s="277">
        <v>0</v>
      </c>
      <c r="D2085" s="343" t="str">
        <f>'2025'!D206</f>
        <v>FAE-25-00205</v>
      </c>
      <c r="E2085" s="277" t="str">
        <f t="shared" ref="E2085:E2102" si="121">RIGHT(D2085,3)</f>
        <v>205</v>
      </c>
      <c r="F2085" s="618" t="str">
        <f>+'2025'!G206</f>
        <v>17/07/2025</v>
      </c>
      <c r="G2085" s="619">
        <f t="shared" si="93"/>
        <v>2025</v>
      </c>
      <c r="H2085" s="383" t="s">
        <v>17390</v>
      </c>
      <c r="I2085" s="277" t="str">
        <f>+VLOOKUP(H2085,Sheet1!A:C,3,0)</f>
        <v>ALMOSTAWRED ALJADEED CO. FOR IMPORT</v>
      </c>
      <c r="J2085" s="277" t="str">
        <f>+VLOOKUP(H2085,Sheet1!A:D,4,0)</f>
        <v>USD</v>
      </c>
      <c r="K2085" s="278">
        <f t="shared" ref="K2085:K2102" si="122">+L2085*M2085</f>
        <v>281200.60800000001</v>
      </c>
      <c r="L2085" s="383">
        <v>2.9146000000000001</v>
      </c>
      <c r="M2085" s="384">
        <v>96480</v>
      </c>
      <c r="N2085" s="277" t="str">
        <f>+VLOOKUP(E2085,'2025'!E:F,2,0)</f>
        <v>OUI</v>
      </c>
      <c r="O2085" s="277" t="str">
        <f>VLOOKUP(E2085,'2025'!E:N,10,0)</f>
        <v>Libye</v>
      </c>
      <c r="P2085" s="890">
        <f>VLOOKUP(E2085,'2025'!E:O,11,0)</f>
        <v>45867</v>
      </c>
      <c r="Q2085" s="347">
        <f>VLOOKUP(E2085,'2025'!E:H,4,0)</f>
        <v>0</v>
      </c>
      <c r="R2085" s="347">
        <f>VLOOKUP(E2085,'2025'!E:I,5,0)</f>
        <v>134400</v>
      </c>
      <c r="S2085" s="347">
        <f>VLOOKUP(E2085,'2025'!E:J,6,0)</f>
        <v>9600</v>
      </c>
      <c r="T2085" s="347">
        <f>VLOOKUP(E2085,'2025'!E:K,7,0)</f>
        <v>0</v>
      </c>
      <c r="U2085" s="347">
        <f t="shared" ref="U2085:U2102" si="123">SUM(Q2085:T2085)</f>
        <v>144000</v>
      </c>
      <c r="V2085" s="348"/>
      <c r="W2085" s="349" t="e">
        <f>+VLOOKUP(D2085,'JOURNAL FACTURES'!A:O,15,0)</f>
        <v>#N/A</v>
      </c>
      <c r="X2085" s="349" t="e">
        <f>VLOOKUP(D2085,'JOURNAL FACTURES'!A:P,16,0)</f>
        <v>#N/A</v>
      </c>
      <c r="Y2085" s="349" t="e">
        <f>VLOOKUP(D2085,'JOURNAL FACTURES'!A:Q,17,0)</f>
        <v>#N/A</v>
      </c>
      <c r="Z2085" s="349" t="e">
        <f>VLOOKUP(D2085,'JOURNAL FACTURES'!A:R,18,0)</f>
        <v>#N/A</v>
      </c>
      <c r="AA2085" s="350" t="e">
        <f t="shared" ref="AA2085:AA2102" si="124">+W2085/Q2085</f>
        <v>#N/A</v>
      </c>
      <c r="AB2085" s="350" t="e">
        <f t="shared" ref="AB2085:AB2102" si="125">+X2085/R2085</f>
        <v>#N/A</v>
      </c>
      <c r="AC2085" s="350" t="e">
        <f t="shared" ref="AC2085:AC2102" si="126">+Y2085/S2085</f>
        <v>#N/A</v>
      </c>
      <c r="AD2085" s="350" t="e">
        <f t="shared" ref="AD2085:AD2102" si="127">Z2085/T2085</f>
        <v>#N/A</v>
      </c>
      <c r="AE2085" s="349">
        <f>VLOOKUP(D2085,TRANSPORT!H:J,3,0)</f>
        <v>0</v>
      </c>
      <c r="AF2085" s="349">
        <f>+VLOOKUP(D2085,TRANSPORT!N:O,2,0)</f>
        <v>0</v>
      </c>
      <c r="AG2085" s="349">
        <f t="shared" ref="AG2085:AG2102" si="128">AF2085/U2085</f>
        <v>0</v>
      </c>
      <c r="AH2085" s="351" t="e">
        <f t="shared" ref="AH2085:AH2102" si="129">AA2085-AG2085</f>
        <v>#N/A</v>
      </c>
      <c r="AI2085" s="351" t="e">
        <f t="shared" ref="AI2085:AI2102" si="130">AB2085-AG2085</f>
        <v>#N/A</v>
      </c>
      <c r="AJ2085" s="351" t="e">
        <f t="shared" ref="AJ2085:AJ2102" si="131">AC2085-AG2085</f>
        <v>#N/A</v>
      </c>
      <c r="AK2085" s="351" t="e">
        <f t="shared" ref="AK2085:AK2102" si="132">AD2085-AG2085</f>
        <v>#N/A</v>
      </c>
      <c r="AL2085" s="352">
        <f>VLOOKUP(D2085,'INTEGRATION PAR CLIENT '!A1481:J1509,10,0)</f>
        <v>0</v>
      </c>
      <c r="AM2085" s="352" t="str">
        <f>VLOOKUP(D2085,'INTEGRATION PAR CLIENT '!A1481:L1509,12,0)</f>
        <v>50%-50%</v>
      </c>
      <c r="AN2085" s="352" t="str">
        <f>+VLOOKUP(D2085,'INTEGRATION PAR CLIENT '!A1481:N1509,14,0)</f>
        <v>50%-50%</v>
      </c>
      <c r="AO2085" s="352">
        <f>+VLOOKUP(D2085,'INTEGRATION PAR CLIENT '!A1481:P1509,16,0)</f>
        <v>0</v>
      </c>
    </row>
    <row r="2086" spans="1:41">
      <c r="A2086" s="342" t="s">
        <v>218</v>
      </c>
      <c r="B2086" s="277" t="str">
        <f t="shared" si="120"/>
        <v>206</v>
      </c>
      <c r="C2086" s="277">
        <v>0</v>
      </c>
      <c r="D2086" s="343" t="str">
        <f>'2025'!D207</f>
        <v>FAE-25-00206</v>
      </c>
      <c r="E2086" s="277" t="str">
        <f t="shared" si="121"/>
        <v>206</v>
      </c>
      <c r="F2086" s="618" t="str">
        <f>+'2025'!G207</f>
        <v>21/07/2025</v>
      </c>
      <c r="G2086" s="619">
        <f t="shared" si="93"/>
        <v>2025</v>
      </c>
      <c r="H2086" s="383" t="s">
        <v>17017</v>
      </c>
      <c r="I2086" s="277" t="str">
        <f>+VLOOKUP(H2086,Sheet1!A:C,3,0)</f>
        <v>ARCADIA</v>
      </c>
      <c r="J2086" s="277" t="str">
        <f>+VLOOKUP(H2086,Sheet1!A:D,4,0)</f>
        <v>TND</v>
      </c>
      <c r="K2086" s="278">
        <f t="shared" si="122"/>
        <v>45100</v>
      </c>
      <c r="L2086" s="383">
        <v>1</v>
      </c>
      <c r="M2086" s="384">
        <v>45100</v>
      </c>
      <c r="N2086" s="277" t="str">
        <f>+VLOOKUP(E2086,'2025'!E:F,2,0)</f>
        <v>OUI</v>
      </c>
      <c r="O2086" s="277" t="str">
        <f>VLOOKUP(E2086,'2025'!E:N,10,0)</f>
        <v>Australie</v>
      </c>
      <c r="P2086" s="890">
        <f>VLOOKUP(E2086,'2025'!E:O,11,0)</f>
        <v>45868</v>
      </c>
      <c r="Q2086" s="347">
        <f>VLOOKUP(E2086,'2025'!E:H,4,0)</f>
        <v>0</v>
      </c>
      <c r="R2086" s="347">
        <f>VLOOKUP(E2086,'2025'!E:I,5,0)</f>
        <v>20500</v>
      </c>
      <c r="S2086" s="347">
        <f>VLOOKUP(E2086,'2025'!E:J,6,0)</f>
        <v>0</v>
      </c>
      <c r="T2086" s="347">
        <f>VLOOKUP(E2086,'2025'!E:K,7,0)</f>
        <v>0</v>
      </c>
      <c r="U2086" s="347">
        <f t="shared" si="123"/>
        <v>20500</v>
      </c>
      <c r="V2086" s="348"/>
      <c r="W2086" s="349" t="e">
        <f>+VLOOKUP(D2086,'JOURNAL FACTURES'!A:O,15,0)</f>
        <v>#N/A</v>
      </c>
      <c r="X2086" s="349" t="e">
        <f>VLOOKUP(D2086,'JOURNAL FACTURES'!A:P,16,0)</f>
        <v>#N/A</v>
      </c>
      <c r="Y2086" s="349" t="e">
        <f>VLOOKUP(D2086,'JOURNAL FACTURES'!A:Q,17,0)</f>
        <v>#N/A</v>
      </c>
      <c r="Z2086" s="349" t="e">
        <f>VLOOKUP(D2086,'JOURNAL FACTURES'!A:R,18,0)</f>
        <v>#N/A</v>
      </c>
      <c r="AA2086" s="350" t="e">
        <f t="shared" si="124"/>
        <v>#N/A</v>
      </c>
      <c r="AB2086" s="350" t="e">
        <f t="shared" si="125"/>
        <v>#N/A</v>
      </c>
      <c r="AC2086" s="350" t="e">
        <f t="shared" si="126"/>
        <v>#N/A</v>
      </c>
      <c r="AD2086" s="350" t="e">
        <f t="shared" si="127"/>
        <v>#N/A</v>
      </c>
      <c r="AE2086" s="349">
        <f>VLOOKUP(D2086,TRANSPORT!H:J,3,0)</f>
        <v>0</v>
      </c>
      <c r="AF2086" s="349">
        <f>+VLOOKUP(D2086,TRANSPORT!N:O,2,0)</f>
        <v>0</v>
      </c>
      <c r="AG2086" s="349">
        <f t="shared" si="128"/>
        <v>0</v>
      </c>
      <c r="AH2086" s="351" t="e">
        <f t="shared" si="129"/>
        <v>#N/A</v>
      </c>
      <c r="AI2086" s="351" t="e">
        <f t="shared" si="130"/>
        <v>#N/A</v>
      </c>
      <c r="AJ2086" s="351" t="e">
        <f t="shared" si="131"/>
        <v>#N/A</v>
      </c>
      <c r="AK2086" s="351" t="e">
        <f t="shared" si="132"/>
        <v>#N/A</v>
      </c>
      <c r="AL2086" s="352">
        <f>VLOOKUP(D2086,'INTEGRATION PAR CLIENT '!A1482:J1510,10,0)</f>
        <v>0</v>
      </c>
      <c r="AM2086" s="352">
        <f>VLOOKUP(D2086,'INTEGRATION PAR CLIENT '!A1482:L1510,12,0)</f>
        <v>1</v>
      </c>
      <c r="AN2086" s="352">
        <f>+VLOOKUP(D2086,'INTEGRATION PAR CLIENT '!A1482:N1510,14,0)</f>
        <v>0</v>
      </c>
      <c r="AO2086" s="352">
        <f>+VLOOKUP(D2086,'INTEGRATION PAR CLIENT '!A1482:P1510,16,0)</f>
        <v>0</v>
      </c>
    </row>
    <row r="2087" spans="1:41">
      <c r="A2087" s="342" t="s">
        <v>219</v>
      </c>
      <c r="B2087" s="277" t="str">
        <f t="shared" si="120"/>
        <v>207</v>
      </c>
      <c r="C2087" s="277">
        <v>0</v>
      </c>
      <c r="D2087" s="343" t="str">
        <f>'2025'!D208</f>
        <v>FAE-25-00207</v>
      </c>
      <c r="E2087" s="277" t="str">
        <f t="shared" si="121"/>
        <v>207</v>
      </c>
      <c r="F2087" s="618" t="str">
        <f>+'2025'!G208</f>
        <v>21/07/2025</v>
      </c>
      <c r="G2087" s="619">
        <f t="shared" si="93"/>
        <v>2025</v>
      </c>
      <c r="H2087" s="383" t="s">
        <v>16880</v>
      </c>
      <c r="I2087" s="277" t="str">
        <f>+VLOOKUP(H2087,Sheet1!A:C,3,0)</f>
        <v>DAVIS TRADING CO LTD</v>
      </c>
      <c r="J2087" s="277" t="str">
        <f>+VLOOKUP(H2087,Sheet1!A:D,4,0)</f>
        <v>USD</v>
      </c>
      <c r="K2087" s="278">
        <f t="shared" si="122"/>
        <v>84125.444717499995</v>
      </c>
      <c r="L2087" s="383">
        <v>2.9498500000000001</v>
      </c>
      <c r="M2087" s="384">
        <v>28518.55</v>
      </c>
      <c r="N2087" s="277" t="str">
        <f>+VLOOKUP(E2087,'2025'!E:F,2,0)</f>
        <v>OUI</v>
      </c>
      <c r="O2087" s="277" t="str">
        <f>VLOOKUP(E2087,'2025'!E:N,10,0)</f>
        <v>New Zealand</v>
      </c>
      <c r="P2087" s="890">
        <f>VLOOKUP(E2087,'2025'!E:O,11,0)</f>
        <v>45870</v>
      </c>
      <c r="Q2087" s="347">
        <f>VLOOKUP(E2087,'2025'!E:H,4,0)</f>
        <v>2500</v>
      </c>
      <c r="R2087" s="347">
        <f>VLOOKUP(E2087,'2025'!E:I,5,0)</f>
        <v>17570</v>
      </c>
      <c r="S2087" s="347">
        <f>VLOOKUP(E2087,'2025'!E:J,6,0)</f>
        <v>0</v>
      </c>
      <c r="T2087" s="347">
        <f>VLOOKUP(E2087,'2025'!E:K,7,0)</f>
        <v>0</v>
      </c>
      <c r="U2087" s="347">
        <f t="shared" si="123"/>
        <v>20070</v>
      </c>
      <c r="V2087" s="348"/>
      <c r="W2087" s="349" t="e">
        <f>+VLOOKUP(D2087,'JOURNAL FACTURES'!A:O,15,0)</f>
        <v>#N/A</v>
      </c>
      <c r="X2087" s="349" t="e">
        <f>VLOOKUP(D2087,'JOURNAL FACTURES'!A:P,16,0)</f>
        <v>#N/A</v>
      </c>
      <c r="Y2087" s="349" t="e">
        <f>VLOOKUP(D2087,'JOURNAL FACTURES'!A:Q,17,0)</f>
        <v>#N/A</v>
      </c>
      <c r="Z2087" s="349" t="e">
        <f>VLOOKUP(D2087,'JOURNAL FACTURES'!A:R,18,0)</f>
        <v>#N/A</v>
      </c>
      <c r="AA2087" s="350" t="e">
        <f t="shared" si="124"/>
        <v>#N/A</v>
      </c>
      <c r="AB2087" s="350" t="e">
        <f t="shared" si="125"/>
        <v>#N/A</v>
      </c>
      <c r="AC2087" s="350" t="e">
        <f t="shared" si="126"/>
        <v>#N/A</v>
      </c>
      <c r="AD2087" s="350" t="e">
        <f t="shared" si="127"/>
        <v>#N/A</v>
      </c>
      <c r="AE2087" s="349" t="e">
        <f>VLOOKUP(D2087,TRANSPORT!H:J,3,0)</f>
        <v>#N/A</v>
      </c>
      <c r="AF2087" s="349" t="e">
        <f>+VLOOKUP(D2087,TRANSPORT!N:O,2,0)</f>
        <v>#N/A</v>
      </c>
      <c r="AG2087" s="349" t="e">
        <f t="shared" si="128"/>
        <v>#N/A</v>
      </c>
      <c r="AH2087" s="351" t="e">
        <f t="shared" si="129"/>
        <v>#N/A</v>
      </c>
      <c r="AI2087" s="351" t="e">
        <f t="shared" si="130"/>
        <v>#N/A</v>
      </c>
      <c r="AJ2087" s="351" t="e">
        <f t="shared" si="131"/>
        <v>#N/A</v>
      </c>
      <c r="AK2087" s="351" t="e">
        <f t="shared" si="132"/>
        <v>#N/A</v>
      </c>
      <c r="AL2087" s="352">
        <f>VLOOKUP(D2087,'INTEGRATION PAR CLIENT '!A1483:J1511,10,0)</f>
        <v>1</v>
      </c>
      <c r="AM2087" s="352">
        <f>VLOOKUP(D2087,'INTEGRATION PAR CLIENT '!A1483:L1511,12,0)</f>
        <v>1</v>
      </c>
      <c r="AN2087" s="352">
        <f>+VLOOKUP(D2087,'INTEGRATION PAR CLIENT '!A1483:N1511,14,0)</f>
        <v>0</v>
      </c>
      <c r="AO2087" s="352">
        <f>+VLOOKUP(D2087,'INTEGRATION PAR CLIENT '!A1483:P1511,16,0)</f>
        <v>0</v>
      </c>
    </row>
    <row r="2088" spans="1:41">
      <c r="A2088" s="342" t="s">
        <v>220</v>
      </c>
      <c r="B2088" s="277" t="str">
        <f t="shared" si="120"/>
        <v>208</v>
      </c>
      <c r="C2088" s="277">
        <v>0</v>
      </c>
      <c r="D2088" s="343" t="str">
        <f>'2025'!D209</f>
        <v>FAE-25-00208</v>
      </c>
      <c r="E2088" s="277" t="str">
        <f t="shared" si="121"/>
        <v>208</v>
      </c>
      <c r="F2088" s="618" t="str">
        <f>+'2025'!G209</f>
        <v>21/07/2025</v>
      </c>
      <c r="G2088" s="619">
        <f t="shared" si="93"/>
        <v>2025</v>
      </c>
      <c r="H2088" s="383" t="s">
        <v>16880</v>
      </c>
      <c r="I2088" s="277" t="str">
        <f>+VLOOKUP(H2088,Sheet1!A:C,3,0)</f>
        <v>DAVIS TRADING CO LTD</v>
      </c>
      <c r="J2088" s="277" t="str">
        <f>+VLOOKUP(H2088,Sheet1!A:D,4,0)</f>
        <v>USD</v>
      </c>
      <c r="K2088" s="278">
        <f t="shared" si="122"/>
        <v>82032.821127500007</v>
      </c>
      <c r="L2088" s="383">
        <v>2.9498500000000001</v>
      </c>
      <c r="M2088" s="384">
        <v>27809.15</v>
      </c>
      <c r="N2088" s="277" t="str">
        <f>+VLOOKUP(E2088,'2025'!E:F,2,0)</f>
        <v>OUI</v>
      </c>
      <c r="O2088" s="277" t="str">
        <f>VLOOKUP(E2088,'2025'!E:N,10,0)</f>
        <v>New Zealand</v>
      </c>
      <c r="P2088" s="890">
        <f>VLOOKUP(E2088,'2025'!E:O,11,0)</f>
        <v>45870</v>
      </c>
      <c r="Q2088" s="347">
        <f>VLOOKUP(E2088,'2025'!E:H,4,0)</f>
        <v>5000</v>
      </c>
      <c r="R2088" s="347">
        <f>VLOOKUP(E2088,'2025'!E:I,5,0)</f>
        <v>15320</v>
      </c>
      <c r="S2088" s="347">
        <f>VLOOKUP(E2088,'2025'!E:J,6,0)</f>
        <v>0</v>
      </c>
      <c r="T2088" s="347">
        <f>VLOOKUP(E2088,'2025'!E:K,7,0)</f>
        <v>0</v>
      </c>
      <c r="U2088" s="347">
        <f t="shared" si="123"/>
        <v>20320</v>
      </c>
      <c r="V2088" s="348"/>
      <c r="W2088" s="349" t="e">
        <f>+VLOOKUP(D2088,'JOURNAL FACTURES'!A:O,15,0)</f>
        <v>#N/A</v>
      </c>
      <c r="X2088" s="349" t="e">
        <f>VLOOKUP(D2088,'JOURNAL FACTURES'!A:P,16,0)</f>
        <v>#N/A</v>
      </c>
      <c r="Y2088" s="349" t="e">
        <f>VLOOKUP(D2088,'JOURNAL FACTURES'!A:Q,17,0)</f>
        <v>#N/A</v>
      </c>
      <c r="Z2088" s="349" t="e">
        <f>VLOOKUP(D2088,'JOURNAL FACTURES'!A:R,18,0)</f>
        <v>#N/A</v>
      </c>
      <c r="AA2088" s="350" t="e">
        <f t="shared" si="124"/>
        <v>#N/A</v>
      </c>
      <c r="AB2088" s="350" t="e">
        <f t="shared" si="125"/>
        <v>#N/A</v>
      </c>
      <c r="AC2088" s="350" t="e">
        <f t="shared" si="126"/>
        <v>#N/A</v>
      </c>
      <c r="AD2088" s="350" t="e">
        <f t="shared" si="127"/>
        <v>#N/A</v>
      </c>
      <c r="AE2088" s="349" t="e">
        <f>VLOOKUP(D2088,TRANSPORT!H:J,3,0)</f>
        <v>#N/A</v>
      </c>
      <c r="AF2088" s="349" t="e">
        <f>+VLOOKUP(D2088,TRANSPORT!N:O,2,0)</f>
        <v>#N/A</v>
      </c>
      <c r="AG2088" s="349" t="e">
        <f t="shared" si="128"/>
        <v>#N/A</v>
      </c>
      <c r="AH2088" s="351" t="e">
        <f t="shared" si="129"/>
        <v>#N/A</v>
      </c>
      <c r="AI2088" s="351" t="e">
        <f t="shared" si="130"/>
        <v>#N/A</v>
      </c>
      <c r="AJ2088" s="351" t="e">
        <f t="shared" si="131"/>
        <v>#N/A</v>
      </c>
      <c r="AK2088" s="351" t="e">
        <f t="shared" si="132"/>
        <v>#N/A</v>
      </c>
      <c r="AL2088" s="352">
        <f>VLOOKUP(D2088,'INTEGRATION PAR CLIENT '!A1484:J1512,10,0)</f>
        <v>1</v>
      </c>
      <c r="AM2088" s="352">
        <f>VLOOKUP(D2088,'INTEGRATION PAR CLIENT '!A1484:L1512,12,0)</f>
        <v>1</v>
      </c>
      <c r="AN2088" s="352">
        <f>+VLOOKUP(D2088,'INTEGRATION PAR CLIENT '!A1484:N1512,14,0)</f>
        <v>0</v>
      </c>
      <c r="AO2088" s="352">
        <f>+VLOOKUP(D2088,'INTEGRATION PAR CLIENT '!A1484:P1512,16,0)</f>
        <v>0</v>
      </c>
    </row>
    <row r="2089" spans="1:41">
      <c r="A2089" s="342" t="s">
        <v>221</v>
      </c>
      <c r="B2089" s="277" t="str">
        <f t="shared" si="120"/>
        <v>209</v>
      </c>
      <c r="C2089" s="277">
        <v>0</v>
      </c>
      <c r="D2089" s="343" t="str">
        <f>'2025'!D210</f>
        <v>FAE-25-00209</v>
      </c>
      <c r="E2089" s="277" t="str">
        <f t="shared" si="121"/>
        <v>209</v>
      </c>
      <c r="F2089" s="618" t="str">
        <f>+'2025'!G210</f>
        <v>18/07/2025</v>
      </c>
      <c r="G2089" s="619">
        <f t="shared" si="93"/>
        <v>2025</v>
      </c>
      <c r="H2089" s="383" t="s">
        <v>16384</v>
      </c>
      <c r="I2089" s="277" t="str">
        <f>+VLOOKUP(H2089,Sheet1!A:C,3,0)</f>
        <v>STE DE COMMERCE INTERNATIONAL</v>
      </c>
      <c r="J2089" s="277" t="str">
        <f>+VLOOKUP(H2089,Sheet1!A:D,4,0)</f>
        <v>TND</v>
      </c>
      <c r="K2089" s="278">
        <f t="shared" si="122"/>
        <v>80364</v>
      </c>
      <c r="L2089" s="383">
        <v>1</v>
      </c>
      <c r="M2089" s="384">
        <v>80364</v>
      </c>
      <c r="N2089" s="277" t="str">
        <f>+VLOOKUP(E2089,'2025'!E:F,2,0)</f>
        <v>ANNULEE</v>
      </c>
      <c r="O2089" s="277" t="str">
        <f>VLOOKUP(E2089,'2025'!E:N,10,0)</f>
        <v>Gabon</v>
      </c>
      <c r="P2089" s="890">
        <f>VLOOKUP(E2089,'2025'!E:O,11,0)</f>
        <v>45867</v>
      </c>
      <c r="Q2089" s="347">
        <f>VLOOKUP(E2089,'2025'!E:H,4,0)</f>
        <v>0</v>
      </c>
      <c r="R2089" s="347">
        <f>VLOOKUP(E2089,'2025'!E:I,5,0)</f>
        <v>44520</v>
      </c>
      <c r="S2089" s="347">
        <f>VLOOKUP(E2089,'2025'!E:J,6,0)</f>
        <v>0</v>
      </c>
      <c r="T2089" s="347">
        <f>VLOOKUP(E2089,'2025'!E:K,7,0)</f>
        <v>0</v>
      </c>
      <c r="U2089" s="347">
        <f t="shared" si="123"/>
        <v>44520</v>
      </c>
      <c r="V2089" s="348"/>
      <c r="W2089" s="349" t="e">
        <f>+VLOOKUP(D2089,'JOURNAL FACTURES'!A:O,15,0)</f>
        <v>#N/A</v>
      </c>
      <c r="X2089" s="349" t="e">
        <f>VLOOKUP(D2089,'JOURNAL FACTURES'!A:P,16,0)</f>
        <v>#N/A</v>
      </c>
      <c r="Y2089" s="349" t="e">
        <f>VLOOKUP(D2089,'JOURNAL FACTURES'!A:Q,17,0)</f>
        <v>#N/A</v>
      </c>
      <c r="Z2089" s="349" t="e">
        <f>VLOOKUP(D2089,'JOURNAL FACTURES'!A:R,18,0)</f>
        <v>#N/A</v>
      </c>
      <c r="AA2089" s="350" t="e">
        <f t="shared" si="124"/>
        <v>#N/A</v>
      </c>
      <c r="AB2089" s="350" t="e">
        <f t="shared" si="125"/>
        <v>#N/A</v>
      </c>
      <c r="AC2089" s="350" t="e">
        <f t="shared" si="126"/>
        <v>#N/A</v>
      </c>
      <c r="AD2089" s="350" t="e">
        <f t="shared" si="127"/>
        <v>#N/A</v>
      </c>
      <c r="AE2089" s="349">
        <f>VLOOKUP(D2089,TRANSPORT!H:J,3,0)</f>
        <v>0</v>
      </c>
      <c r="AF2089" s="349">
        <f>+VLOOKUP(D2089,TRANSPORT!N:O,2,0)</f>
        <v>0</v>
      </c>
      <c r="AG2089" s="349">
        <f t="shared" si="128"/>
        <v>0</v>
      </c>
      <c r="AH2089" s="351" t="e">
        <f t="shared" si="129"/>
        <v>#N/A</v>
      </c>
      <c r="AI2089" s="351" t="e">
        <f t="shared" si="130"/>
        <v>#N/A</v>
      </c>
      <c r="AJ2089" s="351" t="e">
        <f t="shared" si="131"/>
        <v>#N/A</v>
      </c>
      <c r="AK2089" s="351" t="e">
        <f t="shared" si="132"/>
        <v>#N/A</v>
      </c>
      <c r="AL2089" s="352">
        <f>VLOOKUP(D2089,'INTEGRATION PAR CLIENT '!A1485:J1513,10,0)</f>
        <v>0</v>
      </c>
      <c r="AM2089" s="352" t="str">
        <f>VLOOKUP(D2089,'INTEGRATION PAR CLIENT '!A1485:L1513,12,0)</f>
        <v>'30%S-70%F</v>
      </c>
      <c r="AN2089" s="352">
        <f>+VLOOKUP(D2089,'INTEGRATION PAR CLIENT '!A1485:N1513,14,0)</f>
        <v>0</v>
      </c>
      <c r="AO2089" s="352">
        <f>+VLOOKUP(D2089,'INTEGRATION PAR CLIENT '!A1485:P1513,16,0)</f>
        <v>0</v>
      </c>
    </row>
    <row r="2090" spans="1:41">
      <c r="A2090" s="342" t="s">
        <v>222</v>
      </c>
      <c r="B2090" s="277" t="str">
        <f t="shared" si="120"/>
        <v>210</v>
      </c>
      <c r="C2090" s="277">
        <v>0</v>
      </c>
      <c r="D2090" s="343" t="str">
        <f>'2025'!D211</f>
        <v>FAE-25-00210</v>
      </c>
      <c r="E2090" s="277" t="str">
        <f t="shared" si="121"/>
        <v>210</v>
      </c>
      <c r="F2090" s="618" t="str">
        <f>+'2025'!G211</f>
        <v>21/07/2025</v>
      </c>
      <c r="G2090" s="619">
        <f t="shared" si="93"/>
        <v>2025</v>
      </c>
      <c r="H2090" s="383" t="s">
        <v>17017</v>
      </c>
      <c r="I2090" s="277" t="str">
        <f>+VLOOKUP(H2090,Sheet1!A:C,3,0)</f>
        <v>ARCADIA</v>
      </c>
      <c r="J2090" s="277" t="str">
        <f>+VLOOKUP(H2090,Sheet1!A:D,4,0)</f>
        <v>TND</v>
      </c>
      <c r="K2090" s="278">
        <f t="shared" si="122"/>
        <v>45650</v>
      </c>
      <c r="L2090" s="383">
        <v>1</v>
      </c>
      <c r="M2090" s="384">
        <v>45650</v>
      </c>
      <c r="N2090" s="277" t="str">
        <f>+VLOOKUP(E2090,'2025'!E:F,2,0)</f>
        <v>OUI</v>
      </c>
      <c r="O2090" s="277" t="str">
        <f>VLOOKUP(E2090,'2025'!E:N,10,0)</f>
        <v>Australie</v>
      </c>
      <c r="P2090" s="890">
        <f>VLOOKUP(E2090,'2025'!E:O,11,0)</f>
        <v>45868</v>
      </c>
      <c r="Q2090" s="347">
        <f>VLOOKUP(E2090,'2025'!E:H,4,0)</f>
        <v>20750</v>
      </c>
      <c r="R2090" s="347">
        <f>VLOOKUP(E2090,'2025'!E:I,5,0)</f>
        <v>0</v>
      </c>
      <c r="S2090" s="347">
        <f>VLOOKUP(E2090,'2025'!E:J,6,0)</f>
        <v>0</v>
      </c>
      <c r="T2090" s="347">
        <f>VLOOKUP(E2090,'2025'!E:K,7,0)</f>
        <v>0</v>
      </c>
      <c r="U2090" s="347">
        <f t="shared" si="123"/>
        <v>20750</v>
      </c>
      <c r="V2090" s="348"/>
      <c r="W2090" s="349" t="e">
        <f>+VLOOKUP(D2090,'JOURNAL FACTURES'!A:O,15,0)</f>
        <v>#N/A</v>
      </c>
      <c r="X2090" s="349" t="e">
        <f>VLOOKUP(D2090,'JOURNAL FACTURES'!A:P,16,0)</f>
        <v>#N/A</v>
      </c>
      <c r="Y2090" s="349" t="e">
        <f>VLOOKUP(D2090,'JOURNAL FACTURES'!A:Q,17,0)</f>
        <v>#N/A</v>
      </c>
      <c r="Z2090" s="349" t="e">
        <f>VLOOKUP(D2090,'JOURNAL FACTURES'!A:R,18,0)</f>
        <v>#N/A</v>
      </c>
      <c r="AA2090" s="350" t="e">
        <f t="shared" si="124"/>
        <v>#N/A</v>
      </c>
      <c r="AB2090" s="350" t="e">
        <f t="shared" si="125"/>
        <v>#N/A</v>
      </c>
      <c r="AC2090" s="350" t="e">
        <f t="shared" si="126"/>
        <v>#N/A</v>
      </c>
      <c r="AD2090" s="350" t="e">
        <f t="shared" si="127"/>
        <v>#N/A</v>
      </c>
      <c r="AE2090" s="349">
        <f>VLOOKUP(D2090,TRANSPORT!H:J,3,0)</f>
        <v>0</v>
      </c>
      <c r="AF2090" s="349">
        <f>+VLOOKUP(D2090,TRANSPORT!N:O,2,0)</f>
        <v>0</v>
      </c>
      <c r="AG2090" s="349">
        <f t="shared" si="128"/>
        <v>0</v>
      </c>
      <c r="AH2090" s="351" t="e">
        <f t="shared" si="129"/>
        <v>#N/A</v>
      </c>
      <c r="AI2090" s="351" t="e">
        <f t="shared" si="130"/>
        <v>#N/A</v>
      </c>
      <c r="AJ2090" s="351" t="e">
        <f t="shared" si="131"/>
        <v>#N/A</v>
      </c>
      <c r="AK2090" s="351" t="e">
        <f t="shared" si="132"/>
        <v>#N/A</v>
      </c>
      <c r="AL2090" s="352">
        <f>VLOOKUP(D2090,'INTEGRATION PAR CLIENT '!A1486:J1514,10,0)</f>
        <v>1</v>
      </c>
      <c r="AM2090" s="352">
        <f>VLOOKUP(D2090,'INTEGRATION PAR CLIENT '!A1486:L1514,12,0)</f>
        <v>0</v>
      </c>
      <c r="AN2090" s="352">
        <f>+VLOOKUP(D2090,'INTEGRATION PAR CLIENT '!A1486:N1514,14,0)</f>
        <v>0</v>
      </c>
      <c r="AO2090" s="352">
        <f>+VLOOKUP(D2090,'INTEGRATION PAR CLIENT '!A1486:P1514,16,0)</f>
        <v>0</v>
      </c>
    </row>
    <row r="2091" spans="1:41">
      <c r="A2091" s="342" t="s">
        <v>223</v>
      </c>
      <c r="B2091" s="277" t="str">
        <f t="shared" si="120"/>
        <v>211</v>
      </c>
      <c r="C2091" s="277">
        <v>0</v>
      </c>
      <c r="D2091" s="343" t="str">
        <f>'2025'!D212</f>
        <v>FAE-25-00211</v>
      </c>
      <c r="E2091" s="277" t="str">
        <f t="shared" si="121"/>
        <v>211</v>
      </c>
      <c r="F2091" s="618" t="str">
        <f>+'2025'!G212</f>
        <v>23/07/2025</v>
      </c>
      <c r="G2091" s="619">
        <f t="shared" si="93"/>
        <v>2025</v>
      </c>
      <c r="H2091" s="383" t="s">
        <v>16444</v>
      </c>
      <c r="I2091" s="277" t="str">
        <f>+VLOOKUP(H2091,Sheet1!A:C,3,0)</f>
        <v>SAHEL INTERNATIONAL TRADE</v>
      </c>
      <c r="J2091" s="277" t="str">
        <f>+VLOOKUP(H2091,Sheet1!A:D,4,0)</f>
        <v>TND</v>
      </c>
      <c r="K2091" s="278">
        <f t="shared" si="122"/>
        <v>288750</v>
      </c>
      <c r="L2091" s="383">
        <v>1</v>
      </c>
      <c r="M2091" s="384">
        <v>288750</v>
      </c>
      <c r="N2091" s="277" t="str">
        <f>+VLOOKUP(E2091,'2025'!E:F,2,0)</f>
        <v>OUI</v>
      </c>
      <c r="O2091" s="277" t="str">
        <f>VLOOKUP(E2091,'2025'!E:N,10,0)</f>
        <v>Niger</v>
      </c>
      <c r="P2091" s="890">
        <f>VLOOKUP(E2091,'2025'!E:O,11,0)</f>
        <v>45869</v>
      </c>
      <c r="Q2091" s="347">
        <f>VLOOKUP(E2091,'2025'!E:H,4,0)</f>
        <v>0</v>
      </c>
      <c r="R2091" s="347">
        <f>VLOOKUP(E2091,'2025'!E:I,5,0)</f>
        <v>0</v>
      </c>
      <c r="S2091" s="347">
        <f>VLOOKUP(E2091,'2025'!E:J,6,0)</f>
        <v>192500</v>
      </c>
      <c r="T2091" s="347">
        <f>VLOOKUP(E2091,'2025'!E:K,7,0)</f>
        <v>0</v>
      </c>
      <c r="U2091" s="347">
        <f t="shared" si="123"/>
        <v>192500</v>
      </c>
      <c r="V2091" s="348"/>
      <c r="W2091" s="349" t="e">
        <f>+VLOOKUP(D2091,'JOURNAL FACTURES'!A:O,15,0)</f>
        <v>#N/A</v>
      </c>
      <c r="X2091" s="349" t="e">
        <f>VLOOKUP(D2091,'JOURNAL FACTURES'!A:P,16,0)</f>
        <v>#N/A</v>
      </c>
      <c r="Y2091" s="349" t="e">
        <f>VLOOKUP(D2091,'JOURNAL FACTURES'!A:Q,17,0)</f>
        <v>#N/A</v>
      </c>
      <c r="Z2091" s="349" t="e">
        <f>VLOOKUP(D2091,'JOURNAL FACTURES'!A:R,18,0)</f>
        <v>#N/A</v>
      </c>
      <c r="AA2091" s="350" t="e">
        <f t="shared" si="124"/>
        <v>#N/A</v>
      </c>
      <c r="AB2091" s="350" t="e">
        <f t="shared" si="125"/>
        <v>#N/A</v>
      </c>
      <c r="AC2091" s="350" t="e">
        <f t="shared" si="126"/>
        <v>#N/A</v>
      </c>
      <c r="AD2091" s="350" t="e">
        <f t="shared" si="127"/>
        <v>#N/A</v>
      </c>
      <c r="AE2091" s="349">
        <f>VLOOKUP(D2091,TRANSPORT!H:J,3,0)</f>
        <v>0</v>
      </c>
      <c r="AF2091" s="349">
        <f>+VLOOKUP(D2091,TRANSPORT!N:O,2,0)</f>
        <v>0</v>
      </c>
      <c r="AG2091" s="349">
        <f t="shared" si="128"/>
        <v>0</v>
      </c>
      <c r="AH2091" s="351" t="e">
        <f t="shared" si="129"/>
        <v>#N/A</v>
      </c>
      <c r="AI2091" s="351" t="e">
        <f t="shared" si="130"/>
        <v>#N/A</v>
      </c>
      <c r="AJ2091" s="351" t="e">
        <f t="shared" si="131"/>
        <v>#N/A</v>
      </c>
      <c r="AK2091" s="351" t="e">
        <f t="shared" si="132"/>
        <v>#N/A</v>
      </c>
      <c r="AL2091" s="352">
        <f>VLOOKUP(D2091,'INTEGRATION PAR CLIENT '!A1487:J1515,10,0)</f>
        <v>0</v>
      </c>
      <c r="AM2091" s="352">
        <f>VLOOKUP(D2091,'INTEGRATION PAR CLIENT '!A1487:L1515,12,0)</f>
        <v>0</v>
      </c>
      <c r="AN2091" s="352" t="str">
        <f>+VLOOKUP(D2091,'INTEGRATION PAR CLIENT '!A1487:N1515,14,0)</f>
        <v>10%-90%</v>
      </c>
      <c r="AO2091" s="352">
        <f>+VLOOKUP(D2091,'INTEGRATION PAR CLIENT '!A1487:P1515,16,0)</f>
        <v>0</v>
      </c>
    </row>
    <row r="2092" spans="1:41">
      <c r="A2092" s="342" t="s">
        <v>224</v>
      </c>
      <c r="B2092" s="277" t="str">
        <f t="shared" si="120"/>
        <v>212</v>
      </c>
      <c r="C2092" s="277">
        <v>0</v>
      </c>
      <c r="D2092" s="343" t="str">
        <f>'2025'!D213</f>
        <v>FAE-25-00212</v>
      </c>
      <c r="E2092" s="277" t="str">
        <f t="shared" si="121"/>
        <v>212</v>
      </c>
      <c r="F2092" s="618" t="str">
        <f>+'2025'!G213</f>
        <v>24/07/2025</v>
      </c>
      <c r="G2092" s="619">
        <f t="shared" si="93"/>
        <v>2025</v>
      </c>
      <c r="H2092" s="383" t="s">
        <v>17342</v>
      </c>
      <c r="I2092" s="277" t="str">
        <f>+VLOOKUP(H2092,Sheet1!A:C,3,0)</f>
        <v>SODIC</v>
      </c>
      <c r="J2092" s="277" t="str">
        <f>+VLOOKUP(H2092,Sheet1!A:D,4,0)</f>
        <v>EUR</v>
      </c>
      <c r="K2092" s="278">
        <f t="shared" si="122"/>
        <v>84271.096980000002</v>
      </c>
      <c r="L2092" s="383">
        <v>3.41025</v>
      </c>
      <c r="M2092" s="384">
        <v>24711.119999999999</v>
      </c>
      <c r="N2092" s="277" t="str">
        <f>+VLOOKUP(E2092,'2025'!E:F,2,0)</f>
        <v>OUI</v>
      </c>
      <c r="O2092" s="277" t="str">
        <f>VLOOKUP(E2092,'2025'!E:N,10,0)</f>
        <v>France</v>
      </c>
      <c r="P2092" s="890">
        <f>VLOOKUP(E2092,'2025'!E:O,11,0)</f>
        <v>45869</v>
      </c>
      <c r="Q2092" s="347">
        <f>VLOOKUP(E2092,'2025'!E:H,4,0)</f>
        <v>4790</v>
      </c>
      <c r="R2092" s="347">
        <f>VLOOKUP(E2092,'2025'!E:I,5,0)</f>
        <v>31516</v>
      </c>
      <c r="S2092" s="347">
        <f>VLOOKUP(E2092,'2025'!E:J,6,0)</f>
        <v>11750</v>
      </c>
      <c r="T2092" s="347">
        <f>VLOOKUP(E2092,'2025'!E:K,7,0)</f>
        <v>3760</v>
      </c>
      <c r="U2092" s="347">
        <f t="shared" si="123"/>
        <v>51816</v>
      </c>
      <c r="V2092" s="348"/>
      <c r="W2092" s="349" t="e">
        <f>+VLOOKUP(D2092,'JOURNAL FACTURES'!A:O,15,0)</f>
        <v>#N/A</v>
      </c>
      <c r="X2092" s="349" t="e">
        <f>VLOOKUP(D2092,'JOURNAL FACTURES'!A:P,16,0)</f>
        <v>#N/A</v>
      </c>
      <c r="Y2092" s="349" t="e">
        <f>VLOOKUP(D2092,'JOURNAL FACTURES'!A:Q,17,0)</f>
        <v>#N/A</v>
      </c>
      <c r="Z2092" s="349" t="e">
        <f>VLOOKUP(D2092,'JOURNAL FACTURES'!A:R,18,0)</f>
        <v>#N/A</v>
      </c>
      <c r="AA2092" s="350" t="e">
        <f t="shared" si="124"/>
        <v>#N/A</v>
      </c>
      <c r="AB2092" s="350" t="e">
        <f t="shared" si="125"/>
        <v>#N/A</v>
      </c>
      <c r="AC2092" s="350" t="e">
        <f t="shared" si="126"/>
        <v>#N/A</v>
      </c>
      <c r="AD2092" s="350" t="e">
        <f t="shared" si="127"/>
        <v>#N/A</v>
      </c>
      <c r="AE2092" s="349">
        <f>VLOOKUP(D2092,TRANSPORT!H:J,3,0)</f>
        <v>1200</v>
      </c>
      <c r="AF2092" s="349">
        <f>+VLOOKUP(D2092,TRANSPORT!N:O,2,0)</f>
        <v>12000</v>
      </c>
      <c r="AG2092" s="349">
        <f t="shared" si="128"/>
        <v>0.23158869847151459</v>
      </c>
      <c r="AH2092" s="351" t="e">
        <f t="shared" si="129"/>
        <v>#N/A</v>
      </c>
      <c r="AI2092" s="351" t="e">
        <f t="shared" si="130"/>
        <v>#N/A</v>
      </c>
      <c r="AJ2092" s="351" t="e">
        <f t="shared" si="131"/>
        <v>#N/A</v>
      </c>
      <c r="AK2092" s="351" t="e">
        <f t="shared" si="132"/>
        <v>#N/A</v>
      </c>
      <c r="AL2092" s="352">
        <f>VLOOKUP(D2092,'INTEGRATION PAR CLIENT '!A1488:J1516,10,0)</f>
        <v>1</v>
      </c>
      <c r="AM2092" s="352">
        <f>VLOOKUP(D2092,'INTEGRATION PAR CLIENT '!A1488:L1516,12,0)</f>
        <v>1</v>
      </c>
      <c r="AN2092" s="352">
        <f>+VLOOKUP(D2092,'INTEGRATION PAR CLIENT '!A1488:N1516,14,0)</f>
        <v>1</v>
      </c>
      <c r="AO2092" s="352">
        <f>+VLOOKUP(D2092,'INTEGRATION PAR CLIENT '!A1488:P1516,16,0)</f>
        <v>1</v>
      </c>
    </row>
    <row r="2093" spans="1:41">
      <c r="A2093" s="342">
        <v>213</v>
      </c>
      <c r="B2093" s="277" t="str">
        <f t="shared" si="120"/>
        <v>213</v>
      </c>
      <c r="C2093" s="277">
        <v>0</v>
      </c>
      <c r="D2093" s="343" t="str">
        <f>'2025'!D214</f>
        <v>FAE-25-00213</v>
      </c>
      <c r="E2093" s="277" t="str">
        <f t="shared" si="121"/>
        <v>213</v>
      </c>
      <c r="F2093" s="618" t="str">
        <f>+'2025'!G214</f>
        <v>24/07/2025</v>
      </c>
      <c r="G2093" s="619">
        <f t="shared" si="93"/>
        <v>2025</v>
      </c>
      <c r="H2093" s="383" t="s">
        <v>16957</v>
      </c>
      <c r="I2093" s="277" t="str">
        <f>+VLOOKUP(H2093,Sheet1!A:C,3,0)</f>
        <v>ANGSTREM TRADING</v>
      </c>
      <c r="J2093" s="277" t="str">
        <f>+VLOOKUP(H2093,Sheet1!A:D,4,0)</f>
        <v>USD</v>
      </c>
      <c r="K2093" s="278">
        <f t="shared" si="122"/>
        <v>49267.868325000003</v>
      </c>
      <c r="L2093" s="383">
        <v>2.9458500000000001</v>
      </c>
      <c r="M2093" s="384">
        <v>16724.5</v>
      </c>
      <c r="N2093" s="277" t="str">
        <f>+VLOOKUP(E2093,'2025'!E:F,2,0)</f>
        <v>OUI</v>
      </c>
      <c r="O2093" s="277" t="str">
        <f>VLOOKUP(E2093,'2025'!E:N,10,0)</f>
        <v>Russie</v>
      </c>
      <c r="P2093" s="890">
        <f>VLOOKUP(E2093,'2025'!E:O,11,0)</f>
        <v>45877</v>
      </c>
      <c r="Q2093" s="347">
        <f>VLOOKUP(E2093,'2025'!E:H,4,0)</f>
        <v>20150</v>
      </c>
      <c r="R2093" s="347">
        <f>VLOOKUP(E2093,'2025'!E:I,5,0)</f>
        <v>0</v>
      </c>
      <c r="S2093" s="347">
        <f>VLOOKUP(E2093,'2025'!E:J,6,0)</f>
        <v>0</v>
      </c>
      <c r="T2093" s="347">
        <f>VLOOKUP(E2093,'2025'!E:K,7,0)</f>
        <v>0</v>
      </c>
      <c r="U2093" s="347">
        <f t="shared" si="123"/>
        <v>20150</v>
      </c>
      <c r="V2093" s="348"/>
      <c r="W2093" s="349" t="e">
        <f>+VLOOKUP(D2093,'JOURNAL FACTURES'!A:O,15,0)</f>
        <v>#N/A</v>
      </c>
      <c r="X2093" s="349" t="e">
        <f>VLOOKUP(D2093,'JOURNAL FACTURES'!A:P,16,0)</f>
        <v>#N/A</v>
      </c>
      <c r="Y2093" s="349" t="e">
        <f>VLOOKUP(D2093,'JOURNAL FACTURES'!A:Q,17,0)</f>
        <v>#N/A</v>
      </c>
      <c r="Z2093" s="349" t="e">
        <f>VLOOKUP(D2093,'JOURNAL FACTURES'!A:R,18,0)</f>
        <v>#N/A</v>
      </c>
      <c r="AA2093" s="350" t="e">
        <f t="shared" si="124"/>
        <v>#N/A</v>
      </c>
      <c r="AB2093" s="350" t="e">
        <f t="shared" si="125"/>
        <v>#N/A</v>
      </c>
      <c r="AC2093" s="350" t="e">
        <f t="shared" si="126"/>
        <v>#N/A</v>
      </c>
      <c r="AD2093" s="350" t="e">
        <f t="shared" si="127"/>
        <v>#N/A</v>
      </c>
      <c r="AE2093" s="349" t="e">
        <f>VLOOKUP(D2093,TRANSPORT!H:J,3,0)</f>
        <v>#N/A</v>
      </c>
      <c r="AF2093" s="349" t="e">
        <f>+VLOOKUP(D2093,TRANSPORT!N:O,2,0)</f>
        <v>#N/A</v>
      </c>
      <c r="AG2093" s="349" t="e">
        <f t="shared" si="128"/>
        <v>#N/A</v>
      </c>
      <c r="AH2093" s="351" t="e">
        <f t="shared" si="129"/>
        <v>#N/A</v>
      </c>
      <c r="AI2093" s="351" t="e">
        <f t="shared" si="130"/>
        <v>#N/A</v>
      </c>
      <c r="AJ2093" s="351" t="e">
        <f t="shared" si="131"/>
        <v>#N/A</v>
      </c>
      <c r="AK2093" s="351" t="e">
        <f t="shared" si="132"/>
        <v>#N/A</v>
      </c>
      <c r="AL2093" s="352">
        <f>VLOOKUP(D2093,'INTEGRATION PAR CLIENT '!A1489:J1517,10,0)</f>
        <v>0</v>
      </c>
      <c r="AM2093" s="352">
        <f>VLOOKUP(D2093,'INTEGRATION PAR CLIENT '!A1489:L1517,12,0)</f>
        <v>0</v>
      </c>
      <c r="AN2093" s="352">
        <f>+VLOOKUP(D2093,'INTEGRATION PAR CLIENT '!A1489:N1517,14,0)</f>
        <v>0</v>
      </c>
      <c r="AO2093" s="352">
        <f>+VLOOKUP(D2093,'INTEGRATION PAR CLIENT '!A1489:P1517,16,0)</f>
        <v>0</v>
      </c>
    </row>
    <row r="2094" spans="1:41">
      <c r="A2094" s="342">
        <v>214</v>
      </c>
      <c r="B2094" s="277" t="str">
        <f t="shared" si="120"/>
        <v>214</v>
      </c>
      <c r="C2094" s="277">
        <v>0</v>
      </c>
      <c r="D2094" s="343" t="str">
        <f>'2025'!D215</f>
        <v>FAE-25-00214</v>
      </c>
      <c r="E2094" s="277" t="str">
        <f t="shared" si="121"/>
        <v>214</v>
      </c>
      <c r="F2094" s="618" t="str">
        <f>+'2025'!G215</f>
        <v>28/07/2025</v>
      </c>
      <c r="G2094" s="619">
        <f t="shared" si="93"/>
        <v>2025</v>
      </c>
      <c r="H2094" s="383" t="s">
        <v>17342</v>
      </c>
      <c r="I2094" s="277" t="str">
        <f>+VLOOKUP(H2094,Sheet1!A:C,3,0)</f>
        <v>SODIC</v>
      </c>
      <c r="J2094" s="277" t="str">
        <f>+VLOOKUP(H2094,Sheet1!A:D,4,0)</f>
        <v>EUR</v>
      </c>
      <c r="K2094" s="278">
        <f t="shared" si="122"/>
        <v>33502.978050000005</v>
      </c>
      <c r="L2094" s="383">
        <v>3.41025</v>
      </c>
      <c r="M2094" s="384">
        <v>9824.2000000000007</v>
      </c>
      <c r="N2094" s="277" t="str">
        <f>+VLOOKUP(E2094,'2025'!E:F,2,0)</f>
        <v>OUI</v>
      </c>
      <c r="O2094" s="277" t="str">
        <f>VLOOKUP(E2094,'2025'!E:N,10,0)</f>
        <v>France</v>
      </c>
      <c r="P2094" s="890">
        <f>VLOOKUP(E2094,'2025'!E:O,11,0)</f>
        <v>45869</v>
      </c>
      <c r="Q2094" s="347">
        <f>VLOOKUP(E2094,'2025'!E:H,4,0)</f>
        <v>0</v>
      </c>
      <c r="R2094" s="347">
        <f>VLOOKUP(E2094,'2025'!E:I,5,0)</f>
        <v>13872</v>
      </c>
      <c r="S2094" s="347">
        <f>VLOOKUP(E2094,'2025'!E:J,6,0)</f>
        <v>0</v>
      </c>
      <c r="T2094" s="347">
        <f>VLOOKUP(E2094,'2025'!E:K,7,0)</f>
        <v>320</v>
      </c>
      <c r="U2094" s="347">
        <f t="shared" si="123"/>
        <v>14192</v>
      </c>
      <c r="V2094" s="348"/>
      <c r="W2094" s="349" t="e">
        <f>+VLOOKUP(D2094,'JOURNAL FACTURES'!A:O,15,0)</f>
        <v>#N/A</v>
      </c>
      <c r="X2094" s="349" t="e">
        <f>VLOOKUP(D2094,'JOURNAL FACTURES'!A:P,16,0)</f>
        <v>#N/A</v>
      </c>
      <c r="Y2094" s="349" t="e">
        <f>VLOOKUP(D2094,'JOURNAL FACTURES'!A:Q,17,0)</f>
        <v>#N/A</v>
      </c>
      <c r="Z2094" s="349" t="e">
        <f>VLOOKUP(D2094,'JOURNAL FACTURES'!A:R,18,0)</f>
        <v>#N/A</v>
      </c>
      <c r="AA2094" s="350" t="e">
        <f t="shared" si="124"/>
        <v>#N/A</v>
      </c>
      <c r="AB2094" s="350" t="e">
        <f t="shared" si="125"/>
        <v>#N/A</v>
      </c>
      <c r="AC2094" s="350" t="e">
        <f t="shared" si="126"/>
        <v>#N/A</v>
      </c>
      <c r="AD2094" s="350" t="e">
        <f t="shared" si="127"/>
        <v>#N/A</v>
      </c>
      <c r="AE2094" s="349">
        <f>VLOOKUP(D2094,TRANSPORT!H:J,3,0)</f>
        <v>1111.4636</v>
      </c>
      <c r="AF2094" s="349">
        <f>+VLOOKUP(D2094,TRANSPORT!N:O,2,0)</f>
        <v>11953.8</v>
      </c>
      <c r="AG2094" s="349">
        <f t="shared" si="128"/>
        <v>0.84229143179255916</v>
      </c>
      <c r="AH2094" s="351" t="e">
        <f t="shared" si="129"/>
        <v>#N/A</v>
      </c>
      <c r="AI2094" s="351" t="e">
        <f t="shared" si="130"/>
        <v>#N/A</v>
      </c>
      <c r="AJ2094" s="351" t="e">
        <f t="shared" si="131"/>
        <v>#N/A</v>
      </c>
      <c r="AK2094" s="351" t="e">
        <f t="shared" si="132"/>
        <v>#N/A</v>
      </c>
      <c r="AL2094" s="352">
        <f>VLOOKUP(D2094,'INTEGRATION PAR CLIENT '!A1490:J1518,10,0)</f>
        <v>0</v>
      </c>
      <c r="AM2094" s="352">
        <f>VLOOKUP(D2094,'INTEGRATION PAR CLIENT '!A1490:L1518,12,0)</f>
        <v>1</v>
      </c>
      <c r="AN2094" s="352">
        <f>+VLOOKUP(D2094,'INTEGRATION PAR CLIENT '!A1490:N1518,14,0)</f>
        <v>0</v>
      </c>
      <c r="AO2094" s="352">
        <f>+VLOOKUP(D2094,'INTEGRATION PAR CLIENT '!A1490:P1518,16,0)</f>
        <v>1</v>
      </c>
    </row>
    <row r="2095" spans="1:41">
      <c r="A2095" s="342">
        <v>215</v>
      </c>
      <c r="B2095" s="277" t="str">
        <f t="shared" si="120"/>
        <v>215</v>
      </c>
      <c r="C2095" s="277">
        <v>0</v>
      </c>
      <c r="D2095" s="343" t="str">
        <f>'2025'!D216</f>
        <v>FAE-25-00215</v>
      </c>
      <c r="E2095" s="277" t="str">
        <f t="shared" si="121"/>
        <v>215</v>
      </c>
      <c r="F2095" s="618">
        <f>+'2025'!G216</f>
        <v>45874</v>
      </c>
      <c r="G2095" s="619">
        <f t="shared" ref="G2095:G2102" si="133">+YEAR(F2095)</f>
        <v>2025</v>
      </c>
      <c r="H2095" s="383" t="s">
        <v>17404</v>
      </c>
      <c r="I2095" s="277" t="str">
        <f>+VLOOKUP(H2095,Sheet1!A:C,3,0)</f>
        <v>POWERTRADE</v>
      </c>
      <c r="J2095" s="277" t="str">
        <f>+VLOOKUP(H2095,Sheet1!A:D,4,0)</f>
        <v>USD</v>
      </c>
      <c r="K2095" s="278">
        <f t="shared" si="122"/>
        <v>68019.994000000006</v>
      </c>
      <c r="L2095" s="383">
        <v>2.92685</v>
      </c>
      <c r="M2095" s="384">
        <v>23240</v>
      </c>
      <c r="N2095" s="277" t="str">
        <f>+VLOOKUP(E2095,'2025'!E:F,2,0)</f>
        <v>OUI</v>
      </c>
      <c r="O2095" s="277" t="str">
        <f>VLOOKUP(E2095,'2025'!E:N,10,0)</f>
        <v>Russie</v>
      </c>
      <c r="P2095" s="890">
        <f>VLOOKUP(E2095,'2025'!E:O,11,0)</f>
        <v>45880</v>
      </c>
      <c r="Q2095" s="347">
        <f>VLOOKUP(E2095,'2025'!E:H,4,0)</f>
        <v>28000</v>
      </c>
      <c r="R2095" s="347">
        <f>VLOOKUP(E2095,'2025'!E:I,5,0)</f>
        <v>0</v>
      </c>
      <c r="S2095" s="347">
        <f>VLOOKUP(E2095,'2025'!E:J,6,0)</f>
        <v>0</v>
      </c>
      <c r="T2095" s="347">
        <f>VLOOKUP(E2095,'2025'!E:K,7,0)</f>
        <v>0</v>
      </c>
      <c r="U2095" s="347">
        <f t="shared" si="123"/>
        <v>28000</v>
      </c>
      <c r="V2095" s="348"/>
      <c r="W2095" s="349" t="e">
        <f>+VLOOKUP(D2095,'JOURNAL FACTURES'!A:O,15,0)</f>
        <v>#N/A</v>
      </c>
      <c r="X2095" s="349" t="e">
        <f>VLOOKUP(D2095,'JOURNAL FACTURES'!A:P,16,0)</f>
        <v>#N/A</v>
      </c>
      <c r="Y2095" s="349" t="e">
        <f>VLOOKUP(D2095,'JOURNAL FACTURES'!A:Q,17,0)</f>
        <v>#N/A</v>
      </c>
      <c r="Z2095" s="349" t="e">
        <f>VLOOKUP(D2095,'JOURNAL FACTURES'!A:R,18,0)</f>
        <v>#N/A</v>
      </c>
      <c r="AA2095" s="350" t="e">
        <f t="shared" si="124"/>
        <v>#N/A</v>
      </c>
      <c r="AB2095" s="350" t="e">
        <f t="shared" si="125"/>
        <v>#N/A</v>
      </c>
      <c r="AC2095" s="350" t="e">
        <f t="shared" si="126"/>
        <v>#N/A</v>
      </c>
      <c r="AD2095" s="350" t="e">
        <f t="shared" si="127"/>
        <v>#N/A</v>
      </c>
      <c r="AE2095" s="349" t="e">
        <f>VLOOKUP(D2095,TRANSPORT!H:J,3,0)</f>
        <v>#N/A</v>
      </c>
      <c r="AF2095" s="349" t="e">
        <f>+VLOOKUP(D2095,TRANSPORT!N:O,2,0)</f>
        <v>#N/A</v>
      </c>
      <c r="AG2095" s="349" t="e">
        <f t="shared" si="128"/>
        <v>#N/A</v>
      </c>
      <c r="AH2095" s="351" t="e">
        <f t="shared" si="129"/>
        <v>#N/A</v>
      </c>
      <c r="AI2095" s="351" t="e">
        <f t="shared" si="130"/>
        <v>#N/A</v>
      </c>
      <c r="AJ2095" s="351" t="e">
        <f t="shared" si="131"/>
        <v>#N/A</v>
      </c>
      <c r="AK2095" s="351" t="e">
        <f t="shared" si="132"/>
        <v>#N/A</v>
      </c>
      <c r="AL2095" s="352">
        <f>VLOOKUP(D2095,'INTEGRATION PAR CLIENT '!A1491:J1519,10,0)</f>
        <v>0</v>
      </c>
      <c r="AM2095" s="352">
        <f>VLOOKUP(D2095,'INTEGRATION PAR CLIENT '!A1491:L1519,12,0)</f>
        <v>0</v>
      </c>
      <c r="AN2095" s="352">
        <f>+VLOOKUP(D2095,'INTEGRATION PAR CLIENT '!A1491:N1519,14,0)</f>
        <v>0</v>
      </c>
      <c r="AO2095" s="352">
        <f>+VLOOKUP(D2095,'INTEGRATION PAR CLIENT '!A1491:P1519,16,0)</f>
        <v>0</v>
      </c>
    </row>
    <row r="2096" spans="1:41">
      <c r="A2096" s="342" t="s">
        <v>228</v>
      </c>
      <c r="B2096" s="277" t="str">
        <f t="shared" si="120"/>
        <v>216</v>
      </c>
      <c r="C2096" s="277">
        <v>0</v>
      </c>
      <c r="D2096" s="343" t="str">
        <f>'2025'!D217</f>
        <v>FAE-25-00216</v>
      </c>
      <c r="E2096" s="277" t="str">
        <f t="shared" si="121"/>
        <v>216</v>
      </c>
      <c r="F2096" s="618">
        <f>+'2025'!G217</f>
        <v>45874</v>
      </c>
      <c r="G2096" s="619">
        <f t="shared" si="133"/>
        <v>2025</v>
      </c>
      <c r="H2096" s="383" t="s">
        <v>17404</v>
      </c>
      <c r="I2096" s="277" t="str">
        <f>+VLOOKUP(H2096,Sheet1!A:C,3,0)</f>
        <v>POWERTRADE</v>
      </c>
      <c r="J2096" s="277" t="str">
        <f>+VLOOKUP(H2096,Sheet1!A:D,4,0)</f>
        <v>USD</v>
      </c>
      <c r="K2096" s="278">
        <f t="shared" si="122"/>
        <v>68019.994000000006</v>
      </c>
      <c r="L2096" s="383">
        <v>2.92685</v>
      </c>
      <c r="M2096" s="384">
        <v>23240</v>
      </c>
      <c r="N2096" s="277" t="str">
        <f>+VLOOKUP(E2096,'2025'!E:F,2,0)</f>
        <v>OUI</v>
      </c>
      <c r="O2096" s="277" t="str">
        <f>VLOOKUP(E2096,'2025'!E:N,10,0)</f>
        <v>Russie</v>
      </c>
      <c r="P2096" s="890">
        <f>VLOOKUP(E2096,'2025'!E:O,11,0)</f>
        <v>45880</v>
      </c>
      <c r="Q2096" s="347">
        <f>VLOOKUP(E2096,'2025'!E:H,4,0)</f>
        <v>28000</v>
      </c>
      <c r="R2096" s="347">
        <f>VLOOKUP(E2096,'2025'!E:I,5,0)</f>
        <v>0</v>
      </c>
      <c r="S2096" s="347">
        <f>VLOOKUP(E2096,'2025'!E:J,6,0)</f>
        <v>0</v>
      </c>
      <c r="T2096" s="347">
        <f>VLOOKUP(E2096,'2025'!E:K,7,0)</f>
        <v>0</v>
      </c>
      <c r="U2096" s="347">
        <f t="shared" si="123"/>
        <v>28000</v>
      </c>
      <c r="V2096" s="348"/>
      <c r="W2096" s="349" t="e">
        <f>+VLOOKUP(D2096,'JOURNAL FACTURES'!A:O,15,0)</f>
        <v>#N/A</v>
      </c>
      <c r="X2096" s="349" t="e">
        <f>VLOOKUP(D2096,'JOURNAL FACTURES'!A:P,16,0)</f>
        <v>#N/A</v>
      </c>
      <c r="Y2096" s="349" t="e">
        <f>VLOOKUP(D2096,'JOURNAL FACTURES'!A:Q,17,0)</f>
        <v>#N/A</v>
      </c>
      <c r="Z2096" s="349" t="e">
        <f>VLOOKUP(D2096,'JOURNAL FACTURES'!A:R,18,0)</f>
        <v>#N/A</v>
      </c>
      <c r="AA2096" s="350" t="e">
        <f t="shared" si="124"/>
        <v>#N/A</v>
      </c>
      <c r="AB2096" s="350" t="e">
        <f t="shared" si="125"/>
        <v>#N/A</v>
      </c>
      <c r="AC2096" s="350" t="e">
        <f t="shared" si="126"/>
        <v>#N/A</v>
      </c>
      <c r="AD2096" s="350" t="e">
        <f t="shared" si="127"/>
        <v>#N/A</v>
      </c>
      <c r="AE2096" s="349" t="e">
        <f>VLOOKUP(D2096,TRANSPORT!H:J,3,0)</f>
        <v>#N/A</v>
      </c>
      <c r="AF2096" s="349" t="e">
        <f>+VLOOKUP(D2096,TRANSPORT!N:O,2,0)</f>
        <v>#N/A</v>
      </c>
      <c r="AG2096" s="349" t="e">
        <f t="shared" si="128"/>
        <v>#N/A</v>
      </c>
      <c r="AH2096" s="351" t="e">
        <f t="shared" si="129"/>
        <v>#N/A</v>
      </c>
      <c r="AI2096" s="351" t="e">
        <f t="shared" si="130"/>
        <v>#N/A</v>
      </c>
      <c r="AJ2096" s="351" t="e">
        <f t="shared" si="131"/>
        <v>#N/A</v>
      </c>
      <c r="AK2096" s="351" t="e">
        <f t="shared" si="132"/>
        <v>#N/A</v>
      </c>
      <c r="AL2096" s="352" t="e">
        <f>VLOOKUP(D2096,'INTEGRATION PAR CLIENT '!A1492:J1520,10,0)</f>
        <v>#N/A</v>
      </c>
      <c r="AM2096" s="352" t="e">
        <f>VLOOKUP(D2096,'INTEGRATION PAR CLIENT '!A1492:L1520,12,0)</f>
        <v>#N/A</v>
      </c>
      <c r="AN2096" s="352" t="e">
        <f>+VLOOKUP(D2096,'INTEGRATION PAR CLIENT '!A1492:N1520,14,0)</f>
        <v>#N/A</v>
      </c>
      <c r="AO2096" s="352" t="e">
        <f>+VLOOKUP(D2096,'INTEGRATION PAR CLIENT '!A1492:P1520,16,0)</f>
        <v>#N/A</v>
      </c>
    </row>
    <row r="2097" spans="1:41">
      <c r="A2097" s="342" t="s">
        <v>229</v>
      </c>
      <c r="B2097" s="277" t="str">
        <f t="shared" ref="B2097:B2102" si="134">+RIGHT(D2097,3)</f>
        <v>217</v>
      </c>
      <c r="C2097" s="277">
        <v>0</v>
      </c>
      <c r="D2097" s="343" t="str">
        <f>'2025'!D218</f>
        <v>FAE-25-00217</v>
      </c>
      <c r="E2097" s="277" t="str">
        <f t="shared" ref="E2097:E2102" si="135">RIGHT(D2097,3)</f>
        <v>217</v>
      </c>
      <c r="F2097" s="618">
        <f>+'2025'!G218</f>
        <v>45874</v>
      </c>
      <c r="G2097" s="619">
        <f t="shared" ref="G2097:G2102" si="136">+YEAR(F2097)</f>
        <v>2025</v>
      </c>
      <c r="H2097" s="383" t="s">
        <v>17404</v>
      </c>
      <c r="I2097" s="277" t="str">
        <f>+VLOOKUP(H2097,Sheet1!A:C,3,0)</f>
        <v>POWERTRADE</v>
      </c>
      <c r="J2097" s="277" t="str">
        <f>+VLOOKUP(H2097,Sheet1!A:D,4,0)</f>
        <v>USD</v>
      </c>
      <c r="K2097" s="278">
        <f t="shared" ref="K2097:K2102" si="137">+L2097*M2097</f>
        <v>68118.763999999996</v>
      </c>
      <c r="L2097" s="383">
        <v>2.9310999999999998</v>
      </c>
      <c r="M2097" s="384">
        <v>23240</v>
      </c>
      <c r="N2097" s="277" t="str">
        <f>+VLOOKUP(E2097,'2025'!E:F,2,0)</f>
        <v>OUI</v>
      </c>
      <c r="O2097" s="277" t="str">
        <f>VLOOKUP(E2097,'2025'!E:N,10,0)</f>
        <v>Russie</v>
      </c>
      <c r="P2097" s="890">
        <f>VLOOKUP(E2097,'2025'!E:O,11,0)</f>
        <v>45880</v>
      </c>
      <c r="Q2097" s="347">
        <f>VLOOKUP(E2097,'2025'!E:H,4,0)</f>
        <v>28000</v>
      </c>
      <c r="R2097" s="347">
        <f>VLOOKUP(E2097,'2025'!E:I,5,0)</f>
        <v>0</v>
      </c>
      <c r="S2097" s="347">
        <f>VLOOKUP(E2097,'2025'!E:J,6,0)</f>
        <v>0</v>
      </c>
      <c r="T2097" s="347">
        <f>VLOOKUP(E2097,'2025'!E:K,7,0)</f>
        <v>0</v>
      </c>
      <c r="U2097" s="347">
        <f t="shared" ref="U2097:U2102" si="138">SUM(Q2097:T2097)</f>
        <v>28000</v>
      </c>
      <c r="V2097" s="348"/>
      <c r="W2097" s="349" t="e">
        <f>+VLOOKUP(D2097,'JOURNAL FACTURES'!A:O,15,0)</f>
        <v>#N/A</v>
      </c>
      <c r="X2097" s="349" t="e">
        <f>VLOOKUP(D2097,'JOURNAL FACTURES'!A:P,16,0)</f>
        <v>#N/A</v>
      </c>
      <c r="Y2097" s="349" t="e">
        <f>VLOOKUP(D2097,'JOURNAL FACTURES'!A:Q,17,0)</f>
        <v>#N/A</v>
      </c>
      <c r="Z2097" s="349" t="e">
        <f>VLOOKUP(D2097,'JOURNAL FACTURES'!A:R,18,0)</f>
        <v>#N/A</v>
      </c>
      <c r="AA2097" s="350" t="e">
        <f t="shared" ref="AA2097:AA2102" si="139">+W2097/Q2097</f>
        <v>#N/A</v>
      </c>
      <c r="AB2097" s="350" t="e">
        <f t="shared" ref="AB2097:AB2102" si="140">+X2097/R2097</f>
        <v>#N/A</v>
      </c>
      <c r="AC2097" s="350" t="e">
        <f t="shared" ref="AC2097:AC2102" si="141">+Y2097/S2097</f>
        <v>#N/A</v>
      </c>
      <c r="AD2097" s="350" t="e">
        <f t="shared" ref="AD2097:AD2102" si="142">Z2097/T2097</f>
        <v>#N/A</v>
      </c>
      <c r="AE2097" s="349" t="e">
        <f>VLOOKUP(D2097,TRANSPORT!H:J,3,0)</f>
        <v>#N/A</v>
      </c>
      <c r="AF2097" s="349" t="e">
        <f>+VLOOKUP(D2097,TRANSPORT!N:O,2,0)</f>
        <v>#N/A</v>
      </c>
      <c r="AG2097" s="349" t="e">
        <f t="shared" ref="AG2097:AG2102" si="143">AF2097/U2097</f>
        <v>#N/A</v>
      </c>
      <c r="AH2097" s="351" t="e">
        <f t="shared" ref="AH2097:AH2102" si="144">AA2097-AG2097</f>
        <v>#N/A</v>
      </c>
      <c r="AI2097" s="351" t="e">
        <f t="shared" ref="AI2097:AI2102" si="145">AB2097-AG2097</f>
        <v>#N/A</v>
      </c>
      <c r="AJ2097" s="351" t="e">
        <f t="shared" ref="AJ2097:AJ2102" si="146">AC2097-AG2097</f>
        <v>#N/A</v>
      </c>
      <c r="AK2097" s="351" t="e">
        <f t="shared" ref="AK2097:AK2102" si="147">AD2097-AG2097</f>
        <v>#N/A</v>
      </c>
      <c r="AL2097" s="352" t="e">
        <f>VLOOKUP(D2097,'INTEGRATION PAR CLIENT '!A1493:J1521,10,0)</f>
        <v>#N/A</v>
      </c>
      <c r="AM2097" s="352" t="e">
        <f>VLOOKUP(D2097,'INTEGRATION PAR CLIENT '!A1493:L1521,12,0)</f>
        <v>#N/A</v>
      </c>
      <c r="AN2097" s="352" t="e">
        <f>+VLOOKUP(D2097,'INTEGRATION PAR CLIENT '!A1493:N1521,14,0)</f>
        <v>#N/A</v>
      </c>
      <c r="AO2097" s="352" t="e">
        <f>+VLOOKUP(D2097,'INTEGRATION PAR CLIENT '!A1493:P1521,16,0)</f>
        <v>#N/A</v>
      </c>
    </row>
    <row r="2098" spans="1:41">
      <c r="A2098" s="342" t="s">
        <v>230</v>
      </c>
      <c r="B2098" s="277" t="str">
        <f t="shared" si="134"/>
        <v>218</v>
      </c>
      <c r="C2098" s="277">
        <v>0</v>
      </c>
      <c r="D2098" s="343" t="str">
        <f>'2025'!D219</f>
        <v>FAE-25-00218</v>
      </c>
      <c r="E2098" s="277" t="str">
        <f t="shared" si="135"/>
        <v>218</v>
      </c>
      <c r="F2098" s="618">
        <f>+'2025'!G219</f>
        <v>45874</v>
      </c>
      <c r="G2098" s="619">
        <f t="shared" si="136"/>
        <v>2025</v>
      </c>
      <c r="H2098" s="383" t="s">
        <v>17404</v>
      </c>
      <c r="I2098" s="277" t="str">
        <f>+VLOOKUP(H2098,Sheet1!A:C,3,0)</f>
        <v>POWERTRADE</v>
      </c>
      <c r="J2098" s="277" t="str">
        <f>+VLOOKUP(H2098,Sheet1!A:D,4,0)</f>
        <v>USD</v>
      </c>
      <c r="K2098" s="278">
        <f t="shared" si="137"/>
        <v>68118.763999999996</v>
      </c>
      <c r="L2098" s="383">
        <v>2.9310999999999998</v>
      </c>
      <c r="M2098" s="384">
        <v>23240</v>
      </c>
      <c r="N2098" s="277" t="str">
        <f>+VLOOKUP(E2098,'2025'!E:F,2,0)</f>
        <v>OUI</v>
      </c>
      <c r="O2098" s="277" t="str">
        <f>VLOOKUP(E2098,'2025'!E:N,10,0)</f>
        <v>Russie</v>
      </c>
      <c r="P2098" s="890">
        <f>VLOOKUP(E2098,'2025'!E:O,11,0)</f>
        <v>45881</v>
      </c>
      <c r="Q2098" s="347">
        <f>VLOOKUP(E2098,'2025'!E:H,4,0)</f>
        <v>28000</v>
      </c>
      <c r="R2098" s="347">
        <f>VLOOKUP(E2098,'2025'!E:I,5,0)</f>
        <v>0</v>
      </c>
      <c r="S2098" s="347">
        <f>VLOOKUP(E2098,'2025'!E:J,6,0)</f>
        <v>0</v>
      </c>
      <c r="T2098" s="347">
        <f>VLOOKUP(E2098,'2025'!E:K,7,0)</f>
        <v>0</v>
      </c>
      <c r="U2098" s="347">
        <f t="shared" si="138"/>
        <v>28000</v>
      </c>
      <c r="V2098" s="348"/>
      <c r="W2098" s="349" t="e">
        <f>+VLOOKUP(D2098,'JOURNAL FACTURES'!A:O,15,0)</f>
        <v>#N/A</v>
      </c>
      <c r="X2098" s="349" t="e">
        <f>VLOOKUP(D2098,'JOURNAL FACTURES'!A:P,16,0)</f>
        <v>#N/A</v>
      </c>
      <c r="Y2098" s="349" t="e">
        <f>VLOOKUP(D2098,'JOURNAL FACTURES'!A:Q,17,0)</f>
        <v>#N/A</v>
      </c>
      <c r="Z2098" s="349" t="e">
        <f>VLOOKUP(D2098,'JOURNAL FACTURES'!A:R,18,0)</f>
        <v>#N/A</v>
      </c>
      <c r="AA2098" s="350" t="e">
        <f t="shared" si="139"/>
        <v>#N/A</v>
      </c>
      <c r="AB2098" s="350" t="e">
        <f t="shared" si="140"/>
        <v>#N/A</v>
      </c>
      <c r="AC2098" s="350" t="e">
        <f t="shared" si="141"/>
        <v>#N/A</v>
      </c>
      <c r="AD2098" s="350" t="e">
        <f t="shared" si="142"/>
        <v>#N/A</v>
      </c>
      <c r="AE2098" s="349" t="e">
        <f>VLOOKUP(D2098,TRANSPORT!H:J,3,0)</f>
        <v>#N/A</v>
      </c>
      <c r="AF2098" s="349" t="e">
        <f>+VLOOKUP(D2098,TRANSPORT!N:O,2,0)</f>
        <v>#N/A</v>
      </c>
      <c r="AG2098" s="349" t="e">
        <f t="shared" si="143"/>
        <v>#N/A</v>
      </c>
      <c r="AH2098" s="351" t="e">
        <f t="shared" si="144"/>
        <v>#N/A</v>
      </c>
      <c r="AI2098" s="351" t="e">
        <f t="shared" si="145"/>
        <v>#N/A</v>
      </c>
      <c r="AJ2098" s="351" t="e">
        <f t="shared" si="146"/>
        <v>#N/A</v>
      </c>
      <c r="AK2098" s="351" t="e">
        <f t="shared" si="147"/>
        <v>#N/A</v>
      </c>
      <c r="AL2098" s="352" t="e">
        <f>VLOOKUP(D2098,'INTEGRATION PAR CLIENT '!A1494:J1522,10,0)</f>
        <v>#N/A</v>
      </c>
      <c r="AM2098" s="352" t="e">
        <f>VLOOKUP(D2098,'INTEGRATION PAR CLIENT '!A1494:L1522,12,0)</f>
        <v>#N/A</v>
      </c>
      <c r="AN2098" s="352" t="e">
        <f>+VLOOKUP(D2098,'INTEGRATION PAR CLIENT '!A1494:N1522,14,0)</f>
        <v>#N/A</v>
      </c>
      <c r="AO2098" s="352" t="e">
        <f>+VLOOKUP(D2098,'INTEGRATION PAR CLIENT '!A1494:P1522,16,0)</f>
        <v>#N/A</v>
      </c>
    </row>
    <row r="2099" spans="1:41">
      <c r="A2099" s="342" t="s">
        <v>231</v>
      </c>
      <c r="B2099" s="277" t="str">
        <f t="shared" si="134"/>
        <v>219</v>
      </c>
      <c r="C2099" s="277">
        <v>0</v>
      </c>
      <c r="D2099" s="343" t="str">
        <f>'2025'!D220</f>
        <v>FAE-25-00219</v>
      </c>
      <c r="E2099" s="277" t="str">
        <f t="shared" si="135"/>
        <v>219</v>
      </c>
      <c r="F2099" s="618">
        <f>+'2025'!G220</f>
        <v>45874</v>
      </c>
      <c r="G2099" s="619">
        <f t="shared" si="136"/>
        <v>2025</v>
      </c>
      <c r="H2099" s="383" t="s">
        <v>17404</v>
      </c>
      <c r="I2099" s="277" t="str">
        <f>+VLOOKUP(H2099,Sheet1!A:C,3,0)</f>
        <v>POWERTRADE</v>
      </c>
      <c r="J2099" s="277" t="str">
        <f>+VLOOKUP(H2099,Sheet1!A:D,4,0)</f>
        <v>USD</v>
      </c>
      <c r="K2099" s="278">
        <f t="shared" si="137"/>
        <v>68118.763999999996</v>
      </c>
      <c r="L2099" s="383">
        <v>2.9310999999999998</v>
      </c>
      <c r="M2099" s="384">
        <v>23240</v>
      </c>
      <c r="N2099" s="277" t="str">
        <f>+VLOOKUP(E2099,'2025'!E:F,2,0)</f>
        <v>OUI</v>
      </c>
      <c r="O2099" s="277" t="str">
        <f>VLOOKUP(E2099,'2025'!E:N,10,0)</f>
        <v>Russie</v>
      </c>
      <c r="P2099" s="890">
        <f>VLOOKUP(E2099,'2025'!E:O,11,0)</f>
        <v>45881</v>
      </c>
      <c r="Q2099" s="347">
        <f>VLOOKUP(E2099,'2025'!E:H,4,0)</f>
        <v>28000</v>
      </c>
      <c r="R2099" s="347">
        <f>VLOOKUP(E2099,'2025'!E:I,5,0)</f>
        <v>0</v>
      </c>
      <c r="S2099" s="347">
        <f>VLOOKUP(E2099,'2025'!E:J,6,0)</f>
        <v>0</v>
      </c>
      <c r="T2099" s="347">
        <f>VLOOKUP(E2099,'2025'!E:K,7,0)</f>
        <v>0</v>
      </c>
      <c r="U2099" s="347">
        <f t="shared" si="138"/>
        <v>28000</v>
      </c>
      <c r="V2099" s="348"/>
      <c r="W2099" s="349" t="e">
        <f>+VLOOKUP(D2099,'JOURNAL FACTURES'!A:O,15,0)</f>
        <v>#N/A</v>
      </c>
      <c r="X2099" s="349" t="e">
        <f>VLOOKUP(D2099,'JOURNAL FACTURES'!A:P,16,0)</f>
        <v>#N/A</v>
      </c>
      <c r="Y2099" s="349" t="e">
        <f>VLOOKUP(D2099,'JOURNAL FACTURES'!A:Q,17,0)</f>
        <v>#N/A</v>
      </c>
      <c r="Z2099" s="349" t="e">
        <f>VLOOKUP(D2099,'JOURNAL FACTURES'!A:R,18,0)</f>
        <v>#N/A</v>
      </c>
      <c r="AA2099" s="350" t="e">
        <f t="shared" si="139"/>
        <v>#N/A</v>
      </c>
      <c r="AB2099" s="350" t="e">
        <f t="shared" si="140"/>
        <v>#N/A</v>
      </c>
      <c r="AC2099" s="350" t="e">
        <f t="shared" si="141"/>
        <v>#N/A</v>
      </c>
      <c r="AD2099" s="350" t="e">
        <f t="shared" si="142"/>
        <v>#N/A</v>
      </c>
      <c r="AE2099" s="349" t="e">
        <f>VLOOKUP(D2099,TRANSPORT!H:J,3,0)</f>
        <v>#N/A</v>
      </c>
      <c r="AF2099" s="349" t="e">
        <f>+VLOOKUP(D2099,TRANSPORT!N:O,2,0)</f>
        <v>#N/A</v>
      </c>
      <c r="AG2099" s="349" t="e">
        <f t="shared" si="143"/>
        <v>#N/A</v>
      </c>
      <c r="AH2099" s="351" t="e">
        <f t="shared" si="144"/>
        <v>#N/A</v>
      </c>
      <c r="AI2099" s="351" t="e">
        <f t="shared" si="145"/>
        <v>#N/A</v>
      </c>
      <c r="AJ2099" s="351" t="e">
        <f t="shared" si="146"/>
        <v>#N/A</v>
      </c>
      <c r="AK2099" s="351" t="e">
        <f t="shared" si="147"/>
        <v>#N/A</v>
      </c>
      <c r="AL2099" s="352" t="e">
        <f>VLOOKUP(D2099,'INTEGRATION PAR CLIENT '!A1495:J1523,10,0)</f>
        <v>#N/A</v>
      </c>
      <c r="AM2099" s="352" t="e">
        <f>VLOOKUP(D2099,'INTEGRATION PAR CLIENT '!A1495:L1523,12,0)</f>
        <v>#N/A</v>
      </c>
      <c r="AN2099" s="352" t="e">
        <f>+VLOOKUP(D2099,'INTEGRATION PAR CLIENT '!A1495:N1523,14,0)</f>
        <v>#N/A</v>
      </c>
      <c r="AO2099" s="352" t="e">
        <f>+VLOOKUP(D2099,'INTEGRATION PAR CLIENT '!A1495:P1523,16,0)</f>
        <v>#N/A</v>
      </c>
    </row>
    <row r="2100" spans="1:41">
      <c r="A2100" s="342" t="s">
        <v>232</v>
      </c>
      <c r="B2100" s="277" t="str">
        <f t="shared" si="134"/>
        <v>220</v>
      </c>
      <c r="C2100" s="277">
        <v>0</v>
      </c>
      <c r="D2100" s="343" t="str">
        <f>'2025'!D221</f>
        <v>FAE-25-00220</v>
      </c>
      <c r="E2100" s="277" t="str">
        <f t="shared" si="135"/>
        <v>220</v>
      </c>
      <c r="F2100" s="618">
        <f>+'2025'!G221</f>
        <v>45874</v>
      </c>
      <c r="G2100" s="619">
        <f t="shared" si="136"/>
        <v>2025</v>
      </c>
      <c r="H2100" s="383" t="s">
        <v>16384</v>
      </c>
      <c r="I2100" s="277" t="str">
        <f>+VLOOKUP(H2100,Sheet1!A:C,3,0)</f>
        <v>STE DE COMMERCE INTERNATIONAL</v>
      </c>
      <c r="J2100" s="277" t="str">
        <f>+VLOOKUP(H2100,Sheet1!A:D,4,0)</f>
        <v>TND</v>
      </c>
      <c r="K2100" s="278">
        <f t="shared" si="137"/>
        <v>226720</v>
      </c>
      <c r="L2100" s="383">
        <v>1</v>
      </c>
      <c r="M2100" s="384">
        <v>226720</v>
      </c>
      <c r="N2100" s="277" t="str">
        <f>+VLOOKUP(E2100,'2025'!E:F,2,0)</f>
        <v>OUI</v>
      </c>
      <c r="O2100" s="277" t="str">
        <f>VLOOKUP(E2100,'2025'!E:N,10,0)</f>
        <v>Gabon</v>
      </c>
      <c r="P2100" s="890">
        <f>VLOOKUP(E2100,'2025'!E:O,11,0)</f>
        <v>45888</v>
      </c>
      <c r="Q2100" s="347">
        <f>VLOOKUP(E2100,'2025'!E:H,4,0)</f>
        <v>0</v>
      </c>
      <c r="R2100" s="347">
        <f>VLOOKUP(E2100,'2025'!E:I,5,0)</f>
        <v>0</v>
      </c>
      <c r="S2100" s="347">
        <f>VLOOKUP(E2100,'2025'!E:J,6,0)</f>
        <v>130000</v>
      </c>
      <c r="T2100" s="347">
        <f>VLOOKUP(E2100,'2025'!E:K,7,0)</f>
        <v>0</v>
      </c>
      <c r="U2100" s="347">
        <f t="shared" si="138"/>
        <v>130000</v>
      </c>
      <c r="V2100" s="348"/>
      <c r="W2100" s="349" t="e">
        <f>+VLOOKUP(D2100,'JOURNAL FACTURES'!A:O,15,0)</f>
        <v>#N/A</v>
      </c>
      <c r="X2100" s="349" t="e">
        <f>VLOOKUP(D2100,'JOURNAL FACTURES'!A:P,16,0)</f>
        <v>#N/A</v>
      </c>
      <c r="Y2100" s="349" t="e">
        <f>VLOOKUP(D2100,'JOURNAL FACTURES'!A:Q,17,0)</f>
        <v>#N/A</v>
      </c>
      <c r="Z2100" s="349" t="e">
        <f>VLOOKUP(D2100,'JOURNAL FACTURES'!A:R,18,0)</f>
        <v>#N/A</v>
      </c>
      <c r="AA2100" s="350" t="e">
        <f t="shared" si="139"/>
        <v>#N/A</v>
      </c>
      <c r="AB2100" s="350" t="e">
        <f t="shared" si="140"/>
        <v>#N/A</v>
      </c>
      <c r="AC2100" s="350" t="e">
        <f t="shared" si="141"/>
        <v>#N/A</v>
      </c>
      <c r="AD2100" s="350" t="e">
        <f t="shared" si="142"/>
        <v>#N/A</v>
      </c>
      <c r="AE2100" s="349" t="e">
        <f>VLOOKUP(D2100,TRANSPORT!H:J,3,0)</f>
        <v>#N/A</v>
      </c>
      <c r="AF2100" s="349" t="e">
        <f>+VLOOKUP(D2100,TRANSPORT!N:O,2,0)</f>
        <v>#N/A</v>
      </c>
      <c r="AG2100" s="349" t="e">
        <f t="shared" si="143"/>
        <v>#N/A</v>
      </c>
      <c r="AH2100" s="351" t="e">
        <f t="shared" si="144"/>
        <v>#N/A</v>
      </c>
      <c r="AI2100" s="351" t="e">
        <f t="shared" si="145"/>
        <v>#N/A</v>
      </c>
      <c r="AJ2100" s="351" t="e">
        <f t="shared" si="146"/>
        <v>#N/A</v>
      </c>
      <c r="AK2100" s="351" t="e">
        <f t="shared" si="147"/>
        <v>#N/A</v>
      </c>
      <c r="AL2100" s="352" t="e">
        <f>VLOOKUP(D2100,'INTEGRATION PAR CLIENT '!A1496:J1524,10,0)</f>
        <v>#N/A</v>
      </c>
      <c r="AM2100" s="352" t="e">
        <f>VLOOKUP(D2100,'INTEGRATION PAR CLIENT '!A1496:L1524,12,0)</f>
        <v>#N/A</v>
      </c>
      <c r="AN2100" s="352" t="e">
        <f>+VLOOKUP(D2100,'INTEGRATION PAR CLIENT '!A1496:N1524,14,0)</f>
        <v>#N/A</v>
      </c>
      <c r="AO2100" s="352" t="e">
        <f>+VLOOKUP(D2100,'INTEGRATION PAR CLIENT '!A1496:P1524,16,0)</f>
        <v>#N/A</v>
      </c>
    </row>
    <row r="2101" spans="1:41">
      <c r="A2101" s="342" t="s">
        <v>233</v>
      </c>
      <c r="B2101" s="277" t="str">
        <f t="shared" si="134"/>
        <v>221</v>
      </c>
      <c r="C2101" s="277">
        <v>0</v>
      </c>
      <c r="D2101" s="343" t="str">
        <f>'2025'!D222</f>
        <v>FAE-25-00221</v>
      </c>
      <c r="E2101" s="277" t="str">
        <f t="shared" si="135"/>
        <v>221</v>
      </c>
      <c r="F2101" s="618">
        <f>+'2025'!G222</f>
        <v>45874</v>
      </c>
      <c r="G2101" s="619">
        <f t="shared" si="136"/>
        <v>2025</v>
      </c>
      <c r="H2101" s="383" t="s">
        <v>16444</v>
      </c>
      <c r="I2101" s="277" t="str">
        <f>+VLOOKUP(H2101,Sheet1!A:C,3,0)</f>
        <v>SAHEL INTERNATIONAL TRADE</v>
      </c>
      <c r="J2101" s="277" t="str">
        <f>+VLOOKUP(H2101,Sheet1!A:D,4,0)</f>
        <v>TND</v>
      </c>
      <c r="K2101" s="278">
        <f t="shared" si="137"/>
        <v>412500</v>
      </c>
      <c r="L2101" s="383">
        <v>1</v>
      </c>
      <c r="M2101" s="384">
        <v>412500</v>
      </c>
      <c r="N2101" s="277" t="str">
        <f>+VLOOKUP(E2101,'2025'!E:F,2,0)</f>
        <v>OUI</v>
      </c>
      <c r="O2101" s="277" t="str">
        <f>VLOOKUP(E2101,'2025'!E:N,10,0)</f>
        <v>Niger</v>
      </c>
      <c r="P2101" s="890">
        <f>VLOOKUP(E2101,'2025'!E:O,11,0)</f>
        <v>45883</v>
      </c>
      <c r="Q2101" s="347">
        <f>VLOOKUP(E2101,'2025'!E:H,4,0)</f>
        <v>0</v>
      </c>
      <c r="R2101" s="347">
        <f>VLOOKUP(E2101,'2025'!E:I,5,0)</f>
        <v>0</v>
      </c>
      <c r="S2101" s="347">
        <f>VLOOKUP(E2101,'2025'!E:J,6,0)</f>
        <v>275000</v>
      </c>
      <c r="T2101" s="347">
        <f>VLOOKUP(E2101,'2025'!E:K,7,0)</f>
        <v>0</v>
      </c>
      <c r="U2101" s="347">
        <f t="shared" si="138"/>
        <v>275000</v>
      </c>
      <c r="V2101" s="348"/>
      <c r="W2101" s="349" t="e">
        <f>+VLOOKUP(D2101,'JOURNAL FACTURES'!A:O,15,0)</f>
        <v>#N/A</v>
      </c>
      <c r="X2101" s="349" t="e">
        <f>VLOOKUP(D2101,'JOURNAL FACTURES'!A:P,16,0)</f>
        <v>#N/A</v>
      </c>
      <c r="Y2101" s="349" t="e">
        <f>VLOOKUP(D2101,'JOURNAL FACTURES'!A:Q,17,0)</f>
        <v>#N/A</v>
      </c>
      <c r="Z2101" s="349" t="e">
        <f>VLOOKUP(D2101,'JOURNAL FACTURES'!A:R,18,0)</f>
        <v>#N/A</v>
      </c>
      <c r="AA2101" s="350" t="e">
        <f t="shared" si="139"/>
        <v>#N/A</v>
      </c>
      <c r="AB2101" s="350" t="e">
        <f t="shared" si="140"/>
        <v>#N/A</v>
      </c>
      <c r="AC2101" s="350" t="e">
        <f t="shared" si="141"/>
        <v>#N/A</v>
      </c>
      <c r="AD2101" s="350" t="e">
        <f t="shared" si="142"/>
        <v>#N/A</v>
      </c>
      <c r="AE2101" s="349" t="e">
        <f>VLOOKUP(D2101,TRANSPORT!H:J,3,0)</f>
        <v>#N/A</v>
      </c>
      <c r="AF2101" s="349" t="e">
        <f>+VLOOKUP(D2101,TRANSPORT!N:O,2,0)</f>
        <v>#N/A</v>
      </c>
      <c r="AG2101" s="349" t="e">
        <f t="shared" si="143"/>
        <v>#N/A</v>
      </c>
      <c r="AH2101" s="351" t="e">
        <f t="shared" si="144"/>
        <v>#N/A</v>
      </c>
      <c r="AI2101" s="351" t="e">
        <f t="shared" si="145"/>
        <v>#N/A</v>
      </c>
      <c r="AJ2101" s="351" t="e">
        <f t="shared" si="146"/>
        <v>#N/A</v>
      </c>
      <c r="AK2101" s="351" t="e">
        <f t="shared" si="147"/>
        <v>#N/A</v>
      </c>
      <c r="AL2101" s="352" t="e">
        <f>VLOOKUP(D2101,'INTEGRATION PAR CLIENT '!A1497:J1525,10,0)</f>
        <v>#N/A</v>
      </c>
      <c r="AM2101" s="352" t="e">
        <f>VLOOKUP(D2101,'INTEGRATION PAR CLIENT '!A1497:L1525,12,0)</f>
        <v>#N/A</v>
      </c>
      <c r="AN2101" s="352" t="e">
        <f>+VLOOKUP(D2101,'INTEGRATION PAR CLIENT '!A1497:N1525,14,0)</f>
        <v>#N/A</v>
      </c>
      <c r="AO2101" s="352" t="e">
        <f>+VLOOKUP(D2101,'INTEGRATION PAR CLIENT '!A1497:P1525,16,0)</f>
        <v>#N/A</v>
      </c>
    </row>
    <row r="2102" spans="1:41">
      <c r="A2102" s="342" t="s">
        <v>234</v>
      </c>
      <c r="B2102" s="277" t="str">
        <f t="shared" si="134"/>
        <v>222</v>
      </c>
      <c r="C2102" s="277">
        <v>0</v>
      </c>
      <c r="D2102" s="343" t="str">
        <f>'2025'!D223</f>
        <v>FAE-25-00222</v>
      </c>
      <c r="E2102" s="277" t="str">
        <f t="shared" si="135"/>
        <v>222</v>
      </c>
      <c r="F2102" s="618">
        <f>+'2025'!G223</f>
        <v>45874</v>
      </c>
      <c r="G2102" s="619">
        <f t="shared" si="136"/>
        <v>2025</v>
      </c>
      <c r="H2102" s="383" t="s">
        <v>17017</v>
      </c>
      <c r="I2102" s="277" t="str">
        <f>+VLOOKUP(H2102,Sheet1!A:C,3,0)</f>
        <v>ARCADIA</v>
      </c>
      <c r="J2102" s="277" t="str">
        <f>+VLOOKUP(H2102,Sheet1!A:D,4,0)</f>
        <v>TND</v>
      </c>
      <c r="K2102" s="278">
        <f t="shared" si="137"/>
        <v>45100</v>
      </c>
      <c r="L2102" s="383">
        <v>1</v>
      </c>
      <c r="M2102" s="384">
        <v>45100</v>
      </c>
      <c r="N2102" s="277" t="str">
        <f>+VLOOKUP(E2102,'2025'!E:F,2,0)</f>
        <v>OUI</v>
      </c>
      <c r="O2102" s="277" t="str">
        <f>VLOOKUP(E2102,'2025'!E:N,10,0)</f>
        <v>Lithuanie</v>
      </c>
      <c r="P2102" s="890">
        <f>VLOOKUP(E2102,'2025'!E:O,11,0)</f>
        <v>45889</v>
      </c>
      <c r="Q2102" s="347">
        <f>VLOOKUP(E2102,'2025'!E:H,4,0)</f>
        <v>0</v>
      </c>
      <c r="R2102" s="347">
        <f>VLOOKUP(E2102,'2025'!E:I,5,0)</f>
        <v>20500</v>
      </c>
      <c r="S2102" s="347">
        <f>VLOOKUP(E2102,'2025'!E:J,6,0)</f>
        <v>0</v>
      </c>
      <c r="T2102" s="347">
        <f>VLOOKUP(E2102,'2025'!E:K,7,0)</f>
        <v>0</v>
      </c>
      <c r="U2102" s="347">
        <f t="shared" si="138"/>
        <v>20500</v>
      </c>
      <c r="V2102" s="348"/>
      <c r="W2102" s="349" t="e">
        <f>+VLOOKUP(D2102,'JOURNAL FACTURES'!A:O,15,0)</f>
        <v>#N/A</v>
      </c>
      <c r="X2102" s="349" t="e">
        <f>VLOOKUP(D2102,'JOURNAL FACTURES'!A:P,16,0)</f>
        <v>#N/A</v>
      </c>
      <c r="Y2102" s="349" t="e">
        <f>VLOOKUP(D2102,'JOURNAL FACTURES'!A:Q,17,0)</f>
        <v>#N/A</v>
      </c>
      <c r="Z2102" s="349" t="e">
        <f>VLOOKUP(D2102,'JOURNAL FACTURES'!A:R,18,0)</f>
        <v>#N/A</v>
      </c>
      <c r="AA2102" s="350" t="e">
        <f t="shared" si="139"/>
        <v>#N/A</v>
      </c>
      <c r="AB2102" s="350" t="e">
        <f t="shared" si="140"/>
        <v>#N/A</v>
      </c>
      <c r="AC2102" s="350" t="e">
        <f t="shared" si="141"/>
        <v>#N/A</v>
      </c>
      <c r="AD2102" s="350" t="e">
        <f t="shared" si="142"/>
        <v>#N/A</v>
      </c>
      <c r="AE2102" s="349" t="e">
        <f>VLOOKUP(D2102,TRANSPORT!H:J,3,0)</f>
        <v>#N/A</v>
      </c>
      <c r="AF2102" s="349" t="e">
        <f>+VLOOKUP(D2102,TRANSPORT!N:O,2,0)</f>
        <v>#N/A</v>
      </c>
      <c r="AG2102" s="349" t="e">
        <f t="shared" si="143"/>
        <v>#N/A</v>
      </c>
      <c r="AH2102" s="351" t="e">
        <f t="shared" si="144"/>
        <v>#N/A</v>
      </c>
      <c r="AI2102" s="351" t="e">
        <f t="shared" si="145"/>
        <v>#N/A</v>
      </c>
      <c r="AJ2102" s="351" t="e">
        <f t="shared" si="146"/>
        <v>#N/A</v>
      </c>
      <c r="AK2102" s="351" t="e">
        <f t="shared" si="147"/>
        <v>#N/A</v>
      </c>
      <c r="AL2102" s="352" t="e">
        <f>VLOOKUP(D2102,'INTEGRATION PAR CLIENT '!A1498:J1526,10,0)</f>
        <v>#N/A</v>
      </c>
      <c r="AM2102" s="352" t="e">
        <f>VLOOKUP(D2102,'INTEGRATION PAR CLIENT '!A1498:L1526,12,0)</f>
        <v>#N/A</v>
      </c>
      <c r="AN2102" s="352" t="e">
        <f>+VLOOKUP(D2102,'INTEGRATION PAR CLIENT '!A1498:N1526,14,0)</f>
        <v>#N/A</v>
      </c>
      <c r="AO2102" s="352" t="e">
        <f>+VLOOKUP(D2102,'INTEGRATION PAR CLIENT '!A1498:P1526,16,0)</f>
        <v>#N/A</v>
      </c>
    </row>
    <row r="2103" spans="1:41" ht="12">
      <c r="A2103" s="342" t="s">
        <v>235</v>
      </c>
      <c r="B2103" s="277" t="str">
        <f t="shared" ref="B2103:B2122" si="148">+RIGHT(D2103,3)</f>
        <v>223</v>
      </c>
      <c r="C2103" s="277">
        <v>0</v>
      </c>
      <c r="D2103" s="343" t="str">
        <f>'2025'!D224</f>
        <v>FAE-25-00223</v>
      </c>
      <c r="E2103" s="277" t="str">
        <f t="shared" ref="E2103:E2122" si="149">RIGHT(D2103,3)</f>
        <v>223</v>
      </c>
      <c r="F2103" s="618">
        <f>+'2025'!G224</f>
        <v>45874</v>
      </c>
      <c r="G2103" s="619">
        <f t="shared" ref="G2103:G2122" si="150">+YEAR(F2103)</f>
        <v>2025</v>
      </c>
      <c r="H2103" s="383" t="s">
        <v>16957</v>
      </c>
      <c r="I2103" s="277" t="str">
        <f>+VLOOKUP(H2103,Sheet1!A:C,3,0)</f>
        <v>ANGSTREM TRADING</v>
      </c>
      <c r="J2103" s="277" t="str">
        <f>+VLOOKUP(H2103,Sheet1!A:D,4,0)</f>
        <v>USD</v>
      </c>
      <c r="K2103" s="278">
        <f t="shared" ref="K2103:K2122" si="151">+L2103*M2103</f>
        <v>49017.837049999995</v>
      </c>
      <c r="L2103" s="383">
        <v>2.9308999999999998</v>
      </c>
      <c r="M2103" s="384">
        <v>16724.5</v>
      </c>
      <c r="N2103" s="277" t="str">
        <f>+VLOOKUP(E2103,'2025'!E:F,2,0)</f>
        <v>OUI</v>
      </c>
      <c r="O2103" s="277" t="str">
        <f>VLOOKUP(E2103,'2025'!E:N,10,0)</f>
        <v>Russie</v>
      </c>
      <c r="P2103" s="890">
        <f>VLOOKUP(E2103,'2025'!E:O,11,0)</f>
        <v>45883</v>
      </c>
      <c r="Q2103" s="347">
        <f>VLOOKUP(E2103,'2025'!E:H,4,0)</f>
        <v>20150</v>
      </c>
      <c r="R2103" s="347">
        <f>VLOOKUP(E2103,'2025'!E:I,5,0)</f>
        <v>0</v>
      </c>
      <c r="S2103" s="347">
        <f>VLOOKUP(E2103,'2025'!E:J,6,0)</f>
        <v>0</v>
      </c>
      <c r="T2103" s="347">
        <f>VLOOKUP(E2103,'2025'!E:K,7,0)</f>
        <v>0</v>
      </c>
      <c r="U2103" s="347">
        <f t="shared" ref="U2103:U2122" si="152">SUM(Q2103:T2103)</f>
        <v>20150</v>
      </c>
      <c r="V2103" s="348"/>
      <c r="W2103" s="349" t="e">
        <f>+VLOOKUP(D2103,'JOURNAL FACTURES'!A:O,15,0)</f>
        <v>#N/A</v>
      </c>
      <c r="X2103" s="349" t="e">
        <f>VLOOKUP(D2103,'JOURNAL FACTURES'!A:P,16,0)</f>
        <v>#N/A</v>
      </c>
      <c r="Y2103" s="349" t="e">
        <f>VLOOKUP(D2103,'JOURNAL FACTURES'!A:Q,17,0)</f>
        <v>#N/A</v>
      </c>
      <c r="Z2103" s="349" t="e">
        <f>VLOOKUP(D2103,'JOURNAL FACTURES'!A:R,18,0)</f>
        <v>#N/A</v>
      </c>
      <c r="AA2103" s="350" t="e">
        <f t="shared" ref="AA2103:AA2122" si="153">+W2103/Q2103</f>
        <v>#N/A</v>
      </c>
      <c r="AB2103" s="350" t="e">
        <f t="shared" ref="AB2103:AB2122" si="154">+X2103/R2103</f>
        <v>#N/A</v>
      </c>
      <c r="AC2103" s="350" t="e">
        <f t="shared" ref="AC2103:AC2122" si="155">+Y2103/S2103</f>
        <v>#N/A</v>
      </c>
      <c r="AD2103" s="350" t="e">
        <f t="shared" ref="AD2103:AD2122" si="156">Z2103/T2103</f>
        <v>#N/A</v>
      </c>
      <c r="AE2103" s="349" t="e">
        <f>VLOOKUP(D2103,TRANSPORT!H:J,3,0)</f>
        <v>#N/A</v>
      </c>
      <c r="AF2103" s="349" t="e">
        <f>+VLOOKUP(D2103,TRANSPORT!N:O,2,0)</f>
        <v>#N/A</v>
      </c>
      <c r="AG2103" s="349" t="e">
        <f t="shared" ref="AG2103:AG2122" si="157">AF2103/U2103</f>
        <v>#N/A</v>
      </c>
      <c r="AH2103" s="351" t="e">
        <f t="shared" ref="AH2103:AH2122" si="158">AA2103-AG2103</f>
        <v>#N/A</v>
      </c>
      <c r="AI2103" s="351" t="e">
        <f t="shared" ref="AI2103:AI2122" si="159">AB2103-AG2103</f>
        <v>#N/A</v>
      </c>
      <c r="AJ2103" s="351" t="e">
        <f t="shared" ref="AJ2103:AJ2122" si="160">AC2103-AG2103</f>
        <v>#N/A</v>
      </c>
      <c r="AK2103" s="351" t="e">
        <f t="shared" ref="AK2103:AK2122" si="161">AD2103-AG2103</f>
        <v>#N/A</v>
      </c>
      <c r="AL2103" s="352" t="e">
        <f>VLOOKUP(D2103,'INTEGRATION PAR CLIENT '!A1499:J1527,10,0)</f>
        <v>#N/A</v>
      </c>
      <c r="AM2103" s="352" t="e">
        <f>VLOOKUP(D2103,'INTEGRATION PAR CLIENT '!A1499:L1527,12,0)</f>
        <v>#N/A</v>
      </c>
      <c r="AN2103" s="352" t="e">
        <f>+VLOOKUP(D2103,'INTEGRATION PAR CLIENT '!A1499:N1527,14,0)</f>
        <v>#N/A</v>
      </c>
      <c r="AO2103" s="352" t="e">
        <f>+VLOOKUP(D2103,'INTEGRATION PAR CLIENT '!A1499:P1527,16,0)</f>
        <v>#N/A</v>
      </c>
    </row>
    <row r="2104" spans="1:41" ht="12">
      <c r="A2104" s="342" t="s">
        <v>236</v>
      </c>
      <c r="B2104" s="277" t="str">
        <f t="shared" si="148"/>
        <v>224</v>
      </c>
      <c r="C2104" s="277">
        <v>0</v>
      </c>
      <c r="D2104" s="343" t="str">
        <f>'2025'!D225</f>
        <v>FAE-25-00224</v>
      </c>
      <c r="E2104" s="277" t="str">
        <f t="shared" si="149"/>
        <v>224</v>
      </c>
      <c r="F2104" s="618">
        <f>+'2025'!G225</f>
        <v>45874</v>
      </c>
      <c r="G2104" s="619">
        <f t="shared" si="150"/>
        <v>2025</v>
      </c>
      <c r="H2104" s="383" t="s">
        <v>16384</v>
      </c>
      <c r="I2104" s="277" t="str">
        <f>+VLOOKUP(H2104,Sheet1!A:C,3,0)</f>
        <v>STE DE COMMERCE INTERNATIONAL</v>
      </c>
      <c r="J2104" s="277" t="str">
        <f>+VLOOKUP(H2104,Sheet1!A:D,4,0)</f>
        <v>TND</v>
      </c>
      <c r="K2104" s="278">
        <f t="shared" si="151"/>
        <v>586646.96</v>
      </c>
      <c r="L2104" s="383">
        <v>1</v>
      </c>
      <c r="M2104" s="384">
        <v>586646.96</v>
      </c>
      <c r="N2104" s="277" t="str">
        <f>+VLOOKUP(E2104,'2025'!E:F,2,0)</f>
        <v>OUI</v>
      </c>
      <c r="O2104" s="277" t="str">
        <f>VLOOKUP(E2104,'2025'!E:N,10,0)</f>
        <v>Sierra Leone</v>
      </c>
      <c r="P2104" s="890">
        <f>VLOOKUP(E2104,'2025'!E:O,11,0)</f>
        <v>45891</v>
      </c>
      <c r="Q2104" s="347">
        <f>VLOOKUP(E2104,'2025'!E:H,4,0)</f>
        <v>262022</v>
      </c>
      <c r="R2104" s="347">
        <f>VLOOKUP(E2104,'2025'!E:I,5,0)</f>
        <v>16320</v>
      </c>
      <c r="S2104" s="347">
        <f>VLOOKUP(E2104,'2025'!E:J,6,0)</f>
        <v>0</v>
      </c>
      <c r="T2104" s="347">
        <f>VLOOKUP(E2104,'2025'!E:K,7,0)</f>
        <v>0</v>
      </c>
      <c r="U2104" s="347">
        <f t="shared" si="152"/>
        <v>278342</v>
      </c>
      <c r="V2104" s="348"/>
      <c r="W2104" s="349" t="e">
        <f>+VLOOKUP(D2104,'JOURNAL FACTURES'!A:O,15,0)</f>
        <v>#N/A</v>
      </c>
      <c r="X2104" s="349" t="e">
        <f>VLOOKUP(D2104,'JOURNAL FACTURES'!A:P,16,0)</f>
        <v>#N/A</v>
      </c>
      <c r="Y2104" s="349" t="e">
        <f>VLOOKUP(D2104,'JOURNAL FACTURES'!A:Q,17,0)</f>
        <v>#N/A</v>
      </c>
      <c r="Z2104" s="349" t="e">
        <f>VLOOKUP(D2104,'JOURNAL FACTURES'!A:R,18,0)</f>
        <v>#N/A</v>
      </c>
      <c r="AA2104" s="350" t="e">
        <f t="shared" si="153"/>
        <v>#N/A</v>
      </c>
      <c r="AB2104" s="350" t="e">
        <f t="shared" si="154"/>
        <v>#N/A</v>
      </c>
      <c r="AC2104" s="350" t="e">
        <f t="shared" si="155"/>
        <v>#N/A</v>
      </c>
      <c r="AD2104" s="350" t="e">
        <f t="shared" si="156"/>
        <v>#N/A</v>
      </c>
      <c r="AE2104" s="349" t="e">
        <f>VLOOKUP(D2104,TRANSPORT!H:J,3,0)</f>
        <v>#N/A</v>
      </c>
      <c r="AF2104" s="349" t="e">
        <f>+VLOOKUP(D2104,TRANSPORT!N:O,2,0)</f>
        <v>#N/A</v>
      </c>
      <c r="AG2104" s="349" t="e">
        <f t="shared" si="157"/>
        <v>#N/A</v>
      </c>
      <c r="AH2104" s="351" t="e">
        <f t="shared" si="158"/>
        <v>#N/A</v>
      </c>
      <c r="AI2104" s="351" t="e">
        <f t="shared" si="159"/>
        <v>#N/A</v>
      </c>
      <c r="AJ2104" s="351" t="e">
        <f t="shared" si="160"/>
        <v>#N/A</v>
      </c>
      <c r="AK2104" s="351" t="e">
        <f t="shared" si="161"/>
        <v>#N/A</v>
      </c>
      <c r="AL2104" s="352" t="e">
        <f>VLOOKUP(D2104,'INTEGRATION PAR CLIENT '!A1500:J1528,10,0)</f>
        <v>#N/A</v>
      </c>
      <c r="AM2104" s="352" t="e">
        <f>VLOOKUP(D2104,'INTEGRATION PAR CLIENT '!A1500:L1528,12,0)</f>
        <v>#N/A</v>
      </c>
      <c r="AN2104" s="352" t="e">
        <f>+VLOOKUP(D2104,'INTEGRATION PAR CLIENT '!A1500:N1528,14,0)</f>
        <v>#N/A</v>
      </c>
      <c r="AO2104" s="352" t="e">
        <f>+VLOOKUP(D2104,'INTEGRATION PAR CLIENT '!A1500:P1528,16,0)</f>
        <v>#N/A</v>
      </c>
    </row>
    <row r="2105" spans="1:41" ht="12">
      <c r="A2105" s="342" t="s">
        <v>237</v>
      </c>
      <c r="B2105" s="277" t="str">
        <f t="shared" si="148"/>
        <v>225</v>
      </c>
      <c r="C2105" s="277">
        <v>0</v>
      </c>
      <c r="D2105" s="343" t="str">
        <f>'2025'!D226</f>
        <v>FAE-25-00225</v>
      </c>
      <c r="E2105" s="277" t="str">
        <f t="shared" si="149"/>
        <v>225</v>
      </c>
      <c r="F2105" s="618">
        <f>+'2025'!G226</f>
        <v>45874</v>
      </c>
      <c r="G2105" s="619">
        <f t="shared" si="150"/>
        <v>2025</v>
      </c>
      <c r="H2105" s="383" t="s">
        <v>17209</v>
      </c>
      <c r="I2105" s="277" t="str">
        <f>+VLOOKUP(H2105,Sheet1!A:C,3,0)</f>
        <v>ABOURA FOODS</v>
      </c>
      <c r="J2105" s="277" t="str">
        <f>+VLOOKUP(H2105,Sheet1!A:D,4,0)</f>
        <v>USD</v>
      </c>
      <c r="K2105" s="278">
        <f t="shared" si="151"/>
        <v>71936.003700000001</v>
      </c>
      <c r="L2105" s="383">
        <v>2.9205000000000001</v>
      </c>
      <c r="M2105" s="384">
        <v>24631.4</v>
      </c>
      <c r="N2105" s="277" t="str">
        <f>+VLOOKUP(E2105,'2025'!E:F,2,0)</f>
        <v>OUI</v>
      </c>
      <c r="O2105" s="277" t="str">
        <f>VLOOKUP(E2105,'2025'!E:N,10,0)</f>
        <v>Jordanie</v>
      </c>
      <c r="P2105" s="890">
        <f>VLOOKUP(E2105,'2025'!E:O,11,0)</f>
        <v>45902</v>
      </c>
      <c r="Q2105" s="347">
        <f>VLOOKUP(E2105,'2025'!E:H,4,0)</f>
        <v>0</v>
      </c>
      <c r="R2105" s="347">
        <f>VLOOKUP(E2105,'2025'!E:I,5,0)</f>
        <v>15360</v>
      </c>
      <c r="S2105" s="347">
        <f>VLOOKUP(E2105,'2025'!E:J,6,0)</f>
        <v>3840</v>
      </c>
      <c r="T2105" s="347">
        <f>VLOOKUP(E2105,'2025'!E:K,7,0)</f>
        <v>4000</v>
      </c>
      <c r="U2105" s="347">
        <f t="shared" si="152"/>
        <v>23200</v>
      </c>
      <c r="V2105" s="348"/>
      <c r="W2105" s="349" t="e">
        <f>+VLOOKUP(D2105,'JOURNAL FACTURES'!A:O,15,0)</f>
        <v>#N/A</v>
      </c>
      <c r="X2105" s="349" t="e">
        <f>VLOOKUP(D2105,'JOURNAL FACTURES'!A:P,16,0)</f>
        <v>#N/A</v>
      </c>
      <c r="Y2105" s="349" t="e">
        <f>VLOOKUP(D2105,'JOURNAL FACTURES'!A:Q,17,0)</f>
        <v>#N/A</v>
      </c>
      <c r="Z2105" s="349" t="e">
        <f>VLOOKUP(D2105,'JOURNAL FACTURES'!A:R,18,0)</f>
        <v>#N/A</v>
      </c>
      <c r="AA2105" s="350" t="e">
        <f t="shared" si="153"/>
        <v>#N/A</v>
      </c>
      <c r="AB2105" s="350" t="e">
        <f t="shared" si="154"/>
        <v>#N/A</v>
      </c>
      <c r="AC2105" s="350" t="e">
        <f t="shared" si="155"/>
        <v>#N/A</v>
      </c>
      <c r="AD2105" s="350" t="e">
        <f t="shared" si="156"/>
        <v>#N/A</v>
      </c>
      <c r="AE2105" s="349" t="e">
        <f>VLOOKUP(D2105,TRANSPORT!H:J,3,0)</f>
        <v>#N/A</v>
      </c>
      <c r="AF2105" s="349" t="e">
        <f>+VLOOKUP(D2105,TRANSPORT!N:O,2,0)</f>
        <v>#N/A</v>
      </c>
      <c r="AG2105" s="349" t="e">
        <f t="shared" si="157"/>
        <v>#N/A</v>
      </c>
      <c r="AH2105" s="351" t="e">
        <f t="shared" si="158"/>
        <v>#N/A</v>
      </c>
      <c r="AI2105" s="351" t="e">
        <f t="shared" si="159"/>
        <v>#N/A</v>
      </c>
      <c r="AJ2105" s="351" t="e">
        <f t="shared" si="160"/>
        <v>#N/A</v>
      </c>
      <c r="AK2105" s="351" t="e">
        <f t="shared" si="161"/>
        <v>#N/A</v>
      </c>
      <c r="AL2105" s="352" t="e">
        <f>VLOOKUP(D2105,'INTEGRATION PAR CLIENT '!A1501:J1529,10,0)</f>
        <v>#N/A</v>
      </c>
      <c r="AM2105" s="352" t="e">
        <f>VLOOKUP(D2105,'INTEGRATION PAR CLIENT '!A1501:L1529,12,0)</f>
        <v>#N/A</v>
      </c>
      <c r="AN2105" s="352" t="e">
        <f>+VLOOKUP(D2105,'INTEGRATION PAR CLIENT '!A1501:N1529,14,0)</f>
        <v>#N/A</v>
      </c>
      <c r="AO2105" s="352" t="e">
        <f>+VLOOKUP(D2105,'INTEGRATION PAR CLIENT '!A1501:P1529,16,0)</f>
        <v>#N/A</v>
      </c>
    </row>
    <row r="2106" spans="1:41" ht="12">
      <c r="A2106" s="342" t="s">
        <v>238</v>
      </c>
      <c r="B2106" s="277" t="str">
        <f t="shared" si="148"/>
        <v>226</v>
      </c>
      <c r="C2106" s="277">
        <v>0</v>
      </c>
      <c r="D2106" s="343" t="str">
        <f>'2025'!D227</f>
        <v>FAE-25-00226</v>
      </c>
      <c r="E2106" s="277" t="str">
        <f t="shared" si="149"/>
        <v>226</v>
      </c>
      <c r="F2106" s="618">
        <f>+'2025'!G227</f>
        <v>45875</v>
      </c>
      <c r="G2106" s="619">
        <f t="shared" si="150"/>
        <v>2025</v>
      </c>
      <c r="H2106" s="383" t="s">
        <v>17384</v>
      </c>
      <c r="I2106" s="277" t="str">
        <f>+VLOOKUP(H2106,Sheet1!A:C,3,0)</f>
        <v>RIVEXIA</v>
      </c>
      <c r="J2106" s="277" t="str">
        <f>+VLOOKUP(H2106,Sheet1!A:D,4,0)</f>
        <v>TND</v>
      </c>
      <c r="K2106" s="278">
        <f t="shared" si="151"/>
        <v>41340</v>
      </c>
      <c r="L2106" s="383">
        <v>1</v>
      </c>
      <c r="M2106" s="384">
        <v>41340</v>
      </c>
      <c r="N2106" s="277" t="str">
        <f>+VLOOKUP(E2106,'2025'!E:F,2,0)</f>
        <v>OUI</v>
      </c>
      <c r="O2106" s="277" t="str">
        <f>VLOOKUP(E2106,'2025'!E:N,10,0)</f>
        <v>Gabon</v>
      </c>
      <c r="P2106" s="890">
        <f>VLOOKUP(E2106,'2025'!E:O,11,0)</f>
        <v>45897</v>
      </c>
      <c r="Q2106" s="347">
        <f>VLOOKUP(E2106,'2025'!E:H,4,0)</f>
        <v>0</v>
      </c>
      <c r="R2106" s="347">
        <f>VLOOKUP(E2106,'2025'!E:I,5,0)</f>
        <v>0</v>
      </c>
      <c r="S2106" s="347">
        <f>VLOOKUP(E2106,'2025'!E:J,6,0)</f>
        <v>26000</v>
      </c>
      <c r="T2106" s="347">
        <f>VLOOKUP(E2106,'2025'!E:K,7,0)</f>
        <v>0</v>
      </c>
      <c r="U2106" s="347">
        <f t="shared" si="152"/>
        <v>26000</v>
      </c>
      <c r="V2106" s="348"/>
      <c r="W2106" s="349" t="e">
        <f>+VLOOKUP(D2106,'JOURNAL FACTURES'!A:O,15,0)</f>
        <v>#N/A</v>
      </c>
      <c r="X2106" s="349" t="e">
        <f>VLOOKUP(D2106,'JOURNAL FACTURES'!A:P,16,0)</f>
        <v>#N/A</v>
      </c>
      <c r="Y2106" s="349" t="e">
        <f>VLOOKUP(D2106,'JOURNAL FACTURES'!A:Q,17,0)</f>
        <v>#N/A</v>
      </c>
      <c r="Z2106" s="349" t="e">
        <f>VLOOKUP(D2106,'JOURNAL FACTURES'!A:R,18,0)</f>
        <v>#N/A</v>
      </c>
      <c r="AA2106" s="350" t="e">
        <f t="shared" si="153"/>
        <v>#N/A</v>
      </c>
      <c r="AB2106" s="350" t="e">
        <f t="shared" si="154"/>
        <v>#N/A</v>
      </c>
      <c r="AC2106" s="350" t="e">
        <f t="shared" si="155"/>
        <v>#N/A</v>
      </c>
      <c r="AD2106" s="350" t="e">
        <f t="shared" si="156"/>
        <v>#N/A</v>
      </c>
      <c r="AE2106" s="349" t="e">
        <f>VLOOKUP(D2106,TRANSPORT!H:J,3,0)</f>
        <v>#N/A</v>
      </c>
      <c r="AF2106" s="349" t="e">
        <f>+VLOOKUP(D2106,TRANSPORT!N:O,2,0)</f>
        <v>#N/A</v>
      </c>
      <c r="AG2106" s="349" t="e">
        <f t="shared" si="157"/>
        <v>#N/A</v>
      </c>
      <c r="AH2106" s="351" t="e">
        <f t="shared" si="158"/>
        <v>#N/A</v>
      </c>
      <c r="AI2106" s="351" t="e">
        <f t="shared" si="159"/>
        <v>#N/A</v>
      </c>
      <c r="AJ2106" s="351" t="e">
        <f t="shared" si="160"/>
        <v>#N/A</v>
      </c>
      <c r="AK2106" s="351" t="e">
        <f t="shared" si="161"/>
        <v>#N/A</v>
      </c>
      <c r="AL2106" s="352" t="e">
        <f>VLOOKUP(D2106,'INTEGRATION PAR CLIENT '!A1502:J1530,10,0)</f>
        <v>#N/A</v>
      </c>
      <c r="AM2106" s="352" t="e">
        <f>VLOOKUP(D2106,'INTEGRATION PAR CLIENT '!A1502:L1530,12,0)</f>
        <v>#N/A</v>
      </c>
      <c r="AN2106" s="352" t="e">
        <f>+VLOOKUP(D2106,'INTEGRATION PAR CLIENT '!A1502:N1530,14,0)</f>
        <v>#N/A</v>
      </c>
      <c r="AO2106" s="352" t="e">
        <f>+VLOOKUP(D2106,'INTEGRATION PAR CLIENT '!A1502:P1530,16,0)</f>
        <v>#N/A</v>
      </c>
    </row>
    <row r="2107" spans="1:41" ht="12">
      <c r="A2107" s="342" t="s">
        <v>239</v>
      </c>
      <c r="B2107" s="277" t="str">
        <f t="shared" si="148"/>
        <v>227</v>
      </c>
      <c r="C2107" s="277">
        <v>0</v>
      </c>
      <c r="D2107" s="343" t="str">
        <f>'2025'!D228</f>
        <v>FAE-25-00227</v>
      </c>
      <c r="E2107" s="277" t="str">
        <f t="shared" si="149"/>
        <v>227</v>
      </c>
      <c r="F2107" s="618">
        <f>+'2025'!G228</f>
        <v>45876</v>
      </c>
      <c r="G2107" s="619">
        <f t="shared" si="150"/>
        <v>2025</v>
      </c>
      <c r="H2107" s="383" t="s">
        <v>16384</v>
      </c>
      <c r="I2107" s="277" t="str">
        <f>+VLOOKUP(H2107,Sheet1!A:C,3,0)</f>
        <v>STE DE COMMERCE INTERNATIONAL</v>
      </c>
      <c r="J2107" s="277" t="str">
        <f>+VLOOKUP(H2107,Sheet1!A:D,4,0)</f>
        <v>TND</v>
      </c>
      <c r="K2107" s="278">
        <f t="shared" si="151"/>
        <v>76916.88</v>
      </c>
      <c r="L2107" s="383">
        <v>1</v>
      </c>
      <c r="M2107" s="384">
        <v>76916.88</v>
      </c>
      <c r="N2107" s="277" t="str">
        <f>+VLOOKUP(E2107,'2025'!E:F,2,0)</f>
        <v>OUI</v>
      </c>
      <c r="O2107" s="277" t="str">
        <f>VLOOKUP(E2107,'2025'!E:N,10,0)</f>
        <v>Gabon</v>
      </c>
      <c r="P2107" s="890">
        <f>VLOOKUP(E2107,'2025'!E:O,11,0)</f>
        <v>45887</v>
      </c>
      <c r="Q2107" s="347">
        <f>VLOOKUP(E2107,'2025'!E:H,4,0)</f>
        <v>0</v>
      </c>
      <c r="R2107" s="347">
        <f>VLOOKUP(E2107,'2025'!E:I,5,0)</f>
        <v>42624</v>
      </c>
      <c r="S2107" s="347">
        <f>VLOOKUP(E2107,'2025'!E:J,6,0)</f>
        <v>0</v>
      </c>
      <c r="T2107" s="347">
        <f>VLOOKUP(E2107,'2025'!E:K,7,0)</f>
        <v>0</v>
      </c>
      <c r="U2107" s="347">
        <f t="shared" si="152"/>
        <v>42624</v>
      </c>
      <c r="V2107" s="348"/>
      <c r="W2107" s="349" t="e">
        <f>+VLOOKUP(D2107,'JOURNAL FACTURES'!A:O,15,0)</f>
        <v>#N/A</v>
      </c>
      <c r="X2107" s="349" t="e">
        <f>VLOOKUP(D2107,'JOURNAL FACTURES'!A:P,16,0)</f>
        <v>#N/A</v>
      </c>
      <c r="Y2107" s="349" t="e">
        <f>VLOOKUP(D2107,'JOURNAL FACTURES'!A:Q,17,0)</f>
        <v>#N/A</v>
      </c>
      <c r="Z2107" s="349" t="e">
        <f>VLOOKUP(D2107,'JOURNAL FACTURES'!A:R,18,0)</f>
        <v>#N/A</v>
      </c>
      <c r="AA2107" s="350" t="e">
        <f t="shared" si="153"/>
        <v>#N/A</v>
      </c>
      <c r="AB2107" s="350" t="e">
        <f t="shared" si="154"/>
        <v>#N/A</v>
      </c>
      <c r="AC2107" s="350" t="e">
        <f t="shared" si="155"/>
        <v>#N/A</v>
      </c>
      <c r="AD2107" s="350" t="e">
        <f t="shared" si="156"/>
        <v>#N/A</v>
      </c>
      <c r="AE2107" s="349" t="e">
        <f>VLOOKUP(D2107,TRANSPORT!H:J,3,0)</f>
        <v>#N/A</v>
      </c>
      <c r="AF2107" s="349" t="e">
        <f>+VLOOKUP(D2107,TRANSPORT!N:O,2,0)</f>
        <v>#N/A</v>
      </c>
      <c r="AG2107" s="349" t="e">
        <f t="shared" si="157"/>
        <v>#N/A</v>
      </c>
      <c r="AH2107" s="351" t="e">
        <f t="shared" si="158"/>
        <v>#N/A</v>
      </c>
      <c r="AI2107" s="351" t="e">
        <f t="shared" si="159"/>
        <v>#N/A</v>
      </c>
      <c r="AJ2107" s="351" t="e">
        <f t="shared" si="160"/>
        <v>#N/A</v>
      </c>
      <c r="AK2107" s="351" t="e">
        <f t="shared" si="161"/>
        <v>#N/A</v>
      </c>
      <c r="AL2107" s="352" t="e">
        <f>VLOOKUP(D2107,'INTEGRATION PAR CLIENT '!A1503:J1531,10,0)</f>
        <v>#N/A</v>
      </c>
      <c r="AM2107" s="352" t="e">
        <f>VLOOKUP(D2107,'INTEGRATION PAR CLIENT '!A1503:L1531,12,0)</f>
        <v>#N/A</v>
      </c>
      <c r="AN2107" s="352" t="e">
        <f>+VLOOKUP(D2107,'INTEGRATION PAR CLIENT '!A1503:N1531,14,0)</f>
        <v>#N/A</v>
      </c>
      <c r="AO2107" s="352" t="e">
        <f>+VLOOKUP(D2107,'INTEGRATION PAR CLIENT '!A1503:P1531,16,0)</f>
        <v>#N/A</v>
      </c>
    </row>
    <row r="2108" spans="1:41" ht="12">
      <c r="A2108" s="342" t="s">
        <v>240</v>
      </c>
      <c r="B2108" s="277" t="str">
        <f t="shared" si="148"/>
        <v>228</v>
      </c>
      <c r="C2108" s="277">
        <v>0</v>
      </c>
      <c r="D2108" s="343" t="str">
        <f>'2025'!D229</f>
        <v>FAE-25-00228</v>
      </c>
      <c r="E2108" s="277" t="str">
        <f t="shared" si="149"/>
        <v>228</v>
      </c>
      <c r="F2108" s="618">
        <f>+'2025'!G229</f>
        <v>45877</v>
      </c>
      <c r="G2108" s="619">
        <f t="shared" si="150"/>
        <v>2025</v>
      </c>
      <c r="H2108" s="383" t="s">
        <v>17302</v>
      </c>
      <c r="I2108" s="277" t="str">
        <f>+VLOOKUP(H2108,Sheet1!A:C,3,0)</f>
        <v>FOODMED</v>
      </c>
      <c r="J2108" s="277" t="str">
        <f>+VLOOKUP(H2108,Sheet1!A:D,4,0)</f>
        <v>EUR</v>
      </c>
      <c r="K2108" s="278">
        <f t="shared" si="151"/>
        <v>46005.542064000001</v>
      </c>
      <c r="L2108" s="383">
        <v>3.41255</v>
      </c>
      <c r="M2108" s="384">
        <v>13481.28</v>
      </c>
      <c r="N2108" s="277" t="str">
        <f>+VLOOKUP(E2108,'2025'!E:F,2,0)</f>
        <v>OUI</v>
      </c>
      <c r="O2108" s="277" t="str">
        <f>VLOOKUP(E2108,'2025'!E:N,10,0)</f>
        <v>France</v>
      </c>
      <c r="P2108" s="890">
        <f>VLOOKUP(E2108,'2025'!E:O,11,0)</f>
        <v>45884</v>
      </c>
      <c r="Q2108" s="347">
        <f>VLOOKUP(E2108,'2025'!E:H,4,0)</f>
        <v>0</v>
      </c>
      <c r="R2108" s="347">
        <f>VLOOKUP(E2108,'2025'!E:I,5,0)</f>
        <v>37872</v>
      </c>
      <c r="S2108" s="347">
        <f>VLOOKUP(E2108,'2025'!E:J,6,0)</f>
        <v>8400</v>
      </c>
      <c r="T2108" s="347">
        <f>VLOOKUP(E2108,'2025'!E:K,7,0)</f>
        <v>0</v>
      </c>
      <c r="U2108" s="347">
        <f t="shared" si="152"/>
        <v>46272</v>
      </c>
      <c r="V2108" s="348"/>
      <c r="W2108" s="349" t="e">
        <f>+VLOOKUP(D2108,'JOURNAL FACTURES'!A:O,15,0)</f>
        <v>#N/A</v>
      </c>
      <c r="X2108" s="349" t="e">
        <f>VLOOKUP(D2108,'JOURNAL FACTURES'!A:P,16,0)</f>
        <v>#N/A</v>
      </c>
      <c r="Y2108" s="349" t="e">
        <f>VLOOKUP(D2108,'JOURNAL FACTURES'!A:Q,17,0)</f>
        <v>#N/A</v>
      </c>
      <c r="Z2108" s="349" t="e">
        <f>VLOOKUP(D2108,'JOURNAL FACTURES'!A:R,18,0)</f>
        <v>#N/A</v>
      </c>
      <c r="AA2108" s="350" t="e">
        <f t="shared" si="153"/>
        <v>#N/A</v>
      </c>
      <c r="AB2108" s="350" t="e">
        <f t="shared" si="154"/>
        <v>#N/A</v>
      </c>
      <c r="AC2108" s="350" t="e">
        <f t="shared" si="155"/>
        <v>#N/A</v>
      </c>
      <c r="AD2108" s="350" t="e">
        <f t="shared" si="156"/>
        <v>#N/A</v>
      </c>
      <c r="AE2108" s="349" t="e">
        <f>VLOOKUP(D2108,TRANSPORT!H:J,3,0)</f>
        <v>#N/A</v>
      </c>
      <c r="AF2108" s="349" t="e">
        <f>+VLOOKUP(D2108,TRANSPORT!N:O,2,0)</f>
        <v>#N/A</v>
      </c>
      <c r="AG2108" s="349" t="e">
        <f t="shared" si="157"/>
        <v>#N/A</v>
      </c>
      <c r="AH2108" s="351" t="e">
        <f t="shared" si="158"/>
        <v>#N/A</v>
      </c>
      <c r="AI2108" s="351" t="e">
        <f t="shared" si="159"/>
        <v>#N/A</v>
      </c>
      <c r="AJ2108" s="351" t="e">
        <f t="shared" si="160"/>
        <v>#N/A</v>
      </c>
      <c r="AK2108" s="351" t="e">
        <f t="shared" si="161"/>
        <v>#N/A</v>
      </c>
      <c r="AL2108" s="352" t="e">
        <f>VLOOKUP(D2108,'INTEGRATION PAR CLIENT '!A1504:J1532,10,0)</f>
        <v>#N/A</v>
      </c>
      <c r="AM2108" s="352" t="e">
        <f>VLOOKUP(D2108,'INTEGRATION PAR CLIENT '!A1504:L1532,12,0)</f>
        <v>#N/A</v>
      </c>
      <c r="AN2108" s="352" t="e">
        <f>+VLOOKUP(D2108,'INTEGRATION PAR CLIENT '!A1504:N1532,14,0)</f>
        <v>#N/A</v>
      </c>
      <c r="AO2108" s="352" t="e">
        <f>+VLOOKUP(D2108,'INTEGRATION PAR CLIENT '!A1504:P1532,16,0)</f>
        <v>#N/A</v>
      </c>
    </row>
    <row r="2109" spans="1:41" ht="12">
      <c r="A2109" s="342" t="s">
        <v>241</v>
      </c>
      <c r="B2109" s="277" t="str">
        <f t="shared" si="148"/>
        <v>229</v>
      </c>
      <c r="C2109" s="277">
        <v>0</v>
      </c>
      <c r="D2109" s="343" t="str">
        <f>'2025'!D230</f>
        <v>FAE-25-00229</v>
      </c>
      <c r="E2109" s="277" t="str">
        <f t="shared" si="149"/>
        <v>229</v>
      </c>
      <c r="F2109" s="618">
        <f>+'2025'!G230</f>
        <v>45883</v>
      </c>
      <c r="G2109" s="619">
        <f t="shared" si="150"/>
        <v>2025</v>
      </c>
      <c r="H2109" s="383" t="s">
        <v>16560</v>
      </c>
      <c r="I2109" s="277" t="str">
        <f>+VLOOKUP(H2109,Sheet1!A:C,3,0)</f>
        <v>ETS KASSO IMPORT EXPORT</v>
      </c>
      <c r="J2109" s="277" t="str">
        <f>+VLOOKUP(H2109,Sheet1!A:D,4,0)</f>
        <v>EUR</v>
      </c>
      <c r="K2109" s="278">
        <f t="shared" si="151"/>
        <v>236024.19769500001</v>
      </c>
      <c r="L2109" s="383">
        <v>3.41445</v>
      </c>
      <c r="M2109" s="384">
        <v>69125.100000000006</v>
      </c>
      <c r="N2109" s="277" t="str">
        <f>+VLOOKUP(E2109,'2025'!E:F,2,0)</f>
        <v>OUI</v>
      </c>
      <c r="O2109" s="277" t="str">
        <f>VLOOKUP(E2109,'2025'!E:N,10,0)</f>
        <v>Niger</v>
      </c>
      <c r="P2109" s="890">
        <f>VLOOKUP(E2109,'2025'!E:O,11,0)</f>
        <v>45887</v>
      </c>
      <c r="Q2109" s="347">
        <f>VLOOKUP(E2109,'2025'!E:H,4,0)</f>
        <v>0</v>
      </c>
      <c r="R2109" s="347">
        <f>VLOOKUP(E2109,'2025'!E:I,5,0)</f>
        <v>0</v>
      </c>
      <c r="S2109" s="347">
        <f>VLOOKUP(E2109,'2025'!E:J,6,0)</f>
        <v>137500</v>
      </c>
      <c r="T2109" s="347">
        <f>VLOOKUP(E2109,'2025'!E:K,7,0)</f>
        <v>0</v>
      </c>
      <c r="U2109" s="347">
        <f t="shared" si="152"/>
        <v>137500</v>
      </c>
      <c r="V2109" s="348"/>
      <c r="W2109" s="349" t="e">
        <f>+VLOOKUP(D2109,'JOURNAL FACTURES'!A:O,15,0)</f>
        <v>#N/A</v>
      </c>
      <c r="X2109" s="349" t="e">
        <f>VLOOKUP(D2109,'JOURNAL FACTURES'!A:P,16,0)</f>
        <v>#N/A</v>
      </c>
      <c r="Y2109" s="349" t="e">
        <f>VLOOKUP(D2109,'JOURNAL FACTURES'!A:Q,17,0)</f>
        <v>#N/A</v>
      </c>
      <c r="Z2109" s="349" t="e">
        <f>VLOOKUP(D2109,'JOURNAL FACTURES'!A:R,18,0)</f>
        <v>#N/A</v>
      </c>
      <c r="AA2109" s="350" t="e">
        <f t="shared" si="153"/>
        <v>#N/A</v>
      </c>
      <c r="AB2109" s="350" t="e">
        <f t="shared" si="154"/>
        <v>#N/A</v>
      </c>
      <c r="AC2109" s="350" t="e">
        <f t="shared" si="155"/>
        <v>#N/A</v>
      </c>
      <c r="AD2109" s="350" t="e">
        <f t="shared" si="156"/>
        <v>#N/A</v>
      </c>
      <c r="AE2109" s="349" t="e">
        <f>VLOOKUP(D2109,TRANSPORT!H:J,3,0)</f>
        <v>#N/A</v>
      </c>
      <c r="AF2109" s="349" t="e">
        <f>+VLOOKUP(D2109,TRANSPORT!N:O,2,0)</f>
        <v>#N/A</v>
      </c>
      <c r="AG2109" s="349" t="e">
        <f t="shared" si="157"/>
        <v>#N/A</v>
      </c>
      <c r="AH2109" s="351" t="e">
        <f t="shared" si="158"/>
        <v>#N/A</v>
      </c>
      <c r="AI2109" s="351" t="e">
        <f t="shared" si="159"/>
        <v>#N/A</v>
      </c>
      <c r="AJ2109" s="351" t="e">
        <f t="shared" si="160"/>
        <v>#N/A</v>
      </c>
      <c r="AK2109" s="351" t="e">
        <f t="shared" si="161"/>
        <v>#N/A</v>
      </c>
      <c r="AL2109" s="352" t="e">
        <f>VLOOKUP(D2109,'INTEGRATION PAR CLIENT '!A1505:J1533,10,0)</f>
        <v>#N/A</v>
      </c>
      <c r="AM2109" s="352" t="e">
        <f>VLOOKUP(D2109,'INTEGRATION PAR CLIENT '!A1505:L1533,12,0)</f>
        <v>#N/A</v>
      </c>
      <c r="AN2109" s="352" t="e">
        <f>+VLOOKUP(D2109,'INTEGRATION PAR CLIENT '!A1505:N1533,14,0)</f>
        <v>#N/A</v>
      </c>
      <c r="AO2109" s="352" t="e">
        <f>+VLOOKUP(D2109,'INTEGRATION PAR CLIENT '!A1505:P1533,16,0)</f>
        <v>#N/A</v>
      </c>
    </row>
    <row r="2110" spans="1:41" ht="12">
      <c r="A2110" s="342" t="s">
        <v>242</v>
      </c>
      <c r="B2110" s="277" t="str">
        <f t="shared" si="148"/>
        <v>230</v>
      </c>
      <c r="C2110" s="277">
        <v>0</v>
      </c>
      <c r="D2110" s="343" t="str">
        <f>'2025'!D231</f>
        <v>FAE-25-00230</v>
      </c>
      <c r="E2110" s="277" t="str">
        <f t="shared" si="149"/>
        <v>230</v>
      </c>
      <c r="F2110" s="618">
        <f>+'2025'!G231</f>
        <v>45883</v>
      </c>
      <c r="G2110" s="619">
        <f t="shared" si="150"/>
        <v>2025</v>
      </c>
      <c r="H2110" s="383" t="s">
        <v>16560</v>
      </c>
      <c r="I2110" s="277" t="str">
        <f>+VLOOKUP(H2110,Sheet1!A:C,3,0)</f>
        <v>ETS KASSO IMPORT EXPORT</v>
      </c>
      <c r="J2110" s="277" t="str">
        <f>+VLOOKUP(H2110,Sheet1!A:D,4,0)</f>
        <v>EUR</v>
      </c>
      <c r="K2110" s="278">
        <f t="shared" si="151"/>
        <v>235678.57219500002</v>
      </c>
      <c r="L2110" s="383">
        <v>3.4094500000000001</v>
      </c>
      <c r="M2110" s="384">
        <v>69125.100000000006</v>
      </c>
      <c r="N2110" s="277" t="str">
        <f>+VLOOKUP(E2110,'2025'!E:F,2,0)</f>
        <v>OUI</v>
      </c>
      <c r="O2110" s="277" t="str">
        <f>VLOOKUP(E2110,'2025'!E:N,10,0)</f>
        <v>Niger</v>
      </c>
      <c r="P2110" s="890">
        <f>VLOOKUP(E2110,'2025'!E:O,11,0)</f>
        <v>45894</v>
      </c>
      <c r="Q2110" s="347">
        <f>VLOOKUP(E2110,'2025'!E:H,4,0)</f>
        <v>0</v>
      </c>
      <c r="R2110" s="347">
        <f>VLOOKUP(E2110,'2025'!E:I,5,0)</f>
        <v>0</v>
      </c>
      <c r="S2110" s="347">
        <f>VLOOKUP(E2110,'2025'!E:J,6,0)</f>
        <v>137500</v>
      </c>
      <c r="T2110" s="347">
        <f>VLOOKUP(E2110,'2025'!E:K,7,0)</f>
        <v>0</v>
      </c>
      <c r="U2110" s="347">
        <f t="shared" si="152"/>
        <v>137500</v>
      </c>
      <c r="V2110" s="348"/>
      <c r="W2110" s="349" t="e">
        <f>+VLOOKUP(D2110,'JOURNAL FACTURES'!A:O,15,0)</f>
        <v>#N/A</v>
      </c>
      <c r="X2110" s="349" t="e">
        <f>VLOOKUP(D2110,'JOURNAL FACTURES'!A:P,16,0)</f>
        <v>#N/A</v>
      </c>
      <c r="Y2110" s="349" t="e">
        <f>VLOOKUP(D2110,'JOURNAL FACTURES'!A:Q,17,0)</f>
        <v>#N/A</v>
      </c>
      <c r="Z2110" s="349" t="e">
        <f>VLOOKUP(D2110,'JOURNAL FACTURES'!A:R,18,0)</f>
        <v>#N/A</v>
      </c>
      <c r="AA2110" s="350" t="e">
        <f t="shared" si="153"/>
        <v>#N/A</v>
      </c>
      <c r="AB2110" s="350" t="e">
        <f t="shared" si="154"/>
        <v>#N/A</v>
      </c>
      <c r="AC2110" s="350" t="e">
        <f t="shared" si="155"/>
        <v>#N/A</v>
      </c>
      <c r="AD2110" s="350" t="e">
        <f t="shared" si="156"/>
        <v>#N/A</v>
      </c>
      <c r="AE2110" s="349" t="e">
        <f>VLOOKUP(D2110,TRANSPORT!H:J,3,0)</f>
        <v>#N/A</v>
      </c>
      <c r="AF2110" s="349" t="e">
        <f>+VLOOKUP(D2110,TRANSPORT!N:O,2,0)</f>
        <v>#N/A</v>
      </c>
      <c r="AG2110" s="349" t="e">
        <f t="shared" si="157"/>
        <v>#N/A</v>
      </c>
      <c r="AH2110" s="351" t="e">
        <f t="shared" si="158"/>
        <v>#N/A</v>
      </c>
      <c r="AI2110" s="351" t="e">
        <f t="shared" si="159"/>
        <v>#N/A</v>
      </c>
      <c r="AJ2110" s="351" t="e">
        <f t="shared" si="160"/>
        <v>#N/A</v>
      </c>
      <c r="AK2110" s="351" t="e">
        <f t="shared" si="161"/>
        <v>#N/A</v>
      </c>
      <c r="AL2110" s="352" t="e">
        <f>VLOOKUP(D2110,'INTEGRATION PAR CLIENT '!A1506:J1534,10,0)</f>
        <v>#N/A</v>
      </c>
      <c r="AM2110" s="352" t="e">
        <f>VLOOKUP(D2110,'INTEGRATION PAR CLIENT '!A1506:L1534,12,0)</f>
        <v>#N/A</v>
      </c>
      <c r="AN2110" s="352" t="e">
        <f>+VLOOKUP(D2110,'INTEGRATION PAR CLIENT '!A1506:N1534,14,0)</f>
        <v>#N/A</v>
      </c>
      <c r="AO2110" s="352" t="e">
        <f>+VLOOKUP(D2110,'INTEGRATION PAR CLIENT '!A1506:P1534,16,0)</f>
        <v>#N/A</v>
      </c>
    </row>
    <row r="2111" spans="1:41" ht="12">
      <c r="A2111" s="342" t="s">
        <v>243</v>
      </c>
      <c r="B2111" s="277" t="str">
        <f t="shared" si="148"/>
        <v>231</v>
      </c>
      <c r="C2111" s="277">
        <v>0</v>
      </c>
      <c r="D2111" s="343" t="str">
        <f>'2025'!D232</f>
        <v>FAE-25-00231</v>
      </c>
      <c r="E2111" s="277" t="str">
        <f t="shared" si="149"/>
        <v>231</v>
      </c>
      <c r="F2111" s="618">
        <f>+'2025'!G232</f>
        <v>45883</v>
      </c>
      <c r="G2111" s="619">
        <f t="shared" si="150"/>
        <v>2025</v>
      </c>
      <c r="H2111" s="383" t="s">
        <v>16560</v>
      </c>
      <c r="I2111" s="277" t="str">
        <f>+VLOOKUP(H2111,Sheet1!A:C,3,0)</f>
        <v>ETS KASSO IMPORT EXPORT</v>
      </c>
      <c r="J2111" s="277" t="str">
        <f>+VLOOKUP(H2111,Sheet1!A:D,4,0)</f>
        <v>EUR</v>
      </c>
      <c r="K2111" s="278">
        <f t="shared" si="151"/>
        <v>235678.57219500002</v>
      </c>
      <c r="L2111" s="383">
        <v>3.4094500000000001</v>
      </c>
      <c r="M2111" s="384">
        <v>69125.100000000006</v>
      </c>
      <c r="N2111" s="277" t="str">
        <f>+VLOOKUP(E2111,'2025'!E:F,2,0)</f>
        <v>OUI</v>
      </c>
      <c r="O2111" s="277" t="str">
        <f>VLOOKUP(E2111,'2025'!E:N,10,0)</f>
        <v>Niger</v>
      </c>
      <c r="P2111" s="890">
        <f>VLOOKUP(E2111,'2025'!E:O,11,0)</f>
        <v>45894</v>
      </c>
      <c r="Q2111" s="347">
        <f>VLOOKUP(E2111,'2025'!E:H,4,0)</f>
        <v>0</v>
      </c>
      <c r="R2111" s="347">
        <f>VLOOKUP(E2111,'2025'!E:I,5,0)</f>
        <v>0</v>
      </c>
      <c r="S2111" s="347">
        <f>VLOOKUP(E2111,'2025'!E:J,6,0)</f>
        <v>137500</v>
      </c>
      <c r="T2111" s="347">
        <f>VLOOKUP(E2111,'2025'!E:K,7,0)</f>
        <v>0</v>
      </c>
      <c r="U2111" s="347">
        <f t="shared" si="152"/>
        <v>137500</v>
      </c>
      <c r="V2111" s="348"/>
      <c r="W2111" s="349" t="e">
        <f>+VLOOKUP(D2111,'JOURNAL FACTURES'!A:O,15,0)</f>
        <v>#N/A</v>
      </c>
      <c r="X2111" s="349" t="e">
        <f>VLOOKUP(D2111,'JOURNAL FACTURES'!A:P,16,0)</f>
        <v>#N/A</v>
      </c>
      <c r="Y2111" s="349" t="e">
        <f>VLOOKUP(D2111,'JOURNAL FACTURES'!A:Q,17,0)</f>
        <v>#N/A</v>
      </c>
      <c r="Z2111" s="349" t="e">
        <f>VLOOKUP(D2111,'JOURNAL FACTURES'!A:R,18,0)</f>
        <v>#N/A</v>
      </c>
      <c r="AA2111" s="350" t="e">
        <f t="shared" si="153"/>
        <v>#N/A</v>
      </c>
      <c r="AB2111" s="350" t="e">
        <f t="shared" si="154"/>
        <v>#N/A</v>
      </c>
      <c r="AC2111" s="350" t="e">
        <f t="shared" si="155"/>
        <v>#N/A</v>
      </c>
      <c r="AD2111" s="350" t="e">
        <f t="shared" si="156"/>
        <v>#N/A</v>
      </c>
      <c r="AE2111" s="349" t="e">
        <f>VLOOKUP(D2111,TRANSPORT!H:J,3,0)</f>
        <v>#N/A</v>
      </c>
      <c r="AF2111" s="349" t="e">
        <f>+VLOOKUP(D2111,TRANSPORT!N:O,2,0)</f>
        <v>#N/A</v>
      </c>
      <c r="AG2111" s="349" t="e">
        <f t="shared" si="157"/>
        <v>#N/A</v>
      </c>
      <c r="AH2111" s="351" t="e">
        <f t="shared" si="158"/>
        <v>#N/A</v>
      </c>
      <c r="AI2111" s="351" t="e">
        <f t="shared" si="159"/>
        <v>#N/A</v>
      </c>
      <c r="AJ2111" s="351" t="e">
        <f t="shared" si="160"/>
        <v>#N/A</v>
      </c>
      <c r="AK2111" s="351" t="e">
        <f t="shared" si="161"/>
        <v>#N/A</v>
      </c>
      <c r="AL2111" s="352" t="e">
        <f>VLOOKUP(D2111,'INTEGRATION PAR CLIENT '!A1507:J1535,10,0)</f>
        <v>#N/A</v>
      </c>
      <c r="AM2111" s="352" t="e">
        <f>VLOOKUP(D2111,'INTEGRATION PAR CLIENT '!A1507:L1535,12,0)</f>
        <v>#N/A</v>
      </c>
      <c r="AN2111" s="352" t="e">
        <f>+VLOOKUP(D2111,'INTEGRATION PAR CLIENT '!A1507:N1535,14,0)</f>
        <v>#N/A</v>
      </c>
      <c r="AO2111" s="352" t="e">
        <f>+VLOOKUP(D2111,'INTEGRATION PAR CLIENT '!A1507:P1535,16,0)</f>
        <v>#N/A</v>
      </c>
    </row>
    <row r="2112" spans="1:41" ht="12">
      <c r="A2112" s="342" t="s">
        <v>244</v>
      </c>
      <c r="B2112" s="277" t="str">
        <f t="shared" si="148"/>
        <v>232</v>
      </c>
      <c r="C2112" s="277">
        <v>0</v>
      </c>
      <c r="D2112" s="343" t="str">
        <f>'2025'!D233</f>
        <v>FAE-25-00232</v>
      </c>
      <c r="E2112" s="277" t="str">
        <f t="shared" si="149"/>
        <v>232</v>
      </c>
      <c r="F2112" s="618">
        <f>+'2025'!G233</f>
        <v>45883</v>
      </c>
      <c r="G2112" s="619">
        <f t="shared" si="150"/>
        <v>2025</v>
      </c>
      <c r="H2112" s="383" t="s">
        <v>16444</v>
      </c>
      <c r="I2112" s="277" t="str">
        <f>+VLOOKUP(H2112,Sheet1!A:C,3,0)</f>
        <v>SAHEL INTERNATIONAL TRADE</v>
      </c>
      <c r="J2112" s="277" t="str">
        <f>+VLOOKUP(H2112,Sheet1!A:D,4,0)</f>
        <v>TND</v>
      </c>
      <c r="K2112" s="278">
        <f t="shared" si="151"/>
        <v>77088</v>
      </c>
      <c r="L2112" s="383">
        <v>1</v>
      </c>
      <c r="M2112" s="384">
        <v>77088</v>
      </c>
      <c r="N2112" s="277" t="str">
        <f>+VLOOKUP(E2112,'2025'!E:F,2,0)</f>
        <v>OUI</v>
      </c>
      <c r="O2112" s="277" t="str">
        <f>VLOOKUP(E2112,'2025'!E:N,10,0)</f>
        <v>Burkina Faso</v>
      </c>
      <c r="P2112" s="890">
        <f>VLOOKUP(E2112,'2025'!E:O,11,0)</f>
        <v>45894</v>
      </c>
      <c r="Q2112" s="347">
        <f>VLOOKUP(E2112,'2025'!E:H,4,0)</f>
        <v>0</v>
      </c>
      <c r="R2112" s="347">
        <f>VLOOKUP(E2112,'2025'!E:I,5,0)</f>
        <v>43800</v>
      </c>
      <c r="S2112" s="347">
        <f>VLOOKUP(E2112,'2025'!E:J,6,0)</f>
        <v>0</v>
      </c>
      <c r="T2112" s="347">
        <f>VLOOKUP(E2112,'2025'!E:K,7,0)</f>
        <v>0</v>
      </c>
      <c r="U2112" s="347">
        <f t="shared" si="152"/>
        <v>43800</v>
      </c>
      <c r="V2112" s="348"/>
      <c r="W2112" s="349" t="e">
        <f>+VLOOKUP(D2112,'JOURNAL FACTURES'!A:O,15,0)</f>
        <v>#N/A</v>
      </c>
      <c r="X2112" s="349" t="e">
        <f>VLOOKUP(D2112,'JOURNAL FACTURES'!A:P,16,0)</f>
        <v>#N/A</v>
      </c>
      <c r="Y2112" s="349" t="e">
        <f>VLOOKUP(D2112,'JOURNAL FACTURES'!A:Q,17,0)</f>
        <v>#N/A</v>
      </c>
      <c r="Z2112" s="349" t="e">
        <f>VLOOKUP(D2112,'JOURNAL FACTURES'!A:R,18,0)</f>
        <v>#N/A</v>
      </c>
      <c r="AA2112" s="350" t="e">
        <f t="shared" si="153"/>
        <v>#N/A</v>
      </c>
      <c r="AB2112" s="350" t="e">
        <f t="shared" si="154"/>
        <v>#N/A</v>
      </c>
      <c r="AC2112" s="350" t="e">
        <f t="shared" si="155"/>
        <v>#N/A</v>
      </c>
      <c r="AD2112" s="350" t="e">
        <f t="shared" si="156"/>
        <v>#N/A</v>
      </c>
      <c r="AE2112" s="349" t="e">
        <f>VLOOKUP(D2112,TRANSPORT!H:J,3,0)</f>
        <v>#N/A</v>
      </c>
      <c r="AF2112" s="349" t="e">
        <f>+VLOOKUP(D2112,TRANSPORT!N:O,2,0)</f>
        <v>#N/A</v>
      </c>
      <c r="AG2112" s="349" t="e">
        <f t="shared" si="157"/>
        <v>#N/A</v>
      </c>
      <c r="AH2112" s="351" t="e">
        <f t="shared" si="158"/>
        <v>#N/A</v>
      </c>
      <c r="AI2112" s="351" t="e">
        <f t="shared" si="159"/>
        <v>#N/A</v>
      </c>
      <c r="AJ2112" s="351" t="e">
        <f t="shared" si="160"/>
        <v>#N/A</v>
      </c>
      <c r="AK2112" s="351" t="e">
        <f t="shared" si="161"/>
        <v>#N/A</v>
      </c>
      <c r="AL2112" s="352" t="e">
        <f>VLOOKUP(D2112,'INTEGRATION PAR CLIENT '!A1508:J1536,10,0)</f>
        <v>#N/A</v>
      </c>
      <c r="AM2112" s="352" t="e">
        <f>VLOOKUP(D2112,'INTEGRATION PAR CLIENT '!A1508:L1536,12,0)</f>
        <v>#N/A</v>
      </c>
      <c r="AN2112" s="352" t="e">
        <f>+VLOOKUP(D2112,'INTEGRATION PAR CLIENT '!A1508:N1536,14,0)</f>
        <v>#N/A</v>
      </c>
      <c r="AO2112" s="352" t="e">
        <f>+VLOOKUP(D2112,'INTEGRATION PAR CLIENT '!A1508:P1536,16,0)</f>
        <v>#N/A</v>
      </c>
    </row>
    <row r="2113" spans="1:41" ht="12">
      <c r="A2113" s="342" t="s">
        <v>245</v>
      </c>
      <c r="B2113" s="277" t="str">
        <f t="shared" si="148"/>
        <v>233</v>
      </c>
      <c r="C2113" s="277">
        <v>0</v>
      </c>
      <c r="D2113" s="343" t="str">
        <f>'2025'!D234</f>
        <v>FAE-25-00233</v>
      </c>
      <c r="E2113" s="277" t="str">
        <f t="shared" si="149"/>
        <v>233</v>
      </c>
      <c r="F2113" s="618">
        <f>+'2025'!G234</f>
        <v>45890</v>
      </c>
      <c r="G2113" s="619">
        <f t="shared" si="150"/>
        <v>2025</v>
      </c>
      <c r="H2113" s="383" t="s">
        <v>16700</v>
      </c>
      <c r="I2113" s="277" t="str">
        <f>+VLOOKUP(H2113,Sheet1!A:C,3,0)</f>
        <v>JP BEEMSTERBOER BV</v>
      </c>
      <c r="J2113" s="277" t="str">
        <f>+VLOOKUP(H2113,Sheet1!A:D,4,0)</f>
        <v>USD</v>
      </c>
      <c r="K2113" s="278">
        <f t="shared" si="151"/>
        <v>257831.58528000003</v>
      </c>
      <c r="L2113" s="383">
        <v>3.4048500000000002</v>
      </c>
      <c r="M2113" s="384">
        <v>75724.800000000003</v>
      </c>
      <c r="N2113" s="277" t="str">
        <f>+VLOOKUP(E2113,'2025'!E:F,2,0)</f>
        <v>OUI</v>
      </c>
      <c r="O2113" s="277" t="str">
        <f>VLOOKUP(E2113,'2025'!E:N,10,0)</f>
        <v>Sierra Leone</v>
      </c>
      <c r="P2113" s="890">
        <f>VLOOKUP(E2113,'2025'!E:O,11,0)</f>
        <v>45895</v>
      </c>
      <c r="Q2113" s="347">
        <f>VLOOKUP(E2113,'2025'!E:H,4,0)</f>
        <v>110040</v>
      </c>
      <c r="R2113" s="347">
        <f>VLOOKUP(E2113,'2025'!E:I,5,0)</f>
        <v>0</v>
      </c>
      <c r="S2113" s="347">
        <f>VLOOKUP(E2113,'2025'!E:J,6,0)</f>
        <v>0</v>
      </c>
      <c r="T2113" s="347">
        <f>VLOOKUP(E2113,'2025'!E:K,7,0)</f>
        <v>0</v>
      </c>
      <c r="U2113" s="347">
        <f t="shared" si="152"/>
        <v>110040</v>
      </c>
      <c r="V2113" s="348"/>
      <c r="W2113" s="349" t="e">
        <f>+VLOOKUP(D2113,'JOURNAL FACTURES'!A:O,15,0)</f>
        <v>#N/A</v>
      </c>
      <c r="X2113" s="349" t="e">
        <f>VLOOKUP(D2113,'JOURNAL FACTURES'!A:P,16,0)</f>
        <v>#N/A</v>
      </c>
      <c r="Y2113" s="349" t="e">
        <f>VLOOKUP(D2113,'JOURNAL FACTURES'!A:Q,17,0)</f>
        <v>#N/A</v>
      </c>
      <c r="Z2113" s="349" t="e">
        <f>VLOOKUP(D2113,'JOURNAL FACTURES'!A:R,18,0)</f>
        <v>#N/A</v>
      </c>
      <c r="AA2113" s="350" t="e">
        <f t="shared" si="153"/>
        <v>#N/A</v>
      </c>
      <c r="AB2113" s="350" t="e">
        <f t="shared" si="154"/>
        <v>#N/A</v>
      </c>
      <c r="AC2113" s="350" t="e">
        <f t="shared" si="155"/>
        <v>#N/A</v>
      </c>
      <c r="AD2113" s="350" t="e">
        <f t="shared" si="156"/>
        <v>#N/A</v>
      </c>
      <c r="AE2113" s="349" t="e">
        <f>VLOOKUP(D2113,TRANSPORT!H:J,3,0)</f>
        <v>#N/A</v>
      </c>
      <c r="AF2113" s="349" t="e">
        <f>+VLOOKUP(D2113,TRANSPORT!N:O,2,0)</f>
        <v>#N/A</v>
      </c>
      <c r="AG2113" s="349" t="e">
        <f t="shared" si="157"/>
        <v>#N/A</v>
      </c>
      <c r="AH2113" s="351" t="e">
        <f t="shared" si="158"/>
        <v>#N/A</v>
      </c>
      <c r="AI2113" s="351" t="e">
        <f t="shared" si="159"/>
        <v>#N/A</v>
      </c>
      <c r="AJ2113" s="351" t="e">
        <f t="shared" si="160"/>
        <v>#N/A</v>
      </c>
      <c r="AK2113" s="351" t="e">
        <f t="shared" si="161"/>
        <v>#N/A</v>
      </c>
      <c r="AL2113" s="352" t="e">
        <f>VLOOKUP(D2113,'INTEGRATION PAR CLIENT '!A1509:J1537,10,0)</f>
        <v>#N/A</v>
      </c>
      <c r="AM2113" s="352" t="e">
        <f>VLOOKUP(D2113,'INTEGRATION PAR CLIENT '!A1509:L1537,12,0)</f>
        <v>#N/A</v>
      </c>
      <c r="AN2113" s="352" t="e">
        <f>+VLOOKUP(D2113,'INTEGRATION PAR CLIENT '!A1509:N1537,14,0)</f>
        <v>#N/A</v>
      </c>
      <c r="AO2113" s="352" t="e">
        <f>+VLOOKUP(D2113,'INTEGRATION PAR CLIENT '!A1509:P1537,16,0)</f>
        <v>#N/A</v>
      </c>
    </row>
    <row r="2114" spans="1:41" ht="12">
      <c r="A2114" s="342" t="s">
        <v>246</v>
      </c>
      <c r="B2114" s="277" t="str">
        <f t="shared" si="148"/>
        <v>234</v>
      </c>
      <c r="C2114" s="277">
        <v>0</v>
      </c>
      <c r="D2114" s="343" t="str">
        <f>'2025'!D235</f>
        <v>FAE-25-00234</v>
      </c>
      <c r="E2114" s="277" t="str">
        <f t="shared" si="149"/>
        <v>234</v>
      </c>
      <c r="F2114" s="618">
        <f>+'2025'!G235</f>
        <v>45890</v>
      </c>
      <c r="G2114" s="619">
        <f t="shared" si="150"/>
        <v>2025</v>
      </c>
      <c r="H2114" s="383" t="s">
        <v>17299</v>
      </c>
      <c r="I2114" s="277" t="str">
        <f>+VLOOKUP(H2114,Sheet1!A:C,3,0)</f>
        <v>LAMP FALL IMP EXP - LAFFIMEX</v>
      </c>
      <c r="J2114" s="277" t="str">
        <f>+VLOOKUP(H2114,Sheet1!A:D,4,0)</f>
        <v>EUR</v>
      </c>
      <c r="K2114" s="278">
        <f t="shared" si="151"/>
        <v>495509.18950000004</v>
      </c>
      <c r="L2114" s="383">
        <v>3.4157500000000001</v>
      </c>
      <c r="M2114" s="384">
        <v>145066</v>
      </c>
      <c r="N2114" s="277" t="str">
        <f>+VLOOKUP(E2114,'2025'!E:F,2,0)</f>
        <v>OUI</v>
      </c>
      <c r="O2114" s="277" t="str">
        <f>VLOOKUP(E2114,'2025'!E:N,10,0)</f>
        <v>Senegal</v>
      </c>
      <c r="P2114" s="890">
        <f>VLOOKUP(E2114,'2025'!E:O,11,0)</f>
        <v>45898</v>
      </c>
      <c r="Q2114" s="347">
        <f>VLOOKUP(E2114,'2025'!E:H,4,0)</f>
        <v>211200</v>
      </c>
      <c r="R2114" s="347">
        <f>VLOOKUP(E2114,'2025'!E:I,5,0)</f>
        <v>0</v>
      </c>
      <c r="S2114" s="347">
        <f>VLOOKUP(E2114,'2025'!E:J,6,0)</f>
        <v>0</v>
      </c>
      <c r="T2114" s="347">
        <f>VLOOKUP(E2114,'2025'!E:K,7,0)</f>
        <v>0</v>
      </c>
      <c r="U2114" s="347">
        <f t="shared" si="152"/>
        <v>211200</v>
      </c>
      <c r="V2114" s="348"/>
      <c r="W2114" s="349" t="e">
        <f>+VLOOKUP(D2114,'JOURNAL FACTURES'!A:O,15,0)</f>
        <v>#N/A</v>
      </c>
      <c r="X2114" s="349" t="e">
        <f>VLOOKUP(D2114,'JOURNAL FACTURES'!A:P,16,0)</f>
        <v>#N/A</v>
      </c>
      <c r="Y2114" s="349" t="e">
        <f>VLOOKUP(D2114,'JOURNAL FACTURES'!A:Q,17,0)</f>
        <v>#N/A</v>
      </c>
      <c r="Z2114" s="349" t="e">
        <f>VLOOKUP(D2114,'JOURNAL FACTURES'!A:R,18,0)</f>
        <v>#N/A</v>
      </c>
      <c r="AA2114" s="350" t="e">
        <f t="shared" si="153"/>
        <v>#N/A</v>
      </c>
      <c r="AB2114" s="350" t="e">
        <f t="shared" si="154"/>
        <v>#N/A</v>
      </c>
      <c r="AC2114" s="350" t="e">
        <f t="shared" si="155"/>
        <v>#N/A</v>
      </c>
      <c r="AD2114" s="350" t="e">
        <f t="shared" si="156"/>
        <v>#N/A</v>
      </c>
      <c r="AE2114" s="349" t="e">
        <f>VLOOKUP(D2114,TRANSPORT!H:J,3,0)</f>
        <v>#N/A</v>
      </c>
      <c r="AF2114" s="349" t="e">
        <f>+VLOOKUP(D2114,TRANSPORT!N:O,2,0)</f>
        <v>#N/A</v>
      </c>
      <c r="AG2114" s="349" t="e">
        <f t="shared" si="157"/>
        <v>#N/A</v>
      </c>
      <c r="AH2114" s="351" t="e">
        <f t="shared" si="158"/>
        <v>#N/A</v>
      </c>
      <c r="AI2114" s="351" t="e">
        <f t="shared" si="159"/>
        <v>#N/A</v>
      </c>
      <c r="AJ2114" s="351" t="e">
        <f t="shared" si="160"/>
        <v>#N/A</v>
      </c>
      <c r="AK2114" s="351" t="e">
        <f t="shared" si="161"/>
        <v>#N/A</v>
      </c>
      <c r="AL2114" s="352" t="e">
        <f>VLOOKUP(D2114,'INTEGRATION PAR CLIENT '!A1510:J1538,10,0)</f>
        <v>#N/A</v>
      </c>
      <c r="AM2114" s="352" t="e">
        <f>VLOOKUP(D2114,'INTEGRATION PAR CLIENT '!A1510:L1538,12,0)</f>
        <v>#N/A</v>
      </c>
      <c r="AN2114" s="352" t="e">
        <f>+VLOOKUP(D2114,'INTEGRATION PAR CLIENT '!A1510:N1538,14,0)</f>
        <v>#N/A</v>
      </c>
      <c r="AO2114" s="352" t="e">
        <f>+VLOOKUP(D2114,'INTEGRATION PAR CLIENT '!A1510:P1538,16,0)</f>
        <v>#N/A</v>
      </c>
    </row>
    <row r="2115" spans="1:41" ht="12">
      <c r="A2115" s="342" t="s">
        <v>247</v>
      </c>
      <c r="B2115" s="277" t="str">
        <f t="shared" si="148"/>
        <v>235</v>
      </c>
      <c r="C2115" s="277">
        <v>0</v>
      </c>
      <c r="D2115" s="343" t="str">
        <f>'2025'!D236</f>
        <v>FAE-25-00235</v>
      </c>
      <c r="E2115" s="277" t="str">
        <f t="shared" si="149"/>
        <v>235</v>
      </c>
      <c r="F2115" s="618">
        <f>+'2025'!G236</f>
        <v>45891</v>
      </c>
      <c r="G2115" s="619">
        <f t="shared" si="150"/>
        <v>2025</v>
      </c>
      <c r="H2115" s="383" t="s">
        <v>16880</v>
      </c>
      <c r="I2115" s="277" t="str">
        <f>+VLOOKUP(H2115,Sheet1!A:C,3,0)</f>
        <v>DAVIS TRADING CO LTD</v>
      </c>
      <c r="J2115" s="277" t="str">
        <f>+VLOOKUP(H2115,Sheet1!A:D,4,0)</f>
        <v>USD</v>
      </c>
      <c r="K2115" s="278">
        <f t="shared" si="151"/>
        <v>82791.34558400001</v>
      </c>
      <c r="L2115" s="383">
        <v>2.9296000000000002</v>
      </c>
      <c r="M2115" s="384">
        <v>28260.29</v>
      </c>
      <c r="N2115" s="277" t="str">
        <f>+VLOOKUP(E2115,'2025'!E:F,2,0)</f>
        <v>OUI</v>
      </c>
      <c r="O2115" s="277" t="str">
        <f>VLOOKUP(E2115,'2025'!E:N,10,0)</f>
        <v>New Zealand</v>
      </c>
      <c r="P2115" s="890">
        <f>VLOOKUP(E2115,'2025'!E:O,11,0)</f>
        <v>45897</v>
      </c>
      <c r="Q2115" s="347">
        <f>VLOOKUP(E2115,'2025'!E:H,4,0)</f>
        <v>6700</v>
      </c>
      <c r="R2115" s="347">
        <f>VLOOKUP(E2115,'2025'!E:I,5,0)</f>
        <v>14410</v>
      </c>
      <c r="S2115" s="347">
        <f>VLOOKUP(E2115,'2025'!E:J,6,0)</f>
        <v>0</v>
      </c>
      <c r="T2115" s="347">
        <f>VLOOKUP(E2115,'2025'!E:K,7,0)</f>
        <v>0</v>
      </c>
      <c r="U2115" s="347">
        <f t="shared" si="152"/>
        <v>21110</v>
      </c>
      <c r="V2115" s="348"/>
      <c r="W2115" s="349" t="e">
        <f>+VLOOKUP(D2115,'JOURNAL FACTURES'!A:O,15,0)</f>
        <v>#N/A</v>
      </c>
      <c r="X2115" s="349" t="e">
        <f>VLOOKUP(D2115,'JOURNAL FACTURES'!A:P,16,0)</f>
        <v>#N/A</v>
      </c>
      <c r="Y2115" s="349" t="e">
        <f>VLOOKUP(D2115,'JOURNAL FACTURES'!A:Q,17,0)</f>
        <v>#N/A</v>
      </c>
      <c r="Z2115" s="349" t="e">
        <f>VLOOKUP(D2115,'JOURNAL FACTURES'!A:R,18,0)</f>
        <v>#N/A</v>
      </c>
      <c r="AA2115" s="350" t="e">
        <f t="shared" si="153"/>
        <v>#N/A</v>
      </c>
      <c r="AB2115" s="350" t="e">
        <f t="shared" si="154"/>
        <v>#N/A</v>
      </c>
      <c r="AC2115" s="350" t="e">
        <f t="shared" si="155"/>
        <v>#N/A</v>
      </c>
      <c r="AD2115" s="350" t="e">
        <f t="shared" si="156"/>
        <v>#N/A</v>
      </c>
      <c r="AE2115" s="349" t="e">
        <f>VLOOKUP(D2115,TRANSPORT!H:J,3,0)</f>
        <v>#N/A</v>
      </c>
      <c r="AF2115" s="349" t="e">
        <f>+VLOOKUP(D2115,TRANSPORT!N:O,2,0)</f>
        <v>#N/A</v>
      </c>
      <c r="AG2115" s="349" t="e">
        <f t="shared" si="157"/>
        <v>#N/A</v>
      </c>
      <c r="AH2115" s="351" t="e">
        <f t="shared" si="158"/>
        <v>#N/A</v>
      </c>
      <c r="AI2115" s="351" t="e">
        <f t="shared" si="159"/>
        <v>#N/A</v>
      </c>
      <c r="AJ2115" s="351" t="e">
        <f t="shared" si="160"/>
        <v>#N/A</v>
      </c>
      <c r="AK2115" s="351" t="e">
        <f t="shared" si="161"/>
        <v>#N/A</v>
      </c>
      <c r="AL2115" s="352" t="e">
        <f>VLOOKUP(D2115,'INTEGRATION PAR CLIENT '!A1511:J1539,10,0)</f>
        <v>#N/A</v>
      </c>
      <c r="AM2115" s="352" t="e">
        <f>VLOOKUP(D2115,'INTEGRATION PAR CLIENT '!A1511:L1539,12,0)</f>
        <v>#N/A</v>
      </c>
      <c r="AN2115" s="352" t="e">
        <f>+VLOOKUP(D2115,'INTEGRATION PAR CLIENT '!A1511:N1539,14,0)</f>
        <v>#N/A</v>
      </c>
      <c r="AO2115" s="352" t="e">
        <f>+VLOOKUP(D2115,'INTEGRATION PAR CLIENT '!A1511:P1539,16,0)</f>
        <v>#N/A</v>
      </c>
    </row>
    <row r="2116" spans="1:41" ht="12">
      <c r="A2116" s="342" t="s">
        <v>248</v>
      </c>
      <c r="B2116" s="277" t="str">
        <f t="shared" si="148"/>
        <v>236</v>
      </c>
      <c r="C2116" s="277">
        <v>0</v>
      </c>
      <c r="D2116" s="343" t="str">
        <f>'2025'!D237</f>
        <v>FAE-25-00236</v>
      </c>
      <c r="E2116" s="277" t="str">
        <f t="shared" si="149"/>
        <v>236</v>
      </c>
      <c r="F2116" s="618">
        <f>+'2025'!G237</f>
        <v>45894</v>
      </c>
      <c r="G2116" s="619">
        <f t="shared" si="150"/>
        <v>2025</v>
      </c>
      <c r="H2116" s="383" t="s">
        <v>17390</v>
      </c>
      <c r="I2116" s="277" t="str">
        <f>+VLOOKUP(H2116,Sheet1!A:C,3,0)</f>
        <v>ALMOSTAWRED ALJADEED CO. FOR IMPORT</v>
      </c>
      <c r="J2116" s="277" t="str">
        <f>+VLOOKUP(H2116,Sheet1!A:D,4,0)</f>
        <v>USD</v>
      </c>
      <c r="K2116" s="278">
        <f t="shared" si="151"/>
        <v>512755.00200000004</v>
      </c>
      <c r="L2116" s="383">
        <v>2.9157000000000002</v>
      </c>
      <c r="M2116" s="384">
        <v>175860</v>
      </c>
      <c r="N2116" s="277" t="str">
        <f>+VLOOKUP(E2116,'2025'!E:F,2,0)</f>
        <v>OUI</v>
      </c>
      <c r="O2116" s="277" t="str">
        <f>VLOOKUP(E2116,'2025'!E:N,10,0)</f>
        <v>Libye</v>
      </c>
      <c r="P2116" s="890">
        <f>VLOOKUP(E2116,'2025'!E:O,11,0)</f>
        <v>45897</v>
      </c>
      <c r="Q2116" s="347">
        <f>VLOOKUP(E2116,'2025'!E:H,4,0)</f>
        <v>48000</v>
      </c>
      <c r="R2116" s="347">
        <f>VLOOKUP(E2116,'2025'!E:I,5,0)</f>
        <v>40000</v>
      </c>
      <c r="S2116" s="347">
        <f>VLOOKUP(E2116,'2025'!E:J,6,0)</f>
        <v>0</v>
      </c>
      <c r="T2116" s="347">
        <f>VLOOKUP(E2116,'2025'!E:K,7,0)</f>
        <v>57500</v>
      </c>
      <c r="U2116" s="347">
        <f t="shared" si="152"/>
        <v>145500</v>
      </c>
      <c r="V2116" s="348"/>
      <c r="W2116" s="349" t="e">
        <f>+VLOOKUP(D2116,'JOURNAL FACTURES'!A:O,15,0)</f>
        <v>#N/A</v>
      </c>
      <c r="X2116" s="349" t="e">
        <f>VLOOKUP(D2116,'JOURNAL FACTURES'!A:P,16,0)</f>
        <v>#N/A</v>
      </c>
      <c r="Y2116" s="349" t="e">
        <f>VLOOKUP(D2116,'JOURNAL FACTURES'!A:Q,17,0)</f>
        <v>#N/A</v>
      </c>
      <c r="Z2116" s="349" t="e">
        <f>VLOOKUP(D2116,'JOURNAL FACTURES'!A:R,18,0)</f>
        <v>#N/A</v>
      </c>
      <c r="AA2116" s="350" t="e">
        <f t="shared" si="153"/>
        <v>#N/A</v>
      </c>
      <c r="AB2116" s="350" t="e">
        <f t="shared" si="154"/>
        <v>#N/A</v>
      </c>
      <c r="AC2116" s="350" t="e">
        <f t="shared" si="155"/>
        <v>#N/A</v>
      </c>
      <c r="AD2116" s="350" t="e">
        <f t="shared" si="156"/>
        <v>#N/A</v>
      </c>
      <c r="AE2116" s="349" t="e">
        <f>VLOOKUP(D2116,TRANSPORT!H:J,3,0)</f>
        <v>#N/A</v>
      </c>
      <c r="AF2116" s="349" t="e">
        <f>+VLOOKUP(D2116,TRANSPORT!N:O,2,0)</f>
        <v>#N/A</v>
      </c>
      <c r="AG2116" s="349" t="e">
        <f t="shared" si="157"/>
        <v>#N/A</v>
      </c>
      <c r="AH2116" s="351" t="e">
        <f t="shared" si="158"/>
        <v>#N/A</v>
      </c>
      <c r="AI2116" s="351" t="e">
        <f t="shared" si="159"/>
        <v>#N/A</v>
      </c>
      <c r="AJ2116" s="351" t="e">
        <f t="shared" si="160"/>
        <v>#N/A</v>
      </c>
      <c r="AK2116" s="351" t="e">
        <f t="shared" si="161"/>
        <v>#N/A</v>
      </c>
      <c r="AL2116" s="352" t="e">
        <f>VLOOKUP(D2116,'INTEGRATION PAR CLIENT '!A1512:J1540,10,0)</f>
        <v>#N/A</v>
      </c>
      <c r="AM2116" s="352" t="e">
        <f>VLOOKUP(D2116,'INTEGRATION PAR CLIENT '!A1512:L1540,12,0)</f>
        <v>#N/A</v>
      </c>
      <c r="AN2116" s="352" t="e">
        <f>+VLOOKUP(D2116,'INTEGRATION PAR CLIENT '!A1512:N1540,14,0)</f>
        <v>#N/A</v>
      </c>
      <c r="AO2116" s="352" t="e">
        <f>+VLOOKUP(D2116,'INTEGRATION PAR CLIENT '!A1512:P1540,16,0)</f>
        <v>#N/A</v>
      </c>
    </row>
    <row r="2117" spans="1:41" ht="12">
      <c r="A2117" s="342" t="s">
        <v>249</v>
      </c>
      <c r="B2117" s="277" t="str">
        <f t="shared" si="148"/>
        <v>237</v>
      </c>
      <c r="C2117" s="277">
        <v>0</v>
      </c>
      <c r="D2117" s="343" t="str">
        <f>'2025'!D238</f>
        <v>FAE-25-00237</v>
      </c>
      <c r="E2117" s="277" t="str">
        <f t="shared" si="149"/>
        <v>237</v>
      </c>
      <c r="F2117" s="618">
        <f>+'2025'!G238</f>
        <v>45894</v>
      </c>
      <c r="G2117" s="619">
        <f t="shared" si="150"/>
        <v>2025</v>
      </c>
      <c r="H2117" s="383" t="s">
        <v>17390</v>
      </c>
      <c r="I2117" s="277" t="str">
        <f>+VLOOKUP(H2117,Sheet1!A:C,3,0)</f>
        <v>ALMOSTAWRED ALJADEED CO. FOR IMPORT</v>
      </c>
      <c r="J2117" s="277" t="str">
        <f>+VLOOKUP(H2117,Sheet1!A:D,4,0)</f>
        <v>USD</v>
      </c>
      <c r="K2117" s="278">
        <f t="shared" si="151"/>
        <v>581367.25440000009</v>
      </c>
      <c r="L2117" s="383">
        <v>2.9157000000000002</v>
      </c>
      <c r="M2117" s="384">
        <v>199392</v>
      </c>
      <c r="N2117" s="277" t="str">
        <f>+VLOOKUP(E2117,'2025'!E:F,2,0)</f>
        <v>OUI</v>
      </c>
      <c r="O2117" s="277" t="str">
        <f>VLOOKUP(E2117,'2025'!E:N,10,0)</f>
        <v>Libye</v>
      </c>
      <c r="P2117" s="890">
        <f>VLOOKUP(E2117,'2025'!E:O,11,0)</f>
        <v>45900</v>
      </c>
      <c r="Q2117" s="347">
        <f>VLOOKUP(E2117,'2025'!E:H,4,0)</f>
        <v>0</v>
      </c>
      <c r="R2117" s="347">
        <f>VLOOKUP(E2117,'2025'!E:I,5,0)</f>
        <v>240000</v>
      </c>
      <c r="S2117" s="347">
        <f>VLOOKUP(E2117,'2025'!E:J,6,0)</f>
        <v>57600</v>
      </c>
      <c r="T2117" s="347">
        <f>VLOOKUP(E2117,'2025'!E:K,7,0)</f>
        <v>0</v>
      </c>
      <c r="U2117" s="347">
        <f t="shared" si="152"/>
        <v>297600</v>
      </c>
      <c r="V2117" s="348"/>
      <c r="W2117" s="349" t="e">
        <f>+VLOOKUP(D2117,'JOURNAL FACTURES'!A:O,15,0)</f>
        <v>#N/A</v>
      </c>
      <c r="X2117" s="349" t="e">
        <f>VLOOKUP(D2117,'JOURNAL FACTURES'!A:P,16,0)</f>
        <v>#N/A</v>
      </c>
      <c r="Y2117" s="349" t="e">
        <f>VLOOKUP(D2117,'JOURNAL FACTURES'!A:Q,17,0)</f>
        <v>#N/A</v>
      </c>
      <c r="Z2117" s="349" t="e">
        <f>VLOOKUP(D2117,'JOURNAL FACTURES'!A:R,18,0)</f>
        <v>#N/A</v>
      </c>
      <c r="AA2117" s="350" t="e">
        <f t="shared" si="153"/>
        <v>#N/A</v>
      </c>
      <c r="AB2117" s="350" t="e">
        <f t="shared" si="154"/>
        <v>#N/A</v>
      </c>
      <c r="AC2117" s="350" t="e">
        <f t="shared" si="155"/>
        <v>#N/A</v>
      </c>
      <c r="AD2117" s="350" t="e">
        <f t="shared" si="156"/>
        <v>#N/A</v>
      </c>
      <c r="AE2117" s="349" t="e">
        <f>VLOOKUP(D2117,TRANSPORT!H:J,3,0)</f>
        <v>#N/A</v>
      </c>
      <c r="AF2117" s="349" t="e">
        <f>+VLOOKUP(D2117,TRANSPORT!N:O,2,0)</f>
        <v>#N/A</v>
      </c>
      <c r="AG2117" s="349" t="e">
        <f t="shared" si="157"/>
        <v>#N/A</v>
      </c>
      <c r="AH2117" s="351" t="e">
        <f t="shared" si="158"/>
        <v>#N/A</v>
      </c>
      <c r="AI2117" s="351" t="e">
        <f t="shared" si="159"/>
        <v>#N/A</v>
      </c>
      <c r="AJ2117" s="351" t="e">
        <f t="shared" si="160"/>
        <v>#N/A</v>
      </c>
      <c r="AK2117" s="351" t="e">
        <f t="shared" si="161"/>
        <v>#N/A</v>
      </c>
      <c r="AL2117" s="352" t="e">
        <f>VLOOKUP(D2117,'INTEGRATION PAR CLIENT '!A1513:J1541,10,0)</f>
        <v>#N/A</v>
      </c>
      <c r="AM2117" s="352" t="e">
        <f>VLOOKUP(D2117,'INTEGRATION PAR CLIENT '!A1513:L1541,12,0)</f>
        <v>#N/A</v>
      </c>
      <c r="AN2117" s="352" t="e">
        <f>+VLOOKUP(D2117,'INTEGRATION PAR CLIENT '!A1513:N1541,14,0)</f>
        <v>#N/A</v>
      </c>
      <c r="AO2117" s="352" t="e">
        <f>+VLOOKUP(D2117,'INTEGRATION PAR CLIENT '!A1513:P1541,16,0)</f>
        <v>#N/A</v>
      </c>
    </row>
    <row r="2118" spans="1:41" ht="12">
      <c r="A2118" s="342" t="s">
        <v>250</v>
      </c>
      <c r="B2118" s="277" t="str">
        <f t="shared" si="148"/>
        <v>238</v>
      </c>
      <c r="C2118" s="277">
        <v>0</v>
      </c>
      <c r="D2118" s="343" t="str">
        <f>'2025'!D239</f>
        <v>FAE-25-00238</v>
      </c>
      <c r="E2118" s="277" t="str">
        <f t="shared" si="149"/>
        <v>238</v>
      </c>
      <c r="F2118" s="618">
        <f>+'2025'!G239</f>
        <v>45894</v>
      </c>
      <c r="G2118" s="619">
        <f t="shared" si="150"/>
        <v>2025</v>
      </c>
      <c r="H2118" s="383" t="s">
        <v>16470</v>
      </c>
      <c r="I2118" s="277" t="str">
        <f>+VLOOKUP(H2118,Sheet1!A:C,3,0)</f>
        <v>SAWABA - GUINEE</v>
      </c>
      <c r="J2118" s="277" t="str">
        <f>+VLOOKUP(H2118,Sheet1!A:D,4,0)</f>
        <v>USD</v>
      </c>
      <c r="K2118" s="278">
        <f t="shared" si="151"/>
        <v>389519.24753249995</v>
      </c>
      <c r="L2118" s="383">
        <v>2.92265</v>
      </c>
      <c r="M2118" s="384">
        <v>133276.04999999999</v>
      </c>
      <c r="N2118" s="277">
        <f>+VLOOKUP(E2118,'2025'!E:F,2,0)</f>
        <v>0</v>
      </c>
      <c r="O2118" s="277" t="str">
        <f>VLOOKUP(E2118,'2025'!E:N,10,0)</f>
        <v>Guinée</v>
      </c>
      <c r="P2118" s="890">
        <f>VLOOKUP(E2118,'2025'!E:O,11,0)</f>
        <v>45909</v>
      </c>
      <c r="Q2118" s="347">
        <f>VLOOKUP(E2118,'2025'!E:H,4,0)</f>
        <v>0</v>
      </c>
      <c r="R2118" s="347">
        <f>VLOOKUP(E2118,'2025'!E:I,5,0)</f>
        <v>163695</v>
      </c>
      <c r="S2118" s="347">
        <f>VLOOKUP(E2118,'2025'!E:J,6,0)</f>
        <v>31860</v>
      </c>
      <c r="T2118" s="347">
        <f>VLOOKUP(E2118,'2025'!E:K,7,0)</f>
        <v>0</v>
      </c>
      <c r="U2118" s="347">
        <f t="shared" si="152"/>
        <v>195555</v>
      </c>
      <c r="V2118" s="348"/>
      <c r="W2118" s="349" t="e">
        <f>+VLOOKUP(D2118,'JOURNAL FACTURES'!A:O,15,0)</f>
        <v>#N/A</v>
      </c>
      <c r="X2118" s="349" t="e">
        <f>VLOOKUP(D2118,'JOURNAL FACTURES'!A:P,16,0)</f>
        <v>#N/A</v>
      </c>
      <c r="Y2118" s="349" t="e">
        <f>VLOOKUP(D2118,'JOURNAL FACTURES'!A:Q,17,0)</f>
        <v>#N/A</v>
      </c>
      <c r="Z2118" s="349" t="e">
        <f>VLOOKUP(D2118,'JOURNAL FACTURES'!A:R,18,0)</f>
        <v>#N/A</v>
      </c>
      <c r="AA2118" s="350" t="e">
        <f t="shared" si="153"/>
        <v>#N/A</v>
      </c>
      <c r="AB2118" s="350" t="e">
        <f t="shared" si="154"/>
        <v>#N/A</v>
      </c>
      <c r="AC2118" s="350" t="e">
        <f t="shared" si="155"/>
        <v>#N/A</v>
      </c>
      <c r="AD2118" s="350" t="e">
        <f t="shared" si="156"/>
        <v>#N/A</v>
      </c>
      <c r="AE2118" s="349" t="e">
        <f>VLOOKUP(D2118,TRANSPORT!H:J,3,0)</f>
        <v>#N/A</v>
      </c>
      <c r="AF2118" s="349" t="e">
        <f>+VLOOKUP(D2118,TRANSPORT!N:O,2,0)</f>
        <v>#N/A</v>
      </c>
      <c r="AG2118" s="349" t="e">
        <f t="shared" si="157"/>
        <v>#N/A</v>
      </c>
      <c r="AH2118" s="351" t="e">
        <f t="shared" si="158"/>
        <v>#N/A</v>
      </c>
      <c r="AI2118" s="351" t="e">
        <f t="shared" si="159"/>
        <v>#N/A</v>
      </c>
      <c r="AJ2118" s="351" t="e">
        <f t="shared" si="160"/>
        <v>#N/A</v>
      </c>
      <c r="AK2118" s="351" t="e">
        <f t="shared" si="161"/>
        <v>#N/A</v>
      </c>
      <c r="AL2118" s="352" t="e">
        <f>VLOOKUP(D2118,'INTEGRATION PAR CLIENT '!A1514:J1542,10,0)</f>
        <v>#N/A</v>
      </c>
      <c r="AM2118" s="352" t="e">
        <f>VLOOKUP(D2118,'INTEGRATION PAR CLIENT '!A1514:L1542,12,0)</f>
        <v>#N/A</v>
      </c>
      <c r="AN2118" s="352" t="e">
        <f>+VLOOKUP(D2118,'INTEGRATION PAR CLIENT '!A1514:N1542,14,0)</f>
        <v>#N/A</v>
      </c>
      <c r="AO2118" s="352" t="e">
        <f>+VLOOKUP(D2118,'INTEGRATION PAR CLIENT '!A1514:P1542,16,0)</f>
        <v>#N/A</v>
      </c>
    </row>
    <row r="2119" spans="1:41" ht="12">
      <c r="A2119" s="342" t="s">
        <v>251</v>
      </c>
      <c r="B2119" s="277" t="str">
        <f t="shared" si="148"/>
        <v>239</v>
      </c>
      <c r="C2119" s="277">
        <v>0</v>
      </c>
      <c r="D2119" s="343" t="str">
        <f>'2025'!D240</f>
        <v>FAE-25-00239</v>
      </c>
      <c r="E2119" s="277" t="str">
        <f t="shared" si="149"/>
        <v>239</v>
      </c>
      <c r="F2119" s="618">
        <f>+'2025'!G240</f>
        <v>45894</v>
      </c>
      <c r="G2119" s="619">
        <f t="shared" si="150"/>
        <v>2025</v>
      </c>
      <c r="H2119" s="383" t="s">
        <v>16384</v>
      </c>
      <c r="I2119" s="277" t="str">
        <f>+VLOOKUP(H2119,Sheet1!A:C,3,0)</f>
        <v>STE DE COMMERCE INTERNATIONAL</v>
      </c>
      <c r="J2119" s="277" t="str">
        <f>+VLOOKUP(H2119,Sheet1!A:D,4,0)</f>
        <v>TND</v>
      </c>
      <c r="K2119" s="278">
        <f t="shared" si="151"/>
        <v>124416</v>
      </c>
      <c r="L2119" s="383">
        <v>1</v>
      </c>
      <c r="M2119" s="384">
        <v>124416</v>
      </c>
      <c r="N2119" s="277" t="str">
        <f>+VLOOKUP(E2119,'2025'!E:F,2,0)</f>
        <v>OUI</v>
      </c>
      <c r="O2119" s="277" t="str">
        <f>VLOOKUP(E2119,'2025'!E:N,10,0)</f>
        <v>Burkina Faso</v>
      </c>
      <c r="P2119" s="890">
        <f>VLOOKUP(E2119,'2025'!E:O,11,0)</f>
        <v>45903</v>
      </c>
      <c r="Q2119" s="347">
        <f>VLOOKUP(E2119,'2025'!E:H,4,0)</f>
        <v>57600</v>
      </c>
      <c r="R2119" s="347">
        <f>VLOOKUP(E2119,'2025'!E:I,5,0)</f>
        <v>0</v>
      </c>
      <c r="S2119" s="347">
        <f>VLOOKUP(E2119,'2025'!E:J,6,0)</f>
        <v>0</v>
      </c>
      <c r="T2119" s="347">
        <f>VLOOKUP(E2119,'2025'!E:K,7,0)</f>
        <v>0</v>
      </c>
      <c r="U2119" s="347">
        <f t="shared" si="152"/>
        <v>57600</v>
      </c>
      <c r="V2119" s="348"/>
      <c r="W2119" s="349" t="e">
        <f>+VLOOKUP(D2119,'JOURNAL FACTURES'!A:O,15,0)</f>
        <v>#N/A</v>
      </c>
      <c r="X2119" s="349" t="e">
        <f>VLOOKUP(D2119,'JOURNAL FACTURES'!A:P,16,0)</f>
        <v>#N/A</v>
      </c>
      <c r="Y2119" s="349" t="e">
        <f>VLOOKUP(D2119,'JOURNAL FACTURES'!A:Q,17,0)</f>
        <v>#N/A</v>
      </c>
      <c r="Z2119" s="349" t="e">
        <f>VLOOKUP(D2119,'JOURNAL FACTURES'!A:R,18,0)</f>
        <v>#N/A</v>
      </c>
      <c r="AA2119" s="350" t="e">
        <f t="shared" si="153"/>
        <v>#N/A</v>
      </c>
      <c r="AB2119" s="350" t="e">
        <f t="shared" si="154"/>
        <v>#N/A</v>
      </c>
      <c r="AC2119" s="350" t="e">
        <f t="shared" si="155"/>
        <v>#N/A</v>
      </c>
      <c r="AD2119" s="350" t="e">
        <f t="shared" si="156"/>
        <v>#N/A</v>
      </c>
      <c r="AE2119" s="349" t="e">
        <f>VLOOKUP(D2119,TRANSPORT!H:J,3,0)</f>
        <v>#N/A</v>
      </c>
      <c r="AF2119" s="349" t="e">
        <f>+VLOOKUP(D2119,TRANSPORT!N:O,2,0)</f>
        <v>#N/A</v>
      </c>
      <c r="AG2119" s="349" t="e">
        <f t="shared" si="157"/>
        <v>#N/A</v>
      </c>
      <c r="AH2119" s="351" t="e">
        <f t="shared" si="158"/>
        <v>#N/A</v>
      </c>
      <c r="AI2119" s="351" t="e">
        <f t="shared" si="159"/>
        <v>#N/A</v>
      </c>
      <c r="AJ2119" s="351" t="e">
        <f t="shared" si="160"/>
        <v>#N/A</v>
      </c>
      <c r="AK2119" s="351" t="e">
        <f t="shared" si="161"/>
        <v>#N/A</v>
      </c>
      <c r="AL2119" s="352" t="e">
        <f>VLOOKUP(D2119,'INTEGRATION PAR CLIENT '!A1515:J1543,10,0)</f>
        <v>#N/A</v>
      </c>
      <c r="AM2119" s="352" t="e">
        <f>VLOOKUP(D2119,'INTEGRATION PAR CLIENT '!A1515:L1543,12,0)</f>
        <v>#N/A</v>
      </c>
      <c r="AN2119" s="352" t="e">
        <f>+VLOOKUP(D2119,'INTEGRATION PAR CLIENT '!A1515:N1543,14,0)</f>
        <v>#N/A</v>
      </c>
      <c r="AO2119" s="352" t="e">
        <f>+VLOOKUP(D2119,'INTEGRATION PAR CLIENT '!A1515:P1543,16,0)</f>
        <v>#N/A</v>
      </c>
    </row>
    <row r="2120" spans="1:41" ht="12">
      <c r="A2120" s="342" t="s">
        <v>252</v>
      </c>
      <c r="B2120" s="277" t="str">
        <f t="shared" si="148"/>
        <v>240</v>
      </c>
      <c r="C2120" s="277">
        <v>0</v>
      </c>
      <c r="D2120" s="343" t="str">
        <f>'2025'!D241</f>
        <v>FAE-25-00240</v>
      </c>
      <c r="E2120" s="277" t="str">
        <f t="shared" si="149"/>
        <v>240</v>
      </c>
      <c r="F2120" s="618">
        <f>+'2025'!G241</f>
        <v>45894</v>
      </c>
      <c r="G2120" s="619">
        <f t="shared" si="150"/>
        <v>2025</v>
      </c>
      <c r="H2120" s="383" t="s">
        <v>16384</v>
      </c>
      <c r="I2120" s="277" t="str">
        <f>+VLOOKUP(H2120,Sheet1!A:C,3,0)</f>
        <v>STE DE COMMERCE INTERNATIONAL</v>
      </c>
      <c r="J2120" s="277" t="str">
        <f>+VLOOKUP(H2120,Sheet1!A:D,4,0)</f>
        <v>TND</v>
      </c>
      <c r="K2120" s="278">
        <f t="shared" si="151"/>
        <v>37993.919999999998</v>
      </c>
      <c r="L2120" s="383">
        <v>1</v>
      </c>
      <c r="M2120" s="384">
        <v>37993.919999999998</v>
      </c>
      <c r="N2120" s="277">
        <f>+VLOOKUP(E2120,'2025'!E:F,2,0)</f>
        <v>0</v>
      </c>
      <c r="O2120" s="277" t="str">
        <f>VLOOKUP(E2120,'2025'!E:N,10,0)</f>
        <v>Liberia</v>
      </c>
      <c r="P2120" s="890">
        <f>VLOOKUP(E2120,'2025'!E:O,11,0)</f>
        <v>0</v>
      </c>
      <c r="Q2120" s="347">
        <f>VLOOKUP(E2120,'2025'!E:H,4,0)</f>
        <v>0</v>
      </c>
      <c r="R2120" s="347">
        <f>VLOOKUP(E2120,'2025'!E:I,5,0)</f>
        <v>23400</v>
      </c>
      <c r="S2120" s="347">
        <f>VLOOKUP(E2120,'2025'!E:J,6,0)</f>
        <v>0</v>
      </c>
      <c r="T2120" s="347">
        <f>VLOOKUP(E2120,'2025'!E:K,7,0)</f>
        <v>0</v>
      </c>
      <c r="U2120" s="347">
        <f t="shared" si="152"/>
        <v>23400</v>
      </c>
      <c r="V2120" s="348"/>
      <c r="W2120" s="349" t="e">
        <f>+VLOOKUP(D2120,'JOURNAL FACTURES'!A:O,15,0)</f>
        <v>#N/A</v>
      </c>
      <c r="X2120" s="349" t="e">
        <f>VLOOKUP(D2120,'JOURNAL FACTURES'!A:P,16,0)</f>
        <v>#N/A</v>
      </c>
      <c r="Y2120" s="349" t="e">
        <f>VLOOKUP(D2120,'JOURNAL FACTURES'!A:Q,17,0)</f>
        <v>#N/A</v>
      </c>
      <c r="Z2120" s="349" t="e">
        <f>VLOOKUP(D2120,'JOURNAL FACTURES'!A:R,18,0)</f>
        <v>#N/A</v>
      </c>
      <c r="AA2120" s="350" t="e">
        <f t="shared" si="153"/>
        <v>#N/A</v>
      </c>
      <c r="AB2120" s="350" t="e">
        <f t="shared" si="154"/>
        <v>#N/A</v>
      </c>
      <c r="AC2120" s="350" t="e">
        <f t="shared" si="155"/>
        <v>#N/A</v>
      </c>
      <c r="AD2120" s="350" t="e">
        <f t="shared" si="156"/>
        <v>#N/A</v>
      </c>
      <c r="AE2120" s="349" t="e">
        <f>VLOOKUP(D2120,TRANSPORT!H:J,3,0)</f>
        <v>#N/A</v>
      </c>
      <c r="AF2120" s="349" t="e">
        <f>+VLOOKUP(D2120,TRANSPORT!N:O,2,0)</f>
        <v>#N/A</v>
      </c>
      <c r="AG2120" s="349" t="e">
        <f t="shared" si="157"/>
        <v>#N/A</v>
      </c>
      <c r="AH2120" s="351" t="e">
        <f t="shared" si="158"/>
        <v>#N/A</v>
      </c>
      <c r="AI2120" s="351" t="e">
        <f t="shared" si="159"/>
        <v>#N/A</v>
      </c>
      <c r="AJ2120" s="351" t="e">
        <f t="shared" si="160"/>
        <v>#N/A</v>
      </c>
      <c r="AK2120" s="351" t="e">
        <f t="shared" si="161"/>
        <v>#N/A</v>
      </c>
      <c r="AL2120" s="352" t="e">
        <f>VLOOKUP(D2120,'INTEGRATION PAR CLIENT '!A1516:J1544,10,0)</f>
        <v>#N/A</v>
      </c>
      <c r="AM2120" s="352" t="e">
        <f>VLOOKUP(D2120,'INTEGRATION PAR CLIENT '!A1516:L1544,12,0)</f>
        <v>#N/A</v>
      </c>
      <c r="AN2120" s="352" t="e">
        <f>+VLOOKUP(D2120,'INTEGRATION PAR CLIENT '!A1516:N1544,14,0)</f>
        <v>#N/A</v>
      </c>
      <c r="AO2120" s="352" t="e">
        <f>+VLOOKUP(D2120,'INTEGRATION PAR CLIENT '!A1516:P1544,16,0)</f>
        <v>#N/A</v>
      </c>
    </row>
    <row r="2121" spans="1:41" ht="12">
      <c r="A2121" s="342" t="s">
        <v>253</v>
      </c>
      <c r="B2121" s="277" t="str">
        <f t="shared" si="148"/>
        <v>241</v>
      </c>
      <c r="C2121" s="277">
        <v>0</v>
      </c>
      <c r="D2121" s="343" t="str">
        <f>'2025'!D242</f>
        <v>FAE-25-00241</v>
      </c>
      <c r="E2121" s="277" t="str">
        <f t="shared" si="149"/>
        <v>241</v>
      </c>
      <c r="F2121" s="618">
        <f>+'2025'!G242</f>
        <v>45894</v>
      </c>
      <c r="G2121" s="619">
        <f t="shared" si="150"/>
        <v>2025</v>
      </c>
      <c r="H2121" s="383" t="s">
        <v>16384</v>
      </c>
      <c r="I2121" s="277" t="str">
        <f>+VLOOKUP(H2121,Sheet1!A:C,3,0)</f>
        <v>STE DE COMMERCE INTERNATIONAL</v>
      </c>
      <c r="J2121" s="277" t="str">
        <f>+VLOOKUP(H2121,Sheet1!A:D,4,0)</f>
        <v>TND</v>
      </c>
      <c r="K2121" s="278">
        <f t="shared" si="151"/>
        <v>168960</v>
      </c>
      <c r="L2121" s="383">
        <v>1</v>
      </c>
      <c r="M2121" s="384">
        <v>168960</v>
      </c>
      <c r="N2121" s="277" t="str">
        <f>+VLOOKUP(E2121,'2025'!E:F,2,0)</f>
        <v>OUI</v>
      </c>
      <c r="O2121" s="277" t="str">
        <f>VLOOKUP(E2121,'2025'!E:N,10,0)</f>
        <v>Gambie</v>
      </c>
      <c r="P2121" s="890">
        <f>VLOOKUP(E2121,'2025'!E:O,11,0)</f>
        <v>45898</v>
      </c>
      <c r="Q2121" s="347">
        <f>VLOOKUP(E2121,'2025'!E:H,4,0)</f>
        <v>76800</v>
      </c>
      <c r="R2121" s="347">
        <f>VLOOKUP(E2121,'2025'!E:I,5,0)</f>
        <v>0</v>
      </c>
      <c r="S2121" s="347">
        <f>VLOOKUP(E2121,'2025'!E:J,6,0)</f>
        <v>0</v>
      </c>
      <c r="T2121" s="347">
        <f>VLOOKUP(E2121,'2025'!E:K,7,0)</f>
        <v>0</v>
      </c>
      <c r="U2121" s="347">
        <f t="shared" si="152"/>
        <v>76800</v>
      </c>
      <c r="V2121" s="348"/>
      <c r="W2121" s="349" t="e">
        <f>+VLOOKUP(D2121,'JOURNAL FACTURES'!A:O,15,0)</f>
        <v>#N/A</v>
      </c>
      <c r="X2121" s="349" t="e">
        <f>VLOOKUP(D2121,'JOURNAL FACTURES'!A:P,16,0)</f>
        <v>#N/A</v>
      </c>
      <c r="Y2121" s="349" t="e">
        <f>VLOOKUP(D2121,'JOURNAL FACTURES'!A:Q,17,0)</f>
        <v>#N/A</v>
      </c>
      <c r="Z2121" s="349" t="e">
        <f>VLOOKUP(D2121,'JOURNAL FACTURES'!A:R,18,0)</f>
        <v>#N/A</v>
      </c>
      <c r="AA2121" s="350" t="e">
        <f t="shared" si="153"/>
        <v>#N/A</v>
      </c>
      <c r="AB2121" s="350" t="e">
        <f t="shared" si="154"/>
        <v>#N/A</v>
      </c>
      <c r="AC2121" s="350" t="e">
        <f t="shared" si="155"/>
        <v>#N/A</v>
      </c>
      <c r="AD2121" s="350" t="e">
        <f t="shared" si="156"/>
        <v>#N/A</v>
      </c>
      <c r="AE2121" s="349" t="e">
        <f>VLOOKUP(D2121,TRANSPORT!H:J,3,0)</f>
        <v>#N/A</v>
      </c>
      <c r="AF2121" s="349" t="e">
        <f>+VLOOKUP(D2121,TRANSPORT!N:O,2,0)</f>
        <v>#N/A</v>
      </c>
      <c r="AG2121" s="349" t="e">
        <f t="shared" si="157"/>
        <v>#N/A</v>
      </c>
      <c r="AH2121" s="351" t="e">
        <f t="shared" si="158"/>
        <v>#N/A</v>
      </c>
      <c r="AI2121" s="351" t="e">
        <f t="shared" si="159"/>
        <v>#N/A</v>
      </c>
      <c r="AJ2121" s="351" t="e">
        <f t="shared" si="160"/>
        <v>#N/A</v>
      </c>
      <c r="AK2121" s="351" t="e">
        <f t="shared" si="161"/>
        <v>#N/A</v>
      </c>
      <c r="AL2121" s="352" t="e">
        <f>VLOOKUP(D2121,'INTEGRATION PAR CLIENT '!A1517:J1545,10,0)</f>
        <v>#N/A</v>
      </c>
      <c r="AM2121" s="352" t="e">
        <f>VLOOKUP(D2121,'INTEGRATION PAR CLIENT '!A1517:L1545,12,0)</f>
        <v>#N/A</v>
      </c>
      <c r="AN2121" s="352" t="e">
        <f>+VLOOKUP(D2121,'INTEGRATION PAR CLIENT '!A1517:N1545,14,0)</f>
        <v>#N/A</v>
      </c>
      <c r="AO2121" s="352" t="e">
        <f>+VLOOKUP(D2121,'INTEGRATION PAR CLIENT '!A1517:P1545,16,0)</f>
        <v>#N/A</v>
      </c>
    </row>
    <row r="2122" spans="1:41" ht="12">
      <c r="A2122" s="342" t="s">
        <v>254</v>
      </c>
      <c r="B2122" s="277" t="str">
        <f t="shared" si="148"/>
        <v>242</v>
      </c>
      <c r="C2122" s="277">
        <v>0</v>
      </c>
      <c r="D2122" s="343" t="str">
        <f>'2025'!D243</f>
        <v>FAE-25-00242</v>
      </c>
      <c r="E2122" s="277" t="str">
        <f t="shared" si="149"/>
        <v>242</v>
      </c>
      <c r="F2122" s="618">
        <f>+'2025'!G243</f>
        <v>45894</v>
      </c>
      <c r="G2122" s="619">
        <f t="shared" si="150"/>
        <v>2025</v>
      </c>
      <c r="H2122" s="383" t="s">
        <v>16384</v>
      </c>
      <c r="I2122" s="277" t="str">
        <f>+VLOOKUP(H2122,Sheet1!A:C,3,0)</f>
        <v>STE DE COMMERCE INTERNATIONAL</v>
      </c>
      <c r="J2122" s="277" t="str">
        <f>+VLOOKUP(H2122,Sheet1!A:D,4,0)</f>
        <v>TND</v>
      </c>
      <c r="K2122" s="278">
        <f t="shared" si="151"/>
        <v>45500</v>
      </c>
      <c r="L2122" s="383">
        <v>1</v>
      </c>
      <c r="M2122" s="384">
        <v>45500</v>
      </c>
      <c r="N2122" s="277" t="str">
        <f>+VLOOKUP(E2122,'2025'!E:F,2,0)</f>
        <v>OUI</v>
      </c>
      <c r="O2122" s="277" t="str">
        <f>VLOOKUP(E2122,'2025'!E:N,10,0)</f>
        <v>Liberia</v>
      </c>
      <c r="P2122" s="890">
        <f>VLOOKUP(E2122,'2025'!E:O,11,0)</f>
        <v>45901</v>
      </c>
      <c r="Q2122" s="347">
        <f>VLOOKUP(E2122,'2025'!E:H,4,0)</f>
        <v>0</v>
      </c>
      <c r="R2122" s="347">
        <f>VLOOKUP(E2122,'2025'!E:I,5,0)</f>
        <v>0</v>
      </c>
      <c r="S2122" s="347">
        <f>VLOOKUP(E2122,'2025'!E:J,6,0)</f>
        <v>26000</v>
      </c>
      <c r="T2122" s="347">
        <f>VLOOKUP(E2122,'2025'!E:K,7,0)</f>
        <v>0</v>
      </c>
      <c r="U2122" s="347">
        <f t="shared" si="152"/>
        <v>26000</v>
      </c>
      <c r="V2122" s="348"/>
      <c r="W2122" s="349" t="e">
        <f>+VLOOKUP(D2122,'JOURNAL FACTURES'!A:O,15,0)</f>
        <v>#N/A</v>
      </c>
      <c r="X2122" s="349" t="e">
        <f>VLOOKUP(D2122,'JOURNAL FACTURES'!A:P,16,0)</f>
        <v>#N/A</v>
      </c>
      <c r="Y2122" s="349" t="e">
        <f>VLOOKUP(D2122,'JOURNAL FACTURES'!A:Q,17,0)</f>
        <v>#N/A</v>
      </c>
      <c r="Z2122" s="349" t="e">
        <f>VLOOKUP(D2122,'JOURNAL FACTURES'!A:R,18,0)</f>
        <v>#N/A</v>
      </c>
      <c r="AA2122" s="350" t="e">
        <f t="shared" si="153"/>
        <v>#N/A</v>
      </c>
      <c r="AB2122" s="350" t="e">
        <f t="shared" si="154"/>
        <v>#N/A</v>
      </c>
      <c r="AC2122" s="350" t="e">
        <f t="shared" si="155"/>
        <v>#N/A</v>
      </c>
      <c r="AD2122" s="350" t="e">
        <f t="shared" si="156"/>
        <v>#N/A</v>
      </c>
      <c r="AE2122" s="349" t="e">
        <f>VLOOKUP(D2122,TRANSPORT!H:J,3,0)</f>
        <v>#N/A</v>
      </c>
      <c r="AF2122" s="349" t="e">
        <f>+VLOOKUP(D2122,TRANSPORT!N:O,2,0)</f>
        <v>#N/A</v>
      </c>
      <c r="AG2122" s="349" t="e">
        <f t="shared" si="157"/>
        <v>#N/A</v>
      </c>
      <c r="AH2122" s="351" t="e">
        <f t="shared" si="158"/>
        <v>#N/A</v>
      </c>
      <c r="AI2122" s="351" t="e">
        <f t="shared" si="159"/>
        <v>#N/A</v>
      </c>
      <c r="AJ2122" s="351" t="e">
        <f t="shared" si="160"/>
        <v>#N/A</v>
      </c>
      <c r="AK2122" s="351" t="e">
        <f t="shared" si="161"/>
        <v>#N/A</v>
      </c>
      <c r="AL2122" s="352" t="e">
        <f>VLOOKUP(D2122,'INTEGRATION PAR CLIENT '!A1518:J1546,10,0)</f>
        <v>#N/A</v>
      </c>
      <c r="AM2122" s="352" t="e">
        <f>VLOOKUP(D2122,'INTEGRATION PAR CLIENT '!A1518:L1546,12,0)</f>
        <v>#N/A</v>
      </c>
      <c r="AN2122" s="352" t="e">
        <f>+VLOOKUP(D2122,'INTEGRATION PAR CLIENT '!A1518:N1546,14,0)</f>
        <v>#N/A</v>
      </c>
      <c r="AO2122" s="352" t="e">
        <f>+VLOOKUP(D2122,'INTEGRATION PAR CLIENT '!A1518:P1546,16,0)</f>
        <v>#N/A</v>
      </c>
    </row>
    <row r="2123" spans="1:41" ht="12">
      <c r="A2123" s="342">
        <v>243</v>
      </c>
      <c r="B2123" s="277" t="str">
        <f t="shared" ref="B2123:B2126" si="162">+RIGHT(D2123,3)</f>
        <v>243</v>
      </c>
      <c r="C2123" s="277">
        <v>0</v>
      </c>
      <c r="D2123" s="343" t="str">
        <f>'2025'!D244</f>
        <v>FAE-25-00243</v>
      </c>
      <c r="E2123" s="277" t="str">
        <f t="shared" ref="E2123:E2126" si="163">RIGHT(D2123,3)</f>
        <v>243</v>
      </c>
      <c r="F2123" s="618">
        <f>+'2025'!G244</f>
        <v>45894</v>
      </c>
      <c r="G2123" s="619">
        <f t="shared" ref="G2123:G2126" si="164">+YEAR(F2123)</f>
        <v>2025</v>
      </c>
      <c r="H2123" s="383" t="s">
        <v>16838</v>
      </c>
      <c r="I2123" s="277" t="str">
        <f>+VLOOKUP(H2123,Sheet1!A:C,3,0)</f>
        <v>TUNISIAN AFRICAN BUSINESS</v>
      </c>
      <c r="J2123" s="277" t="str">
        <f>+VLOOKUP(H2123,Sheet1!A:D,4,0)</f>
        <v>TND</v>
      </c>
      <c r="K2123" s="278">
        <f t="shared" ref="K2123:K2126" si="165">+L2123*M2123</f>
        <v>184900</v>
      </c>
      <c r="L2123" s="383">
        <v>1</v>
      </c>
      <c r="M2123" s="384">
        <v>184900</v>
      </c>
      <c r="N2123" s="277" t="str">
        <f>+VLOOKUP(E2123,'2025'!E:F,2,0)</f>
        <v>OUI</v>
      </c>
      <c r="O2123" s="277" t="str">
        <f>VLOOKUP(E2123,'2025'!E:N,10,0)</f>
        <v>Gabon</v>
      </c>
      <c r="P2123" s="890">
        <f>VLOOKUP(E2123,'2025'!E:O,11,0)</f>
        <v>45874</v>
      </c>
      <c r="Q2123" s="347">
        <f>VLOOKUP(E2123,'2025'!E:H,4,0)</f>
        <v>2400</v>
      </c>
      <c r="R2123" s="347">
        <f>VLOOKUP(E2123,'2025'!E:I,5,0)</f>
        <v>21000</v>
      </c>
      <c r="S2123" s="347">
        <f>VLOOKUP(E2123,'2025'!E:J,6,0)</f>
        <v>84000</v>
      </c>
      <c r="T2123" s="347">
        <f>VLOOKUP(E2123,'2025'!E:K,7,0)</f>
        <v>0</v>
      </c>
      <c r="U2123" s="347">
        <f t="shared" ref="U2123:U2126" si="166">SUM(Q2123:T2123)</f>
        <v>107400</v>
      </c>
      <c r="V2123" s="348"/>
      <c r="W2123" s="349" t="e">
        <f>+VLOOKUP(D2123,'JOURNAL FACTURES'!A:O,15,0)</f>
        <v>#N/A</v>
      </c>
      <c r="X2123" s="349" t="e">
        <f>VLOOKUP(D2123,'JOURNAL FACTURES'!A:P,16,0)</f>
        <v>#N/A</v>
      </c>
      <c r="Y2123" s="349" t="e">
        <f>VLOOKUP(D2123,'JOURNAL FACTURES'!A:Q,17,0)</f>
        <v>#N/A</v>
      </c>
      <c r="Z2123" s="349" t="e">
        <f>VLOOKUP(D2123,'JOURNAL FACTURES'!A:R,18,0)</f>
        <v>#N/A</v>
      </c>
      <c r="AA2123" s="350" t="e">
        <f t="shared" ref="AA2123:AA2126" si="167">+W2123/Q2123</f>
        <v>#N/A</v>
      </c>
      <c r="AB2123" s="350" t="e">
        <f t="shared" ref="AB2123:AB2126" si="168">+X2123/R2123</f>
        <v>#N/A</v>
      </c>
      <c r="AC2123" s="350" t="e">
        <f t="shared" ref="AC2123:AC2126" si="169">+Y2123/S2123</f>
        <v>#N/A</v>
      </c>
      <c r="AD2123" s="350" t="e">
        <f t="shared" ref="AD2123:AD2126" si="170">Z2123/T2123</f>
        <v>#N/A</v>
      </c>
      <c r="AE2123" s="349" t="e">
        <f>VLOOKUP(D2123,TRANSPORT!H:J,3,0)</f>
        <v>#N/A</v>
      </c>
      <c r="AF2123" s="349" t="e">
        <f>+VLOOKUP(D2123,TRANSPORT!N:O,2,0)</f>
        <v>#N/A</v>
      </c>
      <c r="AG2123" s="349" t="e">
        <f t="shared" ref="AG2123:AG2126" si="171">AF2123/U2123</f>
        <v>#N/A</v>
      </c>
      <c r="AH2123" s="351" t="e">
        <f t="shared" ref="AH2123:AH2126" si="172">AA2123-AG2123</f>
        <v>#N/A</v>
      </c>
      <c r="AI2123" s="351" t="e">
        <f t="shared" ref="AI2123:AI2126" si="173">AB2123-AG2123</f>
        <v>#N/A</v>
      </c>
      <c r="AJ2123" s="351" t="e">
        <f t="shared" ref="AJ2123:AJ2126" si="174">AC2123-AG2123</f>
        <v>#N/A</v>
      </c>
      <c r="AK2123" s="351" t="e">
        <f t="shared" ref="AK2123:AK2126" si="175">AD2123-AG2123</f>
        <v>#N/A</v>
      </c>
      <c r="AL2123" s="352" t="e">
        <f>VLOOKUP(D2123,'INTEGRATION PAR CLIENT '!A1519:J1547,10,0)</f>
        <v>#N/A</v>
      </c>
      <c r="AM2123" s="352" t="e">
        <f>VLOOKUP(D2123,'INTEGRATION PAR CLIENT '!A1519:L1547,12,0)</f>
        <v>#N/A</v>
      </c>
      <c r="AN2123" s="352" t="e">
        <f>+VLOOKUP(D2123,'INTEGRATION PAR CLIENT '!A1519:N1547,14,0)</f>
        <v>#N/A</v>
      </c>
      <c r="AO2123" s="352" t="e">
        <f>+VLOOKUP(D2123,'INTEGRATION PAR CLIENT '!A1519:P1547,16,0)</f>
        <v>#N/A</v>
      </c>
    </row>
    <row r="2124" spans="1:41" ht="12">
      <c r="A2124" s="342">
        <v>244</v>
      </c>
      <c r="B2124" s="277" t="str">
        <f t="shared" si="162"/>
        <v>244</v>
      </c>
      <c r="C2124" s="277">
        <v>0</v>
      </c>
      <c r="D2124" s="343" t="str">
        <f>'2025'!D245</f>
        <v>FAE-25-00244</v>
      </c>
      <c r="E2124" s="277" t="str">
        <f t="shared" si="163"/>
        <v>244</v>
      </c>
      <c r="F2124" s="618">
        <f>+'2025'!G245</f>
        <v>45894</v>
      </c>
      <c r="G2124" s="619">
        <f t="shared" si="164"/>
        <v>2025</v>
      </c>
      <c r="H2124" s="383" t="s">
        <v>16838</v>
      </c>
      <c r="I2124" s="277" t="str">
        <f>+VLOOKUP(H2124,Sheet1!A:C,3,0)</f>
        <v>TUNISIAN AFRICAN BUSINESS</v>
      </c>
      <c r="J2124" s="277" t="str">
        <f>+VLOOKUP(H2124,Sheet1!A:D,4,0)</f>
        <v>TND</v>
      </c>
      <c r="K2124" s="278">
        <f t="shared" si="165"/>
        <v>143080</v>
      </c>
      <c r="L2124" s="383">
        <v>1</v>
      </c>
      <c r="M2124" s="384">
        <v>143080</v>
      </c>
      <c r="N2124" s="277">
        <f>+VLOOKUP(E2124,'2025'!E:F,2,0)</f>
        <v>0</v>
      </c>
      <c r="O2124" s="277" t="str">
        <f>VLOOKUP(E2124,'2025'!E:N,10,0)</f>
        <v>Gabon</v>
      </c>
      <c r="P2124" s="890">
        <f>VLOOKUP(E2124,'2025'!E:O,11,0)</f>
        <v>0</v>
      </c>
      <c r="Q2124" s="347">
        <f>VLOOKUP(E2124,'2025'!E:H,4,0)</f>
        <v>0</v>
      </c>
      <c r="R2124" s="347">
        <f>VLOOKUP(E2124,'2025'!E:I,5,0)</f>
        <v>0</v>
      </c>
      <c r="S2124" s="347">
        <f>VLOOKUP(E2124,'2025'!E:J,6,0)</f>
        <v>84000</v>
      </c>
      <c r="T2124" s="347">
        <f>VLOOKUP(E2124,'2025'!E:K,7,0)</f>
        <v>0</v>
      </c>
      <c r="U2124" s="347">
        <f t="shared" si="166"/>
        <v>84000</v>
      </c>
      <c r="V2124" s="348"/>
      <c r="W2124" s="349" t="e">
        <f>+VLOOKUP(D2124,'JOURNAL FACTURES'!A:O,15,0)</f>
        <v>#N/A</v>
      </c>
      <c r="X2124" s="349" t="e">
        <f>VLOOKUP(D2124,'JOURNAL FACTURES'!A:P,16,0)</f>
        <v>#N/A</v>
      </c>
      <c r="Y2124" s="349" t="e">
        <f>VLOOKUP(D2124,'JOURNAL FACTURES'!A:Q,17,0)</f>
        <v>#N/A</v>
      </c>
      <c r="Z2124" s="349" t="e">
        <f>VLOOKUP(D2124,'JOURNAL FACTURES'!A:R,18,0)</f>
        <v>#N/A</v>
      </c>
      <c r="AA2124" s="350" t="e">
        <f t="shared" si="167"/>
        <v>#N/A</v>
      </c>
      <c r="AB2124" s="350" t="e">
        <f t="shared" si="168"/>
        <v>#N/A</v>
      </c>
      <c r="AC2124" s="350" t="e">
        <f t="shared" si="169"/>
        <v>#N/A</v>
      </c>
      <c r="AD2124" s="350" t="e">
        <f t="shared" si="170"/>
        <v>#N/A</v>
      </c>
      <c r="AE2124" s="349" t="e">
        <f>VLOOKUP(D2124,TRANSPORT!H:J,3,0)</f>
        <v>#N/A</v>
      </c>
      <c r="AF2124" s="349" t="e">
        <f>+VLOOKUP(D2124,TRANSPORT!N:O,2,0)</f>
        <v>#N/A</v>
      </c>
      <c r="AG2124" s="349" t="e">
        <f t="shared" si="171"/>
        <v>#N/A</v>
      </c>
      <c r="AH2124" s="351" t="e">
        <f t="shared" si="172"/>
        <v>#N/A</v>
      </c>
      <c r="AI2124" s="351" t="e">
        <f t="shared" si="173"/>
        <v>#N/A</v>
      </c>
      <c r="AJ2124" s="351" t="e">
        <f t="shared" si="174"/>
        <v>#N/A</v>
      </c>
      <c r="AK2124" s="351" t="e">
        <f t="shared" si="175"/>
        <v>#N/A</v>
      </c>
      <c r="AL2124" s="352" t="e">
        <f>VLOOKUP(D2124,'INTEGRATION PAR CLIENT '!A1520:J1548,10,0)</f>
        <v>#N/A</v>
      </c>
      <c r="AM2124" s="352" t="e">
        <f>VLOOKUP(D2124,'INTEGRATION PAR CLIENT '!A1520:L1548,12,0)</f>
        <v>#N/A</v>
      </c>
      <c r="AN2124" s="352" t="e">
        <f>+VLOOKUP(D2124,'INTEGRATION PAR CLIENT '!A1520:N1548,14,0)</f>
        <v>#N/A</v>
      </c>
      <c r="AO2124" s="352" t="e">
        <f>+VLOOKUP(D2124,'INTEGRATION PAR CLIENT '!A1520:P1548,16,0)</f>
        <v>#N/A</v>
      </c>
    </row>
    <row r="2125" spans="1:41" ht="12">
      <c r="A2125" s="342">
        <v>245</v>
      </c>
      <c r="B2125" s="277" t="str">
        <f t="shared" si="162"/>
        <v>245</v>
      </c>
      <c r="C2125" s="277">
        <v>0</v>
      </c>
      <c r="D2125" s="343" t="str">
        <f>'2025'!D246</f>
        <v>FAE-25-00245</v>
      </c>
      <c r="E2125" s="277" t="str">
        <f t="shared" si="163"/>
        <v>245</v>
      </c>
      <c r="F2125" s="618">
        <f>+'2025'!G246</f>
        <v>45894</v>
      </c>
      <c r="G2125" s="619">
        <f t="shared" si="164"/>
        <v>2025</v>
      </c>
      <c r="H2125" s="383" t="s">
        <v>17302</v>
      </c>
      <c r="I2125" s="277" t="str">
        <f>+VLOOKUP(H2125,Sheet1!A:C,3,0)</f>
        <v>FOODMED</v>
      </c>
      <c r="J2125" s="277" t="str">
        <f>+VLOOKUP(H2125,Sheet1!A:D,4,0)</f>
        <v>EUR</v>
      </c>
      <c r="K2125" s="278">
        <f t="shared" si="165"/>
        <v>24632.742600000001</v>
      </c>
      <c r="L2125" s="383">
        <v>3.4132500000000001</v>
      </c>
      <c r="M2125" s="384">
        <v>7216.8</v>
      </c>
      <c r="N2125" s="277">
        <f>+VLOOKUP(E2125,'2025'!E:F,2,0)</f>
        <v>0</v>
      </c>
      <c r="O2125" s="277" t="str">
        <f>VLOOKUP(E2125,'2025'!E:N,10,0)</f>
        <v>France</v>
      </c>
      <c r="P2125" s="890">
        <f>VLOOKUP(E2125,'2025'!E:O,11,0)</f>
        <v>0</v>
      </c>
      <c r="Q2125" s="347">
        <f>VLOOKUP(E2125,'2025'!E:H,4,0)</f>
        <v>3200</v>
      </c>
      <c r="R2125" s="347">
        <f>VLOOKUP(E2125,'2025'!E:I,5,0)</f>
        <v>15000</v>
      </c>
      <c r="S2125" s="347">
        <f>VLOOKUP(E2125,'2025'!E:J,6,0)</f>
        <v>2400</v>
      </c>
      <c r="T2125" s="347">
        <f>VLOOKUP(E2125,'2025'!E:K,7,0)</f>
        <v>1680</v>
      </c>
      <c r="U2125" s="347">
        <f t="shared" si="166"/>
        <v>22280</v>
      </c>
      <c r="V2125" s="348"/>
      <c r="W2125" s="349" t="e">
        <f>+VLOOKUP(D2125,'JOURNAL FACTURES'!A:O,15,0)</f>
        <v>#N/A</v>
      </c>
      <c r="X2125" s="349" t="e">
        <f>VLOOKUP(D2125,'JOURNAL FACTURES'!A:P,16,0)</f>
        <v>#N/A</v>
      </c>
      <c r="Y2125" s="349" t="e">
        <f>VLOOKUP(D2125,'JOURNAL FACTURES'!A:Q,17,0)</f>
        <v>#N/A</v>
      </c>
      <c r="Z2125" s="349" t="e">
        <f>VLOOKUP(D2125,'JOURNAL FACTURES'!A:R,18,0)</f>
        <v>#N/A</v>
      </c>
      <c r="AA2125" s="350" t="e">
        <f t="shared" si="167"/>
        <v>#N/A</v>
      </c>
      <c r="AB2125" s="350" t="e">
        <f t="shared" si="168"/>
        <v>#N/A</v>
      </c>
      <c r="AC2125" s="350" t="e">
        <f t="shared" si="169"/>
        <v>#N/A</v>
      </c>
      <c r="AD2125" s="350" t="e">
        <f t="shared" si="170"/>
        <v>#N/A</v>
      </c>
      <c r="AE2125" s="349" t="e">
        <f>VLOOKUP(D2125,TRANSPORT!H:J,3,0)</f>
        <v>#N/A</v>
      </c>
      <c r="AF2125" s="349" t="e">
        <f>+VLOOKUP(D2125,TRANSPORT!N:O,2,0)</f>
        <v>#N/A</v>
      </c>
      <c r="AG2125" s="349" t="e">
        <f t="shared" si="171"/>
        <v>#N/A</v>
      </c>
      <c r="AH2125" s="351" t="e">
        <f t="shared" si="172"/>
        <v>#N/A</v>
      </c>
      <c r="AI2125" s="351" t="e">
        <f t="shared" si="173"/>
        <v>#N/A</v>
      </c>
      <c r="AJ2125" s="351" t="e">
        <f t="shared" si="174"/>
        <v>#N/A</v>
      </c>
      <c r="AK2125" s="351" t="e">
        <f t="shared" si="175"/>
        <v>#N/A</v>
      </c>
      <c r="AL2125" s="352" t="e">
        <f>VLOOKUP(D2125,'INTEGRATION PAR CLIENT '!A1521:J1549,10,0)</f>
        <v>#N/A</v>
      </c>
      <c r="AM2125" s="352" t="e">
        <f>VLOOKUP(D2125,'INTEGRATION PAR CLIENT '!A1521:L1549,12,0)</f>
        <v>#N/A</v>
      </c>
      <c r="AN2125" s="352" t="e">
        <f>+VLOOKUP(D2125,'INTEGRATION PAR CLIENT '!A1521:N1549,14,0)</f>
        <v>#N/A</v>
      </c>
      <c r="AO2125" s="352" t="e">
        <f>+VLOOKUP(D2125,'INTEGRATION PAR CLIENT '!A1521:P1549,16,0)</f>
        <v>#N/A</v>
      </c>
    </row>
    <row r="2126" spans="1:41" ht="12">
      <c r="A2126" s="342">
        <v>246</v>
      </c>
      <c r="B2126" s="277" t="str">
        <f t="shared" si="162"/>
        <v>246</v>
      </c>
      <c r="C2126" s="277">
        <v>0</v>
      </c>
      <c r="D2126" s="343" t="str">
        <f>'2025'!D247</f>
        <v>FAE-25-00246</v>
      </c>
      <c r="E2126" s="277" t="str">
        <f t="shared" si="163"/>
        <v>246</v>
      </c>
      <c r="F2126" s="618">
        <f>+'2025'!G247</f>
        <v>45894</v>
      </c>
      <c r="G2126" s="619">
        <f t="shared" si="164"/>
        <v>2025</v>
      </c>
      <c r="H2126" s="383" t="s">
        <v>17302</v>
      </c>
      <c r="I2126" s="277" t="str">
        <f>+VLOOKUP(H2126,Sheet1!A:C,3,0)</f>
        <v>FOODMED</v>
      </c>
      <c r="J2126" s="277" t="str">
        <f>+VLOOKUP(H2126,Sheet1!A:D,4,0)</f>
        <v>EUR</v>
      </c>
      <c r="K2126" s="278">
        <f t="shared" si="165"/>
        <v>30460.662179999999</v>
      </c>
      <c r="L2126" s="383">
        <v>3.4132500000000001</v>
      </c>
      <c r="M2126" s="384">
        <v>8924.24</v>
      </c>
      <c r="N2126" s="277" t="str">
        <f>+VLOOKUP(E2126,'2025'!E:F,2,0)</f>
        <v>OUI</v>
      </c>
      <c r="O2126" s="277" t="str">
        <f>VLOOKUP(E2126,'2025'!E:N,10,0)</f>
        <v>France</v>
      </c>
      <c r="P2126" s="890">
        <f>VLOOKUP(E2126,'2025'!E:O,11,0)</f>
        <v>45908</v>
      </c>
      <c r="Q2126" s="347">
        <f>VLOOKUP(E2126,'2025'!E:H,4,0)</f>
        <v>0</v>
      </c>
      <c r="R2126" s="347">
        <f>VLOOKUP(E2126,'2025'!E:I,5,0)</f>
        <v>16296</v>
      </c>
      <c r="S2126" s="347">
        <f>VLOOKUP(E2126,'2025'!E:J,6,0)</f>
        <v>4800</v>
      </c>
      <c r="T2126" s="347">
        <f>VLOOKUP(E2126,'2025'!E:K,7,0)</f>
        <v>2800</v>
      </c>
      <c r="U2126" s="347">
        <f t="shared" si="166"/>
        <v>23896</v>
      </c>
      <c r="V2126" s="348"/>
      <c r="W2126" s="349" t="e">
        <f>+VLOOKUP(D2126,'JOURNAL FACTURES'!A:O,15,0)</f>
        <v>#N/A</v>
      </c>
      <c r="X2126" s="349" t="e">
        <f>VLOOKUP(D2126,'JOURNAL FACTURES'!A:P,16,0)</f>
        <v>#N/A</v>
      </c>
      <c r="Y2126" s="349" t="e">
        <f>VLOOKUP(D2126,'JOURNAL FACTURES'!A:Q,17,0)</f>
        <v>#N/A</v>
      </c>
      <c r="Z2126" s="349" t="e">
        <f>VLOOKUP(D2126,'JOURNAL FACTURES'!A:R,18,0)</f>
        <v>#N/A</v>
      </c>
      <c r="AA2126" s="350" t="e">
        <f t="shared" si="167"/>
        <v>#N/A</v>
      </c>
      <c r="AB2126" s="350" t="e">
        <f t="shared" si="168"/>
        <v>#N/A</v>
      </c>
      <c r="AC2126" s="350" t="e">
        <f t="shared" si="169"/>
        <v>#N/A</v>
      </c>
      <c r="AD2126" s="350" t="e">
        <f t="shared" si="170"/>
        <v>#N/A</v>
      </c>
      <c r="AE2126" s="349" t="e">
        <f>VLOOKUP(D2126,TRANSPORT!H:J,3,0)</f>
        <v>#N/A</v>
      </c>
      <c r="AF2126" s="349" t="e">
        <f>+VLOOKUP(D2126,TRANSPORT!N:O,2,0)</f>
        <v>#N/A</v>
      </c>
      <c r="AG2126" s="349" t="e">
        <f t="shared" si="171"/>
        <v>#N/A</v>
      </c>
      <c r="AH2126" s="351" t="e">
        <f t="shared" si="172"/>
        <v>#N/A</v>
      </c>
      <c r="AI2126" s="351" t="e">
        <f t="shared" si="173"/>
        <v>#N/A</v>
      </c>
      <c r="AJ2126" s="351" t="e">
        <f t="shared" si="174"/>
        <v>#N/A</v>
      </c>
      <c r="AK2126" s="351" t="e">
        <f t="shared" si="175"/>
        <v>#N/A</v>
      </c>
      <c r="AL2126" s="352" t="e">
        <f>VLOOKUP(D2126,'INTEGRATION PAR CLIENT '!A1522:J1550,10,0)</f>
        <v>#N/A</v>
      </c>
      <c r="AM2126" s="352" t="e">
        <f>VLOOKUP(D2126,'INTEGRATION PAR CLIENT '!A1522:L1550,12,0)</f>
        <v>#N/A</v>
      </c>
      <c r="AN2126" s="352" t="e">
        <f>+VLOOKUP(D2126,'INTEGRATION PAR CLIENT '!A1522:N1550,14,0)</f>
        <v>#N/A</v>
      </c>
      <c r="AO2126" s="352" t="e">
        <f>+VLOOKUP(D2126,'INTEGRATION PAR CLIENT '!A1522:P1550,16,0)</f>
        <v>#N/A</v>
      </c>
    </row>
    <row r="2127" spans="1:41" ht="12">
      <c r="A2127" s="342">
        <v>246</v>
      </c>
      <c r="B2127" s="277" t="str">
        <f t="shared" ref="B2127:B2140" si="176">+RIGHT(D2127,3)</f>
        <v>247</v>
      </c>
      <c r="C2127" s="277">
        <v>0</v>
      </c>
      <c r="D2127" s="343" t="str">
        <f>'2025'!D248</f>
        <v>FAE-25-00247</v>
      </c>
      <c r="E2127" s="277" t="str">
        <f t="shared" ref="E2127:E2140" si="177">RIGHT(D2127,3)</f>
        <v>247</v>
      </c>
      <c r="F2127" s="618">
        <f>+'2025'!G248</f>
        <v>0</v>
      </c>
      <c r="G2127" s="619">
        <f t="shared" ref="G2127:G2140" si="178">+YEAR(F2127)</f>
        <v>1900</v>
      </c>
      <c r="H2127" s="383"/>
      <c r="I2127" s="277" t="e">
        <f>+VLOOKUP(H2127,Sheet1!A:C,3,0)</f>
        <v>#N/A</v>
      </c>
      <c r="J2127" s="277" t="e">
        <f>+VLOOKUP(H2127,Sheet1!A:D,4,0)</f>
        <v>#N/A</v>
      </c>
      <c r="K2127" s="278">
        <f t="shared" ref="K2127:K2140" si="179">+L2127*M2127</f>
        <v>0</v>
      </c>
      <c r="L2127" s="383"/>
      <c r="M2127" s="384"/>
      <c r="N2127" s="277">
        <f>+VLOOKUP(E2127,'2025'!E:F,2,0)</f>
        <v>0</v>
      </c>
      <c r="O2127" s="277">
        <f>VLOOKUP(E2127,'2025'!E:N,10,0)</f>
        <v>0</v>
      </c>
      <c r="P2127" s="890">
        <f>VLOOKUP(E2127,'2025'!E:O,11,0)</f>
        <v>0</v>
      </c>
      <c r="Q2127" s="347">
        <f>VLOOKUP(E2127,'2025'!E:H,4,0)</f>
        <v>0</v>
      </c>
      <c r="R2127" s="347">
        <f>VLOOKUP(E2127,'2025'!E:I,5,0)</f>
        <v>0</v>
      </c>
      <c r="S2127" s="347">
        <f>VLOOKUP(E2127,'2025'!E:J,6,0)</f>
        <v>0</v>
      </c>
      <c r="T2127" s="347">
        <f>VLOOKUP(E2127,'2025'!E:K,7,0)</f>
        <v>0</v>
      </c>
      <c r="U2127" s="347">
        <f t="shared" ref="U2127:U2140" si="180">SUM(Q2127:T2127)</f>
        <v>0</v>
      </c>
      <c r="V2127" s="348"/>
      <c r="W2127" s="349" t="e">
        <f>+VLOOKUP(D2127,'JOURNAL FACTURES'!A:O,15,0)</f>
        <v>#N/A</v>
      </c>
      <c r="X2127" s="349" t="e">
        <f>VLOOKUP(D2127,'JOURNAL FACTURES'!A:P,16,0)</f>
        <v>#N/A</v>
      </c>
      <c r="Y2127" s="349" t="e">
        <f>VLOOKUP(D2127,'JOURNAL FACTURES'!A:Q,17,0)</f>
        <v>#N/A</v>
      </c>
      <c r="Z2127" s="349" t="e">
        <f>VLOOKUP(D2127,'JOURNAL FACTURES'!A:R,18,0)</f>
        <v>#N/A</v>
      </c>
      <c r="AA2127" s="350" t="e">
        <f t="shared" ref="AA2127:AA2140" si="181">+W2127/Q2127</f>
        <v>#N/A</v>
      </c>
      <c r="AB2127" s="350" t="e">
        <f t="shared" ref="AB2127:AB2140" si="182">+X2127/R2127</f>
        <v>#N/A</v>
      </c>
      <c r="AC2127" s="350" t="e">
        <f t="shared" ref="AC2127:AC2140" si="183">+Y2127/S2127</f>
        <v>#N/A</v>
      </c>
      <c r="AD2127" s="350" t="e">
        <f t="shared" ref="AD2127:AD2140" si="184">Z2127/T2127</f>
        <v>#N/A</v>
      </c>
      <c r="AE2127" s="349" t="e">
        <f>VLOOKUP(D2127,TRANSPORT!H:J,3,0)</f>
        <v>#N/A</v>
      </c>
      <c r="AF2127" s="349" t="e">
        <f>+VLOOKUP(D2127,TRANSPORT!N:O,2,0)</f>
        <v>#N/A</v>
      </c>
      <c r="AG2127" s="349" t="e">
        <f t="shared" ref="AG2127:AG2140" si="185">AF2127/U2127</f>
        <v>#N/A</v>
      </c>
      <c r="AH2127" s="351" t="e">
        <f t="shared" ref="AH2127:AH2140" si="186">AA2127-AG2127</f>
        <v>#N/A</v>
      </c>
      <c r="AI2127" s="351" t="e">
        <f t="shared" ref="AI2127:AI2140" si="187">AB2127-AG2127</f>
        <v>#N/A</v>
      </c>
      <c r="AJ2127" s="351" t="e">
        <f t="shared" ref="AJ2127:AJ2140" si="188">AC2127-AG2127</f>
        <v>#N/A</v>
      </c>
      <c r="AK2127" s="351" t="e">
        <f t="shared" ref="AK2127:AK2140" si="189">AD2127-AG2127</f>
        <v>#N/A</v>
      </c>
      <c r="AL2127" s="352" t="e">
        <f>VLOOKUP(D2127,'INTEGRATION PAR CLIENT '!A1523:J1551,10,0)</f>
        <v>#N/A</v>
      </c>
      <c r="AM2127" s="352" t="e">
        <f>VLOOKUP(D2127,'INTEGRATION PAR CLIENT '!A1523:L1551,12,0)</f>
        <v>#N/A</v>
      </c>
      <c r="AN2127" s="352" t="e">
        <f>+VLOOKUP(D2127,'INTEGRATION PAR CLIENT '!A1523:N1551,14,0)</f>
        <v>#N/A</v>
      </c>
      <c r="AO2127" s="352" t="e">
        <f>+VLOOKUP(D2127,'INTEGRATION PAR CLIENT '!A1523:P1551,16,0)</f>
        <v>#N/A</v>
      </c>
    </row>
    <row r="2128" spans="1:41" ht="12">
      <c r="A2128" s="342">
        <v>246</v>
      </c>
      <c r="B2128" s="277" t="str">
        <f t="shared" si="176"/>
        <v>248</v>
      </c>
      <c r="C2128" s="277">
        <v>0</v>
      </c>
      <c r="D2128" s="343" t="str">
        <f>'2025'!D249</f>
        <v>FAE-25-00248</v>
      </c>
      <c r="E2128" s="277" t="str">
        <f t="shared" si="177"/>
        <v>248</v>
      </c>
      <c r="F2128" s="618">
        <f>+'2025'!G249</f>
        <v>0</v>
      </c>
      <c r="G2128" s="619">
        <f t="shared" si="178"/>
        <v>1900</v>
      </c>
      <c r="H2128" s="383"/>
      <c r="I2128" s="277" t="e">
        <f>+VLOOKUP(H2128,Sheet1!A:C,3,0)</f>
        <v>#N/A</v>
      </c>
      <c r="J2128" s="277" t="e">
        <f>+VLOOKUP(H2128,Sheet1!A:D,4,0)</f>
        <v>#N/A</v>
      </c>
      <c r="K2128" s="278">
        <f t="shared" si="179"/>
        <v>0</v>
      </c>
      <c r="L2128" s="383"/>
      <c r="M2128" s="384"/>
      <c r="N2128" s="277">
        <f>+VLOOKUP(E2128,'2025'!E:F,2,0)</f>
        <v>0</v>
      </c>
      <c r="O2128" s="277">
        <f>VLOOKUP(E2128,'2025'!E:N,10,0)</f>
        <v>0</v>
      </c>
      <c r="P2128" s="890">
        <f>VLOOKUP(E2128,'2025'!E:O,11,0)</f>
        <v>0</v>
      </c>
      <c r="Q2128" s="347">
        <f>VLOOKUP(E2128,'2025'!E:H,4,0)</f>
        <v>0</v>
      </c>
      <c r="R2128" s="347">
        <f>VLOOKUP(E2128,'2025'!E:I,5,0)</f>
        <v>0</v>
      </c>
      <c r="S2128" s="347">
        <f>VLOOKUP(E2128,'2025'!E:J,6,0)</f>
        <v>0</v>
      </c>
      <c r="T2128" s="347">
        <f>VLOOKUP(E2128,'2025'!E:K,7,0)</f>
        <v>0</v>
      </c>
      <c r="U2128" s="347">
        <f t="shared" si="180"/>
        <v>0</v>
      </c>
      <c r="V2128" s="348"/>
      <c r="W2128" s="349" t="e">
        <f>+VLOOKUP(D2128,'JOURNAL FACTURES'!A:O,15,0)</f>
        <v>#N/A</v>
      </c>
      <c r="X2128" s="349" t="e">
        <f>VLOOKUP(D2128,'JOURNAL FACTURES'!A:P,16,0)</f>
        <v>#N/A</v>
      </c>
      <c r="Y2128" s="349" t="e">
        <f>VLOOKUP(D2128,'JOURNAL FACTURES'!A:Q,17,0)</f>
        <v>#N/A</v>
      </c>
      <c r="Z2128" s="349" t="e">
        <f>VLOOKUP(D2128,'JOURNAL FACTURES'!A:R,18,0)</f>
        <v>#N/A</v>
      </c>
      <c r="AA2128" s="350" t="e">
        <f t="shared" si="181"/>
        <v>#N/A</v>
      </c>
      <c r="AB2128" s="350" t="e">
        <f t="shared" si="182"/>
        <v>#N/A</v>
      </c>
      <c r="AC2128" s="350" t="e">
        <f t="shared" si="183"/>
        <v>#N/A</v>
      </c>
      <c r="AD2128" s="350" t="e">
        <f t="shared" si="184"/>
        <v>#N/A</v>
      </c>
      <c r="AE2128" s="349" t="e">
        <f>VLOOKUP(D2128,TRANSPORT!H:J,3,0)</f>
        <v>#N/A</v>
      </c>
      <c r="AF2128" s="349" t="e">
        <f>+VLOOKUP(D2128,TRANSPORT!N:O,2,0)</f>
        <v>#N/A</v>
      </c>
      <c r="AG2128" s="349" t="e">
        <f t="shared" si="185"/>
        <v>#N/A</v>
      </c>
      <c r="AH2128" s="351" t="e">
        <f t="shared" si="186"/>
        <v>#N/A</v>
      </c>
      <c r="AI2128" s="351" t="e">
        <f t="shared" si="187"/>
        <v>#N/A</v>
      </c>
      <c r="AJ2128" s="351" t="e">
        <f t="shared" si="188"/>
        <v>#N/A</v>
      </c>
      <c r="AK2128" s="351" t="e">
        <f t="shared" si="189"/>
        <v>#N/A</v>
      </c>
      <c r="AL2128" s="352" t="e">
        <f>VLOOKUP(D2128,'INTEGRATION PAR CLIENT '!A1524:J1552,10,0)</f>
        <v>#N/A</v>
      </c>
      <c r="AM2128" s="352" t="e">
        <f>VLOOKUP(D2128,'INTEGRATION PAR CLIENT '!A1524:L1552,12,0)</f>
        <v>#N/A</v>
      </c>
      <c r="AN2128" s="352" t="e">
        <f>+VLOOKUP(D2128,'INTEGRATION PAR CLIENT '!A1524:N1552,14,0)</f>
        <v>#N/A</v>
      </c>
      <c r="AO2128" s="352" t="e">
        <f>+VLOOKUP(D2128,'INTEGRATION PAR CLIENT '!A1524:P1552,16,0)</f>
        <v>#N/A</v>
      </c>
    </row>
    <row r="2129" spans="1:41" ht="12">
      <c r="A2129" s="342">
        <v>246</v>
      </c>
      <c r="B2129" s="277" t="str">
        <f t="shared" si="176"/>
        <v>249</v>
      </c>
      <c r="C2129" s="277">
        <v>0</v>
      </c>
      <c r="D2129" s="343" t="str">
        <f>'2025'!D250</f>
        <v>FAE-25-00249</v>
      </c>
      <c r="E2129" s="277" t="str">
        <f t="shared" si="177"/>
        <v>249</v>
      </c>
      <c r="F2129" s="618">
        <f>+'2025'!G250</f>
        <v>0</v>
      </c>
      <c r="G2129" s="619">
        <f t="shared" si="178"/>
        <v>1900</v>
      </c>
      <c r="H2129" s="383"/>
      <c r="I2129" s="277" t="e">
        <f>+VLOOKUP(H2129,Sheet1!A:C,3,0)</f>
        <v>#N/A</v>
      </c>
      <c r="J2129" s="277" t="e">
        <f>+VLOOKUP(H2129,Sheet1!A:D,4,0)</f>
        <v>#N/A</v>
      </c>
      <c r="K2129" s="278">
        <f t="shared" si="179"/>
        <v>0</v>
      </c>
      <c r="L2129" s="383"/>
      <c r="M2129" s="384"/>
      <c r="N2129" s="277">
        <f>+VLOOKUP(E2129,'2025'!E:F,2,0)</f>
        <v>0</v>
      </c>
      <c r="O2129" s="277">
        <f>VLOOKUP(E2129,'2025'!E:N,10,0)</f>
        <v>0</v>
      </c>
      <c r="P2129" s="890">
        <f>VLOOKUP(E2129,'2025'!E:O,11,0)</f>
        <v>0</v>
      </c>
      <c r="Q2129" s="347">
        <f>VLOOKUP(E2129,'2025'!E:H,4,0)</f>
        <v>0</v>
      </c>
      <c r="R2129" s="347">
        <f>VLOOKUP(E2129,'2025'!E:I,5,0)</f>
        <v>0</v>
      </c>
      <c r="S2129" s="347">
        <f>VLOOKUP(E2129,'2025'!E:J,6,0)</f>
        <v>0</v>
      </c>
      <c r="T2129" s="347">
        <f>VLOOKUP(E2129,'2025'!E:K,7,0)</f>
        <v>0</v>
      </c>
      <c r="U2129" s="347">
        <f t="shared" si="180"/>
        <v>0</v>
      </c>
      <c r="V2129" s="348"/>
      <c r="W2129" s="349" t="e">
        <f>+VLOOKUP(D2129,'JOURNAL FACTURES'!A:O,15,0)</f>
        <v>#N/A</v>
      </c>
      <c r="X2129" s="349" t="e">
        <f>VLOOKUP(D2129,'JOURNAL FACTURES'!A:P,16,0)</f>
        <v>#N/A</v>
      </c>
      <c r="Y2129" s="349" t="e">
        <f>VLOOKUP(D2129,'JOURNAL FACTURES'!A:Q,17,0)</f>
        <v>#N/A</v>
      </c>
      <c r="Z2129" s="349" t="e">
        <f>VLOOKUP(D2129,'JOURNAL FACTURES'!A:R,18,0)</f>
        <v>#N/A</v>
      </c>
      <c r="AA2129" s="350" t="e">
        <f t="shared" si="181"/>
        <v>#N/A</v>
      </c>
      <c r="AB2129" s="350" t="e">
        <f t="shared" si="182"/>
        <v>#N/A</v>
      </c>
      <c r="AC2129" s="350" t="e">
        <f t="shared" si="183"/>
        <v>#N/A</v>
      </c>
      <c r="AD2129" s="350" t="e">
        <f t="shared" si="184"/>
        <v>#N/A</v>
      </c>
      <c r="AE2129" s="349" t="e">
        <f>VLOOKUP(D2129,TRANSPORT!H:J,3,0)</f>
        <v>#N/A</v>
      </c>
      <c r="AF2129" s="349" t="e">
        <f>+VLOOKUP(D2129,TRANSPORT!N:O,2,0)</f>
        <v>#N/A</v>
      </c>
      <c r="AG2129" s="349" t="e">
        <f t="shared" si="185"/>
        <v>#N/A</v>
      </c>
      <c r="AH2129" s="351" t="e">
        <f t="shared" si="186"/>
        <v>#N/A</v>
      </c>
      <c r="AI2129" s="351" t="e">
        <f t="shared" si="187"/>
        <v>#N/A</v>
      </c>
      <c r="AJ2129" s="351" t="e">
        <f t="shared" si="188"/>
        <v>#N/A</v>
      </c>
      <c r="AK2129" s="351" t="e">
        <f t="shared" si="189"/>
        <v>#N/A</v>
      </c>
      <c r="AL2129" s="352" t="e">
        <f>VLOOKUP(D2129,'INTEGRATION PAR CLIENT '!A1525:J1553,10,0)</f>
        <v>#N/A</v>
      </c>
      <c r="AM2129" s="352" t="e">
        <f>VLOOKUP(D2129,'INTEGRATION PAR CLIENT '!A1525:L1553,12,0)</f>
        <v>#N/A</v>
      </c>
      <c r="AN2129" s="352" t="e">
        <f>+VLOOKUP(D2129,'INTEGRATION PAR CLIENT '!A1525:N1553,14,0)</f>
        <v>#N/A</v>
      </c>
      <c r="AO2129" s="352" t="e">
        <f>+VLOOKUP(D2129,'INTEGRATION PAR CLIENT '!A1525:P1553,16,0)</f>
        <v>#N/A</v>
      </c>
    </row>
    <row r="2130" spans="1:41" ht="12">
      <c r="A2130" s="342">
        <v>246</v>
      </c>
      <c r="B2130" s="277" t="str">
        <f t="shared" si="176"/>
        <v>250</v>
      </c>
      <c r="C2130" s="277">
        <v>0</v>
      </c>
      <c r="D2130" s="343" t="str">
        <f>'2025'!D251</f>
        <v>FAE-25-00250</v>
      </c>
      <c r="E2130" s="277" t="str">
        <f t="shared" si="177"/>
        <v>250</v>
      </c>
      <c r="F2130" s="618">
        <f>+'2025'!G251</f>
        <v>0</v>
      </c>
      <c r="G2130" s="619">
        <f t="shared" si="178"/>
        <v>1900</v>
      </c>
      <c r="H2130" s="383"/>
      <c r="I2130" s="277" t="e">
        <f>+VLOOKUP(H2130,Sheet1!A:C,3,0)</f>
        <v>#N/A</v>
      </c>
      <c r="J2130" s="277" t="e">
        <f>+VLOOKUP(H2130,Sheet1!A:D,4,0)</f>
        <v>#N/A</v>
      </c>
      <c r="K2130" s="278">
        <f t="shared" si="179"/>
        <v>0</v>
      </c>
      <c r="L2130" s="383"/>
      <c r="M2130" s="384"/>
      <c r="N2130" s="277">
        <f>+VLOOKUP(E2130,'2025'!E:F,2,0)</f>
        <v>0</v>
      </c>
      <c r="O2130" s="277">
        <f>VLOOKUP(E2130,'2025'!E:N,10,0)</f>
        <v>0</v>
      </c>
      <c r="P2130" s="890">
        <f>VLOOKUP(E2130,'2025'!E:O,11,0)</f>
        <v>0</v>
      </c>
      <c r="Q2130" s="347">
        <f>VLOOKUP(E2130,'2025'!E:H,4,0)</f>
        <v>0</v>
      </c>
      <c r="R2130" s="347">
        <f>VLOOKUP(E2130,'2025'!E:I,5,0)</f>
        <v>0</v>
      </c>
      <c r="S2130" s="347">
        <f>VLOOKUP(E2130,'2025'!E:J,6,0)</f>
        <v>0</v>
      </c>
      <c r="T2130" s="347">
        <f>VLOOKUP(E2130,'2025'!E:K,7,0)</f>
        <v>0</v>
      </c>
      <c r="U2130" s="347">
        <f t="shared" si="180"/>
        <v>0</v>
      </c>
      <c r="V2130" s="348"/>
      <c r="W2130" s="349" t="e">
        <f>+VLOOKUP(D2130,'JOURNAL FACTURES'!A:O,15,0)</f>
        <v>#N/A</v>
      </c>
      <c r="X2130" s="349" t="e">
        <f>VLOOKUP(D2130,'JOURNAL FACTURES'!A:P,16,0)</f>
        <v>#N/A</v>
      </c>
      <c r="Y2130" s="349" t="e">
        <f>VLOOKUP(D2130,'JOURNAL FACTURES'!A:Q,17,0)</f>
        <v>#N/A</v>
      </c>
      <c r="Z2130" s="349" t="e">
        <f>VLOOKUP(D2130,'JOURNAL FACTURES'!A:R,18,0)</f>
        <v>#N/A</v>
      </c>
      <c r="AA2130" s="350" t="e">
        <f t="shared" si="181"/>
        <v>#N/A</v>
      </c>
      <c r="AB2130" s="350" t="e">
        <f t="shared" si="182"/>
        <v>#N/A</v>
      </c>
      <c r="AC2130" s="350" t="e">
        <f t="shared" si="183"/>
        <v>#N/A</v>
      </c>
      <c r="AD2130" s="350" t="e">
        <f t="shared" si="184"/>
        <v>#N/A</v>
      </c>
      <c r="AE2130" s="349" t="e">
        <f>VLOOKUP(D2130,TRANSPORT!H:J,3,0)</f>
        <v>#N/A</v>
      </c>
      <c r="AF2130" s="349" t="e">
        <f>+VLOOKUP(D2130,TRANSPORT!N:O,2,0)</f>
        <v>#N/A</v>
      </c>
      <c r="AG2130" s="349" t="e">
        <f t="shared" si="185"/>
        <v>#N/A</v>
      </c>
      <c r="AH2130" s="351" t="e">
        <f t="shared" si="186"/>
        <v>#N/A</v>
      </c>
      <c r="AI2130" s="351" t="e">
        <f t="shared" si="187"/>
        <v>#N/A</v>
      </c>
      <c r="AJ2130" s="351" t="e">
        <f t="shared" si="188"/>
        <v>#N/A</v>
      </c>
      <c r="AK2130" s="351" t="e">
        <f t="shared" si="189"/>
        <v>#N/A</v>
      </c>
      <c r="AL2130" s="352" t="e">
        <f>VLOOKUP(D2130,'INTEGRATION PAR CLIENT '!A1526:J1554,10,0)</f>
        <v>#N/A</v>
      </c>
      <c r="AM2130" s="352" t="e">
        <f>VLOOKUP(D2130,'INTEGRATION PAR CLIENT '!A1526:L1554,12,0)</f>
        <v>#N/A</v>
      </c>
      <c r="AN2130" s="352" t="e">
        <f>+VLOOKUP(D2130,'INTEGRATION PAR CLIENT '!A1526:N1554,14,0)</f>
        <v>#N/A</v>
      </c>
      <c r="AO2130" s="352" t="e">
        <f>+VLOOKUP(D2130,'INTEGRATION PAR CLIENT '!A1526:P1554,16,0)</f>
        <v>#N/A</v>
      </c>
    </row>
    <row r="2131" spans="1:41" ht="12">
      <c r="A2131" s="342">
        <v>246</v>
      </c>
      <c r="B2131" s="277" t="str">
        <f t="shared" si="176"/>
        <v>251</v>
      </c>
      <c r="C2131" s="277">
        <v>0</v>
      </c>
      <c r="D2131" s="343" t="str">
        <f>'2025'!D252</f>
        <v>FAE-25-00251</v>
      </c>
      <c r="E2131" s="277" t="str">
        <f t="shared" si="177"/>
        <v>251</v>
      </c>
      <c r="F2131" s="618">
        <f>+'2025'!G252</f>
        <v>0</v>
      </c>
      <c r="G2131" s="619">
        <f t="shared" si="178"/>
        <v>1900</v>
      </c>
      <c r="H2131" s="383"/>
      <c r="I2131" s="277" t="e">
        <f>+VLOOKUP(H2131,Sheet1!A:C,3,0)</f>
        <v>#N/A</v>
      </c>
      <c r="J2131" s="277" t="e">
        <f>+VLOOKUP(H2131,Sheet1!A:D,4,0)</f>
        <v>#N/A</v>
      </c>
      <c r="K2131" s="278">
        <f t="shared" si="179"/>
        <v>0</v>
      </c>
      <c r="L2131" s="383"/>
      <c r="M2131" s="384"/>
      <c r="N2131" s="277">
        <f>+VLOOKUP(E2131,'2025'!E:F,2,0)</f>
        <v>0</v>
      </c>
      <c r="O2131" s="277">
        <f>VLOOKUP(E2131,'2025'!E:N,10,0)</f>
        <v>0</v>
      </c>
      <c r="P2131" s="890">
        <f>VLOOKUP(E2131,'2025'!E:O,11,0)</f>
        <v>0</v>
      </c>
      <c r="Q2131" s="347">
        <f>VLOOKUP(E2131,'2025'!E:H,4,0)</f>
        <v>0</v>
      </c>
      <c r="R2131" s="347">
        <f>VLOOKUP(E2131,'2025'!E:I,5,0)</f>
        <v>0</v>
      </c>
      <c r="S2131" s="347">
        <f>VLOOKUP(E2131,'2025'!E:J,6,0)</f>
        <v>0</v>
      </c>
      <c r="T2131" s="347">
        <f>VLOOKUP(E2131,'2025'!E:K,7,0)</f>
        <v>0</v>
      </c>
      <c r="U2131" s="347">
        <f t="shared" si="180"/>
        <v>0</v>
      </c>
      <c r="V2131" s="348"/>
      <c r="W2131" s="349" t="e">
        <f>+VLOOKUP(D2131,'JOURNAL FACTURES'!A:O,15,0)</f>
        <v>#N/A</v>
      </c>
      <c r="X2131" s="349" t="e">
        <f>VLOOKUP(D2131,'JOURNAL FACTURES'!A:P,16,0)</f>
        <v>#N/A</v>
      </c>
      <c r="Y2131" s="349" t="e">
        <f>VLOOKUP(D2131,'JOURNAL FACTURES'!A:Q,17,0)</f>
        <v>#N/A</v>
      </c>
      <c r="Z2131" s="349" t="e">
        <f>VLOOKUP(D2131,'JOURNAL FACTURES'!A:R,18,0)</f>
        <v>#N/A</v>
      </c>
      <c r="AA2131" s="350" t="e">
        <f t="shared" si="181"/>
        <v>#N/A</v>
      </c>
      <c r="AB2131" s="350" t="e">
        <f t="shared" si="182"/>
        <v>#N/A</v>
      </c>
      <c r="AC2131" s="350" t="e">
        <f t="shared" si="183"/>
        <v>#N/A</v>
      </c>
      <c r="AD2131" s="350" t="e">
        <f t="shared" si="184"/>
        <v>#N/A</v>
      </c>
      <c r="AE2131" s="349" t="e">
        <f>VLOOKUP(D2131,TRANSPORT!H:J,3,0)</f>
        <v>#N/A</v>
      </c>
      <c r="AF2131" s="349" t="e">
        <f>+VLOOKUP(D2131,TRANSPORT!N:O,2,0)</f>
        <v>#N/A</v>
      </c>
      <c r="AG2131" s="349" t="e">
        <f t="shared" si="185"/>
        <v>#N/A</v>
      </c>
      <c r="AH2131" s="351" t="e">
        <f t="shared" si="186"/>
        <v>#N/A</v>
      </c>
      <c r="AI2131" s="351" t="e">
        <f t="shared" si="187"/>
        <v>#N/A</v>
      </c>
      <c r="AJ2131" s="351" t="e">
        <f t="shared" si="188"/>
        <v>#N/A</v>
      </c>
      <c r="AK2131" s="351" t="e">
        <f t="shared" si="189"/>
        <v>#N/A</v>
      </c>
      <c r="AL2131" s="352" t="e">
        <f>VLOOKUP(D2131,'INTEGRATION PAR CLIENT '!A1527:J1555,10,0)</f>
        <v>#N/A</v>
      </c>
      <c r="AM2131" s="352" t="e">
        <f>VLOOKUP(D2131,'INTEGRATION PAR CLIENT '!A1527:L1555,12,0)</f>
        <v>#N/A</v>
      </c>
      <c r="AN2131" s="352" t="e">
        <f>+VLOOKUP(D2131,'INTEGRATION PAR CLIENT '!A1527:N1555,14,0)</f>
        <v>#N/A</v>
      </c>
      <c r="AO2131" s="352" t="e">
        <f>+VLOOKUP(D2131,'INTEGRATION PAR CLIENT '!A1527:P1555,16,0)</f>
        <v>#N/A</v>
      </c>
    </row>
    <row r="2132" spans="1:41" ht="12">
      <c r="A2132" s="342">
        <v>246</v>
      </c>
      <c r="B2132" s="277" t="str">
        <f t="shared" si="176"/>
        <v>252</v>
      </c>
      <c r="C2132" s="277">
        <v>0</v>
      </c>
      <c r="D2132" s="343" t="str">
        <f>'2025'!D253</f>
        <v>FAE-25-00252</v>
      </c>
      <c r="E2132" s="277" t="str">
        <f t="shared" si="177"/>
        <v>252</v>
      </c>
      <c r="F2132" s="618">
        <f>+'2025'!G253</f>
        <v>45908</v>
      </c>
      <c r="G2132" s="619">
        <f t="shared" si="178"/>
        <v>2025</v>
      </c>
      <c r="H2132" s="383" t="s">
        <v>16444</v>
      </c>
      <c r="I2132" s="277" t="str">
        <f>+VLOOKUP(H2132,Sheet1!A:C,3,0)</f>
        <v>SAHEL INTERNATIONAL TRADE</v>
      </c>
      <c r="J2132" s="277" t="str">
        <f>+VLOOKUP(H2132,Sheet1!A:D,4,0)</f>
        <v>TND</v>
      </c>
      <c r="K2132" s="278">
        <f t="shared" si="179"/>
        <v>81306</v>
      </c>
      <c r="L2132" s="383">
        <v>1</v>
      </c>
      <c r="M2132" s="384">
        <v>81306</v>
      </c>
      <c r="N2132" s="277" t="str">
        <f>+VLOOKUP(E2132,'2025'!E:F,2,0)</f>
        <v>OUI</v>
      </c>
      <c r="O2132" s="277" t="str">
        <f>VLOOKUP(E2132,'2025'!E:N,10,0)</f>
        <v>Togo</v>
      </c>
      <c r="P2132" s="890">
        <f>VLOOKUP(E2132,'2025'!E:O,11,0)</f>
        <v>45911</v>
      </c>
      <c r="Q2132" s="347">
        <f>VLOOKUP(E2132,'2025'!E:H,4,0)</f>
        <v>0</v>
      </c>
      <c r="R2132" s="347">
        <f>VLOOKUP(E2132,'2025'!E:I,5,0)</f>
        <v>47050</v>
      </c>
      <c r="S2132" s="347">
        <f>VLOOKUP(E2132,'2025'!E:J,6,0)</f>
        <v>0</v>
      </c>
      <c r="T2132" s="347">
        <f>VLOOKUP(E2132,'2025'!E:K,7,0)</f>
        <v>0</v>
      </c>
      <c r="U2132" s="347">
        <f t="shared" si="180"/>
        <v>47050</v>
      </c>
      <c r="V2132" s="348"/>
      <c r="W2132" s="349" t="e">
        <f>+VLOOKUP(D2132,'JOURNAL FACTURES'!A:O,15,0)</f>
        <v>#N/A</v>
      </c>
      <c r="X2132" s="349" t="e">
        <f>VLOOKUP(D2132,'JOURNAL FACTURES'!A:P,16,0)</f>
        <v>#N/A</v>
      </c>
      <c r="Y2132" s="349" t="e">
        <f>VLOOKUP(D2132,'JOURNAL FACTURES'!A:Q,17,0)</f>
        <v>#N/A</v>
      </c>
      <c r="Z2132" s="349" t="e">
        <f>VLOOKUP(D2132,'JOURNAL FACTURES'!A:R,18,0)</f>
        <v>#N/A</v>
      </c>
      <c r="AA2132" s="350" t="e">
        <f t="shared" si="181"/>
        <v>#N/A</v>
      </c>
      <c r="AB2132" s="350" t="e">
        <f t="shared" si="182"/>
        <v>#N/A</v>
      </c>
      <c r="AC2132" s="350" t="e">
        <f t="shared" si="183"/>
        <v>#N/A</v>
      </c>
      <c r="AD2132" s="350" t="e">
        <f t="shared" si="184"/>
        <v>#N/A</v>
      </c>
      <c r="AE2132" s="349" t="e">
        <f>VLOOKUP(D2132,TRANSPORT!H:J,3,0)</f>
        <v>#N/A</v>
      </c>
      <c r="AF2132" s="349" t="e">
        <f>+VLOOKUP(D2132,TRANSPORT!N:O,2,0)</f>
        <v>#N/A</v>
      </c>
      <c r="AG2132" s="349" t="e">
        <f t="shared" si="185"/>
        <v>#N/A</v>
      </c>
      <c r="AH2132" s="351" t="e">
        <f t="shared" si="186"/>
        <v>#N/A</v>
      </c>
      <c r="AI2132" s="351" t="e">
        <f t="shared" si="187"/>
        <v>#N/A</v>
      </c>
      <c r="AJ2132" s="351" t="e">
        <f t="shared" si="188"/>
        <v>#N/A</v>
      </c>
      <c r="AK2132" s="351" t="e">
        <f t="shared" si="189"/>
        <v>#N/A</v>
      </c>
      <c r="AL2132" s="352" t="e">
        <f>VLOOKUP(D2132,'INTEGRATION PAR CLIENT '!A1528:J1556,10,0)</f>
        <v>#N/A</v>
      </c>
      <c r="AM2132" s="352" t="e">
        <f>VLOOKUP(D2132,'INTEGRATION PAR CLIENT '!A1528:L1556,12,0)</f>
        <v>#N/A</v>
      </c>
      <c r="AN2132" s="352" t="e">
        <f>+VLOOKUP(D2132,'INTEGRATION PAR CLIENT '!A1528:N1556,14,0)</f>
        <v>#N/A</v>
      </c>
      <c r="AO2132" s="352" t="e">
        <f>+VLOOKUP(D2132,'INTEGRATION PAR CLIENT '!A1528:P1556,16,0)</f>
        <v>#N/A</v>
      </c>
    </row>
    <row r="2133" spans="1:41" ht="12">
      <c r="A2133" s="342">
        <v>246</v>
      </c>
      <c r="B2133" s="277" t="str">
        <f t="shared" si="176"/>
        <v>253</v>
      </c>
      <c r="C2133" s="277">
        <v>0</v>
      </c>
      <c r="D2133" s="343" t="str">
        <f>'2025'!D254</f>
        <v>FAE-25-00253</v>
      </c>
      <c r="E2133" s="277" t="str">
        <f t="shared" si="177"/>
        <v>253</v>
      </c>
      <c r="F2133" s="618">
        <f>+'2025'!G254</f>
        <v>0</v>
      </c>
      <c r="G2133" s="619">
        <f t="shared" si="178"/>
        <v>1900</v>
      </c>
      <c r="H2133" s="383"/>
      <c r="I2133" s="277" t="e">
        <f>+VLOOKUP(H2133,Sheet1!A:C,3,0)</f>
        <v>#N/A</v>
      </c>
      <c r="J2133" s="277" t="e">
        <f>+VLOOKUP(H2133,Sheet1!A:D,4,0)</f>
        <v>#N/A</v>
      </c>
      <c r="K2133" s="278">
        <f t="shared" si="179"/>
        <v>0</v>
      </c>
      <c r="L2133" s="383"/>
      <c r="M2133" s="384"/>
      <c r="N2133" s="277">
        <f>+VLOOKUP(E2133,'2025'!E:F,2,0)</f>
        <v>0</v>
      </c>
      <c r="O2133" s="277">
        <f>VLOOKUP(E2133,'2025'!E:N,10,0)</f>
        <v>0</v>
      </c>
      <c r="P2133" s="890">
        <f>VLOOKUP(E2133,'2025'!E:O,11,0)</f>
        <v>0</v>
      </c>
      <c r="Q2133" s="347">
        <f>VLOOKUP(E2133,'2025'!E:H,4,0)</f>
        <v>0</v>
      </c>
      <c r="R2133" s="347">
        <f>VLOOKUP(E2133,'2025'!E:I,5,0)</f>
        <v>0</v>
      </c>
      <c r="S2133" s="347">
        <f>VLOOKUP(E2133,'2025'!E:J,6,0)</f>
        <v>0</v>
      </c>
      <c r="T2133" s="347">
        <f>VLOOKUP(E2133,'2025'!E:K,7,0)</f>
        <v>0</v>
      </c>
      <c r="U2133" s="347">
        <f t="shared" si="180"/>
        <v>0</v>
      </c>
      <c r="V2133" s="348"/>
      <c r="W2133" s="349" t="e">
        <f>+VLOOKUP(D2133,'JOURNAL FACTURES'!A:O,15,0)</f>
        <v>#N/A</v>
      </c>
      <c r="X2133" s="349" t="e">
        <f>VLOOKUP(D2133,'JOURNAL FACTURES'!A:P,16,0)</f>
        <v>#N/A</v>
      </c>
      <c r="Y2133" s="349" t="e">
        <f>VLOOKUP(D2133,'JOURNAL FACTURES'!A:Q,17,0)</f>
        <v>#N/A</v>
      </c>
      <c r="Z2133" s="349" t="e">
        <f>VLOOKUP(D2133,'JOURNAL FACTURES'!A:R,18,0)</f>
        <v>#N/A</v>
      </c>
      <c r="AA2133" s="350" t="e">
        <f t="shared" si="181"/>
        <v>#N/A</v>
      </c>
      <c r="AB2133" s="350" t="e">
        <f t="shared" si="182"/>
        <v>#N/A</v>
      </c>
      <c r="AC2133" s="350" t="e">
        <f t="shared" si="183"/>
        <v>#N/A</v>
      </c>
      <c r="AD2133" s="350" t="e">
        <f t="shared" si="184"/>
        <v>#N/A</v>
      </c>
      <c r="AE2133" s="349" t="e">
        <f>VLOOKUP(D2133,TRANSPORT!H:J,3,0)</f>
        <v>#N/A</v>
      </c>
      <c r="AF2133" s="349" t="e">
        <f>+VLOOKUP(D2133,TRANSPORT!N:O,2,0)</f>
        <v>#N/A</v>
      </c>
      <c r="AG2133" s="349" t="e">
        <f t="shared" si="185"/>
        <v>#N/A</v>
      </c>
      <c r="AH2133" s="351" t="e">
        <f t="shared" si="186"/>
        <v>#N/A</v>
      </c>
      <c r="AI2133" s="351" t="e">
        <f t="shared" si="187"/>
        <v>#N/A</v>
      </c>
      <c r="AJ2133" s="351" t="e">
        <f t="shared" si="188"/>
        <v>#N/A</v>
      </c>
      <c r="AK2133" s="351" t="e">
        <f t="shared" si="189"/>
        <v>#N/A</v>
      </c>
      <c r="AL2133" s="352" t="e">
        <f>VLOOKUP(D2133,'INTEGRATION PAR CLIENT '!A1529:J1557,10,0)</f>
        <v>#N/A</v>
      </c>
      <c r="AM2133" s="352" t="e">
        <f>VLOOKUP(D2133,'INTEGRATION PAR CLIENT '!A1529:L1557,12,0)</f>
        <v>#N/A</v>
      </c>
      <c r="AN2133" s="352" t="e">
        <f>+VLOOKUP(D2133,'INTEGRATION PAR CLIENT '!A1529:N1557,14,0)</f>
        <v>#N/A</v>
      </c>
      <c r="AO2133" s="352" t="e">
        <f>+VLOOKUP(D2133,'INTEGRATION PAR CLIENT '!A1529:P1557,16,0)</f>
        <v>#N/A</v>
      </c>
    </row>
    <row r="2134" spans="1:41" ht="12">
      <c r="A2134" s="342">
        <v>246</v>
      </c>
      <c r="B2134" s="277" t="str">
        <f t="shared" si="176"/>
        <v>254</v>
      </c>
      <c r="C2134" s="277">
        <v>0</v>
      </c>
      <c r="D2134" s="343" t="str">
        <f>'2025'!D255</f>
        <v>FAE-25-00254</v>
      </c>
      <c r="E2134" s="277" t="str">
        <f t="shared" si="177"/>
        <v>254</v>
      </c>
      <c r="F2134" s="618">
        <f>+'2025'!G255</f>
        <v>0</v>
      </c>
      <c r="G2134" s="619">
        <f t="shared" si="178"/>
        <v>1900</v>
      </c>
      <c r="H2134" s="383"/>
      <c r="I2134" s="277" t="e">
        <f>+VLOOKUP(H2134,Sheet1!A:C,3,0)</f>
        <v>#N/A</v>
      </c>
      <c r="J2134" s="277" t="e">
        <f>+VLOOKUP(H2134,Sheet1!A:D,4,0)</f>
        <v>#N/A</v>
      </c>
      <c r="K2134" s="278">
        <f t="shared" si="179"/>
        <v>0</v>
      </c>
      <c r="L2134" s="383"/>
      <c r="M2134" s="384"/>
      <c r="N2134" s="277">
        <f>+VLOOKUP(E2134,'2025'!E:F,2,0)</f>
        <v>0</v>
      </c>
      <c r="O2134" s="277">
        <f>VLOOKUP(E2134,'2025'!E:N,10,0)</f>
        <v>0</v>
      </c>
      <c r="P2134" s="890">
        <f>VLOOKUP(E2134,'2025'!E:O,11,0)</f>
        <v>0</v>
      </c>
      <c r="Q2134" s="347">
        <f>VLOOKUP(E2134,'2025'!E:H,4,0)</f>
        <v>0</v>
      </c>
      <c r="R2134" s="347">
        <f>VLOOKUP(E2134,'2025'!E:I,5,0)</f>
        <v>0</v>
      </c>
      <c r="S2134" s="347">
        <f>VLOOKUP(E2134,'2025'!E:J,6,0)</f>
        <v>0</v>
      </c>
      <c r="T2134" s="347">
        <f>VLOOKUP(E2134,'2025'!E:K,7,0)</f>
        <v>0</v>
      </c>
      <c r="U2134" s="347">
        <f t="shared" si="180"/>
        <v>0</v>
      </c>
      <c r="V2134" s="348"/>
      <c r="W2134" s="349" t="e">
        <f>+VLOOKUP(D2134,'JOURNAL FACTURES'!A:O,15,0)</f>
        <v>#N/A</v>
      </c>
      <c r="X2134" s="349" t="e">
        <f>VLOOKUP(D2134,'JOURNAL FACTURES'!A:P,16,0)</f>
        <v>#N/A</v>
      </c>
      <c r="Y2134" s="349" t="e">
        <f>VLOOKUP(D2134,'JOURNAL FACTURES'!A:Q,17,0)</f>
        <v>#N/A</v>
      </c>
      <c r="Z2134" s="349" t="e">
        <f>VLOOKUP(D2134,'JOURNAL FACTURES'!A:R,18,0)</f>
        <v>#N/A</v>
      </c>
      <c r="AA2134" s="350" t="e">
        <f t="shared" si="181"/>
        <v>#N/A</v>
      </c>
      <c r="AB2134" s="350" t="e">
        <f t="shared" si="182"/>
        <v>#N/A</v>
      </c>
      <c r="AC2134" s="350" t="e">
        <f t="shared" si="183"/>
        <v>#N/A</v>
      </c>
      <c r="AD2134" s="350" t="e">
        <f t="shared" si="184"/>
        <v>#N/A</v>
      </c>
      <c r="AE2134" s="349" t="e">
        <f>VLOOKUP(D2134,TRANSPORT!H:J,3,0)</f>
        <v>#N/A</v>
      </c>
      <c r="AF2134" s="349" t="e">
        <f>+VLOOKUP(D2134,TRANSPORT!N:O,2,0)</f>
        <v>#N/A</v>
      </c>
      <c r="AG2134" s="349" t="e">
        <f t="shared" si="185"/>
        <v>#N/A</v>
      </c>
      <c r="AH2134" s="351" t="e">
        <f t="shared" si="186"/>
        <v>#N/A</v>
      </c>
      <c r="AI2134" s="351" t="e">
        <f t="shared" si="187"/>
        <v>#N/A</v>
      </c>
      <c r="AJ2134" s="351" t="e">
        <f t="shared" si="188"/>
        <v>#N/A</v>
      </c>
      <c r="AK2134" s="351" t="e">
        <f t="shared" si="189"/>
        <v>#N/A</v>
      </c>
      <c r="AL2134" s="352" t="e">
        <f>VLOOKUP(D2134,'INTEGRATION PAR CLIENT '!A1530:J1558,10,0)</f>
        <v>#N/A</v>
      </c>
      <c r="AM2134" s="352" t="e">
        <f>VLOOKUP(D2134,'INTEGRATION PAR CLIENT '!A1530:L1558,12,0)</f>
        <v>#N/A</v>
      </c>
      <c r="AN2134" s="352" t="e">
        <f>+VLOOKUP(D2134,'INTEGRATION PAR CLIENT '!A1530:N1558,14,0)</f>
        <v>#N/A</v>
      </c>
      <c r="AO2134" s="352" t="e">
        <f>+VLOOKUP(D2134,'INTEGRATION PAR CLIENT '!A1530:P1558,16,0)</f>
        <v>#N/A</v>
      </c>
    </row>
    <row r="2135" spans="1:41" ht="12">
      <c r="A2135" s="342">
        <v>246</v>
      </c>
      <c r="B2135" s="277" t="str">
        <f t="shared" si="176"/>
        <v>255</v>
      </c>
      <c r="C2135" s="277">
        <v>0</v>
      </c>
      <c r="D2135" s="343" t="str">
        <f>'2025'!D256</f>
        <v>FAE-25-00255</v>
      </c>
      <c r="E2135" s="277" t="str">
        <f t="shared" si="177"/>
        <v>255</v>
      </c>
      <c r="F2135" s="618">
        <f>+'2025'!G256</f>
        <v>0</v>
      </c>
      <c r="G2135" s="619">
        <f t="shared" si="178"/>
        <v>1900</v>
      </c>
      <c r="H2135" s="383"/>
      <c r="I2135" s="277" t="e">
        <f>+VLOOKUP(H2135,Sheet1!A:C,3,0)</f>
        <v>#N/A</v>
      </c>
      <c r="J2135" s="277" t="e">
        <f>+VLOOKUP(H2135,Sheet1!A:D,4,0)</f>
        <v>#N/A</v>
      </c>
      <c r="K2135" s="278">
        <f t="shared" si="179"/>
        <v>0</v>
      </c>
      <c r="L2135" s="383"/>
      <c r="M2135" s="384"/>
      <c r="N2135" s="277">
        <f>+VLOOKUP(E2135,'2025'!E:F,2,0)</f>
        <v>0</v>
      </c>
      <c r="O2135" s="277">
        <f>VLOOKUP(E2135,'2025'!E:N,10,0)</f>
        <v>0</v>
      </c>
      <c r="P2135" s="890">
        <f>VLOOKUP(E2135,'2025'!E:O,11,0)</f>
        <v>0</v>
      </c>
      <c r="Q2135" s="347">
        <f>VLOOKUP(E2135,'2025'!E:H,4,0)</f>
        <v>0</v>
      </c>
      <c r="R2135" s="347">
        <f>VLOOKUP(E2135,'2025'!E:I,5,0)</f>
        <v>0</v>
      </c>
      <c r="S2135" s="347">
        <f>VLOOKUP(E2135,'2025'!E:J,6,0)</f>
        <v>0</v>
      </c>
      <c r="T2135" s="347">
        <f>VLOOKUP(E2135,'2025'!E:K,7,0)</f>
        <v>0</v>
      </c>
      <c r="U2135" s="347">
        <f t="shared" si="180"/>
        <v>0</v>
      </c>
      <c r="V2135" s="348"/>
      <c r="W2135" s="349" t="e">
        <f>+VLOOKUP(D2135,'JOURNAL FACTURES'!A:O,15,0)</f>
        <v>#N/A</v>
      </c>
      <c r="X2135" s="349" t="e">
        <f>VLOOKUP(D2135,'JOURNAL FACTURES'!A:P,16,0)</f>
        <v>#N/A</v>
      </c>
      <c r="Y2135" s="349" t="e">
        <f>VLOOKUP(D2135,'JOURNAL FACTURES'!A:Q,17,0)</f>
        <v>#N/A</v>
      </c>
      <c r="Z2135" s="349" t="e">
        <f>VLOOKUP(D2135,'JOURNAL FACTURES'!A:R,18,0)</f>
        <v>#N/A</v>
      </c>
      <c r="AA2135" s="350" t="e">
        <f t="shared" si="181"/>
        <v>#N/A</v>
      </c>
      <c r="AB2135" s="350" t="e">
        <f t="shared" si="182"/>
        <v>#N/A</v>
      </c>
      <c r="AC2135" s="350" t="e">
        <f t="shared" si="183"/>
        <v>#N/A</v>
      </c>
      <c r="AD2135" s="350" t="e">
        <f t="shared" si="184"/>
        <v>#N/A</v>
      </c>
      <c r="AE2135" s="349" t="e">
        <f>VLOOKUP(D2135,TRANSPORT!H:J,3,0)</f>
        <v>#N/A</v>
      </c>
      <c r="AF2135" s="349" t="e">
        <f>+VLOOKUP(D2135,TRANSPORT!N:O,2,0)</f>
        <v>#N/A</v>
      </c>
      <c r="AG2135" s="349" t="e">
        <f t="shared" si="185"/>
        <v>#N/A</v>
      </c>
      <c r="AH2135" s="351" t="e">
        <f t="shared" si="186"/>
        <v>#N/A</v>
      </c>
      <c r="AI2135" s="351" t="e">
        <f t="shared" si="187"/>
        <v>#N/A</v>
      </c>
      <c r="AJ2135" s="351" t="e">
        <f t="shared" si="188"/>
        <v>#N/A</v>
      </c>
      <c r="AK2135" s="351" t="e">
        <f t="shared" si="189"/>
        <v>#N/A</v>
      </c>
      <c r="AL2135" s="352" t="e">
        <f>VLOOKUP(D2135,'INTEGRATION PAR CLIENT '!A1531:J1559,10,0)</f>
        <v>#N/A</v>
      </c>
      <c r="AM2135" s="352" t="e">
        <f>VLOOKUP(D2135,'INTEGRATION PAR CLIENT '!A1531:L1559,12,0)</f>
        <v>#N/A</v>
      </c>
      <c r="AN2135" s="352" t="e">
        <f>+VLOOKUP(D2135,'INTEGRATION PAR CLIENT '!A1531:N1559,14,0)</f>
        <v>#N/A</v>
      </c>
      <c r="AO2135" s="352" t="e">
        <f>+VLOOKUP(D2135,'INTEGRATION PAR CLIENT '!A1531:P1559,16,0)</f>
        <v>#N/A</v>
      </c>
    </row>
    <row r="2136" spans="1:41" ht="12">
      <c r="A2136" s="342">
        <v>246</v>
      </c>
      <c r="B2136" s="277" t="str">
        <f t="shared" si="176"/>
        <v>256</v>
      </c>
      <c r="C2136" s="277">
        <v>0</v>
      </c>
      <c r="D2136" s="343" t="str">
        <f>'2025'!D257</f>
        <v>FAE-25-00256</v>
      </c>
      <c r="E2136" s="277" t="str">
        <f t="shared" si="177"/>
        <v>256</v>
      </c>
      <c r="F2136" s="618">
        <f>+'2025'!G257</f>
        <v>0</v>
      </c>
      <c r="G2136" s="619">
        <f t="shared" si="178"/>
        <v>1900</v>
      </c>
      <c r="H2136" s="383"/>
      <c r="I2136" s="277" t="e">
        <f>+VLOOKUP(H2136,Sheet1!A:C,3,0)</f>
        <v>#N/A</v>
      </c>
      <c r="J2136" s="277" t="e">
        <f>+VLOOKUP(H2136,Sheet1!A:D,4,0)</f>
        <v>#N/A</v>
      </c>
      <c r="K2136" s="278">
        <f t="shared" si="179"/>
        <v>0</v>
      </c>
      <c r="L2136" s="383"/>
      <c r="M2136" s="384"/>
      <c r="N2136" s="277">
        <f>+VLOOKUP(E2136,'2025'!E:F,2,0)</f>
        <v>0</v>
      </c>
      <c r="O2136" s="277">
        <f>VLOOKUP(E2136,'2025'!E:N,10,0)</f>
        <v>0</v>
      </c>
      <c r="P2136" s="890">
        <f>VLOOKUP(E2136,'2025'!E:O,11,0)</f>
        <v>0</v>
      </c>
      <c r="Q2136" s="347">
        <f>VLOOKUP(E2136,'2025'!E:H,4,0)</f>
        <v>0</v>
      </c>
      <c r="R2136" s="347">
        <f>VLOOKUP(E2136,'2025'!E:I,5,0)</f>
        <v>0</v>
      </c>
      <c r="S2136" s="347">
        <f>VLOOKUP(E2136,'2025'!E:J,6,0)</f>
        <v>0</v>
      </c>
      <c r="T2136" s="347">
        <f>VLOOKUP(E2136,'2025'!E:K,7,0)</f>
        <v>0</v>
      </c>
      <c r="U2136" s="347">
        <f t="shared" si="180"/>
        <v>0</v>
      </c>
      <c r="V2136" s="348"/>
      <c r="W2136" s="349" t="e">
        <f>+VLOOKUP(D2136,'JOURNAL FACTURES'!A:O,15,0)</f>
        <v>#N/A</v>
      </c>
      <c r="X2136" s="349" t="e">
        <f>VLOOKUP(D2136,'JOURNAL FACTURES'!A:P,16,0)</f>
        <v>#N/A</v>
      </c>
      <c r="Y2136" s="349" t="e">
        <f>VLOOKUP(D2136,'JOURNAL FACTURES'!A:Q,17,0)</f>
        <v>#N/A</v>
      </c>
      <c r="Z2136" s="349" t="e">
        <f>VLOOKUP(D2136,'JOURNAL FACTURES'!A:R,18,0)</f>
        <v>#N/A</v>
      </c>
      <c r="AA2136" s="350" t="e">
        <f t="shared" si="181"/>
        <v>#N/A</v>
      </c>
      <c r="AB2136" s="350" t="e">
        <f t="shared" si="182"/>
        <v>#N/A</v>
      </c>
      <c r="AC2136" s="350" t="e">
        <f t="shared" si="183"/>
        <v>#N/A</v>
      </c>
      <c r="AD2136" s="350" t="e">
        <f t="shared" si="184"/>
        <v>#N/A</v>
      </c>
      <c r="AE2136" s="349" t="e">
        <f>VLOOKUP(D2136,TRANSPORT!H:J,3,0)</f>
        <v>#N/A</v>
      </c>
      <c r="AF2136" s="349" t="e">
        <f>+VLOOKUP(D2136,TRANSPORT!N:O,2,0)</f>
        <v>#N/A</v>
      </c>
      <c r="AG2136" s="349" t="e">
        <f t="shared" si="185"/>
        <v>#N/A</v>
      </c>
      <c r="AH2136" s="351" t="e">
        <f t="shared" si="186"/>
        <v>#N/A</v>
      </c>
      <c r="AI2136" s="351" t="e">
        <f t="shared" si="187"/>
        <v>#N/A</v>
      </c>
      <c r="AJ2136" s="351" t="e">
        <f t="shared" si="188"/>
        <v>#N/A</v>
      </c>
      <c r="AK2136" s="351" t="e">
        <f t="shared" si="189"/>
        <v>#N/A</v>
      </c>
      <c r="AL2136" s="352" t="e">
        <f>VLOOKUP(D2136,'INTEGRATION PAR CLIENT '!A1532:J1560,10,0)</f>
        <v>#N/A</v>
      </c>
      <c r="AM2136" s="352" t="e">
        <f>VLOOKUP(D2136,'INTEGRATION PAR CLIENT '!A1532:L1560,12,0)</f>
        <v>#N/A</v>
      </c>
      <c r="AN2136" s="352" t="e">
        <f>+VLOOKUP(D2136,'INTEGRATION PAR CLIENT '!A1532:N1560,14,0)</f>
        <v>#N/A</v>
      </c>
      <c r="AO2136" s="352" t="e">
        <f>+VLOOKUP(D2136,'INTEGRATION PAR CLIENT '!A1532:P1560,16,0)</f>
        <v>#N/A</v>
      </c>
    </row>
    <row r="2137" spans="1:41" ht="12">
      <c r="A2137" s="342">
        <v>246</v>
      </c>
      <c r="B2137" s="277" t="str">
        <f t="shared" si="176"/>
        <v>257</v>
      </c>
      <c r="C2137" s="277">
        <v>0</v>
      </c>
      <c r="D2137" s="343" t="str">
        <f>'2025'!D258</f>
        <v>FAE-25-00257</v>
      </c>
      <c r="E2137" s="277" t="str">
        <f t="shared" si="177"/>
        <v>257</v>
      </c>
      <c r="F2137" s="618">
        <f>+'2025'!G258</f>
        <v>0</v>
      </c>
      <c r="G2137" s="619">
        <f t="shared" si="178"/>
        <v>1900</v>
      </c>
      <c r="H2137" s="383"/>
      <c r="I2137" s="277" t="e">
        <f>+VLOOKUP(H2137,Sheet1!A:C,3,0)</f>
        <v>#N/A</v>
      </c>
      <c r="J2137" s="277" t="e">
        <f>+VLOOKUP(H2137,Sheet1!A:D,4,0)</f>
        <v>#N/A</v>
      </c>
      <c r="K2137" s="278">
        <f t="shared" si="179"/>
        <v>0</v>
      </c>
      <c r="L2137" s="383"/>
      <c r="M2137" s="384"/>
      <c r="N2137" s="277">
        <f>+VLOOKUP(E2137,'2025'!E:F,2,0)</f>
        <v>0</v>
      </c>
      <c r="O2137" s="277">
        <f>VLOOKUP(E2137,'2025'!E:N,10,0)</f>
        <v>0</v>
      </c>
      <c r="P2137" s="890">
        <f>VLOOKUP(E2137,'2025'!E:O,11,0)</f>
        <v>0</v>
      </c>
      <c r="Q2137" s="347">
        <f>VLOOKUP(E2137,'2025'!E:H,4,0)</f>
        <v>0</v>
      </c>
      <c r="R2137" s="347">
        <f>VLOOKUP(E2137,'2025'!E:I,5,0)</f>
        <v>0</v>
      </c>
      <c r="S2137" s="347">
        <f>VLOOKUP(E2137,'2025'!E:J,6,0)</f>
        <v>0</v>
      </c>
      <c r="T2137" s="347">
        <f>VLOOKUP(E2137,'2025'!E:K,7,0)</f>
        <v>0</v>
      </c>
      <c r="U2137" s="347">
        <f t="shared" si="180"/>
        <v>0</v>
      </c>
      <c r="V2137" s="348"/>
      <c r="W2137" s="349" t="e">
        <f>+VLOOKUP(D2137,'JOURNAL FACTURES'!A:O,15,0)</f>
        <v>#N/A</v>
      </c>
      <c r="X2137" s="349" t="e">
        <f>VLOOKUP(D2137,'JOURNAL FACTURES'!A:P,16,0)</f>
        <v>#N/A</v>
      </c>
      <c r="Y2137" s="349" t="e">
        <f>VLOOKUP(D2137,'JOURNAL FACTURES'!A:Q,17,0)</f>
        <v>#N/A</v>
      </c>
      <c r="Z2137" s="349" t="e">
        <f>VLOOKUP(D2137,'JOURNAL FACTURES'!A:R,18,0)</f>
        <v>#N/A</v>
      </c>
      <c r="AA2137" s="350" t="e">
        <f t="shared" si="181"/>
        <v>#N/A</v>
      </c>
      <c r="AB2137" s="350" t="e">
        <f t="shared" si="182"/>
        <v>#N/A</v>
      </c>
      <c r="AC2137" s="350" t="e">
        <f t="shared" si="183"/>
        <v>#N/A</v>
      </c>
      <c r="AD2137" s="350" t="e">
        <f t="shared" si="184"/>
        <v>#N/A</v>
      </c>
      <c r="AE2137" s="349" t="e">
        <f>VLOOKUP(D2137,TRANSPORT!H:J,3,0)</f>
        <v>#N/A</v>
      </c>
      <c r="AF2137" s="349" t="e">
        <f>+VLOOKUP(D2137,TRANSPORT!N:O,2,0)</f>
        <v>#N/A</v>
      </c>
      <c r="AG2137" s="349" t="e">
        <f t="shared" si="185"/>
        <v>#N/A</v>
      </c>
      <c r="AH2137" s="351" t="e">
        <f t="shared" si="186"/>
        <v>#N/A</v>
      </c>
      <c r="AI2137" s="351" t="e">
        <f t="shared" si="187"/>
        <v>#N/A</v>
      </c>
      <c r="AJ2137" s="351" t="e">
        <f t="shared" si="188"/>
        <v>#N/A</v>
      </c>
      <c r="AK2137" s="351" t="e">
        <f t="shared" si="189"/>
        <v>#N/A</v>
      </c>
      <c r="AL2137" s="352" t="e">
        <f>VLOOKUP(D2137,'INTEGRATION PAR CLIENT '!A1533:J1561,10,0)</f>
        <v>#N/A</v>
      </c>
      <c r="AM2137" s="352" t="e">
        <f>VLOOKUP(D2137,'INTEGRATION PAR CLIENT '!A1533:L1561,12,0)</f>
        <v>#N/A</v>
      </c>
      <c r="AN2137" s="352" t="e">
        <f>+VLOOKUP(D2137,'INTEGRATION PAR CLIENT '!A1533:N1561,14,0)</f>
        <v>#N/A</v>
      </c>
      <c r="AO2137" s="352" t="e">
        <f>+VLOOKUP(D2137,'INTEGRATION PAR CLIENT '!A1533:P1561,16,0)</f>
        <v>#N/A</v>
      </c>
    </row>
    <row r="2138" spans="1:41" ht="12">
      <c r="A2138" s="342">
        <v>246</v>
      </c>
      <c r="B2138" s="277" t="str">
        <f t="shared" si="176"/>
        <v>258</v>
      </c>
      <c r="C2138" s="277">
        <v>0</v>
      </c>
      <c r="D2138" s="343" t="str">
        <f>'2025'!D259</f>
        <v>FAE-25-00258</v>
      </c>
      <c r="E2138" s="277" t="str">
        <f t="shared" si="177"/>
        <v>258</v>
      </c>
      <c r="F2138" s="618">
        <f>+'2025'!G259</f>
        <v>0</v>
      </c>
      <c r="G2138" s="619">
        <f t="shared" si="178"/>
        <v>1900</v>
      </c>
      <c r="H2138" s="383"/>
      <c r="I2138" s="277" t="e">
        <f>+VLOOKUP(H2138,Sheet1!A:C,3,0)</f>
        <v>#N/A</v>
      </c>
      <c r="J2138" s="277" t="e">
        <f>+VLOOKUP(H2138,Sheet1!A:D,4,0)</f>
        <v>#N/A</v>
      </c>
      <c r="K2138" s="278">
        <f t="shared" si="179"/>
        <v>0</v>
      </c>
      <c r="L2138" s="383"/>
      <c r="M2138" s="384"/>
      <c r="N2138" s="277">
        <f>+VLOOKUP(E2138,'2025'!E:F,2,0)</f>
        <v>0</v>
      </c>
      <c r="O2138" s="277">
        <f>VLOOKUP(E2138,'2025'!E:N,10,0)</f>
        <v>0</v>
      </c>
      <c r="P2138" s="890">
        <f>VLOOKUP(E2138,'2025'!E:O,11,0)</f>
        <v>0</v>
      </c>
      <c r="Q2138" s="347">
        <f>VLOOKUP(E2138,'2025'!E:H,4,0)</f>
        <v>0</v>
      </c>
      <c r="R2138" s="347">
        <f>VLOOKUP(E2138,'2025'!E:I,5,0)</f>
        <v>0</v>
      </c>
      <c r="S2138" s="347">
        <f>VLOOKUP(E2138,'2025'!E:J,6,0)</f>
        <v>0</v>
      </c>
      <c r="T2138" s="347">
        <f>VLOOKUP(E2138,'2025'!E:K,7,0)</f>
        <v>0</v>
      </c>
      <c r="U2138" s="347">
        <f t="shared" si="180"/>
        <v>0</v>
      </c>
      <c r="V2138" s="348"/>
      <c r="W2138" s="349" t="e">
        <f>+VLOOKUP(D2138,'JOURNAL FACTURES'!A:O,15,0)</f>
        <v>#N/A</v>
      </c>
      <c r="X2138" s="349" t="e">
        <f>VLOOKUP(D2138,'JOURNAL FACTURES'!A:P,16,0)</f>
        <v>#N/A</v>
      </c>
      <c r="Y2138" s="349" t="e">
        <f>VLOOKUP(D2138,'JOURNAL FACTURES'!A:Q,17,0)</f>
        <v>#N/A</v>
      </c>
      <c r="Z2138" s="349" t="e">
        <f>VLOOKUP(D2138,'JOURNAL FACTURES'!A:R,18,0)</f>
        <v>#N/A</v>
      </c>
      <c r="AA2138" s="350" t="e">
        <f t="shared" si="181"/>
        <v>#N/A</v>
      </c>
      <c r="AB2138" s="350" t="e">
        <f t="shared" si="182"/>
        <v>#N/A</v>
      </c>
      <c r="AC2138" s="350" t="e">
        <f t="shared" si="183"/>
        <v>#N/A</v>
      </c>
      <c r="AD2138" s="350" t="e">
        <f t="shared" si="184"/>
        <v>#N/A</v>
      </c>
      <c r="AE2138" s="349" t="e">
        <f>VLOOKUP(D2138,TRANSPORT!H:J,3,0)</f>
        <v>#N/A</v>
      </c>
      <c r="AF2138" s="349" t="e">
        <f>+VLOOKUP(D2138,TRANSPORT!N:O,2,0)</f>
        <v>#N/A</v>
      </c>
      <c r="AG2138" s="349" t="e">
        <f t="shared" si="185"/>
        <v>#N/A</v>
      </c>
      <c r="AH2138" s="351" t="e">
        <f t="shared" si="186"/>
        <v>#N/A</v>
      </c>
      <c r="AI2138" s="351" t="e">
        <f t="shared" si="187"/>
        <v>#N/A</v>
      </c>
      <c r="AJ2138" s="351" t="e">
        <f t="shared" si="188"/>
        <v>#N/A</v>
      </c>
      <c r="AK2138" s="351" t="e">
        <f t="shared" si="189"/>
        <v>#N/A</v>
      </c>
      <c r="AL2138" s="352" t="e">
        <f>VLOOKUP(D2138,'INTEGRATION PAR CLIENT '!A1534:J1562,10,0)</f>
        <v>#N/A</v>
      </c>
      <c r="AM2138" s="352" t="e">
        <f>VLOOKUP(D2138,'INTEGRATION PAR CLIENT '!A1534:L1562,12,0)</f>
        <v>#N/A</v>
      </c>
      <c r="AN2138" s="352" t="e">
        <f>+VLOOKUP(D2138,'INTEGRATION PAR CLIENT '!A1534:N1562,14,0)</f>
        <v>#N/A</v>
      </c>
      <c r="AO2138" s="352" t="e">
        <f>+VLOOKUP(D2138,'INTEGRATION PAR CLIENT '!A1534:P1562,16,0)</f>
        <v>#N/A</v>
      </c>
    </row>
    <row r="2139" spans="1:41" ht="12">
      <c r="A2139" s="342">
        <v>246</v>
      </c>
      <c r="B2139" s="277" t="str">
        <f t="shared" si="176"/>
        <v>259</v>
      </c>
      <c r="C2139" s="277">
        <v>0</v>
      </c>
      <c r="D2139" s="343" t="str">
        <f>'2025'!D260</f>
        <v>FAE-25-00259</v>
      </c>
      <c r="E2139" s="277" t="str">
        <f t="shared" si="177"/>
        <v>259</v>
      </c>
      <c r="F2139" s="618">
        <f>+'2025'!G260</f>
        <v>0</v>
      </c>
      <c r="G2139" s="619">
        <f t="shared" si="178"/>
        <v>1900</v>
      </c>
      <c r="H2139" s="383"/>
      <c r="I2139" s="277" t="e">
        <f>+VLOOKUP(H2139,Sheet1!A:C,3,0)</f>
        <v>#N/A</v>
      </c>
      <c r="J2139" s="277" t="e">
        <f>+VLOOKUP(H2139,Sheet1!A:D,4,0)</f>
        <v>#N/A</v>
      </c>
      <c r="K2139" s="278">
        <f t="shared" si="179"/>
        <v>0</v>
      </c>
      <c r="L2139" s="383"/>
      <c r="M2139" s="384"/>
      <c r="N2139" s="277">
        <f>+VLOOKUP(E2139,'2025'!E:F,2,0)</f>
        <v>0</v>
      </c>
      <c r="O2139" s="277">
        <f>VLOOKUP(E2139,'2025'!E:N,10,0)</f>
        <v>0</v>
      </c>
      <c r="P2139" s="890">
        <f>VLOOKUP(E2139,'2025'!E:O,11,0)</f>
        <v>0</v>
      </c>
      <c r="Q2139" s="347">
        <f>VLOOKUP(E2139,'2025'!E:H,4,0)</f>
        <v>0</v>
      </c>
      <c r="R2139" s="347">
        <f>VLOOKUP(E2139,'2025'!E:I,5,0)</f>
        <v>0</v>
      </c>
      <c r="S2139" s="347">
        <f>VLOOKUP(E2139,'2025'!E:J,6,0)</f>
        <v>0</v>
      </c>
      <c r="T2139" s="347">
        <f>VLOOKUP(E2139,'2025'!E:K,7,0)</f>
        <v>0</v>
      </c>
      <c r="U2139" s="347">
        <f t="shared" si="180"/>
        <v>0</v>
      </c>
      <c r="V2139" s="348"/>
      <c r="W2139" s="349" t="e">
        <f>+VLOOKUP(D2139,'JOURNAL FACTURES'!A:O,15,0)</f>
        <v>#N/A</v>
      </c>
      <c r="X2139" s="349" t="e">
        <f>VLOOKUP(D2139,'JOURNAL FACTURES'!A:P,16,0)</f>
        <v>#N/A</v>
      </c>
      <c r="Y2139" s="349" t="e">
        <f>VLOOKUP(D2139,'JOURNAL FACTURES'!A:Q,17,0)</f>
        <v>#N/A</v>
      </c>
      <c r="Z2139" s="349" t="e">
        <f>VLOOKUP(D2139,'JOURNAL FACTURES'!A:R,18,0)</f>
        <v>#N/A</v>
      </c>
      <c r="AA2139" s="350" t="e">
        <f t="shared" si="181"/>
        <v>#N/A</v>
      </c>
      <c r="AB2139" s="350" t="e">
        <f t="shared" si="182"/>
        <v>#N/A</v>
      </c>
      <c r="AC2139" s="350" t="e">
        <f t="shared" si="183"/>
        <v>#N/A</v>
      </c>
      <c r="AD2139" s="350" t="e">
        <f t="shared" si="184"/>
        <v>#N/A</v>
      </c>
      <c r="AE2139" s="349" t="e">
        <f>VLOOKUP(D2139,TRANSPORT!H:J,3,0)</f>
        <v>#N/A</v>
      </c>
      <c r="AF2139" s="349" t="e">
        <f>+VLOOKUP(D2139,TRANSPORT!N:O,2,0)</f>
        <v>#N/A</v>
      </c>
      <c r="AG2139" s="349" t="e">
        <f t="shared" si="185"/>
        <v>#N/A</v>
      </c>
      <c r="AH2139" s="351" t="e">
        <f t="shared" si="186"/>
        <v>#N/A</v>
      </c>
      <c r="AI2139" s="351" t="e">
        <f t="shared" si="187"/>
        <v>#N/A</v>
      </c>
      <c r="AJ2139" s="351" t="e">
        <f t="shared" si="188"/>
        <v>#N/A</v>
      </c>
      <c r="AK2139" s="351" t="e">
        <f t="shared" si="189"/>
        <v>#N/A</v>
      </c>
      <c r="AL2139" s="352" t="e">
        <f>VLOOKUP(D2139,'INTEGRATION PAR CLIENT '!A1535:J1563,10,0)</f>
        <v>#N/A</v>
      </c>
      <c r="AM2139" s="352" t="e">
        <f>VLOOKUP(D2139,'INTEGRATION PAR CLIENT '!A1535:L1563,12,0)</f>
        <v>#N/A</v>
      </c>
      <c r="AN2139" s="352" t="e">
        <f>+VLOOKUP(D2139,'INTEGRATION PAR CLIENT '!A1535:N1563,14,0)</f>
        <v>#N/A</v>
      </c>
      <c r="AO2139" s="352" t="e">
        <f>+VLOOKUP(D2139,'INTEGRATION PAR CLIENT '!A1535:P1563,16,0)</f>
        <v>#N/A</v>
      </c>
    </row>
    <row r="2140" spans="1:41" ht="12">
      <c r="A2140" s="342">
        <v>246</v>
      </c>
      <c r="B2140" s="277" t="str">
        <f t="shared" si="176"/>
        <v>260</v>
      </c>
      <c r="C2140" s="277">
        <v>0</v>
      </c>
      <c r="D2140" s="343" t="str">
        <f>'2025'!D261</f>
        <v>FAE-25-00260</v>
      </c>
      <c r="E2140" s="277" t="str">
        <f t="shared" si="177"/>
        <v>260</v>
      </c>
      <c r="F2140" s="618">
        <f>+'2025'!G261</f>
        <v>0</v>
      </c>
      <c r="G2140" s="619">
        <f t="shared" si="178"/>
        <v>1900</v>
      </c>
      <c r="H2140" s="383"/>
      <c r="I2140" s="277" t="e">
        <f>+VLOOKUP(H2140,Sheet1!A:C,3,0)</f>
        <v>#N/A</v>
      </c>
      <c r="J2140" s="277" t="e">
        <f>+VLOOKUP(H2140,Sheet1!A:D,4,0)</f>
        <v>#N/A</v>
      </c>
      <c r="K2140" s="278">
        <f t="shared" si="179"/>
        <v>0</v>
      </c>
      <c r="L2140" s="383"/>
      <c r="M2140" s="384"/>
      <c r="N2140" s="277">
        <f>+VLOOKUP(E2140,'2025'!E:F,2,0)</f>
        <v>0</v>
      </c>
      <c r="O2140" s="277">
        <f>VLOOKUP(E2140,'2025'!E:N,10,0)</f>
        <v>0</v>
      </c>
      <c r="P2140" s="890">
        <f>VLOOKUP(E2140,'2025'!E:O,11,0)</f>
        <v>0</v>
      </c>
      <c r="Q2140" s="347">
        <f>VLOOKUP(E2140,'2025'!E:H,4,0)</f>
        <v>0</v>
      </c>
      <c r="R2140" s="347">
        <f>VLOOKUP(E2140,'2025'!E:I,5,0)</f>
        <v>0</v>
      </c>
      <c r="S2140" s="347">
        <f>VLOOKUP(E2140,'2025'!E:J,6,0)</f>
        <v>0</v>
      </c>
      <c r="T2140" s="347">
        <f>VLOOKUP(E2140,'2025'!E:K,7,0)</f>
        <v>0</v>
      </c>
      <c r="U2140" s="347">
        <f t="shared" si="180"/>
        <v>0</v>
      </c>
      <c r="V2140" s="348"/>
      <c r="W2140" s="349" t="e">
        <f>+VLOOKUP(D2140,'JOURNAL FACTURES'!A:O,15,0)</f>
        <v>#N/A</v>
      </c>
      <c r="X2140" s="349" t="e">
        <f>VLOOKUP(D2140,'JOURNAL FACTURES'!A:P,16,0)</f>
        <v>#N/A</v>
      </c>
      <c r="Y2140" s="349" t="e">
        <f>VLOOKUP(D2140,'JOURNAL FACTURES'!A:Q,17,0)</f>
        <v>#N/A</v>
      </c>
      <c r="Z2140" s="349" t="e">
        <f>VLOOKUP(D2140,'JOURNAL FACTURES'!A:R,18,0)</f>
        <v>#N/A</v>
      </c>
      <c r="AA2140" s="350" t="e">
        <f t="shared" si="181"/>
        <v>#N/A</v>
      </c>
      <c r="AB2140" s="350" t="e">
        <f t="shared" si="182"/>
        <v>#N/A</v>
      </c>
      <c r="AC2140" s="350" t="e">
        <f t="shared" si="183"/>
        <v>#N/A</v>
      </c>
      <c r="AD2140" s="350" t="e">
        <f t="shared" si="184"/>
        <v>#N/A</v>
      </c>
      <c r="AE2140" s="349" t="e">
        <f>VLOOKUP(D2140,TRANSPORT!H:J,3,0)</f>
        <v>#N/A</v>
      </c>
      <c r="AF2140" s="349" t="e">
        <f>+VLOOKUP(D2140,TRANSPORT!N:O,2,0)</f>
        <v>#N/A</v>
      </c>
      <c r="AG2140" s="349" t="e">
        <f t="shared" si="185"/>
        <v>#N/A</v>
      </c>
      <c r="AH2140" s="351" t="e">
        <f t="shared" si="186"/>
        <v>#N/A</v>
      </c>
      <c r="AI2140" s="351" t="e">
        <f t="shared" si="187"/>
        <v>#N/A</v>
      </c>
      <c r="AJ2140" s="351" t="e">
        <f t="shared" si="188"/>
        <v>#N/A</v>
      </c>
      <c r="AK2140" s="351" t="e">
        <f t="shared" si="189"/>
        <v>#N/A</v>
      </c>
      <c r="AL2140" s="352" t="e">
        <f>VLOOKUP(D2140,'INTEGRATION PAR CLIENT '!A1536:J1564,10,0)</f>
        <v>#N/A</v>
      </c>
      <c r="AM2140" s="352" t="e">
        <f>VLOOKUP(D2140,'INTEGRATION PAR CLIENT '!A1536:L1564,12,0)</f>
        <v>#N/A</v>
      </c>
      <c r="AN2140" s="352" t="e">
        <f>+VLOOKUP(D2140,'INTEGRATION PAR CLIENT '!A1536:N1564,14,0)</f>
        <v>#N/A</v>
      </c>
      <c r="AO2140" s="352" t="e">
        <f>+VLOOKUP(D2140,'INTEGRATION PAR CLIENT '!A1536:P1564,16,0)</f>
        <v>#N/A</v>
      </c>
    </row>
  </sheetData>
  <mergeCells count="5">
    <mergeCell ref="AF1:AG1"/>
    <mergeCell ref="AH1:AK1"/>
    <mergeCell ref="Q1:U1"/>
    <mergeCell ref="W1:Z1"/>
    <mergeCell ref="AA1:AD1"/>
  </mergeCells>
  <printOptions horizontalCentered="1"/>
  <pageMargins left="0" right="0" top="1" bottom="0" header="0" footer="0"/>
  <pageSetup paperSize="9" orientation="landscape" verticalDpi="0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BBAB-17DE-4065-9C61-21768021BA27}">
  <sheetPr codeName="Feuil14"/>
  <dimension ref="A1:W399"/>
  <sheetViews>
    <sheetView zoomScale="60" zoomScaleNormal="60" workbookViewId="0">
      <selection activeCell="G27" sqref="G27"/>
    </sheetView>
  </sheetViews>
  <sheetFormatPr defaultColWidth="11.42578125" defaultRowHeight="12.6"/>
  <cols>
    <col min="2" max="2" width="12.140625" bestFit="1" customWidth="1"/>
    <col min="3" max="3" width="15.7109375" customWidth="1"/>
    <col min="4" max="4" width="15.85546875" bestFit="1" customWidth="1"/>
    <col min="259" max="259" width="15.7109375" customWidth="1"/>
    <col min="260" max="260" width="15.85546875" bestFit="1" customWidth="1"/>
    <col min="515" max="515" width="15.7109375" customWidth="1"/>
    <col min="516" max="516" width="15.85546875" bestFit="1" customWidth="1"/>
    <col min="771" max="771" width="15.7109375" customWidth="1"/>
    <col min="772" max="772" width="15.85546875" bestFit="1" customWidth="1"/>
    <col min="1027" max="1027" width="15.7109375" customWidth="1"/>
    <col min="1028" max="1028" width="15.85546875" bestFit="1" customWidth="1"/>
    <col min="1283" max="1283" width="15.7109375" customWidth="1"/>
    <col min="1284" max="1284" width="15.85546875" bestFit="1" customWidth="1"/>
    <col min="1539" max="1539" width="15.7109375" customWidth="1"/>
    <col min="1540" max="1540" width="15.85546875" bestFit="1" customWidth="1"/>
    <col min="1795" max="1795" width="15.7109375" customWidth="1"/>
    <col min="1796" max="1796" width="15.85546875" bestFit="1" customWidth="1"/>
    <col min="2051" max="2051" width="15.7109375" customWidth="1"/>
    <col min="2052" max="2052" width="15.85546875" bestFit="1" customWidth="1"/>
    <col min="2307" max="2307" width="15.7109375" customWidth="1"/>
    <col min="2308" max="2308" width="15.85546875" bestFit="1" customWidth="1"/>
    <col min="2563" max="2563" width="15.7109375" customWidth="1"/>
    <col min="2564" max="2564" width="15.85546875" bestFit="1" customWidth="1"/>
    <col min="2819" max="2819" width="15.7109375" customWidth="1"/>
    <col min="2820" max="2820" width="15.85546875" bestFit="1" customWidth="1"/>
    <col min="3075" max="3075" width="15.7109375" customWidth="1"/>
    <col min="3076" max="3076" width="15.85546875" bestFit="1" customWidth="1"/>
    <col min="3331" max="3331" width="15.7109375" customWidth="1"/>
    <col min="3332" max="3332" width="15.85546875" bestFit="1" customWidth="1"/>
    <col min="3587" max="3587" width="15.7109375" customWidth="1"/>
    <col min="3588" max="3588" width="15.85546875" bestFit="1" customWidth="1"/>
    <col min="3843" max="3843" width="15.7109375" customWidth="1"/>
    <col min="3844" max="3844" width="15.85546875" bestFit="1" customWidth="1"/>
    <col min="4099" max="4099" width="15.7109375" customWidth="1"/>
    <col min="4100" max="4100" width="15.85546875" bestFit="1" customWidth="1"/>
    <col min="4355" max="4355" width="15.7109375" customWidth="1"/>
    <col min="4356" max="4356" width="15.85546875" bestFit="1" customWidth="1"/>
    <col min="4611" max="4611" width="15.7109375" customWidth="1"/>
    <col min="4612" max="4612" width="15.85546875" bestFit="1" customWidth="1"/>
    <col min="4867" max="4867" width="15.7109375" customWidth="1"/>
    <col min="4868" max="4868" width="15.85546875" bestFit="1" customWidth="1"/>
    <col min="5123" max="5123" width="15.7109375" customWidth="1"/>
    <col min="5124" max="5124" width="15.85546875" bestFit="1" customWidth="1"/>
    <col min="5379" max="5379" width="15.7109375" customWidth="1"/>
    <col min="5380" max="5380" width="15.85546875" bestFit="1" customWidth="1"/>
    <col min="5635" max="5635" width="15.7109375" customWidth="1"/>
    <col min="5636" max="5636" width="15.85546875" bestFit="1" customWidth="1"/>
    <col min="5891" max="5891" width="15.7109375" customWidth="1"/>
    <col min="5892" max="5892" width="15.85546875" bestFit="1" customWidth="1"/>
    <col min="6147" max="6147" width="15.7109375" customWidth="1"/>
    <col min="6148" max="6148" width="15.85546875" bestFit="1" customWidth="1"/>
    <col min="6403" max="6403" width="15.7109375" customWidth="1"/>
    <col min="6404" max="6404" width="15.85546875" bestFit="1" customWidth="1"/>
    <col min="6659" max="6659" width="15.7109375" customWidth="1"/>
    <col min="6660" max="6660" width="15.85546875" bestFit="1" customWidth="1"/>
    <col min="6915" max="6915" width="15.7109375" customWidth="1"/>
    <col min="6916" max="6916" width="15.85546875" bestFit="1" customWidth="1"/>
    <col min="7171" max="7171" width="15.7109375" customWidth="1"/>
    <col min="7172" max="7172" width="15.85546875" bestFit="1" customWidth="1"/>
    <col min="7427" max="7427" width="15.7109375" customWidth="1"/>
    <col min="7428" max="7428" width="15.85546875" bestFit="1" customWidth="1"/>
    <col min="7683" max="7683" width="15.7109375" customWidth="1"/>
    <col min="7684" max="7684" width="15.85546875" bestFit="1" customWidth="1"/>
    <col min="7939" max="7939" width="15.7109375" customWidth="1"/>
    <col min="7940" max="7940" width="15.85546875" bestFit="1" customWidth="1"/>
    <col min="8195" max="8195" width="15.7109375" customWidth="1"/>
    <col min="8196" max="8196" width="15.85546875" bestFit="1" customWidth="1"/>
    <col min="8451" max="8451" width="15.7109375" customWidth="1"/>
    <col min="8452" max="8452" width="15.85546875" bestFit="1" customWidth="1"/>
    <col min="8707" max="8707" width="15.7109375" customWidth="1"/>
    <col min="8708" max="8708" width="15.85546875" bestFit="1" customWidth="1"/>
    <col min="8963" max="8963" width="15.7109375" customWidth="1"/>
    <col min="8964" max="8964" width="15.85546875" bestFit="1" customWidth="1"/>
    <col min="9219" max="9219" width="15.7109375" customWidth="1"/>
    <col min="9220" max="9220" width="15.85546875" bestFit="1" customWidth="1"/>
    <col min="9475" max="9475" width="15.7109375" customWidth="1"/>
    <col min="9476" max="9476" width="15.85546875" bestFit="1" customWidth="1"/>
    <col min="9731" max="9731" width="15.7109375" customWidth="1"/>
    <col min="9732" max="9732" width="15.85546875" bestFit="1" customWidth="1"/>
    <col min="9987" max="9987" width="15.7109375" customWidth="1"/>
    <col min="9988" max="9988" width="15.85546875" bestFit="1" customWidth="1"/>
    <col min="10243" max="10243" width="15.7109375" customWidth="1"/>
    <col min="10244" max="10244" width="15.85546875" bestFit="1" customWidth="1"/>
    <col min="10499" max="10499" width="15.7109375" customWidth="1"/>
    <col min="10500" max="10500" width="15.85546875" bestFit="1" customWidth="1"/>
    <col min="10755" max="10755" width="15.7109375" customWidth="1"/>
    <col min="10756" max="10756" width="15.85546875" bestFit="1" customWidth="1"/>
    <col min="11011" max="11011" width="15.7109375" customWidth="1"/>
    <col min="11012" max="11012" width="15.85546875" bestFit="1" customWidth="1"/>
    <col min="11267" max="11267" width="15.7109375" customWidth="1"/>
    <col min="11268" max="11268" width="15.85546875" bestFit="1" customWidth="1"/>
    <col min="11523" max="11523" width="15.7109375" customWidth="1"/>
    <col min="11524" max="11524" width="15.85546875" bestFit="1" customWidth="1"/>
    <col min="11779" max="11779" width="15.7109375" customWidth="1"/>
    <col min="11780" max="11780" width="15.85546875" bestFit="1" customWidth="1"/>
    <col min="12035" max="12035" width="15.7109375" customWidth="1"/>
    <col min="12036" max="12036" width="15.85546875" bestFit="1" customWidth="1"/>
    <col min="12291" max="12291" width="15.7109375" customWidth="1"/>
    <col min="12292" max="12292" width="15.85546875" bestFit="1" customWidth="1"/>
    <col min="12547" max="12547" width="15.7109375" customWidth="1"/>
    <col min="12548" max="12548" width="15.85546875" bestFit="1" customWidth="1"/>
    <col min="12803" max="12803" width="15.7109375" customWidth="1"/>
    <col min="12804" max="12804" width="15.85546875" bestFit="1" customWidth="1"/>
    <col min="13059" max="13059" width="15.7109375" customWidth="1"/>
    <col min="13060" max="13060" width="15.85546875" bestFit="1" customWidth="1"/>
    <col min="13315" max="13315" width="15.7109375" customWidth="1"/>
    <col min="13316" max="13316" width="15.85546875" bestFit="1" customWidth="1"/>
    <col min="13571" max="13571" width="15.7109375" customWidth="1"/>
    <col min="13572" max="13572" width="15.85546875" bestFit="1" customWidth="1"/>
    <col min="13827" max="13827" width="15.7109375" customWidth="1"/>
    <col min="13828" max="13828" width="15.85546875" bestFit="1" customWidth="1"/>
    <col min="14083" max="14083" width="15.7109375" customWidth="1"/>
    <col min="14084" max="14084" width="15.85546875" bestFit="1" customWidth="1"/>
    <col min="14339" max="14339" width="15.7109375" customWidth="1"/>
    <col min="14340" max="14340" width="15.85546875" bestFit="1" customWidth="1"/>
    <col min="14595" max="14595" width="15.7109375" customWidth="1"/>
    <col min="14596" max="14596" width="15.85546875" bestFit="1" customWidth="1"/>
    <col min="14851" max="14851" width="15.7109375" customWidth="1"/>
    <col min="14852" max="14852" width="15.85546875" bestFit="1" customWidth="1"/>
    <col min="15107" max="15107" width="15.7109375" customWidth="1"/>
    <col min="15108" max="15108" width="15.85546875" bestFit="1" customWidth="1"/>
    <col min="15363" max="15363" width="15.7109375" customWidth="1"/>
    <col min="15364" max="15364" width="15.85546875" bestFit="1" customWidth="1"/>
    <col min="15619" max="15619" width="15.7109375" customWidth="1"/>
    <col min="15620" max="15620" width="15.85546875" bestFit="1" customWidth="1"/>
    <col min="15875" max="15875" width="15.7109375" customWidth="1"/>
    <col min="15876" max="15876" width="15.85546875" bestFit="1" customWidth="1"/>
    <col min="16131" max="16131" width="15.7109375" customWidth="1"/>
    <col min="16132" max="16132" width="15.85546875" bestFit="1" customWidth="1"/>
  </cols>
  <sheetData>
    <row r="1" spans="1:23" ht="12.95" thickBot="1">
      <c r="A1" s="320" t="s">
        <v>19637</v>
      </c>
      <c r="B1" s="321" t="s">
        <v>19638</v>
      </c>
      <c r="C1" s="321" t="s">
        <v>19642</v>
      </c>
      <c r="D1" s="321" t="s">
        <v>19643</v>
      </c>
      <c r="E1" s="321"/>
      <c r="F1" s="322">
        <v>2024</v>
      </c>
      <c r="G1" s="323" t="s">
        <v>19644</v>
      </c>
      <c r="H1" s="320" t="s">
        <v>20384</v>
      </c>
      <c r="I1" s="320" t="s">
        <v>20385</v>
      </c>
      <c r="J1" s="320" t="s">
        <v>20386</v>
      </c>
      <c r="K1" s="324" t="s">
        <v>20387</v>
      </c>
      <c r="L1" s="325" t="s">
        <v>20388</v>
      </c>
      <c r="M1" s="326" t="s">
        <v>20389</v>
      </c>
      <c r="N1" s="322" t="s">
        <v>20390</v>
      </c>
      <c r="O1" s="323" t="s">
        <v>20391</v>
      </c>
      <c r="P1" s="323" t="s">
        <v>20392</v>
      </c>
      <c r="Q1" s="323" t="s">
        <v>20393</v>
      </c>
      <c r="R1" s="327" t="s">
        <v>20394</v>
      </c>
      <c r="S1" s="328" t="s">
        <v>20395</v>
      </c>
      <c r="T1" s="329" t="s">
        <v>20396</v>
      </c>
      <c r="U1" s="330" t="s">
        <v>20397</v>
      </c>
      <c r="V1" s="331"/>
      <c r="W1" s="331"/>
    </row>
    <row r="2" spans="1:23">
      <c r="A2" s="368">
        <v>157500</v>
      </c>
      <c r="B2" s="369">
        <v>257175</v>
      </c>
      <c r="C2" s="370" t="s">
        <v>19647</v>
      </c>
      <c r="D2" s="371" t="s">
        <v>19230</v>
      </c>
      <c r="E2" s="372" t="s">
        <v>20181</v>
      </c>
      <c r="F2" s="373" t="s">
        <v>20155</v>
      </c>
      <c r="G2" s="374">
        <v>45296</v>
      </c>
      <c r="H2" s="375"/>
      <c r="I2" s="375">
        <v>157500</v>
      </c>
      <c r="J2" s="376"/>
      <c r="K2" s="375"/>
      <c r="L2" s="377" t="s">
        <v>20398</v>
      </c>
      <c r="M2" s="378" t="s">
        <v>20399</v>
      </c>
      <c r="N2" s="379" t="s">
        <v>20321</v>
      </c>
      <c r="O2" s="380">
        <v>45303</v>
      </c>
      <c r="P2" s="381">
        <v>0</v>
      </c>
      <c r="Q2" s="394">
        <v>0</v>
      </c>
      <c r="R2" s="394">
        <v>0</v>
      </c>
      <c r="S2" s="395">
        <v>0</v>
      </c>
      <c r="T2" s="395">
        <v>0</v>
      </c>
      <c r="U2" s="395">
        <v>0</v>
      </c>
      <c r="V2" s="394">
        <v>0</v>
      </c>
      <c r="W2" s="394">
        <v>0</v>
      </c>
    </row>
    <row r="3" spans="1:23">
      <c r="A3" s="332">
        <v>110040</v>
      </c>
      <c r="B3" s="333">
        <v>246593.91983999999</v>
      </c>
      <c r="C3" s="334" t="s">
        <v>19852</v>
      </c>
      <c r="D3" s="371" t="s">
        <v>19231</v>
      </c>
      <c r="E3" s="372" t="s">
        <v>20182</v>
      </c>
      <c r="F3" s="335" t="s">
        <v>20155</v>
      </c>
      <c r="G3" s="336">
        <v>45297</v>
      </c>
      <c r="H3" s="337">
        <v>110040</v>
      </c>
      <c r="I3" s="337"/>
      <c r="J3" s="338"/>
      <c r="K3" s="337"/>
      <c r="L3" s="339" t="s">
        <v>19852</v>
      </c>
      <c r="M3" s="318" t="s">
        <v>20400</v>
      </c>
      <c r="N3" s="379" t="s">
        <v>17949</v>
      </c>
      <c r="O3" s="380">
        <v>45300</v>
      </c>
      <c r="P3" s="381">
        <v>30475.8</v>
      </c>
      <c r="Q3" s="340">
        <v>0.27695201744820064</v>
      </c>
      <c r="R3" s="340">
        <v>30475.8</v>
      </c>
      <c r="S3" s="341">
        <v>0</v>
      </c>
      <c r="T3" s="341">
        <v>0</v>
      </c>
      <c r="U3" s="341">
        <v>0</v>
      </c>
      <c r="V3" s="340">
        <v>30475.8</v>
      </c>
      <c r="W3" s="340">
        <v>0</v>
      </c>
    </row>
    <row r="4" spans="1:23">
      <c r="A4" s="332">
        <v>55836</v>
      </c>
      <c r="B4" s="333">
        <v>105510.6</v>
      </c>
      <c r="C4" s="334" t="s">
        <v>19655</v>
      </c>
      <c r="D4" s="371" t="s">
        <v>19232</v>
      </c>
      <c r="E4" s="372" t="s">
        <v>20183</v>
      </c>
      <c r="F4" s="335" t="s">
        <v>20155</v>
      </c>
      <c r="G4" s="336">
        <v>45297</v>
      </c>
      <c r="H4" s="337">
        <v>15444</v>
      </c>
      <c r="I4" s="337">
        <v>39792</v>
      </c>
      <c r="J4" s="338">
        <v>600</v>
      </c>
      <c r="K4" s="337"/>
      <c r="L4" s="339" t="s">
        <v>18201</v>
      </c>
      <c r="M4" s="318" t="s">
        <v>20401</v>
      </c>
      <c r="N4" s="379" t="s">
        <v>18248</v>
      </c>
      <c r="O4" s="380">
        <v>45306</v>
      </c>
      <c r="P4" s="381">
        <v>0</v>
      </c>
      <c r="Q4" s="340">
        <v>0</v>
      </c>
      <c r="R4" s="340">
        <v>0</v>
      </c>
      <c r="S4" s="341">
        <v>0</v>
      </c>
      <c r="T4" s="341">
        <v>0</v>
      </c>
      <c r="U4" s="341">
        <v>0</v>
      </c>
      <c r="V4" s="340">
        <v>0</v>
      </c>
      <c r="W4" s="340">
        <v>0</v>
      </c>
    </row>
    <row r="5" spans="1:23">
      <c r="A5" s="332">
        <v>55848</v>
      </c>
      <c r="B5" s="333">
        <v>105534.96</v>
      </c>
      <c r="C5" s="334" t="s">
        <v>19655</v>
      </c>
      <c r="D5" s="371" t="s">
        <v>19233</v>
      </c>
      <c r="E5" s="372" t="s">
        <v>20184</v>
      </c>
      <c r="F5" s="335" t="s">
        <v>20155</v>
      </c>
      <c r="G5" s="336">
        <v>45297</v>
      </c>
      <c r="H5" s="337">
        <v>15456</v>
      </c>
      <c r="I5" s="337">
        <v>39792</v>
      </c>
      <c r="J5" s="338">
        <v>600</v>
      </c>
      <c r="K5" s="337"/>
      <c r="L5" s="339" t="s">
        <v>18201</v>
      </c>
      <c r="M5" s="318" t="s">
        <v>20402</v>
      </c>
      <c r="N5" s="379" t="s">
        <v>18248</v>
      </c>
      <c r="O5" s="380">
        <v>45306</v>
      </c>
      <c r="P5" s="381">
        <v>0</v>
      </c>
      <c r="Q5" s="340">
        <v>0</v>
      </c>
      <c r="R5" s="340">
        <v>0</v>
      </c>
      <c r="S5" s="341">
        <v>0</v>
      </c>
      <c r="T5" s="341">
        <v>0</v>
      </c>
      <c r="U5" s="341">
        <v>0</v>
      </c>
      <c r="V5" s="340">
        <v>0</v>
      </c>
      <c r="W5" s="340">
        <v>0</v>
      </c>
    </row>
    <row r="6" spans="1:23">
      <c r="A6" s="332">
        <v>40800</v>
      </c>
      <c r="B6" s="333">
        <v>91470.715500000006</v>
      </c>
      <c r="C6" s="334" t="s">
        <v>20403</v>
      </c>
      <c r="D6" s="371" t="s">
        <v>19234</v>
      </c>
      <c r="E6" s="372" t="s">
        <v>20185</v>
      </c>
      <c r="F6" s="335" t="s">
        <v>20155</v>
      </c>
      <c r="G6" s="336">
        <v>45299</v>
      </c>
      <c r="H6" s="337"/>
      <c r="I6" s="337">
        <v>40800</v>
      </c>
      <c r="J6" s="338"/>
      <c r="K6" s="337"/>
      <c r="L6" s="339" t="s">
        <v>18191</v>
      </c>
      <c r="M6" s="318" t="s">
        <v>20404</v>
      </c>
      <c r="N6" s="379" t="s">
        <v>18227</v>
      </c>
      <c r="O6" s="380">
        <v>45308</v>
      </c>
      <c r="P6" s="381">
        <v>12022.252500000001</v>
      </c>
      <c r="Q6" s="340">
        <v>0.29466305147058824</v>
      </c>
      <c r="R6" s="340">
        <v>0</v>
      </c>
      <c r="S6" s="341">
        <v>12022.252500000001</v>
      </c>
      <c r="T6" s="341">
        <v>0</v>
      </c>
      <c r="U6" s="341">
        <v>0</v>
      </c>
      <c r="V6" s="340">
        <v>12022.252500000001</v>
      </c>
      <c r="W6" s="340">
        <v>0</v>
      </c>
    </row>
    <row r="7" spans="1:23">
      <c r="A7" s="332">
        <v>4720</v>
      </c>
      <c r="B7" s="333">
        <v>22519.554700000001</v>
      </c>
      <c r="C7" s="334" t="s">
        <v>17305</v>
      </c>
      <c r="D7" s="371" t="s">
        <v>19235</v>
      </c>
      <c r="E7" s="372" t="s">
        <v>20186</v>
      </c>
      <c r="F7" s="335" t="s">
        <v>20155</v>
      </c>
      <c r="G7" s="336">
        <v>45299</v>
      </c>
      <c r="H7" s="337"/>
      <c r="I7" s="337"/>
      <c r="J7" s="338">
        <v>4320</v>
      </c>
      <c r="K7" s="337">
        <v>400</v>
      </c>
      <c r="L7" s="339" t="s">
        <v>20405</v>
      </c>
      <c r="M7" s="318" t="s">
        <v>20406</v>
      </c>
      <c r="N7" s="379" t="s">
        <v>17954</v>
      </c>
      <c r="O7" s="380">
        <v>45318</v>
      </c>
      <c r="P7" s="381">
        <v>8454.6774999999998</v>
      </c>
      <c r="Q7" s="340">
        <v>1.7912452330508475</v>
      </c>
      <c r="R7" s="340">
        <v>0</v>
      </c>
      <c r="S7" s="341">
        <v>0</v>
      </c>
      <c r="T7" s="341">
        <v>7738.1794067796609</v>
      </c>
      <c r="U7" s="341">
        <v>716.498093220339</v>
      </c>
      <c r="V7" s="340">
        <v>8454.6774999999998</v>
      </c>
      <c r="W7" s="340">
        <v>0</v>
      </c>
    </row>
    <row r="8" spans="1:23">
      <c r="A8" s="332">
        <v>35000</v>
      </c>
      <c r="B8" s="333">
        <v>154435.29999999999</v>
      </c>
      <c r="C8" s="334" t="s">
        <v>20407</v>
      </c>
      <c r="D8" s="371" t="s">
        <v>19236</v>
      </c>
      <c r="E8" s="372" t="s">
        <v>20187</v>
      </c>
      <c r="F8" s="335" t="s">
        <v>20155</v>
      </c>
      <c r="G8" s="336">
        <v>45299</v>
      </c>
      <c r="H8" s="337"/>
      <c r="I8" s="337">
        <v>25000</v>
      </c>
      <c r="J8" s="338">
        <v>10000</v>
      </c>
      <c r="K8" s="337"/>
      <c r="L8" s="339" t="s">
        <v>20408</v>
      </c>
      <c r="M8" s="318" t="s">
        <v>20409</v>
      </c>
      <c r="N8" s="379" t="s">
        <v>17939</v>
      </c>
      <c r="O8" s="380">
        <v>45303</v>
      </c>
      <c r="P8" s="381">
        <v>0</v>
      </c>
      <c r="Q8" s="340">
        <v>0</v>
      </c>
      <c r="R8" s="340">
        <v>0</v>
      </c>
      <c r="S8" s="341">
        <v>0</v>
      </c>
      <c r="T8" s="341">
        <v>0</v>
      </c>
      <c r="U8" s="341">
        <v>0</v>
      </c>
      <c r="V8" s="340">
        <v>0</v>
      </c>
      <c r="W8" s="340">
        <v>0</v>
      </c>
    </row>
    <row r="9" spans="1:23">
      <c r="A9" s="332">
        <v>20750</v>
      </c>
      <c r="B9" s="333">
        <v>39425</v>
      </c>
      <c r="C9" s="334" t="s">
        <v>19655</v>
      </c>
      <c r="D9" s="371" t="s">
        <v>19237</v>
      </c>
      <c r="E9" s="372" t="s">
        <v>20188</v>
      </c>
      <c r="F9" s="335" t="s">
        <v>20155</v>
      </c>
      <c r="G9" s="336">
        <v>45300</v>
      </c>
      <c r="H9" s="337">
        <v>20750</v>
      </c>
      <c r="I9" s="337"/>
      <c r="J9" s="338"/>
      <c r="K9" s="337"/>
      <c r="L9" s="339" t="s">
        <v>18201</v>
      </c>
      <c r="M9" s="318" t="s">
        <v>20410</v>
      </c>
      <c r="N9" s="379" t="s">
        <v>17693</v>
      </c>
      <c r="O9" s="380">
        <v>45309</v>
      </c>
      <c r="P9" s="381">
        <v>0</v>
      </c>
      <c r="Q9" s="340">
        <v>0</v>
      </c>
      <c r="R9" s="340">
        <v>0</v>
      </c>
      <c r="S9" s="341">
        <v>0</v>
      </c>
      <c r="T9" s="341">
        <v>0</v>
      </c>
      <c r="U9" s="341">
        <v>0</v>
      </c>
      <c r="V9" s="340">
        <v>0</v>
      </c>
      <c r="W9" s="340">
        <v>0</v>
      </c>
    </row>
    <row r="10" spans="1:23">
      <c r="A10" s="332">
        <v>83840</v>
      </c>
      <c r="B10" s="333">
        <v>145927.20000000001</v>
      </c>
      <c r="C10" s="334" t="s">
        <v>19647</v>
      </c>
      <c r="D10" s="371" t="s">
        <v>19238</v>
      </c>
      <c r="E10" s="372" t="s">
        <v>20189</v>
      </c>
      <c r="F10" s="335" t="s">
        <v>20155</v>
      </c>
      <c r="G10" s="336">
        <v>45300</v>
      </c>
      <c r="H10" s="337">
        <v>6000</v>
      </c>
      <c r="I10" s="337">
        <v>21840</v>
      </c>
      <c r="J10" s="338">
        <v>56000</v>
      </c>
      <c r="K10" s="337"/>
      <c r="L10" s="339" t="s">
        <v>20405</v>
      </c>
      <c r="M10" s="318" t="s">
        <v>20411</v>
      </c>
      <c r="N10" s="379" t="s">
        <v>17771</v>
      </c>
      <c r="O10" s="380">
        <v>45308</v>
      </c>
      <c r="P10" s="381">
        <v>0</v>
      </c>
      <c r="Q10" s="340">
        <v>0</v>
      </c>
      <c r="R10" s="340">
        <v>0</v>
      </c>
      <c r="S10" s="341">
        <v>0</v>
      </c>
      <c r="T10" s="341">
        <v>0</v>
      </c>
      <c r="U10" s="341">
        <v>0</v>
      </c>
      <c r="V10" s="340">
        <v>0</v>
      </c>
      <c r="W10" s="340">
        <v>0</v>
      </c>
    </row>
    <row r="11" spans="1:23">
      <c r="A11" s="332">
        <v>23976</v>
      </c>
      <c r="B11" s="333">
        <v>75384.702533999996</v>
      </c>
      <c r="C11" s="334" t="s">
        <v>19661</v>
      </c>
      <c r="D11" s="371" t="s">
        <v>19239</v>
      </c>
      <c r="E11" s="372" t="s">
        <v>20190</v>
      </c>
      <c r="F11" s="335" t="s">
        <v>20155</v>
      </c>
      <c r="G11" s="336">
        <v>45300</v>
      </c>
      <c r="H11" s="337"/>
      <c r="I11" s="337">
        <v>23976</v>
      </c>
      <c r="J11" s="338"/>
      <c r="K11" s="337"/>
      <c r="L11" s="339" t="s">
        <v>20408</v>
      </c>
      <c r="M11" s="318" t="s">
        <v>20412</v>
      </c>
      <c r="N11" s="379" t="s">
        <v>20160</v>
      </c>
      <c r="O11" s="380">
        <v>45309</v>
      </c>
      <c r="P11" s="381">
        <v>13218.465</v>
      </c>
      <c r="Q11" s="340">
        <v>0.55132069569569575</v>
      </c>
      <c r="R11" s="340">
        <v>0</v>
      </c>
      <c r="S11" s="341">
        <v>13218.465000000002</v>
      </c>
      <c r="T11" s="341">
        <v>0</v>
      </c>
      <c r="U11" s="341">
        <v>0</v>
      </c>
      <c r="V11" s="340">
        <v>13218.465000000002</v>
      </c>
      <c r="W11" s="340">
        <v>0</v>
      </c>
    </row>
    <row r="12" spans="1:23">
      <c r="A12" s="332">
        <v>21005</v>
      </c>
      <c r="B12" s="333">
        <v>57638.806776000005</v>
      </c>
      <c r="C12" s="334" t="s">
        <v>20413</v>
      </c>
      <c r="D12" s="371" t="s">
        <v>19240</v>
      </c>
      <c r="E12" s="372" t="s">
        <v>20191</v>
      </c>
      <c r="F12" s="335" t="s">
        <v>20155</v>
      </c>
      <c r="G12" s="336">
        <v>45300</v>
      </c>
      <c r="H12" s="337"/>
      <c r="I12" s="337">
        <v>21005</v>
      </c>
      <c r="J12" s="338"/>
      <c r="K12" s="337"/>
      <c r="L12" s="339" t="s">
        <v>20408</v>
      </c>
      <c r="M12" s="318" t="s">
        <v>20414</v>
      </c>
      <c r="N12" s="379" t="s">
        <v>20367</v>
      </c>
      <c r="O12" s="380">
        <v>45314</v>
      </c>
      <c r="P12" s="381">
        <v>0</v>
      </c>
      <c r="Q12" s="340">
        <v>0</v>
      </c>
      <c r="R12" s="340">
        <v>0</v>
      </c>
      <c r="S12" s="341">
        <v>0</v>
      </c>
      <c r="T12" s="341">
        <v>0</v>
      </c>
      <c r="U12" s="341">
        <v>0</v>
      </c>
      <c r="V12" s="340">
        <v>0</v>
      </c>
      <c r="W12" s="340">
        <v>0</v>
      </c>
    </row>
    <row r="13" spans="1:23">
      <c r="A13" s="332">
        <v>22864</v>
      </c>
      <c r="B13" s="333">
        <v>82512.932138000004</v>
      </c>
      <c r="C13" s="334" t="s">
        <v>17343</v>
      </c>
      <c r="D13" s="371" t="s">
        <v>19242</v>
      </c>
      <c r="E13" s="372" t="s">
        <v>20192</v>
      </c>
      <c r="F13" s="335" t="s">
        <v>20155</v>
      </c>
      <c r="G13" s="336">
        <v>45301</v>
      </c>
      <c r="H13" s="337"/>
      <c r="I13" s="337">
        <v>18144</v>
      </c>
      <c r="J13" s="338">
        <v>3600</v>
      </c>
      <c r="K13" s="337">
        <v>1120</v>
      </c>
      <c r="L13" s="339" t="s">
        <v>20408</v>
      </c>
      <c r="M13" s="318" t="s">
        <v>20415</v>
      </c>
      <c r="N13" s="379" t="s">
        <v>16394</v>
      </c>
      <c r="O13" s="380">
        <v>45307</v>
      </c>
      <c r="P13" s="381">
        <v>8949.8639999999996</v>
      </c>
      <c r="Q13" s="340">
        <v>0.3914391182645206</v>
      </c>
      <c r="R13" s="340">
        <v>0</v>
      </c>
      <c r="S13" s="341">
        <v>7102.2713617914615</v>
      </c>
      <c r="T13" s="341">
        <v>1409.1808257522741</v>
      </c>
      <c r="U13" s="341">
        <v>438.41181245626308</v>
      </c>
      <c r="V13" s="340">
        <v>8949.8639999999978</v>
      </c>
      <c r="W13" s="340">
        <v>0</v>
      </c>
    </row>
    <row r="14" spans="1:23">
      <c r="A14" s="332">
        <v>21720</v>
      </c>
      <c r="B14" s="333">
        <v>96192.656839999996</v>
      </c>
      <c r="C14" s="334" t="s">
        <v>20416</v>
      </c>
      <c r="D14" s="371" t="s">
        <v>19243</v>
      </c>
      <c r="E14" s="372" t="s">
        <v>20193</v>
      </c>
      <c r="F14" s="335" t="s">
        <v>20155</v>
      </c>
      <c r="G14" s="336">
        <v>45301</v>
      </c>
      <c r="H14" s="337">
        <v>2570</v>
      </c>
      <c r="I14" s="337">
        <v>19150</v>
      </c>
      <c r="J14" s="338"/>
      <c r="K14" s="337"/>
      <c r="L14" s="339" t="s">
        <v>20405</v>
      </c>
      <c r="M14" s="318" t="s">
        <v>20417</v>
      </c>
      <c r="N14" s="379" t="s">
        <v>20156</v>
      </c>
      <c r="O14" s="380">
        <v>45317</v>
      </c>
      <c r="P14" s="381">
        <v>0</v>
      </c>
      <c r="Q14" s="340">
        <v>0</v>
      </c>
      <c r="R14" s="340">
        <v>0</v>
      </c>
      <c r="S14" s="341">
        <v>0</v>
      </c>
      <c r="T14" s="341">
        <v>0</v>
      </c>
      <c r="U14" s="341">
        <v>0</v>
      </c>
      <c r="V14" s="340">
        <v>0</v>
      </c>
      <c r="W14" s="340">
        <v>0</v>
      </c>
    </row>
    <row r="15" spans="1:23">
      <c r="A15" s="332">
        <v>19200</v>
      </c>
      <c r="B15" s="333">
        <v>38976</v>
      </c>
      <c r="C15" s="334" t="s">
        <v>19655</v>
      </c>
      <c r="D15" s="371" t="s">
        <v>19244</v>
      </c>
      <c r="E15" s="372" t="s">
        <v>20194</v>
      </c>
      <c r="F15" s="335" t="s">
        <v>20155</v>
      </c>
      <c r="G15" s="336">
        <v>45302</v>
      </c>
      <c r="H15" s="337">
        <v>19200</v>
      </c>
      <c r="I15" s="337"/>
      <c r="J15" s="338"/>
      <c r="K15" s="337"/>
      <c r="L15" s="339" t="s">
        <v>18201</v>
      </c>
      <c r="M15" s="318" t="s">
        <v>20418</v>
      </c>
      <c r="N15" s="379" t="s">
        <v>17965</v>
      </c>
      <c r="O15" s="380">
        <v>45309</v>
      </c>
      <c r="P15" s="381">
        <v>0</v>
      </c>
      <c r="Q15" s="340">
        <v>0</v>
      </c>
      <c r="R15" s="340">
        <v>0</v>
      </c>
      <c r="S15" s="341">
        <v>0</v>
      </c>
      <c r="T15" s="341">
        <v>0</v>
      </c>
      <c r="U15" s="341">
        <v>0</v>
      </c>
      <c r="V15" s="340">
        <v>0</v>
      </c>
      <c r="W15" s="340">
        <v>0</v>
      </c>
    </row>
    <row r="16" spans="1:23">
      <c r="A16" s="332">
        <v>25200</v>
      </c>
      <c r="B16" s="396">
        <v>46368</v>
      </c>
      <c r="C16" s="334" t="s">
        <v>19655</v>
      </c>
      <c r="D16" s="371" t="s">
        <v>19245</v>
      </c>
      <c r="E16" s="372" t="s">
        <v>20196</v>
      </c>
      <c r="F16" s="335" t="s">
        <v>20155</v>
      </c>
      <c r="G16" s="336">
        <v>45302</v>
      </c>
      <c r="H16" s="337"/>
      <c r="I16" s="337">
        <v>25200</v>
      </c>
      <c r="J16" s="338"/>
      <c r="K16" s="337"/>
      <c r="L16" s="339" t="s">
        <v>18201</v>
      </c>
      <c r="M16" s="318" t="s">
        <v>20419</v>
      </c>
      <c r="N16" s="379" t="s">
        <v>18248</v>
      </c>
      <c r="O16" s="380">
        <v>45309</v>
      </c>
      <c r="P16" s="381">
        <v>0</v>
      </c>
      <c r="Q16" s="340">
        <v>0</v>
      </c>
      <c r="R16" s="340">
        <v>0</v>
      </c>
      <c r="S16" s="341">
        <v>0</v>
      </c>
      <c r="T16" s="341">
        <v>0</v>
      </c>
      <c r="U16" s="341">
        <v>0</v>
      </c>
      <c r="V16" s="340">
        <v>0</v>
      </c>
      <c r="W16" s="340">
        <v>0</v>
      </c>
    </row>
    <row r="17" spans="1:23">
      <c r="A17" s="332">
        <v>56160</v>
      </c>
      <c r="B17" s="333">
        <v>110128.8</v>
      </c>
      <c r="C17" s="334" t="s">
        <v>19655</v>
      </c>
      <c r="D17" s="371" t="s">
        <v>19246</v>
      </c>
      <c r="E17" s="372" t="s">
        <v>20197</v>
      </c>
      <c r="F17" s="335" t="s">
        <v>20155</v>
      </c>
      <c r="G17" s="336">
        <v>45302</v>
      </c>
      <c r="H17" s="337">
        <v>35760</v>
      </c>
      <c r="I17" s="337">
        <v>20400</v>
      </c>
      <c r="J17" s="338"/>
      <c r="K17" s="337"/>
      <c r="L17" s="339" t="s">
        <v>18201</v>
      </c>
      <c r="M17" s="318" t="s">
        <v>20420</v>
      </c>
      <c r="N17" s="379" t="s">
        <v>18248</v>
      </c>
      <c r="O17" s="380">
        <v>45322</v>
      </c>
      <c r="P17" s="381">
        <v>0</v>
      </c>
      <c r="Q17" s="340">
        <v>0</v>
      </c>
      <c r="R17" s="340">
        <v>0</v>
      </c>
      <c r="S17" s="341">
        <v>0</v>
      </c>
      <c r="T17" s="341">
        <v>0</v>
      </c>
      <c r="U17" s="341">
        <v>0</v>
      </c>
      <c r="V17" s="340">
        <v>0</v>
      </c>
      <c r="W17" s="340">
        <v>0</v>
      </c>
    </row>
    <row r="18" spans="1:23">
      <c r="A18" s="332">
        <v>6000</v>
      </c>
      <c r="B18" s="333">
        <v>22494.68</v>
      </c>
      <c r="C18" s="334" t="s">
        <v>20421</v>
      </c>
      <c r="D18" s="371" t="s">
        <v>19247</v>
      </c>
      <c r="E18" s="372" t="s">
        <v>20198</v>
      </c>
      <c r="F18" s="335" t="s">
        <v>20155</v>
      </c>
      <c r="G18" s="336">
        <v>45302</v>
      </c>
      <c r="H18" s="337">
        <v>6000</v>
      </c>
      <c r="I18" s="337"/>
      <c r="J18" s="338"/>
      <c r="K18" s="337"/>
      <c r="L18" s="339" t="s">
        <v>20408</v>
      </c>
      <c r="M18" s="318" t="s">
        <v>20422</v>
      </c>
      <c r="N18" s="379" t="s">
        <v>20368</v>
      </c>
      <c r="O18" s="380">
        <v>45314</v>
      </c>
      <c r="P18" s="381">
        <v>5530.46</v>
      </c>
      <c r="Q18" s="340">
        <v>0.92174333333333336</v>
      </c>
      <c r="R18" s="340">
        <v>5530.46</v>
      </c>
      <c r="S18" s="341">
        <v>0</v>
      </c>
      <c r="T18" s="341">
        <v>0</v>
      </c>
      <c r="U18" s="341">
        <v>0</v>
      </c>
      <c r="V18" s="340">
        <v>5530.46</v>
      </c>
      <c r="W18" s="340">
        <v>0</v>
      </c>
    </row>
    <row r="19" spans="1:23">
      <c r="A19" s="332">
        <v>8000</v>
      </c>
      <c r="B19" s="333">
        <v>19600</v>
      </c>
      <c r="C19" s="334" t="s">
        <v>17018</v>
      </c>
      <c r="D19" s="371" t="s">
        <v>19249</v>
      </c>
      <c r="E19" s="372" t="s">
        <v>20199</v>
      </c>
      <c r="F19" s="335" t="s">
        <v>20155</v>
      </c>
      <c r="G19" s="336">
        <v>45304</v>
      </c>
      <c r="H19" s="337"/>
      <c r="I19" s="337">
        <v>8000</v>
      </c>
      <c r="J19" s="338"/>
      <c r="K19" s="337"/>
      <c r="L19" s="339" t="s">
        <v>20408</v>
      </c>
      <c r="M19" s="318" t="s">
        <v>20423</v>
      </c>
      <c r="N19" s="379" t="s">
        <v>20350</v>
      </c>
      <c r="O19" s="380">
        <v>45314</v>
      </c>
      <c r="P19" s="381">
        <v>0</v>
      </c>
      <c r="Q19" s="340">
        <v>0</v>
      </c>
      <c r="R19" s="340">
        <v>0</v>
      </c>
      <c r="S19" s="341">
        <v>0</v>
      </c>
      <c r="T19" s="341">
        <v>0</v>
      </c>
      <c r="U19" s="341">
        <v>0</v>
      </c>
      <c r="V19" s="340">
        <v>0</v>
      </c>
      <c r="W19" s="340">
        <v>0</v>
      </c>
    </row>
    <row r="20" spans="1:23">
      <c r="A20" s="332">
        <v>16276</v>
      </c>
      <c r="B20" s="333">
        <v>51613.599999999999</v>
      </c>
      <c r="C20" s="334" t="s">
        <v>17018</v>
      </c>
      <c r="D20" s="371" t="s">
        <v>19250</v>
      </c>
      <c r="E20" s="372" t="s">
        <v>20200</v>
      </c>
      <c r="F20" s="389" t="s">
        <v>20155</v>
      </c>
      <c r="G20" s="336">
        <v>45304</v>
      </c>
      <c r="H20" s="337">
        <v>3840</v>
      </c>
      <c r="I20" s="337">
        <v>5016</v>
      </c>
      <c r="J20" s="338">
        <v>5400</v>
      </c>
      <c r="K20" s="337">
        <v>2020</v>
      </c>
      <c r="L20" s="339" t="s">
        <v>20424</v>
      </c>
      <c r="M20" s="318" t="s">
        <v>20425</v>
      </c>
      <c r="N20" s="379" t="s">
        <v>17238</v>
      </c>
      <c r="O20" s="380">
        <v>45412</v>
      </c>
      <c r="P20" s="381">
        <v>0</v>
      </c>
      <c r="Q20" s="340">
        <v>0</v>
      </c>
      <c r="R20" s="340">
        <v>0</v>
      </c>
      <c r="S20" s="341">
        <v>0</v>
      </c>
      <c r="T20" s="341">
        <v>0</v>
      </c>
      <c r="U20" s="341">
        <v>0</v>
      </c>
      <c r="V20" s="340">
        <v>0</v>
      </c>
      <c r="W20" s="340">
        <v>0</v>
      </c>
    </row>
    <row r="21" spans="1:23">
      <c r="A21" s="332">
        <v>23750</v>
      </c>
      <c r="B21" s="333">
        <v>57475</v>
      </c>
      <c r="C21" s="334" t="s">
        <v>17018</v>
      </c>
      <c r="D21" s="371" t="s">
        <v>19251</v>
      </c>
      <c r="E21" s="372" t="s">
        <v>20201</v>
      </c>
      <c r="F21" s="335" t="s">
        <v>20155</v>
      </c>
      <c r="G21" s="336">
        <v>45304</v>
      </c>
      <c r="H21" s="337">
        <v>22500</v>
      </c>
      <c r="I21" s="337">
        <v>1250</v>
      </c>
      <c r="J21" s="338"/>
      <c r="K21" s="337"/>
      <c r="L21" s="339" t="s">
        <v>20398</v>
      </c>
      <c r="M21" s="318" t="s">
        <v>20426</v>
      </c>
      <c r="N21" s="379" t="s">
        <v>20350</v>
      </c>
      <c r="O21" s="380">
        <v>45322</v>
      </c>
      <c r="P21" s="381">
        <v>0</v>
      </c>
      <c r="Q21" s="340">
        <v>0</v>
      </c>
      <c r="R21" s="340">
        <v>0</v>
      </c>
      <c r="S21" s="341">
        <v>0</v>
      </c>
      <c r="T21" s="341">
        <v>0</v>
      </c>
      <c r="U21" s="341">
        <v>0</v>
      </c>
      <c r="V21" s="340">
        <v>0</v>
      </c>
      <c r="W21" s="340">
        <v>0</v>
      </c>
    </row>
    <row r="22" spans="1:23">
      <c r="A22" s="332">
        <v>165000</v>
      </c>
      <c r="B22" s="333">
        <v>296070.72000000003</v>
      </c>
      <c r="C22" s="334" t="s">
        <v>19722</v>
      </c>
      <c r="D22" s="371" t="s">
        <v>19252</v>
      </c>
      <c r="E22" s="372" t="s">
        <v>20202</v>
      </c>
      <c r="F22" s="335" t="s">
        <v>20155</v>
      </c>
      <c r="G22" s="336">
        <v>45304</v>
      </c>
      <c r="H22" s="337"/>
      <c r="I22" s="337"/>
      <c r="J22" s="338">
        <v>165000</v>
      </c>
      <c r="K22" s="337"/>
      <c r="L22" s="339" t="s">
        <v>20427</v>
      </c>
      <c r="M22" s="318" t="s">
        <v>20428</v>
      </c>
      <c r="N22" s="379" t="s">
        <v>17801</v>
      </c>
      <c r="O22" s="380">
        <v>45316</v>
      </c>
      <c r="P22" s="381">
        <v>0</v>
      </c>
      <c r="Q22" s="340">
        <v>0</v>
      </c>
      <c r="R22" s="340">
        <v>0</v>
      </c>
      <c r="S22" s="341">
        <v>0</v>
      </c>
      <c r="T22" s="341">
        <v>0</v>
      </c>
      <c r="U22" s="341">
        <v>0</v>
      </c>
      <c r="V22" s="340">
        <v>0</v>
      </c>
      <c r="W22" s="340">
        <v>0</v>
      </c>
    </row>
    <row r="23" spans="1:23">
      <c r="A23" s="332">
        <v>165000</v>
      </c>
      <c r="B23" s="333">
        <v>295174.35749999998</v>
      </c>
      <c r="C23" s="334" t="s">
        <v>19722</v>
      </c>
      <c r="D23" s="371" t="s">
        <v>19253</v>
      </c>
      <c r="E23" s="372" t="s">
        <v>20203</v>
      </c>
      <c r="F23" s="335" t="s">
        <v>20155</v>
      </c>
      <c r="G23" s="336">
        <v>45304</v>
      </c>
      <c r="H23" s="337"/>
      <c r="I23" s="337"/>
      <c r="J23" s="338">
        <v>165000</v>
      </c>
      <c r="K23" s="337"/>
      <c r="L23" s="339" t="s">
        <v>20427</v>
      </c>
      <c r="M23" s="318" t="s">
        <v>20429</v>
      </c>
      <c r="N23" s="379" t="s">
        <v>17801</v>
      </c>
      <c r="O23" s="380">
        <v>45321</v>
      </c>
      <c r="P23" s="381">
        <v>0</v>
      </c>
      <c r="Q23" s="340">
        <v>0</v>
      </c>
      <c r="R23" s="340">
        <v>0</v>
      </c>
      <c r="S23" s="341">
        <v>0</v>
      </c>
      <c r="T23" s="341">
        <v>0</v>
      </c>
      <c r="U23" s="341">
        <v>0</v>
      </c>
      <c r="V23" s="340">
        <v>0</v>
      </c>
      <c r="W23" s="340">
        <v>0</v>
      </c>
    </row>
    <row r="24" spans="1:23">
      <c r="A24" s="332">
        <v>28000</v>
      </c>
      <c r="B24" s="333">
        <v>50301.398000000001</v>
      </c>
      <c r="C24" s="334" t="s">
        <v>19862</v>
      </c>
      <c r="D24" s="371" t="s">
        <v>19254</v>
      </c>
      <c r="E24" s="372" t="s">
        <v>20204</v>
      </c>
      <c r="F24" s="335" t="s">
        <v>20155</v>
      </c>
      <c r="G24" s="336">
        <v>45304</v>
      </c>
      <c r="H24" s="337"/>
      <c r="I24" s="337"/>
      <c r="J24" s="338">
        <v>28000</v>
      </c>
      <c r="K24" s="337"/>
      <c r="L24" s="339" t="s">
        <v>20430</v>
      </c>
      <c r="M24" s="318" t="s">
        <v>20431</v>
      </c>
      <c r="N24" s="379" t="s">
        <v>17693</v>
      </c>
      <c r="O24" s="380">
        <v>45322</v>
      </c>
      <c r="P24" s="381">
        <v>5844.2860000000001</v>
      </c>
      <c r="Q24" s="340">
        <v>0.20872450000000001</v>
      </c>
      <c r="R24" s="340">
        <v>0</v>
      </c>
      <c r="S24" s="341">
        <v>0</v>
      </c>
      <c r="T24" s="341">
        <v>5844.2860000000001</v>
      </c>
      <c r="U24" s="341">
        <v>0</v>
      </c>
      <c r="V24" s="340">
        <v>5844.2860000000001</v>
      </c>
      <c r="W24" s="340">
        <v>0</v>
      </c>
    </row>
    <row r="25" spans="1:23">
      <c r="A25" s="332">
        <v>22008</v>
      </c>
      <c r="B25" s="333">
        <v>43575.839999999997</v>
      </c>
      <c r="C25" s="334" t="s">
        <v>19647</v>
      </c>
      <c r="D25" s="371" t="s">
        <v>19255</v>
      </c>
      <c r="E25" s="372" t="s">
        <v>20205</v>
      </c>
      <c r="F25" s="335" t="s">
        <v>20155</v>
      </c>
      <c r="G25" s="336">
        <v>45307</v>
      </c>
      <c r="H25" s="337">
        <v>22008</v>
      </c>
      <c r="I25" s="337"/>
      <c r="J25" s="338"/>
      <c r="K25" s="337"/>
      <c r="L25" s="339" t="s">
        <v>20427</v>
      </c>
      <c r="M25" s="318" t="s">
        <v>20432</v>
      </c>
      <c r="N25" s="379" t="s">
        <v>17949</v>
      </c>
      <c r="O25" s="380">
        <v>45310</v>
      </c>
      <c r="P25" s="381">
        <v>0</v>
      </c>
      <c r="Q25" s="340">
        <v>0</v>
      </c>
      <c r="R25" s="340">
        <v>0</v>
      </c>
      <c r="S25" s="341">
        <v>0</v>
      </c>
      <c r="T25" s="341">
        <v>0</v>
      </c>
      <c r="U25" s="341">
        <v>0</v>
      </c>
      <c r="V25" s="340">
        <v>0</v>
      </c>
      <c r="W25" s="340">
        <v>0</v>
      </c>
    </row>
    <row r="26" spans="1:23">
      <c r="A26" s="332">
        <v>27168</v>
      </c>
      <c r="B26" s="333">
        <v>83122.951679999998</v>
      </c>
      <c r="C26" s="334" t="s">
        <v>19661</v>
      </c>
      <c r="D26" s="371" t="s">
        <v>19256</v>
      </c>
      <c r="E26" s="372" t="s">
        <v>20206</v>
      </c>
      <c r="F26" s="335" t="s">
        <v>20155</v>
      </c>
      <c r="G26" s="336">
        <v>45307</v>
      </c>
      <c r="H26" s="337"/>
      <c r="I26" s="337">
        <v>21168</v>
      </c>
      <c r="J26" s="338">
        <v>6000</v>
      </c>
      <c r="K26" s="337"/>
      <c r="L26" s="339" t="s">
        <v>20408</v>
      </c>
      <c r="M26" s="318" t="s">
        <v>20433</v>
      </c>
      <c r="N26" s="379" t="s">
        <v>20160</v>
      </c>
      <c r="O26" s="380">
        <v>45317</v>
      </c>
      <c r="P26" s="381">
        <v>13197.6</v>
      </c>
      <c r="Q26" s="340">
        <v>0.48577738515901059</v>
      </c>
      <c r="R26" s="340">
        <v>0</v>
      </c>
      <c r="S26" s="341">
        <v>10282.935689045937</v>
      </c>
      <c r="T26" s="341">
        <v>2914.6643109540637</v>
      </c>
      <c r="U26" s="341">
        <v>0</v>
      </c>
      <c r="V26" s="340">
        <v>13197.6</v>
      </c>
      <c r="W26" s="340">
        <v>0</v>
      </c>
    </row>
    <row r="27" spans="1:23">
      <c r="A27" s="332">
        <v>27900</v>
      </c>
      <c r="B27" s="333">
        <v>85056.646124999999</v>
      </c>
      <c r="C27" s="334" t="s">
        <v>19661</v>
      </c>
      <c r="D27" s="371" t="s">
        <v>19257</v>
      </c>
      <c r="E27" s="372" t="s">
        <v>20207</v>
      </c>
      <c r="F27" s="335" t="s">
        <v>20155</v>
      </c>
      <c r="G27" s="336">
        <v>45307</v>
      </c>
      <c r="H27" s="337"/>
      <c r="I27" s="337">
        <v>21600</v>
      </c>
      <c r="J27" s="338">
        <v>6300</v>
      </c>
      <c r="K27" s="337"/>
      <c r="L27" s="339" t="s">
        <v>20408</v>
      </c>
      <c r="M27" s="318" t="s">
        <v>20434</v>
      </c>
      <c r="N27" s="379" t="s">
        <v>20160</v>
      </c>
      <c r="O27" s="380">
        <v>45314</v>
      </c>
      <c r="P27" s="381">
        <v>13206.765000000001</v>
      </c>
      <c r="Q27" s="340">
        <v>0.47336075268817207</v>
      </c>
      <c r="R27" s="340">
        <v>0</v>
      </c>
      <c r="S27" s="341">
        <v>10224.592258064516</v>
      </c>
      <c r="T27" s="341">
        <v>2982.1727419354838</v>
      </c>
      <c r="U27" s="341">
        <v>0</v>
      </c>
      <c r="V27" s="340">
        <v>13206.764999999999</v>
      </c>
      <c r="W27" s="340">
        <v>0</v>
      </c>
    </row>
    <row r="28" spans="1:23">
      <c r="A28" s="332">
        <v>40304</v>
      </c>
      <c r="B28" s="333">
        <v>109131.523688</v>
      </c>
      <c r="C28" s="334" t="s">
        <v>19659</v>
      </c>
      <c r="D28" s="371" t="s">
        <v>19258</v>
      </c>
      <c r="E28" s="372" t="s">
        <v>20208</v>
      </c>
      <c r="F28" s="389" t="s">
        <v>20155</v>
      </c>
      <c r="G28" s="336">
        <v>45310</v>
      </c>
      <c r="H28" s="337">
        <v>40304</v>
      </c>
      <c r="I28" s="337"/>
      <c r="J28" s="338"/>
      <c r="K28" s="337"/>
      <c r="L28" s="339" t="s">
        <v>20398</v>
      </c>
      <c r="M28" s="318" t="s">
        <v>20435</v>
      </c>
      <c r="N28" s="379" t="s">
        <v>20161</v>
      </c>
      <c r="O28" s="380">
        <v>45342</v>
      </c>
      <c r="P28" s="381">
        <v>0</v>
      </c>
      <c r="Q28" s="340">
        <v>0</v>
      </c>
      <c r="R28" s="340">
        <v>0</v>
      </c>
      <c r="S28" s="341">
        <v>0</v>
      </c>
      <c r="T28" s="341">
        <v>0</v>
      </c>
      <c r="U28" s="341">
        <v>0</v>
      </c>
      <c r="V28" s="340">
        <v>0</v>
      </c>
      <c r="W28" s="340">
        <v>0</v>
      </c>
    </row>
    <row r="29" spans="1:23">
      <c r="A29" s="332">
        <v>40300</v>
      </c>
      <c r="B29" s="333">
        <v>99659.361100000009</v>
      </c>
      <c r="C29" s="334" t="s">
        <v>19659</v>
      </c>
      <c r="D29" s="371" t="s">
        <v>19259</v>
      </c>
      <c r="E29" s="372" t="s">
        <v>20209</v>
      </c>
      <c r="F29" s="389" t="s">
        <v>20155</v>
      </c>
      <c r="G29" s="336">
        <v>45310</v>
      </c>
      <c r="H29" s="337">
        <v>40300</v>
      </c>
      <c r="I29" s="337"/>
      <c r="J29" s="338"/>
      <c r="K29" s="337"/>
      <c r="L29" s="339" t="s">
        <v>20398</v>
      </c>
      <c r="M29" s="318" t="s">
        <v>20436</v>
      </c>
      <c r="N29" s="379" t="s">
        <v>20161</v>
      </c>
      <c r="O29" s="380">
        <v>45343</v>
      </c>
      <c r="P29" s="381">
        <v>0</v>
      </c>
      <c r="Q29" s="340">
        <v>0</v>
      </c>
      <c r="R29" s="340">
        <v>0</v>
      </c>
      <c r="S29" s="341">
        <v>0</v>
      </c>
      <c r="T29" s="341">
        <v>0</v>
      </c>
      <c r="U29" s="341">
        <v>0</v>
      </c>
      <c r="V29" s="340">
        <v>0</v>
      </c>
      <c r="W29" s="340">
        <v>0</v>
      </c>
    </row>
    <row r="30" spans="1:23">
      <c r="A30" s="332">
        <v>157500</v>
      </c>
      <c r="B30" s="333">
        <v>258300</v>
      </c>
      <c r="C30" s="334" t="s">
        <v>19647</v>
      </c>
      <c r="D30" s="371" t="s">
        <v>19260</v>
      </c>
      <c r="E30" s="372" t="s">
        <v>20210</v>
      </c>
      <c r="F30" s="335" t="s">
        <v>20155</v>
      </c>
      <c r="G30" s="336">
        <v>45313</v>
      </c>
      <c r="H30" s="337"/>
      <c r="I30" s="337">
        <v>157500</v>
      </c>
      <c r="J30" s="338"/>
      <c r="K30" s="337"/>
      <c r="L30" s="339" t="s">
        <v>20398</v>
      </c>
      <c r="M30" s="318" t="s">
        <v>20437</v>
      </c>
      <c r="N30" s="379" t="s">
        <v>20321</v>
      </c>
      <c r="O30" s="380">
        <v>45317</v>
      </c>
      <c r="P30" s="381">
        <v>0</v>
      </c>
      <c r="Q30" s="340">
        <v>0</v>
      </c>
      <c r="R30" s="340">
        <v>0</v>
      </c>
      <c r="S30" s="341">
        <v>0</v>
      </c>
      <c r="T30" s="341">
        <v>0</v>
      </c>
      <c r="U30" s="341">
        <v>0</v>
      </c>
      <c r="V30" s="340">
        <v>0</v>
      </c>
      <c r="W30" s="340">
        <v>0</v>
      </c>
    </row>
    <row r="31" spans="1:23">
      <c r="A31" s="332">
        <v>23228</v>
      </c>
      <c r="B31" s="333">
        <v>89781.270592000001</v>
      </c>
      <c r="C31" s="334" t="s">
        <v>17343</v>
      </c>
      <c r="D31" s="371" t="s">
        <v>19261</v>
      </c>
      <c r="E31" s="372" t="s">
        <v>20211</v>
      </c>
      <c r="F31" s="335" t="s">
        <v>20155</v>
      </c>
      <c r="G31" s="336">
        <v>45314</v>
      </c>
      <c r="H31" s="337"/>
      <c r="I31" s="337">
        <v>19848</v>
      </c>
      <c r="J31" s="338">
        <v>1200</v>
      </c>
      <c r="K31" s="337">
        <v>2180</v>
      </c>
      <c r="L31" s="339" t="s">
        <v>20424</v>
      </c>
      <c r="M31" s="318" t="s">
        <v>20438</v>
      </c>
      <c r="N31" s="379" t="s">
        <v>16394</v>
      </c>
      <c r="O31" s="380">
        <v>45315</v>
      </c>
      <c r="P31" s="381">
        <v>11849.6</v>
      </c>
      <c r="Q31" s="340">
        <v>0.51014293094541074</v>
      </c>
      <c r="R31" s="340">
        <v>0</v>
      </c>
      <c r="S31" s="341">
        <v>10125.316893404512</v>
      </c>
      <c r="T31" s="341">
        <v>612.17151713449289</v>
      </c>
      <c r="U31" s="341">
        <v>1112.1115894609954</v>
      </c>
      <c r="V31" s="340">
        <v>11849.6</v>
      </c>
      <c r="W31" s="340">
        <v>0</v>
      </c>
    </row>
    <row r="32" spans="1:23">
      <c r="A32" s="332">
        <v>23478</v>
      </c>
      <c r="B32" s="333">
        <v>74142.583200000008</v>
      </c>
      <c r="C32" s="334" t="s">
        <v>18159</v>
      </c>
      <c r="D32" s="371" t="s">
        <v>19262</v>
      </c>
      <c r="E32" s="372" t="s">
        <v>20212</v>
      </c>
      <c r="F32" s="335" t="s">
        <v>20155</v>
      </c>
      <c r="G32" s="336">
        <v>45314</v>
      </c>
      <c r="H32" s="337"/>
      <c r="I32" s="337">
        <v>22278</v>
      </c>
      <c r="J32" s="338">
        <v>1200</v>
      </c>
      <c r="K32" s="337"/>
      <c r="L32" s="339" t="s">
        <v>20439</v>
      </c>
      <c r="M32" s="318" t="s">
        <v>20440</v>
      </c>
      <c r="N32" s="379" t="s">
        <v>17954</v>
      </c>
      <c r="O32" s="380">
        <v>45317</v>
      </c>
      <c r="P32" s="381">
        <v>14918.4</v>
      </c>
      <c r="Q32" s="340">
        <v>0.63542039355992841</v>
      </c>
      <c r="R32" s="340">
        <v>0</v>
      </c>
      <c r="S32" s="341">
        <v>14155.895527728086</v>
      </c>
      <c r="T32" s="341">
        <v>762.5044722719141</v>
      </c>
      <c r="U32" s="341">
        <v>0</v>
      </c>
      <c r="V32" s="340">
        <v>14918.4</v>
      </c>
      <c r="W32" s="340">
        <v>0</v>
      </c>
    </row>
    <row r="33" spans="1:23">
      <c r="A33" s="332">
        <v>19932</v>
      </c>
      <c r="B33" s="333">
        <v>72019.724174999996</v>
      </c>
      <c r="C33" s="334" t="s">
        <v>17305</v>
      </c>
      <c r="D33" s="371" t="s">
        <v>19263</v>
      </c>
      <c r="E33" s="372" t="s">
        <v>20213</v>
      </c>
      <c r="F33" s="335" t="s">
        <v>20155</v>
      </c>
      <c r="G33" s="336">
        <v>45314</v>
      </c>
      <c r="H33" s="337">
        <v>2400</v>
      </c>
      <c r="I33" s="337">
        <v>14402</v>
      </c>
      <c r="J33" s="338">
        <v>2880</v>
      </c>
      <c r="K33" s="337">
        <v>250</v>
      </c>
      <c r="L33" s="339" t="s">
        <v>20405</v>
      </c>
      <c r="M33" s="318" t="s">
        <v>20441</v>
      </c>
      <c r="N33" s="379" t="s">
        <v>17954</v>
      </c>
      <c r="O33" s="380">
        <v>45317</v>
      </c>
      <c r="P33" s="381">
        <v>12185.495000000001</v>
      </c>
      <c r="Q33" s="340">
        <v>0.61135335139474212</v>
      </c>
      <c r="R33" s="340">
        <v>1467.2480433473811</v>
      </c>
      <c r="S33" s="341">
        <v>8804.7109667870754</v>
      </c>
      <c r="T33" s="341">
        <v>1760.6976520168573</v>
      </c>
      <c r="U33" s="341">
        <v>152.83833784868554</v>
      </c>
      <c r="V33" s="340">
        <v>12185.494999999999</v>
      </c>
      <c r="W33" s="340">
        <v>0</v>
      </c>
    </row>
    <row r="34" spans="1:23">
      <c r="A34" s="332">
        <v>130000</v>
      </c>
      <c r="B34" s="333">
        <v>224694.91449999998</v>
      </c>
      <c r="C34" s="334" t="s">
        <v>19867</v>
      </c>
      <c r="D34" s="371" t="s">
        <v>19264</v>
      </c>
      <c r="E34" s="372" t="s">
        <v>20214</v>
      </c>
      <c r="F34" s="335" t="s">
        <v>20155</v>
      </c>
      <c r="G34" s="336">
        <v>45314</v>
      </c>
      <c r="H34" s="337"/>
      <c r="I34" s="337"/>
      <c r="J34" s="338">
        <v>130000</v>
      </c>
      <c r="K34" s="337"/>
      <c r="L34" s="339" t="s">
        <v>20430</v>
      </c>
      <c r="M34" s="318" t="s">
        <v>20442</v>
      </c>
      <c r="N34" s="379" t="s">
        <v>17965</v>
      </c>
      <c r="O34" s="380">
        <v>45317</v>
      </c>
      <c r="P34" s="381">
        <v>16822.5134</v>
      </c>
      <c r="Q34" s="340">
        <v>0.12940394923076923</v>
      </c>
      <c r="R34" s="340">
        <v>0</v>
      </c>
      <c r="S34" s="341">
        <v>0</v>
      </c>
      <c r="T34" s="341">
        <v>16822.5134</v>
      </c>
      <c r="U34" s="341">
        <v>0</v>
      </c>
      <c r="V34" s="340">
        <v>16822.5134</v>
      </c>
      <c r="W34" s="340">
        <v>0</v>
      </c>
    </row>
    <row r="35" spans="1:23">
      <c r="A35" s="332">
        <v>76800</v>
      </c>
      <c r="B35" s="333">
        <v>155136</v>
      </c>
      <c r="C35" s="334" t="s">
        <v>19656</v>
      </c>
      <c r="D35" s="371" t="s">
        <v>19265</v>
      </c>
      <c r="E35" s="372" t="s">
        <v>20215</v>
      </c>
      <c r="F35" s="335" t="s">
        <v>20155</v>
      </c>
      <c r="G35" s="336">
        <v>45314</v>
      </c>
      <c r="H35" s="337">
        <v>76800</v>
      </c>
      <c r="I35" s="337"/>
      <c r="J35" s="338"/>
      <c r="K35" s="337"/>
      <c r="L35" s="339" t="s">
        <v>20427</v>
      </c>
      <c r="M35" s="318" t="s">
        <v>20443</v>
      </c>
      <c r="N35" s="379" t="s">
        <v>17965</v>
      </c>
      <c r="O35" s="380">
        <v>45318</v>
      </c>
      <c r="P35" s="381">
        <v>0</v>
      </c>
      <c r="Q35" s="340">
        <v>0</v>
      </c>
      <c r="R35" s="340">
        <v>0</v>
      </c>
      <c r="S35" s="341">
        <v>0</v>
      </c>
      <c r="T35" s="341">
        <v>0</v>
      </c>
      <c r="U35" s="341">
        <v>0</v>
      </c>
      <c r="V35" s="340">
        <v>0</v>
      </c>
      <c r="W35" s="340">
        <v>0</v>
      </c>
    </row>
    <row r="36" spans="1:23">
      <c r="A36" s="332">
        <v>269882</v>
      </c>
      <c r="B36" s="396">
        <v>597837.78973099997</v>
      </c>
      <c r="C36" s="334" t="s">
        <v>19662</v>
      </c>
      <c r="D36" s="371" t="s">
        <v>19266</v>
      </c>
      <c r="E36" s="372" t="s">
        <v>20216</v>
      </c>
      <c r="F36" s="335" t="s">
        <v>20155</v>
      </c>
      <c r="G36" s="336">
        <v>45314</v>
      </c>
      <c r="H36" s="337">
        <v>11376</v>
      </c>
      <c r="I36" s="337">
        <v>242506</v>
      </c>
      <c r="J36" s="338">
        <v>16000</v>
      </c>
      <c r="K36" s="337"/>
      <c r="L36" s="339" t="s">
        <v>20398</v>
      </c>
      <c r="M36" s="318" t="s">
        <v>20444</v>
      </c>
      <c r="N36" s="379" t="s">
        <v>18227</v>
      </c>
      <c r="O36" s="380">
        <v>45322</v>
      </c>
      <c r="P36" s="381">
        <v>66187.416204000008</v>
      </c>
      <c r="Q36" s="340">
        <v>0.24524576001363563</v>
      </c>
      <c r="R36" s="340">
        <v>2789.9157659151188</v>
      </c>
      <c r="S36" s="341">
        <v>59473.568277866725</v>
      </c>
      <c r="T36" s="341">
        <v>3923.9321602181699</v>
      </c>
      <c r="U36" s="341">
        <v>0</v>
      </c>
      <c r="V36" s="340">
        <v>66187.416204000008</v>
      </c>
      <c r="W36" s="340">
        <v>0</v>
      </c>
    </row>
    <row r="37" spans="1:23">
      <c r="A37" s="332">
        <v>15660</v>
      </c>
      <c r="B37" s="333">
        <v>51255.61641200001</v>
      </c>
      <c r="C37" s="334" t="s">
        <v>17210</v>
      </c>
      <c r="D37" s="371" t="s">
        <v>19267</v>
      </c>
      <c r="E37" s="372" t="s">
        <v>20217</v>
      </c>
      <c r="F37" s="335" t="s">
        <v>20155</v>
      </c>
      <c r="G37" s="336">
        <v>45314</v>
      </c>
      <c r="H37" s="337">
        <v>6000</v>
      </c>
      <c r="I37" s="337">
        <v>6624</v>
      </c>
      <c r="J37" s="338">
        <v>1536</v>
      </c>
      <c r="K37" s="337">
        <v>1500</v>
      </c>
      <c r="L37" s="339" t="s">
        <v>20424</v>
      </c>
      <c r="M37" s="318" t="s">
        <v>20445</v>
      </c>
      <c r="N37" s="379" t="s">
        <v>20168</v>
      </c>
      <c r="O37" s="380">
        <v>45320</v>
      </c>
      <c r="P37" s="381">
        <v>2497.04</v>
      </c>
      <c r="Q37" s="340">
        <v>0.15945338441890167</v>
      </c>
      <c r="R37" s="340">
        <v>956.72030651341004</v>
      </c>
      <c r="S37" s="341">
        <v>1056.2192183908046</v>
      </c>
      <c r="T37" s="341">
        <v>244.92039846743296</v>
      </c>
      <c r="U37" s="341">
        <v>239.18007662835251</v>
      </c>
      <c r="V37" s="340">
        <v>2497.0400000000004</v>
      </c>
      <c r="W37" s="340">
        <v>0</v>
      </c>
    </row>
    <row r="38" spans="1:23">
      <c r="A38" s="332">
        <v>368000</v>
      </c>
      <c r="B38" s="333">
        <v>646720</v>
      </c>
      <c r="C38" s="334" t="s">
        <v>19833</v>
      </c>
      <c r="D38" s="371" t="s">
        <v>19269</v>
      </c>
      <c r="E38" s="372" t="s">
        <v>20218</v>
      </c>
      <c r="F38" s="335" t="s">
        <v>20155</v>
      </c>
      <c r="G38" s="336">
        <v>45314</v>
      </c>
      <c r="H38" s="337">
        <v>128000</v>
      </c>
      <c r="I38" s="337"/>
      <c r="J38" s="338">
        <v>240000</v>
      </c>
      <c r="K38" s="337"/>
      <c r="L38" s="339" t="s">
        <v>20446</v>
      </c>
      <c r="M38" s="318" t="s">
        <v>20447</v>
      </c>
      <c r="N38" s="379" t="s">
        <v>20321</v>
      </c>
      <c r="O38" s="380" t="s">
        <v>20369</v>
      </c>
      <c r="P38" s="381">
        <v>0</v>
      </c>
      <c r="Q38" s="340">
        <v>0</v>
      </c>
      <c r="R38" s="340">
        <v>0</v>
      </c>
      <c r="S38" s="341">
        <v>0</v>
      </c>
      <c r="T38" s="341">
        <v>0</v>
      </c>
      <c r="U38" s="341">
        <v>0</v>
      </c>
      <c r="V38" s="340">
        <v>0</v>
      </c>
      <c r="W38" s="340">
        <v>0</v>
      </c>
    </row>
    <row r="39" spans="1:23">
      <c r="A39" s="332">
        <v>80000</v>
      </c>
      <c r="B39" s="333">
        <v>359417.69500000001</v>
      </c>
      <c r="C39" s="334" t="s">
        <v>20407</v>
      </c>
      <c r="D39" s="371" t="s">
        <v>19270</v>
      </c>
      <c r="E39" s="372" t="s">
        <v>20219</v>
      </c>
      <c r="F39" s="335" t="s">
        <v>20155</v>
      </c>
      <c r="G39" s="336">
        <v>45314</v>
      </c>
      <c r="H39" s="337"/>
      <c r="I39" s="337">
        <v>30000</v>
      </c>
      <c r="J39" s="338"/>
      <c r="K39" s="337">
        <v>50000</v>
      </c>
      <c r="L39" s="339" t="s">
        <v>20424</v>
      </c>
      <c r="M39" s="318" t="s">
        <v>20448</v>
      </c>
      <c r="N39" s="379" t="s">
        <v>17939</v>
      </c>
      <c r="O39" s="380">
        <v>45320</v>
      </c>
      <c r="P39" s="381">
        <v>0</v>
      </c>
      <c r="Q39" s="340">
        <v>0</v>
      </c>
      <c r="R39" s="340">
        <v>0</v>
      </c>
      <c r="S39" s="341">
        <v>0</v>
      </c>
      <c r="T39" s="341">
        <v>0</v>
      </c>
      <c r="U39" s="341">
        <v>0</v>
      </c>
      <c r="V39" s="340">
        <v>0</v>
      </c>
      <c r="W39" s="340">
        <v>0</v>
      </c>
    </row>
    <row r="40" spans="1:23">
      <c r="A40" s="332">
        <v>22216</v>
      </c>
      <c r="B40" s="333">
        <v>84437.636052000002</v>
      </c>
      <c r="C40" s="334" t="s">
        <v>17343</v>
      </c>
      <c r="D40" s="371" t="s">
        <v>19271</v>
      </c>
      <c r="E40" s="372" t="s">
        <v>20220</v>
      </c>
      <c r="F40" s="335" t="s">
        <v>20155</v>
      </c>
      <c r="G40" s="336">
        <v>45320</v>
      </c>
      <c r="H40" s="337">
        <v>1920</v>
      </c>
      <c r="I40" s="337">
        <v>17136</v>
      </c>
      <c r="J40" s="338">
        <v>2400</v>
      </c>
      <c r="K40" s="337">
        <v>760</v>
      </c>
      <c r="L40" s="339" t="s">
        <v>20424</v>
      </c>
      <c r="M40" s="318" t="s">
        <v>20449</v>
      </c>
      <c r="N40" s="379" t="s">
        <v>16394</v>
      </c>
      <c r="O40" s="380">
        <v>45322</v>
      </c>
      <c r="P40" s="381">
        <v>11823.7</v>
      </c>
      <c r="Q40" s="340">
        <v>0.53221552034569686</v>
      </c>
      <c r="R40" s="340">
        <v>1021.8537990637379</v>
      </c>
      <c r="S40" s="341">
        <v>9120.0451566438605</v>
      </c>
      <c r="T40" s="341">
        <v>1277.3172488296725</v>
      </c>
      <c r="U40" s="341">
        <v>404.48379546272963</v>
      </c>
      <c r="V40" s="340">
        <v>11823.7</v>
      </c>
      <c r="W40" s="340">
        <v>0</v>
      </c>
    </row>
    <row r="41" spans="1:23">
      <c r="A41" s="332">
        <v>63204</v>
      </c>
      <c r="B41" s="333">
        <v>101688.473348</v>
      </c>
      <c r="C41" s="334" t="s">
        <v>19867</v>
      </c>
      <c r="D41" s="371" t="s">
        <v>19272</v>
      </c>
      <c r="E41" s="372" t="s">
        <v>20221</v>
      </c>
      <c r="F41" s="335" t="s">
        <v>20155</v>
      </c>
      <c r="G41" s="336">
        <v>45320</v>
      </c>
      <c r="H41" s="337">
        <v>19200</v>
      </c>
      <c r="I41" s="337">
        <v>44004</v>
      </c>
      <c r="J41" s="338"/>
      <c r="K41" s="337"/>
      <c r="L41" s="339" t="s">
        <v>20430</v>
      </c>
      <c r="M41" s="318" t="s">
        <v>20450</v>
      </c>
      <c r="N41" s="379" t="s">
        <v>17965</v>
      </c>
      <c r="O41" s="380">
        <v>45330</v>
      </c>
      <c r="P41" s="381">
        <v>6576.060356</v>
      </c>
      <c r="Q41" s="340">
        <v>0.10404500278463388</v>
      </c>
      <c r="R41" s="340">
        <v>1997.6640534649705</v>
      </c>
      <c r="S41" s="341">
        <v>4578.3963025350295</v>
      </c>
      <c r="T41" s="341">
        <v>0</v>
      </c>
      <c r="U41" s="341">
        <v>0</v>
      </c>
      <c r="V41" s="340">
        <v>6576.060356</v>
      </c>
      <c r="W41" s="340">
        <v>0</v>
      </c>
    </row>
    <row r="42" spans="1:23">
      <c r="A42" s="332">
        <v>74200</v>
      </c>
      <c r="B42" s="333">
        <v>117897.408</v>
      </c>
      <c r="C42" s="334" t="s">
        <v>19867</v>
      </c>
      <c r="D42" s="371" t="s">
        <v>19273</v>
      </c>
      <c r="E42" s="372" t="s">
        <v>20222</v>
      </c>
      <c r="F42" s="335" t="s">
        <v>20155</v>
      </c>
      <c r="G42" s="336">
        <v>45320</v>
      </c>
      <c r="H42" s="337">
        <v>19200</v>
      </c>
      <c r="I42" s="337">
        <v>55000</v>
      </c>
      <c r="J42" s="338"/>
      <c r="K42" s="337"/>
      <c r="L42" s="339" t="s">
        <v>20430</v>
      </c>
      <c r="M42" s="318" t="s">
        <v>20451</v>
      </c>
      <c r="N42" s="379" t="s">
        <v>20321</v>
      </c>
      <c r="O42" s="380">
        <v>45322</v>
      </c>
      <c r="P42" s="381">
        <v>4056.7755000000002</v>
      </c>
      <c r="Q42" s="340">
        <v>5.4673524258760112E-2</v>
      </c>
      <c r="R42" s="340">
        <v>1049.731665768194</v>
      </c>
      <c r="S42" s="341">
        <v>3007.0438342318062</v>
      </c>
      <c r="T42" s="341">
        <v>0</v>
      </c>
      <c r="U42" s="341">
        <v>0</v>
      </c>
      <c r="V42" s="340">
        <v>4056.7755000000002</v>
      </c>
      <c r="W42" s="340">
        <v>0</v>
      </c>
    </row>
    <row r="43" spans="1:23">
      <c r="A43" s="332">
        <v>115200</v>
      </c>
      <c r="B43" s="333">
        <v>232704</v>
      </c>
      <c r="C43" s="334" t="s">
        <v>19656</v>
      </c>
      <c r="D43" s="371" t="s">
        <v>19274</v>
      </c>
      <c r="E43" s="372" t="s">
        <v>20223</v>
      </c>
      <c r="F43" s="335" t="s">
        <v>20155</v>
      </c>
      <c r="G43" s="336">
        <v>45323</v>
      </c>
      <c r="H43" s="337">
        <v>115200</v>
      </c>
      <c r="I43" s="337"/>
      <c r="J43" s="338"/>
      <c r="K43" s="337"/>
      <c r="L43" s="339" t="s">
        <v>20398</v>
      </c>
      <c r="M43" s="318" t="s">
        <v>20452</v>
      </c>
      <c r="N43" s="379" t="s">
        <v>17965</v>
      </c>
      <c r="O43" s="380">
        <v>45331</v>
      </c>
      <c r="P43" s="381">
        <v>0</v>
      </c>
      <c r="Q43" s="340">
        <v>0</v>
      </c>
      <c r="R43" s="340">
        <v>0</v>
      </c>
      <c r="S43" s="341">
        <v>0</v>
      </c>
      <c r="T43" s="341">
        <v>0</v>
      </c>
      <c r="U43" s="341">
        <v>0</v>
      </c>
      <c r="V43" s="340">
        <v>0</v>
      </c>
      <c r="W43" s="340">
        <v>0</v>
      </c>
    </row>
    <row r="44" spans="1:23">
      <c r="A44" s="332">
        <v>234992</v>
      </c>
      <c r="B44" s="333">
        <v>441901.76</v>
      </c>
      <c r="C44" s="334" t="s">
        <v>19656</v>
      </c>
      <c r="D44" s="371" t="s">
        <v>19275</v>
      </c>
      <c r="E44" s="372" t="s">
        <v>20224</v>
      </c>
      <c r="F44" s="335" t="s">
        <v>20155</v>
      </c>
      <c r="G44" s="336">
        <v>45323</v>
      </c>
      <c r="H44" s="337">
        <v>152832</v>
      </c>
      <c r="I44" s="337">
        <v>26160</v>
      </c>
      <c r="J44" s="338">
        <v>56000</v>
      </c>
      <c r="K44" s="337"/>
      <c r="L44" s="339" t="s">
        <v>20398</v>
      </c>
      <c r="M44" s="318" t="s">
        <v>20453</v>
      </c>
      <c r="N44" s="379" t="s">
        <v>17949</v>
      </c>
      <c r="O44" s="380">
        <v>45335</v>
      </c>
      <c r="P44" s="381">
        <v>0</v>
      </c>
      <c r="Q44" s="340">
        <v>0</v>
      </c>
      <c r="R44" s="340">
        <v>0</v>
      </c>
      <c r="S44" s="341">
        <v>0</v>
      </c>
      <c r="T44" s="341">
        <v>0</v>
      </c>
      <c r="U44" s="341">
        <v>0</v>
      </c>
      <c r="V44" s="340">
        <v>0</v>
      </c>
      <c r="W44" s="340">
        <v>0</v>
      </c>
    </row>
    <row r="45" spans="1:23">
      <c r="A45" s="332">
        <v>24012</v>
      </c>
      <c r="B45" s="333">
        <v>92184.060192000004</v>
      </c>
      <c r="C45" s="334" t="s">
        <v>17343</v>
      </c>
      <c r="D45" s="371" t="s">
        <v>19276</v>
      </c>
      <c r="E45" s="372" t="s">
        <v>20225</v>
      </c>
      <c r="F45" s="335" t="s">
        <v>20155</v>
      </c>
      <c r="G45" s="336">
        <v>45323</v>
      </c>
      <c r="H45" s="337"/>
      <c r="I45" s="337">
        <v>20712</v>
      </c>
      <c r="J45" s="338"/>
      <c r="K45" s="337">
        <v>3300</v>
      </c>
      <c r="L45" s="339" t="s">
        <v>20424</v>
      </c>
      <c r="M45" s="318" t="s">
        <v>20454</v>
      </c>
      <c r="N45" s="379" t="s">
        <v>16394</v>
      </c>
      <c r="O45" s="380">
        <v>45327</v>
      </c>
      <c r="P45" s="381">
        <v>11831.575000000001</v>
      </c>
      <c r="Q45" s="340">
        <v>0.49273592370481428</v>
      </c>
      <c r="R45" s="340">
        <v>0</v>
      </c>
      <c r="S45" s="341">
        <v>10205.546451774113</v>
      </c>
      <c r="T45" s="341">
        <v>0</v>
      </c>
      <c r="U45" s="341">
        <v>1626.0285482258871</v>
      </c>
      <c r="V45" s="340">
        <v>11831.575000000001</v>
      </c>
      <c r="W45" s="340">
        <v>0</v>
      </c>
    </row>
    <row r="46" spans="1:23">
      <c r="A46" s="332">
        <v>56064</v>
      </c>
      <c r="B46" s="333">
        <v>127414.27008</v>
      </c>
      <c r="C46" s="334" t="s">
        <v>17371</v>
      </c>
      <c r="D46" s="371" t="s">
        <v>19277</v>
      </c>
      <c r="E46" s="372" t="s">
        <v>20226</v>
      </c>
      <c r="F46" s="389" t="s">
        <v>20155</v>
      </c>
      <c r="G46" s="336">
        <v>45328</v>
      </c>
      <c r="H46" s="337"/>
      <c r="I46" s="337">
        <v>56064</v>
      </c>
      <c r="J46" s="338"/>
      <c r="K46" s="337"/>
      <c r="L46" s="339" t="s">
        <v>20427</v>
      </c>
      <c r="M46" s="318" t="s">
        <v>20455</v>
      </c>
      <c r="N46" s="379" t="s">
        <v>20173</v>
      </c>
      <c r="O46" s="380">
        <v>45342</v>
      </c>
      <c r="P46" s="381">
        <v>0</v>
      </c>
      <c r="Q46" s="340">
        <v>0</v>
      </c>
      <c r="R46" s="340">
        <v>0</v>
      </c>
      <c r="S46" s="341">
        <v>0</v>
      </c>
      <c r="T46" s="341">
        <v>0</v>
      </c>
      <c r="U46" s="341">
        <v>0</v>
      </c>
      <c r="V46" s="340">
        <v>0</v>
      </c>
      <c r="W46" s="340">
        <v>0</v>
      </c>
    </row>
    <row r="47" spans="1:23">
      <c r="A47" s="332">
        <v>43608</v>
      </c>
      <c r="B47" s="333">
        <v>85599.84</v>
      </c>
      <c r="C47" s="334" t="s">
        <v>19647</v>
      </c>
      <c r="D47" s="371" t="s">
        <v>19278</v>
      </c>
      <c r="E47" s="372" t="s">
        <v>20227</v>
      </c>
      <c r="F47" s="389" t="s">
        <v>20155</v>
      </c>
      <c r="G47" s="336">
        <v>45329</v>
      </c>
      <c r="H47" s="337">
        <v>34008</v>
      </c>
      <c r="I47" s="337">
        <v>9600</v>
      </c>
      <c r="J47" s="338"/>
      <c r="K47" s="337"/>
      <c r="L47" s="339" t="s">
        <v>20430</v>
      </c>
      <c r="M47" s="318" t="s">
        <v>20456</v>
      </c>
      <c r="N47" s="379" t="s">
        <v>17949</v>
      </c>
      <c r="O47" s="380">
        <v>45341</v>
      </c>
      <c r="P47" s="381">
        <v>0</v>
      </c>
      <c r="Q47" s="340">
        <v>0</v>
      </c>
      <c r="R47" s="340">
        <v>0</v>
      </c>
      <c r="S47" s="341">
        <v>0</v>
      </c>
      <c r="T47" s="341">
        <v>0</v>
      </c>
      <c r="U47" s="341">
        <v>0</v>
      </c>
      <c r="V47" s="340">
        <v>0</v>
      </c>
      <c r="W47" s="340">
        <v>0</v>
      </c>
    </row>
    <row r="48" spans="1:23">
      <c r="A48" s="332">
        <v>22008</v>
      </c>
      <c r="B48" s="333">
        <v>44295.839999999997</v>
      </c>
      <c r="C48" s="334" t="s">
        <v>19655</v>
      </c>
      <c r="D48" s="371" t="s">
        <v>19279</v>
      </c>
      <c r="E48" s="372" t="s">
        <v>20228</v>
      </c>
      <c r="F48" s="335" t="s">
        <v>20155</v>
      </c>
      <c r="G48" s="336">
        <v>45329</v>
      </c>
      <c r="H48" s="337">
        <v>22008</v>
      </c>
      <c r="I48" s="337"/>
      <c r="J48" s="338"/>
      <c r="K48" s="337"/>
      <c r="L48" s="339" t="s">
        <v>18201</v>
      </c>
      <c r="M48" s="318" t="s">
        <v>20457</v>
      </c>
      <c r="N48" s="379" t="s">
        <v>17693</v>
      </c>
      <c r="O48" s="380">
        <v>45336</v>
      </c>
      <c r="P48" s="381">
        <v>0</v>
      </c>
      <c r="Q48" s="340">
        <v>0</v>
      </c>
      <c r="R48" s="340">
        <v>0</v>
      </c>
      <c r="S48" s="341">
        <v>0</v>
      </c>
      <c r="T48" s="341">
        <v>0</v>
      </c>
      <c r="U48" s="341">
        <v>0</v>
      </c>
      <c r="V48" s="340">
        <v>0</v>
      </c>
      <c r="W48" s="340">
        <v>0</v>
      </c>
    </row>
    <row r="49" spans="1:23">
      <c r="A49" s="332">
        <v>157500</v>
      </c>
      <c r="B49" s="333">
        <v>254925</v>
      </c>
      <c r="C49" s="334" t="s">
        <v>19647</v>
      </c>
      <c r="D49" s="371" t="s">
        <v>19280</v>
      </c>
      <c r="E49" s="372" t="s">
        <v>20229</v>
      </c>
      <c r="F49" s="389" t="s">
        <v>20155</v>
      </c>
      <c r="G49" s="336">
        <v>45330</v>
      </c>
      <c r="H49" s="337"/>
      <c r="I49" s="337">
        <v>157500</v>
      </c>
      <c r="J49" s="338"/>
      <c r="K49" s="337"/>
      <c r="L49" s="339" t="s">
        <v>20398</v>
      </c>
      <c r="M49" s="318" t="s">
        <v>20458</v>
      </c>
      <c r="N49" s="379" t="s">
        <v>20321</v>
      </c>
      <c r="O49" s="380">
        <v>45338</v>
      </c>
      <c r="P49" s="381">
        <v>0</v>
      </c>
      <c r="Q49" s="340">
        <v>0</v>
      </c>
      <c r="R49" s="340">
        <v>0</v>
      </c>
      <c r="S49" s="341">
        <v>0</v>
      </c>
      <c r="T49" s="341">
        <v>0</v>
      </c>
      <c r="U49" s="341">
        <v>0</v>
      </c>
      <c r="V49" s="340">
        <v>0</v>
      </c>
      <c r="W49" s="340">
        <v>0</v>
      </c>
    </row>
    <row r="50" spans="1:23">
      <c r="A50" s="332">
        <v>23608</v>
      </c>
      <c r="B50" s="333">
        <v>78206.648148000007</v>
      </c>
      <c r="C50" s="334" t="s">
        <v>17305</v>
      </c>
      <c r="D50" s="371" t="s">
        <v>19281</v>
      </c>
      <c r="E50" s="372" t="s">
        <v>20230</v>
      </c>
      <c r="F50" s="389" t="s">
        <v>20155</v>
      </c>
      <c r="G50" s="336">
        <v>45330</v>
      </c>
      <c r="H50" s="337"/>
      <c r="I50" s="337"/>
      <c r="J50" s="338">
        <v>23608</v>
      </c>
      <c r="K50" s="337"/>
      <c r="L50" s="339" t="s">
        <v>20459</v>
      </c>
      <c r="M50" s="318" t="s">
        <v>20460</v>
      </c>
      <c r="N50" s="379" t="s">
        <v>17238</v>
      </c>
      <c r="O50" s="380">
        <v>45344</v>
      </c>
      <c r="P50" s="381">
        <v>6492.78</v>
      </c>
      <c r="Q50" s="340">
        <v>0.27502456794307012</v>
      </c>
      <c r="R50" s="340">
        <v>0</v>
      </c>
      <c r="S50" s="341">
        <v>0</v>
      </c>
      <c r="T50" s="341">
        <v>6492.78</v>
      </c>
      <c r="U50" s="341">
        <v>0</v>
      </c>
      <c r="V50" s="340">
        <v>6492.78</v>
      </c>
      <c r="W50" s="340">
        <v>0</v>
      </c>
    </row>
    <row r="51" spans="1:23">
      <c r="A51" s="332">
        <v>23608</v>
      </c>
      <c r="B51" s="333">
        <v>77858.820648000008</v>
      </c>
      <c r="C51" s="334" t="s">
        <v>17305</v>
      </c>
      <c r="D51" s="371" t="s">
        <v>19282</v>
      </c>
      <c r="E51" s="372" t="s">
        <v>20232</v>
      </c>
      <c r="F51" s="389" t="s">
        <v>20155</v>
      </c>
      <c r="G51" s="336">
        <v>45330</v>
      </c>
      <c r="H51" s="337"/>
      <c r="I51" s="337">
        <v>18160</v>
      </c>
      <c r="J51" s="338">
        <v>5448</v>
      </c>
      <c r="K51" s="337"/>
      <c r="L51" s="339" t="s">
        <v>20459</v>
      </c>
      <c r="M51" s="318" t="s">
        <v>20461</v>
      </c>
      <c r="N51" s="379" t="s">
        <v>17238</v>
      </c>
      <c r="O51" s="380">
        <v>45344</v>
      </c>
      <c r="P51" s="381">
        <v>6144.9524999999994</v>
      </c>
      <c r="Q51" s="340">
        <v>0.26029110894611995</v>
      </c>
      <c r="R51" s="340">
        <v>0</v>
      </c>
      <c r="S51" s="341">
        <v>4726.8865384615383</v>
      </c>
      <c r="T51" s="341">
        <v>1418.0659615384616</v>
      </c>
      <c r="U51" s="341">
        <v>0</v>
      </c>
      <c r="V51" s="340">
        <v>6144.9524999999994</v>
      </c>
      <c r="W51" s="340">
        <v>0</v>
      </c>
    </row>
    <row r="52" spans="1:23">
      <c r="A52" s="332">
        <v>23936</v>
      </c>
      <c r="B52" s="333">
        <v>86844.928258</v>
      </c>
      <c r="C52" s="334" t="s">
        <v>17343</v>
      </c>
      <c r="D52" s="371" t="s">
        <v>19283</v>
      </c>
      <c r="E52" s="372" t="s">
        <v>20233</v>
      </c>
      <c r="F52" s="335" t="s">
        <v>20155</v>
      </c>
      <c r="G52" s="336">
        <v>45335</v>
      </c>
      <c r="H52" s="337">
        <v>3840</v>
      </c>
      <c r="I52" s="337">
        <v>12336</v>
      </c>
      <c r="J52" s="338">
        <v>7200</v>
      </c>
      <c r="K52" s="337">
        <v>560</v>
      </c>
      <c r="L52" s="339" t="s">
        <v>20424</v>
      </c>
      <c r="M52" s="318" t="s">
        <v>20462</v>
      </c>
      <c r="N52" s="379" t="s">
        <v>16394</v>
      </c>
      <c r="O52" s="380">
        <v>45341</v>
      </c>
      <c r="P52" s="381">
        <v>9953.0049999999992</v>
      </c>
      <c r="Q52" s="340">
        <v>0.41581738803475932</v>
      </c>
      <c r="R52" s="340">
        <v>1596.7387700534757</v>
      </c>
      <c r="S52" s="341">
        <v>5129.5232987967911</v>
      </c>
      <c r="T52" s="341">
        <v>2993.8851938502671</v>
      </c>
      <c r="U52" s="341">
        <v>232.85773729946521</v>
      </c>
      <c r="V52" s="340">
        <v>9953.0049999999992</v>
      </c>
      <c r="W52" s="340">
        <v>0</v>
      </c>
    </row>
    <row r="53" spans="1:23">
      <c r="A53" s="332">
        <v>38400</v>
      </c>
      <c r="B53" s="333">
        <v>77952</v>
      </c>
      <c r="C53" s="334" t="s">
        <v>19833</v>
      </c>
      <c r="D53" s="371" t="s">
        <v>19284</v>
      </c>
      <c r="E53" s="372" t="s">
        <v>20234</v>
      </c>
      <c r="F53" s="389" t="s">
        <v>20155</v>
      </c>
      <c r="G53" s="336">
        <v>45323</v>
      </c>
      <c r="H53" s="337">
        <v>38400</v>
      </c>
      <c r="I53" s="337"/>
      <c r="J53" s="338"/>
      <c r="K53" s="337"/>
      <c r="L53" s="339" t="s">
        <v>20446</v>
      </c>
      <c r="M53" s="318" t="s">
        <v>20463</v>
      </c>
      <c r="N53" s="379" t="s">
        <v>18248</v>
      </c>
      <c r="O53" s="380">
        <v>45341</v>
      </c>
      <c r="P53" s="381">
        <v>0</v>
      </c>
      <c r="Q53" s="340">
        <v>0</v>
      </c>
      <c r="R53" s="340">
        <v>0</v>
      </c>
      <c r="S53" s="341">
        <v>0</v>
      </c>
      <c r="T53" s="341">
        <v>0</v>
      </c>
      <c r="U53" s="341">
        <v>0</v>
      </c>
      <c r="V53" s="340">
        <v>0</v>
      </c>
      <c r="W53" s="340">
        <v>0</v>
      </c>
    </row>
    <row r="54" spans="1:23">
      <c r="A54" s="332">
        <v>23960</v>
      </c>
      <c r="B54" s="333">
        <v>82946.977820000015</v>
      </c>
      <c r="C54" s="334" t="s">
        <v>17210</v>
      </c>
      <c r="D54" s="371" t="s">
        <v>19285</v>
      </c>
      <c r="E54" s="372" t="s">
        <v>20235</v>
      </c>
      <c r="F54" s="389" t="s">
        <v>20155</v>
      </c>
      <c r="G54" s="336">
        <v>45337</v>
      </c>
      <c r="H54" s="337"/>
      <c r="I54" s="337">
        <v>16680</v>
      </c>
      <c r="J54" s="338">
        <v>5280</v>
      </c>
      <c r="K54" s="337">
        <v>2000</v>
      </c>
      <c r="L54" s="339" t="s">
        <v>20424</v>
      </c>
      <c r="M54" s="318" t="s">
        <v>20464</v>
      </c>
      <c r="N54" s="379" t="s">
        <v>20168</v>
      </c>
      <c r="O54" s="380">
        <v>45348</v>
      </c>
      <c r="P54" s="381">
        <v>9675.41</v>
      </c>
      <c r="Q54" s="340">
        <v>0.40381510851419034</v>
      </c>
      <c r="R54" s="340">
        <v>0</v>
      </c>
      <c r="S54" s="341">
        <v>6735.6360100166949</v>
      </c>
      <c r="T54" s="341">
        <v>2132.1437729549248</v>
      </c>
      <c r="U54" s="341">
        <v>807.63021702838068</v>
      </c>
      <c r="V54" s="340">
        <v>9675.41</v>
      </c>
      <c r="W54" s="340">
        <v>0</v>
      </c>
    </row>
    <row r="55" spans="1:23">
      <c r="A55" s="332">
        <v>50960</v>
      </c>
      <c r="B55" s="333">
        <v>153458</v>
      </c>
      <c r="C55" s="334" t="s">
        <v>17227</v>
      </c>
      <c r="D55" s="371" t="s">
        <v>19286</v>
      </c>
      <c r="E55" s="372" t="s">
        <v>20236</v>
      </c>
      <c r="F55" s="389" t="s">
        <v>20155</v>
      </c>
      <c r="G55" s="336">
        <v>45337</v>
      </c>
      <c r="H55" s="337">
        <v>4800</v>
      </c>
      <c r="I55" s="337">
        <v>34800</v>
      </c>
      <c r="J55" s="338">
        <v>5760</v>
      </c>
      <c r="K55" s="337">
        <v>5600</v>
      </c>
      <c r="L55" s="339" t="s">
        <v>20465</v>
      </c>
      <c r="M55" s="318" t="s">
        <v>20466</v>
      </c>
      <c r="N55" s="379" t="s">
        <v>17689</v>
      </c>
      <c r="O55" s="380">
        <v>45363</v>
      </c>
      <c r="P55" s="381">
        <v>0</v>
      </c>
      <c r="Q55" s="340">
        <v>0</v>
      </c>
      <c r="R55" s="340">
        <v>0</v>
      </c>
      <c r="S55" s="341">
        <v>0</v>
      </c>
      <c r="T55" s="341">
        <v>0</v>
      </c>
      <c r="U55" s="341">
        <v>0</v>
      </c>
      <c r="V55" s="340">
        <v>0</v>
      </c>
      <c r="W55" s="340">
        <v>0</v>
      </c>
    </row>
    <row r="56" spans="1:23">
      <c r="A56" s="332">
        <v>21600</v>
      </c>
      <c r="B56" s="333">
        <v>54240</v>
      </c>
      <c r="C56" s="334" t="s">
        <v>17227</v>
      </c>
      <c r="D56" s="371" t="s">
        <v>19287</v>
      </c>
      <c r="E56" s="372" t="s">
        <v>20237</v>
      </c>
      <c r="F56" s="389" t="s">
        <v>20155</v>
      </c>
      <c r="G56" s="336">
        <v>45337</v>
      </c>
      <c r="H56" s="337">
        <v>21600</v>
      </c>
      <c r="I56" s="337"/>
      <c r="J56" s="338"/>
      <c r="K56" s="337"/>
      <c r="L56" s="339" t="s">
        <v>20424</v>
      </c>
      <c r="M56" s="318" t="s">
        <v>20467</v>
      </c>
      <c r="N56" s="379" t="s">
        <v>17689</v>
      </c>
      <c r="O56" s="380">
        <v>45356</v>
      </c>
      <c r="P56" s="381">
        <v>0</v>
      </c>
      <c r="Q56" s="340">
        <v>0</v>
      </c>
      <c r="R56" s="340">
        <v>0</v>
      </c>
      <c r="S56" s="341">
        <v>0</v>
      </c>
      <c r="T56" s="341">
        <v>0</v>
      </c>
      <c r="U56" s="341">
        <v>0</v>
      </c>
      <c r="V56" s="340">
        <v>0</v>
      </c>
      <c r="W56" s="340">
        <v>0</v>
      </c>
    </row>
    <row r="57" spans="1:23">
      <c r="A57" s="332">
        <v>24456</v>
      </c>
      <c r="B57" s="333">
        <v>94623.11731799999</v>
      </c>
      <c r="C57" s="334" t="s">
        <v>17343</v>
      </c>
      <c r="D57" s="371" t="s">
        <v>19288</v>
      </c>
      <c r="E57" s="372" t="s">
        <v>20238</v>
      </c>
      <c r="F57" s="389" t="s">
        <v>20155</v>
      </c>
      <c r="G57" s="336">
        <v>45338</v>
      </c>
      <c r="H57" s="337"/>
      <c r="I57" s="337">
        <v>15696</v>
      </c>
      <c r="J57" s="338">
        <v>7200</v>
      </c>
      <c r="K57" s="337">
        <v>1560</v>
      </c>
      <c r="L57" s="339" t="s">
        <v>20424</v>
      </c>
      <c r="M57" s="318" t="s">
        <v>20468</v>
      </c>
      <c r="N57" s="379" t="s">
        <v>16394</v>
      </c>
      <c r="O57" s="380">
        <v>45341</v>
      </c>
      <c r="P57" s="381">
        <v>11808.65</v>
      </c>
      <c r="Q57" s="340">
        <v>0.48285287863918874</v>
      </c>
      <c r="R57" s="340">
        <v>0</v>
      </c>
      <c r="S57" s="341">
        <v>7578.8587831207069</v>
      </c>
      <c r="T57" s="341">
        <v>3476.540726202159</v>
      </c>
      <c r="U57" s="341">
        <v>753.25049067713439</v>
      </c>
      <c r="V57" s="340">
        <v>11808.65</v>
      </c>
      <c r="W57" s="340">
        <v>0</v>
      </c>
    </row>
    <row r="58" spans="1:23">
      <c r="A58" s="332">
        <v>24508</v>
      </c>
      <c r="B58" s="333">
        <v>91861.58415000001</v>
      </c>
      <c r="C58" s="334" t="s">
        <v>17343</v>
      </c>
      <c r="D58" s="371" t="s">
        <v>19289</v>
      </c>
      <c r="E58" s="372" t="s">
        <v>20239</v>
      </c>
      <c r="F58" s="389" t="s">
        <v>20155</v>
      </c>
      <c r="G58" s="336">
        <v>45339</v>
      </c>
      <c r="H58" s="337"/>
      <c r="I58" s="337">
        <v>17328</v>
      </c>
      <c r="J58" s="338">
        <v>4800</v>
      </c>
      <c r="K58" s="337">
        <v>2380</v>
      </c>
      <c r="L58" s="339" t="s">
        <v>20424</v>
      </c>
      <c r="M58" s="318" t="s">
        <v>20469</v>
      </c>
      <c r="N58" s="379" t="s">
        <v>16394</v>
      </c>
      <c r="O58" s="380">
        <v>45343</v>
      </c>
      <c r="P58" s="381">
        <v>8911.98</v>
      </c>
      <c r="Q58" s="340">
        <v>0.36363554757630162</v>
      </c>
      <c r="R58" s="340">
        <v>0</v>
      </c>
      <c r="S58" s="341">
        <v>6301.0767684021548</v>
      </c>
      <c r="T58" s="341">
        <v>1745.4506283662479</v>
      </c>
      <c r="U58" s="341">
        <v>865.45260323159789</v>
      </c>
      <c r="V58" s="340">
        <v>8911.98</v>
      </c>
      <c r="W58" s="340">
        <v>0</v>
      </c>
    </row>
    <row r="59" spans="1:23">
      <c r="A59" s="332">
        <v>23816</v>
      </c>
      <c r="B59" s="333">
        <v>87884.9844075</v>
      </c>
      <c r="C59" s="334" t="s">
        <v>17343</v>
      </c>
      <c r="D59" s="371" t="s">
        <v>19290</v>
      </c>
      <c r="E59" s="372" t="s">
        <v>20240</v>
      </c>
      <c r="F59" s="389" t="s">
        <v>20155</v>
      </c>
      <c r="G59" s="336">
        <v>45342</v>
      </c>
      <c r="H59" s="337">
        <v>2880</v>
      </c>
      <c r="I59" s="337">
        <v>9576</v>
      </c>
      <c r="J59" s="338">
        <v>6000</v>
      </c>
      <c r="K59" s="337">
        <v>5360</v>
      </c>
      <c r="L59" s="339" t="s">
        <v>20424</v>
      </c>
      <c r="M59" s="318" t="s">
        <v>20470</v>
      </c>
      <c r="N59" s="379" t="s">
        <v>16394</v>
      </c>
      <c r="O59" s="380">
        <v>45343</v>
      </c>
      <c r="P59" s="381">
        <v>11815.125</v>
      </c>
      <c r="Q59" s="340">
        <v>0.49610031071548538</v>
      </c>
      <c r="R59" s="340">
        <v>1428.7688948605978</v>
      </c>
      <c r="S59" s="341">
        <v>4750.6565754114881</v>
      </c>
      <c r="T59" s="341">
        <v>2976.6018642929121</v>
      </c>
      <c r="U59" s="341">
        <v>2659.0976654350015</v>
      </c>
      <c r="V59" s="340">
        <v>11815.125</v>
      </c>
      <c r="W59" s="340">
        <v>0</v>
      </c>
    </row>
    <row r="60" spans="1:23">
      <c r="A60" s="332">
        <v>44016</v>
      </c>
      <c r="B60" s="333">
        <v>87151.679999999993</v>
      </c>
      <c r="C60" s="334" t="s">
        <v>19655</v>
      </c>
      <c r="D60" s="371" t="s">
        <v>19291</v>
      </c>
      <c r="E60" s="372" t="s">
        <v>20241</v>
      </c>
      <c r="F60" s="389" t="s">
        <v>20155</v>
      </c>
      <c r="G60" s="336">
        <v>45342</v>
      </c>
      <c r="H60" s="337">
        <v>44016</v>
      </c>
      <c r="I60" s="337"/>
      <c r="J60" s="338"/>
      <c r="K60" s="337"/>
      <c r="L60" s="339" t="s">
        <v>18201</v>
      </c>
      <c r="M60" s="319" t="s">
        <v>20471</v>
      </c>
      <c r="N60" s="379" t="s">
        <v>17949</v>
      </c>
      <c r="O60" s="380">
        <v>45351</v>
      </c>
      <c r="P60" s="381">
        <v>0</v>
      </c>
      <c r="Q60" s="340">
        <v>0</v>
      </c>
      <c r="R60" s="340">
        <v>0</v>
      </c>
      <c r="S60" s="341">
        <v>0</v>
      </c>
      <c r="T60" s="341">
        <v>0</v>
      </c>
      <c r="U60" s="341">
        <v>0</v>
      </c>
      <c r="V60" s="340">
        <v>0</v>
      </c>
      <c r="W60" s="340">
        <v>0</v>
      </c>
    </row>
    <row r="61" spans="1:23">
      <c r="A61" s="332">
        <v>19400</v>
      </c>
      <c r="B61" s="333">
        <v>33960</v>
      </c>
      <c r="C61" s="334" t="s">
        <v>19826</v>
      </c>
      <c r="D61" s="371" t="s">
        <v>19292</v>
      </c>
      <c r="E61" s="372" t="s">
        <v>20242</v>
      </c>
      <c r="F61" s="389" t="s">
        <v>20155</v>
      </c>
      <c r="G61" s="336">
        <v>45342</v>
      </c>
      <c r="H61" s="337">
        <v>3600</v>
      </c>
      <c r="I61" s="337">
        <v>4800</v>
      </c>
      <c r="J61" s="338">
        <v>11000</v>
      </c>
      <c r="K61" s="337"/>
      <c r="L61" s="339" t="s">
        <v>20398</v>
      </c>
      <c r="M61" s="318" t="s">
        <v>20472</v>
      </c>
      <c r="N61" s="379" t="s">
        <v>20319</v>
      </c>
      <c r="O61" s="380">
        <v>45364</v>
      </c>
      <c r="P61" s="381">
        <v>0</v>
      </c>
      <c r="Q61" s="340">
        <v>0</v>
      </c>
      <c r="R61" s="340">
        <v>0</v>
      </c>
      <c r="S61" s="341">
        <v>0</v>
      </c>
      <c r="T61" s="341">
        <v>0</v>
      </c>
      <c r="U61" s="341">
        <v>0</v>
      </c>
      <c r="V61" s="340">
        <v>0</v>
      </c>
      <c r="W61" s="340">
        <v>0</v>
      </c>
    </row>
    <row r="62" spans="1:23">
      <c r="A62" s="332">
        <v>20500</v>
      </c>
      <c r="B62" s="333">
        <v>49610</v>
      </c>
      <c r="C62" s="334" t="s">
        <v>17018</v>
      </c>
      <c r="D62" s="371" t="s">
        <v>19293</v>
      </c>
      <c r="E62" s="372" t="s">
        <v>20243</v>
      </c>
      <c r="F62" s="389" t="s">
        <v>20155</v>
      </c>
      <c r="G62" s="336">
        <v>45342</v>
      </c>
      <c r="H62" s="337"/>
      <c r="I62" s="337">
        <v>20500</v>
      </c>
      <c r="J62" s="338"/>
      <c r="K62" s="337"/>
      <c r="L62" s="339" t="s">
        <v>20398</v>
      </c>
      <c r="M62" s="318" t="s">
        <v>20473</v>
      </c>
      <c r="N62" s="379" t="s">
        <v>20370</v>
      </c>
      <c r="O62" s="380">
        <v>45349</v>
      </c>
      <c r="P62" s="381">
        <v>0</v>
      </c>
      <c r="Q62" s="340">
        <v>0</v>
      </c>
      <c r="R62" s="340">
        <v>0</v>
      </c>
      <c r="S62" s="341">
        <v>0</v>
      </c>
      <c r="T62" s="341">
        <v>0</v>
      </c>
      <c r="U62" s="341">
        <v>0</v>
      </c>
      <c r="V62" s="340">
        <v>0</v>
      </c>
      <c r="W62" s="340">
        <v>0</v>
      </c>
    </row>
    <row r="63" spans="1:23">
      <c r="A63" s="332">
        <v>138624</v>
      </c>
      <c r="B63" s="333">
        <v>261568.44595199998</v>
      </c>
      <c r="C63" s="334" t="s">
        <v>19804</v>
      </c>
      <c r="D63" s="371" t="s">
        <v>19294</v>
      </c>
      <c r="E63" s="372" t="s">
        <v>20244</v>
      </c>
      <c r="F63" s="389" t="s">
        <v>20155</v>
      </c>
      <c r="G63" s="336">
        <v>45342</v>
      </c>
      <c r="H63" s="337"/>
      <c r="I63" s="337">
        <v>66240</v>
      </c>
      <c r="J63" s="338">
        <v>72384</v>
      </c>
      <c r="K63" s="337"/>
      <c r="L63" s="339" t="s">
        <v>20424</v>
      </c>
      <c r="M63" s="318" t="s">
        <v>20474</v>
      </c>
      <c r="N63" s="379" t="s">
        <v>20173</v>
      </c>
      <c r="O63" s="380">
        <v>45349</v>
      </c>
      <c r="P63" s="381">
        <v>0</v>
      </c>
      <c r="Q63" s="340">
        <v>0</v>
      </c>
      <c r="R63" s="340">
        <v>0</v>
      </c>
      <c r="S63" s="341">
        <v>0</v>
      </c>
      <c r="T63" s="341">
        <v>0</v>
      </c>
      <c r="U63" s="341">
        <v>0</v>
      </c>
      <c r="V63" s="340">
        <v>0</v>
      </c>
      <c r="W63" s="340">
        <v>0</v>
      </c>
    </row>
    <row r="64" spans="1:23">
      <c r="A64" s="332">
        <v>25000</v>
      </c>
      <c r="B64" s="333">
        <v>102006.531216</v>
      </c>
      <c r="C64" s="334" t="s">
        <v>17343</v>
      </c>
      <c r="D64" s="371" t="s">
        <v>19295</v>
      </c>
      <c r="E64" s="372" t="s">
        <v>20245</v>
      </c>
      <c r="F64" s="389" t="s">
        <v>20155</v>
      </c>
      <c r="G64" s="336">
        <v>45344</v>
      </c>
      <c r="H64" s="337">
        <v>1920</v>
      </c>
      <c r="I64" s="337">
        <v>19560</v>
      </c>
      <c r="J64" s="338">
        <v>2400</v>
      </c>
      <c r="K64" s="337">
        <v>1120</v>
      </c>
      <c r="L64" s="339" t="s">
        <v>20405</v>
      </c>
      <c r="M64" s="318" t="s">
        <v>20475</v>
      </c>
      <c r="N64" s="379" t="s">
        <v>16394</v>
      </c>
      <c r="O64" s="380">
        <v>45346</v>
      </c>
      <c r="P64" s="381">
        <v>20736.619200000001</v>
      </c>
      <c r="Q64" s="340">
        <v>0.82946476800000002</v>
      </c>
      <c r="R64" s="340">
        <v>1592.5723545600001</v>
      </c>
      <c r="S64" s="341">
        <v>16224.33086208</v>
      </c>
      <c r="T64" s="341">
        <v>1990.7154432</v>
      </c>
      <c r="U64" s="341">
        <v>929.00054016000001</v>
      </c>
      <c r="V64" s="340">
        <v>20736.619199999997</v>
      </c>
      <c r="W64" s="340">
        <v>0</v>
      </c>
    </row>
    <row r="65" spans="1:23">
      <c r="A65" s="332">
        <v>26000</v>
      </c>
      <c r="B65" s="333">
        <v>47420</v>
      </c>
      <c r="C65" s="334" t="s">
        <v>19647</v>
      </c>
      <c r="D65" s="371" t="s">
        <v>19296</v>
      </c>
      <c r="E65" s="372" t="s">
        <v>20246</v>
      </c>
      <c r="F65" s="389" t="s">
        <v>20155</v>
      </c>
      <c r="G65" s="336">
        <v>45344</v>
      </c>
      <c r="H65" s="337"/>
      <c r="I65" s="337">
        <v>24000</v>
      </c>
      <c r="J65" s="338">
        <v>2000</v>
      </c>
      <c r="K65" s="337"/>
      <c r="L65" s="339" t="s">
        <v>20430</v>
      </c>
      <c r="M65" s="318" t="s">
        <v>20476</v>
      </c>
      <c r="N65" s="379" t="s">
        <v>17949</v>
      </c>
      <c r="O65" s="380">
        <v>45350</v>
      </c>
      <c r="P65" s="381">
        <v>0</v>
      </c>
      <c r="Q65" s="340">
        <v>0</v>
      </c>
      <c r="R65" s="340">
        <v>0</v>
      </c>
      <c r="S65" s="341">
        <v>0</v>
      </c>
      <c r="T65" s="341">
        <v>0</v>
      </c>
      <c r="U65" s="341">
        <v>0</v>
      </c>
      <c r="V65" s="340">
        <v>0</v>
      </c>
      <c r="W65" s="340">
        <v>0</v>
      </c>
    </row>
    <row r="66" spans="1:23">
      <c r="A66" s="332">
        <v>43000</v>
      </c>
      <c r="B66" s="333">
        <v>101973.7828</v>
      </c>
      <c r="C66" s="334" t="s">
        <v>19854</v>
      </c>
      <c r="D66" s="371" t="s">
        <v>19297</v>
      </c>
      <c r="E66" s="372" t="s">
        <v>20247</v>
      </c>
      <c r="F66" s="389" t="s">
        <v>20155</v>
      </c>
      <c r="G66" s="336">
        <v>45348</v>
      </c>
      <c r="H66" s="337">
        <v>4800</v>
      </c>
      <c r="I66" s="337">
        <v>38200</v>
      </c>
      <c r="J66" s="338"/>
      <c r="K66" s="337"/>
      <c r="L66" s="339" t="s">
        <v>20424</v>
      </c>
      <c r="M66" s="318" t="s">
        <v>20477</v>
      </c>
      <c r="N66" s="379" t="s">
        <v>17261</v>
      </c>
      <c r="O66" s="380">
        <v>45350</v>
      </c>
      <c r="P66" s="381">
        <v>19342.760000000002</v>
      </c>
      <c r="Q66" s="340">
        <v>0.44983162790697678</v>
      </c>
      <c r="R66" s="340">
        <v>2159.1918139534887</v>
      </c>
      <c r="S66" s="341">
        <v>17183.568186046512</v>
      </c>
      <c r="T66" s="341">
        <v>0</v>
      </c>
      <c r="U66" s="341">
        <v>0</v>
      </c>
      <c r="V66" s="340">
        <v>19342.760000000002</v>
      </c>
      <c r="W66" s="340">
        <v>0</v>
      </c>
    </row>
    <row r="67" spans="1:23">
      <c r="A67" s="332">
        <v>24768</v>
      </c>
      <c r="B67" s="333">
        <v>88221.635075999991</v>
      </c>
      <c r="C67" s="334" t="s">
        <v>17343</v>
      </c>
      <c r="D67" s="371" t="s">
        <v>19298</v>
      </c>
      <c r="E67" s="372" t="s">
        <v>20248</v>
      </c>
      <c r="F67" s="389" t="s">
        <v>20155</v>
      </c>
      <c r="G67" s="336">
        <v>45348</v>
      </c>
      <c r="H67" s="337">
        <v>1920</v>
      </c>
      <c r="I67" s="337">
        <v>14448</v>
      </c>
      <c r="J67" s="338">
        <v>8400</v>
      </c>
      <c r="K67" s="337"/>
      <c r="L67" s="339" t="s">
        <v>20405</v>
      </c>
      <c r="M67" s="318" t="s">
        <v>20478</v>
      </c>
      <c r="N67" s="379" t="s">
        <v>16394</v>
      </c>
      <c r="O67" s="380">
        <v>45350</v>
      </c>
      <c r="P67" s="381">
        <v>11829.3</v>
      </c>
      <c r="Q67" s="340">
        <v>0.47760416666666666</v>
      </c>
      <c r="R67" s="340">
        <v>917</v>
      </c>
      <c r="S67" s="341">
        <v>6900.4250000000002</v>
      </c>
      <c r="T67" s="341">
        <v>4011.875</v>
      </c>
      <c r="U67" s="341">
        <v>0</v>
      </c>
      <c r="V67" s="340">
        <v>11829.3</v>
      </c>
      <c r="W67" s="340">
        <v>0</v>
      </c>
    </row>
    <row r="68" spans="1:23">
      <c r="A68" s="332">
        <v>135000</v>
      </c>
      <c r="B68" s="333">
        <v>221400</v>
      </c>
      <c r="C68" s="334" t="s">
        <v>19647</v>
      </c>
      <c r="D68" s="371" t="s">
        <v>19299</v>
      </c>
      <c r="E68" s="372" t="s">
        <v>20249</v>
      </c>
      <c r="F68" s="389" t="s">
        <v>20155</v>
      </c>
      <c r="G68" s="336">
        <v>45349</v>
      </c>
      <c r="H68" s="337"/>
      <c r="I68" s="337">
        <v>135000</v>
      </c>
      <c r="J68" s="338"/>
      <c r="K68" s="337"/>
      <c r="L68" s="339" t="s">
        <v>20398</v>
      </c>
      <c r="M68" s="318" t="s">
        <v>20479</v>
      </c>
      <c r="N68" s="379" t="s">
        <v>20321</v>
      </c>
      <c r="O68" s="380">
        <v>45351</v>
      </c>
      <c r="P68" s="381">
        <v>0</v>
      </c>
      <c r="Q68" s="340">
        <v>0</v>
      </c>
      <c r="R68" s="340">
        <v>0</v>
      </c>
      <c r="S68" s="341">
        <v>0</v>
      </c>
      <c r="T68" s="341">
        <v>0</v>
      </c>
      <c r="U68" s="341">
        <v>0</v>
      </c>
      <c r="V68" s="340">
        <v>0</v>
      </c>
      <c r="W68" s="340">
        <v>0</v>
      </c>
    </row>
    <row r="69" spans="1:23">
      <c r="A69" s="332">
        <v>28000</v>
      </c>
      <c r="B69" s="333">
        <v>87922.326300000001</v>
      </c>
      <c r="C69" s="334" t="s">
        <v>20480</v>
      </c>
      <c r="D69" s="371" t="s">
        <v>19300</v>
      </c>
      <c r="E69" s="372" t="s">
        <v>20250</v>
      </c>
      <c r="F69" s="389" t="s">
        <v>20155</v>
      </c>
      <c r="G69" s="336">
        <v>45349</v>
      </c>
      <c r="H69" s="337"/>
      <c r="I69" s="337">
        <v>24840</v>
      </c>
      <c r="J69" s="338">
        <v>2760</v>
      </c>
      <c r="K69" s="337">
        <v>400</v>
      </c>
      <c r="L69" s="339" t="s">
        <v>20424</v>
      </c>
      <c r="M69" s="318" t="s">
        <v>20481</v>
      </c>
      <c r="N69" s="390" t="s">
        <v>20297</v>
      </c>
      <c r="O69" s="380">
        <v>45380</v>
      </c>
      <c r="P69" s="381">
        <v>7109.4960000000001</v>
      </c>
      <c r="Q69" s="340">
        <v>0.25391057142857143</v>
      </c>
      <c r="R69" s="340">
        <v>0</v>
      </c>
      <c r="S69" s="341">
        <v>6307.1385942857141</v>
      </c>
      <c r="T69" s="341">
        <v>700.79317714285719</v>
      </c>
      <c r="U69" s="341">
        <v>101.56422857142857</v>
      </c>
      <c r="V69" s="340">
        <v>7109.4960000000001</v>
      </c>
      <c r="W69" s="340">
        <v>0</v>
      </c>
    </row>
    <row r="70" spans="1:23">
      <c r="A70" s="332">
        <v>24000</v>
      </c>
      <c r="B70" s="333">
        <v>77933.920500000007</v>
      </c>
      <c r="C70" s="334" t="s">
        <v>17343</v>
      </c>
      <c r="D70" s="371" t="s">
        <v>19301</v>
      </c>
      <c r="E70" s="372" t="s">
        <v>20251</v>
      </c>
      <c r="F70" s="389" t="s">
        <v>20155</v>
      </c>
      <c r="G70" s="336">
        <v>45350</v>
      </c>
      <c r="H70" s="337">
        <v>24000</v>
      </c>
      <c r="I70" s="337"/>
      <c r="J70" s="338"/>
      <c r="K70" s="337"/>
      <c r="L70" s="339" t="s">
        <v>20430</v>
      </c>
      <c r="M70" s="318" t="s">
        <v>20482</v>
      </c>
      <c r="N70" s="379" t="s">
        <v>16394</v>
      </c>
      <c r="O70" s="380">
        <v>45355</v>
      </c>
      <c r="P70" s="381">
        <v>12668.0625</v>
      </c>
      <c r="Q70" s="340">
        <v>0.52783593750000002</v>
      </c>
      <c r="R70" s="340">
        <v>12668.0625</v>
      </c>
      <c r="S70" s="341">
        <v>0</v>
      </c>
      <c r="T70" s="341">
        <v>0</v>
      </c>
      <c r="U70" s="341">
        <v>0</v>
      </c>
      <c r="V70" s="340">
        <v>12668.0625</v>
      </c>
      <c r="W70" s="340">
        <v>0</v>
      </c>
    </row>
    <row r="71" spans="1:23">
      <c r="A71" s="332">
        <v>20848</v>
      </c>
      <c r="B71" s="333">
        <v>80720.434845000011</v>
      </c>
      <c r="C71" s="334" t="s">
        <v>17343</v>
      </c>
      <c r="D71" s="371" t="s">
        <v>19302</v>
      </c>
      <c r="E71" s="372" t="s">
        <v>20252</v>
      </c>
      <c r="F71" s="389" t="s">
        <v>20155</v>
      </c>
      <c r="G71" s="336">
        <v>45350</v>
      </c>
      <c r="H71" s="337"/>
      <c r="I71" s="337">
        <v>18048</v>
      </c>
      <c r="J71" s="338"/>
      <c r="K71" s="337">
        <v>2800</v>
      </c>
      <c r="L71" s="339" t="s">
        <v>20424</v>
      </c>
      <c r="M71" s="318" t="s">
        <v>20483</v>
      </c>
      <c r="N71" s="379" t="s">
        <v>16394</v>
      </c>
      <c r="O71" s="380">
        <v>45358</v>
      </c>
      <c r="P71" s="381">
        <v>9972.6224999999995</v>
      </c>
      <c r="Q71" s="340">
        <v>0.47834912221795856</v>
      </c>
      <c r="R71" s="340">
        <v>0</v>
      </c>
      <c r="S71" s="341">
        <v>8633.2449577897169</v>
      </c>
      <c r="T71" s="341">
        <v>0</v>
      </c>
      <c r="U71" s="341">
        <v>1339.377542210284</v>
      </c>
      <c r="V71" s="340">
        <v>9972.6225000000013</v>
      </c>
      <c r="W71" s="340">
        <v>0</v>
      </c>
    </row>
    <row r="72" spans="1:23">
      <c r="A72" s="393">
        <v>254400</v>
      </c>
      <c r="B72" s="393">
        <v>555182.20799999998</v>
      </c>
      <c r="C72" s="334" t="s">
        <v>20484</v>
      </c>
      <c r="D72" s="371" t="s">
        <v>19303</v>
      </c>
      <c r="E72" s="372" t="s">
        <v>20253</v>
      </c>
      <c r="F72" s="389" t="s">
        <v>20155</v>
      </c>
      <c r="G72" s="336">
        <v>45350</v>
      </c>
      <c r="H72" s="391">
        <v>24000</v>
      </c>
      <c r="I72" s="391">
        <v>201600</v>
      </c>
      <c r="J72" s="392">
        <v>28800</v>
      </c>
      <c r="K72" s="337"/>
      <c r="L72" s="339" t="s">
        <v>20424</v>
      </c>
      <c r="M72" s="318" t="s">
        <v>20485</v>
      </c>
      <c r="N72" s="379" t="s">
        <v>17939</v>
      </c>
      <c r="O72" s="380" t="s">
        <v>20371</v>
      </c>
      <c r="P72" s="381">
        <v>0</v>
      </c>
      <c r="Q72" s="340">
        <v>0</v>
      </c>
      <c r="R72" s="340">
        <v>0</v>
      </c>
      <c r="S72" s="341">
        <v>0</v>
      </c>
      <c r="T72" s="341">
        <v>0</v>
      </c>
      <c r="U72" s="341">
        <v>0</v>
      </c>
      <c r="V72" s="340">
        <v>0</v>
      </c>
      <c r="W72" s="340">
        <v>0</v>
      </c>
    </row>
    <row r="73" spans="1:23">
      <c r="A73" s="332">
        <v>19820</v>
      </c>
      <c r="B73" s="333">
        <v>81142.527982</v>
      </c>
      <c r="C73" s="334" t="s">
        <v>19653</v>
      </c>
      <c r="D73" s="371" t="s">
        <v>19304</v>
      </c>
      <c r="E73" s="372" t="s">
        <v>20254</v>
      </c>
      <c r="F73" s="389" t="s">
        <v>20155</v>
      </c>
      <c r="G73" s="336">
        <v>45355</v>
      </c>
      <c r="H73" s="337">
        <v>7500</v>
      </c>
      <c r="I73" s="337">
        <v>12320</v>
      </c>
      <c r="J73" s="338"/>
      <c r="K73" s="337"/>
      <c r="L73" s="339" t="s">
        <v>20398</v>
      </c>
      <c r="M73" s="318" t="s">
        <v>20486</v>
      </c>
      <c r="N73" s="379" t="s">
        <v>20156</v>
      </c>
      <c r="O73" s="380">
        <v>45358</v>
      </c>
      <c r="P73" s="381">
        <v>0</v>
      </c>
      <c r="Q73" s="340">
        <v>0</v>
      </c>
      <c r="R73" s="340">
        <v>0</v>
      </c>
      <c r="S73" s="341">
        <v>0</v>
      </c>
      <c r="T73" s="341">
        <v>0</v>
      </c>
      <c r="U73" s="341">
        <v>0</v>
      </c>
      <c r="V73" s="340">
        <v>0</v>
      </c>
      <c r="W73" s="340">
        <v>0</v>
      </c>
    </row>
    <row r="74" spans="1:23">
      <c r="A74" s="332">
        <v>24028</v>
      </c>
      <c r="B74" s="333">
        <v>87678.046216499992</v>
      </c>
      <c r="C74" s="334" t="s">
        <v>17343</v>
      </c>
      <c r="D74" s="371" t="s">
        <v>19305</v>
      </c>
      <c r="E74" s="372" t="s">
        <v>20256</v>
      </c>
      <c r="F74" s="389" t="s">
        <v>20155</v>
      </c>
      <c r="G74" s="336">
        <v>45356</v>
      </c>
      <c r="H74" s="337">
        <v>1920</v>
      </c>
      <c r="I74" s="337">
        <v>15408</v>
      </c>
      <c r="J74" s="338">
        <v>6000</v>
      </c>
      <c r="K74" s="337">
        <v>700</v>
      </c>
      <c r="L74" s="339" t="s">
        <v>20424</v>
      </c>
      <c r="M74" s="318" t="s">
        <v>20487</v>
      </c>
      <c r="N74" s="379" t="s">
        <v>16394</v>
      </c>
      <c r="O74" s="380">
        <v>45358</v>
      </c>
      <c r="P74" s="381">
        <v>11831.924999999999</v>
      </c>
      <c r="Q74" s="340">
        <v>0.49242238222074242</v>
      </c>
      <c r="R74" s="340">
        <v>945.45097386382542</v>
      </c>
      <c r="S74" s="341">
        <v>7587.2440652571995</v>
      </c>
      <c r="T74" s="341">
        <v>2954.5342933244547</v>
      </c>
      <c r="U74" s="341">
        <v>344.69566755451967</v>
      </c>
      <c r="V74" s="340">
        <v>11831.924999999999</v>
      </c>
      <c r="W74" s="340">
        <v>0</v>
      </c>
    </row>
    <row r="75" spans="1:23">
      <c r="A75" s="332">
        <v>23704</v>
      </c>
      <c r="B75" s="333">
        <v>91393.356444999998</v>
      </c>
      <c r="C75" s="334" t="s">
        <v>17343</v>
      </c>
      <c r="D75" s="371" t="s">
        <v>19306</v>
      </c>
      <c r="E75" s="372" t="s">
        <v>20257</v>
      </c>
      <c r="F75" s="389" t="s">
        <v>20155</v>
      </c>
      <c r="G75" s="336">
        <v>45357</v>
      </c>
      <c r="H75" s="337">
        <v>1920</v>
      </c>
      <c r="I75" s="337">
        <v>15384</v>
      </c>
      <c r="J75" s="338">
        <v>3600</v>
      </c>
      <c r="K75" s="337">
        <v>2800</v>
      </c>
      <c r="L75" s="339" t="s">
        <v>20424</v>
      </c>
      <c r="M75" s="318" t="s">
        <v>20488</v>
      </c>
      <c r="N75" s="379" t="s">
        <v>16394</v>
      </c>
      <c r="O75" s="380">
        <v>45364</v>
      </c>
      <c r="P75" s="381">
        <v>11845.225</v>
      </c>
      <c r="Q75" s="340">
        <v>0.49971418326020928</v>
      </c>
      <c r="R75" s="340">
        <v>959.45123185960176</v>
      </c>
      <c r="S75" s="341">
        <v>7687.6029952750596</v>
      </c>
      <c r="T75" s="341">
        <v>1798.9710597367534</v>
      </c>
      <c r="U75" s="341">
        <v>1399.1997131285859</v>
      </c>
      <c r="V75" s="340">
        <v>11845.225000000002</v>
      </c>
      <c r="W75" s="340">
        <v>0</v>
      </c>
    </row>
    <row r="76" spans="1:23">
      <c r="A76" s="332">
        <v>93360</v>
      </c>
      <c r="B76" s="333">
        <v>309443.51660000003</v>
      </c>
      <c r="C76" s="334" t="s">
        <v>17210</v>
      </c>
      <c r="D76" s="371" t="s">
        <v>19307</v>
      </c>
      <c r="E76" s="372" t="s">
        <v>20259</v>
      </c>
      <c r="F76" s="389" t="s">
        <v>20155</v>
      </c>
      <c r="G76" s="336">
        <v>45357</v>
      </c>
      <c r="H76" s="337">
        <v>5520</v>
      </c>
      <c r="I76" s="337">
        <v>46800</v>
      </c>
      <c r="J76" s="338">
        <v>35040</v>
      </c>
      <c r="K76" s="337">
        <v>6000</v>
      </c>
      <c r="L76" s="339" t="s">
        <v>20424</v>
      </c>
      <c r="M76" s="318" t="s">
        <v>20489</v>
      </c>
      <c r="N76" s="379" t="s">
        <v>20168</v>
      </c>
      <c r="O76" s="380">
        <v>45369</v>
      </c>
      <c r="P76" s="381">
        <v>34213.01</v>
      </c>
      <c r="Q76" s="340">
        <v>0.3664632604970009</v>
      </c>
      <c r="R76" s="340">
        <v>2022.877197943445</v>
      </c>
      <c r="S76" s="341">
        <v>17150.480591259642</v>
      </c>
      <c r="T76" s="341">
        <v>12840.872647814911</v>
      </c>
      <c r="U76" s="341">
        <v>2198.7795629820052</v>
      </c>
      <c r="V76" s="340">
        <v>34213.01</v>
      </c>
      <c r="W76" s="340">
        <v>0</v>
      </c>
    </row>
    <row r="77" spans="1:23">
      <c r="A77" s="332">
        <v>272042</v>
      </c>
      <c r="B77" s="333">
        <v>590698.02088199998</v>
      </c>
      <c r="C77" s="334" t="s">
        <v>19662</v>
      </c>
      <c r="D77" s="371" t="s">
        <v>19308</v>
      </c>
      <c r="E77" s="372" t="s">
        <v>20260</v>
      </c>
      <c r="F77" s="389" t="s">
        <v>20155</v>
      </c>
      <c r="G77" s="336">
        <v>45357</v>
      </c>
      <c r="H77" s="337">
        <v>11376</v>
      </c>
      <c r="I77" s="337">
        <v>244666</v>
      </c>
      <c r="J77" s="338">
        <v>16000</v>
      </c>
      <c r="K77" s="337"/>
      <c r="L77" s="339" t="s">
        <v>20398</v>
      </c>
      <c r="M77" s="318" t="s">
        <v>20490</v>
      </c>
      <c r="N77" s="379" t="s">
        <v>18227</v>
      </c>
      <c r="O77" s="380">
        <v>45367</v>
      </c>
      <c r="P77" s="381">
        <v>61033.842499999999</v>
      </c>
      <c r="Q77" s="340">
        <v>0.22435448386646178</v>
      </c>
      <c r="R77" s="340">
        <v>2552.2566084648693</v>
      </c>
      <c r="S77" s="341">
        <v>54891.914149671742</v>
      </c>
      <c r="T77" s="341">
        <v>3589.6717418633884</v>
      </c>
      <c r="U77" s="341">
        <v>0</v>
      </c>
      <c r="V77" s="340">
        <v>61033.842499999999</v>
      </c>
      <c r="W77" s="340">
        <v>0</v>
      </c>
    </row>
    <row r="78" spans="1:23">
      <c r="A78" s="332">
        <v>19200</v>
      </c>
      <c r="B78" s="333">
        <v>38976</v>
      </c>
      <c r="C78" s="334" t="s">
        <v>19655</v>
      </c>
      <c r="D78" s="371" t="s">
        <v>19309</v>
      </c>
      <c r="E78" s="372" t="s">
        <v>20261</v>
      </c>
      <c r="F78" s="389" t="s">
        <v>20155</v>
      </c>
      <c r="G78" s="336">
        <v>45359</v>
      </c>
      <c r="H78" s="337">
        <v>19200</v>
      </c>
      <c r="I78" s="337"/>
      <c r="J78" s="338"/>
      <c r="K78" s="337"/>
      <c r="L78" s="339" t="s">
        <v>18201</v>
      </c>
      <c r="M78" s="318" t="s">
        <v>20491</v>
      </c>
      <c r="N78" s="379" t="s">
        <v>17965</v>
      </c>
      <c r="O78" s="380">
        <v>45364</v>
      </c>
      <c r="P78" s="381">
        <v>0</v>
      </c>
      <c r="Q78" s="340">
        <v>0</v>
      </c>
      <c r="R78" s="340">
        <v>0</v>
      </c>
      <c r="S78" s="341">
        <v>0</v>
      </c>
      <c r="T78" s="341">
        <v>0</v>
      </c>
      <c r="U78" s="341">
        <v>0</v>
      </c>
      <c r="V78" s="340">
        <v>0</v>
      </c>
      <c r="W78" s="340">
        <v>0</v>
      </c>
    </row>
    <row r="79" spans="1:23">
      <c r="A79" s="332">
        <v>19200</v>
      </c>
      <c r="B79" s="333">
        <v>38976</v>
      </c>
      <c r="C79" s="334" t="s">
        <v>19655</v>
      </c>
      <c r="D79" s="371" t="s">
        <v>19310</v>
      </c>
      <c r="E79" s="372" t="s">
        <v>20262</v>
      </c>
      <c r="F79" s="389" t="s">
        <v>20155</v>
      </c>
      <c r="G79" s="336">
        <v>45359</v>
      </c>
      <c r="H79" s="337">
        <v>19200</v>
      </c>
      <c r="I79" s="337"/>
      <c r="J79" s="338"/>
      <c r="K79" s="337"/>
      <c r="L79" s="339" t="s">
        <v>20492</v>
      </c>
      <c r="M79" s="318" t="s">
        <v>20493</v>
      </c>
      <c r="N79" s="379" t="s">
        <v>18248</v>
      </c>
      <c r="O79" s="380">
        <v>45364</v>
      </c>
      <c r="P79" s="381">
        <v>0</v>
      </c>
      <c r="Q79" s="340">
        <v>0</v>
      </c>
      <c r="R79" s="340">
        <v>0</v>
      </c>
      <c r="S79" s="341">
        <v>0</v>
      </c>
      <c r="T79" s="341">
        <v>0</v>
      </c>
      <c r="U79" s="341">
        <v>0</v>
      </c>
      <c r="V79" s="340">
        <v>0</v>
      </c>
      <c r="W79" s="340">
        <v>0</v>
      </c>
    </row>
    <row r="80" spans="1:23">
      <c r="A80" s="332">
        <v>222734</v>
      </c>
      <c r="B80" s="333">
        <v>441876.42</v>
      </c>
      <c r="C80" s="334" t="s">
        <v>19656</v>
      </c>
      <c r="D80" s="371" t="s">
        <v>19311</v>
      </c>
      <c r="E80" s="372" t="s">
        <v>20263</v>
      </c>
      <c r="F80" s="389" t="s">
        <v>20155</v>
      </c>
      <c r="G80" s="336">
        <v>45359</v>
      </c>
      <c r="H80" s="337">
        <v>194774</v>
      </c>
      <c r="I80" s="337">
        <v>27960</v>
      </c>
      <c r="J80" s="338"/>
      <c r="K80" s="337"/>
      <c r="L80" s="339" t="s">
        <v>20398</v>
      </c>
      <c r="M80" s="318" t="s">
        <v>20494</v>
      </c>
      <c r="N80" s="379" t="s">
        <v>17949</v>
      </c>
      <c r="O80" s="380">
        <v>45370</v>
      </c>
      <c r="P80" s="381">
        <v>0</v>
      </c>
      <c r="Q80" s="340">
        <v>0</v>
      </c>
      <c r="R80" s="340">
        <v>0</v>
      </c>
      <c r="S80" s="341">
        <v>0</v>
      </c>
      <c r="T80" s="341">
        <v>0</v>
      </c>
      <c r="U80" s="341">
        <v>0</v>
      </c>
      <c r="V80" s="340">
        <v>0</v>
      </c>
      <c r="W80" s="340">
        <v>0</v>
      </c>
    </row>
    <row r="81" spans="1:23">
      <c r="A81" s="332">
        <v>21600</v>
      </c>
      <c r="B81" s="333">
        <v>39744</v>
      </c>
      <c r="C81" s="334" t="s">
        <v>19647</v>
      </c>
      <c r="D81" s="371" t="s">
        <v>19312</v>
      </c>
      <c r="E81" s="372" t="s">
        <v>20264</v>
      </c>
      <c r="F81" s="389" t="s">
        <v>20155</v>
      </c>
      <c r="G81" s="336">
        <v>45359</v>
      </c>
      <c r="H81" s="337"/>
      <c r="I81" s="337">
        <v>21600</v>
      </c>
      <c r="J81" s="338"/>
      <c r="K81" s="337"/>
      <c r="L81" s="339" t="s">
        <v>20398</v>
      </c>
      <c r="M81" s="318" t="s">
        <v>20495</v>
      </c>
      <c r="N81" s="379" t="s">
        <v>17949</v>
      </c>
      <c r="O81" s="380">
        <v>45366</v>
      </c>
      <c r="P81" s="381">
        <v>0</v>
      </c>
      <c r="Q81" s="340">
        <v>0</v>
      </c>
      <c r="R81" s="340">
        <v>0</v>
      </c>
      <c r="S81" s="341">
        <v>0</v>
      </c>
      <c r="T81" s="341">
        <v>0</v>
      </c>
      <c r="U81" s="341">
        <v>0</v>
      </c>
      <c r="V81" s="340">
        <v>0</v>
      </c>
      <c r="W81" s="340">
        <v>0</v>
      </c>
    </row>
    <row r="82" spans="1:23">
      <c r="A82" s="332">
        <v>71200</v>
      </c>
      <c r="B82" s="333">
        <v>118680</v>
      </c>
      <c r="C82" s="334" t="s">
        <v>19833</v>
      </c>
      <c r="D82" s="371" t="s">
        <v>19313</v>
      </c>
      <c r="E82" s="372" t="s">
        <v>20265</v>
      </c>
      <c r="F82" s="389" t="s">
        <v>20155</v>
      </c>
      <c r="G82" s="336">
        <v>45362</v>
      </c>
      <c r="H82" s="337"/>
      <c r="I82" s="337">
        <v>19200</v>
      </c>
      <c r="J82" s="338">
        <v>52000</v>
      </c>
      <c r="K82" s="337"/>
      <c r="L82" s="339" t="s">
        <v>20446</v>
      </c>
      <c r="M82" s="318" t="s">
        <v>20496</v>
      </c>
      <c r="N82" s="379" t="s">
        <v>20321</v>
      </c>
      <c r="O82" s="380">
        <v>45370</v>
      </c>
      <c r="P82" s="381">
        <v>0</v>
      </c>
      <c r="Q82" s="340">
        <v>0</v>
      </c>
      <c r="R82" s="340">
        <v>0</v>
      </c>
      <c r="S82" s="341">
        <v>0</v>
      </c>
      <c r="T82" s="341">
        <v>0</v>
      </c>
      <c r="U82" s="341">
        <v>0</v>
      </c>
      <c r="V82" s="340">
        <v>0</v>
      </c>
      <c r="W82" s="340">
        <v>0</v>
      </c>
    </row>
    <row r="83" spans="1:23">
      <c r="A83" s="332">
        <v>38400</v>
      </c>
      <c r="B83" s="333">
        <v>77952</v>
      </c>
      <c r="C83" s="334" t="s">
        <v>19833</v>
      </c>
      <c r="D83" s="371" t="s">
        <v>19314</v>
      </c>
      <c r="E83" s="372" t="s">
        <v>20267</v>
      </c>
      <c r="F83" s="389" t="s">
        <v>20155</v>
      </c>
      <c r="G83" s="336">
        <v>45362</v>
      </c>
      <c r="H83" s="337">
        <v>38400</v>
      </c>
      <c r="I83" s="337"/>
      <c r="J83" s="338"/>
      <c r="K83" s="337"/>
      <c r="L83" s="339" t="s">
        <v>20446</v>
      </c>
      <c r="M83" s="318" t="s">
        <v>20497</v>
      </c>
      <c r="N83" s="379" t="s">
        <v>18248</v>
      </c>
      <c r="O83" s="380">
        <v>45369</v>
      </c>
      <c r="P83" s="381">
        <v>0</v>
      </c>
      <c r="Q83" s="340">
        <v>0</v>
      </c>
      <c r="R83" s="340">
        <v>0</v>
      </c>
      <c r="S83" s="341">
        <v>0</v>
      </c>
      <c r="T83" s="341">
        <v>0</v>
      </c>
      <c r="U83" s="341">
        <v>0</v>
      </c>
      <c r="V83" s="340">
        <v>0</v>
      </c>
      <c r="W83" s="340">
        <v>0</v>
      </c>
    </row>
    <row r="84" spans="1:23">
      <c r="A84" s="332">
        <v>20500</v>
      </c>
      <c r="B84" s="333">
        <v>50225</v>
      </c>
      <c r="C84" s="334" t="s">
        <v>17018</v>
      </c>
      <c r="D84" s="371" t="s">
        <v>19315</v>
      </c>
      <c r="E84" s="372" t="s">
        <v>20268</v>
      </c>
      <c r="F84" s="389" t="s">
        <v>20155</v>
      </c>
      <c r="G84" s="336">
        <v>45363</v>
      </c>
      <c r="H84" s="337"/>
      <c r="I84" s="337">
        <v>20500</v>
      </c>
      <c r="J84" s="338"/>
      <c r="K84" s="337"/>
      <c r="L84" s="339" t="s">
        <v>20398</v>
      </c>
      <c r="M84" s="318" t="s">
        <v>20498</v>
      </c>
      <c r="N84" s="379" t="s">
        <v>20350</v>
      </c>
      <c r="O84" s="380">
        <v>45379</v>
      </c>
      <c r="P84" s="381">
        <v>0</v>
      </c>
      <c r="Q84" s="340">
        <v>0</v>
      </c>
      <c r="R84" s="340">
        <v>0</v>
      </c>
      <c r="S84" s="341">
        <v>0</v>
      </c>
      <c r="T84" s="341">
        <v>0</v>
      </c>
      <c r="U84" s="341">
        <v>0</v>
      </c>
      <c r="V84" s="340">
        <v>0</v>
      </c>
      <c r="W84" s="340">
        <v>0</v>
      </c>
    </row>
    <row r="85" spans="1:23">
      <c r="A85" s="332">
        <v>28044</v>
      </c>
      <c r="B85" s="333">
        <v>86334.317993000004</v>
      </c>
      <c r="C85" s="334" t="s">
        <v>19661</v>
      </c>
      <c r="D85" s="371" t="s">
        <v>19316</v>
      </c>
      <c r="E85" s="372" t="s">
        <v>20269</v>
      </c>
      <c r="F85" s="389" t="s">
        <v>20155</v>
      </c>
      <c r="G85" s="336">
        <v>45363</v>
      </c>
      <c r="H85" s="337"/>
      <c r="I85" s="337">
        <v>14544</v>
      </c>
      <c r="J85" s="338">
        <v>13500</v>
      </c>
      <c r="K85" s="337"/>
      <c r="L85" s="339" t="s">
        <v>20408</v>
      </c>
      <c r="M85" s="318" t="s">
        <v>20499</v>
      </c>
      <c r="N85" s="379" t="s">
        <v>20160</v>
      </c>
      <c r="O85" s="380">
        <v>45377</v>
      </c>
      <c r="P85" s="381">
        <v>14358.837500000001</v>
      </c>
      <c r="Q85" s="340">
        <v>0.51201103622878341</v>
      </c>
      <c r="R85" s="340">
        <v>0</v>
      </c>
      <c r="S85" s="341">
        <v>7446.6885109114255</v>
      </c>
      <c r="T85" s="341">
        <v>6912.1489890885759</v>
      </c>
      <c r="U85" s="341">
        <v>0</v>
      </c>
      <c r="V85" s="340">
        <v>14358.837500000001</v>
      </c>
      <c r="W85" s="340">
        <v>0</v>
      </c>
    </row>
    <row r="86" spans="1:23">
      <c r="A86" s="332">
        <v>27804</v>
      </c>
      <c r="B86" s="333">
        <v>85916.729213000013</v>
      </c>
      <c r="C86" s="334" t="s">
        <v>19661</v>
      </c>
      <c r="D86" s="371" t="s">
        <v>19317</v>
      </c>
      <c r="E86" s="372" t="s">
        <v>20270</v>
      </c>
      <c r="F86" s="389" t="s">
        <v>20155</v>
      </c>
      <c r="G86" s="336">
        <v>45363</v>
      </c>
      <c r="H86" s="337"/>
      <c r="I86" s="337">
        <v>11304</v>
      </c>
      <c r="J86" s="338">
        <v>16500</v>
      </c>
      <c r="K86" s="337"/>
      <c r="L86" s="339" t="s">
        <v>20424</v>
      </c>
      <c r="M86" s="318" t="s">
        <v>20500</v>
      </c>
      <c r="N86" s="379" t="s">
        <v>20160</v>
      </c>
      <c r="O86" s="380">
        <v>45377</v>
      </c>
      <c r="P86" s="381">
        <v>14358.837500000001</v>
      </c>
      <c r="Q86" s="340">
        <v>0.51643063947633439</v>
      </c>
      <c r="R86" s="340">
        <v>0</v>
      </c>
      <c r="S86" s="341">
        <v>5837.731948640484</v>
      </c>
      <c r="T86" s="341">
        <v>8521.1055513595165</v>
      </c>
      <c r="U86" s="341">
        <v>0</v>
      </c>
      <c r="V86" s="340">
        <v>14358.837500000001</v>
      </c>
      <c r="W86" s="340">
        <v>0</v>
      </c>
    </row>
    <row r="87" spans="1:23">
      <c r="A87" s="332">
        <v>43200</v>
      </c>
      <c r="B87" s="333">
        <v>79488</v>
      </c>
      <c r="C87" s="334" t="s">
        <v>19655</v>
      </c>
      <c r="D87" s="371" t="s">
        <v>19318</v>
      </c>
      <c r="E87" s="372" t="s">
        <v>20271</v>
      </c>
      <c r="F87" s="389" t="s">
        <v>20155</v>
      </c>
      <c r="G87" s="336">
        <v>45363</v>
      </c>
      <c r="H87" s="337"/>
      <c r="I87" s="337">
        <v>43200</v>
      </c>
      <c r="J87" s="338"/>
      <c r="K87" s="337"/>
      <c r="L87" s="339" t="s">
        <v>18201</v>
      </c>
      <c r="M87" s="318" t="s">
        <v>20501</v>
      </c>
      <c r="N87" s="379" t="s">
        <v>18248</v>
      </c>
      <c r="O87" s="380">
        <v>45372</v>
      </c>
      <c r="P87" s="381">
        <v>0</v>
      </c>
      <c r="Q87" s="340">
        <v>0</v>
      </c>
      <c r="R87" s="340">
        <v>0</v>
      </c>
      <c r="S87" s="341">
        <v>0</v>
      </c>
      <c r="T87" s="341">
        <v>0</v>
      </c>
      <c r="U87" s="341">
        <v>0</v>
      </c>
      <c r="V87" s="340">
        <v>0</v>
      </c>
      <c r="W87" s="340">
        <v>0</v>
      </c>
    </row>
    <row r="88" spans="1:23">
      <c r="A88" s="332">
        <v>24928</v>
      </c>
      <c r="B88" s="333">
        <v>95007.496031999995</v>
      </c>
      <c r="C88" s="334" t="s">
        <v>17343</v>
      </c>
      <c r="D88" s="371" t="s">
        <v>19319</v>
      </c>
      <c r="E88" s="372" t="s">
        <v>20272</v>
      </c>
      <c r="F88" s="389" t="s">
        <v>20155</v>
      </c>
      <c r="G88" s="336">
        <v>45363</v>
      </c>
      <c r="H88" s="337">
        <v>5760</v>
      </c>
      <c r="I88" s="337">
        <v>15168</v>
      </c>
      <c r="J88" s="338">
        <v>1200</v>
      </c>
      <c r="K88" s="337">
        <v>2800</v>
      </c>
      <c r="L88" s="339" t="s">
        <v>20405</v>
      </c>
      <c r="M88" s="318" t="s">
        <v>20502</v>
      </c>
      <c r="N88" s="379" t="s">
        <v>16394</v>
      </c>
      <c r="O88" s="380">
        <v>45370</v>
      </c>
      <c r="P88" s="381">
        <v>11841.9</v>
      </c>
      <c r="Q88" s="340">
        <v>0.47504412708600768</v>
      </c>
      <c r="R88" s="340">
        <v>2736.254172015404</v>
      </c>
      <c r="S88" s="341">
        <v>7205.4693196405642</v>
      </c>
      <c r="T88" s="341">
        <v>570.05295250320921</v>
      </c>
      <c r="U88" s="341">
        <v>1330.1235558408216</v>
      </c>
      <c r="V88" s="340">
        <v>11841.899999999998</v>
      </c>
      <c r="W88" s="340">
        <v>0</v>
      </c>
    </row>
    <row r="89" spans="1:23">
      <c r="A89" s="332">
        <v>24880</v>
      </c>
      <c r="B89" s="333">
        <v>91769.729233000005</v>
      </c>
      <c r="C89" s="334" t="s">
        <v>17343</v>
      </c>
      <c r="D89" s="371" t="s">
        <v>19320</v>
      </c>
      <c r="E89" s="372" t="s">
        <v>20273</v>
      </c>
      <c r="F89" s="389" t="s">
        <v>20155</v>
      </c>
      <c r="G89" s="336">
        <v>45369</v>
      </c>
      <c r="H89" s="337">
        <v>9600</v>
      </c>
      <c r="I89" s="337">
        <v>11880</v>
      </c>
      <c r="J89" s="338">
        <v>2400</v>
      </c>
      <c r="K89" s="337">
        <v>1000</v>
      </c>
      <c r="L89" s="339" t="s">
        <v>20405</v>
      </c>
      <c r="M89" s="318" t="s">
        <v>20503</v>
      </c>
      <c r="N89" s="379" t="s">
        <v>16394</v>
      </c>
      <c r="O89" s="380">
        <v>45377</v>
      </c>
      <c r="P89" s="381">
        <v>11824.925000000001</v>
      </c>
      <c r="Q89" s="340">
        <v>0.47527833601286179</v>
      </c>
      <c r="R89" s="340">
        <v>4562.6720257234729</v>
      </c>
      <c r="S89" s="341">
        <v>5646.3066318327983</v>
      </c>
      <c r="T89" s="341">
        <v>1140.6680064308682</v>
      </c>
      <c r="U89" s="341">
        <v>475.27833601286181</v>
      </c>
      <c r="V89" s="340">
        <v>11824.925000000001</v>
      </c>
      <c r="W89" s="340">
        <v>0</v>
      </c>
    </row>
    <row r="90" spans="1:23">
      <c r="A90" s="332">
        <v>24440</v>
      </c>
      <c r="B90" s="333">
        <v>85607.1444815</v>
      </c>
      <c r="C90" s="334" t="s">
        <v>17343</v>
      </c>
      <c r="D90" s="371" t="s">
        <v>19321</v>
      </c>
      <c r="E90" s="372" t="s">
        <v>20274</v>
      </c>
      <c r="F90" s="389" t="s">
        <v>20155</v>
      </c>
      <c r="G90" s="336">
        <v>45369</v>
      </c>
      <c r="H90" s="337"/>
      <c r="I90" s="337">
        <v>19080</v>
      </c>
      <c r="J90" s="338">
        <v>4800</v>
      </c>
      <c r="K90" s="337">
        <v>560</v>
      </c>
      <c r="L90" s="339" t="s">
        <v>20424</v>
      </c>
      <c r="M90" s="318" t="s">
        <v>20504</v>
      </c>
      <c r="N90" s="379" t="s">
        <v>16394</v>
      </c>
      <c r="O90" s="380">
        <v>45374</v>
      </c>
      <c r="P90" s="381">
        <v>8922.0120000000006</v>
      </c>
      <c r="Q90" s="340">
        <v>0.36505777414075291</v>
      </c>
      <c r="R90" s="340">
        <v>0</v>
      </c>
      <c r="S90" s="341">
        <v>6965.3023306055657</v>
      </c>
      <c r="T90" s="341">
        <v>1752.277315875614</v>
      </c>
      <c r="U90" s="341">
        <v>204.43235351882163</v>
      </c>
      <c r="V90" s="340">
        <v>8922.0120000000006</v>
      </c>
      <c r="W90" s="340">
        <v>0</v>
      </c>
    </row>
    <row r="91" spans="1:23">
      <c r="A91" s="332">
        <v>54000</v>
      </c>
      <c r="B91" s="333">
        <v>115020</v>
      </c>
      <c r="C91" s="334" t="s">
        <v>19655</v>
      </c>
      <c r="D91" s="371" t="s">
        <v>19322</v>
      </c>
      <c r="E91" s="372" t="s">
        <v>20275</v>
      </c>
      <c r="F91" s="389" t="s">
        <v>20155</v>
      </c>
      <c r="G91" s="336">
        <v>45370</v>
      </c>
      <c r="H91" s="337">
        <v>54000</v>
      </c>
      <c r="I91" s="337"/>
      <c r="J91" s="338"/>
      <c r="K91" s="337"/>
      <c r="L91" s="339" t="s">
        <v>20424</v>
      </c>
      <c r="M91" s="318" t="s">
        <v>20505</v>
      </c>
      <c r="N91" s="379" t="s">
        <v>17854</v>
      </c>
      <c r="O91" s="380">
        <v>45376</v>
      </c>
      <c r="P91" s="381">
        <v>0</v>
      </c>
      <c r="Q91" s="340">
        <v>0</v>
      </c>
      <c r="R91" s="340">
        <v>0</v>
      </c>
      <c r="S91" s="341">
        <v>0</v>
      </c>
      <c r="T91" s="341">
        <v>0</v>
      </c>
      <c r="U91" s="341">
        <v>0</v>
      </c>
      <c r="V91" s="340">
        <v>0</v>
      </c>
      <c r="W91" s="340">
        <v>0</v>
      </c>
    </row>
    <row r="92" spans="1:23">
      <c r="A92" s="332">
        <v>76800</v>
      </c>
      <c r="B92" s="333">
        <v>157056</v>
      </c>
      <c r="C92" s="334" t="s">
        <v>19656</v>
      </c>
      <c r="D92" s="371" t="s">
        <v>19323</v>
      </c>
      <c r="E92" s="372" t="s">
        <v>20276</v>
      </c>
      <c r="F92" s="389" t="s">
        <v>20155</v>
      </c>
      <c r="G92" s="336">
        <v>45370</v>
      </c>
      <c r="H92" s="337">
        <v>76800</v>
      </c>
      <c r="I92" s="337"/>
      <c r="J92" s="338"/>
      <c r="K92" s="337"/>
      <c r="L92" s="339" t="s">
        <v>20405</v>
      </c>
      <c r="M92" s="318" t="s">
        <v>20506</v>
      </c>
      <c r="N92" s="379" t="s">
        <v>17965</v>
      </c>
      <c r="O92" s="380">
        <v>45376</v>
      </c>
      <c r="P92" s="381">
        <v>0</v>
      </c>
      <c r="Q92" s="340">
        <v>0</v>
      </c>
      <c r="R92" s="340">
        <v>0</v>
      </c>
      <c r="S92" s="341">
        <v>0</v>
      </c>
      <c r="T92" s="341">
        <v>0</v>
      </c>
      <c r="U92" s="341">
        <v>0</v>
      </c>
      <c r="V92" s="340">
        <v>0</v>
      </c>
      <c r="W92" s="340">
        <v>0</v>
      </c>
    </row>
    <row r="93" spans="1:23">
      <c r="A93" s="332">
        <v>109800</v>
      </c>
      <c r="B93" s="333">
        <v>191394</v>
      </c>
      <c r="C93" s="334" t="s">
        <v>19647</v>
      </c>
      <c r="D93" s="371" t="s">
        <v>19324</v>
      </c>
      <c r="E93" s="372" t="s">
        <v>20277</v>
      </c>
      <c r="F93" s="389" t="s">
        <v>20155</v>
      </c>
      <c r="G93" s="336">
        <v>45370</v>
      </c>
      <c r="H93" s="337">
        <v>3600</v>
      </c>
      <c r="I93" s="337">
        <v>22200</v>
      </c>
      <c r="J93" s="338">
        <v>84000</v>
      </c>
      <c r="K93" s="337"/>
      <c r="L93" s="339" t="s">
        <v>20405</v>
      </c>
      <c r="M93" s="318" t="s">
        <v>20507</v>
      </c>
      <c r="N93" s="379" t="s">
        <v>17771</v>
      </c>
      <c r="O93" s="380">
        <v>45385</v>
      </c>
      <c r="P93" s="381">
        <v>0</v>
      </c>
      <c r="Q93" s="340">
        <v>0</v>
      </c>
      <c r="R93" s="340">
        <v>0</v>
      </c>
      <c r="S93" s="341">
        <v>0</v>
      </c>
      <c r="T93" s="341">
        <v>0</v>
      </c>
      <c r="U93" s="341">
        <v>0</v>
      </c>
      <c r="V93" s="340">
        <v>0</v>
      </c>
      <c r="W93" s="340">
        <v>0</v>
      </c>
    </row>
    <row r="94" spans="1:23">
      <c r="A94" s="332">
        <v>40300</v>
      </c>
      <c r="B94" s="333">
        <v>108698.89289999999</v>
      </c>
      <c r="C94" s="334" t="s">
        <v>19659</v>
      </c>
      <c r="D94" s="371" t="s">
        <v>19325</v>
      </c>
      <c r="E94" s="372" t="s">
        <v>20278</v>
      </c>
      <c r="F94" s="389" t="s">
        <v>20155</v>
      </c>
      <c r="G94" s="336">
        <v>45370</v>
      </c>
      <c r="H94" s="337">
        <v>40300</v>
      </c>
      <c r="I94" s="337"/>
      <c r="J94" s="338"/>
      <c r="K94" s="337"/>
      <c r="L94" s="339" t="s">
        <v>20398</v>
      </c>
      <c r="M94" s="318" t="s">
        <v>20508</v>
      </c>
      <c r="N94" s="379" t="s">
        <v>20161</v>
      </c>
      <c r="O94" s="380">
        <v>45378</v>
      </c>
      <c r="P94" s="381">
        <v>0</v>
      </c>
      <c r="Q94" s="340">
        <v>0</v>
      </c>
      <c r="R94" s="340">
        <v>0</v>
      </c>
      <c r="S94" s="341">
        <v>0</v>
      </c>
      <c r="T94" s="341">
        <v>0</v>
      </c>
      <c r="U94" s="341">
        <v>0</v>
      </c>
      <c r="V94" s="340">
        <v>0</v>
      </c>
      <c r="W94" s="340">
        <v>0</v>
      </c>
    </row>
    <row r="95" spans="1:23">
      <c r="A95" s="332">
        <v>40300</v>
      </c>
      <c r="B95" s="333">
        <v>99372.828099999999</v>
      </c>
      <c r="C95" s="334" t="s">
        <v>19659</v>
      </c>
      <c r="D95" s="371" t="s">
        <v>19326</v>
      </c>
      <c r="E95" s="372" t="s">
        <v>20279</v>
      </c>
      <c r="F95" s="389" t="s">
        <v>20155</v>
      </c>
      <c r="G95" s="336">
        <v>45370</v>
      </c>
      <c r="H95" s="337">
        <v>40300</v>
      </c>
      <c r="I95" s="337"/>
      <c r="J95" s="338"/>
      <c r="K95" s="337"/>
      <c r="L95" s="339" t="s">
        <v>20398</v>
      </c>
      <c r="M95" s="318" t="s">
        <v>20509</v>
      </c>
      <c r="N95" s="379" t="s">
        <v>20161</v>
      </c>
      <c r="O95" s="380">
        <v>45379</v>
      </c>
      <c r="P95" s="381">
        <v>0</v>
      </c>
      <c r="Q95" s="340">
        <v>0</v>
      </c>
      <c r="R95" s="340">
        <v>0</v>
      </c>
      <c r="S95" s="341">
        <v>0</v>
      </c>
      <c r="T95" s="341">
        <v>0</v>
      </c>
      <c r="U95" s="341">
        <v>0</v>
      </c>
      <c r="V95" s="340">
        <v>0</v>
      </c>
      <c r="W95" s="340">
        <v>0</v>
      </c>
    </row>
    <row r="96" spans="1:23">
      <c r="A96" s="332">
        <v>1680</v>
      </c>
      <c r="B96" s="333">
        <v>8181.7270920000001</v>
      </c>
      <c r="C96" s="334" t="s">
        <v>17343</v>
      </c>
      <c r="D96" s="371" t="s">
        <v>19327</v>
      </c>
      <c r="E96" s="372" t="s">
        <v>20280</v>
      </c>
      <c r="F96" s="389" t="s">
        <v>20155</v>
      </c>
      <c r="G96" s="336">
        <v>45370</v>
      </c>
      <c r="H96" s="337"/>
      <c r="I96" s="337"/>
      <c r="J96" s="338"/>
      <c r="K96" s="337">
        <v>1680</v>
      </c>
      <c r="L96" s="339" t="s">
        <v>20424</v>
      </c>
      <c r="M96" s="318" t="s">
        <v>20510</v>
      </c>
      <c r="N96" s="379" t="s">
        <v>16394</v>
      </c>
      <c r="O96" s="380">
        <v>45379</v>
      </c>
      <c r="P96" s="381">
        <v>0</v>
      </c>
      <c r="Q96" s="340">
        <v>0</v>
      </c>
      <c r="R96" s="340">
        <v>0</v>
      </c>
      <c r="S96" s="341">
        <v>0</v>
      </c>
      <c r="T96" s="341">
        <v>0</v>
      </c>
      <c r="U96" s="341">
        <v>0</v>
      </c>
      <c r="V96" s="340">
        <v>0</v>
      </c>
      <c r="W96" s="340">
        <v>0</v>
      </c>
    </row>
    <row r="97" spans="1:23">
      <c r="A97" s="332">
        <v>233280</v>
      </c>
      <c r="B97" s="333">
        <v>506429.8848</v>
      </c>
      <c r="C97" s="334" t="s">
        <v>20484</v>
      </c>
      <c r="D97" s="371" t="s">
        <v>19328</v>
      </c>
      <c r="E97" s="372" t="s">
        <v>20281</v>
      </c>
      <c r="F97" s="389" t="s">
        <v>20155</v>
      </c>
      <c r="G97" s="336">
        <v>45370</v>
      </c>
      <c r="H97" s="337"/>
      <c r="I97" s="337">
        <v>194880</v>
      </c>
      <c r="J97" s="338">
        <v>38400</v>
      </c>
      <c r="K97" s="337"/>
      <c r="L97" s="339" t="s">
        <v>20424</v>
      </c>
      <c r="M97" s="318" t="s">
        <v>20511</v>
      </c>
      <c r="N97" s="379" t="s">
        <v>20372</v>
      </c>
      <c r="O97" s="380">
        <v>45376</v>
      </c>
      <c r="P97" s="381">
        <v>0</v>
      </c>
      <c r="Q97" s="340">
        <v>0</v>
      </c>
      <c r="R97" s="340">
        <v>0</v>
      </c>
      <c r="S97" s="341">
        <v>0</v>
      </c>
      <c r="T97" s="341">
        <v>0</v>
      </c>
      <c r="U97" s="341">
        <v>0</v>
      </c>
      <c r="V97" s="340">
        <v>0</v>
      </c>
      <c r="W97" s="340">
        <v>0</v>
      </c>
    </row>
    <row r="98" spans="1:23">
      <c r="A98" s="332">
        <v>22872</v>
      </c>
      <c r="B98" s="333">
        <v>87346.598866500004</v>
      </c>
      <c r="C98" s="334" t="s">
        <v>17343</v>
      </c>
      <c r="D98" s="371" t="s">
        <v>19329</v>
      </c>
      <c r="E98" s="372" t="s">
        <v>20282</v>
      </c>
      <c r="F98" s="389" t="s">
        <v>20155</v>
      </c>
      <c r="G98" s="336">
        <v>45373</v>
      </c>
      <c r="H98" s="337"/>
      <c r="I98" s="337">
        <v>16752</v>
      </c>
      <c r="J98" s="338">
        <v>4800</v>
      </c>
      <c r="K98" s="337">
        <v>1320</v>
      </c>
      <c r="L98" s="339" t="s">
        <v>20424</v>
      </c>
      <c r="M98" s="318" t="s">
        <v>20512</v>
      </c>
      <c r="N98" s="379" t="s">
        <v>16394</v>
      </c>
      <c r="O98" s="380">
        <v>45374</v>
      </c>
      <c r="P98" s="381">
        <v>11828.425000000001</v>
      </c>
      <c r="Q98" s="340">
        <v>0.51715744141308151</v>
      </c>
      <c r="R98" s="340">
        <v>0</v>
      </c>
      <c r="S98" s="341">
        <v>8663.4214585519421</v>
      </c>
      <c r="T98" s="341">
        <v>2482.3557187827914</v>
      </c>
      <c r="U98" s="341">
        <v>682.64782266526754</v>
      </c>
      <c r="V98" s="340">
        <v>11828.425000000001</v>
      </c>
      <c r="W98" s="340">
        <v>0</v>
      </c>
    </row>
    <row r="99" spans="1:23">
      <c r="A99" s="332">
        <v>23624</v>
      </c>
      <c r="B99" s="333">
        <v>85687.764879500013</v>
      </c>
      <c r="C99" s="334" t="s">
        <v>17343</v>
      </c>
      <c r="D99" s="371" t="s">
        <v>19330</v>
      </c>
      <c r="E99" s="372" t="s">
        <v>20283</v>
      </c>
      <c r="F99" s="389" t="s">
        <v>20155</v>
      </c>
      <c r="G99" s="336">
        <v>45373</v>
      </c>
      <c r="H99" s="337"/>
      <c r="I99" s="337">
        <v>18624</v>
      </c>
      <c r="J99" s="338">
        <v>4800</v>
      </c>
      <c r="K99" s="337">
        <v>200</v>
      </c>
      <c r="L99" s="339" t="s">
        <v>20424</v>
      </c>
      <c r="M99" s="318" t="s">
        <v>20513</v>
      </c>
      <c r="N99" s="379" t="s">
        <v>16394</v>
      </c>
      <c r="O99" s="380">
        <v>45377</v>
      </c>
      <c r="P99" s="381">
        <v>11824.925000000001</v>
      </c>
      <c r="Q99" s="340">
        <v>0.50054711310531663</v>
      </c>
      <c r="R99" s="340">
        <v>0</v>
      </c>
      <c r="S99" s="341">
        <v>9322.1894344734174</v>
      </c>
      <c r="T99" s="341">
        <v>2402.6261429055198</v>
      </c>
      <c r="U99" s="341">
        <v>100.10942262106333</v>
      </c>
      <c r="V99" s="340">
        <v>11824.924999999999</v>
      </c>
      <c r="W99" s="340">
        <v>0</v>
      </c>
    </row>
    <row r="100" spans="1:23">
      <c r="A100" s="332">
        <v>55900</v>
      </c>
      <c r="B100" s="333">
        <v>164120</v>
      </c>
      <c r="C100" s="334" t="s">
        <v>17227</v>
      </c>
      <c r="D100" s="371" t="s">
        <v>19331</v>
      </c>
      <c r="E100" s="372" t="s">
        <v>20284</v>
      </c>
      <c r="F100" s="389" t="s">
        <v>20155</v>
      </c>
      <c r="G100" s="336">
        <v>45377</v>
      </c>
      <c r="H100" s="337"/>
      <c r="I100" s="337">
        <v>50700</v>
      </c>
      <c r="J100" s="338"/>
      <c r="K100" s="337">
        <v>5200</v>
      </c>
      <c r="L100" s="339" t="s">
        <v>20424</v>
      </c>
      <c r="M100" s="318" t="s">
        <v>20514</v>
      </c>
      <c r="N100" s="379" t="s">
        <v>17689</v>
      </c>
      <c r="O100" s="380">
        <v>45380</v>
      </c>
      <c r="P100" s="381">
        <v>0</v>
      </c>
      <c r="Q100" s="340">
        <v>0</v>
      </c>
      <c r="R100" s="340">
        <v>0</v>
      </c>
      <c r="S100" s="341">
        <v>0</v>
      </c>
      <c r="T100" s="341">
        <v>0</v>
      </c>
      <c r="U100" s="341">
        <v>0</v>
      </c>
      <c r="V100" s="340">
        <v>0</v>
      </c>
      <c r="W100" s="340">
        <v>0</v>
      </c>
    </row>
    <row r="101" spans="1:23">
      <c r="A101" s="332">
        <v>27840</v>
      </c>
      <c r="B101" s="333">
        <v>70992</v>
      </c>
      <c r="C101" s="334" t="s">
        <v>17227</v>
      </c>
      <c r="D101" s="371" t="s">
        <v>19332</v>
      </c>
      <c r="E101" s="372" t="s">
        <v>112</v>
      </c>
      <c r="F101" s="389" t="s">
        <v>20155</v>
      </c>
      <c r="G101" s="336">
        <v>45377</v>
      </c>
      <c r="H101" s="337"/>
      <c r="I101" s="337"/>
      <c r="J101" s="338">
        <v>27840</v>
      </c>
      <c r="K101" s="337"/>
      <c r="L101" s="339" t="s">
        <v>20424</v>
      </c>
      <c r="M101" s="318" t="s">
        <v>20515</v>
      </c>
      <c r="N101" s="379" t="s">
        <v>17689</v>
      </c>
      <c r="O101" s="380">
        <v>45380</v>
      </c>
      <c r="P101" s="381">
        <v>0</v>
      </c>
      <c r="Q101" s="340">
        <v>0</v>
      </c>
      <c r="R101" s="340">
        <v>0</v>
      </c>
      <c r="S101" s="341">
        <v>0</v>
      </c>
      <c r="T101" s="341">
        <v>0</v>
      </c>
      <c r="U101" s="341">
        <v>0</v>
      </c>
      <c r="V101" s="340">
        <v>0</v>
      </c>
      <c r="W101" s="340">
        <v>0</v>
      </c>
    </row>
    <row r="102" spans="1:23">
      <c r="A102" s="332">
        <v>172128</v>
      </c>
      <c r="B102" s="333">
        <v>290724.47999999998</v>
      </c>
      <c r="C102" s="334" t="s">
        <v>19873</v>
      </c>
      <c r="D102" s="371" t="s">
        <v>19333</v>
      </c>
      <c r="E102" s="372" t="s">
        <v>113</v>
      </c>
      <c r="F102" s="389" t="s">
        <v>20155</v>
      </c>
      <c r="G102" s="336">
        <v>45377</v>
      </c>
      <c r="H102" s="337">
        <v>102048</v>
      </c>
      <c r="I102" s="337"/>
      <c r="J102" s="338">
        <v>70080</v>
      </c>
      <c r="K102" s="337"/>
      <c r="L102" s="339"/>
      <c r="M102" s="318" t="s">
        <v>20516</v>
      </c>
      <c r="N102" s="379" t="s">
        <v>17939</v>
      </c>
      <c r="O102" s="380">
        <v>45400</v>
      </c>
      <c r="P102" s="381">
        <v>0</v>
      </c>
      <c r="Q102" s="340">
        <v>0</v>
      </c>
      <c r="R102" s="340">
        <v>0</v>
      </c>
      <c r="S102" s="341">
        <v>0</v>
      </c>
      <c r="T102" s="341">
        <v>0</v>
      </c>
      <c r="U102" s="341">
        <v>0</v>
      </c>
      <c r="V102" s="340">
        <v>0</v>
      </c>
      <c r="W102" s="340">
        <v>0</v>
      </c>
    </row>
    <row r="103" spans="1:23">
      <c r="A103" s="332">
        <v>22500</v>
      </c>
      <c r="B103" s="333">
        <v>57713.90625</v>
      </c>
      <c r="C103" s="334" t="s">
        <v>20403</v>
      </c>
      <c r="D103" s="371" t="s">
        <v>19334</v>
      </c>
      <c r="E103" s="372" t="s">
        <v>114</v>
      </c>
      <c r="F103" s="389" t="s">
        <v>20155</v>
      </c>
      <c r="G103" s="336">
        <v>45380</v>
      </c>
      <c r="H103" s="337"/>
      <c r="I103" s="337">
        <v>22500</v>
      </c>
      <c r="J103" s="338"/>
      <c r="K103" s="337"/>
      <c r="L103" s="339" t="s">
        <v>18191</v>
      </c>
      <c r="M103" s="318" t="s">
        <v>20517</v>
      </c>
      <c r="N103" s="379" t="s">
        <v>18227</v>
      </c>
      <c r="O103" s="380">
        <v>45387</v>
      </c>
      <c r="P103" s="381">
        <v>10147.5</v>
      </c>
      <c r="Q103" s="340">
        <v>0.45100000000000001</v>
      </c>
      <c r="R103" s="340">
        <v>0</v>
      </c>
      <c r="S103" s="341">
        <v>10147.5</v>
      </c>
      <c r="T103" s="341">
        <v>0</v>
      </c>
      <c r="U103" s="341">
        <v>0</v>
      </c>
      <c r="V103" s="340">
        <v>10147.5</v>
      </c>
      <c r="W103" s="340">
        <v>0</v>
      </c>
    </row>
    <row r="104" spans="1:23">
      <c r="A104" s="332">
        <v>18600</v>
      </c>
      <c r="B104" s="333">
        <v>82909.6875</v>
      </c>
      <c r="C104" s="334" t="s">
        <v>17305</v>
      </c>
      <c r="D104" s="371" t="s">
        <v>19335</v>
      </c>
      <c r="E104" s="372" t="s">
        <v>115</v>
      </c>
      <c r="F104" s="389" t="s">
        <v>20155</v>
      </c>
      <c r="G104" s="336">
        <v>45384</v>
      </c>
      <c r="H104" s="337">
        <v>2400</v>
      </c>
      <c r="I104" s="337">
        <v>10700</v>
      </c>
      <c r="J104" s="338">
        <v>500</v>
      </c>
      <c r="K104" s="337">
        <v>5000</v>
      </c>
      <c r="L104" s="339" t="s">
        <v>20405</v>
      </c>
      <c r="M104" s="318" t="s">
        <v>20518</v>
      </c>
      <c r="N104" s="379" t="s">
        <v>17954</v>
      </c>
      <c r="O104" s="380">
        <v>45387</v>
      </c>
      <c r="P104" s="381">
        <v>11761.875</v>
      </c>
      <c r="Q104" s="340">
        <v>0.6323588709677419</v>
      </c>
      <c r="R104" s="340">
        <v>1517.6612903225805</v>
      </c>
      <c r="S104" s="341">
        <v>6766.2399193548381</v>
      </c>
      <c r="T104" s="341">
        <v>316.17943548387098</v>
      </c>
      <c r="U104" s="341">
        <v>3161.7943548387093</v>
      </c>
      <c r="V104" s="340">
        <v>11761.875</v>
      </c>
      <c r="W104" s="340">
        <v>0</v>
      </c>
    </row>
    <row r="105" spans="1:23">
      <c r="A105" s="332">
        <v>49560</v>
      </c>
      <c r="B105" s="333">
        <v>111203.38223999999</v>
      </c>
      <c r="C105" s="334" t="s">
        <v>17277</v>
      </c>
      <c r="D105" s="371" t="s">
        <v>19336</v>
      </c>
      <c r="E105" s="372" t="s">
        <v>116</v>
      </c>
      <c r="F105" s="389" t="s">
        <v>20155</v>
      </c>
      <c r="G105" s="336">
        <v>45397</v>
      </c>
      <c r="H105" s="337"/>
      <c r="I105" s="337">
        <v>49560</v>
      </c>
      <c r="J105" s="338"/>
      <c r="K105" s="337"/>
      <c r="L105" s="339" t="s">
        <v>20424</v>
      </c>
      <c r="M105" s="318" t="s">
        <v>20519</v>
      </c>
      <c r="N105" s="379" t="s">
        <v>20297</v>
      </c>
      <c r="O105" s="380">
        <v>45404</v>
      </c>
      <c r="P105" s="381">
        <v>16294.545</v>
      </c>
      <c r="Q105" s="340">
        <v>0.32878420096852301</v>
      </c>
      <c r="R105" s="340">
        <v>0</v>
      </c>
      <c r="S105" s="341">
        <v>16294.545</v>
      </c>
      <c r="T105" s="341">
        <v>0</v>
      </c>
      <c r="U105" s="341">
        <v>0</v>
      </c>
      <c r="V105" s="340">
        <v>16294.545</v>
      </c>
      <c r="W105" s="340">
        <v>0</v>
      </c>
    </row>
    <row r="106" spans="1:23">
      <c r="A106" s="332">
        <v>280090</v>
      </c>
      <c r="B106" s="333">
        <v>618137.60210999998</v>
      </c>
      <c r="C106" s="334" t="s">
        <v>19662</v>
      </c>
      <c r="D106" s="371" t="s">
        <v>19337</v>
      </c>
      <c r="E106" s="372" t="s">
        <v>117</v>
      </c>
      <c r="F106" s="389" t="s">
        <v>20155</v>
      </c>
      <c r="G106" s="336">
        <v>45397</v>
      </c>
      <c r="H106" s="337">
        <v>11280</v>
      </c>
      <c r="I106" s="337">
        <v>238810</v>
      </c>
      <c r="J106" s="338">
        <v>30000</v>
      </c>
      <c r="K106" s="337"/>
      <c r="L106" s="339" t="s">
        <v>20520</v>
      </c>
      <c r="M106" s="318" t="s">
        <v>20521</v>
      </c>
      <c r="N106" s="379" t="s">
        <v>18227</v>
      </c>
      <c r="O106" s="380">
        <v>45400</v>
      </c>
      <c r="P106" s="381">
        <v>63252</v>
      </c>
      <c r="Q106" s="340">
        <v>0.22582741261737299</v>
      </c>
      <c r="R106" s="340">
        <v>2547.3332143239672</v>
      </c>
      <c r="S106" s="341">
        <v>53929.844407154844</v>
      </c>
      <c r="T106" s="341">
        <v>6774.8223785211894</v>
      </c>
      <c r="U106" s="341">
        <v>0</v>
      </c>
      <c r="V106" s="340">
        <v>63252</v>
      </c>
      <c r="W106" s="340">
        <v>0</v>
      </c>
    </row>
    <row r="107" spans="1:23">
      <c r="A107" s="332">
        <v>280090</v>
      </c>
      <c r="B107" s="333">
        <v>617013.75109749998</v>
      </c>
      <c r="C107" s="334" t="s">
        <v>19662</v>
      </c>
      <c r="D107" s="371" t="s">
        <v>19338</v>
      </c>
      <c r="E107" s="372" t="s">
        <v>118</v>
      </c>
      <c r="F107" s="389" t="s">
        <v>20155</v>
      </c>
      <c r="G107" s="336">
        <v>45397</v>
      </c>
      <c r="H107" s="337">
        <v>11280</v>
      </c>
      <c r="I107" s="337">
        <v>238810</v>
      </c>
      <c r="J107" s="338">
        <v>30000</v>
      </c>
      <c r="K107" s="337"/>
      <c r="L107" s="339" t="s">
        <v>20520</v>
      </c>
      <c r="M107" s="318" t="s">
        <v>20522</v>
      </c>
      <c r="N107" s="379" t="s">
        <v>18227</v>
      </c>
      <c r="O107" s="380">
        <v>45406</v>
      </c>
      <c r="P107" s="381">
        <v>63137</v>
      </c>
      <c r="Q107" s="340">
        <v>0.22541683030454496</v>
      </c>
      <c r="R107" s="340">
        <v>2542.7018458352672</v>
      </c>
      <c r="S107" s="341">
        <v>53831.793245028384</v>
      </c>
      <c r="T107" s="341">
        <v>6762.5049091363489</v>
      </c>
      <c r="U107" s="341">
        <v>0</v>
      </c>
      <c r="V107" s="340">
        <v>63137</v>
      </c>
      <c r="W107" s="340">
        <v>0</v>
      </c>
    </row>
    <row r="108" spans="1:23">
      <c r="A108" s="332">
        <v>25860</v>
      </c>
      <c r="B108" s="333">
        <v>80440.961130000011</v>
      </c>
      <c r="C108" s="334" t="s">
        <v>19661</v>
      </c>
      <c r="D108" s="371" t="s">
        <v>19339</v>
      </c>
      <c r="E108" s="372" t="s">
        <v>119</v>
      </c>
      <c r="F108" s="397" t="s">
        <v>20155</v>
      </c>
      <c r="G108" s="336">
        <v>45397</v>
      </c>
      <c r="H108" s="337"/>
      <c r="I108" s="337">
        <v>18360</v>
      </c>
      <c r="J108" s="338">
        <v>7500</v>
      </c>
      <c r="K108" s="337"/>
      <c r="L108" s="339" t="s">
        <v>20424</v>
      </c>
      <c r="M108" s="318" t="s">
        <v>20523</v>
      </c>
      <c r="N108" s="379" t="s">
        <v>20160</v>
      </c>
      <c r="O108" s="380">
        <v>45401</v>
      </c>
      <c r="P108" s="381">
        <v>14278.725</v>
      </c>
      <c r="Q108" s="340">
        <v>0.55215487238979122</v>
      </c>
      <c r="R108" s="340">
        <v>0</v>
      </c>
      <c r="S108" s="341">
        <v>10137.563457076567</v>
      </c>
      <c r="T108" s="341">
        <v>4141.1615429234344</v>
      </c>
      <c r="U108" s="341">
        <v>0</v>
      </c>
      <c r="V108" s="340">
        <v>14278.725000000002</v>
      </c>
      <c r="W108" s="340">
        <v>0</v>
      </c>
    </row>
    <row r="109" spans="1:23">
      <c r="A109" s="332">
        <v>25860</v>
      </c>
      <c r="B109" s="333">
        <v>80440.961130000011</v>
      </c>
      <c r="C109" s="334" t="s">
        <v>19661</v>
      </c>
      <c r="D109" s="371" t="s">
        <v>19340</v>
      </c>
      <c r="E109" s="372" t="s">
        <v>120</v>
      </c>
      <c r="F109" s="397" t="s">
        <v>20155</v>
      </c>
      <c r="G109" s="336">
        <v>45397</v>
      </c>
      <c r="H109" s="337"/>
      <c r="I109" s="337">
        <v>18360</v>
      </c>
      <c r="J109" s="338">
        <v>7500</v>
      </c>
      <c r="K109" s="337"/>
      <c r="L109" s="339" t="s">
        <v>20424</v>
      </c>
      <c r="M109" s="318" t="s">
        <v>20524</v>
      </c>
      <c r="N109" s="379" t="s">
        <v>20160</v>
      </c>
      <c r="O109" s="380">
        <v>45401</v>
      </c>
      <c r="P109" s="381">
        <v>14278.725</v>
      </c>
      <c r="Q109" s="340">
        <v>0.55215487238979122</v>
      </c>
      <c r="R109" s="340">
        <v>0</v>
      </c>
      <c r="S109" s="341">
        <v>10137.563457076567</v>
      </c>
      <c r="T109" s="341">
        <v>4141.1615429234344</v>
      </c>
      <c r="U109" s="341">
        <v>0</v>
      </c>
      <c r="V109" s="340">
        <v>14278.725000000002</v>
      </c>
      <c r="W109" s="340">
        <v>0</v>
      </c>
    </row>
    <row r="110" spans="1:23">
      <c r="A110" s="332">
        <v>57600</v>
      </c>
      <c r="B110" s="333">
        <v>116352</v>
      </c>
      <c r="C110" s="334" t="s">
        <v>19656</v>
      </c>
      <c r="D110" s="371" t="s">
        <v>19341</v>
      </c>
      <c r="E110" s="372" t="s">
        <v>121</v>
      </c>
      <c r="F110" s="397" t="s">
        <v>20155</v>
      </c>
      <c r="G110" s="336">
        <v>45397</v>
      </c>
      <c r="H110" s="337">
        <v>57600</v>
      </c>
      <c r="I110" s="337"/>
      <c r="J110" s="338"/>
      <c r="K110" s="337"/>
      <c r="L110" s="339" t="s">
        <v>20525</v>
      </c>
      <c r="M110" s="318" t="s">
        <v>20526</v>
      </c>
      <c r="N110" s="379" t="s">
        <v>18248</v>
      </c>
      <c r="O110" s="380">
        <v>45401</v>
      </c>
      <c r="P110" s="381">
        <v>0</v>
      </c>
      <c r="Q110" s="340">
        <v>0</v>
      </c>
      <c r="R110" s="340">
        <v>0</v>
      </c>
      <c r="S110" s="341">
        <v>0</v>
      </c>
      <c r="T110" s="341">
        <v>0</v>
      </c>
      <c r="U110" s="341">
        <v>0</v>
      </c>
      <c r="V110" s="340">
        <v>0</v>
      </c>
      <c r="W110" s="340">
        <v>0</v>
      </c>
    </row>
    <row r="111" spans="1:23">
      <c r="A111" s="332">
        <v>32400</v>
      </c>
      <c r="B111" s="333">
        <v>81540</v>
      </c>
      <c r="C111" s="334" t="s">
        <v>17227</v>
      </c>
      <c r="D111" s="371" t="s">
        <v>19342</v>
      </c>
      <c r="E111" s="372" t="s">
        <v>122</v>
      </c>
      <c r="F111" s="389" t="s">
        <v>20155</v>
      </c>
      <c r="G111" s="336">
        <v>45397</v>
      </c>
      <c r="H111" s="337">
        <v>32400</v>
      </c>
      <c r="I111" s="337"/>
      <c r="J111" s="338"/>
      <c r="K111" s="337"/>
      <c r="L111" s="339" t="s">
        <v>20424</v>
      </c>
      <c r="M111" s="318" t="s">
        <v>20527</v>
      </c>
      <c r="N111" s="379" t="s">
        <v>17689</v>
      </c>
      <c r="O111" s="380">
        <v>45418</v>
      </c>
      <c r="P111" s="381">
        <v>0</v>
      </c>
      <c r="Q111" s="340">
        <v>0</v>
      </c>
      <c r="R111" s="340">
        <v>0</v>
      </c>
      <c r="S111" s="341">
        <v>0</v>
      </c>
      <c r="T111" s="341">
        <v>0</v>
      </c>
      <c r="U111" s="341">
        <v>0</v>
      </c>
      <c r="V111" s="340">
        <v>0</v>
      </c>
      <c r="W111" s="340">
        <v>0</v>
      </c>
    </row>
    <row r="112" spans="1:23">
      <c r="A112" s="332">
        <v>65616</v>
      </c>
      <c r="B112" s="333">
        <v>129175.67999999999</v>
      </c>
      <c r="C112" s="334" t="s">
        <v>19647</v>
      </c>
      <c r="D112" s="371" t="s">
        <v>19343</v>
      </c>
      <c r="E112" s="372" t="s">
        <v>123</v>
      </c>
      <c r="F112" s="397" t="s">
        <v>20155</v>
      </c>
      <c r="G112" s="336">
        <v>45398</v>
      </c>
      <c r="H112" s="337">
        <v>56016</v>
      </c>
      <c r="I112" s="337">
        <v>9600</v>
      </c>
      <c r="J112" s="338"/>
      <c r="K112" s="337"/>
      <c r="L112" s="339" t="s">
        <v>20430</v>
      </c>
      <c r="M112" s="318" t="s">
        <v>20528</v>
      </c>
      <c r="N112" s="379" t="s">
        <v>17949</v>
      </c>
      <c r="O112" s="380">
        <v>45435</v>
      </c>
      <c r="P112" s="381">
        <v>0</v>
      </c>
      <c r="Q112" s="340">
        <v>0</v>
      </c>
      <c r="R112" s="340">
        <v>0</v>
      </c>
      <c r="S112" s="341">
        <v>0</v>
      </c>
      <c r="T112" s="341">
        <v>0</v>
      </c>
      <c r="U112" s="341">
        <v>0</v>
      </c>
      <c r="V112" s="340">
        <v>0</v>
      </c>
      <c r="W112" s="340">
        <v>0</v>
      </c>
    </row>
    <row r="113" spans="1:23">
      <c r="A113" s="332">
        <v>19200</v>
      </c>
      <c r="B113" s="333">
        <v>41856</v>
      </c>
      <c r="C113" s="334" t="s">
        <v>19833</v>
      </c>
      <c r="D113" s="371" t="s">
        <v>19344</v>
      </c>
      <c r="E113" s="372" t="s">
        <v>124</v>
      </c>
      <c r="F113" s="389" t="s">
        <v>20155</v>
      </c>
      <c r="G113" s="336">
        <v>45398</v>
      </c>
      <c r="H113" s="337">
        <v>19200</v>
      </c>
      <c r="I113" s="337"/>
      <c r="J113" s="338"/>
      <c r="K113" s="337"/>
      <c r="L113" s="339" t="s">
        <v>20446</v>
      </c>
      <c r="M113" s="318" t="s">
        <v>20529</v>
      </c>
      <c r="N113" s="379" t="s">
        <v>18248</v>
      </c>
      <c r="O113" s="380">
        <v>45406</v>
      </c>
      <c r="P113" s="381">
        <v>0</v>
      </c>
      <c r="Q113" s="340">
        <v>0</v>
      </c>
      <c r="R113" s="340">
        <v>0</v>
      </c>
      <c r="S113" s="341">
        <v>0</v>
      </c>
      <c r="T113" s="341">
        <v>0</v>
      </c>
      <c r="U113" s="341">
        <v>0</v>
      </c>
      <c r="V113" s="340">
        <v>0</v>
      </c>
      <c r="W113" s="340">
        <v>0</v>
      </c>
    </row>
    <row r="114" spans="1:23">
      <c r="A114" s="332">
        <v>19200</v>
      </c>
      <c r="B114" s="333">
        <v>41856</v>
      </c>
      <c r="C114" s="334" t="s">
        <v>19833</v>
      </c>
      <c r="D114" s="371" t="s">
        <v>19345</v>
      </c>
      <c r="E114" s="372" t="s">
        <v>125</v>
      </c>
      <c r="F114" s="389" t="s">
        <v>20155</v>
      </c>
      <c r="G114" s="336">
        <v>45398</v>
      </c>
      <c r="H114" s="337">
        <v>19200</v>
      </c>
      <c r="I114" s="337"/>
      <c r="J114" s="338"/>
      <c r="K114" s="337"/>
      <c r="L114" s="339" t="s">
        <v>20446</v>
      </c>
      <c r="M114" s="318" t="s">
        <v>20530</v>
      </c>
      <c r="N114" s="379" t="s">
        <v>20373</v>
      </c>
      <c r="O114" s="380">
        <v>45406</v>
      </c>
      <c r="P114" s="381">
        <v>0</v>
      </c>
      <c r="Q114" s="340">
        <v>0</v>
      </c>
      <c r="R114" s="340">
        <v>0</v>
      </c>
      <c r="S114" s="341">
        <v>0</v>
      </c>
      <c r="T114" s="341">
        <v>0</v>
      </c>
      <c r="U114" s="341">
        <v>0</v>
      </c>
      <c r="V114" s="340">
        <v>0</v>
      </c>
      <c r="W114" s="340">
        <v>0</v>
      </c>
    </row>
    <row r="115" spans="1:23">
      <c r="A115" s="332">
        <v>21000</v>
      </c>
      <c r="B115" s="333">
        <v>44700</v>
      </c>
      <c r="C115" s="334" t="s">
        <v>19833</v>
      </c>
      <c r="D115" s="371" t="s">
        <v>19346</v>
      </c>
      <c r="E115" s="372" t="s">
        <v>126</v>
      </c>
      <c r="F115" s="389" t="s">
        <v>20155</v>
      </c>
      <c r="G115" s="336">
        <v>45398</v>
      </c>
      <c r="H115" s="337">
        <v>21000</v>
      </c>
      <c r="I115" s="337"/>
      <c r="J115" s="338"/>
      <c r="K115" s="337"/>
      <c r="L115" s="339" t="s">
        <v>20446</v>
      </c>
      <c r="M115" s="318" t="s">
        <v>20531</v>
      </c>
      <c r="N115" s="379" t="s">
        <v>17854</v>
      </c>
      <c r="O115" s="380">
        <v>45406</v>
      </c>
      <c r="P115" s="381">
        <v>0</v>
      </c>
      <c r="Q115" s="340">
        <v>0</v>
      </c>
      <c r="R115" s="340">
        <v>0</v>
      </c>
      <c r="S115" s="341">
        <v>0</v>
      </c>
      <c r="T115" s="341">
        <v>0</v>
      </c>
      <c r="U115" s="341">
        <v>0</v>
      </c>
      <c r="V115" s="340">
        <v>0</v>
      </c>
      <c r="W115" s="340">
        <v>0</v>
      </c>
    </row>
    <row r="116" spans="1:23">
      <c r="A116" s="332">
        <v>488250</v>
      </c>
      <c r="B116" s="333">
        <v>871395</v>
      </c>
      <c r="C116" s="334" t="s">
        <v>19833</v>
      </c>
      <c r="D116" s="371" t="s">
        <v>19347</v>
      </c>
      <c r="E116" s="372" t="s">
        <v>127</v>
      </c>
      <c r="F116" s="389" t="s">
        <v>20155</v>
      </c>
      <c r="G116" s="336">
        <v>45398</v>
      </c>
      <c r="H116" s="337">
        <v>173250</v>
      </c>
      <c r="I116" s="337">
        <v>15000</v>
      </c>
      <c r="J116" s="338">
        <v>300000</v>
      </c>
      <c r="K116" s="337"/>
      <c r="L116" s="339" t="s">
        <v>20446</v>
      </c>
      <c r="M116" s="318" t="s">
        <v>20532</v>
      </c>
      <c r="N116" s="379" t="s">
        <v>20321</v>
      </c>
      <c r="O116" s="380">
        <v>45411</v>
      </c>
      <c r="P116" s="381">
        <v>0</v>
      </c>
      <c r="Q116" s="340">
        <v>0</v>
      </c>
      <c r="R116" s="340">
        <v>0</v>
      </c>
      <c r="S116" s="341">
        <v>0</v>
      </c>
      <c r="T116" s="341">
        <v>0</v>
      </c>
      <c r="U116" s="341">
        <v>0</v>
      </c>
      <c r="V116" s="340">
        <v>0</v>
      </c>
      <c r="W116" s="340">
        <v>0</v>
      </c>
    </row>
    <row r="117" spans="1:23">
      <c r="A117" s="332">
        <v>40300</v>
      </c>
      <c r="B117" s="333">
        <v>110046.212575</v>
      </c>
      <c r="C117" s="334" t="s">
        <v>19659</v>
      </c>
      <c r="D117" s="371" t="s">
        <v>19348</v>
      </c>
      <c r="E117" s="372" t="s">
        <v>128</v>
      </c>
      <c r="F117" s="389" t="s">
        <v>20155</v>
      </c>
      <c r="G117" s="336">
        <v>45398</v>
      </c>
      <c r="H117" s="337">
        <v>40300</v>
      </c>
      <c r="I117" s="337"/>
      <c r="J117" s="338"/>
      <c r="K117" s="337"/>
      <c r="L117" s="339" t="s">
        <v>20398</v>
      </c>
      <c r="M117" s="318" t="s">
        <v>20533</v>
      </c>
      <c r="N117" s="379" t="s">
        <v>20161</v>
      </c>
      <c r="O117" s="380">
        <v>45404</v>
      </c>
      <c r="P117" s="381">
        <v>0</v>
      </c>
      <c r="Q117" s="340">
        <v>0</v>
      </c>
      <c r="R117" s="340">
        <v>0</v>
      </c>
      <c r="S117" s="341">
        <v>0</v>
      </c>
      <c r="T117" s="341">
        <v>0</v>
      </c>
      <c r="U117" s="341">
        <v>0</v>
      </c>
      <c r="V117" s="340">
        <v>0</v>
      </c>
      <c r="W117" s="340">
        <v>0</v>
      </c>
    </row>
    <row r="118" spans="1:23">
      <c r="A118" s="398">
        <v>134400</v>
      </c>
      <c r="B118" s="398">
        <v>301410.87690000003</v>
      </c>
      <c r="C118" s="334" t="s">
        <v>20534</v>
      </c>
      <c r="D118" s="371" t="s">
        <v>19349</v>
      </c>
      <c r="E118" s="372" t="s">
        <v>129</v>
      </c>
      <c r="F118" s="397" t="s">
        <v>20155</v>
      </c>
      <c r="G118" s="336">
        <v>45404</v>
      </c>
      <c r="H118" s="337">
        <v>134400</v>
      </c>
      <c r="I118" s="337"/>
      <c r="J118" s="338"/>
      <c r="K118" s="337"/>
      <c r="L118" s="339" t="s">
        <v>20408</v>
      </c>
      <c r="M118" s="318" t="s">
        <v>20535</v>
      </c>
      <c r="N118" s="379" t="s">
        <v>20321</v>
      </c>
      <c r="O118" s="380" t="s">
        <v>20374</v>
      </c>
      <c r="P118" s="381">
        <v>21566.590500000002</v>
      </c>
      <c r="Q118" s="340">
        <v>0.16046570312500003</v>
      </c>
      <c r="R118" s="340">
        <v>21566.590500000002</v>
      </c>
      <c r="S118" s="341">
        <v>0</v>
      </c>
      <c r="T118" s="341">
        <v>0</v>
      </c>
      <c r="U118" s="341">
        <v>0</v>
      </c>
      <c r="V118" s="340">
        <v>21566.590500000002</v>
      </c>
      <c r="W118" s="340">
        <v>0</v>
      </c>
    </row>
    <row r="119" spans="1:23">
      <c r="A119" s="332">
        <v>40800</v>
      </c>
      <c r="B119" s="333">
        <v>90351.1829</v>
      </c>
      <c r="C119" s="334" t="s">
        <v>20403</v>
      </c>
      <c r="D119" s="371" t="s">
        <v>19350</v>
      </c>
      <c r="E119" s="372" t="s">
        <v>130</v>
      </c>
      <c r="F119" s="389" t="s">
        <v>20155</v>
      </c>
      <c r="G119" s="336">
        <v>45405</v>
      </c>
      <c r="H119" s="337"/>
      <c r="I119" s="337">
        <v>40800</v>
      </c>
      <c r="J119" s="338"/>
      <c r="K119" s="337"/>
      <c r="L119" s="339" t="s">
        <v>18191</v>
      </c>
      <c r="M119" s="318" t="s">
        <v>20536</v>
      </c>
      <c r="N119" s="379" t="s">
        <v>18227</v>
      </c>
      <c r="O119" s="380">
        <v>45414</v>
      </c>
      <c r="P119" s="381">
        <v>11960.127500000001</v>
      </c>
      <c r="Q119" s="340">
        <v>0.29314037990196079</v>
      </c>
      <c r="R119" s="340">
        <v>0</v>
      </c>
      <c r="S119" s="341">
        <v>11960.127500000001</v>
      </c>
      <c r="T119" s="341">
        <v>0</v>
      </c>
      <c r="U119" s="341">
        <v>0</v>
      </c>
      <c r="V119" s="340">
        <v>11960.127500000001</v>
      </c>
      <c r="W119" s="340">
        <v>0</v>
      </c>
    </row>
    <row r="120" spans="1:23">
      <c r="A120" s="332">
        <v>26540</v>
      </c>
      <c r="B120" s="333">
        <v>53217.233</v>
      </c>
      <c r="C120" s="334" t="s">
        <v>17373</v>
      </c>
      <c r="D120" s="371" t="s">
        <v>19351</v>
      </c>
      <c r="E120" s="372" t="s">
        <v>131</v>
      </c>
      <c r="F120" s="397" t="s">
        <v>20155</v>
      </c>
      <c r="G120" s="336">
        <v>45405</v>
      </c>
      <c r="H120" s="337">
        <v>3000</v>
      </c>
      <c r="I120" s="337">
        <v>16800</v>
      </c>
      <c r="J120" s="338">
        <v>6240</v>
      </c>
      <c r="K120" s="337">
        <v>500</v>
      </c>
      <c r="L120" s="339" t="s">
        <v>20424</v>
      </c>
      <c r="M120" s="318" t="s">
        <v>20537</v>
      </c>
      <c r="N120" s="379" t="s">
        <v>20319</v>
      </c>
      <c r="O120" s="380">
        <v>45450</v>
      </c>
      <c r="P120" s="381">
        <v>0</v>
      </c>
      <c r="Q120" s="340">
        <v>0</v>
      </c>
      <c r="R120" s="340">
        <v>0</v>
      </c>
      <c r="S120" s="341">
        <v>0</v>
      </c>
      <c r="T120" s="341">
        <v>0</v>
      </c>
      <c r="U120" s="341">
        <v>0</v>
      </c>
      <c r="V120" s="340">
        <v>0</v>
      </c>
      <c r="W120" s="340">
        <v>0</v>
      </c>
    </row>
    <row r="121" spans="1:23">
      <c r="A121" s="332">
        <v>19184</v>
      </c>
      <c r="B121" s="333">
        <v>60252.800000000003</v>
      </c>
      <c r="C121" s="334" t="s">
        <v>17018</v>
      </c>
      <c r="D121" s="371" t="s">
        <v>19353</v>
      </c>
      <c r="E121" s="372" t="s">
        <v>132</v>
      </c>
      <c r="F121" s="389" t="s">
        <v>20155</v>
      </c>
      <c r="G121" s="336">
        <v>45407</v>
      </c>
      <c r="H121" s="337">
        <v>2880</v>
      </c>
      <c r="I121" s="337">
        <v>7584</v>
      </c>
      <c r="J121" s="338">
        <v>6000</v>
      </c>
      <c r="K121" s="337">
        <v>2720</v>
      </c>
      <c r="L121" s="339" t="s">
        <v>20405</v>
      </c>
      <c r="M121" s="318" t="s">
        <v>20538</v>
      </c>
      <c r="N121" s="379" t="s">
        <v>20368</v>
      </c>
      <c r="O121" s="380">
        <v>45415</v>
      </c>
      <c r="P121" s="381">
        <v>0</v>
      </c>
      <c r="Q121" s="340">
        <v>0</v>
      </c>
      <c r="R121" s="340">
        <v>0</v>
      </c>
      <c r="S121" s="341">
        <v>0</v>
      </c>
      <c r="T121" s="341">
        <v>0</v>
      </c>
      <c r="U121" s="341">
        <v>0</v>
      </c>
      <c r="V121" s="340">
        <v>0</v>
      </c>
      <c r="W121" s="340">
        <v>0</v>
      </c>
    </row>
    <row r="122" spans="1:23">
      <c r="A122" s="332">
        <v>20608</v>
      </c>
      <c r="B122" s="333">
        <v>89321.490730999998</v>
      </c>
      <c r="C122" s="334" t="s">
        <v>19653</v>
      </c>
      <c r="D122" s="371" t="s">
        <v>19354</v>
      </c>
      <c r="E122" s="372" t="s">
        <v>133</v>
      </c>
      <c r="F122" s="389" t="s">
        <v>20155</v>
      </c>
      <c r="G122" s="336">
        <v>45407</v>
      </c>
      <c r="H122" s="337">
        <v>5288</v>
      </c>
      <c r="I122" s="337">
        <v>15320</v>
      </c>
      <c r="J122" s="338"/>
      <c r="K122" s="337"/>
      <c r="L122" s="339" t="s">
        <v>20405</v>
      </c>
      <c r="M122" s="318" t="s">
        <v>20539</v>
      </c>
      <c r="N122" s="379" t="s">
        <v>20156</v>
      </c>
      <c r="O122" s="380">
        <v>45419</v>
      </c>
      <c r="P122" s="381">
        <v>0</v>
      </c>
      <c r="Q122" s="340">
        <v>0</v>
      </c>
      <c r="R122" s="340">
        <v>0</v>
      </c>
      <c r="S122" s="341">
        <v>0</v>
      </c>
      <c r="T122" s="341">
        <v>0</v>
      </c>
      <c r="U122" s="341">
        <v>0</v>
      </c>
      <c r="V122" s="340">
        <v>0</v>
      </c>
      <c r="W122" s="340">
        <v>0</v>
      </c>
    </row>
    <row r="123" spans="1:23">
      <c r="A123" s="332">
        <v>22008</v>
      </c>
      <c r="B123" s="333">
        <v>44622.48</v>
      </c>
      <c r="C123" s="334" t="s">
        <v>19656</v>
      </c>
      <c r="D123" s="371" t="s">
        <v>19355</v>
      </c>
      <c r="E123" s="372" t="s">
        <v>134</v>
      </c>
      <c r="F123" s="389" t="s">
        <v>20155</v>
      </c>
      <c r="G123" s="336">
        <v>45408</v>
      </c>
      <c r="H123" s="337">
        <v>22008</v>
      </c>
      <c r="I123" s="337"/>
      <c r="J123" s="338"/>
      <c r="K123" s="337"/>
      <c r="L123" s="339" t="s">
        <v>20540</v>
      </c>
      <c r="M123" s="318" t="s">
        <v>20541</v>
      </c>
      <c r="N123" s="379" t="s">
        <v>18094</v>
      </c>
      <c r="O123" s="380">
        <v>45415</v>
      </c>
      <c r="P123" s="381">
        <v>0</v>
      </c>
      <c r="Q123" s="340">
        <v>0</v>
      </c>
      <c r="R123" s="340">
        <v>0</v>
      </c>
      <c r="S123" s="341">
        <v>0</v>
      </c>
      <c r="T123" s="341">
        <v>0</v>
      </c>
      <c r="U123" s="341">
        <v>0</v>
      </c>
      <c r="V123" s="340">
        <v>0</v>
      </c>
      <c r="W123" s="340">
        <v>0</v>
      </c>
    </row>
    <row r="124" spans="1:23">
      <c r="A124" s="332">
        <v>44016</v>
      </c>
      <c r="B124" s="333">
        <v>88472.16</v>
      </c>
      <c r="C124" s="334" t="s">
        <v>19647</v>
      </c>
      <c r="D124" s="371" t="s">
        <v>19356</v>
      </c>
      <c r="E124" s="372" t="s">
        <v>135</v>
      </c>
      <c r="F124" s="389" t="s">
        <v>20155</v>
      </c>
      <c r="G124" s="336">
        <v>45408</v>
      </c>
      <c r="H124" s="337">
        <v>44016</v>
      </c>
      <c r="I124" s="337"/>
      <c r="J124" s="338"/>
      <c r="K124" s="337"/>
      <c r="L124" s="339" t="s">
        <v>20427</v>
      </c>
      <c r="M124" s="318" t="s">
        <v>20542</v>
      </c>
      <c r="N124" s="379" t="s">
        <v>17949</v>
      </c>
      <c r="O124" s="380">
        <v>45412</v>
      </c>
      <c r="P124" s="381">
        <v>0</v>
      </c>
      <c r="Q124" s="340">
        <v>0</v>
      </c>
      <c r="R124" s="340">
        <v>0</v>
      </c>
      <c r="S124" s="341">
        <v>0</v>
      </c>
      <c r="T124" s="341">
        <v>0</v>
      </c>
      <c r="U124" s="341">
        <v>0</v>
      </c>
      <c r="V124" s="340">
        <v>0</v>
      </c>
      <c r="W124" s="340">
        <v>0</v>
      </c>
    </row>
    <row r="125" spans="1:23">
      <c r="A125" s="332">
        <v>26000</v>
      </c>
      <c r="B125" s="333">
        <v>43430</v>
      </c>
      <c r="C125" s="334" t="s">
        <v>19833</v>
      </c>
      <c r="D125" s="371" t="s">
        <v>19357</v>
      </c>
      <c r="E125" s="372" t="s">
        <v>136</v>
      </c>
      <c r="F125" s="389" t="s">
        <v>20155</v>
      </c>
      <c r="G125" s="336">
        <v>45408</v>
      </c>
      <c r="H125" s="337"/>
      <c r="I125" s="337"/>
      <c r="J125" s="338">
        <v>26000</v>
      </c>
      <c r="K125" s="337"/>
      <c r="L125" s="339" t="s">
        <v>20446</v>
      </c>
      <c r="M125" s="318" t="s">
        <v>20543</v>
      </c>
      <c r="N125" s="379" t="s">
        <v>18227</v>
      </c>
      <c r="O125" s="380">
        <v>45412</v>
      </c>
      <c r="P125" s="381">
        <v>0</v>
      </c>
      <c r="Q125" s="340">
        <v>0</v>
      </c>
      <c r="R125" s="340">
        <v>0</v>
      </c>
      <c r="S125" s="341">
        <v>0</v>
      </c>
      <c r="T125" s="341">
        <v>0</v>
      </c>
      <c r="U125" s="341">
        <v>0</v>
      </c>
      <c r="V125" s="340">
        <v>0</v>
      </c>
      <c r="W125" s="340">
        <v>0</v>
      </c>
    </row>
    <row r="126" spans="1:23">
      <c r="A126" s="332">
        <v>43200</v>
      </c>
      <c r="B126" s="333">
        <v>87696</v>
      </c>
      <c r="C126" s="334" t="s">
        <v>19655</v>
      </c>
      <c r="D126" s="371" t="s">
        <v>19358</v>
      </c>
      <c r="E126" s="372" t="s">
        <v>137</v>
      </c>
      <c r="F126" s="389" t="s">
        <v>20155</v>
      </c>
      <c r="G126" s="336">
        <v>45408</v>
      </c>
      <c r="H126" s="337">
        <v>43200</v>
      </c>
      <c r="I126" s="337"/>
      <c r="J126" s="338"/>
      <c r="K126" s="337"/>
      <c r="L126" s="339" t="s">
        <v>18201</v>
      </c>
      <c r="M126" s="318" t="s">
        <v>20544</v>
      </c>
      <c r="N126" s="379" t="s">
        <v>20173</v>
      </c>
      <c r="O126" s="380">
        <v>45414</v>
      </c>
      <c r="P126" s="381">
        <v>0</v>
      </c>
      <c r="Q126" s="340">
        <v>0</v>
      </c>
      <c r="R126" s="340">
        <v>0</v>
      </c>
      <c r="S126" s="341">
        <v>0</v>
      </c>
      <c r="T126" s="341">
        <v>0</v>
      </c>
      <c r="U126" s="341">
        <v>0</v>
      </c>
      <c r="V126" s="340">
        <v>0</v>
      </c>
      <c r="W126" s="340">
        <v>0</v>
      </c>
    </row>
    <row r="127" spans="1:23">
      <c r="A127" s="332">
        <v>38400</v>
      </c>
      <c r="B127" s="333">
        <v>78720</v>
      </c>
      <c r="C127" s="334" t="s">
        <v>19656</v>
      </c>
      <c r="D127" s="371" t="s">
        <v>19359</v>
      </c>
      <c r="E127" s="372" t="s">
        <v>138</v>
      </c>
      <c r="F127" s="389" t="s">
        <v>20155</v>
      </c>
      <c r="G127" s="336">
        <v>45415</v>
      </c>
      <c r="H127" s="337">
        <v>38400</v>
      </c>
      <c r="I127" s="337"/>
      <c r="J127" s="338"/>
      <c r="K127" s="337"/>
      <c r="L127" s="339" t="s">
        <v>20398</v>
      </c>
      <c r="M127" s="318" t="s">
        <v>20545</v>
      </c>
      <c r="N127" s="379" t="s">
        <v>17965</v>
      </c>
      <c r="O127" s="380">
        <v>45421</v>
      </c>
      <c r="P127" s="381">
        <v>0</v>
      </c>
      <c r="Q127" s="340">
        <v>0</v>
      </c>
      <c r="R127" s="340">
        <v>0</v>
      </c>
      <c r="S127" s="341">
        <v>0</v>
      </c>
      <c r="T127" s="341">
        <v>0</v>
      </c>
      <c r="U127" s="341">
        <v>0</v>
      </c>
      <c r="V127" s="340">
        <v>0</v>
      </c>
      <c r="W127" s="340">
        <v>0</v>
      </c>
    </row>
    <row r="128" spans="1:23">
      <c r="A128" s="332">
        <v>26000</v>
      </c>
      <c r="B128" s="333">
        <v>43420</v>
      </c>
      <c r="C128" s="334" t="s">
        <v>19656</v>
      </c>
      <c r="D128" s="371" t="s">
        <v>19360</v>
      </c>
      <c r="E128" s="372" t="s">
        <v>139</v>
      </c>
      <c r="F128" s="397" t="s">
        <v>20155</v>
      </c>
      <c r="G128" s="336">
        <v>45415</v>
      </c>
      <c r="H128" s="337"/>
      <c r="I128" s="337"/>
      <c r="J128" s="338">
        <v>26000</v>
      </c>
      <c r="K128" s="337"/>
      <c r="L128" s="339" t="s">
        <v>20398</v>
      </c>
      <c r="M128" s="318" t="s">
        <v>20546</v>
      </c>
      <c r="N128" s="379" t="s">
        <v>20319</v>
      </c>
      <c r="O128" s="380">
        <v>45420</v>
      </c>
      <c r="P128" s="381">
        <v>0</v>
      </c>
      <c r="Q128" s="340">
        <v>0</v>
      </c>
      <c r="R128" s="340">
        <v>0</v>
      </c>
      <c r="S128" s="341">
        <v>0</v>
      </c>
      <c r="T128" s="341">
        <v>0</v>
      </c>
      <c r="U128" s="341">
        <v>0</v>
      </c>
      <c r="V128" s="340">
        <v>0</v>
      </c>
      <c r="W128" s="340">
        <v>0</v>
      </c>
    </row>
    <row r="129" spans="1:23">
      <c r="A129" s="332">
        <v>19200</v>
      </c>
      <c r="B129" s="333">
        <v>38976</v>
      </c>
      <c r="C129" s="334" t="s">
        <v>19655</v>
      </c>
      <c r="D129" s="371" t="s">
        <v>19361</v>
      </c>
      <c r="E129" s="372" t="s">
        <v>140</v>
      </c>
      <c r="F129" s="389" t="s">
        <v>20155</v>
      </c>
      <c r="G129" s="336">
        <v>45415</v>
      </c>
      <c r="H129" s="337">
        <v>19200</v>
      </c>
      <c r="I129" s="337"/>
      <c r="J129" s="338"/>
      <c r="K129" s="337"/>
      <c r="L129" s="339" t="s">
        <v>18201</v>
      </c>
      <c r="M129" s="318" t="s">
        <v>20547</v>
      </c>
      <c r="N129" s="379" t="s">
        <v>18248</v>
      </c>
      <c r="O129" s="380">
        <v>45427</v>
      </c>
      <c r="P129" s="381">
        <v>0</v>
      </c>
      <c r="Q129" s="340">
        <v>0</v>
      </c>
      <c r="R129" s="340">
        <v>0</v>
      </c>
      <c r="S129" s="341">
        <v>0</v>
      </c>
      <c r="T129" s="341">
        <v>0</v>
      </c>
      <c r="U129" s="341">
        <v>0</v>
      </c>
      <c r="V129" s="340">
        <v>0</v>
      </c>
      <c r="W129" s="340">
        <v>0</v>
      </c>
    </row>
    <row r="130" spans="1:23">
      <c r="A130" s="332">
        <v>138624</v>
      </c>
      <c r="B130" s="333">
        <v>264108.86275199999</v>
      </c>
      <c r="C130" s="334" t="s">
        <v>19804</v>
      </c>
      <c r="D130" s="371" t="s">
        <v>19362</v>
      </c>
      <c r="E130" s="372" t="s">
        <v>141</v>
      </c>
      <c r="F130" s="389" t="s">
        <v>20155</v>
      </c>
      <c r="G130" s="336">
        <v>45419</v>
      </c>
      <c r="H130" s="337"/>
      <c r="I130" s="337">
        <v>66240</v>
      </c>
      <c r="J130" s="338">
        <v>72384</v>
      </c>
      <c r="K130" s="337"/>
      <c r="L130" s="339" t="s">
        <v>20424</v>
      </c>
      <c r="M130" s="318" t="s">
        <v>20548</v>
      </c>
      <c r="N130" s="379" t="s">
        <v>20173</v>
      </c>
      <c r="O130" s="380">
        <v>45429</v>
      </c>
      <c r="P130" s="381">
        <v>0</v>
      </c>
      <c r="Q130" s="340">
        <v>0</v>
      </c>
      <c r="R130" s="340">
        <v>0</v>
      </c>
      <c r="S130" s="341">
        <v>0</v>
      </c>
      <c r="T130" s="341">
        <v>0</v>
      </c>
      <c r="U130" s="341">
        <v>0</v>
      </c>
      <c r="V130" s="340">
        <v>0</v>
      </c>
      <c r="W130" s="340">
        <v>0</v>
      </c>
    </row>
    <row r="131" spans="1:23">
      <c r="A131" s="332">
        <v>109800</v>
      </c>
      <c r="B131" s="333">
        <v>191394</v>
      </c>
      <c r="C131" s="334" t="s">
        <v>19647</v>
      </c>
      <c r="D131" s="371" t="s">
        <v>19363</v>
      </c>
      <c r="E131" s="372" t="s">
        <v>142</v>
      </c>
      <c r="F131" s="389" t="s">
        <v>20155</v>
      </c>
      <c r="G131" s="336">
        <v>45419</v>
      </c>
      <c r="H131" s="337">
        <v>3600</v>
      </c>
      <c r="I131" s="337">
        <v>22200</v>
      </c>
      <c r="J131" s="338">
        <v>84000</v>
      </c>
      <c r="K131" s="337"/>
      <c r="L131" s="339" t="s">
        <v>20405</v>
      </c>
      <c r="M131" s="318" t="s">
        <v>20549</v>
      </c>
      <c r="N131" s="379" t="s">
        <v>17771</v>
      </c>
      <c r="O131" s="380">
        <v>45425</v>
      </c>
      <c r="P131" s="381">
        <v>0</v>
      </c>
      <c r="Q131" s="340">
        <v>0</v>
      </c>
      <c r="R131" s="340">
        <v>0</v>
      </c>
      <c r="S131" s="341">
        <v>0</v>
      </c>
      <c r="T131" s="341">
        <v>0</v>
      </c>
      <c r="U131" s="341">
        <v>0</v>
      </c>
      <c r="V131" s="340">
        <v>0</v>
      </c>
      <c r="W131" s="340">
        <v>0</v>
      </c>
    </row>
    <row r="132" spans="1:23">
      <c r="A132" s="332">
        <v>88000</v>
      </c>
      <c r="B132" s="333">
        <v>391653.68075</v>
      </c>
      <c r="C132" s="334" t="s">
        <v>20484</v>
      </c>
      <c r="D132" s="371" t="s">
        <v>19364</v>
      </c>
      <c r="E132" s="372" t="s">
        <v>143</v>
      </c>
      <c r="F132" s="389" t="s">
        <v>20155</v>
      </c>
      <c r="G132" s="336">
        <v>45419</v>
      </c>
      <c r="H132" s="337"/>
      <c r="I132" s="337">
        <v>62000</v>
      </c>
      <c r="J132" s="338">
        <v>26000</v>
      </c>
      <c r="K132" s="337"/>
      <c r="L132" s="339" t="s">
        <v>20424</v>
      </c>
      <c r="M132" s="318" t="s">
        <v>20550</v>
      </c>
      <c r="N132" s="379" t="s">
        <v>17939</v>
      </c>
      <c r="O132" s="380">
        <v>45425</v>
      </c>
      <c r="P132" s="381">
        <v>0</v>
      </c>
      <c r="Q132" s="340">
        <v>0</v>
      </c>
      <c r="R132" s="340">
        <v>0</v>
      </c>
      <c r="S132" s="341">
        <v>0</v>
      </c>
      <c r="T132" s="341">
        <v>0</v>
      </c>
      <c r="U132" s="341">
        <v>0</v>
      </c>
      <c r="V132" s="340">
        <v>0</v>
      </c>
      <c r="W132" s="340">
        <v>0</v>
      </c>
    </row>
    <row r="133" spans="1:23">
      <c r="A133" s="332">
        <v>19200</v>
      </c>
      <c r="B133" s="333">
        <v>45425.412900000003</v>
      </c>
      <c r="C133" s="334" t="s">
        <v>17277</v>
      </c>
      <c r="D133" s="371" t="s">
        <v>19365</v>
      </c>
      <c r="E133" s="372" t="s">
        <v>144</v>
      </c>
      <c r="F133" s="389" t="s">
        <v>20155</v>
      </c>
      <c r="G133" s="336">
        <v>45420</v>
      </c>
      <c r="H133" s="337">
        <v>19200</v>
      </c>
      <c r="I133" s="337"/>
      <c r="J133" s="338"/>
      <c r="K133" s="337"/>
      <c r="L133" s="339" t="s">
        <v>20424</v>
      </c>
      <c r="M133" s="318" t="s">
        <v>20551</v>
      </c>
      <c r="N133" s="379" t="s">
        <v>20297</v>
      </c>
      <c r="O133" s="380">
        <v>45426</v>
      </c>
      <c r="P133" s="381">
        <v>5233.3424999999997</v>
      </c>
      <c r="Q133" s="340">
        <v>0.27256992187500001</v>
      </c>
      <c r="R133" s="340">
        <v>5233.3424999999997</v>
      </c>
      <c r="S133" s="341">
        <v>0</v>
      </c>
      <c r="T133" s="341">
        <v>0</v>
      </c>
      <c r="U133" s="341">
        <v>0</v>
      </c>
      <c r="V133" s="340">
        <v>5233.3424999999997</v>
      </c>
      <c r="W133" s="340">
        <v>0</v>
      </c>
    </row>
    <row r="134" spans="1:23">
      <c r="A134" s="332">
        <v>40800</v>
      </c>
      <c r="B134" s="333">
        <v>91701.665999999997</v>
      </c>
      <c r="C134" s="334" t="s">
        <v>20403</v>
      </c>
      <c r="D134" s="371" t="s">
        <v>19366</v>
      </c>
      <c r="E134" s="372" t="s">
        <v>145</v>
      </c>
      <c r="F134" s="389" t="s">
        <v>20155</v>
      </c>
      <c r="G134" s="336">
        <v>45420</v>
      </c>
      <c r="H134" s="337"/>
      <c r="I134" s="337">
        <v>40800</v>
      </c>
      <c r="J134" s="338"/>
      <c r="K134" s="337"/>
      <c r="L134" s="339" t="s">
        <v>18191</v>
      </c>
      <c r="M134" s="318" t="s">
        <v>20552</v>
      </c>
      <c r="N134" s="379" t="s">
        <v>18227</v>
      </c>
      <c r="O134" s="380">
        <v>45426</v>
      </c>
      <c r="P134" s="381">
        <v>12492.494999999999</v>
      </c>
      <c r="Q134" s="340">
        <v>0.30618860294117645</v>
      </c>
      <c r="R134" s="340">
        <v>0</v>
      </c>
      <c r="S134" s="341">
        <v>12492.494999999999</v>
      </c>
      <c r="T134" s="341">
        <v>0</v>
      </c>
      <c r="U134" s="341">
        <v>0</v>
      </c>
      <c r="V134" s="340">
        <v>12492.494999999999</v>
      </c>
      <c r="W134" s="340">
        <v>0</v>
      </c>
    </row>
    <row r="135" spans="1:23">
      <c r="A135" s="332">
        <v>21531</v>
      </c>
      <c r="B135" s="333">
        <v>90753.731315000012</v>
      </c>
      <c r="C135" s="334" t="s">
        <v>17305</v>
      </c>
      <c r="D135" s="371" t="s">
        <v>19367</v>
      </c>
      <c r="E135" s="372" t="s">
        <v>146</v>
      </c>
      <c r="F135" s="397" t="s">
        <v>20155</v>
      </c>
      <c r="G135" s="336">
        <v>45420</v>
      </c>
      <c r="H135" s="337"/>
      <c r="I135" s="337">
        <v>15231</v>
      </c>
      <c r="J135" s="338"/>
      <c r="K135" s="337">
        <v>6300</v>
      </c>
      <c r="L135" s="339" t="s">
        <v>20553</v>
      </c>
      <c r="M135" s="318" t="s">
        <v>20554</v>
      </c>
      <c r="N135" s="379" t="s">
        <v>17954</v>
      </c>
      <c r="O135" s="380">
        <v>45429</v>
      </c>
      <c r="P135" s="381">
        <v>11653.755000000001</v>
      </c>
      <c r="Q135" s="340">
        <v>0.54125470252194519</v>
      </c>
      <c r="R135" s="340">
        <v>0</v>
      </c>
      <c r="S135" s="341">
        <v>8243.8503741117474</v>
      </c>
      <c r="T135" s="341">
        <v>0</v>
      </c>
      <c r="U135" s="341">
        <v>3409.9046258882545</v>
      </c>
      <c r="V135" s="340">
        <v>11653.755000000001</v>
      </c>
      <c r="W135" s="340">
        <v>0</v>
      </c>
    </row>
    <row r="136" spans="1:23">
      <c r="A136" s="332">
        <v>40300</v>
      </c>
      <c r="B136" s="333">
        <v>114897.25455</v>
      </c>
      <c r="C136" s="334" t="s">
        <v>19659</v>
      </c>
      <c r="D136" s="371" t="s">
        <v>19368</v>
      </c>
      <c r="E136" s="372" t="s">
        <v>147</v>
      </c>
      <c r="F136" s="397" t="s">
        <v>20155</v>
      </c>
      <c r="G136" s="336">
        <v>45420</v>
      </c>
      <c r="H136" s="337">
        <v>40300</v>
      </c>
      <c r="I136" s="337"/>
      <c r="J136" s="338"/>
      <c r="K136" s="337"/>
      <c r="L136" s="339" t="s">
        <v>20540</v>
      </c>
      <c r="M136" s="318" t="s">
        <v>20555</v>
      </c>
      <c r="N136" s="379" t="s">
        <v>20161</v>
      </c>
      <c r="O136" s="380">
        <v>45435</v>
      </c>
      <c r="P136" s="381">
        <v>0</v>
      </c>
      <c r="Q136" s="340">
        <v>0</v>
      </c>
      <c r="R136" s="340">
        <v>0</v>
      </c>
      <c r="S136" s="341">
        <v>0</v>
      </c>
      <c r="T136" s="341">
        <v>0</v>
      </c>
      <c r="U136" s="341">
        <v>0</v>
      </c>
      <c r="V136" s="340">
        <v>0</v>
      </c>
      <c r="W136" s="340">
        <v>0</v>
      </c>
    </row>
    <row r="137" spans="1:23">
      <c r="A137" s="332">
        <v>20150</v>
      </c>
      <c r="B137" s="333">
        <v>49978.518524999999</v>
      </c>
      <c r="C137" s="334" t="s">
        <v>19659</v>
      </c>
      <c r="D137" s="371" t="s">
        <v>19369</v>
      </c>
      <c r="E137" s="372" t="s">
        <v>148</v>
      </c>
      <c r="F137" s="389" t="s">
        <v>20155</v>
      </c>
      <c r="G137" s="336">
        <v>45420</v>
      </c>
      <c r="H137" s="337">
        <v>20150</v>
      </c>
      <c r="I137" s="337"/>
      <c r="J137" s="338"/>
      <c r="K137" s="337"/>
      <c r="L137" s="339" t="s">
        <v>20525</v>
      </c>
      <c r="M137" s="318" t="s">
        <v>20556</v>
      </c>
      <c r="N137" s="379" t="s">
        <v>20161</v>
      </c>
      <c r="O137" s="380">
        <v>45422</v>
      </c>
      <c r="P137" s="381">
        <v>0</v>
      </c>
      <c r="Q137" s="340">
        <v>0</v>
      </c>
      <c r="R137" s="340">
        <v>0</v>
      </c>
      <c r="S137" s="341">
        <v>0</v>
      </c>
      <c r="T137" s="341">
        <v>0</v>
      </c>
      <c r="U137" s="341">
        <v>0</v>
      </c>
      <c r="V137" s="340">
        <v>0</v>
      </c>
      <c r="W137" s="340">
        <v>0</v>
      </c>
    </row>
    <row r="138" spans="1:23">
      <c r="A138" s="332">
        <v>23971</v>
      </c>
      <c r="B138" s="333">
        <v>74603.482358000008</v>
      </c>
      <c r="C138" s="334" t="s">
        <v>19779</v>
      </c>
      <c r="D138" s="371" t="s">
        <v>19370</v>
      </c>
      <c r="E138" s="372" t="s">
        <v>149</v>
      </c>
      <c r="F138" s="397" t="s">
        <v>20155</v>
      </c>
      <c r="G138" s="336">
        <v>45420</v>
      </c>
      <c r="H138" s="337"/>
      <c r="I138" s="337">
        <v>23971</v>
      </c>
      <c r="J138" s="338"/>
      <c r="K138" s="337"/>
      <c r="L138" s="339" t="s">
        <v>19779</v>
      </c>
      <c r="M138" s="318" t="s">
        <v>20557</v>
      </c>
      <c r="N138" s="379" t="s">
        <v>17954</v>
      </c>
      <c r="O138" s="380">
        <v>45429</v>
      </c>
      <c r="P138" s="381">
        <v>14360.74</v>
      </c>
      <c r="Q138" s="340">
        <v>0.59908806474490006</v>
      </c>
      <c r="R138" s="340">
        <v>0</v>
      </c>
      <c r="S138" s="341">
        <v>14360.74</v>
      </c>
      <c r="T138" s="341">
        <v>0</v>
      </c>
      <c r="U138" s="341">
        <v>0</v>
      </c>
      <c r="V138" s="340">
        <v>14360.74</v>
      </c>
      <c r="W138" s="340">
        <v>0</v>
      </c>
    </row>
    <row r="139" spans="1:23">
      <c r="A139" s="332">
        <v>40500</v>
      </c>
      <c r="B139" s="333">
        <v>86540.534249999997</v>
      </c>
      <c r="C139" s="334" t="s">
        <v>19852</v>
      </c>
      <c r="D139" s="371" t="s">
        <v>19371</v>
      </c>
      <c r="E139" s="372" t="s">
        <v>150</v>
      </c>
      <c r="F139" s="397" t="s">
        <v>20155</v>
      </c>
      <c r="G139" s="336">
        <v>45421</v>
      </c>
      <c r="H139" s="337">
        <v>40500</v>
      </c>
      <c r="I139" s="337"/>
      <c r="J139" s="338"/>
      <c r="K139" s="337"/>
      <c r="L139" s="339" t="s">
        <v>20540</v>
      </c>
      <c r="M139" s="318" t="s">
        <v>20558</v>
      </c>
      <c r="N139" s="379" t="s">
        <v>20375</v>
      </c>
      <c r="O139" s="380">
        <v>45436</v>
      </c>
      <c r="P139" s="381">
        <v>5747.9549999999999</v>
      </c>
      <c r="Q139" s="340">
        <v>0.14192481481481481</v>
      </c>
      <c r="R139" s="340">
        <v>5747.9549999999999</v>
      </c>
      <c r="S139" s="341">
        <v>0</v>
      </c>
      <c r="T139" s="341">
        <v>0</v>
      </c>
      <c r="U139" s="341">
        <v>0</v>
      </c>
      <c r="V139" s="340">
        <v>5747.9549999999999</v>
      </c>
      <c r="W139" s="340">
        <v>0</v>
      </c>
    </row>
    <row r="140" spans="1:23">
      <c r="A140" s="332">
        <v>20496</v>
      </c>
      <c r="B140" s="333">
        <v>57405.196800000005</v>
      </c>
      <c r="C140" s="334" t="s">
        <v>19843</v>
      </c>
      <c r="D140" s="371" t="s">
        <v>19372</v>
      </c>
      <c r="E140" s="372" t="s">
        <v>151</v>
      </c>
      <c r="F140" s="389" t="s">
        <v>20155</v>
      </c>
      <c r="G140" s="336">
        <v>45421</v>
      </c>
      <c r="H140" s="337"/>
      <c r="I140" s="337">
        <v>20496</v>
      </c>
      <c r="J140" s="338"/>
      <c r="K140" s="337"/>
      <c r="L140" s="339" t="s">
        <v>20427</v>
      </c>
      <c r="M140" s="318" t="s">
        <v>20559</v>
      </c>
      <c r="N140" s="379" t="s">
        <v>17939</v>
      </c>
      <c r="O140" s="380">
        <v>45432</v>
      </c>
      <c r="P140" s="381">
        <v>0</v>
      </c>
      <c r="Q140" s="340">
        <v>0</v>
      </c>
      <c r="R140" s="340">
        <v>0</v>
      </c>
      <c r="S140" s="341">
        <v>0</v>
      </c>
      <c r="T140" s="341">
        <v>0</v>
      </c>
      <c r="U140" s="341">
        <v>0</v>
      </c>
      <c r="V140" s="340">
        <v>0</v>
      </c>
      <c r="W140" s="340">
        <v>0</v>
      </c>
    </row>
    <row r="141" spans="1:23">
      <c r="A141" s="332">
        <v>20506</v>
      </c>
      <c r="B141" s="333">
        <v>57432.084480000005</v>
      </c>
      <c r="C141" s="334" t="s">
        <v>19843</v>
      </c>
      <c r="D141" s="371" t="s">
        <v>19373</v>
      </c>
      <c r="E141" s="372" t="s">
        <v>152</v>
      </c>
      <c r="F141" s="389" t="s">
        <v>20155</v>
      </c>
      <c r="G141" s="336">
        <v>45421</v>
      </c>
      <c r="H141" s="337"/>
      <c r="I141" s="337">
        <v>20506</v>
      </c>
      <c r="J141" s="338"/>
      <c r="K141" s="337"/>
      <c r="L141" s="339" t="s">
        <v>20427</v>
      </c>
      <c r="M141" s="318" t="s">
        <v>20560</v>
      </c>
      <c r="N141" s="379" t="s">
        <v>17939</v>
      </c>
      <c r="O141" s="380">
        <v>45432</v>
      </c>
      <c r="P141" s="381">
        <v>0</v>
      </c>
      <c r="Q141" s="340">
        <v>0</v>
      </c>
      <c r="R141" s="340">
        <v>0</v>
      </c>
      <c r="S141" s="341">
        <v>0</v>
      </c>
      <c r="T141" s="341">
        <v>0</v>
      </c>
      <c r="U141" s="341">
        <v>0</v>
      </c>
      <c r="V141" s="340">
        <v>0</v>
      </c>
      <c r="W141" s="340">
        <v>0</v>
      </c>
    </row>
    <row r="142" spans="1:23">
      <c r="A142" s="332">
        <v>56100</v>
      </c>
      <c r="B142" s="333">
        <v>110064</v>
      </c>
      <c r="C142" s="334" t="s">
        <v>19655</v>
      </c>
      <c r="D142" s="371" t="s">
        <v>19374</v>
      </c>
      <c r="E142" s="372" t="s">
        <v>153</v>
      </c>
      <c r="F142" s="389" t="s">
        <v>20155</v>
      </c>
      <c r="G142" s="336">
        <v>45421</v>
      </c>
      <c r="H142" s="337">
        <v>36000</v>
      </c>
      <c r="I142" s="337">
        <v>20100</v>
      </c>
      <c r="J142" s="338"/>
      <c r="K142" s="337"/>
      <c r="L142" s="339" t="s">
        <v>18201</v>
      </c>
      <c r="M142" s="318" t="s">
        <v>20561</v>
      </c>
      <c r="N142" s="379" t="s">
        <v>18248</v>
      </c>
      <c r="O142" s="380">
        <v>45427</v>
      </c>
      <c r="P142" s="381">
        <v>0</v>
      </c>
      <c r="Q142" s="340">
        <v>0</v>
      </c>
      <c r="R142" s="340">
        <v>0</v>
      </c>
      <c r="S142" s="341">
        <v>0</v>
      </c>
      <c r="T142" s="341">
        <v>0</v>
      </c>
      <c r="U142" s="341">
        <v>0</v>
      </c>
      <c r="V142" s="340">
        <v>0</v>
      </c>
      <c r="W142" s="340">
        <v>0</v>
      </c>
    </row>
    <row r="143" spans="1:23">
      <c r="A143" s="332">
        <v>56100</v>
      </c>
      <c r="B143" s="333">
        <v>110064</v>
      </c>
      <c r="C143" s="334" t="s">
        <v>19655</v>
      </c>
      <c r="D143" s="371" t="s">
        <v>19375</v>
      </c>
      <c r="E143" s="372" t="s">
        <v>154</v>
      </c>
      <c r="F143" s="389" t="s">
        <v>20155</v>
      </c>
      <c r="G143" s="336">
        <v>45421</v>
      </c>
      <c r="H143" s="337">
        <v>36000</v>
      </c>
      <c r="I143" s="337">
        <v>20100</v>
      </c>
      <c r="J143" s="338"/>
      <c r="K143" s="337"/>
      <c r="L143" s="339" t="s">
        <v>18201</v>
      </c>
      <c r="M143" s="318" t="s">
        <v>20562</v>
      </c>
      <c r="N143" s="379" t="s">
        <v>18248</v>
      </c>
      <c r="O143" s="380">
        <v>45427</v>
      </c>
      <c r="P143" s="381">
        <v>0</v>
      </c>
      <c r="Q143" s="340">
        <v>0</v>
      </c>
      <c r="R143" s="340">
        <v>0</v>
      </c>
      <c r="S143" s="341">
        <v>0</v>
      </c>
      <c r="T143" s="341">
        <v>0</v>
      </c>
      <c r="U143" s="341">
        <v>0</v>
      </c>
      <c r="V143" s="340">
        <v>0</v>
      </c>
      <c r="W143" s="340">
        <v>0</v>
      </c>
    </row>
    <row r="144" spans="1:23">
      <c r="A144" s="332">
        <v>239282</v>
      </c>
      <c r="B144" s="333">
        <v>478039.32</v>
      </c>
      <c r="C144" s="334" t="s">
        <v>19656</v>
      </c>
      <c r="D144" s="371" t="s">
        <v>19376</v>
      </c>
      <c r="E144" s="372" t="s">
        <v>155</v>
      </c>
      <c r="F144" s="389" t="s">
        <v>20155</v>
      </c>
      <c r="G144" s="336">
        <v>45422</v>
      </c>
      <c r="H144" s="337">
        <v>195182</v>
      </c>
      <c r="I144" s="337">
        <v>44100</v>
      </c>
      <c r="J144" s="338"/>
      <c r="K144" s="337"/>
      <c r="L144" s="339" t="s">
        <v>20405</v>
      </c>
      <c r="M144" s="318" t="s">
        <v>20563</v>
      </c>
      <c r="N144" s="379" t="s">
        <v>17949</v>
      </c>
      <c r="O144" s="380">
        <v>45433</v>
      </c>
      <c r="P144" s="381">
        <v>0</v>
      </c>
      <c r="Q144" s="340">
        <v>0</v>
      </c>
      <c r="R144" s="340">
        <v>0</v>
      </c>
      <c r="S144" s="341">
        <v>0</v>
      </c>
      <c r="T144" s="341">
        <v>0</v>
      </c>
      <c r="U144" s="341">
        <v>0</v>
      </c>
      <c r="V144" s="340">
        <v>0</v>
      </c>
      <c r="W144" s="340">
        <v>0</v>
      </c>
    </row>
    <row r="145" spans="1:23">
      <c r="A145" s="332">
        <v>20032</v>
      </c>
      <c r="B145" s="333">
        <v>43205.440000000002</v>
      </c>
      <c r="C145" s="334" t="s">
        <v>19656</v>
      </c>
      <c r="D145" s="371" t="s">
        <v>19377</v>
      </c>
      <c r="E145" s="372" t="s">
        <v>156</v>
      </c>
      <c r="F145" s="389" t="s">
        <v>20155</v>
      </c>
      <c r="G145" s="336">
        <v>45422</v>
      </c>
      <c r="H145" s="337"/>
      <c r="I145" s="337">
        <v>19032</v>
      </c>
      <c r="J145" s="338"/>
      <c r="K145" s="337">
        <v>1000</v>
      </c>
      <c r="L145" s="339" t="s">
        <v>20564</v>
      </c>
      <c r="M145" s="318" t="s">
        <v>20565</v>
      </c>
      <c r="N145" s="379" t="s">
        <v>20376</v>
      </c>
      <c r="O145" s="380">
        <v>45429</v>
      </c>
      <c r="P145" s="381">
        <v>0</v>
      </c>
      <c r="Q145" s="340">
        <v>0</v>
      </c>
      <c r="R145" s="340">
        <v>0</v>
      </c>
      <c r="S145" s="341">
        <v>0</v>
      </c>
      <c r="T145" s="341">
        <v>0</v>
      </c>
      <c r="U145" s="341">
        <v>0</v>
      </c>
      <c r="V145" s="340">
        <v>0</v>
      </c>
      <c r="W145" s="340">
        <v>0</v>
      </c>
    </row>
    <row r="146" spans="1:23">
      <c r="A146" s="332">
        <v>60020</v>
      </c>
      <c r="B146" s="333">
        <v>131439.20000000001</v>
      </c>
      <c r="C146" s="334" t="s">
        <v>19656</v>
      </c>
      <c r="D146" s="371" t="s">
        <v>19378</v>
      </c>
      <c r="E146" s="372" t="s">
        <v>157</v>
      </c>
      <c r="F146" s="389" t="s">
        <v>20155</v>
      </c>
      <c r="G146" s="336">
        <v>45422</v>
      </c>
      <c r="H146" s="337"/>
      <c r="I146" s="337">
        <v>58020</v>
      </c>
      <c r="J146" s="338"/>
      <c r="K146" s="337">
        <v>2000</v>
      </c>
      <c r="L146" s="339" t="s">
        <v>20424</v>
      </c>
      <c r="M146" s="318" t="s">
        <v>20566</v>
      </c>
      <c r="N146" s="379" t="s">
        <v>17777</v>
      </c>
      <c r="O146" s="380">
        <v>45428</v>
      </c>
      <c r="P146" s="381">
        <v>0</v>
      </c>
      <c r="Q146" s="340">
        <v>0</v>
      </c>
      <c r="R146" s="340">
        <v>0</v>
      </c>
      <c r="S146" s="341">
        <v>0</v>
      </c>
      <c r="T146" s="341">
        <v>0</v>
      </c>
      <c r="U146" s="341">
        <v>0</v>
      </c>
      <c r="V146" s="340">
        <v>0</v>
      </c>
      <c r="W146" s="340">
        <v>0</v>
      </c>
    </row>
    <row r="147" spans="1:23">
      <c r="A147" s="332">
        <v>20750</v>
      </c>
      <c r="B147" s="333">
        <v>39632.5</v>
      </c>
      <c r="C147" s="334" t="s">
        <v>19655</v>
      </c>
      <c r="D147" s="371" t="s">
        <v>19379</v>
      </c>
      <c r="E147" s="372" t="s">
        <v>158</v>
      </c>
      <c r="F147" s="389" t="s">
        <v>20155</v>
      </c>
      <c r="G147" s="336">
        <v>45426</v>
      </c>
      <c r="H147" s="337">
        <v>20750</v>
      </c>
      <c r="I147" s="337"/>
      <c r="J147" s="338"/>
      <c r="K147" s="337"/>
      <c r="L147" s="339" t="s">
        <v>18201</v>
      </c>
      <c r="M147" s="318" t="s">
        <v>20567</v>
      </c>
      <c r="N147" s="379" t="s">
        <v>17693</v>
      </c>
      <c r="O147" s="380">
        <v>45429</v>
      </c>
      <c r="P147" s="381">
        <v>0</v>
      </c>
      <c r="Q147" s="340">
        <v>0</v>
      </c>
      <c r="R147" s="340">
        <v>0</v>
      </c>
      <c r="S147" s="341">
        <v>0</v>
      </c>
      <c r="T147" s="341">
        <v>0</v>
      </c>
      <c r="U147" s="341">
        <v>0</v>
      </c>
      <c r="V147" s="340">
        <v>0</v>
      </c>
      <c r="W147" s="340">
        <v>0</v>
      </c>
    </row>
    <row r="148" spans="1:23">
      <c r="A148" s="332">
        <v>96000</v>
      </c>
      <c r="B148" s="333">
        <v>194880</v>
      </c>
      <c r="C148" s="334" t="s">
        <v>19833</v>
      </c>
      <c r="D148" s="371" t="s">
        <v>19380</v>
      </c>
      <c r="E148" s="372" t="s">
        <v>159</v>
      </c>
      <c r="F148" s="389" t="s">
        <v>20155</v>
      </c>
      <c r="G148" s="336">
        <v>45426</v>
      </c>
      <c r="H148" s="337">
        <v>96000</v>
      </c>
      <c r="I148" s="337"/>
      <c r="J148" s="338"/>
      <c r="K148" s="337"/>
      <c r="L148" s="339" t="s">
        <v>20568</v>
      </c>
      <c r="M148" s="318" t="s">
        <v>20569</v>
      </c>
      <c r="N148" s="379" t="s">
        <v>20321</v>
      </c>
      <c r="O148" s="380">
        <v>45434</v>
      </c>
      <c r="P148" s="381">
        <v>0</v>
      </c>
      <c r="Q148" s="340">
        <v>0</v>
      </c>
      <c r="R148" s="340">
        <v>0</v>
      </c>
      <c r="S148" s="341">
        <v>0</v>
      </c>
      <c r="T148" s="341">
        <v>0</v>
      </c>
      <c r="U148" s="341">
        <v>0</v>
      </c>
      <c r="V148" s="340">
        <v>0</v>
      </c>
      <c r="W148" s="340">
        <v>0</v>
      </c>
    </row>
    <row r="149" spans="1:23">
      <c r="A149" s="332">
        <v>8136</v>
      </c>
      <c r="B149" s="333">
        <v>4752.3139154999999</v>
      </c>
      <c r="C149" s="334" t="s">
        <v>17343</v>
      </c>
      <c r="D149" s="371" t="s">
        <v>19381</v>
      </c>
      <c r="E149" s="372" t="s">
        <v>160</v>
      </c>
      <c r="F149" s="389" t="s">
        <v>20155</v>
      </c>
      <c r="G149" s="336">
        <v>45426</v>
      </c>
      <c r="H149" s="337"/>
      <c r="I149" s="337">
        <v>5736</v>
      </c>
      <c r="J149" s="338">
        <v>2400</v>
      </c>
      <c r="K149" s="337"/>
      <c r="L149" s="339" t="s">
        <v>20424</v>
      </c>
      <c r="M149" s="318" t="s">
        <v>20570</v>
      </c>
      <c r="N149" s="379" t="s">
        <v>16394</v>
      </c>
      <c r="O149" s="380">
        <v>45443</v>
      </c>
      <c r="P149" s="381">
        <v>0</v>
      </c>
      <c r="Q149" s="340">
        <v>0</v>
      </c>
      <c r="R149" s="340">
        <v>0</v>
      </c>
      <c r="S149" s="341">
        <v>0</v>
      </c>
      <c r="T149" s="341">
        <v>0</v>
      </c>
      <c r="U149" s="341">
        <v>0</v>
      </c>
      <c r="V149" s="340">
        <v>0</v>
      </c>
      <c r="W149" s="340">
        <v>0</v>
      </c>
    </row>
    <row r="150" spans="1:23">
      <c r="A150" s="332">
        <v>8504</v>
      </c>
      <c r="B150" s="333">
        <v>27222.250735499998</v>
      </c>
      <c r="C150" s="334" t="s">
        <v>17343</v>
      </c>
      <c r="D150" s="371" t="s">
        <v>19382</v>
      </c>
      <c r="E150" s="372" t="s">
        <v>161</v>
      </c>
      <c r="F150" s="389" t="s">
        <v>20155</v>
      </c>
      <c r="G150" s="336">
        <v>45426</v>
      </c>
      <c r="H150" s="337"/>
      <c r="I150" s="337">
        <v>8504</v>
      </c>
      <c r="J150" s="338"/>
      <c r="K150" s="337"/>
      <c r="L150" s="339" t="s">
        <v>20424</v>
      </c>
      <c r="M150" s="318" t="s">
        <v>20570</v>
      </c>
      <c r="N150" s="379" t="s">
        <v>16394</v>
      </c>
      <c r="O150" s="380">
        <v>45443</v>
      </c>
      <c r="P150" s="381">
        <v>11831.924999999999</v>
      </c>
      <c r="Q150" s="340">
        <v>1.3913364299153339</v>
      </c>
      <c r="R150" s="340">
        <v>0</v>
      </c>
      <c r="S150" s="341">
        <v>11831.924999999999</v>
      </c>
      <c r="T150" s="341">
        <v>0</v>
      </c>
      <c r="U150" s="341">
        <v>0</v>
      </c>
      <c r="V150" s="340">
        <v>11831.924999999999</v>
      </c>
      <c r="W150" s="340">
        <v>0</v>
      </c>
    </row>
    <row r="151" spans="1:23">
      <c r="A151" s="332">
        <v>160032</v>
      </c>
      <c r="B151" s="333">
        <v>297659.52000000002</v>
      </c>
      <c r="C151" s="334" t="s">
        <v>19873</v>
      </c>
      <c r="D151" s="371" t="s">
        <v>19383</v>
      </c>
      <c r="E151" s="372" t="s">
        <v>162</v>
      </c>
      <c r="F151" s="389" t="s">
        <v>20155</v>
      </c>
      <c r="G151" s="336">
        <v>45427</v>
      </c>
      <c r="H151" s="337">
        <v>160032</v>
      </c>
      <c r="I151" s="337"/>
      <c r="J151" s="338"/>
      <c r="K151" s="337"/>
      <c r="L151" s="339" t="s">
        <v>20571</v>
      </c>
      <c r="M151" s="318" t="s">
        <v>20572</v>
      </c>
      <c r="N151" s="379" t="s">
        <v>17939</v>
      </c>
      <c r="O151" s="380">
        <v>45454</v>
      </c>
      <c r="P151" s="381">
        <v>0</v>
      </c>
      <c r="Q151" s="340">
        <v>0</v>
      </c>
      <c r="R151" s="340">
        <v>0</v>
      </c>
      <c r="S151" s="341">
        <v>0</v>
      </c>
      <c r="T151" s="341">
        <v>0</v>
      </c>
      <c r="U151" s="341">
        <v>0</v>
      </c>
      <c r="V151" s="340">
        <v>0</v>
      </c>
      <c r="W151" s="340">
        <v>0</v>
      </c>
    </row>
    <row r="152" spans="1:23">
      <c r="A152" s="332">
        <v>280000</v>
      </c>
      <c r="B152" s="333">
        <v>493700</v>
      </c>
      <c r="C152" s="334" t="s">
        <v>19833</v>
      </c>
      <c r="D152" s="371" t="s">
        <v>19384</v>
      </c>
      <c r="E152" s="372" t="s">
        <v>163</v>
      </c>
      <c r="F152" s="389" t="s">
        <v>20155</v>
      </c>
      <c r="G152" s="336">
        <v>45432</v>
      </c>
      <c r="H152" s="337">
        <v>70000</v>
      </c>
      <c r="I152" s="337">
        <v>30000</v>
      </c>
      <c r="J152" s="338">
        <v>180000</v>
      </c>
      <c r="K152" s="337"/>
      <c r="L152" s="339" t="s">
        <v>20446</v>
      </c>
      <c r="M152" s="318" t="s">
        <v>20573</v>
      </c>
      <c r="N152" s="379" t="s">
        <v>20321</v>
      </c>
      <c r="O152" s="380">
        <v>45441</v>
      </c>
      <c r="P152" s="381">
        <v>0</v>
      </c>
      <c r="Q152" s="340">
        <v>0</v>
      </c>
      <c r="R152" s="340">
        <v>0</v>
      </c>
      <c r="S152" s="341">
        <v>0</v>
      </c>
      <c r="T152" s="341">
        <v>0</v>
      </c>
      <c r="U152" s="341">
        <v>0</v>
      </c>
      <c r="V152" s="340">
        <v>0</v>
      </c>
      <c r="W152" s="340">
        <v>0</v>
      </c>
    </row>
    <row r="153" spans="1:23">
      <c r="A153" s="332">
        <v>57600</v>
      </c>
      <c r="B153" s="333">
        <v>118656</v>
      </c>
      <c r="C153" s="334" t="s">
        <v>19833</v>
      </c>
      <c r="D153" s="371" t="s">
        <v>19385</v>
      </c>
      <c r="E153" s="372" t="s">
        <v>164</v>
      </c>
      <c r="F153" s="389" t="s">
        <v>20155</v>
      </c>
      <c r="G153" s="336">
        <v>45432</v>
      </c>
      <c r="H153" s="337">
        <v>57600</v>
      </c>
      <c r="I153" s="337"/>
      <c r="J153" s="338"/>
      <c r="K153" s="337"/>
      <c r="L153" s="339" t="s">
        <v>20446</v>
      </c>
      <c r="M153" s="318" t="s">
        <v>20574</v>
      </c>
      <c r="N153" s="379" t="s">
        <v>18248</v>
      </c>
      <c r="O153" s="380">
        <v>45435</v>
      </c>
      <c r="P153" s="381">
        <v>0</v>
      </c>
      <c r="Q153" s="340">
        <v>0</v>
      </c>
      <c r="R153" s="340">
        <v>0</v>
      </c>
      <c r="S153" s="341">
        <v>0</v>
      </c>
      <c r="T153" s="341">
        <v>0</v>
      </c>
      <c r="U153" s="341">
        <v>0</v>
      </c>
      <c r="V153" s="340">
        <v>0</v>
      </c>
      <c r="W153" s="340">
        <v>0</v>
      </c>
    </row>
    <row r="154" spans="1:23">
      <c r="A154" s="332">
        <v>20100</v>
      </c>
      <c r="B154" s="333">
        <v>80052.730889999992</v>
      </c>
      <c r="C154" s="334" t="s">
        <v>19653</v>
      </c>
      <c r="D154" s="371" t="s">
        <v>19386</v>
      </c>
      <c r="E154" s="372" t="s">
        <v>165</v>
      </c>
      <c r="F154" s="389" t="s">
        <v>20155</v>
      </c>
      <c r="G154" s="336">
        <v>45432</v>
      </c>
      <c r="H154" s="337">
        <v>9900</v>
      </c>
      <c r="I154" s="337">
        <v>10200</v>
      </c>
      <c r="J154" s="338"/>
      <c r="K154" s="337"/>
      <c r="L154" s="339" t="s">
        <v>20398</v>
      </c>
      <c r="M154" s="318" t="s">
        <v>20575</v>
      </c>
      <c r="N154" s="379" t="s">
        <v>20156</v>
      </c>
      <c r="O154" s="380">
        <v>45440</v>
      </c>
      <c r="P154" s="381">
        <v>0</v>
      </c>
      <c r="Q154" s="340">
        <v>0</v>
      </c>
      <c r="R154" s="340">
        <v>0</v>
      </c>
      <c r="S154" s="341">
        <v>0</v>
      </c>
      <c r="T154" s="341">
        <v>0</v>
      </c>
      <c r="U154" s="341">
        <v>0</v>
      </c>
      <c r="V154" s="340">
        <v>0</v>
      </c>
      <c r="W154" s="340">
        <v>0</v>
      </c>
    </row>
    <row r="155" spans="1:23">
      <c r="A155" s="332">
        <v>24996</v>
      </c>
      <c r="B155" s="333">
        <v>78722.930660999991</v>
      </c>
      <c r="C155" s="334" t="s">
        <v>19661</v>
      </c>
      <c r="D155" s="371" t="s">
        <v>19387</v>
      </c>
      <c r="E155" s="372" t="s">
        <v>166</v>
      </c>
      <c r="F155" s="389" t="s">
        <v>20155</v>
      </c>
      <c r="G155" s="336">
        <v>45432</v>
      </c>
      <c r="H155" s="337"/>
      <c r="I155" s="337">
        <v>17496</v>
      </c>
      <c r="J155" s="338">
        <v>7500</v>
      </c>
      <c r="K155" s="337"/>
      <c r="L155" s="339" t="s">
        <v>20424</v>
      </c>
      <c r="M155" s="318" t="s">
        <v>20576</v>
      </c>
      <c r="N155" s="379" t="s">
        <v>20160</v>
      </c>
      <c r="O155" s="380">
        <v>45442</v>
      </c>
      <c r="P155" s="381">
        <v>14389.012500000001</v>
      </c>
      <c r="Q155" s="340">
        <v>0.57565260441670674</v>
      </c>
      <c r="R155" s="340">
        <v>0</v>
      </c>
      <c r="S155" s="341">
        <v>10071.617966874701</v>
      </c>
      <c r="T155" s="341">
        <v>4317.3945331253008</v>
      </c>
      <c r="U155" s="341">
        <v>0</v>
      </c>
      <c r="V155" s="340">
        <v>14389.012500000001</v>
      </c>
      <c r="W155" s="340">
        <v>0</v>
      </c>
    </row>
    <row r="156" spans="1:23">
      <c r="A156" s="332">
        <v>43200</v>
      </c>
      <c r="B156" s="333">
        <v>87696</v>
      </c>
      <c r="C156" s="334" t="s">
        <v>19655</v>
      </c>
      <c r="D156" s="371" t="s">
        <v>19388</v>
      </c>
      <c r="E156" s="372" t="s">
        <v>167</v>
      </c>
      <c r="F156" s="389" t="s">
        <v>20155</v>
      </c>
      <c r="G156" s="336">
        <v>45433</v>
      </c>
      <c r="H156" s="337">
        <v>43200</v>
      </c>
      <c r="I156" s="337"/>
      <c r="J156" s="338"/>
      <c r="K156" s="337"/>
      <c r="L156" s="339" t="s">
        <v>20577</v>
      </c>
      <c r="M156" s="318" t="s">
        <v>20578</v>
      </c>
      <c r="N156" s="379" t="s">
        <v>20173</v>
      </c>
      <c r="O156" s="380">
        <v>45442</v>
      </c>
      <c r="P156" s="381">
        <v>0</v>
      </c>
      <c r="Q156" s="340">
        <v>0</v>
      </c>
      <c r="R156" s="340">
        <v>0</v>
      </c>
      <c r="S156" s="341">
        <v>0</v>
      </c>
      <c r="T156" s="341">
        <v>0</v>
      </c>
      <c r="U156" s="341">
        <v>0</v>
      </c>
      <c r="V156" s="340">
        <v>0</v>
      </c>
      <c r="W156" s="340">
        <v>0</v>
      </c>
    </row>
    <row r="157" spans="1:23">
      <c r="A157" s="332">
        <v>20750</v>
      </c>
      <c r="B157" s="333">
        <v>39632.5</v>
      </c>
      <c r="C157" s="334" t="s">
        <v>19655</v>
      </c>
      <c r="D157" s="371" t="s">
        <v>19389</v>
      </c>
      <c r="E157" s="372" t="s">
        <v>168</v>
      </c>
      <c r="F157" s="389" t="s">
        <v>20155</v>
      </c>
      <c r="G157" s="336">
        <v>45433</v>
      </c>
      <c r="H157" s="337">
        <v>20750</v>
      </c>
      <c r="I157" s="337"/>
      <c r="J157" s="338"/>
      <c r="K157" s="337"/>
      <c r="L157" s="339" t="s">
        <v>18201</v>
      </c>
      <c r="M157" s="318" t="s">
        <v>20579</v>
      </c>
      <c r="N157" s="379" t="s">
        <v>17693</v>
      </c>
      <c r="O157" s="380">
        <v>45439</v>
      </c>
      <c r="P157" s="381">
        <v>0</v>
      </c>
      <c r="Q157" s="340">
        <v>0</v>
      </c>
      <c r="R157" s="340">
        <v>0</v>
      </c>
      <c r="S157" s="341">
        <v>0</v>
      </c>
      <c r="T157" s="341">
        <v>0</v>
      </c>
      <c r="U157" s="341">
        <v>0</v>
      </c>
      <c r="V157" s="340">
        <v>0</v>
      </c>
      <c r="W157" s="340">
        <v>0</v>
      </c>
    </row>
    <row r="158" spans="1:23">
      <c r="A158" s="332">
        <v>38400</v>
      </c>
      <c r="B158" s="333">
        <v>87539.961599999995</v>
      </c>
      <c r="C158" s="334" t="s">
        <v>19839</v>
      </c>
      <c r="D158" s="371" t="s">
        <v>19390</v>
      </c>
      <c r="E158" s="372" t="s">
        <v>169</v>
      </c>
      <c r="F158" s="389" t="s">
        <v>20155</v>
      </c>
      <c r="G158" s="336">
        <v>45439</v>
      </c>
      <c r="H158" s="337">
        <v>38400</v>
      </c>
      <c r="I158" s="337"/>
      <c r="J158" s="338"/>
      <c r="K158" s="337"/>
      <c r="L158" s="339" t="s">
        <v>20520</v>
      </c>
      <c r="M158" s="318" t="s">
        <v>20580</v>
      </c>
      <c r="N158" s="379" t="s">
        <v>17965</v>
      </c>
      <c r="O158" s="380">
        <v>45442</v>
      </c>
      <c r="P158" s="381">
        <v>7469.28</v>
      </c>
      <c r="Q158" s="340">
        <v>0.1945125</v>
      </c>
      <c r="R158" s="340">
        <v>7469.28</v>
      </c>
      <c r="S158" s="341">
        <v>0</v>
      </c>
      <c r="T158" s="341">
        <v>0</v>
      </c>
      <c r="U158" s="341">
        <v>0</v>
      </c>
      <c r="V158" s="340">
        <v>7469.28</v>
      </c>
      <c r="W158" s="340">
        <v>0</v>
      </c>
    </row>
    <row r="159" spans="1:23">
      <c r="A159" s="332">
        <v>39000</v>
      </c>
      <c r="B159" s="333">
        <v>94633.987800000003</v>
      </c>
      <c r="C159" s="334" t="s">
        <v>20581</v>
      </c>
      <c r="D159" s="371" t="s">
        <v>19391</v>
      </c>
      <c r="E159" s="372" t="s">
        <v>170</v>
      </c>
      <c r="F159" s="397" t="s">
        <v>20155</v>
      </c>
      <c r="G159" s="336">
        <v>45440</v>
      </c>
      <c r="H159" s="337">
        <v>4800</v>
      </c>
      <c r="I159" s="337">
        <v>34200</v>
      </c>
      <c r="J159" s="338"/>
      <c r="K159" s="337"/>
      <c r="L159" s="339" t="s">
        <v>20424</v>
      </c>
      <c r="M159" s="318" t="s">
        <v>20582</v>
      </c>
      <c r="N159" s="379" t="s">
        <v>17261</v>
      </c>
      <c r="O159" s="380">
        <v>45450</v>
      </c>
      <c r="P159" s="381">
        <v>19594.89</v>
      </c>
      <c r="Q159" s="340">
        <v>0.50243307692307693</v>
      </c>
      <c r="R159" s="340">
        <v>2411.6787692307694</v>
      </c>
      <c r="S159" s="341">
        <v>17183.21123076923</v>
      </c>
      <c r="T159" s="341">
        <v>0</v>
      </c>
      <c r="U159" s="341">
        <v>0</v>
      </c>
      <c r="V159" s="340">
        <v>19594.89</v>
      </c>
      <c r="W159" s="340">
        <v>0</v>
      </c>
    </row>
    <row r="160" spans="1:23">
      <c r="A160" s="332">
        <v>13621</v>
      </c>
      <c r="B160" s="333">
        <v>37420.160000000003</v>
      </c>
      <c r="C160" s="334" t="s">
        <v>17018</v>
      </c>
      <c r="D160" s="371" t="s">
        <v>19392</v>
      </c>
      <c r="E160" s="372" t="s">
        <v>171</v>
      </c>
      <c r="F160" s="389" t="s">
        <v>20155</v>
      </c>
      <c r="G160" s="336">
        <v>45440</v>
      </c>
      <c r="H160" s="337">
        <v>5760</v>
      </c>
      <c r="I160" s="337">
        <v>4421</v>
      </c>
      <c r="J160" s="338">
        <v>2880</v>
      </c>
      <c r="K160" s="337">
        <v>560</v>
      </c>
      <c r="L160" s="339" t="s">
        <v>20424</v>
      </c>
      <c r="M160" s="318" t="s">
        <v>20583</v>
      </c>
      <c r="N160" s="379" t="s">
        <v>17889</v>
      </c>
      <c r="O160" s="380">
        <v>45469</v>
      </c>
      <c r="P160" s="381">
        <v>0</v>
      </c>
      <c r="Q160" s="340">
        <v>0</v>
      </c>
      <c r="R160" s="340">
        <v>0</v>
      </c>
      <c r="S160" s="341">
        <v>0</v>
      </c>
      <c r="T160" s="341">
        <v>0</v>
      </c>
      <c r="U160" s="341">
        <v>0</v>
      </c>
      <c r="V160" s="340">
        <v>0</v>
      </c>
      <c r="W160" s="340">
        <v>0</v>
      </c>
    </row>
    <row r="161" spans="1:23">
      <c r="A161" s="332">
        <v>77840</v>
      </c>
      <c r="B161" s="333">
        <v>214072</v>
      </c>
      <c r="C161" s="334" t="s">
        <v>17227</v>
      </c>
      <c r="D161" s="371" t="s">
        <v>19393</v>
      </c>
      <c r="E161" s="372" t="s">
        <v>172</v>
      </c>
      <c r="F161" s="389" t="s">
        <v>20155</v>
      </c>
      <c r="G161" s="336">
        <v>45440</v>
      </c>
      <c r="H161" s="337"/>
      <c r="I161" s="337">
        <v>70800</v>
      </c>
      <c r="J161" s="338">
        <v>3840</v>
      </c>
      <c r="K161" s="337">
        <v>3200</v>
      </c>
      <c r="L161" s="339" t="s">
        <v>20424</v>
      </c>
      <c r="M161" s="318" t="s">
        <v>20584</v>
      </c>
      <c r="N161" s="379" t="s">
        <v>17689</v>
      </c>
      <c r="O161" s="380">
        <v>45446</v>
      </c>
      <c r="P161" s="381">
        <v>0</v>
      </c>
      <c r="Q161" s="340">
        <v>0</v>
      </c>
      <c r="R161" s="340">
        <v>0</v>
      </c>
      <c r="S161" s="341">
        <v>0</v>
      </c>
      <c r="T161" s="341">
        <v>0</v>
      </c>
      <c r="U161" s="341">
        <v>0</v>
      </c>
      <c r="V161" s="340">
        <v>0</v>
      </c>
      <c r="W161" s="340">
        <v>0</v>
      </c>
    </row>
    <row r="162" spans="1:23">
      <c r="A162" s="332">
        <v>27750</v>
      </c>
      <c r="B162" s="333">
        <v>62954.124749999995</v>
      </c>
      <c r="C162" s="334" t="s">
        <v>19839</v>
      </c>
      <c r="D162" s="371" t="s">
        <v>19394</v>
      </c>
      <c r="E162" s="372" t="s">
        <v>173</v>
      </c>
      <c r="F162" s="389" t="s">
        <v>20155</v>
      </c>
      <c r="G162" s="336">
        <v>45446</v>
      </c>
      <c r="H162" s="337">
        <v>16500</v>
      </c>
      <c r="I162" s="337">
        <v>11250</v>
      </c>
      <c r="J162" s="338"/>
      <c r="K162" s="337"/>
      <c r="L162" s="339" t="s">
        <v>20405</v>
      </c>
      <c r="M162" s="318" t="s">
        <v>20585</v>
      </c>
      <c r="N162" s="379" t="s">
        <v>20312</v>
      </c>
      <c r="O162" s="380">
        <v>45456</v>
      </c>
      <c r="P162" s="381">
        <v>5922.8819999999996</v>
      </c>
      <c r="Q162" s="340">
        <v>0.21343718918918916</v>
      </c>
      <c r="R162" s="340">
        <v>3521.7136216216213</v>
      </c>
      <c r="S162" s="341">
        <v>2401.1683783783783</v>
      </c>
      <c r="T162" s="341">
        <v>0</v>
      </c>
      <c r="U162" s="341">
        <v>0</v>
      </c>
      <c r="V162" s="340">
        <v>5922.8819999999996</v>
      </c>
      <c r="W162" s="340">
        <v>0</v>
      </c>
    </row>
    <row r="163" spans="1:23">
      <c r="A163" s="332">
        <v>57600</v>
      </c>
      <c r="B163" s="333">
        <v>119808</v>
      </c>
      <c r="C163" s="334" t="s">
        <v>19656</v>
      </c>
      <c r="D163" s="371" t="s">
        <v>19395</v>
      </c>
      <c r="E163" s="372" t="s">
        <v>174</v>
      </c>
      <c r="F163" s="389" t="s">
        <v>20155</v>
      </c>
      <c r="G163" s="336">
        <v>45446</v>
      </c>
      <c r="H163" s="337">
        <v>57600</v>
      </c>
      <c r="I163" s="337"/>
      <c r="J163" s="338"/>
      <c r="K163" s="337"/>
      <c r="L163" s="339" t="s">
        <v>20424</v>
      </c>
      <c r="M163" s="318" t="s">
        <v>20586</v>
      </c>
      <c r="N163" s="379" t="s">
        <v>17965</v>
      </c>
      <c r="O163" s="380">
        <v>45453</v>
      </c>
      <c r="P163" s="381">
        <v>0</v>
      </c>
      <c r="Q163" s="340">
        <v>0</v>
      </c>
      <c r="R163" s="340">
        <v>0</v>
      </c>
      <c r="S163" s="341">
        <v>0</v>
      </c>
      <c r="T163" s="341">
        <v>0</v>
      </c>
      <c r="U163" s="341">
        <v>0</v>
      </c>
      <c r="V163" s="340">
        <v>0</v>
      </c>
      <c r="W163" s="340">
        <v>0</v>
      </c>
    </row>
    <row r="164" spans="1:23">
      <c r="A164" s="332">
        <v>19200</v>
      </c>
      <c r="B164" s="333">
        <v>39552</v>
      </c>
      <c r="C164" s="334" t="s">
        <v>19656</v>
      </c>
      <c r="D164" s="371" t="s">
        <v>19396</v>
      </c>
      <c r="E164" s="372" t="s">
        <v>175</v>
      </c>
      <c r="F164" s="389" t="s">
        <v>20155</v>
      </c>
      <c r="G164" s="336">
        <v>45446</v>
      </c>
      <c r="H164" s="337">
        <v>19200</v>
      </c>
      <c r="I164" s="337"/>
      <c r="J164" s="338"/>
      <c r="K164" s="337"/>
      <c r="L164" s="339" t="s">
        <v>20587</v>
      </c>
      <c r="M164" s="318" t="s">
        <v>20588</v>
      </c>
      <c r="N164" s="379" t="s">
        <v>17965</v>
      </c>
      <c r="O164" s="380">
        <v>45454</v>
      </c>
      <c r="P164" s="381">
        <v>0</v>
      </c>
      <c r="Q164" s="340">
        <v>0</v>
      </c>
      <c r="R164" s="340">
        <v>0</v>
      </c>
      <c r="S164" s="341">
        <v>0</v>
      </c>
      <c r="T164" s="341">
        <v>0</v>
      </c>
      <c r="U164" s="341">
        <v>0</v>
      </c>
      <c r="V164" s="340">
        <v>0</v>
      </c>
      <c r="W164" s="340">
        <v>0</v>
      </c>
    </row>
    <row r="165" spans="1:23">
      <c r="A165" s="332">
        <v>280354</v>
      </c>
      <c r="B165" s="333">
        <v>524291.30527500005</v>
      </c>
      <c r="C165" s="334" t="s">
        <v>19662</v>
      </c>
      <c r="D165" s="371" t="s">
        <v>19397</v>
      </c>
      <c r="E165" s="372" t="s">
        <v>176</v>
      </c>
      <c r="F165" s="397" t="s">
        <v>20155</v>
      </c>
      <c r="G165" s="336">
        <v>45447</v>
      </c>
      <c r="H165" s="337">
        <v>11544</v>
      </c>
      <c r="I165" s="337">
        <v>238810</v>
      </c>
      <c r="J165" s="338">
        <v>30000</v>
      </c>
      <c r="K165" s="337"/>
      <c r="L165" s="339" t="s">
        <v>20398</v>
      </c>
      <c r="M165" s="318" t="s">
        <v>20589</v>
      </c>
      <c r="N165" s="379" t="s">
        <v>18227</v>
      </c>
      <c r="O165" s="380">
        <v>45454</v>
      </c>
      <c r="P165" s="381">
        <v>62130</v>
      </c>
      <c r="Q165" s="340">
        <v>0.2216126754032402</v>
      </c>
      <c r="R165" s="340">
        <v>2558.2967248550049</v>
      </c>
      <c r="S165" s="341">
        <v>52923.32301304779</v>
      </c>
      <c r="T165" s="341">
        <v>6648.3802620972056</v>
      </c>
      <c r="U165" s="341">
        <v>0</v>
      </c>
      <c r="V165" s="340">
        <v>62130</v>
      </c>
      <c r="W165" s="340">
        <v>0</v>
      </c>
    </row>
    <row r="166" spans="1:23">
      <c r="A166" s="332">
        <v>25212</v>
      </c>
      <c r="B166" s="333">
        <v>79029.892549000011</v>
      </c>
      <c r="C166" s="334" t="s">
        <v>19661</v>
      </c>
      <c r="D166" s="371" t="s">
        <v>19398</v>
      </c>
      <c r="E166" s="372" t="s">
        <v>177</v>
      </c>
      <c r="F166" s="389" t="s">
        <v>20155</v>
      </c>
      <c r="G166" s="336">
        <v>45447</v>
      </c>
      <c r="H166" s="337"/>
      <c r="I166" s="337">
        <v>17712</v>
      </c>
      <c r="J166" s="338">
        <v>7500</v>
      </c>
      <c r="K166" s="337"/>
      <c r="L166" s="339" t="s">
        <v>20424</v>
      </c>
      <c r="M166" s="318" t="s">
        <v>20590</v>
      </c>
      <c r="N166" s="379" t="s">
        <v>20160</v>
      </c>
      <c r="O166" s="380">
        <v>45456</v>
      </c>
      <c r="P166" s="381">
        <v>14324.837500000001</v>
      </c>
      <c r="Q166" s="340">
        <v>0.56817537283833097</v>
      </c>
      <c r="R166" s="340">
        <v>0</v>
      </c>
      <c r="S166" s="341">
        <v>10063.522203712519</v>
      </c>
      <c r="T166" s="341">
        <v>4261.3152962874819</v>
      </c>
      <c r="U166" s="341">
        <v>0</v>
      </c>
      <c r="V166" s="340">
        <v>14324.837500000001</v>
      </c>
      <c r="W166" s="340">
        <v>0</v>
      </c>
    </row>
    <row r="167" spans="1:23">
      <c r="A167" s="332">
        <v>45800</v>
      </c>
      <c r="B167" s="333">
        <v>102452.22975</v>
      </c>
      <c r="C167" s="334" t="s">
        <v>20403</v>
      </c>
      <c r="D167" s="371" t="s">
        <v>19399</v>
      </c>
      <c r="E167" s="372" t="s">
        <v>178</v>
      </c>
      <c r="F167" s="397" t="s">
        <v>20155</v>
      </c>
      <c r="G167" s="336">
        <v>45447</v>
      </c>
      <c r="H167" s="337"/>
      <c r="I167" s="337">
        <v>40800</v>
      </c>
      <c r="J167" s="338">
        <v>5000</v>
      </c>
      <c r="K167" s="337"/>
      <c r="L167" s="339" t="s">
        <v>18191</v>
      </c>
      <c r="M167" s="318" t="s">
        <v>20591</v>
      </c>
      <c r="N167" s="379" t="s">
        <v>18227</v>
      </c>
      <c r="O167" s="380">
        <v>45455</v>
      </c>
      <c r="P167" s="381">
        <v>11964.387500000001</v>
      </c>
      <c r="Q167" s="340">
        <v>0.26123116812227076</v>
      </c>
      <c r="R167" s="340">
        <v>0</v>
      </c>
      <c r="S167" s="341">
        <v>10658.231659388646</v>
      </c>
      <c r="T167" s="341">
        <v>1306.1558406113538</v>
      </c>
      <c r="U167" s="341">
        <v>0</v>
      </c>
      <c r="V167" s="340">
        <v>11964.387500000001</v>
      </c>
      <c r="W167" s="340">
        <v>0</v>
      </c>
    </row>
    <row r="168" spans="1:23">
      <c r="A168" s="332">
        <v>22500</v>
      </c>
      <c r="B168" s="333">
        <v>139065.58575</v>
      </c>
      <c r="C168" s="334" t="s">
        <v>19875</v>
      </c>
      <c r="D168" s="371" t="s">
        <v>19400</v>
      </c>
      <c r="E168" s="372" t="s">
        <v>179</v>
      </c>
      <c r="F168" s="389" t="s">
        <v>20155</v>
      </c>
      <c r="G168" s="336">
        <v>45447</v>
      </c>
      <c r="H168" s="337"/>
      <c r="I168" s="337"/>
      <c r="J168" s="338"/>
      <c r="K168" s="337">
        <v>22500</v>
      </c>
      <c r="L168" s="339" t="s">
        <v>20592</v>
      </c>
      <c r="M168" s="318" t="s">
        <v>20593</v>
      </c>
      <c r="N168" s="379" t="s">
        <v>17939</v>
      </c>
      <c r="O168" s="380">
        <v>45456</v>
      </c>
      <c r="P168" s="381">
        <v>0</v>
      </c>
      <c r="Q168" s="340">
        <v>0</v>
      </c>
      <c r="R168" s="340">
        <v>0</v>
      </c>
      <c r="S168" s="341">
        <v>0</v>
      </c>
      <c r="T168" s="341">
        <v>0</v>
      </c>
      <c r="U168" s="341">
        <v>0</v>
      </c>
      <c r="V168" s="340">
        <v>0</v>
      </c>
      <c r="W168" s="340">
        <v>0</v>
      </c>
    </row>
    <row r="169" spans="1:23">
      <c r="A169" s="332">
        <v>163170</v>
      </c>
      <c r="B169" s="333">
        <v>294012.5</v>
      </c>
      <c r="C169" s="334" t="s">
        <v>19647</v>
      </c>
      <c r="D169" s="371" t="s">
        <v>19401</v>
      </c>
      <c r="E169" s="372" t="s">
        <v>180</v>
      </c>
      <c r="F169" s="389" t="s">
        <v>20155</v>
      </c>
      <c r="G169" s="336">
        <v>45448</v>
      </c>
      <c r="H169" s="337">
        <v>22550</v>
      </c>
      <c r="I169" s="337">
        <v>28620</v>
      </c>
      <c r="J169" s="338">
        <v>112000</v>
      </c>
      <c r="K169" s="337"/>
      <c r="L169" s="339" t="s">
        <v>20520</v>
      </c>
      <c r="M169" s="318" t="s">
        <v>20594</v>
      </c>
      <c r="N169" s="379" t="s">
        <v>17771</v>
      </c>
      <c r="O169" s="380">
        <v>45457</v>
      </c>
      <c r="P169" s="381">
        <v>0</v>
      </c>
      <c r="Q169" s="340">
        <v>0</v>
      </c>
      <c r="R169" s="340">
        <v>0</v>
      </c>
      <c r="S169" s="341">
        <v>0</v>
      </c>
      <c r="T169" s="341">
        <v>0</v>
      </c>
      <c r="U169" s="341">
        <v>0</v>
      </c>
      <c r="V169" s="340">
        <v>0</v>
      </c>
      <c r="W169" s="340">
        <v>0</v>
      </c>
    </row>
    <row r="170" spans="1:23">
      <c r="A170" s="332">
        <v>76800</v>
      </c>
      <c r="B170" s="333">
        <v>174055.20200000002</v>
      </c>
      <c r="C170" s="334" t="s">
        <v>20534</v>
      </c>
      <c r="D170" s="371" t="s">
        <v>19402</v>
      </c>
      <c r="E170" s="372" t="s">
        <v>181</v>
      </c>
      <c r="F170" s="389" t="s">
        <v>20155</v>
      </c>
      <c r="G170" s="336">
        <v>45453</v>
      </c>
      <c r="H170" s="337">
        <v>76800</v>
      </c>
      <c r="I170" s="337"/>
      <c r="J170" s="338"/>
      <c r="K170" s="337"/>
      <c r="L170" s="339" t="s">
        <v>20408</v>
      </c>
      <c r="M170" s="318" t="s">
        <v>20595</v>
      </c>
      <c r="N170" s="379" t="s">
        <v>20321</v>
      </c>
      <c r="O170" s="380">
        <v>45456</v>
      </c>
      <c r="P170" s="381">
        <v>12268.802</v>
      </c>
      <c r="Q170" s="340">
        <v>0.15975002604166666</v>
      </c>
      <c r="R170" s="340">
        <v>12268.802</v>
      </c>
      <c r="S170" s="341">
        <v>0</v>
      </c>
      <c r="T170" s="341">
        <v>0</v>
      </c>
      <c r="U170" s="341">
        <v>0</v>
      </c>
      <c r="V170" s="340">
        <v>12268.802</v>
      </c>
      <c r="W170" s="340">
        <v>0</v>
      </c>
    </row>
    <row r="171" spans="1:23">
      <c r="A171" s="332">
        <v>20500</v>
      </c>
      <c r="B171" s="333">
        <v>51250</v>
      </c>
      <c r="C171" s="334" t="s">
        <v>17018</v>
      </c>
      <c r="D171" s="371" t="s">
        <v>19403</v>
      </c>
      <c r="E171" s="372" t="s">
        <v>182</v>
      </c>
      <c r="F171" s="389" t="s">
        <v>20155</v>
      </c>
      <c r="G171" s="336">
        <v>45453</v>
      </c>
      <c r="H171" s="337"/>
      <c r="I171" s="337">
        <v>20500</v>
      </c>
      <c r="J171" s="338"/>
      <c r="K171" s="337"/>
      <c r="L171" s="339" t="s">
        <v>20398</v>
      </c>
      <c r="M171" s="318" t="s">
        <v>20596</v>
      </c>
      <c r="N171" s="379" t="s">
        <v>20370</v>
      </c>
      <c r="O171" s="380">
        <v>45462</v>
      </c>
      <c r="P171" s="381">
        <v>0</v>
      </c>
      <c r="Q171" s="340">
        <v>0</v>
      </c>
      <c r="R171" s="340">
        <v>0</v>
      </c>
      <c r="S171" s="341">
        <v>0</v>
      </c>
      <c r="T171" s="341">
        <v>0</v>
      </c>
      <c r="U171" s="341">
        <v>0</v>
      </c>
      <c r="V171" s="340">
        <v>0</v>
      </c>
      <c r="W171" s="340">
        <v>0</v>
      </c>
    </row>
    <row r="172" spans="1:23">
      <c r="A172" s="332">
        <v>26000</v>
      </c>
      <c r="B172" s="333">
        <v>48272.679000000004</v>
      </c>
      <c r="C172" s="334" t="s">
        <v>19095</v>
      </c>
      <c r="D172" s="371" t="s">
        <v>19404</v>
      </c>
      <c r="E172" s="372" t="s">
        <v>183</v>
      </c>
      <c r="F172" s="389" t="s">
        <v>20155</v>
      </c>
      <c r="G172" s="336">
        <v>45453</v>
      </c>
      <c r="H172" s="337"/>
      <c r="I172" s="337"/>
      <c r="J172" s="338">
        <v>26000</v>
      </c>
      <c r="K172" s="337"/>
      <c r="L172" s="339" t="s">
        <v>20430</v>
      </c>
      <c r="M172" s="318" t="s">
        <v>20597</v>
      </c>
      <c r="N172" s="399" t="s">
        <v>20377</v>
      </c>
      <c r="O172" s="380">
        <v>45467</v>
      </c>
      <c r="P172" s="381">
        <v>0</v>
      </c>
      <c r="Q172" s="340">
        <v>0</v>
      </c>
      <c r="R172" s="340">
        <v>0</v>
      </c>
      <c r="S172" s="341">
        <v>0</v>
      </c>
      <c r="T172" s="341">
        <v>0</v>
      </c>
      <c r="U172" s="341">
        <v>0</v>
      </c>
      <c r="V172" s="340">
        <v>0</v>
      </c>
      <c r="W172" s="340">
        <v>0</v>
      </c>
    </row>
    <row r="173" spans="1:23">
      <c r="A173" s="332">
        <v>21600</v>
      </c>
      <c r="B173" s="333">
        <v>58256</v>
      </c>
      <c r="C173" s="334" t="s">
        <v>19833</v>
      </c>
      <c r="D173" s="371" t="s">
        <v>19405</v>
      </c>
      <c r="E173" s="372" t="s">
        <v>184</v>
      </c>
      <c r="F173" s="389" t="s">
        <v>20155</v>
      </c>
      <c r="G173" s="336">
        <v>45456</v>
      </c>
      <c r="H173" s="337">
        <v>20800</v>
      </c>
      <c r="I173" s="337">
        <v>800</v>
      </c>
      <c r="J173" s="338"/>
      <c r="K173" s="337"/>
      <c r="L173" s="339" t="s">
        <v>20446</v>
      </c>
      <c r="M173" s="318" t="s">
        <v>20598</v>
      </c>
      <c r="N173" s="379" t="s">
        <v>17238</v>
      </c>
      <c r="O173" s="380">
        <v>45468</v>
      </c>
      <c r="P173" s="381">
        <v>0</v>
      </c>
      <c r="Q173" s="340">
        <v>0</v>
      </c>
      <c r="R173" s="340">
        <v>0</v>
      </c>
      <c r="S173" s="341">
        <v>0</v>
      </c>
      <c r="T173" s="341">
        <v>0</v>
      </c>
      <c r="U173" s="341">
        <v>0</v>
      </c>
      <c r="V173" s="340">
        <v>0</v>
      </c>
      <c r="W173" s="340">
        <v>0</v>
      </c>
    </row>
    <row r="174" spans="1:23">
      <c r="A174" s="332">
        <v>455000</v>
      </c>
      <c r="B174" s="333">
        <v>817085</v>
      </c>
      <c r="C174" s="334" t="s">
        <v>19833</v>
      </c>
      <c r="D174" s="371" t="s">
        <v>19406</v>
      </c>
      <c r="E174" s="372" t="s">
        <v>185</v>
      </c>
      <c r="F174" s="389" t="s">
        <v>20155</v>
      </c>
      <c r="G174" s="336">
        <v>45456</v>
      </c>
      <c r="H174" s="337">
        <v>155000</v>
      </c>
      <c r="I174" s="337"/>
      <c r="J174" s="338">
        <v>300000</v>
      </c>
      <c r="K174" s="337"/>
      <c r="L174" s="339" t="s">
        <v>20446</v>
      </c>
      <c r="M174" s="318" t="s">
        <v>20599</v>
      </c>
      <c r="N174" s="379" t="s">
        <v>20321</v>
      </c>
      <c r="O174" s="380" t="s">
        <v>20378</v>
      </c>
      <c r="P174" s="381">
        <v>0</v>
      </c>
      <c r="Q174" s="340">
        <v>0</v>
      </c>
      <c r="R174" s="340">
        <v>0</v>
      </c>
      <c r="S174" s="341">
        <v>0</v>
      </c>
      <c r="T174" s="341">
        <v>0</v>
      </c>
      <c r="U174" s="341">
        <v>0</v>
      </c>
      <c r="V174" s="340">
        <v>0</v>
      </c>
      <c r="W174" s="340">
        <v>0</v>
      </c>
    </row>
    <row r="175" spans="1:23">
      <c r="A175" s="332">
        <v>38400</v>
      </c>
      <c r="B175" s="333">
        <v>79104</v>
      </c>
      <c r="C175" s="334" t="s">
        <v>19656</v>
      </c>
      <c r="D175" s="371" t="s">
        <v>19407</v>
      </c>
      <c r="E175" s="372" t="s">
        <v>186</v>
      </c>
      <c r="F175" s="389" t="s">
        <v>20155</v>
      </c>
      <c r="G175" s="336">
        <v>45462</v>
      </c>
      <c r="H175" s="337">
        <v>38400</v>
      </c>
      <c r="I175" s="337"/>
      <c r="J175" s="338"/>
      <c r="K175" s="337"/>
      <c r="L175" s="339" t="s">
        <v>20398</v>
      </c>
      <c r="M175" s="318" t="s">
        <v>20600</v>
      </c>
      <c r="N175" s="379" t="s">
        <v>17965</v>
      </c>
      <c r="O175" s="380">
        <v>45467</v>
      </c>
      <c r="P175" s="381">
        <v>0</v>
      </c>
      <c r="Q175" s="340">
        <v>0</v>
      </c>
      <c r="R175" s="340">
        <v>0</v>
      </c>
      <c r="S175" s="341">
        <v>0</v>
      </c>
      <c r="T175" s="341">
        <v>0</v>
      </c>
      <c r="U175" s="341">
        <v>0</v>
      </c>
      <c r="V175" s="340">
        <v>0</v>
      </c>
      <c r="W175" s="340">
        <v>0</v>
      </c>
    </row>
    <row r="176" spans="1:23">
      <c r="A176" s="332">
        <v>139200</v>
      </c>
      <c r="B176" s="333">
        <v>260443.65391200001</v>
      </c>
      <c r="C176" s="334" t="s">
        <v>19804</v>
      </c>
      <c r="D176" s="371" t="s">
        <v>19408</v>
      </c>
      <c r="E176" s="372" t="s">
        <v>187</v>
      </c>
      <c r="F176" s="389" t="s">
        <v>20155</v>
      </c>
      <c r="G176" s="336">
        <v>45462</v>
      </c>
      <c r="H176" s="337"/>
      <c r="I176" s="337">
        <v>44544</v>
      </c>
      <c r="J176" s="338">
        <v>94656</v>
      </c>
      <c r="K176" s="337"/>
      <c r="L176" s="339" t="s">
        <v>20408</v>
      </c>
      <c r="M176" s="318" t="s">
        <v>20601</v>
      </c>
      <c r="N176" s="379" t="s">
        <v>20173</v>
      </c>
      <c r="O176" s="380">
        <v>45469</v>
      </c>
      <c r="P176" s="381">
        <v>0</v>
      </c>
      <c r="Q176" s="340">
        <v>0</v>
      </c>
      <c r="R176" s="340">
        <v>0</v>
      </c>
      <c r="S176" s="341">
        <v>0</v>
      </c>
      <c r="T176" s="341">
        <v>0</v>
      </c>
      <c r="U176" s="341">
        <v>0</v>
      </c>
      <c r="V176" s="340">
        <v>0</v>
      </c>
      <c r="W176" s="340">
        <v>0</v>
      </c>
    </row>
    <row r="177" spans="1:23">
      <c r="A177" s="332">
        <v>54000</v>
      </c>
      <c r="B177" s="333">
        <v>138540</v>
      </c>
      <c r="C177" s="334" t="s">
        <v>17227</v>
      </c>
      <c r="D177" s="371" t="s">
        <v>19409</v>
      </c>
      <c r="E177" s="372" t="s">
        <v>188</v>
      </c>
      <c r="F177" s="389" t="s">
        <v>20155</v>
      </c>
      <c r="G177" s="336">
        <v>45462</v>
      </c>
      <c r="H177" s="337">
        <v>54000</v>
      </c>
      <c r="I177" s="337"/>
      <c r="J177" s="338"/>
      <c r="K177" s="337"/>
      <c r="L177" s="339" t="s">
        <v>20408</v>
      </c>
      <c r="M177" s="318" t="s">
        <v>20602</v>
      </c>
      <c r="N177" s="379" t="s">
        <v>17689</v>
      </c>
      <c r="O177" s="380">
        <v>45468</v>
      </c>
      <c r="P177" s="381">
        <v>0</v>
      </c>
      <c r="Q177" s="340">
        <v>0</v>
      </c>
      <c r="R177" s="340">
        <v>0</v>
      </c>
      <c r="S177" s="341">
        <v>0</v>
      </c>
      <c r="T177" s="341">
        <v>0</v>
      </c>
      <c r="U177" s="341">
        <v>0</v>
      </c>
      <c r="V177" s="340">
        <v>0</v>
      </c>
      <c r="W177" s="340">
        <v>0</v>
      </c>
    </row>
    <row r="178" spans="1:23">
      <c r="A178" s="332">
        <v>106640</v>
      </c>
      <c r="B178" s="333">
        <v>287752</v>
      </c>
      <c r="C178" s="334" t="s">
        <v>17227</v>
      </c>
      <c r="D178" s="371" t="s">
        <v>19410</v>
      </c>
      <c r="E178" s="372" t="s">
        <v>189</v>
      </c>
      <c r="F178" s="389" t="s">
        <v>20155</v>
      </c>
      <c r="G178" s="336">
        <v>45462</v>
      </c>
      <c r="H178" s="337"/>
      <c r="I178" s="337">
        <v>75600</v>
      </c>
      <c r="J178" s="338">
        <v>27840</v>
      </c>
      <c r="K178" s="337">
        <v>3200</v>
      </c>
      <c r="L178" s="339" t="s">
        <v>20424</v>
      </c>
      <c r="M178" s="318" t="s">
        <v>20603</v>
      </c>
      <c r="N178" s="379" t="s">
        <v>17689</v>
      </c>
      <c r="O178" s="380">
        <v>45467</v>
      </c>
      <c r="P178" s="381">
        <v>0</v>
      </c>
      <c r="Q178" s="340">
        <v>0</v>
      </c>
      <c r="R178" s="340">
        <v>0</v>
      </c>
      <c r="S178" s="341">
        <v>0</v>
      </c>
      <c r="T178" s="341">
        <v>0</v>
      </c>
      <c r="U178" s="341">
        <v>0</v>
      </c>
      <c r="V178" s="340">
        <v>0</v>
      </c>
      <c r="W178" s="340">
        <v>0</v>
      </c>
    </row>
    <row r="179" spans="1:23">
      <c r="A179" s="332">
        <v>20500</v>
      </c>
      <c r="B179" s="333">
        <v>50225</v>
      </c>
      <c r="C179" s="334" t="s">
        <v>17018</v>
      </c>
      <c r="D179" s="371" t="s">
        <v>19411</v>
      </c>
      <c r="E179" s="372" t="s">
        <v>190</v>
      </c>
      <c r="F179" s="389" t="s">
        <v>20155</v>
      </c>
      <c r="G179" s="336">
        <v>45462</v>
      </c>
      <c r="H179" s="337"/>
      <c r="I179" s="337">
        <v>20500</v>
      </c>
      <c r="J179" s="338"/>
      <c r="K179" s="337"/>
      <c r="L179" s="339" t="s">
        <v>20398</v>
      </c>
      <c r="M179" s="318" t="s">
        <v>20604</v>
      </c>
      <c r="N179" s="379" t="s">
        <v>20364</v>
      </c>
      <c r="O179" s="380">
        <v>45467</v>
      </c>
      <c r="P179" s="381">
        <v>0</v>
      </c>
      <c r="Q179" s="340">
        <v>0</v>
      </c>
      <c r="R179" s="340">
        <v>0</v>
      </c>
      <c r="S179" s="341">
        <v>0</v>
      </c>
      <c r="T179" s="341">
        <v>0</v>
      </c>
      <c r="U179" s="341">
        <v>0</v>
      </c>
      <c r="V179" s="340">
        <v>0</v>
      </c>
      <c r="W179" s="340">
        <v>0</v>
      </c>
    </row>
    <row r="180" spans="1:23">
      <c r="A180" s="332">
        <v>280090</v>
      </c>
      <c r="B180" s="333">
        <v>613642.19806000008</v>
      </c>
      <c r="C180" s="334" t="s">
        <v>19662</v>
      </c>
      <c r="D180" s="371" t="s">
        <v>19412</v>
      </c>
      <c r="E180" s="372" t="s">
        <v>191</v>
      </c>
      <c r="F180" s="389" t="s">
        <v>20155</v>
      </c>
      <c r="G180" s="336">
        <v>45462</v>
      </c>
      <c r="H180" s="337">
        <v>11280</v>
      </c>
      <c r="I180" s="337">
        <v>238810</v>
      </c>
      <c r="J180" s="338">
        <v>30000</v>
      </c>
      <c r="K180" s="337"/>
      <c r="L180" s="339" t="s">
        <v>20398</v>
      </c>
      <c r="M180" s="318" t="s">
        <v>20605</v>
      </c>
      <c r="N180" s="379" t="s">
        <v>18227</v>
      </c>
      <c r="O180" s="380">
        <v>45471</v>
      </c>
      <c r="P180" s="381">
        <v>62792</v>
      </c>
      <c r="Q180" s="340">
        <v>0.22418508336606091</v>
      </c>
      <c r="R180" s="340">
        <v>2528.8077403691673</v>
      </c>
      <c r="S180" s="341">
        <v>53537.639758649006</v>
      </c>
      <c r="T180" s="341">
        <v>6725.5525009818275</v>
      </c>
      <c r="U180" s="341">
        <v>0</v>
      </c>
      <c r="V180" s="340">
        <v>62792</v>
      </c>
      <c r="W180" s="340">
        <v>0</v>
      </c>
    </row>
    <row r="181" spans="1:23">
      <c r="A181" s="332">
        <v>20150</v>
      </c>
      <c r="B181" s="333">
        <v>49549.514949999997</v>
      </c>
      <c r="C181" s="334" t="s">
        <v>19659</v>
      </c>
      <c r="D181" s="371" t="s">
        <v>19413</v>
      </c>
      <c r="E181" s="372" t="s">
        <v>192</v>
      </c>
      <c r="F181" s="389" t="s">
        <v>20155</v>
      </c>
      <c r="G181" s="336">
        <v>45462</v>
      </c>
      <c r="H181" s="337">
        <v>20150</v>
      </c>
      <c r="I181" s="337"/>
      <c r="J181" s="338"/>
      <c r="K181" s="337"/>
      <c r="L181" s="339" t="s">
        <v>20520</v>
      </c>
      <c r="M181" s="318" t="s">
        <v>20606</v>
      </c>
      <c r="N181" s="379" t="s">
        <v>20161</v>
      </c>
      <c r="O181" s="380">
        <v>45499</v>
      </c>
      <c r="P181" s="381">
        <v>0</v>
      </c>
      <c r="Q181" s="340">
        <v>0</v>
      </c>
      <c r="R181" s="340">
        <v>0</v>
      </c>
      <c r="S181" s="341">
        <v>0</v>
      </c>
      <c r="T181" s="341">
        <v>0</v>
      </c>
      <c r="U181" s="341">
        <v>0</v>
      </c>
      <c r="V181" s="340">
        <v>0</v>
      </c>
      <c r="W181" s="340">
        <v>0</v>
      </c>
    </row>
    <row r="182" spans="1:23">
      <c r="A182" s="332">
        <v>134050</v>
      </c>
      <c r="B182" s="333">
        <v>253767.49299999999</v>
      </c>
      <c r="C182" s="334" t="s">
        <v>17375</v>
      </c>
      <c r="D182" s="371" t="s">
        <v>19414</v>
      </c>
      <c r="E182" s="372" t="s">
        <v>193</v>
      </c>
      <c r="F182" s="389" t="s">
        <v>20155</v>
      </c>
      <c r="G182" s="336">
        <v>45462</v>
      </c>
      <c r="H182" s="337"/>
      <c r="I182" s="337">
        <v>99050</v>
      </c>
      <c r="J182" s="338">
        <v>35000</v>
      </c>
      <c r="K182" s="337"/>
      <c r="L182" s="339" t="s">
        <v>20427</v>
      </c>
      <c r="M182" s="318" t="s">
        <v>20607</v>
      </c>
      <c r="N182" s="379" t="s">
        <v>20173</v>
      </c>
      <c r="O182" s="380">
        <v>45471</v>
      </c>
      <c r="P182" s="381">
        <v>0</v>
      </c>
      <c r="Q182" s="340">
        <v>0</v>
      </c>
      <c r="R182" s="340">
        <v>0</v>
      </c>
      <c r="S182" s="341">
        <v>0</v>
      </c>
      <c r="T182" s="341">
        <v>0</v>
      </c>
      <c r="U182" s="341">
        <v>0</v>
      </c>
      <c r="V182" s="340">
        <v>0</v>
      </c>
      <c r="W182" s="340">
        <v>0</v>
      </c>
    </row>
    <row r="183" spans="1:23">
      <c r="A183" s="332">
        <v>90000</v>
      </c>
      <c r="B183" s="333">
        <v>143550</v>
      </c>
      <c r="C183" s="334" t="s">
        <v>19647</v>
      </c>
      <c r="D183" s="371" t="s">
        <v>19415</v>
      </c>
      <c r="E183" s="372" t="s">
        <v>194</v>
      </c>
      <c r="F183" s="389" t="s">
        <v>20155</v>
      </c>
      <c r="G183" s="336">
        <v>45462</v>
      </c>
      <c r="H183" s="337"/>
      <c r="I183" s="337">
        <v>90000</v>
      </c>
      <c r="J183" s="338"/>
      <c r="K183" s="337"/>
      <c r="L183" s="339" t="s">
        <v>20398</v>
      </c>
      <c r="M183" s="318" t="s">
        <v>20608</v>
      </c>
      <c r="N183" s="379" t="s">
        <v>20321</v>
      </c>
      <c r="O183" s="380">
        <v>45468</v>
      </c>
      <c r="P183" s="381">
        <v>0</v>
      </c>
      <c r="Q183" s="340">
        <v>0</v>
      </c>
      <c r="R183" s="340">
        <v>0</v>
      </c>
      <c r="S183" s="341">
        <v>0</v>
      </c>
      <c r="T183" s="341">
        <v>0</v>
      </c>
      <c r="U183" s="341">
        <v>0</v>
      </c>
      <c r="V183" s="340">
        <v>0</v>
      </c>
      <c r="W183" s="340">
        <v>0</v>
      </c>
    </row>
    <row r="184" spans="1:23">
      <c r="A184" s="332">
        <v>21600</v>
      </c>
      <c r="B184" s="333">
        <v>44136</v>
      </c>
      <c r="C184" s="334" t="s">
        <v>19655</v>
      </c>
      <c r="D184" s="371" t="s">
        <v>19416</v>
      </c>
      <c r="E184" s="372" t="s">
        <v>195</v>
      </c>
      <c r="F184" s="397" t="s">
        <v>20155</v>
      </c>
      <c r="G184" s="336">
        <v>45462</v>
      </c>
      <c r="H184" s="337">
        <v>21600</v>
      </c>
      <c r="I184" s="337"/>
      <c r="J184" s="338"/>
      <c r="K184" s="337"/>
      <c r="L184" s="339" t="s">
        <v>18201</v>
      </c>
      <c r="M184" s="318" t="s">
        <v>20609</v>
      </c>
      <c r="N184" s="379" t="s">
        <v>17693</v>
      </c>
      <c r="O184" s="380">
        <v>45488</v>
      </c>
      <c r="P184" s="381">
        <v>0</v>
      </c>
      <c r="Q184" s="340">
        <v>0</v>
      </c>
      <c r="R184" s="340">
        <v>0</v>
      </c>
      <c r="S184" s="341">
        <v>0</v>
      </c>
      <c r="T184" s="341">
        <v>0</v>
      </c>
      <c r="U184" s="341">
        <v>0</v>
      </c>
      <c r="V184" s="340">
        <v>0</v>
      </c>
      <c r="W184" s="340">
        <v>0</v>
      </c>
    </row>
    <row r="185" spans="1:23">
      <c r="A185" s="332">
        <v>23712</v>
      </c>
      <c r="B185" s="333">
        <v>75079.677607999998</v>
      </c>
      <c r="C185" s="334" t="s">
        <v>19661</v>
      </c>
      <c r="D185" s="371" t="s">
        <v>19417</v>
      </c>
      <c r="E185" s="372" t="s">
        <v>196</v>
      </c>
      <c r="F185" s="389" t="s">
        <v>20155</v>
      </c>
      <c r="G185" s="336">
        <v>45462</v>
      </c>
      <c r="H185" s="337"/>
      <c r="I185" s="337">
        <v>17712</v>
      </c>
      <c r="J185" s="338">
        <v>6000</v>
      </c>
      <c r="K185" s="337"/>
      <c r="L185" s="339" t="s">
        <v>20424</v>
      </c>
      <c r="M185" s="318" t="s">
        <v>20610</v>
      </c>
      <c r="N185" s="379" t="s">
        <v>20160</v>
      </c>
      <c r="O185" s="380">
        <v>45464</v>
      </c>
      <c r="P185" s="381">
        <v>14309.112499999999</v>
      </c>
      <c r="Q185" s="340">
        <v>0.60345447452766532</v>
      </c>
      <c r="R185" s="340">
        <v>0</v>
      </c>
      <c r="S185" s="341">
        <v>10688.385652834007</v>
      </c>
      <c r="T185" s="341">
        <v>3620.7268471659918</v>
      </c>
      <c r="U185" s="341">
        <v>0</v>
      </c>
      <c r="V185" s="340">
        <v>14309.112499999999</v>
      </c>
      <c r="W185" s="340">
        <v>0</v>
      </c>
    </row>
    <row r="186" spans="1:23">
      <c r="A186" s="332">
        <v>45000</v>
      </c>
      <c r="B186" s="333">
        <v>104908.5275</v>
      </c>
      <c r="C186" s="334" t="s">
        <v>20403</v>
      </c>
      <c r="D186" s="371" t="s">
        <v>19418</v>
      </c>
      <c r="E186" s="372" t="s">
        <v>197</v>
      </c>
      <c r="F186" s="389" t="s">
        <v>20155</v>
      </c>
      <c r="G186" s="336">
        <v>45462</v>
      </c>
      <c r="H186" s="337"/>
      <c r="I186" s="337">
        <v>45000</v>
      </c>
      <c r="J186" s="338"/>
      <c r="K186" s="337"/>
      <c r="L186" s="339" t="s">
        <v>18191</v>
      </c>
      <c r="M186" s="318" t="s">
        <v>20611</v>
      </c>
      <c r="N186" s="379" t="s">
        <v>18227</v>
      </c>
      <c r="O186" s="380">
        <v>45468</v>
      </c>
      <c r="P186" s="381">
        <v>12461.045</v>
      </c>
      <c r="Q186" s="340">
        <v>0.27691211111111114</v>
      </c>
      <c r="R186" s="340">
        <v>0</v>
      </c>
      <c r="S186" s="341">
        <v>12461.045000000002</v>
      </c>
      <c r="T186" s="341">
        <v>0</v>
      </c>
      <c r="U186" s="341">
        <v>0</v>
      </c>
      <c r="V186" s="340">
        <v>12461.045000000002</v>
      </c>
      <c r="W186" s="340">
        <v>0</v>
      </c>
    </row>
    <row r="187" spans="1:23">
      <c r="A187" s="332">
        <v>22008</v>
      </c>
      <c r="B187" s="333">
        <v>44716.08</v>
      </c>
      <c r="C187" s="334" t="s">
        <v>19655</v>
      </c>
      <c r="D187" s="371" t="s">
        <v>19419</v>
      </c>
      <c r="E187" s="372" t="s">
        <v>198</v>
      </c>
      <c r="F187" s="397" t="s">
        <v>20155</v>
      </c>
      <c r="G187" s="336">
        <v>45467</v>
      </c>
      <c r="H187" s="337">
        <v>22008</v>
      </c>
      <c r="I187" s="337"/>
      <c r="J187" s="338"/>
      <c r="K187" s="337"/>
      <c r="L187" s="339" t="s">
        <v>18201</v>
      </c>
      <c r="M187" s="318" t="s">
        <v>20612</v>
      </c>
      <c r="N187" s="379" t="s">
        <v>17693</v>
      </c>
      <c r="O187" s="380">
        <v>45488</v>
      </c>
      <c r="P187" s="381">
        <v>0</v>
      </c>
      <c r="Q187" s="340">
        <v>0</v>
      </c>
      <c r="R187" s="340">
        <v>0</v>
      </c>
      <c r="S187" s="341">
        <v>0</v>
      </c>
      <c r="T187" s="341">
        <v>0</v>
      </c>
      <c r="U187" s="341">
        <v>0</v>
      </c>
      <c r="V187" s="340">
        <v>0</v>
      </c>
      <c r="W187" s="340">
        <v>0</v>
      </c>
    </row>
    <row r="188" spans="1:23">
      <c r="A188" s="332">
        <v>40300</v>
      </c>
      <c r="B188" s="333">
        <v>115166.43840000001</v>
      </c>
      <c r="C188" s="334" t="s">
        <v>19659</v>
      </c>
      <c r="D188" s="371" t="s">
        <v>19420</v>
      </c>
      <c r="E188" s="372" t="s">
        <v>199</v>
      </c>
      <c r="F188" s="397" t="s">
        <v>20155</v>
      </c>
      <c r="G188" s="336">
        <v>45467</v>
      </c>
      <c r="H188" s="337">
        <v>40300</v>
      </c>
      <c r="I188" s="337"/>
      <c r="J188" s="338"/>
      <c r="K188" s="337"/>
      <c r="L188" s="339" t="s">
        <v>20398</v>
      </c>
      <c r="M188" s="318" t="s">
        <v>20613</v>
      </c>
      <c r="N188" s="379" t="s">
        <v>20161</v>
      </c>
      <c r="O188" s="380">
        <v>45484</v>
      </c>
      <c r="P188" s="381">
        <v>0</v>
      </c>
      <c r="Q188" s="340">
        <v>0</v>
      </c>
      <c r="R188" s="340">
        <v>0</v>
      </c>
      <c r="S188" s="341">
        <v>0</v>
      </c>
      <c r="T188" s="341">
        <v>0</v>
      </c>
      <c r="U188" s="341">
        <v>0</v>
      </c>
      <c r="V188" s="340">
        <v>0</v>
      </c>
      <c r="W188" s="340">
        <v>0</v>
      </c>
    </row>
    <row r="189" spans="1:23">
      <c r="A189" s="332">
        <v>38400</v>
      </c>
      <c r="B189" s="333">
        <v>86611.107400000008</v>
      </c>
      <c r="C189" s="334" t="s">
        <v>20534</v>
      </c>
      <c r="D189" s="371" t="s">
        <v>19421</v>
      </c>
      <c r="E189" s="372" t="s">
        <v>200</v>
      </c>
      <c r="F189" s="397" t="s">
        <v>20155</v>
      </c>
      <c r="G189" s="336">
        <v>45475</v>
      </c>
      <c r="H189" s="337">
        <v>38400</v>
      </c>
      <c r="I189" s="337"/>
      <c r="J189" s="338"/>
      <c r="K189" s="337"/>
      <c r="L189" s="339" t="s">
        <v>20408</v>
      </c>
      <c r="M189" s="318" t="s">
        <v>20614</v>
      </c>
      <c r="N189" s="379" t="s">
        <v>20321</v>
      </c>
      <c r="O189" s="380">
        <v>45484</v>
      </c>
      <c r="P189" s="381">
        <v>6150.7809999999999</v>
      </c>
      <c r="Q189" s="340">
        <v>0.16017658854166666</v>
      </c>
      <c r="R189" s="340">
        <v>6150.7809999999999</v>
      </c>
      <c r="S189" s="341">
        <v>0</v>
      </c>
      <c r="T189" s="341">
        <v>0</v>
      </c>
      <c r="U189" s="341">
        <v>0</v>
      </c>
      <c r="V189" s="340">
        <v>6150.7809999999999</v>
      </c>
      <c r="W189" s="340">
        <v>0</v>
      </c>
    </row>
    <row r="190" spans="1:23">
      <c r="A190" s="332">
        <v>84000</v>
      </c>
      <c r="B190" s="333">
        <v>143080</v>
      </c>
      <c r="C190" s="334" t="s">
        <v>19647</v>
      </c>
      <c r="D190" s="371" t="s">
        <v>19422</v>
      </c>
      <c r="E190" s="372" t="s">
        <v>201</v>
      </c>
      <c r="F190" s="397" t="s">
        <v>20155</v>
      </c>
      <c r="G190" s="336">
        <v>45475</v>
      </c>
      <c r="H190" s="337"/>
      <c r="I190" s="337"/>
      <c r="J190" s="338">
        <v>84000</v>
      </c>
      <c r="K190" s="337"/>
      <c r="L190" s="339" t="s">
        <v>20398</v>
      </c>
      <c r="M190" s="318" t="s">
        <v>20615</v>
      </c>
      <c r="N190" s="379" t="s">
        <v>17771</v>
      </c>
      <c r="O190" s="380">
        <v>45485</v>
      </c>
      <c r="P190" s="381">
        <v>0</v>
      </c>
      <c r="Q190" s="340">
        <v>0</v>
      </c>
      <c r="R190" s="340">
        <v>0</v>
      </c>
      <c r="S190" s="341">
        <v>0</v>
      </c>
      <c r="T190" s="341">
        <v>0</v>
      </c>
      <c r="U190" s="341">
        <v>0</v>
      </c>
      <c r="V190" s="340">
        <v>0</v>
      </c>
      <c r="W190" s="340">
        <v>0</v>
      </c>
    </row>
    <row r="191" spans="1:23">
      <c r="A191" s="332">
        <v>100003</v>
      </c>
      <c r="B191" s="333">
        <v>215562.90404000002</v>
      </c>
      <c r="C191" s="334" t="s">
        <v>20616</v>
      </c>
      <c r="D191" s="371" t="s">
        <v>19423</v>
      </c>
      <c r="E191" s="372" t="s">
        <v>202</v>
      </c>
      <c r="F191" s="397" t="s">
        <v>20155</v>
      </c>
      <c r="G191" s="336">
        <v>45475</v>
      </c>
      <c r="H191" s="337">
        <v>100003</v>
      </c>
      <c r="I191" s="337"/>
      <c r="J191" s="338"/>
      <c r="K191" s="337"/>
      <c r="L191" s="339" t="s">
        <v>20571</v>
      </c>
      <c r="M191" s="318" t="s">
        <v>20617</v>
      </c>
      <c r="N191" s="379" t="s">
        <v>17939</v>
      </c>
      <c r="O191" s="380">
        <v>45483</v>
      </c>
      <c r="P191" s="381">
        <v>0</v>
      </c>
      <c r="Q191" s="340">
        <v>0</v>
      </c>
      <c r="R191" s="340">
        <v>0</v>
      </c>
      <c r="S191" s="341">
        <v>0</v>
      </c>
      <c r="T191" s="341">
        <v>0</v>
      </c>
      <c r="U191" s="341">
        <v>0</v>
      </c>
      <c r="V191" s="340">
        <v>0</v>
      </c>
      <c r="W191" s="340">
        <v>0</v>
      </c>
    </row>
    <row r="192" spans="1:23">
      <c r="A192" s="332">
        <v>81000</v>
      </c>
      <c r="B192" s="333">
        <v>186786.10725</v>
      </c>
      <c r="C192" s="334" t="s">
        <v>17355</v>
      </c>
      <c r="D192" s="371" t="s">
        <v>19425</v>
      </c>
      <c r="E192" s="372" t="s">
        <v>203</v>
      </c>
      <c r="F192" s="389" t="s">
        <v>20155</v>
      </c>
      <c r="G192" s="336">
        <v>45478</v>
      </c>
      <c r="H192" s="337">
        <v>81000</v>
      </c>
      <c r="I192" s="337"/>
      <c r="J192" s="338"/>
      <c r="K192" s="337"/>
      <c r="L192" s="339" t="s">
        <v>20427</v>
      </c>
      <c r="M192" s="318" t="s">
        <v>20618</v>
      </c>
      <c r="N192" s="379" t="s">
        <v>20321</v>
      </c>
      <c r="O192" s="380">
        <v>45496</v>
      </c>
      <c r="P192" s="381">
        <v>15620.451000000001</v>
      </c>
      <c r="Q192" s="340">
        <v>0.19284507407407409</v>
      </c>
      <c r="R192" s="340">
        <v>15620.451000000001</v>
      </c>
      <c r="S192" s="341">
        <v>0</v>
      </c>
      <c r="T192" s="341">
        <v>0</v>
      </c>
      <c r="U192" s="341">
        <v>0</v>
      </c>
      <c r="V192" s="340">
        <v>15620.451000000001</v>
      </c>
      <c r="W192" s="340">
        <v>0</v>
      </c>
    </row>
    <row r="193" spans="1:23">
      <c r="A193" s="332">
        <v>21920</v>
      </c>
      <c r="B193" s="333">
        <v>87353.350480000008</v>
      </c>
      <c r="C193" s="334" t="s">
        <v>19653</v>
      </c>
      <c r="D193" s="371" t="s">
        <v>19426</v>
      </c>
      <c r="E193" s="372" t="s">
        <v>204</v>
      </c>
      <c r="F193" s="397" t="s">
        <v>20155</v>
      </c>
      <c r="G193" s="336">
        <v>45481</v>
      </c>
      <c r="H193" s="337">
        <v>11100</v>
      </c>
      <c r="I193" s="337">
        <v>10820</v>
      </c>
      <c r="J193" s="338"/>
      <c r="K193" s="337"/>
      <c r="L193" s="339" t="s">
        <v>20520</v>
      </c>
      <c r="M193" s="318" t="s">
        <v>20619</v>
      </c>
      <c r="N193" s="379" t="s">
        <v>20156</v>
      </c>
      <c r="O193" s="380">
        <v>45484</v>
      </c>
      <c r="P193" s="381">
        <v>0</v>
      </c>
      <c r="Q193" s="340">
        <v>0</v>
      </c>
      <c r="R193" s="340">
        <v>0</v>
      </c>
      <c r="S193" s="341">
        <v>0</v>
      </c>
      <c r="T193" s="341">
        <v>0</v>
      </c>
      <c r="U193" s="341">
        <v>0</v>
      </c>
      <c r="V193" s="340">
        <v>0</v>
      </c>
      <c r="W193" s="340">
        <v>0</v>
      </c>
    </row>
    <row r="194" spans="1:23">
      <c r="A194" s="332">
        <v>22500</v>
      </c>
      <c r="B194" s="333">
        <v>92680.583864999993</v>
      </c>
      <c r="C194" s="334" t="s">
        <v>19653</v>
      </c>
      <c r="D194" s="371" t="s">
        <v>19427</v>
      </c>
      <c r="E194" s="372" t="s">
        <v>205</v>
      </c>
      <c r="F194" s="389" t="s">
        <v>20155</v>
      </c>
      <c r="G194" s="336">
        <v>45481</v>
      </c>
      <c r="H194" s="337">
        <v>7500</v>
      </c>
      <c r="I194" s="337">
        <v>15000</v>
      </c>
      <c r="J194" s="338"/>
      <c r="K194" s="337"/>
      <c r="L194" s="339" t="s">
        <v>20520</v>
      </c>
      <c r="M194" s="318" t="s">
        <v>20620</v>
      </c>
      <c r="N194" s="379" t="s">
        <v>20156</v>
      </c>
      <c r="O194" s="380">
        <v>45491</v>
      </c>
      <c r="P194" s="381">
        <v>0</v>
      </c>
      <c r="Q194" s="340">
        <v>0</v>
      </c>
      <c r="R194" s="340">
        <v>0</v>
      </c>
      <c r="S194" s="341">
        <v>0</v>
      </c>
      <c r="T194" s="341">
        <v>0</v>
      </c>
      <c r="U194" s="341">
        <v>0</v>
      </c>
      <c r="V194" s="340">
        <v>0</v>
      </c>
      <c r="W194" s="340">
        <v>0</v>
      </c>
    </row>
    <row r="195" spans="1:23">
      <c r="A195" s="332">
        <v>20750</v>
      </c>
      <c r="B195" s="333">
        <v>68681.023263999989</v>
      </c>
      <c r="C195" s="334" t="s">
        <v>19653</v>
      </c>
      <c r="D195" s="371" t="s">
        <v>19428</v>
      </c>
      <c r="E195" s="372" t="s">
        <v>206</v>
      </c>
      <c r="F195" s="389" t="s">
        <v>20155</v>
      </c>
      <c r="G195" s="336">
        <v>45481</v>
      </c>
      <c r="H195" s="337">
        <v>20750</v>
      </c>
      <c r="I195" s="337"/>
      <c r="J195" s="338"/>
      <c r="K195" s="337"/>
      <c r="L195" s="339" t="s">
        <v>20398</v>
      </c>
      <c r="M195" s="318" t="s">
        <v>20621</v>
      </c>
      <c r="N195" s="379" t="s">
        <v>20156</v>
      </c>
      <c r="O195" s="380">
        <v>45491</v>
      </c>
      <c r="P195" s="381">
        <v>0</v>
      </c>
      <c r="Q195" s="340">
        <v>0</v>
      </c>
      <c r="R195" s="340">
        <v>0</v>
      </c>
      <c r="S195" s="341">
        <v>0</v>
      </c>
      <c r="T195" s="341">
        <v>0</v>
      </c>
      <c r="U195" s="341">
        <v>0</v>
      </c>
      <c r="V195" s="340">
        <v>0</v>
      </c>
      <c r="W195" s="340">
        <v>0</v>
      </c>
    </row>
    <row r="196" spans="1:23">
      <c r="A196" s="332">
        <v>25212</v>
      </c>
      <c r="B196" s="333">
        <v>79286.639169999995</v>
      </c>
      <c r="C196" s="334" t="s">
        <v>19661</v>
      </c>
      <c r="D196" s="371" t="s">
        <v>19429</v>
      </c>
      <c r="E196" s="372" t="s">
        <v>207</v>
      </c>
      <c r="F196" s="389" t="s">
        <v>20155</v>
      </c>
      <c r="G196" s="336">
        <v>45482</v>
      </c>
      <c r="H196" s="337"/>
      <c r="I196" s="337">
        <v>17712</v>
      </c>
      <c r="J196" s="338">
        <v>7500</v>
      </c>
      <c r="K196" s="337"/>
      <c r="L196" s="339" t="s">
        <v>20424</v>
      </c>
      <c r="M196" s="318" t="s">
        <v>20622</v>
      </c>
      <c r="N196" s="379" t="s">
        <v>20160</v>
      </c>
      <c r="O196" s="380">
        <v>45485</v>
      </c>
      <c r="P196" s="381">
        <v>14371.375</v>
      </c>
      <c r="Q196" s="340">
        <v>0.57002122005394251</v>
      </c>
      <c r="R196" s="340">
        <v>0</v>
      </c>
      <c r="S196" s="341">
        <v>10096.21584959543</v>
      </c>
      <c r="T196" s="341">
        <v>4275.1591504045691</v>
      </c>
      <c r="U196" s="341">
        <v>0</v>
      </c>
      <c r="V196" s="340">
        <v>14371.375</v>
      </c>
      <c r="W196" s="340">
        <v>0</v>
      </c>
    </row>
    <row r="197" spans="1:23">
      <c r="A197" s="332">
        <v>25212</v>
      </c>
      <c r="B197" s="333">
        <v>79285.466811000006</v>
      </c>
      <c r="C197" s="334" t="s">
        <v>19661</v>
      </c>
      <c r="D197" s="371" t="s">
        <v>19430</v>
      </c>
      <c r="E197" s="372" t="s">
        <v>208</v>
      </c>
      <c r="F197" s="389" t="s">
        <v>20155</v>
      </c>
      <c r="G197" s="336">
        <v>45482</v>
      </c>
      <c r="H197" s="337"/>
      <c r="I197" s="337">
        <v>17712</v>
      </c>
      <c r="J197" s="338">
        <v>7500</v>
      </c>
      <c r="K197" s="337"/>
      <c r="L197" s="339" t="s">
        <v>20424</v>
      </c>
      <c r="M197" s="318" t="s">
        <v>20623</v>
      </c>
      <c r="N197" s="379" t="s">
        <v>20160</v>
      </c>
      <c r="O197" s="380">
        <v>45485</v>
      </c>
      <c r="P197" s="381">
        <v>14371.1625</v>
      </c>
      <c r="Q197" s="340">
        <v>0.5700127915278439</v>
      </c>
      <c r="R197" s="340">
        <v>0</v>
      </c>
      <c r="S197" s="341">
        <v>10096.066563541171</v>
      </c>
      <c r="T197" s="341">
        <v>4275.0959364588289</v>
      </c>
      <c r="U197" s="341">
        <v>0</v>
      </c>
      <c r="V197" s="340">
        <v>14371.1625</v>
      </c>
      <c r="W197" s="340">
        <v>0</v>
      </c>
    </row>
    <row r="198" spans="1:23">
      <c r="A198" s="332">
        <v>137500</v>
      </c>
      <c r="B198" s="333">
        <v>237127.6875</v>
      </c>
      <c r="C198" s="334" t="s">
        <v>19722</v>
      </c>
      <c r="D198" s="371" t="s">
        <v>19431</v>
      </c>
      <c r="E198" s="372" t="s">
        <v>209</v>
      </c>
      <c r="F198" s="397" t="s">
        <v>20155</v>
      </c>
      <c r="G198" s="336">
        <v>45482</v>
      </c>
      <c r="H198" s="337"/>
      <c r="I198" s="337"/>
      <c r="J198" s="338">
        <v>137500</v>
      </c>
      <c r="K198" s="337"/>
      <c r="L198" s="339" t="s">
        <v>20427</v>
      </c>
      <c r="M198" s="318" t="s">
        <v>20624</v>
      </c>
      <c r="N198" s="379" t="s">
        <v>17801</v>
      </c>
      <c r="O198" s="380">
        <v>45485</v>
      </c>
      <c r="P198" s="381">
        <v>0</v>
      </c>
      <c r="Q198" s="340">
        <v>0</v>
      </c>
      <c r="R198" s="340">
        <v>0</v>
      </c>
      <c r="S198" s="341">
        <v>0</v>
      </c>
      <c r="T198" s="341">
        <v>0</v>
      </c>
      <c r="U198" s="341">
        <v>0</v>
      </c>
      <c r="V198" s="340">
        <v>0</v>
      </c>
      <c r="W198" s="340">
        <v>0</v>
      </c>
    </row>
    <row r="199" spans="1:23">
      <c r="A199" s="332">
        <v>137500</v>
      </c>
      <c r="B199" s="333">
        <v>237127.6875</v>
      </c>
      <c r="C199" s="334" t="s">
        <v>19722</v>
      </c>
      <c r="D199" s="371" t="s">
        <v>19432</v>
      </c>
      <c r="E199" s="372" t="s">
        <v>210</v>
      </c>
      <c r="F199" s="397" t="s">
        <v>20155</v>
      </c>
      <c r="G199" s="336">
        <v>45482</v>
      </c>
      <c r="H199" s="337"/>
      <c r="I199" s="337"/>
      <c r="J199" s="338">
        <v>137500</v>
      </c>
      <c r="K199" s="337"/>
      <c r="L199" s="339" t="s">
        <v>20427</v>
      </c>
      <c r="M199" s="318" t="s">
        <v>20625</v>
      </c>
      <c r="N199" s="379" t="s">
        <v>17801</v>
      </c>
      <c r="O199" s="380">
        <v>45486</v>
      </c>
      <c r="P199" s="381">
        <v>0</v>
      </c>
      <c r="Q199" s="340">
        <v>0</v>
      </c>
      <c r="R199" s="340">
        <v>0</v>
      </c>
      <c r="S199" s="341">
        <v>0</v>
      </c>
      <c r="T199" s="341">
        <v>0</v>
      </c>
      <c r="U199" s="341">
        <v>0</v>
      </c>
      <c r="V199" s="340">
        <v>0</v>
      </c>
      <c r="W199" s="340">
        <v>0</v>
      </c>
    </row>
    <row r="200" spans="1:23">
      <c r="A200" s="332">
        <v>560000</v>
      </c>
      <c r="B200" s="333">
        <v>879200</v>
      </c>
      <c r="C200" s="334" t="s">
        <v>19656</v>
      </c>
      <c r="D200" s="371" t="s">
        <v>19433</v>
      </c>
      <c r="E200" s="372" t="s">
        <v>211</v>
      </c>
      <c r="F200" s="389" t="s">
        <v>20155</v>
      </c>
      <c r="G200" s="336">
        <v>45482</v>
      </c>
      <c r="H200" s="337"/>
      <c r="I200" s="337"/>
      <c r="J200" s="338">
        <v>560000</v>
      </c>
      <c r="K200" s="337"/>
      <c r="L200" s="339" t="s">
        <v>20398</v>
      </c>
      <c r="M200" s="318" t="s">
        <v>20626</v>
      </c>
      <c r="N200" s="379" t="s">
        <v>17801</v>
      </c>
      <c r="O200" s="380">
        <v>45502</v>
      </c>
      <c r="P200" s="381">
        <v>0</v>
      </c>
      <c r="Q200" s="340">
        <v>0</v>
      </c>
      <c r="R200" s="340">
        <v>0</v>
      </c>
      <c r="S200" s="341">
        <v>0</v>
      </c>
      <c r="T200" s="341">
        <v>0</v>
      </c>
      <c r="U200" s="341">
        <v>0</v>
      </c>
      <c r="V200" s="340">
        <v>0</v>
      </c>
      <c r="W200" s="340">
        <v>0</v>
      </c>
    </row>
    <row r="201" spans="1:23">
      <c r="A201" s="332">
        <v>125000</v>
      </c>
      <c r="B201" s="333">
        <v>228322.125</v>
      </c>
      <c r="C201" s="334" t="s">
        <v>19722</v>
      </c>
      <c r="D201" s="371" t="s">
        <v>19434</v>
      </c>
      <c r="E201" s="372" t="s">
        <v>212</v>
      </c>
      <c r="F201" s="389" t="s">
        <v>20155</v>
      </c>
      <c r="G201" s="336">
        <v>45483</v>
      </c>
      <c r="H201" s="337"/>
      <c r="I201" s="337">
        <v>125000</v>
      </c>
      <c r="J201" s="338"/>
      <c r="K201" s="337"/>
      <c r="L201" s="339" t="s">
        <v>20427</v>
      </c>
      <c r="M201" s="318" t="s">
        <v>20627</v>
      </c>
      <c r="N201" s="379" t="s">
        <v>17801</v>
      </c>
      <c r="O201" s="380">
        <v>45491</v>
      </c>
      <c r="P201" s="381">
        <v>0</v>
      </c>
      <c r="Q201" s="340">
        <v>0</v>
      </c>
      <c r="R201" s="340">
        <v>0</v>
      </c>
      <c r="S201" s="341">
        <v>0</v>
      </c>
      <c r="T201" s="341">
        <v>0</v>
      </c>
      <c r="U201" s="341">
        <v>0</v>
      </c>
      <c r="V201" s="340">
        <v>0</v>
      </c>
      <c r="W201" s="340">
        <v>0</v>
      </c>
    </row>
    <row r="202" spans="1:23">
      <c r="A202" s="332">
        <v>19200</v>
      </c>
      <c r="B202" s="333">
        <v>38976</v>
      </c>
      <c r="C202" s="334" t="s">
        <v>19655</v>
      </c>
      <c r="D202" s="371" t="s">
        <v>19435</v>
      </c>
      <c r="E202" s="372" t="s">
        <v>213</v>
      </c>
      <c r="F202" s="389" t="s">
        <v>20155</v>
      </c>
      <c r="G202" s="336">
        <v>45483</v>
      </c>
      <c r="H202" s="337">
        <v>19200</v>
      </c>
      <c r="I202" s="337"/>
      <c r="J202" s="338"/>
      <c r="K202" s="337"/>
      <c r="L202" s="339" t="s">
        <v>18201</v>
      </c>
      <c r="M202" s="318" t="s">
        <v>20628</v>
      </c>
      <c r="N202" s="379" t="s">
        <v>17965</v>
      </c>
      <c r="O202" s="380">
        <v>45490</v>
      </c>
      <c r="P202" s="381">
        <v>0</v>
      </c>
      <c r="Q202" s="340">
        <v>0</v>
      </c>
      <c r="R202" s="340">
        <v>0</v>
      </c>
      <c r="S202" s="341">
        <v>0</v>
      </c>
      <c r="T202" s="341">
        <v>0</v>
      </c>
      <c r="U202" s="341">
        <v>0</v>
      </c>
      <c r="V202" s="340">
        <v>0</v>
      </c>
      <c r="W202" s="340">
        <v>0</v>
      </c>
    </row>
    <row r="203" spans="1:23">
      <c r="A203" s="332">
        <v>41000</v>
      </c>
      <c r="B203" s="333">
        <v>78925</v>
      </c>
      <c r="C203" s="334" t="s">
        <v>17018</v>
      </c>
      <c r="D203" s="371" t="s">
        <v>19436</v>
      </c>
      <c r="E203" s="372" t="s">
        <v>214</v>
      </c>
      <c r="F203" s="389" t="s">
        <v>20155</v>
      </c>
      <c r="G203" s="336">
        <v>45485</v>
      </c>
      <c r="H203" s="337"/>
      <c r="I203" s="337">
        <v>41000</v>
      </c>
      <c r="J203" s="338"/>
      <c r="K203" s="337"/>
      <c r="L203" s="339" t="s">
        <v>20398</v>
      </c>
      <c r="M203" s="318" t="s">
        <v>20629</v>
      </c>
      <c r="N203" s="379" t="s">
        <v>20307</v>
      </c>
      <c r="O203" s="380">
        <v>45497</v>
      </c>
      <c r="P203" s="381">
        <v>0</v>
      </c>
      <c r="Q203" s="340">
        <v>0</v>
      </c>
      <c r="R203" s="340">
        <v>0</v>
      </c>
      <c r="S203" s="341">
        <v>0</v>
      </c>
      <c r="T203" s="341">
        <v>0</v>
      </c>
      <c r="U203" s="341">
        <v>0</v>
      </c>
      <c r="V203" s="340">
        <v>0</v>
      </c>
      <c r="W203" s="340">
        <v>0</v>
      </c>
    </row>
    <row r="204" spans="1:23">
      <c r="A204" s="332">
        <v>20500</v>
      </c>
      <c r="B204" s="333">
        <v>39462.5</v>
      </c>
      <c r="C204" s="334" t="s">
        <v>17018</v>
      </c>
      <c r="D204" s="371" t="s">
        <v>19437</v>
      </c>
      <c r="E204" s="372" t="s">
        <v>215</v>
      </c>
      <c r="F204" s="389" t="s">
        <v>20155</v>
      </c>
      <c r="G204" s="336">
        <v>45485</v>
      </c>
      <c r="H204" s="337"/>
      <c r="I204" s="337">
        <v>20500</v>
      </c>
      <c r="J204" s="338"/>
      <c r="K204" s="337"/>
      <c r="L204" s="339" t="s">
        <v>20398</v>
      </c>
      <c r="M204" s="318" t="s">
        <v>20630</v>
      </c>
      <c r="N204" s="379" t="s">
        <v>20307</v>
      </c>
      <c r="O204" s="380">
        <v>45497</v>
      </c>
      <c r="P204" s="381">
        <v>0</v>
      </c>
      <c r="Q204" s="340">
        <v>0</v>
      </c>
      <c r="R204" s="340">
        <v>0</v>
      </c>
      <c r="S204" s="341">
        <v>0</v>
      </c>
      <c r="T204" s="341">
        <v>0</v>
      </c>
      <c r="U204" s="341">
        <v>0</v>
      </c>
      <c r="V204" s="340">
        <v>0</v>
      </c>
      <c r="W204" s="340">
        <v>0</v>
      </c>
    </row>
    <row r="205" spans="1:23">
      <c r="A205" s="332">
        <v>62250</v>
      </c>
      <c r="B205" s="333">
        <v>119831.25</v>
      </c>
      <c r="C205" s="334" t="s">
        <v>17018</v>
      </c>
      <c r="D205" s="371" t="s">
        <v>19438</v>
      </c>
      <c r="E205" s="372" t="s">
        <v>216</v>
      </c>
      <c r="F205" s="389" t="s">
        <v>20155</v>
      </c>
      <c r="G205" s="336">
        <v>45485</v>
      </c>
      <c r="H205" s="337">
        <v>62250</v>
      </c>
      <c r="I205" s="337"/>
      <c r="J205" s="338"/>
      <c r="K205" s="337"/>
      <c r="L205" s="339" t="s">
        <v>20398</v>
      </c>
      <c r="M205" s="318" t="s">
        <v>20631</v>
      </c>
      <c r="N205" s="379" t="s">
        <v>20307</v>
      </c>
      <c r="O205" s="380">
        <v>45496</v>
      </c>
      <c r="P205" s="381">
        <v>0</v>
      </c>
      <c r="Q205" s="340">
        <v>0</v>
      </c>
      <c r="R205" s="340">
        <v>0</v>
      </c>
      <c r="S205" s="341">
        <v>0</v>
      </c>
      <c r="T205" s="341">
        <v>0</v>
      </c>
      <c r="U205" s="341">
        <v>0</v>
      </c>
      <c r="V205" s="340">
        <v>0</v>
      </c>
      <c r="W205" s="340">
        <v>0</v>
      </c>
    </row>
    <row r="206" spans="1:23">
      <c r="A206" s="332">
        <v>139008</v>
      </c>
      <c r="B206" s="333">
        <v>292602.00847</v>
      </c>
      <c r="C206" s="334" t="s">
        <v>19878</v>
      </c>
      <c r="D206" s="371" t="s">
        <v>19439</v>
      </c>
      <c r="E206" s="372" t="s">
        <v>217</v>
      </c>
      <c r="F206" s="389" t="s">
        <v>20155</v>
      </c>
      <c r="G206" s="336">
        <v>45486</v>
      </c>
      <c r="H206" s="337">
        <v>130003</v>
      </c>
      <c r="I206" s="337"/>
      <c r="J206" s="338">
        <v>9005</v>
      </c>
      <c r="K206" s="337"/>
      <c r="L206" s="339" t="s">
        <v>20571</v>
      </c>
      <c r="M206" s="318" t="s">
        <v>20632</v>
      </c>
      <c r="N206" s="379" t="s">
        <v>17939</v>
      </c>
      <c r="O206" s="380">
        <v>45503</v>
      </c>
      <c r="P206" s="381">
        <v>0</v>
      </c>
      <c r="Q206" s="340">
        <v>0</v>
      </c>
      <c r="R206" s="340">
        <v>0</v>
      </c>
      <c r="S206" s="341">
        <v>0</v>
      </c>
      <c r="T206" s="341">
        <v>0</v>
      </c>
      <c r="U206" s="341">
        <v>0</v>
      </c>
      <c r="V206" s="340">
        <v>0</v>
      </c>
      <c r="W206" s="340">
        <v>0</v>
      </c>
    </row>
    <row r="207" spans="1:23">
      <c r="A207" s="332">
        <v>365213</v>
      </c>
      <c r="B207" s="333">
        <v>792537.34089599992</v>
      </c>
      <c r="C207" s="334" t="s">
        <v>20407</v>
      </c>
      <c r="D207" s="371" t="s">
        <v>19440</v>
      </c>
      <c r="E207" s="372" t="s">
        <v>218</v>
      </c>
      <c r="F207" s="389" t="s">
        <v>20155</v>
      </c>
      <c r="G207" s="336">
        <v>45489</v>
      </c>
      <c r="H207" s="337">
        <v>54000</v>
      </c>
      <c r="I207" s="337">
        <v>233818</v>
      </c>
      <c r="J207" s="338">
        <v>77395</v>
      </c>
      <c r="K207" s="337"/>
      <c r="L207" s="339" t="s">
        <v>20424</v>
      </c>
      <c r="M207" s="318" t="s">
        <v>20633</v>
      </c>
      <c r="N207" s="379" t="s">
        <v>17939</v>
      </c>
      <c r="O207" s="380">
        <v>45495</v>
      </c>
      <c r="P207" s="381">
        <v>0</v>
      </c>
      <c r="Q207" s="340">
        <v>0</v>
      </c>
      <c r="R207" s="340">
        <v>0</v>
      </c>
      <c r="S207" s="341">
        <v>0</v>
      </c>
      <c r="T207" s="341">
        <v>0</v>
      </c>
      <c r="U207" s="341">
        <v>0</v>
      </c>
      <c r="V207" s="340">
        <v>0</v>
      </c>
      <c r="W207" s="340">
        <v>0</v>
      </c>
    </row>
    <row r="208" spans="1:23">
      <c r="A208" s="332">
        <v>24616</v>
      </c>
      <c r="B208" s="333">
        <v>92720.023217499998</v>
      </c>
      <c r="C208" s="334" t="s">
        <v>18621</v>
      </c>
      <c r="D208" s="371" t="s">
        <v>19441</v>
      </c>
      <c r="E208" s="372" t="s">
        <v>219</v>
      </c>
      <c r="F208" s="389" t="s">
        <v>20155</v>
      </c>
      <c r="G208" s="336">
        <v>45490</v>
      </c>
      <c r="H208" s="337"/>
      <c r="I208" s="337">
        <v>18696</v>
      </c>
      <c r="J208" s="338">
        <v>4800</v>
      </c>
      <c r="K208" s="337">
        <v>1120</v>
      </c>
      <c r="L208" s="339" t="s">
        <v>20424</v>
      </c>
      <c r="M208" s="318" t="s">
        <v>20487</v>
      </c>
      <c r="N208" s="379" t="s">
        <v>16394</v>
      </c>
      <c r="O208" s="380">
        <v>45492</v>
      </c>
      <c r="P208" s="381">
        <v>11844.875</v>
      </c>
      <c r="Q208" s="340">
        <v>0.48118601722456938</v>
      </c>
      <c r="R208" s="340">
        <v>0</v>
      </c>
      <c r="S208" s="341">
        <v>8996.2537780305483</v>
      </c>
      <c r="T208" s="341">
        <v>2309.6928826779331</v>
      </c>
      <c r="U208" s="341">
        <v>538.92833929151766</v>
      </c>
      <c r="V208" s="340">
        <v>11844.875</v>
      </c>
      <c r="W208" s="340">
        <v>0</v>
      </c>
    </row>
    <row r="209" spans="1:23">
      <c r="A209" s="332">
        <v>52000</v>
      </c>
      <c r="B209" s="333">
        <v>79300</v>
      </c>
      <c r="C209" s="334" t="s">
        <v>17380</v>
      </c>
      <c r="D209" s="371" t="s">
        <v>19442</v>
      </c>
      <c r="E209" s="372" t="s">
        <v>220</v>
      </c>
      <c r="F209" s="389" t="s">
        <v>20155</v>
      </c>
      <c r="G209" s="336">
        <v>45490</v>
      </c>
      <c r="H209" s="337"/>
      <c r="I209" s="337"/>
      <c r="J209" s="338">
        <v>52000</v>
      </c>
      <c r="K209" s="337"/>
      <c r="L209" s="339" t="s">
        <v>20634</v>
      </c>
      <c r="M209" s="318" t="s">
        <v>20635</v>
      </c>
      <c r="N209" s="379" t="s">
        <v>18227</v>
      </c>
      <c r="O209" s="380">
        <v>45505</v>
      </c>
      <c r="P209" s="381">
        <v>0</v>
      </c>
      <c r="Q209" s="340">
        <v>0</v>
      </c>
      <c r="R209" s="340">
        <v>0</v>
      </c>
      <c r="S209" s="341">
        <v>0</v>
      </c>
      <c r="T209" s="341">
        <v>0</v>
      </c>
      <c r="U209" s="341">
        <v>0</v>
      </c>
      <c r="V209" s="340">
        <v>0</v>
      </c>
      <c r="W209" s="340">
        <v>0</v>
      </c>
    </row>
    <row r="210" spans="1:23">
      <c r="A210" s="332">
        <v>38400</v>
      </c>
      <c r="B210" s="333">
        <v>86731.559000000008</v>
      </c>
      <c r="C210" s="334" t="s">
        <v>20534</v>
      </c>
      <c r="D210" s="371" t="s">
        <v>19444</v>
      </c>
      <c r="E210" s="372" t="s">
        <v>221</v>
      </c>
      <c r="F210" s="389" t="s">
        <v>20155</v>
      </c>
      <c r="G210" s="336">
        <v>45490</v>
      </c>
      <c r="H210" s="337">
        <v>38400</v>
      </c>
      <c r="I210" s="337"/>
      <c r="J210" s="338"/>
      <c r="K210" s="337"/>
      <c r="L210" s="339" t="s">
        <v>20424</v>
      </c>
      <c r="M210" s="318" t="s">
        <v>20636</v>
      </c>
      <c r="N210" s="379" t="s">
        <v>20321</v>
      </c>
      <c r="O210" s="380">
        <v>45492</v>
      </c>
      <c r="P210" s="381">
        <v>6159.335</v>
      </c>
      <c r="Q210" s="340">
        <v>0.16039934895833333</v>
      </c>
      <c r="R210" s="340">
        <v>6159.335</v>
      </c>
      <c r="S210" s="341">
        <v>0</v>
      </c>
      <c r="T210" s="341">
        <v>0</v>
      </c>
      <c r="U210" s="341">
        <v>0</v>
      </c>
      <c r="V210" s="340">
        <v>6159.335</v>
      </c>
      <c r="W210" s="340">
        <v>0</v>
      </c>
    </row>
    <row r="211" spans="1:23">
      <c r="A211" s="332">
        <v>54000</v>
      </c>
      <c r="B211" s="333">
        <v>139440</v>
      </c>
      <c r="C211" s="334" t="s">
        <v>17227</v>
      </c>
      <c r="D211" s="371" t="s">
        <v>19445</v>
      </c>
      <c r="E211" s="372" t="s">
        <v>222</v>
      </c>
      <c r="F211" s="397" t="s">
        <v>20155</v>
      </c>
      <c r="G211" s="336">
        <v>45490</v>
      </c>
      <c r="H211" s="337">
        <v>54000</v>
      </c>
      <c r="I211" s="337"/>
      <c r="J211" s="338"/>
      <c r="K211" s="337"/>
      <c r="L211" s="339" t="s">
        <v>20424</v>
      </c>
      <c r="M211" s="318" t="s">
        <v>20637</v>
      </c>
      <c r="N211" s="379" t="s">
        <v>17689</v>
      </c>
      <c r="O211" s="380">
        <v>45504</v>
      </c>
      <c r="P211" s="381">
        <v>0</v>
      </c>
      <c r="Q211" s="340">
        <v>0</v>
      </c>
      <c r="R211" s="340">
        <v>0</v>
      </c>
      <c r="S211" s="341">
        <v>0</v>
      </c>
      <c r="T211" s="341">
        <v>0</v>
      </c>
      <c r="U211" s="341">
        <v>0</v>
      </c>
      <c r="V211" s="340">
        <v>0</v>
      </c>
      <c r="W211" s="340">
        <v>0</v>
      </c>
    </row>
    <row r="212" spans="1:23">
      <c r="A212" s="332">
        <v>75200</v>
      </c>
      <c r="B212" s="333">
        <v>166144.42019999999</v>
      </c>
      <c r="C212" s="334" t="s">
        <v>17277</v>
      </c>
      <c r="D212" s="371" t="s">
        <v>19446</v>
      </c>
      <c r="E212" s="372" t="s">
        <v>223</v>
      </c>
      <c r="F212" s="397" t="s">
        <v>20155</v>
      </c>
      <c r="G212" s="336">
        <v>45496</v>
      </c>
      <c r="H212" s="337">
        <v>19200</v>
      </c>
      <c r="I212" s="337">
        <v>56000</v>
      </c>
      <c r="J212" s="338"/>
      <c r="K212" s="337"/>
      <c r="L212" s="339" t="s">
        <v>20424</v>
      </c>
      <c r="M212" s="318" t="s">
        <v>20638</v>
      </c>
      <c r="N212" s="379" t="s">
        <v>20297</v>
      </c>
      <c r="O212" s="380">
        <v>45504</v>
      </c>
      <c r="P212" s="381">
        <v>21630.2245</v>
      </c>
      <c r="Q212" s="340">
        <v>0.28763596409574471</v>
      </c>
      <c r="R212" s="340">
        <v>5522.6105106382984</v>
      </c>
      <c r="S212" s="341">
        <v>16107.613989361704</v>
      </c>
      <c r="T212" s="341">
        <v>0</v>
      </c>
      <c r="U212" s="341">
        <v>0</v>
      </c>
      <c r="V212" s="340">
        <v>21630.224500000004</v>
      </c>
      <c r="W212" s="340">
        <v>0</v>
      </c>
    </row>
    <row r="213" spans="1:23">
      <c r="A213" s="332">
        <v>133500</v>
      </c>
      <c r="B213" s="333">
        <v>217897.5</v>
      </c>
      <c r="C213" s="334" t="s">
        <v>19652</v>
      </c>
      <c r="D213" s="371" t="s">
        <v>19447</v>
      </c>
      <c r="E213" s="372" t="s">
        <v>224</v>
      </c>
      <c r="F213" s="397" t="s">
        <v>20155</v>
      </c>
      <c r="G213" s="336">
        <v>45497</v>
      </c>
      <c r="H213" s="337"/>
      <c r="I213" s="337">
        <v>133500</v>
      </c>
      <c r="J213" s="338"/>
      <c r="K213" s="337"/>
      <c r="L213" s="339" t="s">
        <v>20639</v>
      </c>
      <c r="M213" s="318" t="s">
        <v>20640</v>
      </c>
      <c r="N213" s="379" t="s">
        <v>17801</v>
      </c>
      <c r="O213" s="380">
        <v>45504</v>
      </c>
      <c r="P213" s="381">
        <v>0</v>
      </c>
      <c r="Q213" s="340">
        <v>0</v>
      </c>
      <c r="R213" s="340">
        <v>0</v>
      </c>
      <c r="S213" s="341">
        <v>0</v>
      </c>
      <c r="T213" s="341">
        <v>0</v>
      </c>
      <c r="U213" s="341">
        <v>0</v>
      </c>
      <c r="V213" s="340">
        <v>0</v>
      </c>
      <c r="W213" s="340">
        <v>0</v>
      </c>
    </row>
    <row r="214" spans="1:23">
      <c r="A214" s="332">
        <v>52928</v>
      </c>
      <c r="B214" s="333">
        <v>95729.2</v>
      </c>
      <c r="C214" s="334" t="s">
        <v>19647</v>
      </c>
      <c r="D214" s="371" t="s">
        <v>19448</v>
      </c>
      <c r="E214" s="372" t="s">
        <v>225</v>
      </c>
      <c r="F214" s="389" t="s">
        <v>20155</v>
      </c>
      <c r="G214" s="336">
        <v>45497</v>
      </c>
      <c r="H214" s="337">
        <v>528</v>
      </c>
      <c r="I214" s="337">
        <v>47400</v>
      </c>
      <c r="J214" s="338">
        <v>5000</v>
      </c>
      <c r="K214" s="337"/>
      <c r="L214" s="339" t="s">
        <v>20430</v>
      </c>
      <c r="M214" s="318" t="s">
        <v>20641</v>
      </c>
      <c r="N214" s="379" t="s">
        <v>17949</v>
      </c>
      <c r="O214" s="380">
        <v>45502</v>
      </c>
      <c r="P214" s="381">
        <v>0</v>
      </c>
      <c r="Q214" s="340">
        <v>0</v>
      </c>
      <c r="R214" s="340">
        <v>0</v>
      </c>
      <c r="S214" s="341">
        <v>0</v>
      </c>
      <c r="T214" s="341">
        <v>0</v>
      </c>
      <c r="U214" s="341">
        <v>0</v>
      </c>
      <c r="V214" s="340">
        <v>0</v>
      </c>
      <c r="W214" s="340">
        <v>0</v>
      </c>
    </row>
    <row r="215" spans="1:23">
      <c r="A215" s="332">
        <v>38400</v>
      </c>
      <c r="B215" s="333">
        <v>79104</v>
      </c>
      <c r="C215" s="334" t="s">
        <v>19656</v>
      </c>
      <c r="D215" s="371" t="s">
        <v>19449</v>
      </c>
      <c r="E215" s="372" t="s">
        <v>226</v>
      </c>
      <c r="F215" s="397" t="s">
        <v>20155</v>
      </c>
      <c r="G215" s="336">
        <v>45497</v>
      </c>
      <c r="H215" s="337">
        <v>38400</v>
      </c>
      <c r="I215" s="337"/>
      <c r="J215" s="338"/>
      <c r="K215" s="337"/>
      <c r="L215" s="339" t="s">
        <v>20398</v>
      </c>
      <c r="M215" s="318" t="s">
        <v>20642</v>
      </c>
      <c r="N215" s="379" t="s">
        <v>17965</v>
      </c>
      <c r="O215" s="380">
        <v>45503</v>
      </c>
      <c r="P215" s="381">
        <v>0</v>
      </c>
      <c r="Q215" s="340">
        <v>0</v>
      </c>
      <c r="R215" s="340">
        <v>0</v>
      </c>
      <c r="S215" s="341">
        <v>0</v>
      </c>
      <c r="T215" s="341">
        <v>0</v>
      </c>
      <c r="U215" s="341">
        <v>0</v>
      </c>
      <c r="V215" s="340">
        <v>0</v>
      </c>
      <c r="W215" s="340">
        <v>0</v>
      </c>
    </row>
    <row r="216" spans="1:23">
      <c r="A216" s="332">
        <v>43200</v>
      </c>
      <c r="B216" s="333">
        <v>88992</v>
      </c>
      <c r="C216" s="334" t="s">
        <v>19655</v>
      </c>
      <c r="D216" s="371" t="s">
        <v>19450</v>
      </c>
      <c r="E216" s="372" t="s">
        <v>227</v>
      </c>
      <c r="F216" s="397" t="s">
        <v>20155</v>
      </c>
      <c r="G216" s="336">
        <v>45499</v>
      </c>
      <c r="H216" s="337">
        <v>43200</v>
      </c>
      <c r="I216" s="337"/>
      <c r="J216" s="338"/>
      <c r="K216" s="337"/>
      <c r="L216" s="339" t="s">
        <v>18201</v>
      </c>
      <c r="M216" s="318" t="s">
        <v>20643</v>
      </c>
      <c r="N216" s="379" t="s">
        <v>17949</v>
      </c>
      <c r="O216" s="380">
        <v>45504</v>
      </c>
      <c r="P216" s="381">
        <v>0</v>
      </c>
      <c r="Q216" s="340">
        <v>0</v>
      </c>
      <c r="R216" s="340">
        <v>0</v>
      </c>
      <c r="S216" s="341">
        <v>0</v>
      </c>
      <c r="T216" s="341">
        <v>0</v>
      </c>
      <c r="U216" s="341">
        <v>0</v>
      </c>
      <c r="V216" s="340">
        <v>0</v>
      </c>
      <c r="W216" s="340">
        <v>0</v>
      </c>
    </row>
    <row r="217" spans="1:23">
      <c r="A217" s="332">
        <v>44016</v>
      </c>
      <c r="B217" s="333">
        <v>88472.16</v>
      </c>
      <c r="C217" s="334" t="s">
        <v>19655</v>
      </c>
      <c r="D217" s="371" t="s">
        <v>19451</v>
      </c>
      <c r="E217" s="372" t="s">
        <v>228</v>
      </c>
      <c r="F217" s="397" t="s">
        <v>20155</v>
      </c>
      <c r="G217" s="336">
        <v>45499</v>
      </c>
      <c r="H217" s="337">
        <v>44016</v>
      </c>
      <c r="I217" s="337"/>
      <c r="J217" s="338"/>
      <c r="K217" s="337"/>
      <c r="L217" s="339" t="s">
        <v>18201</v>
      </c>
      <c r="M217" s="318" t="s">
        <v>20644</v>
      </c>
      <c r="N217" s="379" t="s">
        <v>17949</v>
      </c>
      <c r="O217" s="380">
        <v>45504</v>
      </c>
      <c r="P217" s="381">
        <v>0</v>
      </c>
      <c r="Q217" s="340">
        <v>0</v>
      </c>
      <c r="R217" s="340">
        <v>0</v>
      </c>
      <c r="S217" s="341">
        <v>0</v>
      </c>
      <c r="T217" s="341">
        <v>0</v>
      </c>
      <c r="U217" s="341">
        <v>0</v>
      </c>
      <c r="V217" s="340">
        <v>0</v>
      </c>
      <c r="W217" s="340">
        <v>0</v>
      </c>
    </row>
    <row r="218" spans="1:23">
      <c r="A218" s="332">
        <v>60000</v>
      </c>
      <c r="B218" s="333">
        <v>126000</v>
      </c>
      <c r="C218" s="334" t="s">
        <v>19679</v>
      </c>
      <c r="D218" s="371" t="s">
        <v>19452</v>
      </c>
      <c r="E218" s="372" t="s">
        <v>229</v>
      </c>
      <c r="F218" s="397" t="s">
        <v>20155</v>
      </c>
      <c r="G218" s="336">
        <v>45504</v>
      </c>
      <c r="H218" s="337">
        <v>60000</v>
      </c>
      <c r="I218" s="337"/>
      <c r="J218" s="338"/>
      <c r="K218" s="337"/>
      <c r="L218" s="339" t="s">
        <v>20540</v>
      </c>
      <c r="M218" s="318" t="s">
        <v>20645</v>
      </c>
      <c r="N218" s="379" t="s">
        <v>20161</v>
      </c>
      <c r="O218" s="380">
        <v>45513</v>
      </c>
      <c r="P218" s="381">
        <v>0</v>
      </c>
      <c r="Q218" s="340">
        <v>0</v>
      </c>
      <c r="R218" s="340">
        <v>0</v>
      </c>
      <c r="S218" s="341">
        <v>0</v>
      </c>
      <c r="T218" s="341">
        <v>0</v>
      </c>
      <c r="U218" s="341">
        <v>0</v>
      </c>
      <c r="V218" s="340">
        <v>0</v>
      </c>
      <c r="W218" s="340">
        <v>0</v>
      </c>
    </row>
    <row r="219" spans="1:23">
      <c r="A219" s="332">
        <v>266534</v>
      </c>
      <c r="B219" s="333">
        <v>573594.02284799994</v>
      </c>
      <c r="C219" s="334" t="s">
        <v>20407</v>
      </c>
      <c r="D219" s="371" t="s">
        <v>19453</v>
      </c>
      <c r="E219" s="372" t="s">
        <v>230</v>
      </c>
      <c r="F219" s="397" t="s">
        <v>20155</v>
      </c>
      <c r="G219" s="336">
        <v>45506</v>
      </c>
      <c r="H219" s="337">
        <v>54000</v>
      </c>
      <c r="I219" s="337">
        <v>161731</v>
      </c>
      <c r="J219" s="338">
        <v>50803</v>
      </c>
      <c r="K219" s="337"/>
      <c r="L219" s="339" t="s">
        <v>20424</v>
      </c>
      <c r="M219" s="318" t="s">
        <v>20646</v>
      </c>
      <c r="N219" s="379" t="s">
        <v>17939</v>
      </c>
      <c r="O219" s="380">
        <v>45520</v>
      </c>
      <c r="P219" s="381">
        <v>0</v>
      </c>
      <c r="Q219" s="340">
        <v>0</v>
      </c>
      <c r="R219" s="340">
        <v>0</v>
      </c>
      <c r="S219" s="341">
        <v>0</v>
      </c>
      <c r="T219" s="341">
        <v>0</v>
      </c>
      <c r="U219" s="341">
        <v>0</v>
      </c>
      <c r="V219" s="340">
        <v>0</v>
      </c>
      <c r="W219" s="340">
        <v>0</v>
      </c>
    </row>
    <row r="220" spans="1:23">
      <c r="A220" s="332">
        <v>43200</v>
      </c>
      <c r="B220" s="333">
        <v>88992</v>
      </c>
      <c r="C220" s="334" t="s">
        <v>19655</v>
      </c>
      <c r="D220" s="371" t="s">
        <v>19454</v>
      </c>
      <c r="E220" s="372" t="s">
        <v>231</v>
      </c>
      <c r="F220" s="397" t="s">
        <v>20155</v>
      </c>
      <c r="G220" s="336">
        <v>45509</v>
      </c>
      <c r="H220" s="337">
        <v>43200</v>
      </c>
      <c r="I220" s="337"/>
      <c r="J220" s="338"/>
      <c r="K220" s="337"/>
      <c r="L220" s="339" t="s">
        <v>18201</v>
      </c>
      <c r="M220" s="318" t="s">
        <v>20647</v>
      </c>
      <c r="N220" s="379" t="s">
        <v>17949</v>
      </c>
      <c r="O220" s="380">
        <v>45512</v>
      </c>
      <c r="P220" s="381">
        <v>0</v>
      </c>
      <c r="Q220" s="340">
        <v>0</v>
      </c>
      <c r="R220" s="340">
        <v>0</v>
      </c>
      <c r="S220" s="341">
        <v>0</v>
      </c>
      <c r="T220" s="341">
        <v>0</v>
      </c>
      <c r="U220" s="341">
        <v>0</v>
      </c>
      <c r="V220" s="340">
        <v>0</v>
      </c>
      <c r="W220" s="340">
        <v>0</v>
      </c>
    </row>
    <row r="221" spans="1:23">
      <c r="A221" s="332">
        <v>40300</v>
      </c>
      <c r="B221" s="333">
        <v>113879.51835</v>
      </c>
      <c r="C221" s="334" t="s">
        <v>19659</v>
      </c>
      <c r="D221" s="371" t="s">
        <v>19455</v>
      </c>
      <c r="E221" s="372" t="s">
        <v>232</v>
      </c>
      <c r="F221" s="397" t="s">
        <v>20155</v>
      </c>
      <c r="G221" s="336">
        <v>45509</v>
      </c>
      <c r="H221" s="337">
        <v>40300</v>
      </c>
      <c r="I221" s="337"/>
      <c r="J221" s="338"/>
      <c r="K221" s="337"/>
      <c r="L221" s="339" t="s">
        <v>20398</v>
      </c>
      <c r="M221" s="318" t="s">
        <v>20648</v>
      </c>
      <c r="N221" s="379" t="s">
        <v>20161</v>
      </c>
      <c r="O221" s="380">
        <v>45518</v>
      </c>
      <c r="P221" s="381">
        <v>0</v>
      </c>
      <c r="Q221" s="340">
        <v>0</v>
      </c>
      <c r="R221" s="340">
        <v>0</v>
      </c>
      <c r="S221" s="341">
        <v>0</v>
      </c>
      <c r="T221" s="341">
        <v>0</v>
      </c>
      <c r="U221" s="341">
        <v>0</v>
      </c>
      <c r="V221" s="340">
        <v>0</v>
      </c>
      <c r="W221" s="340">
        <v>0</v>
      </c>
    </row>
    <row r="222" spans="1:23">
      <c r="A222" s="332">
        <v>20150</v>
      </c>
      <c r="B222" s="333">
        <v>49161.10355</v>
      </c>
      <c r="C222" s="334" t="s">
        <v>19659</v>
      </c>
      <c r="D222" s="371" t="s">
        <v>19456</v>
      </c>
      <c r="E222" s="372" t="s">
        <v>233</v>
      </c>
      <c r="F222" s="397" t="s">
        <v>20155</v>
      </c>
      <c r="G222" s="336">
        <v>45509</v>
      </c>
      <c r="H222" s="337">
        <v>20150</v>
      </c>
      <c r="I222" s="337"/>
      <c r="J222" s="338"/>
      <c r="K222" s="337"/>
      <c r="L222" s="339" t="s">
        <v>20398</v>
      </c>
      <c r="M222" s="318" t="s">
        <v>20649</v>
      </c>
      <c r="N222" s="379" t="s">
        <v>20161</v>
      </c>
      <c r="O222" s="380">
        <v>45518</v>
      </c>
      <c r="P222" s="381">
        <v>0</v>
      </c>
      <c r="Q222" s="340">
        <v>0</v>
      </c>
      <c r="R222" s="340">
        <v>0</v>
      </c>
      <c r="S222" s="341">
        <v>0</v>
      </c>
      <c r="T222" s="341">
        <v>0</v>
      </c>
      <c r="U222" s="341">
        <v>0</v>
      </c>
      <c r="V222" s="340">
        <v>0</v>
      </c>
      <c r="W222" s="340">
        <v>0</v>
      </c>
    </row>
    <row r="223" spans="1:23">
      <c r="A223" s="332">
        <v>84000</v>
      </c>
      <c r="B223" s="333">
        <v>132720</v>
      </c>
      <c r="C223" s="334" t="s">
        <v>19656</v>
      </c>
      <c r="D223" s="371" t="s">
        <v>19457</v>
      </c>
      <c r="E223" s="372" t="s">
        <v>234</v>
      </c>
      <c r="F223" s="397" t="s">
        <v>20155</v>
      </c>
      <c r="G223" s="336">
        <v>45513</v>
      </c>
      <c r="H223" s="337"/>
      <c r="I223" s="337"/>
      <c r="J223" s="338">
        <v>84000</v>
      </c>
      <c r="K223" s="337"/>
      <c r="L223" s="339" t="s">
        <v>20398</v>
      </c>
      <c r="M223" s="318" t="s">
        <v>20650</v>
      </c>
      <c r="N223" s="379" t="s">
        <v>17777</v>
      </c>
      <c r="O223" s="380">
        <v>45526</v>
      </c>
      <c r="P223" s="381">
        <v>0</v>
      </c>
      <c r="Q223" s="340">
        <v>0</v>
      </c>
      <c r="R223" s="340">
        <v>0</v>
      </c>
      <c r="S223" s="341">
        <v>0</v>
      </c>
      <c r="T223" s="341">
        <v>0</v>
      </c>
      <c r="U223" s="341">
        <v>0</v>
      </c>
      <c r="V223" s="340">
        <v>0</v>
      </c>
      <c r="W223" s="340">
        <v>0</v>
      </c>
    </row>
    <row r="224" spans="1:23">
      <c r="A224" s="332">
        <v>280000</v>
      </c>
      <c r="B224" s="333">
        <v>417200</v>
      </c>
      <c r="C224" s="334" t="s">
        <v>19652</v>
      </c>
      <c r="D224" s="371" t="s">
        <v>19458</v>
      </c>
      <c r="E224" s="372" t="s">
        <v>235</v>
      </c>
      <c r="F224" s="397" t="s">
        <v>20155</v>
      </c>
      <c r="G224" s="336">
        <v>45513</v>
      </c>
      <c r="H224" s="337"/>
      <c r="I224" s="337"/>
      <c r="J224" s="338">
        <v>280000</v>
      </c>
      <c r="K224" s="337"/>
      <c r="L224" s="339" t="s">
        <v>20398</v>
      </c>
      <c r="M224" s="318" t="s">
        <v>20651</v>
      </c>
      <c r="N224" s="379" t="s">
        <v>17801</v>
      </c>
      <c r="O224" s="380">
        <v>45525</v>
      </c>
      <c r="P224" s="381">
        <v>0</v>
      </c>
      <c r="Q224" s="340">
        <v>0</v>
      </c>
      <c r="R224" s="340">
        <v>0</v>
      </c>
      <c r="S224" s="341">
        <v>0</v>
      </c>
      <c r="T224" s="341">
        <v>0</v>
      </c>
      <c r="U224" s="341">
        <v>0</v>
      </c>
      <c r="V224" s="340">
        <v>0</v>
      </c>
      <c r="W224" s="340">
        <v>0</v>
      </c>
    </row>
    <row r="225" spans="1:23">
      <c r="A225" s="332">
        <v>134050</v>
      </c>
      <c r="B225" s="333">
        <v>252074.50904999999</v>
      </c>
      <c r="C225" s="334" t="s">
        <v>17375</v>
      </c>
      <c r="D225" s="371" t="s">
        <v>19459</v>
      </c>
      <c r="E225" s="372" t="s">
        <v>236</v>
      </c>
      <c r="F225" s="389" t="s">
        <v>20155</v>
      </c>
      <c r="G225" s="336">
        <v>45518</v>
      </c>
      <c r="H225" s="337"/>
      <c r="I225" s="337">
        <v>99050</v>
      </c>
      <c r="J225" s="338">
        <v>35000</v>
      </c>
      <c r="K225" s="337"/>
      <c r="L225" s="339" t="s">
        <v>20427</v>
      </c>
      <c r="M225" s="318" t="s">
        <v>20652</v>
      </c>
      <c r="N225" s="379" t="s">
        <v>20173</v>
      </c>
      <c r="O225" s="380">
        <v>45535</v>
      </c>
      <c r="P225" s="381">
        <v>0</v>
      </c>
      <c r="Q225" s="340">
        <v>0</v>
      </c>
      <c r="R225" s="340">
        <v>0</v>
      </c>
      <c r="S225" s="341">
        <v>0</v>
      </c>
      <c r="T225" s="341">
        <v>0</v>
      </c>
      <c r="U225" s="341">
        <v>0</v>
      </c>
      <c r="V225" s="340">
        <v>0</v>
      </c>
      <c r="W225" s="340">
        <v>0</v>
      </c>
    </row>
    <row r="226" spans="1:23">
      <c r="A226" s="332">
        <v>19160</v>
      </c>
      <c r="B226" s="333">
        <v>42639.613305000006</v>
      </c>
      <c r="C226" s="334" t="s">
        <v>20653</v>
      </c>
      <c r="D226" s="371" t="s">
        <v>19460</v>
      </c>
      <c r="E226" s="372" t="s">
        <v>237</v>
      </c>
      <c r="F226" s="389" t="s">
        <v>20155</v>
      </c>
      <c r="G226" s="336">
        <v>45518</v>
      </c>
      <c r="H226" s="337">
        <v>10660</v>
      </c>
      <c r="I226" s="337">
        <v>8500</v>
      </c>
      <c r="J226" s="338"/>
      <c r="K226" s="337"/>
      <c r="L226" s="339" t="s">
        <v>20654</v>
      </c>
      <c r="M226" s="318" t="s">
        <v>20655</v>
      </c>
      <c r="N226" s="379" t="s">
        <v>18094</v>
      </c>
      <c r="O226" s="380">
        <v>45538</v>
      </c>
      <c r="P226" s="381">
        <v>5935.2647500000003</v>
      </c>
      <c r="Q226" s="340">
        <v>0.30977373434237998</v>
      </c>
      <c r="R226" s="340">
        <v>3302.1880080897704</v>
      </c>
      <c r="S226" s="341">
        <v>2633.0767419102299</v>
      </c>
      <c r="T226" s="341">
        <v>0</v>
      </c>
      <c r="U226" s="341">
        <v>0</v>
      </c>
      <c r="V226" s="340">
        <v>5935.2647500000003</v>
      </c>
      <c r="W226" s="340">
        <v>0</v>
      </c>
    </row>
    <row r="227" spans="1:23">
      <c r="A227" s="332">
        <v>96000</v>
      </c>
      <c r="B227" s="333">
        <v>197760</v>
      </c>
      <c r="C227" s="334" t="s">
        <v>19656</v>
      </c>
      <c r="D227" s="371" t="s">
        <v>19461</v>
      </c>
      <c r="E227" s="372" t="s">
        <v>238</v>
      </c>
      <c r="F227" s="397" t="s">
        <v>20155</v>
      </c>
      <c r="G227" s="336">
        <v>45518</v>
      </c>
      <c r="H227" s="337">
        <v>96000</v>
      </c>
      <c r="I227" s="337"/>
      <c r="J227" s="338"/>
      <c r="K227" s="337"/>
      <c r="L227" s="339" t="s">
        <v>20427</v>
      </c>
      <c r="M227" s="318" t="s">
        <v>20656</v>
      </c>
      <c r="N227" s="379" t="s">
        <v>17965</v>
      </c>
      <c r="O227" s="380">
        <v>45525</v>
      </c>
      <c r="P227" s="381">
        <v>0</v>
      </c>
      <c r="Q227" s="340">
        <v>0</v>
      </c>
      <c r="R227" s="340">
        <v>0</v>
      </c>
      <c r="S227" s="341">
        <v>0</v>
      </c>
      <c r="T227" s="341">
        <v>0</v>
      </c>
      <c r="U227" s="341">
        <v>0</v>
      </c>
      <c r="V227" s="340">
        <v>0</v>
      </c>
      <c r="W227" s="340">
        <v>0</v>
      </c>
    </row>
    <row r="228" spans="1:23">
      <c r="A228" s="332">
        <v>22070</v>
      </c>
      <c r="B228" s="333">
        <v>98519.184175999995</v>
      </c>
      <c r="C228" s="334" t="s">
        <v>19653</v>
      </c>
      <c r="D228" s="371" t="s">
        <v>19462</v>
      </c>
      <c r="E228" s="372" t="s">
        <v>239</v>
      </c>
      <c r="F228" s="397" t="s">
        <v>20155</v>
      </c>
      <c r="G228" s="336">
        <v>45518</v>
      </c>
      <c r="H228" s="337"/>
      <c r="I228" s="337">
        <v>22070</v>
      </c>
      <c r="J228" s="338"/>
      <c r="K228" s="337"/>
      <c r="L228" s="339" t="s">
        <v>20398</v>
      </c>
      <c r="M228" s="318" t="s">
        <v>20657</v>
      </c>
      <c r="N228" s="379" t="s">
        <v>20379</v>
      </c>
      <c r="O228" s="380">
        <v>45526</v>
      </c>
      <c r="P228" s="381">
        <v>0</v>
      </c>
      <c r="Q228" s="340">
        <v>0</v>
      </c>
      <c r="R228" s="340">
        <v>0</v>
      </c>
      <c r="S228" s="341">
        <v>0</v>
      </c>
      <c r="T228" s="341">
        <v>0</v>
      </c>
      <c r="U228" s="341">
        <v>0</v>
      </c>
      <c r="V228" s="340">
        <v>0</v>
      </c>
      <c r="W228" s="340">
        <v>0</v>
      </c>
    </row>
    <row r="229" spans="1:23">
      <c r="A229" s="332">
        <v>135000</v>
      </c>
      <c r="B229" s="333">
        <v>222075</v>
      </c>
      <c r="C229" s="334" t="s">
        <v>19647</v>
      </c>
      <c r="D229" s="371" t="s">
        <v>19463</v>
      </c>
      <c r="E229" s="372" t="s">
        <v>240</v>
      </c>
      <c r="F229" s="389" t="s">
        <v>20155</v>
      </c>
      <c r="G229" s="336">
        <v>45518</v>
      </c>
      <c r="H229" s="337"/>
      <c r="I229" s="337">
        <v>135000</v>
      </c>
      <c r="J229" s="338"/>
      <c r="K229" s="337"/>
      <c r="L229" s="339" t="s">
        <v>20398</v>
      </c>
      <c r="M229" s="318" t="s">
        <v>20658</v>
      </c>
      <c r="N229" s="379" t="s">
        <v>20321</v>
      </c>
      <c r="O229" s="380">
        <v>45538</v>
      </c>
      <c r="P229" s="381">
        <v>0</v>
      </c>
      <c r="Q229" s="340">
        <v>0</v>
      </c>
      <c r="R229" s="340">
        <v>0</v>
      </c>
      <c r="S229" s="341">
        <v>0</v>
      </c>
      <c r="T229" s="341">
        <v>0</v>
      </c>
      <c r="U229" s="341">
        <v>0</v>
      </c>
      <c r="V229" s="340">
        <v>0</v>
      </c>
      <c r="W229" s="340">
        <v>0</v>
      </c>
    </row>
    <row r="230" spans="1:23">
      <c r="A230" s="332">
        <v>27600</v>
      </c>
      <c r="B230" s="333">
        <v>56856</v>
      </c>
      <c r="C230" s="334" t="s">
        <v>19833</v>
      </c>
      <c r="D230" s="371" t="s">
        <v>19464</v>
      </c>
      <c r="E230" s="372" t="s">
        <v>241</v>
      </c>
      <c r="F230" s="397" t="s">
        <v>20155</v>
      </c>
      <c r="G230" s="336">
        <v>45518</v>
      </c>
      <c r="H230" s="337">
        <v>27600</v>
      </c>
      <c r="I230" s="337"/>
      <c r="J230" s="338"/>
      <c r="K230" s="337"/>
      <c r="L230" s="339" t="s">
        <v>20446</v>
      </c>
      <c r="M230" s="318" t="s">
        <v>20659</v>
      </c>
      <c r="N230" s="379" t="s">
        <v>18248</v>
      </c>
      <c r="O230" s="380">
        <v>45526</v>
      </c>
      <c r="P230" s="381">
        <v>0</v>
      </c>
      <c r="Q230" s="340">
        <v>0</v>
      </c>
      <c r="R230" s="340">
        <v>0</v>
      </c>
      <c r="S230" s="341">
        <v>0</v>
      </c>
      <c r="T230" s="341">
        <v>0</v>
      </c>
      <c r="U230" s="341">
        <v>0</v>
      </c>
      <c r="V230" s="340">
        <v>0</v>
      </c>
      <c r="W230" s="340">
        <v>0</v>
      </c>
    </row>
    <row r="231" spans="1:23">
      <c r="A231" s="332">
        <v>43200</v>
      </c>
      <c r="B231" s="333">
        <v>88992</v>
      </c>
      <c r="C231" s="334" t="s">
        <v>19655</v>
      </c>
      <c r="D231" s="371" t="s">
        <v>19465</v>
      </c>
      <c r="E231" s="372" t="s">
        <v>242</v>
      </c>
      <c r="F231" s="397" t="s">
        <v>20155</v>
      </c>
      <c r="G231" s="336">
        <v>45518</v>
      </c>
      <c r="H231" s="337">
        <v>43200</v>
      </c>
      <c r="I231" s="337"/>
      <c r="J231" s="338"/>
      <c r="K231" s="337"/>
      <c r="L231" s="339" t="s">
        <v>18201</v>
      </c>
      <c r="M231" s="318" t="s">
        <v>20660</v>
      </c>
      <c r="N231" s="379" t="s">
        <v>20173</v>
      </c>
      <c r="O231" s="380">
        <v>45526</v>
      </c>
      <c r="P231" s="381">
        <v>0</v>
      </c>
      <c r="Q231" s="340">
        <v>0</v>
      </c>
      <c r="R231" s="340">
        <v>0</v>
      </c>
      <c r="S231" s="341">
        <v>0</v>
      </c>
      <c r="T231" s="341">
        <v>0</v>
      </c>
      <c r="U231" s="341">
        <v>0</v>
      </c>
      <c r="V231" s="340">
        <v>0</v>
      </c>
      <c r="W231" s="340">
        <v>0</v>
      </c>
    </row>
    <row r="232" spans="1:23">
      <c r="A232" s="332">
        <v>25212</v>
      </c>
      <c r="B232" s="333">
        <v>79587.935433000006</v>
      </c>
      <c r="C232" s="334" t="s">
        <v>19661</v>
      </c>
      <c r="D232" s="371" t="s">
        <v>19466</v>
      </c>
      <c r="E232" s="372" t="s">
        <v>243</v>
      </c>
      <c r="F232" s="389" t="s">
        <v>20155</v>
      </c>
      <c r="G232" s="336">
        <v>45518</v>
      </c>
      <c r="H232" s="337"/>
      <c r="I232" s="337">
        <v>17712</v>
      </c>
      <c r="J232" s="338">
        <v>7500</v>
      </c>
      <c r="K232" s="337"/>
      <c r="L232" s="339" t="s">
        <v>20424</v>
      </c>
      <c r="M232" s="318" t="s">
        <v>20661</v>
      </c>
      <c r="N232" s="379" t="s">
        <v>20160</v>
      </c>
      <c r="O232" s="380">
        <v>45532</v>
      </c>
      <c r="P232" s="381">
        <v>14425.987500000001</v>
      </c>
      <c r="Q232" s="340">
        <v>0.57218735126130416</v>
      </c>
      <c r="R232" s="340">
        <v>0</v>
      </c>
      <c r="S232" s="341">
        <v>10134.58236554022</v>
      </c>
      <c r="T232" s="341">
        <v>4291.405134459781</v>
      </c>
      <c r="U232" s="341">
        <v>0</v>
      </c>
      <c r="V232" s="340">
        <v>14425.987500000001</v>
      </c>
      <c r="W232" s="340">
        <v>0</v>
      </c>
    </row>
    <row r="233" spans="1:23">
      <c r="A233" s="332">
        <v>134400</v>
      </c>
      <c r="B233" s="333">
        <v>299489.1361</v>
      </c>
      <c r="C233" s="334" t="s">
        <v>20534</v>
      </c>
      <c r="D233" s="371" t="s">
        <v>19467</v>
      </c>
      <c r="E233" s="372" t="s">
        <v>244</v>
      </c>
      <c r="F233" s="397" t="s">
        <v>20155</v>
      </c>
      <c r="G233" s="336">
        <v>45518</v>
      </c>
      <c r="H233" s="337">
        <v>134400</v>
      </c>
      <c r="I233" s="337"/>
      <c r="J233" s="338"/>
      <c r="K233" s="337"/>
      <c r="L233" s="339" t="s">
        <v>20424</v>
      </c>
      <c r="M233" s="318" t="s">
        <v>20662</v>
      </c>
      <c r="N233" s="379" t="s">
        <v>20321</v>
      </c>
      <c r="O233" s="380">
        <v>45527</v>
      </c>
      <c r="P233" s="381">
        <v>21592.070500000002</v>
      </c>
      <c r="Q233" s="340">
        <v>0.16065528645833335</v>
      </c>
      <c r="R233" s="340">
        <v>21592.070500000002</v>
      </c>
      <c r="S233" s="341">
        <v>0</v>
      </c>
      <c r="T233" s="341">
        <v>0</v>
      </c>
      <c r="U233" s="341">
        <v>0</v>
      </c>
      <c r="V233" s="340">
        <v>21592.070500000002</v>
      </c>
      <c r="W233" s="340">
        <v>0</v>
      </c>
    </row>
    <row r="234" spans="1:23">
      <c r="A234" s="332">
        <v>56000</v>
      </c>
      <c r="B234" s="333">
        <v>88480</v>
      </c>
      <c r="C234" s="334" t="s">
        <v>19655</v>
      </c>
      <c r="D234" s="371" t="s">
        <v>19468</v>
      </c>
      <c r="E234" s="372" t="s">
        <v>245</v>
      </c>
      <c r="F234" s="397" t="s">
        <v>20155</v>
      </c>
      <c r="G234" s="336">
        <v>45523</v>
      </c>
      <c r="H234" s="337"/>
      <c r="I234" s="337"/>
      <c r="J234" s="338">
        <v>56000</v>
      </c>
      <c r="K234" s="337"/>
      <c r="L234" s="339" t="s">
        <v>18201</v>
      </c>
      <c r="M234" s="318" t="s">
        <v>20663</v>
      </c>
      <c r="N234" s="379" t="s">
        <v>20173</v>
      </c>
      <c r="O234" s="380">
        <v>45531</v>
      </c>
      <c r="P234" s="381">
        <v>0</v>
      </c>
      <c r="Q234" s="340">
        <v>0</v>
      </c>
      <c r="R234" s="340">
        <v>0</v>
      </c>
      <c r="S234" s="341">
        <v>0</v>
      </c>
      <c r="T234" s="341">
        <v>0</v>
      </c>
      <c r="U234" s="341">
        <v>0</v>
      </c>
      <c r="V234" s="340">
        <v>0</v>
      </c>
      <c r="W234" s="340">
        <v>0</v>
      </c>
    </row>
    <row r="235" spans="1:23">
      <c r="A235" s="332">
        <v>54000</v>
      </c>
      <c r="B235" s="333">
        <v>124873.9565</v>
      </c>
      <c r="C235" s="334" t="s">
        <v>17355</v>
      </c>
      <c r="D235" s="371" t="s">
        <v>19469</v>
      </c>
      <c r="E235" s="372" t="s">
        <v>246</v>
      </c>
      <c r="F235" s="397" t="s">
        <v>20155</v>
      </c>
      <c r="G235" s="336">
        <v>45524</v>
      </c>
      <c r="H235" s="337">
        <v>54000</v>
      </c>
      <c r="I235" s="337"/>
      <c r="J235" s="338"/>
      <c r="K235" s="337"/>
      <c r="L235" s="339" t="s">
        <v>20427</v>
      </c>
      <c r="M235" s="318" t="s">
        <v>20664</v>
      </c>
      <c r="N235" s="379" t="s">
        <v>20321</v>
      </c>
      <c r="O235" s="380">
        <v>45531</v>
      </c>
      <c r="P235" s="381">
        <v>10442.894</v>
      </c>
      <c r="Q235" s="340">
        <v>0.19338692592592593</v>
      </c>
      <c r="R235" s="340">
        <v>10442.894</v>
      </c>
      <c r="S235" s="341">
        <v>0</v>
      </c>
      <c r="T235" s="341">
        <v>0</v>
      </c>
      <c r="U235" s="341">
        <v>0</v>
      </c>
      <c r="V235" s="340">
        <v>10442.894</v>
      </c>
      <c r="W235" s="340">
        <v>0</v>
      </c>
    </row>
    <row r="236" spans="1:23">
      <c r="A236" s="332">
        <v>22152</v>
      </c>
      <c r="B236" s="333">
        <v>76041.015224999996</v>
      </c>
      <c r="C236" s="334" t="s">
        <v>18621</v>
      </c>
      <c r="D236" s="371" t="s">
        <v>19470</v>
      </c>
      <c r="E236" s="372" t="s">
        <v>247</v>
      </c>
      <c r="F236" s="389" t="s">
        <v>20155</v>
      </c>
      <c r="G236" s="336">
        <v>45524</v>
      </c>
      <c r="H236" s="337"/>
      <c r="I236" s="337">
        <v>16152</v>
      </c>
      <c r="J236" s="338">
        <v>6000</v>
      </c>
      <c r="K236" s="337"/>
      <c r="L236" s="339" t="s">
        <v>20424</v>
      </c>
      <c r="M236" s="318" t="s">
        <v>20665</v>
      </c>
      <c r="N236" s="379" t="s">
        <v>16394</v>
      </c>
      <c r="O236" s="380">
        <v>45527</v>
      </c>
      <c r="P236" s="381">
        <v>0</v>
      </c>
      <c r="Q236" s="340">
        <v>0</v>
      </c>
      <c r="R236" s="340">
        <v>0</v>
      </c>
      <c r="S236" s="341">
        <v>0</v>
      </c>
      <c r="T236" s="341">
        <v>0</v>
      </c>
      <c r="U236" s="341">
        <v>0</v>
      </c>
      <c r="V236" s="340">
        <v>0</v>
      </c>
      <c r="W236" s="340">
        <v>0</v>
      </c>
    </row>
    <row r="237" spans="1:23">
      <c r="A237" s="332">
        <v>22444</v>
      </c>
      <c r="B237" s="333">
        <v>86139.506017499996</v>
      </c>
      <c r="C237" s="334" t="s">
        <v>18621</v>
      </c>
      <c r="D237" s="371" t="s">
        <v>19471</v>
      </c>
      <c r="E237" s="372" t="s">
        <v>248</v>
      </c>
      <c r="F237" s="389" t="s">
        <v>20155</v>
      </c>
      <c r="G237" s="336">
        <v>45524</v>
      </c>
      <c r="H237" s="337"/>
      <c r="I237" s="337">
        <v>12384</v>
      </c>
      <c r="J237" s="338">
        <v>6000</v>
      </c>
      <c r="K237" s="337">
        <v>4060</v>
      </c>
      <c r="L237" s="339" t="s">
        <v>20424</v>
      </c>
      <c r="M237" s="318" t="s">
        <v>20666</v>
      </c>
      <c r="N237" s="379" t="s">
        <v>16394</v>
      </c>
      <c r="O237" s="380">
        <v>45527</v>
      </c>
      <c r="P237" s="381">
        <v>0</v>
      </c>
      <c r="Q237" s="340">
        <v>0</v>
      </c>
      <c r="R237" s="340">
        <v>0</v>
      </c>
      <c r="S237" s="341">
        <v>0</v>
      </c>
      <c r="T237" s="341">
        <v>0</v>
      </c>
      <c r="U237" s="341">
        <v>0</v>
      </c>
      <c r="V237" s="340">
        <v>0</v>
      </c>
      <c r="W237" s="340">
        <v>0</v>
      </c>
    </row>
    <row r="238" spans="1:23">
      <c r="A238" s="332">
        <v>63808</v>
      </c>
      <c r="B238" s="333">
        <v>118127.08</v>
      </c>
      <c r="C238" s="334" t="s">
        <v>19656</v>
      </c>
      <c r="D238" s="371" t="s">
        <v>19472</v>
      </c>
      <c r="E238" s="372" t="s">
        <v>249</v>
      </c>
      <c r="F238" s="389" t="s">
        <v>20155</v>
      </c>
      <c r="G238" s="336">
        <v>45525</v>
      </c>
      <c r="H238" s="337">
        <v>22008</v>
      </c>
      <c r="I238" s="337">
        <v>12420</v>
      </c>
      <c r="J238" s="338">
        <v>29380</v>
      </c>
      <c r="K238" s="337"/>
      <c r="L238" s="339" t="s">
        <v>20430</v>
      </c>
      <c r="M238" s="318" t="s">
        <v>20667</v>
      </c>
      <c r="N238" s="379" t="s">
        <v>17771</v>
      </c>
      <c r="O238" s="380">
        <v>45540</v>
      </c>
      <c r="P238" s="381">
        <v>0</v>
      </c>
      <c r="Q238" s="340">
        <v>0</v>
      </c>
      <c r="R238" s="340">
        <v>0</v>
      </c>
      <c r="S238" s="341">
        <v>0</v>
      </c>
      <c r="T238" s="341">
        <v>0</v>
      </c>
      <c r="U238" s="341">
        <v>0</v>
      </c>
      <c r="V238" s="340">
        <v>0</v>
      </c>
      <c r="W238" s="340">
        <v>0</v>
      </c>
    </row>
    <row r="239" spans="1:23">
      <c r="A239" s="332">
        <v>57600</v>
      </c>
      <c r="B239" s="333">
        <v>115200</v>
      </c>
      <c r="C239" s="334" t="s">
        <v>19652</v>
      </c>
      <c r="D239" s="371" t="s">
        <v>19473</v>
      </c>
      <c r="E239" s="372" t="s">
        <v>250</v>
      </c>
      <c r="F239" s="389" t="s">
        <v>20155</v>
      </c>
      <c r="G239" s="336">
        <v>45525</v>
      </c>
      <c r="H239" s="337">
        <v>57600</v>
      </c>
      <c r="I239" s="337"/>
      <c r="J239" s="338"/>
      <c r="K239" s="337"/>
      <c r="L239" s="339" t="s">
        <v>20398</v>
      </c>
      <c r="M239" s="318" t="s">
        <v>20668</v>
      </c>
      <c r="N239" s="379" t="s">
        <v>17801</v>
      </c>
      <c r="O239" s="380">
        <v>45538</v>
      </c>
      <c r="P239" s="381">
        <v>0</v>
      </c>
      <c r="Q239" s="340">
        <v>0</v>
      </c>
      <c r="R239" s="340">
        <v>0</v>
      </c>
      <c r="S239" s="341">
        <v>0</v>
      </c>
      <c r="T239" s="341">
        <v>0</v>
      </c>
      <c r="U239" s="341">
        <v>0</v>
      </c>
      <c r="V239" s="340">
        <v>0</v>
      </c>
      <c r="W239" s="340">
        <v>0</v>
      </c>
    </row>
    <row r="240" spans="1:23">
      <c r="A240" s="332">
        <v>57600</v>
      </c>
      <c r="B240" s="333">
        <v>138466.70730000001</v>
      </c>
      <c r="C240" s="334" t="s">
        <v>19854</v>
      </c>
      <c r="D240" s="371" t="s">
        <v>19474</v>
      </c>
      <c r="E240" s="372" t="s">
        <v>251</v>
      </c>
      <c r="F240" s="389" t="s">
        <v>20155</v>
      </c>
      <c r="G240" s="336">
        <v>45525</v>
      </c>
      <c r="H240" s="337"/>
      <c r="I240" s="337">
        <v>57600</v>
      </c>
      <c r="J240" s="338"/>
      <c r="K240" s="337"/>
      <c r="L240" s="339" t="s">
        <v>20424</v>
      </c>
      <c r="M240" s="318" t="s">
        <v>20669</v>
      </c>
      <c r="N240" s="379" t="s">
        <v>17261</v>
      </c>
      <c r="O240" s="380">
        <v>45533</v>
      </c>
      <c r="P240" s="381">
        <v>28721.857500000002</v>
      </c>
      <c r="Q240" s="340">
        <v>0.49864335937500004</v>
      </c>
      <c r="R240" s="340">
        <v>0</v>
      </c>
      <c r="S240" s="341">
        <v>28721.857500000002</v>
      </c>
      <c r="T240" s="341">
        <v>0</v>
      </c>
      <c r="U240" s="341">
        <v>0</v>
      </c>
      <c r="V240" s="340">
        <v>28721.857500000002</v>
      </c>
      <c r="W240" s="340">
        <v>0</v>
      </c>
    </row>
    <row r="241" spans="1:23">
      <c r="A241" s="332">
        <v>24792</v>
      </c>
      <c r="B241" s="333">
        <v>78497.330778000003</v>
      </c>
      <c r="C241" s="334" t="s">
        <v>19661</v>
      </c>
      <c r="D241" s="371" t="s">
        <v>19475</v>
      </c>
      <c r="E241" s="372" t="s">
        <v>252</v>
      </c>
      <c r="F241" s="389" t="s">
        <v>20155</v>
      </c>
      <c r="G241" s="336">
        <v>45526</v>
      </c>
      <c r="H241" s="337"/>
      <c r="I241" s="337">
        <v>18792</v>
      </c>
      <c r="J241" s="338">
        <v>6000</v>
      </c>
      <c r="K241" s="337"/>
      <c r="L241" s="339" t="s">
        <v>20408</v>
      </c>
      <c r="M241" s="318" t="s">
        <v>20670</v>
      </c>
      <c r="N241" s="379" t="s">
        <v>20160</v>
      </c>
      <c r="O241" s="380">
        <v>45532</v>
      </c>
      <c r="P241" s="381">
        <v>14425.987500000001</v>
      </c>
      <c r="Q241" s="340">
        <v>0.58188074782187804</v>
      </c>
      <c r="R241" s="340">
        <v>0</v>
      </c>
      <c r="S241" s="341">
        <v>10934.703013068733</v>
      </c>
      <c r="T241" s="341">
        <v>3491.2844869312685</v>
      </c>
      <c r="U241" s="341">
        <v>0</v>
      </c>
      <c r="V241" s="340">
        <v>14425.987500000001</v>
      </c>
      <c r="W241" s="340">
        <v>0</v>
      </c>
    </row>
    <row r="242" spans="1:23">
      <c r="A242" s="332">
        <v>23868</v>
      </c>
      <c r="B242" s="333">
        <v>76199.831037000011</v>
      </c>
      <c r="C242" s="334" t="s">
        <v>19661</v>
      </c>
      <c r="D242" s="371" t="s">
        <v>19476</v>
      </c>
      <c r="E242" s="372" t="s">
        <v>253</v>
      </c>
      <c r="F242" s="389" t="s">
        <v>20155</v>
      </c>
      <c r="G242" s="336">
        <v>45526</v>
      </c>
      <c r="H242" s="337"/>
      <c r="I242" s="337">
        <v>19368</v>
      </c>
      <c r="J242" s="338">
        <v>4500</v>
      </c>
      <c r="K242" s="337"/>
      <c r="L242" s="339" t="s">
        <v>20424</v>
      </c>
      <c r="M242" s="318" t="s">
        <v>20671</v>
      </c>
      <c r="N242" s="379" t="s">
        <v>20160</v>
      </c>
      <c r="O242" s="380">
        <v>45532</v>
      </c>
      <c r="P242" s="381">
        <v>14425.987500000001</v>
      </c>
      <c r="Q242" s="340">
        <v>0.6044070512820513</v>
      </c>
      <c r="R242" s="340">
        <v>0</v>
      </c>
      <c r="S242" s="341">
        <v>11706.155769230769</v>
      </c>
      <c r="T242" s="341">
        <v>2719.8317307692309</v>
      </c>
      <c r="U242" s="341">
        <v>0</v>
      </c>
      <c r="V242" s="340">
        <v>14425.987499999999</v>
      </c>
      <c r="W242" s="340">
        <v>0</v>
      </c>
    </row>
    <row r="243" spans="1:23">
      <c r="A243" s="332">
        <v>165000</v>
      </c>
      <c r="B243" s="333">
        <v>278336.7</v>
      </c>
      <c r="C243" s="334" t="s">
        <v>19722</v>
      </c>
      <c r="D243" s="371" t="s">
        <v>19477</v>
      </c>
      <c r="E243" s="372" t="s">
        <v>254</v>
      </c>
      <c r="F243" s="389" t="s">
        <v>20155</v>
      </c>
      <c r="G243" s="336">
        <v>45530</v>
      </c>
      <c r="H243" s="337"/>
      <c r="I243" s="337"/>
      <c r="J243" s="338">
        <v>165000</v>
      </c>
      <c r="K243" s="337"/>
      <c r="L243" s="339" t="s">
        <v>20427</v>
      </c>
      <c r="M243" s="318" t="s">
        <v>20672</v>
      </c>
      <c r="N243" s="379" t="s">
        <v>17801</v>
      </c>
      <c r="O243" s="380">
        <v>45533</v>
      </c>
      <c r="P243" s="381">
        <v>0</v>
      </c>
      <c r="Q243" s="340">
        <v>0</v>
      </c>
      <c r="R243" s="340">
        <v>0</v>
      </c>
      <c r="S243" s="341">
        <v>0</v>
      </c>
      <c r="T243" s="341">
        <v>0</v>
      </c>
      <c r="U243" s="341">
        <v>0</v>
      </c>
      <c r="V243" s="340">
        <v>0</v>
      </c>
      <c r="W243" s="340">
        <v>0</v>
      </c>
    </row>
    <row r="244" spans="1:23">
      <c r="A244" s="332">
        <v>69509</v>
      </c>
      <c r="B244" s="333">
        <v>147126.24</v>
      </c>
      <c r="C244" s="334" t="s">
        <v>20616</v>
      </c>
      <c r="D244" s="371" t="s">
        <v>19478</v>
      </c>
      <c r="E244" s="372" t="s">
        <v>255</v>
      </c>
      <c r="F244" s="389" t="s">
        <v>20155</v>
      </c>
      <c r="G244" s="336">
        <v>45530</v>
      </c>
      <c r="H244" s="337">
        <v>66504</v>
      </c>
      <c r="I244" s="337"/>
      <c r="J244" s="338">
        <v>3005</v>
      </c>
      <c r="K244" s="337"/>
      <c r="L244" s="339" t="s">
        <v>20571</v>
      </c>
      <c r="M244" s="318" t="s">
        <v>20673</v>
      </c>
      <c r="N244" s="379" t="s">
        <v>17939</v>
      </c>
      <c r="O244" s="380">
        <v>45535</v>
      </c>
      <c r="P244" s="381">
        <v>0</v>
      </c>
      <c r="Q244" s="340">
        <v>0</v>
      </c>
      <c r="R244" s="340">
        <v>0</v>
      </c>
      <c r="S244" s="341">
        <v>0</v>
      </c>
      <c r="T244" s="341">
        <v>0</v>
      </c>
      <c r="U244" s="341">
        <v>0</v>
      </c>
      <c r="V244" s="340">
        <v>0</v>
      </c>
      <c r="W244" s="340">
        <v>0</v>
      </c>
    </row>
    <row r="245" spans="1:23">
      <c r="A245" s="332">
        <v>100020</v>
      </c>
      <c r="B245" s="333">
        <v>214042.8</v>
      </c>
      <c r="C245" s="334" t="s">
        <v>20616</v>
      </c>
      <c r="D245" s="371" t="s">
        <v>19479</v>
      </c>
      <c r="E245" s="372" t="s">
        <v>256</v>
      </c>
      <c r="F245" s="389" t="s">
        <v>20155</v>
      </c>
      <c r="G245" s="336">
        <v>45530</v>
      </c>
      <c r="H245" s="337">
        <v>100020</v>
      </c>
      <c r="I245" s="337"/>
      <c r="J245" s="338"/>
      <c r="K245" s="337"/>
      <c r="L245" s="339" t="s">
        <v>20571</v>
      </c>
      <c r="M245" s="318" t="s">
        <v>20674</v>
      </c>
      <c r="N245" s="379" t="s">
        <v>17939</v>
      </c>
      <c r="O245" s="380">
        <v>45561</v>
      </c>
      <c r="P245" s="381">
        <v>0</v>
      </c>
      <c r="Q245" s="340">
        <v>0</v>
      </c>
      <c r="R245" s="340">
        <v>0</v>
      </c>
      <c r="S245" s="341">
        <v>0</v>
      </c>
      <c r="T245" s="341">
        <v>0</v>
      </c>
      <c r="U245" s="341">
        <v>0</v>
      </c>
      <c r="V245" s="340">
        <v>0</v>
      </c>
      <c r="W245" s="340">
        <v>0</v>
      </c>
    </row>
    <row r="246" spans="1:23">
      <c r="A246" s="332">
        <v>165000</v>
      </c>
      <c r="B246" s="333">
        <v>277512.60000000003</v>
      </c>
      <c r="C246" s="334" t="s">
        <v>19722</v>
      </c>
      <c r="D246" s="371" t="s">
        <v>19480</v>
      </c>
      <c r="E246" s="372" t="s">
        <v>257</v>
      </c>
      <c r="F246" s="389" t="s">
        <v>20155</v>
      </c>
      <c r="G246" s="336">
        <v>45530</v>
      </c>
      <c r="H246" s="337"/>
      <c r="I246" s="337"/>
      <c r="J246" s="338">
        <v>165000</v>
      </c>
      <c r="K246" s="337"/>
      <c r="L246" s="339" t="s">
        <v>19705</v>
      </c>
      <c r="M246" s="318" t="s">
        <v>20675</v>
      </c>
      <c r="N246" s="379" t="s">
        <v>17801</v>
      </c>
      <c r="O246" s="380">
        <v>45535</v>
      </c>
      <c r="P246" s="381">
        <v>0</v>
      </c>
      <c r="Q246" s="340">
        <v>0</v>
      </c>
      <c r="R246" s="340">
        <v>0</v>
      </c>
      <c r="S246" s="341">
        <v>0</v>
      </c>
      <c r="T246" s="341">
        <v>0</v>
      </c>
      <c r="U246" s="341">
        <v>0</v>
      </c>
      <c r="V246" s="340">
        <v>0</v>
      </c>
      <c r="W246" s="340">
        <v>0</v>
      </c>
    </row>
    <row r="247" spans="1:23">
      <c r="A247" s="332">
        <v>272160</v>
      </c>
      <c r="B247" s="333">
        <v>506351.60700000002</v>
      </c>
      <c r="C247" s="334" t="s">
        <v>19804</v>
      </c>
      <c r="D247" s="371" t="s">
        <v>19481</v>
      </c>
      <c r="E247" s="372" t="s">
        <v>258</v>
      </c>
      <c r="F247" s="389" t="s">
        <v>20155</v>
      </c>
      <c r="G247" s="336">
        <v>45530</v>
      </c>
      <c r="H247" s="337">
        <v>21600</v>
      </c>
      <c r="I247" s="337">
        <v>111360</v>
      </c>
      <c r="J247" s="338">
        <v>139200</v>
      </c>
      <c r="K247" s="337"/>
      <c r="L247" s="339" t="s">
        <v>20424</v>
      </c>
      <c r="M247" s="318" t="s">
        <v>20676</v>
      </c>
      <c r="N247" s="379" t="s">
        <v>20173</v>
      </c>
      <c r="O247" s="380">
        <v>45535</v>
      </c>
      <c r="P247" s="381">
        <v>0</v>
      </c>
      <c r="Q247" s="340">
        <v>0</v>
      </c>
      <c r="R247" s="340">
        <v>0</v>
      </c>
      <c r="S247" s="341">
        <v>0</v>
      </c>
      <c r="T247" s="341">
        <v>0</v>
      </c>
      <c r="U247" s="341">
        <v>0</v>
      </c>
      <c r="V247" s="340">
        <v>0</v>
      </c>
      <c r="W247" s="340">
        <v>0</v>
      </c>
    </row>
    <row r="248" spans="1:23">
      <c r="A248" s="332">
        <v>23608</v>
      </c>
      <c r="B248" s="333">
        <v>73499.162506000008</v>
      </c>
      <c r="C248" s="334" t="s">
        <v>17305</v>
      </c>
      <c r="D248" s="371" t="s">
        <v>19482</v>
      </c>
      <c r="E248" s="372" t="s">
        <v>259</v>
      </c>
      <c r="F248" s="389" t="s">
        <v>20155</v>
      </c>
      <c r="G248" s="336">
        <v>45530</v>
      </c>
      <c r="H248" s="337"/>
      <c r="I248" s="337"/>
      <c r="J248" s="338">
        <v>23608</v>
      </c>
      <c r="K248" s="337"/>
      <c r="L248" s="339" t="s">
        <v>20459</v>
      </c>
      <c r="M248" s="318" t="s">
        <v>20677</v>
      </c>
      <c r="N248" s="379" t="s">
        <v>17238</v>
      </c>
      <c r="O248" s="380">
        <v>45535</v>
      </c>
      <c r="P248" s="381">
        <v>13004.972750000001</v>
      </c>
      <c r="Q248" s="340">
        <v>0.55087143129447647</v>
      </c>
      <c r="R248" s="340">
        <v>0</v>
      </c>
      <c r="S248" s="341">
        <v>0</v>
      </c>
      <c r="T248" s="341">
        <v>13004.972750000001</v>
      </c>
      <c r="U248" s="341">
        <v>0</v>
      </c>
      <c r="V248" s="340">
        <v>13004.972750000001</v>
      </c>
      <c r="W248" s="340">
        <v>0</v>
      </c>
    </row>
    <row r="249" spans="1:23">
      <c r="A249" s="332">
        <v>25370</v>
      </c>
      <c r="B249" s="333">
        <v>82792.037559000004</v>
      </c>
      <c r="C249" s="334" t="s">
        <v>17305</v>
      </c>
      <c r="D249" s="371" t="s">
        <v>19483</v>
      </c>
      <c r="E249" s="372" t="s">
        <v>260</v>
      </c>
      <c r="F249" s="389" t="s">
        <v>20155</v>
      </c>
      <c r="G249" s="336">
        <v>45530</v>
      </c>
      <c r="H249" s="337">
        <v>2500</v>
      </c>
      <c r="I249" s="337">
        <v>17150</v>
      </c>
      <c r="J249" s="338">
        <v>4320</v>
      </c>
      <c r="K249" s="337">
        <v>1400</v>
      </c>
      <c r="L249" s="339" t="s">
        <v>20424</v>
      </c>
      <c r="M249" s="318" t="s">
        <v>20678</v>
      </c>
      <c r="N249" s="379" t="s">
        <v>17954</v>
      </c>
      <c r="O249" s="380">
        <v>45535</v>
      </c>
      <c r="P249" s="381">
        <v>11565.015000000001</v>
      </c>
      <c r="Q249" s="340">
        <v>0.45585396137169892</v>
      </c>
      <c r="R249" s="340">
        <v>1139.6349034292473</v>
      </c>
      <c r="S249" s="341">
        <v>7817.8954375246367</v>
      </c>
      <c r="T249" s="341">
        <v>1969.2891131257393</v>
      </c>
      <c r="U249" s="341">
        <v>638.19554592037855</v>
      </c>
      <c r="V249" s="340">
        <v>11565.015000000003</v>
      </c>
      <c r="W249" s="340">
        <v>0</v>
      </c>
    </row>
    <row r="250" spans="1:23">
      <c r="A250" s="332">
        <v>96000</v>
      </c>
      <c r="B250" s="333">
        <v>216832.101</v>
      </c>
      <c r="C250" s="334" t="s">
        <v>20534</v>
      </c>
      <c r="D250" s="371" t="s">
        <v>19484</v>
      </c>
      <c r="E250" s="372" t="s">
        <v>261</v>
      </c>
      <c r="F250" s="389" t="s">
        <v>20155</v>
      </c>
      <c r="G250" s="336">
        <v>45530</v>
      </c>
      <c r="H250" s="337">
        <v>96000</v>
      </c>
      <c r="I250" s="337"/>
      <c r="J250" s="338"/>
      <c r="K250" s="337"/>
      <c r="L250" s="339" t="s">
        <v>20424</v>
      </c>
      <c r="M250" s="318" t="s">
        <v>20679</v>
      </c>
      <c r="N250" s="379" t="s">
        <v>20321</v>
      </c>
      <c r="O250" s="380">
        <v>45534</v>
      </c>
      <c r="P250" s="381">
        <v>15398.565000000001</v>
      </c>
      <c r="Q250" s="340">
        <v>0.16040171875000001</v>
      </c>
      <c r="R250" s="340">
        <v>15398.565000000001</v>
      </c>
      <c r="S250" s="341">
        <v>0</v>
      </c>
      <c r="T250" s="341">
        <v>0</v>
      </c>
      <c r="U250" s="341">
        <v>0</v>
      </c>
      <c r="V250" s="340">
        <v>15398.565000000001</v>
      </c>
      <c r="W250" s="340">
        <v>0</v>
      </c>
    </row>
    <row r="251" spans="1:23">
      <c r="A251" s="332">
        <v>52040</v>
      </c>
      <c r="B251" s="333">
        <v>91240.4</v>
      </c>
      <c r="C251" s="334" t="s">
        <v>19655</v>
      </c>
      <c r="D251" s="371" t="s">
        <v>19485</v>
      </c>
      <c r="E251" s="372" t="s">
        <v>262</v>
      </c>
      <c r="F251" s="389" t="s">
        <v>20155</v>
      </c>
      <c r="G251" s="336">
        <v>45530</v>
      </c>
      <c r="H251" s="337"/>
      <c r="I251" s="337">
        <v>52040</v>
      </c>
      <c r="J251" s="338"/>
      <c r="K251" s="337"/>
      <c r="L251" s="339" t="s">
        <v>18201</v>
      </c>
      <c r="M251" s="318" t="s">
        <v>20680</v>
      </c>
      <c r="N251" s="379" t="s">
        <v>20173</v>
      </c>
      <c r="O251" s="380">
        <v>45532</v>
      </c>
      <c r="P251" s="381">
        <v>0</v>
      </c>
      <c r="Q251" s="340">
        <v>0</v>
      </c>
      <c r="R251" s="340">
        <v>0</v>
      </c>
      <c r="S251" s="341">
        <v>0</v>
      </c>
      <c r="T251" s="341">
        <v>0</v>
      </c>
      <c r="U251" s="341">
        <v>0</v>
      </c>
      <c r="V251" s="340">
        <v>0</v>
      </c>
      <c r="W251" s="340">
        <v>0</v>
      </c>
    </row>
    <row r="252" spans="1:23">
      <c r="A252" s="332">
        <v>16500</v>
      </c>
      <c r="B252" s="333">
        <v>60600</v>
      </c>
      <c r="C252" s="334" t="s">
        <v>17018</v>
      </c>
      <c r="D252" s="371" t="s">
        <v>19486</v>
      </c>
      <c r="E252" s="372" t="s">
        <v>263</v>
      </c>
      <c r="F252" s="389" t="s">
        <v>20155</v>
      </c>
      <c r="G252" s="336">
        <v>45532</v>
      </c>
      <c r="H252" s="337"/>
      <c r="I252" s="337">
        <v>5000</v>
      </c>
      <c r="J252" s="338">
        <v>6000</v>
      </c>
      <c r="K252" s="337">
        <v>5500</v>
      </c>
      <c r="L252" s="339" t="s">
        <v>20681</v>
      </c>
      <c r="M252" s="318" t="s">
        <v>20682</v>
      </c>
      <c r="N252" s="379" t="s">
        <v>20380</v>
      </c>
      <c r="O252" s="380">
        <v>45546</v>
      </c>
      <c r="P252" s="381">
        <v>0</v>
      </c>
      <c r="Q252" s="340">
        <v>0</v>
      </c>
      <c r="R252" s="340">
        <v>0</v>
      </c>
      <c r="S252" s="341">
        <v>0</v>
      </c>
      <c r="T252" s="341">
        <v>0</v>
      </c>
      <c r="U252" s="341">
        <v>0</v>
      </c>
      <c r="V252" s="340">
        <v>0</v>
      </c>
      <c r="W252" s="340">
        <v>0</v>
      </c>
    </row>
    <row r="253" spans="1:23">
      <c r="A253" s="332">
        <v>22800</v>
      </c>
      <c r="B253" s="333">
        <v>42408</v>
      </c>
      <c r="C253" s="334" t="s">
        <v>19647</v>
      </c>
      <c r="D253" s="371" t="s">
        <v>19487</v>
      </c>
      <c r="E253" s="372" t="s">
        <v>264</v>
      </c>
      <c r="F253" s="397" t="s">
        <v>20155</v>
      </c>
      <c r="G253" s="336">
        <v>45532</v>
      </c>
      <c r="H253" s="337"/>
      <c r="I253" s="337">
        <v>22800</v>
      </c>
      <c r="J253" s="338"/>
      <c r="K253" s="337"/>
      <c r="L253" s="339" t="s">
        <v>20424</v>
      </c>
      <c r="M253" s="318" t="s">
        <v>20683</v>
      </c>
      <c r="N253" s="379" t="s">
        <v>17771</v>
      </c>
      <c r="O253" s="380">
        <v>45541</v>
      </c>
      <c r="P253" s="381">
        <v>0</v>
      </c>
      <c r="Q253" s="340">
        <v>0</v>
      </c>
      <c r="R253" s="340">
        <v>0</v>
      </c>
      <c r="S253" s="341">
        <v>0</v>
      </c>
      <c r="T253" s="341">
        <v>0</v>
      </c>
      <c r="U253" s="341">
        <v>0</v>
      </c>
      <c r="V253" s="340">
        <v>0</v>
      </c>
      <c r="W253" s="340">
        <v>0</v>
      </c>
    </row>
    <row r="254" spans="1:23">
      <c r="A254" s="332">
        <v>55824</v>
      </c>
      <c r="B254" s="333">
        <v>119223.31680000002</v>
      </c>
      <c r="C254" s="334" t="s">
        <v>20407</v>
      </c>
      <c r="D254" s="371" t="s">
        <v>19488</v>
      </c>
      <c r="E254" s="372" t="s">
        <v>265</v>
      </c>
      <c r="F254" s="389" t="s">
        <v>20155</v>
      </c>
      <c r="G254" s="336">
        <v>45532</v>
      </c>
      <c r="H254" s="337"/>
      <c r="I254" s="337">
        <v>41424</v>
      </c>
      <c r="J254" s="338">
        <v>14400</v>
      </c>
      <c r="K254" s="337"/>
      <c r="L254" s="339" t="s">
        <v>20424</v>
      </c>
      <c r="M254" s="318" t="s">
        <v>20684</v>
      </c>
      <c r="N254" s="379" t="s">
        <v>17939</v>
      </c>
      <c r="O254" s="380">
        <v>45535</v>
      </c>
      <c r="P254" s="381">
        <v>0</v>
      </c>
      <c r="Q254" s="340">
        <v>0</v>
      </c>
      <c r="R254" s="340">
        <v>0</v>
      </c>
      <c r="S254" s="341">
        <v>0</v>
      </c>
      <c r="T254" s="341">
        <v>0</v>
      </c>
      <c r="U254" s="341">
        <v>0</v>
      </c>
      <c r="V254" s="340">
        <v>0</v>
      </c>
      <c r="W254" s="340">
        <v>0</v>
      </c>
    </row>
    <row r="255" spans="1:23">
      <c r="A255" s="332">
        <v>330000</v>
      </c>
      <c r="B255" s="333">
        <v>478500</v>
      </c>
      <c r="C255" s="334" t="s">
        <v>19652</v>
      </c>
      <c r="D255" s="371" t="s">
        <v>19489</v>
      </c>
      <c r="E255" s="372" t="s">
        <v>266</v>
      </c>
      <c r="F255" s="389" t="s">
        <v>20155</v>
      </c>
      <c r="G255" s="336">
        <v>45534</v>
      </c>
      <c r="H255" s="337"/>
      <c r="I255" s="337"/>
      <c r="J255" s="338">
        <v>330000</v>
      </c>
      <c r="K255" s="337"/>
      <c r="L255" s="339" t="s">
        <v>20685</v>
      </c>
      <c r="M255" s="318" t="s">
        <v>20686</v>
      </c>
      <c r="N255" s="379" t="s">
        <v>17801</v>
      </c>
      <c r="O255" s="380">
        <v>45540</v>
      </c>
      <c r="P255" s="381">
        <v>0</v>
      </c>
      <c r="Q255" s="340">
        <v>0</v>
      </c>
      <c r="R255" s="340">
        <v>0</v>
      </c>
      <c r="S255" s="341">
        <v>0</v>
      </c>
      <c r="T255" s="341">
        <v>0</v>
      </c>
      <c r="U255" s="341">
        <v>0</v>
      </c>
      <c r="V255" s="340">
        <v>0</v>
      </c>
      <c r="W255" s="340">
        <v>0</v>
      </c>
    </row>
    <row r="256" spans="1:23">
      <c r="A256" s="332">
        <v>55000</v>
      </c>
      <c r="B256" s="333">
        <v>111780.44074999999</v>
      </c>
      <c r="C256" s="334" t="s">
        <v>17355</v>
      </c>
      <c r="D256" s="371" t="s">
        <v>19490</v>
      </c>
      <c r="E256" s="372" t="s">
        <v>267</v>
      </c>
      <c r="F256" s="397" t="s">
        <v>20155</v>
      </c>
      <c r="G256" s="336">
        <v>45537</v>
      </c>
      <c r="H256" s="337"/>
      <c r="I256" s="337">
        <v>55000</v>
      </c>
      <c r="J256" s="338"/>
      <c r="K256" s="337"/>
      <c r="L256" s="339" t="s">
        <v>20687</v>
      </c>
      <c r="M256" s="318" t="s">
        <v>20688</v>
      </c>
      <c r="N256" s="379" t="s">
        <v>20321</v>
      </c>
      <c r="O256" s="380">
        <v>45541</v>
      </c>
      <c r="P256" s="381">
        <v>10415.482</v>
      </c>
      <c r="Q256" s="340">
        <v>0.1893724</v>
      </c>
      <c r="R256" s="340">
        <v>0</v>
      </c>
      <c r="S256" s="341">
        <v>10415.482</v>
      </c>
      <c r="T256" s="341">
        <v>0</v>
      </c>
      <c r="U256" s="341">
        <v>0</v>
      </c>
      <c r="V256" s="340">
        <v>10415.482</v>
      </c>
      <c r="W256" s="340">
        <v>0</v>
      </c>
    </row>
    <row r="257" spans="1:23">
      <c r="A257" s="332">
        <v>19200</v>
      </c>
      <c r="B257" s="333">
        <v>39552</v>
      </c>
      <c r="C257" s="334" t="s">
        <v>19655</v>
      </c>
      <c r="D257" s="371" t="s">
        <v>19491</v>
      </c>
      <c r="E257" s="372" t="s">
        <v>268</v>
      </c>
      <c r="F257" s="389" t="s">
        <v>20155</v>
      </c>
      <c r="G257" s="336">
        <v>45538</v>
      </c>
      <c r="H257" s="337">
        <v>19200</v>
      </c>
      <c r="I257" s="337"/>
      <c r="J257" s="338"/>
      <c r="K257" s="337"/>
      <c r="L257" s="339" t="s">
        <v>18248</v>
      </c>
      <c r="M257" s="318" t="s">
        <v>20689</v>
      </c>
      <c r="N257" s="379" t="s">
        <v>18248</v>
      </c>
      <c r="O257" s="380">
        <v>45540</v>
      </c>
      <c r="P257" s="381">
        <v>0</v>
      </c>
      <c r="Q257" s="340">
        <v>0</v>
      </c>
      <c r="R257" s="340">
        <v>0</v>
      </c>
      <c r="S257" s="341">
        <v>0</v>
      </c>
      <c r="T257" s="341">
        <v>0</v>
      </c>
      <c r="U257" s="341">
        <v>0</v>
      </c>
      <c r="V257" s="340">
        <v>0</v>
      </c>
      <c r="W257" s="340">
        <v>0</v>
      </c>
    </row>
    <row r="258" spans="1:23">
      <c r="A258" s="332">
        <v>22456</v>
      </c>
      <c r="B258" s="333">
        <v>80719.1821605</v>
      </c>
      <c r="C258" s="334" t="s">
        <v>18621</v>
      </c>
      <c r="D258" s="371" t="s">
        <v>19492</v>
      </c>
      <c r="E258" s="372" t="s">
        <v>269</v>
      </c>
      <c r="F258" s="389" t="s">
        <v>20155</v>
      </c>
      <c r="G258" s="336">
        <v>45539</v>
      </c>
      <c r="H258" s="337">
        <v>1600</v>
      </c>
      <c r="I258" s="337">
        <v>19176</v>
      </c>
      <c r="J258" s="338"/>
      <c r="K258" s="337">
        <v>1680</v>
      </c>
      <c r="L258" s="339" t="s">
        <v>20424</v>
      </c>
      <c r="M258" s="318" t="s">
        <v>20690</v>
      </c>
      <c r="N258" s="379" t="s">
        <v>16394</v>
      </c>
      <c r="O258" s="380">
        <v>45545</v>
      </c>
      <c r="P258" s="381">
        <v>0</v>
      </c>
      <c r="Q258" s="340">
        <v>0</v>
      </c>
      <c r="R258" s="340">
        <v>0</v>
      </c>
      <c r="S258" s="341">
        <v>0</v>
      </c>
      <c r="T258" s="341">
        <v>0</v>
      </c>
      <c r="U258" s="341">
        <v>0</v>
      </c>
      <c r="V258" s="340">
        <v>0</v>
      </c>
      <c r="W258" s="340">
        <v>0</v>
      </c>
    </row>
    <row r="259" spans="1:23">
      <c r="A259" s="332">
        <v>24008</v>
      </c>
      <c r="B259" s="333">
        <v>65946.267276999992</v>
      </c>
      <c r="C259" s="334" t="s">
        <v>17343</v>
      </c>
      <c r="D259" s="371" t="s">
        <v>19493</v>
      </c>
      <c r="E259" s="372" t="s">
        <v>270</v>
      </c>
      <c r="F259" s="389" t="s">
        <v>20155</v>
      </c>
      <c r="G259" s="336">
        <v>45541</v>
      </c>
      <c r="H259" s="337"/>
      <c r="I259" s="337">
        <v>16248</v>
      </c>
      <c r="J259" s="338">
        <v>7200</v>
      </c>
      <c r="K259" s="337">
        <v>560</v>
      </c>
      <c r="L259" s="339" t="s">
        <v>20424</v>
      </c>
      <c r="M259" s="318" t="s">
        <v>20454</v>
      </c>
      <c r="N259" s="379" t="s">
        <v>16394</v>
      </c>
      <c r="O259" s="380">
        <v>45542</v>
      </c>
      <c r="P259" s="381">
        <v>11840.674999999999</v>
      </c>
      <c r="Q259" s="340">
        <v>0.49319705931356211</v>
      </c>
      <c r="R259" s="340">
        <v>0</v>
      </c>
      <c r="S259" s="341">
        <v>8013.4658197267572</v>
      </c>
      <c r="T259" s="341">
        <v>3551.0188270576473</v>
      </c>
      <c r="U259" s="341">
        <v>276.19035321559477</v>
      </c>
      <c r="V259" s="340">
        <v>11840.674999999999</v>
      </c>
      <c r="W259" s="340">
        <v>0</v>
      </c>
    </row>
    <row r="260" spans="1:23">
      <c r="A260" s="332">
        <v>23832</v>
      </c>
      <c r="B260" s="333">
        <v>72638.955091999989</v>
      </c>
      <c r="C260" s="334" t="s">
        <v>17343</v>
      </c>
      <c r="D260" s="371" t="s">
        <v>19494</v>
      </c>
      <c r="E260" s="372" t="s">
        <v>271</v>
      </c>
      <c r="F260" s="389" t="s">
        <v>20155</v>
      </c>
      <c r="G260" s="336">
        <v>45541</v>
      </c>
      <c r="H260" s="337"/>
      <c r="I260" s="337">
        <v>14832</v>
      </c>
      <c r="J260" s="338">
        <v>6000</v>
      </c>
      <c r="K260" s="337">
        <v>3000</v>
      </c>
      <c r="L260" s="339" t="s">
        <v>20424</v>
      </c>
      <c r="M260" s="318" t="s">
        <v>20691</v>
      </c>
      <c r="N260" s="379" t="s">
        <v>16394</v>
      </c>
      <c r="O260" s="380">
        <v>45542</v>
      </c>
      <c r="P260" s="381">
        <v>11840.674999999999</v>
      </c>
      <c r="Q260" s="340">
        <v>0.49683933366901639</v>
      </c>
      <c r="R260" s="340">
        <v>0</v>
      </c>
      <c r="S260" s="341">
        <v>7369.1209969788515</v>
      </c>
      <c r="T260" s="341">
        <v>2981.0360020140984</v>
      </c>
      <c r="U260" s="341">
        <v>1490.5180010070492</v>
      </c>
      <c r="V260" s="340">
        <v>11840.674999999999</v>
      </c>
      <c r="W260" s="340">
        <v>0</v>
      </c>
    </row>
    <row r="261" spans="1:23">
      <c r="A261" s="332">
        <v>275000</v>
      </c>
      <c r="B261" s="333">
        <v>404250</v>
      </c>
      <c r="C261" s="334" t="s">
        <v>19652</v>
      </c>
      <c r="D261" s="371" t="s">
        <v>19495</v>
      </c>
      <c r="E261" s="372" t="s">
        <v>272</v>
      </c>
      <c r="F261" s="389" t="s">
        <v>20155</v>
      </c>
      <c r="G261" s="336">
        <v>45541</v>
      </c>
      <c r="H261" s="337"/>
      <c r="I261" s="337"/>
      <c r="J261" s="338">
        <v>275000</v>
      </c>
      <c r="K261" s="337"/>
      <c r="L261" s="339" t="s">
        <v>20424</v>
      </c>
      <c r="M261" s="318" t="s">
        <v>20692</v>
      </c>
      <c r="N261" s="379" t="s">
        <v>17801</v>
      </c>
      <c r="O261" s="380">
        <v>45547</v>
      </c>
      <c r="P261" s="381">
        <v>0</v>
      </c>
      <c r="Q261" s="340">
        <v>0</v>
      </c>
      <c r="R261" s="340">
        <v>0</v>
      </c>
      <c r="S261" s="341">
        <v>0</v>
      </c>
      <c r="T261" s="341">
        <v>0</v>
      </c>
      <c r="U261" s="341">
        <v>0</v>
      </c>
      <c r="V261" s="340">
        <v>0</v>
      </c>
      <c r="W261" s="340">
        <v>0</v>
      </c>
    </row>
    <row r="262" spans="1:23">
      <c r="A262" s="332">
        <v>24792</v>
      </c>
      <c r="B262" s="333">
        <v>78022.093944000007</v>
      </c>
      <c r="C262" s="334" t="s">
        <v>19661</v>
      </c>
      <c r="D262" s="371" t="s">
        <v>19496</v>
      </c>
      <c r="E262" s="372" t="s">
        <v>273</v>
      </c>
      <c r="F262" s="397" t="s">
        <v>20155</v>
      </c>
      <c r="G262" s="336">
        <v>45546</v>
      </c>
      <c r="H262" s="337"/>
      <c r="I262" s="337">
        <v>18792</v>
      </c>
      <c r="J262" s="338">
        <v>6000</v>
      </c>
      <c r="K262" s="337"/>
      <c r="L262" s="339" t="s">
        <v>20424</v>
      </c>
      <c r="M262" s="318" t="s">
        <v>20693</v>
      </c>
      <c r="N262" s="379" t="s">
        <v>20160</v>
      </c>
      <c r="O262" s="380">
        <v>45548</v>
      </c>
      <c r="P262" s="381">
        <v>14338.650000000001</v>
      </c>
      <c r="Q262" s="340">
        <v>0.57835793804453051</v>
      </c>
      <c r="R262" s="340">
        <v>0</v>
      </c>
      <c r="S262" s="341">
        <v>10868.502371732817</v>
      </c>
      <c r="T262" s="341">
        <v>3470.1476282671829</v>
      </c>
      <c r="U262" s="341">
        <v>0</v>
      </c>
      <c r="V262" s="340">
        <v>14338.65</v>
      </c>
      <c r="W262" s="340">
        <v>0</v>
      </c>
    </row>
    <row r="263" spans="1:23">
      <c r="A263" s="332">
        <v>28020</v>
      </c>
      <c r="B263" s="333">
        <v>60108.481984999999</v>
      </c>
      <c r="C263" s="334" t="s">
        <v>19839</v>
      </c>
      <c r="D263" s="371" t="s">
        <v>19497</v>
      </c>
      <c r="E263" s="372" t="s">
        <v>274</v>
      </c>
      <c r="F263" s="397" t="s">
        <v>20155</v>
      </c>
      <c r="G263" s="336">
        <v>45546</v>
      </c>
      <c r="H263" s="337">
        <v>7800</v>
      </c>
      <c r="I263" s="337">
        <v>20220</v>
      </c>
      <c r="J263" s="338"/>
      <c r="K263" s="337"/>
      <c r="L263" s="339" t="s">
        <v>20398</v>
      </c>
      <c r="M263" s="318" t="s">
        <v>20694</v>
      </c>
      <c r="N263" s="379" t="s">
        <v>17965</v>
      </c>
      <c r="O263" s="380">
        <v>45553</v>
      </c>
      <c r="P263" s="381">
        <v>5169.7849999999999</v>
      </c>
      <c r="Q263" s="340">
        <v>0.18450339043540329</v>
      </c>
      <c r="R263" s="340">
        <v>1439.1264453961455</v>
      </c>
      <c r="S263" s="341">
        <v>3730.6585546038546</v>
      </c>
      <c r="T263" s="341">
        <v>0</v>
      </c>
      <c r="U263" s="341">
        <v>0</v>
      </c>
      <c r="V263" s="340">
        <v>5169.7849999999999</v>
      </c>
      <c r="W263" s="340">
        <v>0</v>
      </c>
    </row>
    <row r="264" spans="1:23">
      <c r="A264" s="332">
        <v>112500</v>
      </c>
      <c r="B264" s="333">
        <v>180000</v>
      </c>
      <c r="C264" s="334" t="s">
        <v>19647</v>
      </c>
      <c r="D264" s="371" t="s">
        <v>19498</v>
      </c>
      <c r="E264" s="372" t="s">
        <v>275</v>
      </c>
      <c r="F264" s="389" t="s">
        <v>20155</v>
      </c>
      <c r="G264" s="336">
        <v>45546</v>
      </c>
      <c r="H264" s="337"/>
      <c r="I264" s="337">
        <v>112500</v>
      </c>
      <c r="J264" s="338"/>
      <c r="K264" s="337"/>
      <c r="L264" s="339" t="s">
        <v>20398</v>
      </c>
      <c r="M264" s="318" t="s">
        <v>20695</v>
      </c>
      <c r="N264" s="379" t="s">
        <v>20321</v>
      </c>
      <c r="O264" s="380">
        <v>45555</v>
      </c>
      <c r="P264" s="381">
        <v>0</v>
      </c>
      <c r="Q264" s="340">
        <v>0</v>
      </c>
      <c r="R264" s="340">
        <v>0</v>
      </c>
      <c r="S264" s="341">
        <v>0</v>
      </c>
      <c r="T264" s="341">
        <v>0</v>
      </c>
      <c r="U264" s="341">
        <v>0</v>
      </c>
      <c r="V264" s="340">
        <v>0</v>
      </c>
      <c r="W264" s="340">
        <v>0</v>
      </c>
    </row>
    <row r="265" spans="1:23">
      <c r="A265" s="332">
        <v>112000</v>
      </c>
      <c r="B265" s="333">
        <v>229600</v>
      </c>
      <c r="C265" s="334" t="s">
        <v>19833</v>
      </c>
      <c r="D265" s="371" t="s">
        <v>19499</v>
      </c>
      <c r="E265" s="372" t="s">
        <v>276</v>
      </c>
      <c r="F265" s="397" t="s">
        <v>20155</v>
      </c>
      <c r="G265" s="336">
        <v>45546</v>
      </c>
      <c r="H265" s="337">
        <v>112000</v>
      </c>
      <c r="I265" s="337"/>
      <c r="J265" s="338"/>
      <c r="K265" s="337"/>
      <c r="L265" s="339" t="s">
        <v>20398</v>
      </c>
      <c r="M265" s="318" t="s">
        <v>20696</v>
      </c>
      <c r="N265" s="379" t="s">
        <v>17854</v>
      </c>
      <c r="O265" s="380">
        <v>45559</v>
      </c>
      <c r="P265" s="381">
        <v>0</v>
      </c>
      <c r="Q265" s="340">
        <v>0</v>
      </c>
      <c r="R265" s="340">
        <v>0</v>
      </c>
      <c r="S265" s="341">
        <v>0</v>
      </c>
      <c r="T265" s="341">
        <v>0</v>
      </c>
      <c r="U265" s="341">
        <v>0</v>
      </c>
      <c r="V265" s="340">
        <v>0</v>
      </c>
      <c r="W265" s="340">
        <v>0</v>
      </c>
    </row>
    <row r="266" spans="1:23">
      <c r="A266" s="332">
        <v>57600</v>
      </c>
      <c r="B266" s="333">
        <v>129695.61960000001</v>
      </c>
      <c r="C266" s="334" t="s">
        <v>20534</v>
      </c>
      <c r="D266" s="371" t="s">
        <v>19500</v>
      </c>
      <c r="E266" s="372" t="s">
        <v>277</v>
      </c>
      <c r="F266" s="397" t="s">
        <v>20155</v>
      </c>
      <c r="G266" s="336">
        <v>45546</v>
      </c>
      <c r="H266" s="337">
        <v>57600</v>
      </c>
      <c r="I266" s="337"/>
      <c r="J266" s="338"/>
      <c r="K266" s="337"/>
      <c r="L266" s="339" t="s">
        <v>20424</v>
      </c>
      <c r="M266" s="318" t="s">
        <v>20697</v>
      </c>
      <c r="N266" s="379" t="s">
        <v>20321</v>
      </c>
      <c r="O266" s="380">
        <v>45548</v>
      </c>
      <c r="P266" s="381">
        <v>9210.4740000000002</v>
      </c>
      <c r="Q266" s="340">
        <v>0.1599040625</v>
      </c>
      <c r="R266" s="340">
        <v>9210.4740000000002</v>
      </c>
      <c r="S266" s="341">
        <v>0</v>
      </c>
      <c r="T266" s="341">
        <v>0</v>
      </c>
      <c r="U266" s="341">
        <v>0</v>
      </c>
      <c r="V266" s="340">
        <v>9210.4740000000002</v>
      </c>
      <c r="W266" s="340">
        <v>0</v>
      </c>
    </row>
    <row r="267" spans="1:23">
      <c r="A267" s="332">
        <v>104000</v>
      </c>
      <c r="B267" s="333">
        <v>185529.61799999999</v>
      </c>
      <c r="C267" s="334" t="s">
        <v>17355</v>
      </c>
      <c r="D267" s="371" t="s">
        <v>19501</v>
      </c>
      <c r="E267" s="372" t="s">
        <v>278</v>
      </c>
      <c r="F267" s="389" t="s">
        <v>20155</v>
      </c>
      <c r="G267" s="336">
        <v>45547</v>
      </c>
      <c r="H267" s="337"/>
      <c r="I267" s="337"/>
      <c r="J267" s="338">
        <v>104000</v>
      </c>
      <c r="K267" s="337"/>
      <c r="L267" s="339" t="s">
        <v>20427</v>
      </c>
      <c r="M267" s="318" t="s">
        <v>20698</v>
      </c>
      <c r="N267" s="379" t="s">
        <v>20321</v>
      </c>
      <c r="O267" s="380">
        <v>45558</v>
      </c>
      <c r="P267" s="381">
        <v>12874.589999999998</v>
      </c>
      <c r="Q267" s="340">
        <v>0.1237941346153846</v>
      </c>
      <c r="R267" s="340">
        <v>0</v>
      </c>
      <c r="S267" s="341">
        <v>0</v>
      </c>
      <c r="T267" s="341">
        <v>12874.589999999998</v>
      </c>
      <c r="U267" s="341">
        <v>0</v>
      </c>
      <c r="V267" s="340">
        <v>12874.589999999998</v>
      </c>
      <c r="W267" s="340">
        <v>0</v>
      </c>
    </row>
    <row r="268" spans="1:23">
      <c r="A268" s="332">
        <v>38400</v>
      </c>
      <c r="B268" s="333">
        <v>76416</v>
      </c>
      <c r="C268" s="334" t="s">
        <v>19655</v>
      </c>
      <c r="D268" s="371" t="s">
        <v>19502</v>
      </c>
      <c r="E268" s="372" t="s">
        <v>279</v>
      </c>
      <c r="F268" s="389" t="s">
        <v>20155</v>
      </c>
      <c r="G268" s="336">
        <v>45547</v>
      </c>
      <c r="H268" s="337">
        <v>38400</v>
      </c>
      <c r="I268" s="337"/>
      <c r="J268" s="338"/>
      <c r="K268" s="337"/>
      <c r="L268" s="339" t="s">
        <v>18201</v>
      </c>
      <c r="M268" s="318" t="s">
        <v>20699</v>
      </c>
      <c r="N268" s="379" t="s">
        <v>18248</v>
      </c>
      <c r="O268" s="380">
        <v>45554</v>
      </c>
      <c r="P268" s="381">
        <v>0</v>
      </c>
      <c r="Q268" s="340">
        <v>0</v>
      </c>
      <c r="R268" s="340">
        <v>0</v>
      </c>
      <c r="S268" s="341">
        <v>0</v>
      </c>
      <c r="T268" s="341">
        <v>0</v>
      </c>
      <c r="U268" s="341">
        <v>0</v>
      </c>
      <c r="V268" s="340">
        <v>0</v>
      </c>
      <c r="W268" s="340">
        <v>0</v>
      </c>
    </row>
    <row r="269" spans="1:23">
      <c r="A269" s="332">
        <v>22680</v>
      </c>
      <c r="B269" s="333">
        <v>57402.321360000009</v>
      </c>
      <c r="C269" s="334" t="s">
        <v>17210</v>
      </c>
      <c r="D269" s="371" t="s">
        <v>19503</v>
      </c>
      <c r="E269" s="372" t="s">
        <v>280</v>
      </c>
      <c r="F269" s="389" t="s">
        <v>20155</v>
      </c>
      <c r="G269" s="336">
        <v>45548</v>
      </c>
      <c r="H269" s="337"/>
      <c r="I269" s="337">
        <v>19680</v>
      </c>
      <c r="J269" s="338"/>
      <c r="K269" s="337">
        <v>3000</v>
      </c>
      <c r="L269" s="339" t="s">
        <v>20408</v>
      </c>
      <c r="M269" s="318" t="s">
        <v>20700</v>
      </c>
      <c r="N269" s="379" t="s">
        <v>20168</v>
      </c>
      <c r="O269" s="380">
        <v>45561</v>
      </c>
      <c r="P269" s="381">
        <v>4037.01</v>
      </c>
      <c r="Q269" s="340">
        <v>0.17799867724867727</v>
      </c>
      <c r="R269" s="340">
        <v>0</v>
      </c>
      <c r="S269" s="341">
        <v>3503.0139682539684</v>
      </c>
      <c r="T269" s="341">
        <v>0</v>
      </c>
      <c r="U269" s="341">
        <v>533.9960317460318</v>
      </c>
      <c r="V269" s="340">
        <v>4037.01</v>
      </c>
      <c r="W269" s="340">
        <v>0</v>
      </c>
    </row>
    <row r="270" spans="1:23">
      <c r="A270" s="332">
        <v>23112</v>
      </c>
      <c r="B270" s="333">
        <v>63195.295346999999</v>
      </c>
      <c r="C270" s="334" t="s">
        <v>17343</v>
      </c>
      <c r="D270" s="371" t="s">
        <v>19504</v>
      </c>
      <c r="E270" s="372" t="s">
        <v>281</v>
      </c>
      <c r="F270" s="389" t="s">
        <v>20155</v>
      </c>
      <c r="G270" s="336">
        <v>45554</v>
      </c>
      <c r="H270" s="337"/>
      <c r="I270" s="337">
        <v>17112</v>
      </c>
      <c r="J270" s="338">
        <v>6000</v>
      </c>
      <c r="K270" s="337"/>
      <c r="L270" s="339" t="s">
        <v>20424</v>
      </c>
      <c r="M270" s="318" t="s">
        <v>20701</v>
      </c>
      <c r="N270" s="379" t="s">
        <v>16394</v>
      </c>
      <c r="O270" s="380">
        <v>45560</v>
      </c>
      <c r="P270" s="381">
        <v>11777.5029135</v>
      </c>
      <c r="Q270" s="340">
        <v>0.50958389206905508</v>
      </c>
      <c r="R270" s="340">
        <v>0</v>
      </c>
      <c r="S270" s="341">
        <v>8719.9995610856713</v>
      </c>
      <c r="T270" s="341">
        <v>3057.5033524143305</v>
      </c>
      <c r="U270" s="341">
        <v>0</v>
      </c>
      <c r="V270" s="340">
        <v>11777.502913500002</v>
      </c>
      <c r="W270" s="340">
        <v>0</v>
      </c>
    </row>
    <row r="271" spans="1:23">
      <c r="A271" s="332">
        <v>38400</v>
      </c>
      <c r="B271" s="333">
        <v>71808</v>
      </c>
      <c r="C271" s="334" t="s">
        <v>17385</v>
      </c>
      <c r="D271" s="371" t="s">
        <v>19505</v>
      </c>
      <c r="E271" s="372" t="s">
        <v>282</v>
      </c>
      <c r="F271" s="397" t="s">
        <v>20155</v>
      </c>
      <c r="G271" s="336">
        <v>45554</v>
      </c>
      <c r="H271" s="337">
        <v>38400</v>
      </c>
      <c r="I271" s="337"/>
      <c r="J271" s="338"/>
      <c r="K271" s="337"/>
      <c r="L271" s="339" t="s">
        <v>20702</v>
      </c>
      <c r="M271" s="318" t="s">
        <v>20703</v>
      </c>
      <c r="N271" s="379" t="s">
        <v>18248</v>
      </c>
      <c r="O271" s="380">
        <v>45559</v>
      </c>
      <c r="P271" s="381">
        <v>0</v>
      </c>
      <c r="Q271" s="340">
        <v>0</v>
      </c>
      <c r="R271" s="340">
        <v>0</v>
      </c>
      <c r="S271" s="341">
        <v>0</v>
      </c>
      <c r="T271" s="341">
        <v>0</v>
      </c>
      <c r="U271" s="341">
        <v>0</v>
      </c>
      <c r="V271" s="340">
        <v>0</v>
      </c>
      <c r="W271" s="340">
        <v>0</v>
      </c>
    </row>
    <row r="272" spans="1:23">
      <c r="A272" s="332">
        <v>25644</v>
      </c>
      <c r="B272" s="333">
        <v>80500.456812999997</v>
      </c>
      <c r="C272" s="334" t="s">
        <v>19661</v>
      </c>
      <c r="D272" s="371" t="s">
        <v>19506</v>
      </c>
      <c r="E272" s="372" t="s">
        <v>283</v>
      </c>
      <c r="F272" s="389" t="s">
        <v>20155</v>
      </c>
      <c r="G272" s="336">
        <v>45555</v>
      </c>
      <c r="H272" s="337"/>
      <c r="I272" s="337">
        <v>18144</v>
      </c>
      <c r="J272" s="338">
        <v>7500</v>
      </c>
      <c r="K272" s="337"/>
      <c r="L272" s="339" t="s">
        <v>20424</v>
      </c>
      <c r="M272" s="318" t="s">
        <v>20704</v>
      </c>
      <c r="N272" s="379" t="s">
        <v>20160</v>
      </c>
      <c r="O272" s="380">
        <v>45561</v>
      </c>
      <c r="P272" s="381">
        <v>14388.5875</v>
      </c>
      <c r="Q272" s="340">
        <v>0.56108982608017466</v>
      </c>
      <c r="R272" s="340">
        <v>0</v>
      </c>
      <c r="S272" s="341">
        <v>10180.41380439869</v>
      </c>
      <c r="T272" s="341">
        <v>4208.1736956013101</v>
      </c>
      <c r="U272" s="341">
        <v>0</v>
      </c>
      <c r="V272" s="340">
        <v>14388.5875</v>
      </c>
      <c r="W272" s="340">
        <v>0</v>
      </c>
    </row>
    <row r="273" spans="1:23">
      <c r="A273" s="332">
        <v>44016</v>
      </c>
      <c r="B273" s="333">
        <v>85391.039999999994</v>
      </c>
      <c r="C273" s="334" t="s">
        <v>19655</v>
      </c>
      <c r="D273" s="371" t="s">
        <v>19507</v>
      </c>
      <c r="E273" s="372" t="s">
        <v>284</v>
      </c>
      <c r="F273" s="389" t="s">
        <v>20155</v>
      </c>
      <c r="G273" s="336">
        <v>45555</v>
      </c>
      <c r="H273" s="337">
        <v>44016</v>
      </c>
      <c r="I273" s="337"/>
      <c r="J273" s="338"/>
      <c r="K273" s="337"/>
      <c r="L273" s="339" t="s">
        <v>18201</v>
      </c>
      <c r="M273" s="318" t="s">
        <v>20705</v>
      </c>
      <c r="N273" s="379" t="s">
        <v>17801</v>
      </c>
      <c r="O273" s="380">
        <v>45561</v>
      </c>
      <c r="P273" s="381">
        <v>0</v>
      </c>
      <c r="Q273" s="340">
        <v>0</v>
      </c>
      <c r="R273" s="340">
        <v>0</v>
      </c>
      <c r="S273" s="341">
        <v>0</v>
      </c>
      <c r="T273" s="341">
        <v>0</v>
      </c>
      <c r="U273" s="341">
        <v>0</v>
      </c>
      <c r="V273" s="340">
        <v>0</v>
      </c>
      <c r="W273" s="340">
        <v>0</v>
      </c>
    </row>
    <row r="274" spans="1:23">
      <c r="A274" s="332">
        <v>55840</v>
      </c>
      <c r="B274" s="333">
        <v>101024.4</v>
      </c>
      <c r="C274" s="334" t="s">
        <v>19655</v>
      </c>
      <c r="D274" s="371" t="s">
        <v>19508</v>
      </c>
      <c r="E274" s="372" t="s">
        <v>285</v>
      </c>
      <c r="F274" s="389" t="s">
        <v>20155</v>
      </c>
      <c r="G274" s="336">
        <v>45555</v>
      </c>
      <c r="H274" s="337">
        <v>19600</v>
      </c>
      <c r="I274" s="337">
        <v>36240</v>
      </c>
      <c r="J274" s="338"/>
      <c r="K274" s="337"/>
      <c r="L274" s="339" t="s">
        <v>18201</v>
      </c>
      <c r="M274" s="318" t="s">
        <v>20706</v>
      </c>
      <c r="N274" s="379" t="s">
        <v>17801</v>
      </c>
      <c r="O274" s="380">
        <v>45560</v>
      </c>
      <c r="P274" s="381">
        <v>0</v>
      </c>
      <c r="Q274" s="340">
        <v>0</v>
      </c>
      <c r="R274" s="340">
        <v>0</v>
      </c>
      <c r="S274" s="341">
        <v>0</v>
      </c>
      <c r="T274" s="341">
        <v>0</v>
      </c>
      <c r="U274" s="341">
        <v>0</v>
      </c>
      <c r="V274" s="340">
        <v>0</v>
      </c>
      <c r="W274" s="340">
        <v>0</v>
      </c>
    </row>
    <row r="275" spans="1:23">
      <c r="A275" s="332">
        <v>15795</v>
      </c>
      <c r="B275" s="333">
        <v>51347.653332000009</v>
      </c>
      <c r="C275" s="334" t="s">
        <v>17305</v>
      </c>
      <c r="D275" s="371" t="s">
        <v>19509</v>
      </c>
      <c r="E275" s="372" t="s">
        <v>286</v>
      </c>
      <c r="F275" s="389" t="s">
        <v>20155</v>
      </c>
      <c r="G275" s="336">
        <v>45555</v>
      </c>
      <c r="H275" s="337"/>
      <c r="I275" s="337">
        <v>11715</v>
      </c>
      <c r="J275" s="338">
        <v>3280</v>
      </c>
      <c r="K275" s="337">
        <v>800</v>
      </c>
      <c r="L275" s="339" t="s">
        <v>20405</v>
      </c>
      <c r="M275" s="318" t="s">
        <v>20707</v>
      </c>
      <c r="N275" s="379" t="s">
        <v>17954</v>
      </c>
      <c r="O275" s="380">
        <v>45611</v>
      </c>
      <c r="P275" s="381">
        <v>5761.2150000000001</v>
      </c>
      <c r="Q275" s="340">
        <v>0.36474928774928778</v>
      </c>
      <c r="R275" s="340">
        <v>0</v>
      </c>
      <c r="S275" s="341">
        <v>4273.0379059829065</v>
      </c>
      <c r="T275" s="341">
        <v>1196.3776638176639</v>
      </c>
      <c r="U275" s="341">
        <v>291.79943019943022</v>
      </c>
      <c r="V275" s="340">
        <v>5761.2150000000011</v>
      </c>
      <c r="W275" s="340">
        <v>0</v>
      </c>
    </row>
    <row r="276" spans="1:23">
      <c r="A276" s="332">
        <v>40300</v>
      </c>
      <c r="B276" s="333">
        <v>112151.94802500001</v>
      </c>
      <c r="C276" s="334" t="s">
        <v>19659</v>
      </c>
      <c r="D276" s="371" t="s">
        <v>19510</v>
      </c>
      <c r="E276" s="372" t="s">
        <v>287</v>
      </c>
      <c r="F276" s="389" t="s">
        <v>20155</v>
      </c>
      <c r="G276" s="336">
        <v>45559</v>
      </c>
      <c r="H276" s="337">
        <v>40300</v>
      </c>
      <c r="I276" s="337"/>
      <c r="J276" s="338"/>
      <c r="K276" s="337"/>
      <c r="L276" s="339" t="s">
        <v>20398</v>
      </c>
      <c r="M276" s="318" t="s">
        <v>20708</v>
      </c>
      <c r="N276" s="379" t="s">
        <v>20161</v>
      </c>
      <c r="O276" s="380">
        <v>45563</v>
      </c>
      <c r="P276" s="381">
        <v>0</v>
      </c>
      <c r="Q276" s="340">
        <v>0</v>
      </c>
      <c r="R276" s="340">
        <v>0</v>
      </c>
      <c r="S276" s="341">
        <v>0</v>
      </c>
      <c r="T276" s="341">
        <v>0</v>
      </c>
      <c r="U276" s="341">
        <v>0</v>
      </c>
      <c r="V276" s="340">
        <v>0</v>
      </c>
      <c r="W276" s="340">
        <v>0</v>
      </c>
    </row>
    <row r="277" spans="1:23">
      <c r="A277" s="332">
        <v>275000</v>
      </c>
      <c r="B277" s="333">
        <v>398750</v>
      </c>
      <c r="C277" s="334" t="s">
        <v>19652</v>
      </c>
      <c r="D277" s="371" t="s">
        <v>19511</v>
      </c>
      <c r="E277" s="372" t="s">
        <v>288</v>
      </c>
      <c r="F277" s="389" t="s">
        <v>20155</v>
      </c>
      <c r="G277" s="336">
        <v>45560</v>
      </c>
      <c r="H277" s="337"/>
      <c r="I277" s="337"/>
      <c r="J277" s="338">
        <v>275000</v>
      </c>
      <c r="K277" s="337"/>
      <c r="L277" s="339" t="s">
        <v>20398</v>
      </c>
      <c r="M277" s="318" t="s">
        <v>20709</v>
      </c>
      <c r="N277" s="379" t="s">
        <v>17801</v>
      </c>
      <c r="O277" s="380">
        <v>45567</v>
      </c>
      <c r="P277" s="381">
        <v>0</v>
      </c>
      <c r="Q277" s="340">
        <v>0</v>
      </c>
      <c r="R277" s="340">
        <v>0</v>
      </c>
      <c r="S277" s="341">
        <v>0</v>
      </c>
      <c r="T277" s="341">
        <v>0</v>
      </c>
      <c r="U277" s="341">
        <v>0</v>
      </c>
      <c r="V277" s="340">
        <v>0</v>
      </c>
      <c r="W277" s="340">
        <v>0</v>
      </c>
    </row>
    <row r="278" spans="1:23">
      <c r="A278" s="332">
        <v>52000</v>
      </c>
      <c r="B278" s="333">
        <v>88907.262999999992</v>
      </c>
      <c r="C278" s="334" t="s">
        <v>20534</v>
      </c>
      <c r="D278" s="371" t="s">
        <v>19512</v>
      </c>
      <c r="E278" s="372" t="s">
        <v>289</v>
      </c>
      <c r="F278" s="389" t="s">
        <v>20155</v>
      </c>
      <c r="G278" s="336">
        <v>45561</v>
      </c>
      <c r="H278" s="337"/>
      <c r="I278" s="337"/>
      <c r="J278" s="338">
        <v>52000</v>
      </c>
      <c r="K278" s="337"/>
      <c r="L278" s="339" t="s">
        <v>20424</v>
      </c>
      <c r="M278" s="318" t="s">
        <v>20710</v>
      </c>
      <c r="N278" s="379" t="s">
        <v>20321</v>
      </c>
      <c r="O278" s="380">
        <v>45594</v>
      </c>
      <c r="P278" s="381">
        <v>8749.39</v>
      </c>
      <c r="Q278" s="340">
        <v>0.16825749999999998</v>
      </c>
      <c r="R278" s="340">
        <v>0</v>
      </c>
      <c r="S278" s="341">
        <v>0</v>
      </c>
      <c r="T278" s="341">
        <v>8749.39</v>
      </c>
      <c r="U278" s="341">
        <v>0</v>
      </c>
      <c r="V278" s="340">
        <v>8749.39</v>
      </c>
      <c r="W278" s="340">
        <v>0</v>
      </c>
    </row>
    <row r="279" spans="1:23">
      <c r="A279" s="332">
        <v>338000</v>
      </c>
      <c r="B279" s="333">
        <v>612243.821</v>
      </c>
      <c r="C279" s="334" t="s">
        <v>20534</v>
      </c>
      <c r="D279" s="371" t="s">
        <v>19513</v>
      </c>
      <c r="E279" s="372" t="s">
        <v>290</v>
      </c>
      <c r="F279" s="397" t="s">
        <v>20155</v>
      </c>
      <c r="G279" s="336">
        <v>45561</v>
      </c>
      <c r="H279" s="337"/>
      <c r="I279" s="337"/>
      <c r="J279" s="338">
        <v>338000</v>
      </c>
      <c r="K279" s="337"/>
      <c r="L279" s="339" t="s">
        <v>20424</v>
      </c>
      <c r="M279" s="318" t="s">
        <v>20711</v>
      </c>
      <c r="N279" s="379" t="s">
        <v>20321</v>
      </c>
      <c r="O279" s="380">
        <v>45610</v>
      </c>
      <c r="P279" s="381">
        <v>89546.665000000008</v>
      </c>
      <c r="Q279" s="340">
        <v>0.26493096153846157</v>
      </c>
      <c r="R279" s="340">
        <v>0</v>
      </c>
      <c r="S279" s="341">
        <v>0</v>
      </c>
      <c r="T279" s="341">
        <v>89546.665000000008</v>
      </c>
      <c r="U279" s="341">
        <v>0</v>
      </c>
      <c r="V279" s="340">
        <v>89546.665000000008</v>
      </c>
      <c r="W279" s="340">
        <v>0</v>
      </c>
    </row>
    <row r="280" spans="1:23">
      <c r="A280" s="332">
        <v>56000</v>
      </c>
      <c r="B280" s="333">
        <v>94360</v>
      </c>
      <c r="C280" s="334" t="s">
        <v>19655</v>
      </c>
      <c r="D280" s="371" t="s">
        <v>19514</v>
      </c>
      <c r="E280" s="372" t="s">
        <v>291</v>
      </c>
      <c r="F280" s="389" t="s">
        <v>20155</v>
      </c>
      <c r="G280" s="336">
        <v>45562</v>
      </c>
      <c r="H280" s="337"/>
      <c r="I280" s="337">
        <v>56000</v>
      </c>
      <c r="J280" s="338"/>
      <c r="K280" s="337"/>
      <c r="L280" s="339" t="s">
        <v>18201</v>
      </c>
      <c r="M280" s="318" t="s">
        <v>20712</v>
      </c>
      <c r="N280" s="379" t="s">
        <v>20173</v>
      </c>
      <c r="O280" s="380">
        <v>45574</v>
      </c>
      <c r="P280" s="381">
        <v>0</v>
      </c>
      <c r="Q280" s="340">
        <v>0</v>
      </c>
      <c r="R280" s="340">
        <v>0</v>
      </c>
      <c r="S280" s="341">
        <v>0</v>
      </c>
      <c r="T280" s="341">
        <v>0</v>
      </c>
      <c r="U280" s="341">
        <v>0</v>
      </c>
      <c r="V280" s="340">
        <v>0</v>
      </c>
      <c r="W280" s="340">
        <v>0</v>
      </c>
    </row>
    <row r="281" spans="1:23">
      <c r="A281" s="332">
        <v>130000</v>
      </c>
      <c r="B281" s="333">
        <v>208000</v>
      </c>
      <c r="C281" s="334" t="s">
        <v>19655</v>
      </c>
      <c r="D281" s="371" t="s">
        <v>19515</v>
      </c>
      <c r="E281" s="372" t="s">
        <v>292</v>
      </c>
      <c r="F281" s="389" t="s">
        <v>20155</v>
      </c>
      <c r="G281" s="336">
        <v>45562</v>
      </c>
      <c r="H281" s="337"/>
      <c r="I281" s="337"/>
      <c r="J281" s="338">
        <v>130000</v>
      </c>
      <c r="K281" s="337"/>
      <c r="L281" s="339" t="s">
        <v>18201</v>
      </c>
      <c r="M281" s="318" t="s">
        <v>20713</v>
      </c>
      <c r="N281" s="379" t="s">
        <v>17771</v>
      </c>
      <c r="O281" s="380">
        <v>45568</v>
      </c>
      <c r="P281" s="381">
        <v>0</v>
      </c>
      <c r="Q281" s="340">
        <v>0</v>
      </c>
      <c r="R281" s="340">
        <v>0</v>
      </c>
      <c r="S281" s="341">
        <v>0</v>
      </c>
      <c r="T281" s="341">
        <v>0</v>
      </c>
      <c r="U281" s="341">
        <v>0</v>
      </c>
      <c r="V281" s="340">
        <v>0</v>
      </c>
      <c r="W281" s="340">
        <v>0</v>
      </c>
    </row>
    <row r="282" spans="1:23">
      <c r="A282" s="332">
        <v>43200</v>
      </c>
      <c r="B282" s="333">
        <v>76896</v>
      </c>
      <c r="C282" s="334" t="s">
        <v>19655</v>
      </c>
      <c r="D282" s="371" t="s">
        <v>19516</v>
      </c>
      <c r="E282" s="372" t="s">
        <v>293</v>
      </c>
      <c r="F282" s="389" t="s">
        <v>20155</v>
      </c>
      <c r="G282" s="336">
        <v>45562</v>
      </c>
      <c r="H282" s="337"/>
      <c r="I282" s="337">
        <v>43200</v>
      </c>
      <c r="J282" s="338"/>
      <c r="K282" s="337"/>
      <c r="L282" s="339" t="s">
        <v>18201</v>
      </c>
      <c r="M282" s="318" t="s">
        <v>20714</v>
      </c>
      <c r="N282" s="379" t="s">
        <v>18248</v>
      </c>
      <c r="O282" s="380">
        <v>45567</v>
      </c>
      <c r="P282" s="381">
        <v>0</v>
      </c>
      <c r="Q282" s="340">
        <v>0</v>
      </c>
      <c r="R282" s="340">
        <v>0</v>
      </c>
      <c r="S282" s="341">
        <v>0</v>
      </c>
      <c r="T282" s="341">
        <v>0</v>
      </c>
      <c r="U282" s="341">
        <v>0</v>
      </c>
      <c r="V282" s="340">
        <v>0</v>
      </c>
      <c r="W282" s="340">
        <v>0</v>
      </c>
    </row>
    <row r="283" spans="1:23">
      <c r="A283" s="332">
        <v>41000</v>
      </c>
      <c r="B283" s="333">
        <v>95530</v>
      </c>
      <c r="C283" s="334" t="s">
        <v>19679</v>
      </c>
      <c r="D283" s="371" t="s">
        <v>19517</v>
      </c>
      <c r="E283" s="372" t="s">
        <v>294</v>
      </c>
      <c r="F283" s="389" t="s">
        <v>20155</v>
      </c>
      <c r="G283" s="336">
        <v>45567</v>
      </c>
      <c r="H283" s="337"/>
      <c r="I283" s="337">
        <v>41000</v>
      </c>
      <c r="J283" s="338"/>
      <c r="K283" s="337"/>
      <c r="L283" s="339" t="s">
        <v>20398</v>
      </c>
      <c r="M283" s="318" t="s">
        <v>20715</v>
      </c>
      <c r="N283" s="379" t="s">
        <v>20161</v>
      </c>
      <c r="O283" s="380">
        <v>45572</v>
      </c>
      <c r="P283" s="381">
        <v>0</v>
      </c>
      <c r="Q283" s="340">
        <v>0</v>
      </c>
      <c r="R283" s="340">
        <v>0</v>
      </c>
      <c r="S283" s="341">
        <v>0</v>
      </c>
      <c r="T283" s="341">
        <v>0</v>
      </c>
      <c r="U283" s="341">
        <v>0</v>
      </c>
      <c r="V283" s="340">
        <v>0</v>
      </c>
      <c r="W283" s="340">
        <v>0</v>
      </c>
    </row>
    <row r="284" spans="1:23">
      <c r="A284" s="332">
        <v>38400</v>
      </c>
      <c r="B284" s="333">
        <v>76416</v>
      </c>
      <c r="C284" s="334" t="s">
        <v>19656</v>
      </c>
      <c r="D284" s="371" t="s">
        <v>19518</v>
      </c>
      <c r="E284" s="372" t="s">
        <v>295</v>
      </c>
      <c r="F284" s="389" t="s">
        <v>20155</v>
      </c>
      <c r="G284" s="336">
        <v>45567</v>
      </c>
      <c r="H284" s="337">
        <v>38400</v>
      </c>
      <c r="I284" s="337"/>
      <c r="J284" s="338"/>
      <c r="K284" s="337"/>
      <c r="L284" s="339" t="s">
        <v>20540</v>
      </c>
      <c r="M284" s="318" t="s">
        <v>20716</v>
      </c>
      <c r="N284" s="379" t="s">
        <v>17965</v>
      </c>
      <c r="O284" s="380">
        <v>45574</v>
      </c>
      <c r="P284" s="381">
        <v>0</v>
      </c>
      <c r="Q284" s="340">
        <v>0</v>
      </c>
      <c r="R284" s="340">
        <v>0</v>
      </c>
      <c r="S284" s="341">
        <v>0</v>
      </c>
      <c r="T284" s="341">
        <v>0</v>
      </c>
      <c r="U284" s="341">
        <v>0</v>
      </c>
      <c r="V284" s="340">
        <v>0</v>
      </c>
      <c r="W284" s="340">
        <v>0</v>
      </c>
    </row>
    <row r="285" spans="1:23">
      <c r="A285" s="332">
        <v>68400</v>
      </c>
      <c r="B285" s="333">
        <v>130704</v>
      </c>
      <c r="C285" s="334" t="s">
        <v>19656</v>
      </c>
      <c r="D285" s="371" t="s">
        <v>19519</v>
      </c>
      <c r="E285" s="372" t="s">
        <v>296</v>
      </c>
      <c r="F285" s="397" t="s">
        <v>20155</v>
      </c>
      <c r="G285" s="336">
        <v>45567</v>
      </c>
      <c r="H285" s="337"/>
      <c r="I285" s="337">
        <v>65400</v>
      </c>
      <c r="J285" s="338"/>
      <c r="K285" s="337">
        <v>3000</v>
      </c>
      <c r="L285" s="339" t="s">
        <v>20398</v>
      </c>
      <c r="M285" s="318" t="s">
        <v>20717</v>
      </c>
      <c r="N285" s="379" t="s">
        <v>17777</v>
      </c>
      <c r="O285" s="380">
        <v>45579</v>
      </c>
      <c r="P285" s="381">
        <v>0</v>
      </c>
      <c r="Q285" s="340">
        <v>0</v>
      </c>
      <c r="R285" s="340">
        <v>0</v>
      </c>
      <c r="S285" s="341">
        <v>0</v>
      </c>
      <c r="T285" s="341">
        <v>0</v>
      </c>
      <c r="U285" s="341">
        <v>0</v>
      </c>
      <c r="V285" s="340">
        <v>0</v>
      </c>
      <c r="W285" s="340">
        <v>0</v>
      </c>
    </row>
    <row r="286" spans="1:23">
      <c r="A286" s="332">
        <v>23968</v>
      </c>
      <c r="B286" s="333">
        <v>71585.474887500008</v>
      </c>
      <c r="C286" s="334" t="s">
        <v>17343</v>
      </c>
      <c r="D286" s="371" t="s">
        <v>19520</v>
      </c>
      <c r="E286" s="372" t="s">
        <v>297</v>
      </c>
      <c r="F286" s="389" t="s">
        <v>20155</v>
      </c>
      <c r="G286" s="336">
        <v>45567</v>
      </c>
      <c r="H286" s="337"/>
      <c r="I286" s="337">
        <v>17568</v>
      </c>
      <c r="J286" s="338">
        <v>3600</v>
      </c>
      <c r="K286" s="337">
        <v>2800</v>
      </c>
      <c r="L286" s="339" t="s">
        <v>20424</v>
      </c>
      <c r="M286" s="318" t="s">
        <v>20718</v>
      </c>
      <c r="N286" s="379" t="s">
        <v>16394</v>
      </c>
      <c r="O286" s="380">
        <v>45569</v>
      </c>
      <c r="P286" s="381">
        <v>12163.5</v>
      </c>
      <c r="Q286" s="340">
        <v>0.50748915220293722</v>
      </c>
      <c r="R286" s="340">
        <v>0</v>
      </c>
      <c r="S286" s="341">
        <v>8915.5694259012016</v>
      </c>
      <c r="T286" s="341">
        <v>1826.9609479305741</v>
      </c>
      <c r="U286" s="341">
        <v>1420.9696261682243</v>
      </c>
      <c r="V286" s="340">
        <v>12163.5</v>
      </c>
      <c r="W286" s="340">
        <v>0</v>
      </c>
    </row>
    <row r="287" spans="1:23">
      <c r="A287" s="332">
        <v>56400</v>
      </c>
      <c r="B287" s="333">
        <v>138266.21899999998</v>
      </c>
      <c r="C287" s="334" t="s">
        <v>19854</v>
      </c>
      <c r="D287" s="371" t="s">
        <v>19521</v>
      </c>
      <c r="E287" s="372" t="s">
        <v>298</v>
      </c>
      <c r="F287" s="389" t="s">
        <v>20155</v>
      </c>
      <c r="G287" s="336">
        <v>45572</v>
      </c>
      <c r="H287" s="337"/>
      <c r="I287" s="337">
        <v>55400</v>
      </c>
      <c r="J287" s="338"/>
      <c r="K287" s="337">
        <v>1000</v>
      </c>
      <c r="L287" s="339" t="s">
        <v>20424</v>
      </c>
      <c r="M287" s="318" t="s">
        <v>20719</v>
      </c>
      <c r="N287" s="379" t="s">
        <v>17261</v>
      </c>
      <c r="O287" s="380">
        <v>45575</v>
      </c>
      <c r="P287" s="381">
        <v>29029.454999999998</v>
      </c>
      <c r="Q287" s="340">
        <v>0.51470664893617013</v>
      </c>
      <c r="R287" s="340">
        <v>0</v>
      </c>
      <c r="S287" s="341">
        <v>28514.748351063827</v>
      </c>
      <c r="T287" s="341">
        <v>0</v>
      </c>
      <c r="U287" s="341">
        <v>514.70664893617015</v>
      </c>
      <c r="V287" s="340">
        <v>29029.454999999998</v>
      </c>
      <c r="W287" s="340">
        <v>0</v>
      </c>
    </row>
    <row r="288" spans="1:23">
      <c r="A288" s="332">
        <v>20150</v>
      </c>
      <c r="B288" s="333">
        <v>48965.306000000004</v>
      </c>
      <c r="C288" s="334" t="s">
        <v>19659</v>
      </c>
      <c r="D288" s="371" t="s">
        <v>19522</v>
      </c>
      <c r="E288" s="372" t="s">
        <v>299</v>
      </c>
      <c r="F288" s="397" t="s">
        <v>20155</v>
      </c>
      <c r="G288" s="336">
        <v>45572</v>
      </c>
      <c r="H288" s="337">
        <v>20150</v>
      </c>
      <c r="I288" s="337"/>
      <c r="J288" s="338"/>
      <c r="K288" s="337"/>
      <c r="L288" s="339" t="s">
        <v>20398</v>
      </c>
      <c r="M288" s="318" t="s">
        <v>20720</v>
      </c>
      <c r="N288" s="379" t="s">
        <v>20161</v>
      </c>
      <c r="O288" s="380">
        <v>45575</v>
      </c>
      <c r="P288" s="381">
        <v>0</v>
      </c>
      <c r="Q288" s="340">
        <v>0</v>
      </c>
      <c r="R288" s="340">
        <v>0</v>
      </c>
      <c r="S288" s="341">
        <v>0</v>
      </c>
      <c r="T288" s="341">
        <v>0</v>
      </c>
      <c r="U288" s="341">
        <v>0</v>
      </c>
      <c r="V288" s="340">
        <v>0</v>
      </c>
      <c r="W288" s="340">
        <v>0</v>
      </c>
    </row>
    <row r="289" spans="1:23">
      <c r="A289" s="332">
        <v>27600</v>
      </c>
      <c r="B289" s="333">
        <v>63685.209599999995</v>
      </c>
      <c r="C289" s="334" t="s">
        <v>17277</v>
      </c>
      <c r="D289" s="371" t="s">
        <v>19523</v>
      </c>
      <c r="E289" s="372" t="s">
        <v>300</v>
      </c>
      <c r="F289" s="397" t="s">
        <v>20155</v>
      </c>
      <c r="G289" s="336">
        <v>45572</v>
      </c>
      <c r="H289" s="337"/>
      <c r="I289" s="337">
        <v>27600</v>
      </c>
      <c r="J289" s="338"/>
      <c r="K289" s="337"/>
      <c r="L289" s="339" t="s">
        <v>20408</v>
      </c>
      <c r="M289" s="318" t="s">
        <v>20721</v>
      </c>
      <c r="N289" s="379" t="s">
        <v>20297</v>
      </c>
      <c r="O289" s="380">
        <v>45581</v>
      </c>
      <c r="P289" s="381">
        <v>5059.2</v>
      </c>
      <c r="Q289" s="340">
        <v>0.18330434782608696</v>
      </c>
      <c r="R289" s="340">
        <v>0</v>
      </c>
      <c r="S289" s="341">
        <v>5059.2</v>
      </c>
      <c r="T289" s="341">
        <v>0</v>
      </c>
      <c r="U289" s="341">
        <v>0</v>
      </c>
      <c r="V289" s="340">
        <v>5059.2</v>
      </c>
      <c r="W289" s="340">
        <v>0</v>
      </c>
    </row>
    <row r="290" spans="1:23">
      <c r="A290" s="332">
        <v>19300</v>
      </c>
      <c r="B290" s="333">
        <v>79993.457391000004</v>
      </c>
      <c r="C290" s="334" t="s">
        <v>19653</v>
      </c>
      <c r="D290" s="371" t="s">
        <v>19524</v>
      </c>
      <c r="E290" s="372" t="s">
        <v>301</v>
      </c>
      <c r="F290" s="397" t="s">
        <v>20155</v>
      </c>
      <c r="G290" s="336">
        <v>45572</v>
      </c>
      <c r="H290" s="337">
        <v>5500</v>
      </c>
      <c r="I290" s="337">
        <v>13800</v>
      </c>
      <c r="J290" s="338"/>
      <c r="K290" s="337"/>
      <c r="L290" s="339" t="s">
        <v>20398</v>
      </c>
      <c r="M290" s="318" t="s">
        <v>20722</v>
      </c>
      <c r="N290" s="379" t="s">
        <v>20379</v>
      </c>
      <c r="O290" s="380">
        <v>45581</v>
      </c>
      <c r="P290" s="381">
        <v>0</v>
      </c>
      <c r="Q290" s="340">
        <v>0</v>
      </c>
      <c r="R290" s="340">
        <v>0</v>
      </c>
      <c r="S290" s="341">
        <v>0</v>
      </c>
      <c r="T290" s="341">
        <v>0</v>
      </c>
      <c r="U290" s="341">
        <v>0</v>
      </c>
      <c r="V290" s="340">
        <v>0</v>
      </c>
      <c r="W290" s="340">
        <v>0</v>
      </c>
    </row>
    <row r="291" spans="1:23">
      <c r="A291" s="332">
        <v>372000</v>
      </c>
      <c r="B291" s="333">
        <v>644220</v>
      </c>
      <c r="C291" s="334" t="s">
        <v>19833</v>
      </c>
      <c r="D291" s="371" t="s">
        <v>19525</v>
      </c>
      <c r="E291" s="372" t="s">
        <v>302</v>
      </c>
      <c r="F291" s="389" t="s">
        <v>20155</v>
      </c>
      <c r="G291" s="336">
        <v>45572</v>
      </c>
      <c r="H291" s="337">
        <v>132000</v>
      </c>
      <c r="I291" s="337">
        <v>30000</v>
      </c>
      <c r="J291" s="338">
        <v>210000</v>
      </c>
      <c r="K291" s="337"/>
      <c r="L291" s="339" t="s">
        <v>20446</v>
      </c>
      <c r="M291" s="318" t="s">
        <v>20723</v>
      </c>
      <c r="N291" s="379" t="s">
        <v>20321</v>
      </c>
      <c r="O291" s="380">
        <v>45590</v>
      </c>
      <c r="P291" s="381">
        <v>0</v>
      </c>
      <c r="Q291" s="340">
        <v>0</v>
      </c>
      <c r="R291" s="340">
        <v>0</v>
      </c>
      <c r="S291" s="341">
        <v>0</v>
      </c>
      <c r="T291" s="341">
        <v>0</v>
      </c>
      <c r="U291" s="341">
        <v>0</v>
      </c>
      <c r="V291" s="340">
        <v>0</v>
      </c>
      <c r="W291" s="340">
        <v>0</v>
      </c>
    </row>
    <row r="292" spans="1:23">
      <c r="A292" s="332">
        <v>275000</v>
      </c>
      <c r="B292" s="333">
        <v>398750</v>
      </c>
      <c r="C292" s="334" t="s">
        <v>19652</v>
      </c>
      <c r="D292" s="371" t="s">
        <v>19526</v>
      </c>
      <c r="E292" s="372" t="s">
        <v>303</v>
      </c>
      <c r="F292" s="397" t="s">
        <v>20155</v>
      </c>
      <c r="G292" s="336">
        <v>45572</v>
      </c>
      <c r="H292" s="337"/>
      <c r="I292" s="337"/>
      <c r="J292" s="338">
        <v>275000</v>
      </c>
      <c r="K292" s="337"/>
      <c r="L292" s="339" t="s">
        <v>20398</v>
      </c>
      <c r="M292" s="318" t="s">
        <v>20724</v>
      </c>
      <c r="N292" s="379" t="s">
        <v>17801</v>
      </c>
      <c r="O292" s="380">
        <v>45582</v>
      </c>
      <c r="P292" s="381">
        <v>0</v>
      </c>
      <c r="Q292" s="340">
        <v>0</v>
      </c>
      <c r="R292" s="340">
        <v>0</v>
      </c>
      <c r="S292" s="341">
        <v>0</v>
      </c>
      <c r="T292" s="341">
        <v>0</v>
      </c>
      <c r="U292" s="341">
        <v>0</v>
      </c>
      <c r="V292" s="340">
        <v>0</v>
      </c>
      <c r="W292" s="340">
        <v>0</v>
      </c>
    </row>
    <row r="293" spans="1:23">
      <c r="A293" s="332">
        <v>104000</v>
      </c>
      <c r="B293" s="333">
        <v>153920</v>
      </c>
      <c r="C293" s="334" t="s">
        <v>17380</v>
      </c>
      <c r="D293" s="371" t="s">
        <v>19527</v>
      </c>
      <c r="E293" s="372" t="s">
        <v>304</v>
      </c>
      <c r="F293" s="397" t="s">
        <v>20155</v>
      </c>
      <c r="G293" s="336">
        <v>45574</v>
      </c>
      <c r="H293" s="337"/>
      <c r="I293" s="337"/>
      <c r="J293" s="338">
        <v>104000</v>
      </c>
      <c r="K293" s="337"/>
      <c r="L293" s="339" t="s">
        <v>20725</v>
      </c>
      <c r="M293" s="318" t="s">
        <v>20726</v>
      </c>
      <c r="N293" s="379" t="s">
        <v>20159</v>
      </c>
      <c r="O293" s="380">
        <v>45588</v>
      </c>
      <c r="P293" s="381">
        <v>0</v>
      </c>
      <c r="Q293" s="340">
        <v>0</v>
      </c>
      <c r="R293" s="340">
        <v>0</v>
      </c>
      <c r="S293" s="341">
        <v>0</v>
      </c>
      <c r="T293" s="341">
        <v>0</v>
      </c>
      <c r="U293" s="341">
        <v>0</v>
      </c>
      <c r="V293" s="340">
        <v>0</v>
      </c>
      <c r="W293" s="340">
        <v>0</v>
      </c>
    </row>
    <row r="294" spans="1:23">
      <c r="A294" s="332">
        <v>187432</v>
      </c>
      <c r="B294" s="333">
        <v>857624.32504799997</v>
      </c>
      <c r="C294" s="334" t="s">
        <v>20407</v>
      </c>
      <c r="D294" s="371" t="s">
        <v>19528</v>
      </c>
      <c r="E294" s="372" t="s">
        <v>305</v>
      </c>
      <c r="F294" s="397" t="s">
        <v>20155</v>
      </c>
      <c r="G294" s="336">
        <v>45575</v>
      </c>
      <c r="H294" s="337">
        <v>20532</v>
      </c>
      <c r="I294" s="337">
        <v>35000</v>
      </c>
      <c r="J294" s="338">
        <v>48900</v>
      </c>
      <c r="K294" s="337">
        <v>83000</v>
      </c>
      <c r="L294" s="339" t="s">
        <v>20424</v>
      </c>
      <c r="M294" s="318" t="s">
        <v>20727</v>
      </c>
      <c r="N294" s="379" t="s">
        <v>17939</v>
      </c>
      <c r="O294" s="380">
        <v>45581</v>
      </c>
      <c r="P294" s="381">
        <v>0</v>
      </c>
      <c r="Q294" s="340">
        <v>0</v>
      </c>
      <c r="R294" s="340">
        <v>0</v>
      </c>
      <c r="S294" s="341">
        <v>0</v>
      </c>
      <c r="T294" s="341">
        <v>0</v>
      </c>
      <c r="U294" s="341">
        <v>0</v>
      </c>
      <c r="V294" s="340">
        <v>0</v>
      </c>
      <c r="W294" s="340">
        <v>0</v>
      </c>
    </row>
    <row r="295" spans="1:23">
      <c r="A295" s="332">
        <v>52000</v>
      </c>
      <c r="B295" s="333">
        <v>80340</v>
      </c>
      <c r="C295" s="334" t="s">
        <v>20728</v>
      </c>
      <c r="D295" s="371" t="s">
        <v>19529</v>
      </c>
      <c r="E295" s="372" t="s">
        <v>306</v>
      </c>
      <c r="F295" s="400" t="s">
        <v>20155</v>
      </c>
      <c r="G295" s="336">
        <v>45575</v>
      </c>
      <c r="H295" s="337"/>
      <c r="I295" s="337"/>
      <c r="J295" s="338">
        <v>52000</v>
      </c>
      <c r="K295" s="337"/>
      <c r="L295" s="339" t="s">
        <v>20729</v>
      </c>
      <c r="M295" s="318" t="s">
        <v>20730</v>
      </c>
      <c r="N295" s="379" t="s">
        <v>20195</v>
      </c>
      <c r="O295" s="380">
        <v>45651</v>
      </c>
      <c r="P295" s="381">
        <v>0</v>
      </c>
      <c r="Q295" s="340">
        <v>0</v>
      </c>
      <c r="R295" s="340">
        <v>0</v>
      </c>
      <c r="S295" s="341">
        <v>0</v>
      </c>
      <c r="T295" s="341">
        <v>0</v>
      </c>
      <c r="U295" s="341">
        <v>0</v>
      </c>
      <c r="V295" s="340">
        <v>0</v>
      </c>
      <c r="W295" s="340">
        <v>0</v>
      </c>
    </row>
    <row r="296" spans="1:23">
      <c r="A296" s="332">
        <v>22264</v>
      </c>
      <c r="B296" s="333">
        <v>61897.558045000005</v>
      </c>
      <c r="C296" s="334" t="s">
        <v>17343</v>
      </c>
      <c r="D296" s="371" t="s">
        <v>19531</v>
      </c>
      <c r="E296" s="372" t="s">
        <v>307</v>
      </c>
      <c r="F296" s="397" t="s">
        <v>20155</v>
      </c>
      <c r="G296" s="336">
        <v>45575</v>
      </c>
      <c r="H296" s="337">
        <v>1600</v>
      </c>
      <c r="I296" s="337">
        <v>18264</v>
      </c>
      <c r="J296" s="338">
        <v>2400</v>
      </c>
      <c r="K296" s="337"/>
      <c r="L296" s="339" t="s">
        <v>20424</v>
      </c>
      <c r="M296" s="318" t="s">
        <v>20718</v>
      </c>
      <c r="N296" s="379" t="s">
        <v>16394</v>
      </c>
      <c r="O296" s="380">
        <v>45569</v>
      </c>
      <c r="P296" s="381">
        <v>12144.779999999999</v>
      </c>
      <c r="Q296" s="340">
        <v>0.54548957959037003</v>
      </c>
      <c r="R296" s="340">
        <v>872.78332734459207</v>
      </c>
      <c r="S296" s="341">
        <v>9962.8216816385175</v>
      </c>
      <c r="T296" s="341">
        <v>1309.174991016888</v>
      </c>
      <c r="U296" s="341">
        <v>0</v>
      </c>
      <c r="V296" s="340">
        <v>12144.779999999997</v>
      </c>
      <c r="W296" s="340">
        <v>0</v>
      </c>
    </row>
    <row r="297" spans="1:23">
      <c r="A297" s="332">
        <v>22680</v>
      </c>
      <c r="B297" s="333">
        <v>69309.00585999999</v>
      </c>
      <c r="C297" s="334" t="s">
        <v>19661</v>
      </c>
      <c r="D297" s="371" t="s">
        <v>19532</v>
      </c>
      <c r="E297" s="372" t="s">
        <v>308</v>
      </c>
      <c r="F297" s="397" t="s">
        <v>20155</v>
      </c>
      <c r="G297" s="336">
        <v>45579</v>
      </c>
      <c r="H297" s="337"/>
      <c r="I297" s="337">
        <v>22680</v>
      </c>
      <c r="J297" s="338"/>
      <c r="K297" s="337"/>
      <c r="L297" s="339" t="s">
        <v>20408</v>
      </c>
      <c r="M297" s="318" t="s">
        <v>20731</v>
      </c>
      <c r="N297" s="379" t="s">
        <v>20160</v>
      </c>
      <c r="O297" s="380">
        <v>45583</v>
      </c>
      <c r="P297" s="381">
        <v>14313.362499999999</v>
      </c>
      <c r="Q297" s="340">
        <v>0.63110063932980598</v>
      </c>
      <c r="R297" s="340">
        <v>0</v>
      </c>
      <c r="S297" s="341">
        <v>14313.362499999999</v>
      </c>
      <c r="T297" s="341">
        <v>0</v>
      </c>
      <c r="U297" s="341">
        <v>0</v>
      </c>
      <c r="V297" s="340">
        <v>14313.362499999999</v>
      </c>
      <c r="W297" s="340">
        <v>0</v>
      </c>
    </row>
    <row r="298" spans="1:23">
      <c r="A298" s="332">
        <v>40300</v>
      </c>
      <c r="B298" s="333">
        <v>114454.76054999999</v>
      </c>
      <c r="C298" s="334" t="s">
        <v>19659</v>
      </c>
      <c r="D298" s="371" t="s">
        <v>19533</v>
      </c>
      <c r="E298" s="372" t="s">
        <v>309</v>
      </c>
      <c r="F298" s="397" t="s">
        <v>20155</v>
      </c>
      <c r="G298" s="336">
        <v>45579</v>
      </c>
      <c r="H298" s="337">
        <v>40300</v>
      </c>
      <c r="I298" s="337"/>
      <c r="J298" s="338"/>
      <c r="K298" s="337"/>
      <c r="L298" s="339" t="s">
        <v>20398</v>
      </c>
      <c r="M298" s="318" t="s">
        <v>20732</v>
      </c>
      <c r="N298" s="379" t="s">
        <v>20161</v>
      </c>
      <c r="O298" s="380">
        <v>45589</v>
      </c>
      <c r="P298" s="381">
        <v>0</v>
      </c>
      <c r="Q298" s="340">
        <v>0</v>
      </c>
      <c r="R298" s="340">
        <v>0</v>
      </c>
      <c r="S298" s="341">
        <v>0</v>
      </c>
      <c r="T298" s="341">
        <v>0</v>
      </c>
      <c r="U298" s="341">
        <v>0</v>
      </c>
      <c r="V298" s="340">
        <v>0</v>
      </c>
      <c r="W298" s="340">
        <v>0</v>
      </c>
    </row>
    <row r="299" spans="1:23">
      <c r="A299" s="332">
        <v>19200</v>
      </c>
      <c r="B299" s="333">
        <v>38208</v>
      </c>
      <c r="C299" s="334" t="s">
        <v>19655</v>
      </c>
      <c r="D299" s="371" t="s">
        <v>19534</v>
      </c>
      <c r="E299" s="372" t="s">
        <v>310</v>
      </c>
      <c r="F299" s="397" t="s">
        <v>20155</v>
      </c>
      <c r="G299" s="336">
        <v>45579</v>
      </c>
      <c r="H299" s="337">
        <v>19200</v>
      </c>
      <c r="I299" s="337"/>
      <c r="J299" s="338"/>
      <c r="K299" s="337"/>
      <c r="L299" s="339" t="s">
        <v>18201</v>
      </c>
      <c r="M299" s="318" t="s">
        <v>20733</v>
      </c>
      <c r="N299" s="379" t="s">
        <v>18248</v>
      </c>
      <c r="O299" s="380">
        <v>45582</v>
      </c>
      <c r="P299" s="381">
        <v>0</v>
      </c>
      <c r="Q299" s="340">
        <v>0</v>
      </c>
      <c r="R299" s="340">
        <v>0</v>
      </c>
      <c r="S299" s="341">
        <v>0</v>
      </c>
      <c r="T299" s="341">
        <v>0</v>
      </c>
      <c r="U299" s="341">
        <v>0</v>
      </c>
      <c r="V299" s="340">
        <v>0</v>
      </c>
      <c r="W299" s="340">
        <v>0</v>
      </c>
    </row>
    <row r="300" spans="1:23">
      <c r="A300" s="332">
        <v>90000</v>
      </c>
      <c r="B300" s="333">
        <v>139500</v>
      </c>
      <c r="C300" s="334" t="s">
        <v>19647</v>
      </c>
      <c r="D300" s="371" t="s">
        <v>19535</v>
      </c>
      <c r="E300" s="372" t="s">
        <v>311</v>
      </c>
      <c r="F300" s="389" t="s">
        <v>20155</v>
      </c>
      <c r="G300" s="336">
        <v>45580</v>
      </c>
      <c r="H300" s="337"/>
      <c r="I300" s="337">
        <v>90000</v>
      </c>
      <c r="J300" s="338"/>
      <c r="K300" s="337"/>
      <c r="L300" s="339" t="s">
        <v>20398</v>
      </c>
      <c r="M300" s="318" t="s">
        <v>20734</v>
      </c>
      <c r="N300" s="379" t="s">
        <v>20321</v>
      </c>
      <c r="O300" s="380">
        <v>45590</v>
      </c>
      <c r="P300" s="381">
        <v>0</v>
      </c>
      <c r="Q300" s="340">
        <v>0</v>
      </c>
      <c r="R300" s="340">
        <v>0</v>
      </c>
      <c r="S300" s="341">
        <v>0</v>
      </c>
      <c r="T300" s="341">
        <v>0</v>
      </c>
      <c r="U300" s="341">
        <v>0</v>
      </c>
      <c r="V300" s="340">
        <v>0</v>
      </c>
      <c r="W300" s="340">
        <v>0</v>
      </c>
    </row>
    <row r="301" spans="1:23">
      <c r="A301" s="332">
        <v>278400</v>
      </c>
      <c r="B301" s="333">
        <v>487777.78022399999</v>
      </c>
      <c r="C301" s="334" t="s">
        <v>19804</v>
      </c>
      <c r="D301" s="371" t="s">
        <v>19536</v>
      </c>
      <c r="E301" s="372" t="s">
        <v>312</v>
      </c>
      <c r="F301" s="389" t="s">
        <v>20155</v>
      </c>
      <c r="G301" s="336">
        <v>45580</v>
      </c>
      <c r="H301" s="337"/>
      <c r="I301" s="337">
        <v>155904</v>
      </c>
      <c r="J301" s="338">
        <v>122496</v>
      </c>
      <c r="K301" s="337"/>
      <c r="L301" s="339" t="s">
        <v>20424</v>
      </c>
      <c r="M301" s="318" t="s">
        <v>20735</v>
      </c>
      <c r="N301" s="379" t="s">
        <v>20173</v>
      </c>
      <c r="O301" s="380">
        <v>45596</v>
      </c>
      <c r="P301" s="381">
        <v>0</v>
      </c>
      <c r="Q301" s="340">
        <v>0</v>
      </c>
      <c r="R301" s="340">
        <v>0</v>
      </c>
      <c r="S301" s="341">
        <v>0</v>
      </c>
      <c r="T301" s="341">
        <v>0</v>
      </c>
      <c r="U301" s="341">
        <v>0</v>
      </c>
      <c r="V301" s="340">
        <v>0</v>
      </c>
      <c r="W301" s="340">
        <v>0</v>
      </c>
    </row>
    <row r="302" spans="1:23">
      <c r="A302" s="332">
        <v>44400</v>
      </c>
      <c r="B302" s="333">
        <v>75924</v>
      </c>
      <c r="C302" s="334" t="s">
        <v>19655</v>
      </c>
      <c r="D302" s="371" t="s">
        <v>19537</v>
      </c>
      <c r="E302" s="372" t="s">
        <v>313</v>
      </c>
      <c r="F302" s="397" t="s">
        <v>20155</v>
      </c>
      <c r="G302" s="336">
        <v>45580</v>
      </c>
      <c r="H302" s="337"/>
      <c r="I302" s="337">
        <v>44400</v>
      </c>
      <c r="J302" s="338"/>
      <c r="K302" s="337"/>
      <c r="L302" s="339" t="s">
        <v>18201</v>
      </c>
      <c r="M302" s="318" t="s">
        <v>20736</v>
      </c>
      <c r="N302" s="379" t="s">
        <v>18248</v>
      </c>
      <c r="O302" s="380">
        <v>45588</v>
      </c>
      <c r="P302" s="381">
        <v>0</v>
      </c>
      <c r="Q302" s="340">
        <v>0</v>
      </c>
      <c r="R302" s="340">
        <v>0</v>
      </c>
      <c r="S302" s="341">
        <v>0</v>
      </c>
      <c r="T302" s="341">
        <v>0</v>
      </c>
      <c r="U302" s="341">
        <v>0</v>
      </c>
      <c r="V302" s="340">
        <v>0</v>
      </c>
      <c r="W302" s="340">
        <v>0</v>
      </c>
    </row>
    <row r="303" spans="1:23">
      <c r="A303" s="332">
        <v>23608</v>
      </c>
      <c r="B303" s="333">
        <v>72620.79622199999</v>
      </c>
      <c r="C303" s="334" t="s">
        <v>17305</v>
      </c>
      <c r="D303" s="371" t="s">
        <v>19538</v>
      </c>
      <c r="E303" s="372" t="s">
        <v>314</v>
      </c>
      <c r="F303" s="389" t="s">
        <v>20155</v>
      </c>
      <c r="G303" s="336">
        <v>45581</v>
      </c>
      <c r="H303" s="337"/>
      <c r="I303" s="337"/>
      <c r="J303" s="338">
        <v>23608</v>
      </c>
      <c r="K303" s="337"/>
      <c r="L303" s="339" t="s">
        <v>20459</v>
      </c>
      <c r="M303" s="318" t="s">
        <v>20737</v>
      </c>
      <c r="N303" s="379" t="s">
        <v>17238</v>
      </c>
      <c r="O303" s="380">
        <v>45596</v>
      </c>
      <c r="P303" s="381">
        <v>12849.554249999999</v>
      </c>
      <c r="Q303" s="340">
        <v>0.54428813325991188</v>
      </c>
      <c r="R303" s="340">
        <v>0</v>
      </c>
      <c r="S303" s="341">
        <v>0</v>
      </c>
      <c r="T303" s="341">
        <v>12849.554249999999</v>
      </c>
      <c r="U303" s="341">
        <v>0</v>
      </c>
      <c r="V303" s="340">
        <v>12849.554249999999</v>
      </c>
      <c r="W303" s="340">
        <v>0</v>
      </c>
    </row>
    <row r="304" spans="1:23">
      <c r="A304" s="332">
        <v>22680</v>
      </c>
      <c r="B304" s="333">
        <v>69253.440939999986</v>
      </c>
      <c r="C304" s="334" t="s">
        <v>16481</v>
      </c>
      <c r="D304" s="371" t="s">
        <v>19539</v>
      </c>
      <c r="E304" s="372" t="s">
        <v>315</v>
      </c>
      <c r="F304" s="389" t="s">
        <v>20155</v>
      </c>
      <c r="G304" s="336">
        <v>45582</v>
      </c>
      <c r="H304" s="337"/>
      <c r="I304" s="337">
        <v>22680</v>
      </c>
      <c r="J304" s="338"/>
      <c r="K304" s="337"/>
      <c r="L304" s="339" t="s">
        <v>20424</v>
      </c>
      <c r="M304" s="318" t="s">
        <v>20738</v>
      </c>
      <c r="N304" s="379" t="s">
        <v>20160</v>
      </c>
      <c r="O304" s="380">
        <v>45594</v>
      </c>
      <c r="P304" s="381">
        <v>14301.887499999999</v>
      </c>
      <c r="Q304" s="340">
        <v>0.63059468694885357</v>
      </c>
      <c r="R304" s="340">
        <v>0</v>
      </c>
      <c r="S304" s="341">
        <v>14301.887499999999</v>
      </c>
      <c r="T304" s="341">
        <v>0</v>
      </c>
      <c r="U304" s="341">
        <v>0</v>
      </c>
      <c r="V304" s="340">
        <v>14301.887499999999</v>
      </c>
      <c r="W304" s="340">
        <v>0</v>
      </c>
    </row>
    <row r="305" spans="1:23">
      <c r="A305" s="332">
        <v>20912</v>
      </c>
      <c r="B305" s="333">
        <v>59497.111669999998</v>
      </c>
      <c r="C305" s="334" t="s">
        <v>17343</v>
      </c>
      <c r="D305" s="371" t="s">
        <v>19540</v>
      </c>
      <c r="E305" s="372" t="s">
        <v>316</v>
      </c>
      <c r="F305" s="397" t="s">
        <v>20155</v>
      </c>
      <c r="G305" s="336">
        <v>45582</v>
      </c>
      <c r="H305" s="337"/>
      <c r="I305" s="337">
        <v>17952</v>
      </c>
      <c r="J305" s="338">
        <v>2400</v>
      </c>
      <c r="K305" s="337">
        <v>560</v>
      </c>
      <c r="L305" s="339" t="s">
        <v>20424</v>
      </c>
      <c r="M305" s="318" t="s">
        <v>20739</v>
      </c>
      <c r="N305" s="379" t="s">
        <v>16394</v>
      </c>
      <c r="O305" s="380">
        <v>45583</v>
      </c>
      <c r="P305" s="381">
        <v>12124.259999999998</v>
      </c>
      <c r="Q305" s="340">
        <v>0.57977524866105579</v>
      </c>
      <c r="R305" s="340">
        <v>0</v>
      </c>
      <c r="S305" s="341">
        <v>10408.125263963273</v>
      </c>
      <c r="T305" s="341">
        <v>1391.4605967865339</v>
      </c>
      <c r="U305" s="341">
        <v>324.67413925019122</v>
      </c>
      <c r="V305" s="340">
        <v>12124.259999999998</v>
      </c>
      <c r="W305" s="340">
        <v>0</v>
      </c>
    </row>
    <row r="306" spans="1:23">
      <c r="A306" s="332">
        <v>112500</v>
      </c>
      <c r="B306" s="333">
        <v>180000</v>
      </c>
      <c r="C306" s="334" t="s">
        <v>19647</v>
      </c>
      <c r="D306" s="371" t="s">
        <v>19541</v>
      </c>
      <c r="E306" s="372" t="s">
        <v>317</v>
      </c>
      <c r="F306" s="397" t="s">
        <v>20155</v>
      </c>
      <c r="G306" s="336">
        <v>45582</v>
      </c>
      <c r="H306" s="337"/>
      <c r="I306" s="337">
        <v>112500</v>
      </c>
      <c r="J306" s="338"/>
      <c r="K306" s="337"/>
      <c r="L306" s="339" t="s">
        <v>20398</v>
      </c>
      <c r="M306" s="318" t="s">
        <v>20740</v>
      </c>
      <c r="N306" s="379" t="s">
        <v>20321</v>
      </c>
      <c r="O306" s="380">
        <v>45588</v>
      </c>
      <c r="P306" s="381">
        <v>0</v>
      </c>
      <c r="Q306" s="340">
        <v>0</v>
      </c>
      <c r="R306" s="340">
        <v>0</v>
      </c>
      <c r="S306" s="341">
        <v>0</v>
      </c>
      <c r="T306" s="341">
        <v>0</v>
      </c>
      <c r="U306" s="341">
        <v>0</v>
      </c>
      <c r="V306" s="340">
        <v>0</v>
      </c>
      <c r="W306" s="340">
        <v>0</v>
      </c>
    </row>
    <row r="307" spans="1:23">
      <c r="A307" s="332">
        <v>20150</v>
      </c>
      <c r="B307" s="333">
        <v>49409.432150000001</v>
      </c>
      <c r="C307" s="334" t="s">
        <v>19659</v>
      </c>
      <c r="D307" s="371" t="s">
        <v>19542</v>
      </c>
      <c r="E307" s="372" t="s">
        <v>318</v>
      </c>
      <c r="F307" s="397" t="s">
        <v>20155</v>
      </c>
      <c r="G307" s="336">
        <v>45583</v>
      </c>
      <c r="H307" s="337">
        <v>20150</v>
      </c>
      <c r="I307" s="337"/>
      <c r="J307" s="338"/>
      <c r="K307" s="337"/>
      <c r="L307" s="339" t="s">
        <v>20398</v>
      </c>
      <c r="M307" s="318" t="s">
        <v>20741</v>
      </c>
      <c r="N307" s="379" t="s">
        <v>20161</v>
      </c>
      <c r="O307" s="380">
        <v>45589</v>
      </c>
      <c r="P307" s="381">
        <v>0</v>
      </c>
      <c r="Q307" s="340">
        <v>0</v>
      </c>
      <c r="R307" s="340">
        <v>0</v>
      </c>
      <c r="S307" s="341">
        <v>0</v>
      </c>
      <c r="T307" s="341">
        <v>0</v>
      </c>
      <c r="U307" s="341">
        <v>0</v>
      </c>
      <c r="V307" s="340">
        <v>0</v>
      </c>
      <c r="W307" s="340">
        <v>0</v>
      </c>
    </row>
    <row r="308" spans="1:23">
      <c r="A308" s="332">
        <v>38400</v>
      </c>
      <c r="B308" s="333">
        <v>89857.73060000001</v>
      </c>
      <c r="C308" s="334" t="s">
        <v>17277</v>
      </c>
      <c r="D308" s="371" t="s">
        <v>19543</v>
      </c>
      <c r="E308" s="372" t="s">
        <v>319</v>
      </c>
      <c r="F308" s="389" t="s">
        <v>20155</v>
      </c>
      <c r="G308" s="336">
        <v>45583</v>
      </c>
      <c r="H308" s="337">
        <v>38400</v>
      </c>
      <c r="I308" s="337"/>
      <c r="J308" s="338"/>
      <c r="K308" s="337"/>
      <c r="L308" s="339" t="s">
        <v>20424</v>
      </c>
      <c r="M308" s="318" t="s">
        <v>20742</v>
      </c>
      <c r="N308" s="379" t="s">
        <v>20297</v>
      </c>
      <c r="O308" s="380">
        <v>45596</v>
      </c>
      <c r="P308" s="381">
        <v>9756.9050000000007</v>
      </c>
      <c r="Q308" s="340">
        <v>0.25408606770833336</v>
      </c>
      <c r="R308" s="340">
        <v>9756.9050000000007</v>
      </c>
      <c r="S308" s="341">
        <v>0</v>
      </c>
      <c r="T308" s="341">
        <v>0</v>
      </c>
      <c r="U308" s="341">
        <v>0</v>
      </c>
      <c r="V308" s="340">
        <v>9756.9050000000007</v>
      </c>
      <c r="W308" s="340">
        <v>0</v>
      </c>
    </row>
    <row r="309" spans="1:23">
      <c r="A309" s="332">
        <v>20750</v>
      </c>
      <c r="B309" s="333">
        <v>39632.5</v>
      </c>
      <c r="C309" s="334" t="s">
        <v>19655</v>
      </c>
      <c r="D309" s="371" t="s">
        <v>19544</v>
      </c>
      <c r="E309" s="372" t="s">
        <v>320</v>
      </c>
      <c r="F309" s="397" t="s">
        <v>20155</v>
      </c>
      <c r="G309" s="336">
        <v>45583</v>
      </c>
      <c r="H309" s="337">
        <v>20750</v>
      </c>
      <c r="I309" s="337"/>
      <c r="J309" s="338"/>
      <c r="K309" s="337"/>
      <c r="L309" s="339" t="s">
        <v>18201</v>
      </c>
      <c r="M309" s="318" t="s">
        <v>20743</v>
      </c>
      <c r="N309" s="379" t="s">
        <v>17693</v>
      </c>
      <c r="O309" s="380">
        <v>45589</v>
      </c>
      <c r="P309" s="381">
        <v>0</v>
      </c>
      <c r="Q309" s="340">
        <v>0</v>
      </c>
      <c r="R309" s="340">
        <v>0</v>
      </c>
      <c r="S309" s="341">
        <v>0</v>
      </c>
      <c r="T309" s="341">
        <v>0</v>
      </c>
      <c r="U309" s="341">
        <v>0</v>
      </c>
      <c r="V309" s="340">
        <v>0</v>
      </c>
      <c r="W309" s="340">
        <v>0</v>
      </c>
    </row>
    <row r="310" spans="1:23">
      <c r="A310" s="332">
        <v>109274</v>
      </c>
      <c r="B310" s="333">
        <v>206194.06</v>
      </c>
      <c r="C310" s="334" t="s">
        <v>19656</v>
      </c>
      <c r="D310" s="371" t="s">
        <v>19545</v>
      </c>
      <c r="E310" s="372" t="s">
        <v>321</v>
      </c>
      <c r="F310" s="397" t="s">
        <v>20155</v>
      </c>
      <c r="G310" s="336">
        <v>45583</v>
      </c>
      <c r="H310" s="337">
        <v>86774</v>
      </c>
      <c r="I310" s="337">
        <v>22500</v>
      </c>
      <c r="J310" s="338"/>
      <c r="K310" s="337"/>
      <c r="L310" s="339" t="s">
        <v>20398</v>
      </c>
      <c r="M310" s="318" t="s">
        <v>20744</v>
      </c>
      <c r="N310" s="379" t="s">
        <v>17949</v>
      </c>
      <c r="O310" s="380">
        <v>45595</v>
      </c>
      <c r="P310" s="381">
        <v>0</v>
      </c>
      <c r="Q310" s="340">
        <v>0</v>
      </c>
      <c r="R310" s="340">
        <v>0</v>
      </c>
      <c r="S310" s="341">
        <v>0</v>
      </c>
      <c r="T310" s="341">
        <v>0</v>
      </c>
      <c r="U310" s="341">
        <v>0</v>
      </c>
      <c r="V310" s="340">
        <v>0</v>
      </c>
      <c r="W310" s="340">
        <v>0</v>
      </c>
    </row>
    <row r="311" spans="1:23">
      <c r="A311" s="332">
        <v>21200</v>
      </c>
      <c r="B311" s="333">
        <v>40558</v>
      </c>
      <c r="C311" s="334" t="s">
        <v>19647</v>
      </c>
      <c r="D311" s="371" t="s">
        <v>19546</v>
      </c>
      <c r="E311" s="372" t="s">
        <v>322</v>
      </c>
      <c r="F311" s="397" t="s">
        <v>20155</v>
      </c>
      <c r="G311" s="336">
        <v>45583</v>
      </c>
      <c r="H311" s="337">
        <v>21200</v>
      </c>
      <c r="I311" s="337"/>
      <c r="J311" s="338"/>
      <c r="K311" s="337"/>
      <c r="L311" s="339" t="s">
        <v>18201</v>
      </c>
      <c r="M311" s="318" t="s">
        <v>20744</v>
      </c>
      <c r="N311" s="379" t="s">
        <v>17771</v>
      </c>
      <c r="O311" s="380">
        <v>45593</v>
      </c>
      <c r="P311" s="381">
        <v>0</v>
      </c>
      <c r="Q311" s="340">
        <v>0</v>
      </c>
      <c r="R311" s="340">
        <v>0</v>
      </c>
      <c r="S311" s="341">
        <v>0</v>
      </c>
      <c r="T311" s="341">
        <v>0</v>
      </c>
      <c r="U311" s="341">
        <v>0</v>
      </c>
      <c r="V311" s="340">
        <v>0</v>
      </c>
      <c r="W311" s="340">
        <v>0</v>
      </c>
    </row>
    <row r="312" spans="1:23">
      <c r="A312" s="332">
        <v>56000</v>
      </c>
      <c r="B312" s="333">
        <v>91160</v>
      </c>
      <c r="C312" s="334" t="s">
        <v>19647</v>
      </c>
      <c r="D312" s="371" t="s">
        <v>19547</v>
      </c>
      <c r="E312" s="372" t="s">
        <v>323</v>
      </c>
      <c r="F312" s="389" t="s">
        <v>20155</v>
      </c>
      <c r="G312" s="336">
        <v>45583</v>
      </c>
      <c r="H312" s="337"/>
      <c r="I312" s="337"/>
      <c r="J312" s="338">
        <v>56000</v>
      </c>
      <c r="K312" s="337"/>
      <c r="L312" s="339" t="s">
        <v>20398</v>
      </c>
      <c r="M312" s="318" t="s">
        <v>20745</v>
      </c>
      <c r="N312" s="379" t="s">
        <v>17771</v>
      </c>
      <c r="O312" s="380">
        <v>45590</v>
      </c>
      <c r="P312" s="381">
        <v>0</v>
      </c>
      <c r="Q312" s="340">
        <v>0</v>
      </c>
      <c r="R312" s="340">
        <v>0</v>
      </c>
      <c r="S312" s="341">
        <v>0</v>
      </c>
      <c r="T312" s="341">
        <v>0</v>
      </c>
      <c r="U312" s="341">
        <v>0</v>
      </c>
      <c r="V312" s="340">
        <v>0</v>
      </c>
      <c r="W312" s="340">
        <v>0</v>
      </c>
    </row>
    <row r="313" spans="1:23">
      <c r="A313" s="332">
        <v>24408</v>
      </c>
      <c r="B313" s="333">
        <v>16705.453603499998</v>
      </c>
      <c r="C313" s="334" t="s">
        <v>17343</v>
      </c>
      <c r="D313" s="371" t="s">
        <v>19548</v>
      </c>
      <c r="E313" s="372" t="s">
        <v>324</v>
      </c>
      <c r="F313" s="397" t="s">
        <v>20155</v>
      </c>
      <c r="G313" s="336">
        <v>45583</v>
      </c>
      <c r="H313" s="337"/>
      <c r="I313" s="337">
        <v>18408</v>
      </c>
      <c r="J313" s="338">
        <v>6000</v>
      </c>
      <c r="K313" s="337"/>
      <c r="L313" s="339" t="s">
        <v>20424</v>
      </c>
      <c r="M313" s="318" t="s">
        <v>20746</v>
      </c>
      <c r="N313" s="379" t="s">
        <v>16394</v>
      </c>
      <c r="O313" s="380">
        <v>45588</v>
      </c>
      <c r="P313" s="381">
        <v>0</v>
      </c>
      <c r="Q313" s="340">
        <v>0</v>
      </c>
      <c r="R313" s="340">
        <v>0</v>
      </c>
      <c r="S313" s="341">
        <v>0</v>
      </c>
      <c r="T313" s="341">
        <v>0</v>
      </c>
      <c r="U313" s="341">
        <v>0</v>
      </c>
      <c r="V313" s="340">
        <v>0</v>
      </c>
      <c r="W313" s="340">
        <v>0</v>
      </c>
    </row>
    <row r="314" spans="1:23">
      <c r="A314" s="332">
        <v>22712</v>
      </c>
      <c r="B314" s="333">
        <v>17817.268549500001</v>
      </c>
      <c r="C314" s="334" t="s">
        <v>17343</v>
      </c>
      <c r="D314" s="371" t="s">
        <v>19549</v>
      </c>
      <c r="E314" s="372" t="s">
        <v>325</v>
      </c>
      <c r="F314" s="397" t="s">
        <v>20155</v>
      </c>
      <c r="G314" s="336">
        <v>45583</v>
      </c>
      <c r="H314" s="337"/>
      <c r="I314" s="337">
        <v>16872</v>
      </c>
      <c r="J314" s="338">
        <v>3600</v>
      </c>
      <c r="K314" s="337">
        <v>2240</v>
      </c>
      <c r="L314" s="339" t="s">
        <v>20424</v>
      </c>
      <c r="M314" s="318" t="s">
        <v>20747</v>
      </c>
      <c r="N314" s="379" t="s">
        <v>16394</v>
      </c>
      <c r="O314" s="380">
        <v>45588</v>
      </c>
      <c r="P314" s="381">
        <v>0</v>
      </c>
      <c r="Q314" s="340">
        <v>0</v>
      </c>
      <c r="R314" s="340">
        <v>0</v>
      </c>
      <c r="S314" s="341">
        <v>0</v>
      </c>
      <c r="T314" s="341">
        <v>0</v>
      </c>
      <c r="U314" s="341">
        <v>0</v>
      </c>
      <c r="V314" s="340">
        <v>0</v>
      </c>
      <c r="W314" s="340">
        <v>0</v>
      </c>
    </row>
    <row r="315" spans="1:23">
      <c r="A315" s="332">
        <v>20750</v>
      </c>
      <c r="B315" s="333">
        <v>39632.5</v>
      </c>
      <c r="C315" s="334" t="s">
        <v>19655</v>
      </c>
      <c r="D315" s="371" t="s">
        <v>19550</v>
      </c>
      <c r="E315" s="372" t="s">
        <v>326</v>
      </c>
      <c r="F315" s="397" t="s">
        <v>20155</v>
      </c>
      <c r="G315" s="336">
        <v>45586</v>
      </c>
      <c r="H315" s="337">
        <v>20750</v>
      </c>
      <c r="I315" s="337"/>
      <c r="J315" s="338"/>
      <c r="K315" s="337"/>
      <c r="L315" s="339" t="s">
        <v>18201</v>
      </c>
      <c r="M315" s="318" t="s">
        <v>20748</v>
      </c>
      <c r="N315" s="379" t="s">
        <v>17693</v>
      </c>
      <c r="O315" s="380">
        <v>45589</v>
      </c>
      <c r="P315" s="381">
        <v>0</v>
      </c>
      <c r="Q315" s="340">
        <v>0</v>
      </c>
      <c r="R315" s="340">
        <v>0</v>
      </c>
      <c r="S315" s="341">
        <v>0</v>
      </c>
      <c r="T315" s="341">
        <v>0</v>
      </c>
      <c r="U315" s="341">
        <v>0</v>
      </c>
      <c r="V315" s="340">
        <v>0</v>
      </c>
      <c r="W315" s="340">
        <v>0</v>
      </c>
    </row>
    <row r="316" spans="1:23">
      <c r="A316" s="332">
        <v>20000</v>
      </c>
      <c r="B316" s="333">
        <v>40500</v>
      </c>
      <c r="C316" s="334" t="s">
        <v>19679</v>
      </c>
      <c r="D316" s="371" t="s">
        <v>19551</v>
      </c>
      <c r="E316" s="372" t="s">
        <v>327</v>
      </c>
      <c r="F316" s="389" t="s">
        <v>20155</v>
      </c>
      <c r="G316" s="336">
        <v>45586</v>
      </c>
      <c r="H316" s="337">
        <v>20000</v>
      </c>
      <c r="I316" s="337"/>
      <c r="J316" s="338"/>
      <c r="K316" s="337"/>
      <c r="L316" s="339" t="s">
        <v>20398</v>
      </c>
      <c r="M316" s="318" t="s">
        <v>20749</v>
      </c>
      <c r="N316" s="379" t="s">
        <v>20161</v>
      </c>
      <c r="O316" s="380">
        <v>45607</v>
      </c>
      <c r="P316" s="381">
        <v>0</v>
      </c>
      <c r="Q316" s="340">
        <v>0</v>
      </c>
      <c r="R316" s="340">
        <v>0</v>
      </c>
      <c r="S316" s="341">
        <v>0</v>
      </c>
      <c r="T316" s="341">
        <v>0</v>
      </c>
      <c r="U316" s="341">
        <v>0</v>
      </c>
      <c r="V316" s="340">
        <v>0</v>
      </c>
      <c r="W316" s="340">
        <v>0</v>
      </c>
    </row>
    <row r="317" spans="1:23">
      <c r="A317" s="332">
        <v>23256</v>
      </c>
      <c r="B317" s="333">
        <v>17510.580701999999</v>
      </c>
      <c r="C317" s="334" t="s">
        <v>17343</v>
      </c>
      <c r="D317" s="371" t="s">
        <v>19552</v>
      </c>
      <c r="E317" s="372" t="s">
        <v>328</v>
      </c>
      <c r="F317" s="397" t="s">
        <v>20155</v>
      </c>
      <c r="G317" s="336">
        <v>45587</v>
      </c>
      <c r="H317" s="337">
        <v>1600</v>
      </c>
      <c r="I317" s="337">
        <v>18696</v>
      </c>
      <c r="J317" s="338">
        <v>2400</v>
      </c>
      <c r="K317" s="337">
        <v>560</v>
      </c>
      <c r="L317" s="339" t="s">
        <v>20424</v>
      </c>
      <c r="M317" s="318" t="s">
        <v>20750</v>
      </c>
      <c r="N317" s="379" t="s">
        <v>16394</v>
      </c>
      <c r="O317" s="380">
        <v>45589</v>
      </c>
      <c r="P317" s="381">
        <v>0</v>
      </c>
      <c r="Q317" s="340">
        <v>0</v>
      </c>
      <c r="R317" s="340">
        <v>0</v>
      </c>
      <c r="S317" s="341">
        <v>0</v>
      </c>
      <c r="T317" s="341">
        <v>0</v>
      </c>
      <c r="U317" s="341">
        <v>0</v>
      </c>
      <c r="V317" s="340">
        <v>0</v>
      </c>
      <c r="W317" s="340">
        <v>0</v>
      </c>
    </row>
    <row r="318" spans="1:23">
      <c r="A318" s="332">
        <v>46024</v>
      </c>
      <c r="B318" s="333">
        <v>42391.326289500001</v>
      </c>
      <c r="C318" s="334" t="s">
        <v>17343</v>
      </c>
      <c r="D318" s="371" t="s">
        <v>19553</v>
      </c>
      <c r="E318" s="372" t="s">
        <v>329</v>
      </c>
      <c r="F318" s="397" t="s">
        <v>20155</v>
      </c>
      <c r="G318" s="336">
        <v>45587</v>
      </c>
      <c r="H318" s="337"/>
      <c r="I318" s="337">
        <v>32664</v>
      </c>
      <c r="J318" s="338">
        <v>7200</v>
      </c>
      <c r="K318" s="337">
        <v>6160</v>
      </c>
      <c r="L318" s="339" t="s">
        <v>20408</v>
      </c>
      <c r="M318" s="318" t="s">
        <v>20751</v>
      </c>
      <c r="N318" s="379" t="s">
        <v>16394</v>
      </c>
      <c r="O318" s="380">
        <v>45589</v>
      </c>
      <c r="P318" s="381">
        <v>0</v>
      </c>
      <c r="Q318" s="340">
        <v>0</v>
      </c>
      <c r="R318" s="340">
        <v>0</v>
      </c>
      <c r="S318" s="341">
        <v>0</v>
      </c>
      <c r="T318" s="341">
        <v>0</v>
      </c>
      <c r="U318" s="341">
        <v>0</v>
      </c>
      <c r="V318" s="340">
        <v>0</v>
      </c>
      <c r="W318" s="340">
        <v>0</v>
      </c>
    </row>
    <row r="319" spans="1:23">
      <c r="A319" s="332">
        <v>23664</v>
      </c>
      <c r="B319" s="333">
        <v>15809.819706</v>
      </c>
      <c r="C319" s="334" t="s">
        <v>17343</v>
      </c>
      <c r="D319" s="371" t="s">
        <v>19554</v>
      </c>
      <c r="E319" s="372" t="s">
        <v>330</v>
      </c>
      <c r="F319" s="389" t="s">
        <v>20155</v>
      </c>
      <c r="G319" s="336">
        <v>45590</v>
      </c>
      <c r="H319" s="337"/>
      <c r="I319" s="337">
        <v>17664</v>
      </c>
      <c r="J319" s="338">
        <v>6000</v>
      </c>
      <c r="K319" s="337"/>
      <c r="L319" s="339" t="s">
        <v>20424</v>
      </c>
      <c r="M319" s="318" t="s">
        <v>20752</v>
      </c>
      <c r="N319" s="379" t="s">
        <v>16394</v>
      </c>
      <c r="O319" s="380">
        <v>45594</v>
      </c>
      <c r="P319" s="381">
        <v>0</v>
      </c>
      <c r="Q319" s="340">
        <v>0</v>
      </c>
      <c r="R319" s="340">
        <v>0</v>
      </c>
      <c r="S319" s="341">
        <v>0</v>
      </c>
      <c r="T319" s="341">
        <v>0</v>
      </c>
      <c r="U319" s="341">
        <v>0</v>
      </c>
      <c r="V319" s="340">
        <v>0</v>
      </c>
      <c r="W319" s="340">
        <v>0</v>
      </c>
    </row>
    <row r="320" spans="1:23">
      <c r="A320" s="332">
        <v>150000</v>
      </c>
      <c r="B320" s="333">
        <v>315000</v>
      </c>
      <c r="C320" s="334" t="s">
        <v>19878</v>
      </c>
      <c r="D320" s="371" t="s">
        <v>19555</v>
      </c>
      <c r="E320" s="372" t="s">
        <v>331</v>
      </c>
      <c r="F320" s="397" t="s">
        <v>20155</v>
      </c>
      <c r="G320" s="336">
        <v>45590</v>
      </c>
      <c r="H320" s="337">
        <v>150000</v>
      </c>
      <c r="I320" s="337"/>
      <c r="J320" s="338"/>
      <c r="K320" s="337"/>
      <c r="L320" s="339" t="s">
        <v>20571</v>
      </c>
      <c r="M320" s="318" t="s">
        <v>20753</v>
      </c>
      <c r="N320" s="379" t="s">
        <v>17939</v>
      </c>
      <c r="O320" s="380">
        <v>45597</v>
      </c>
      <c r="P320" s="381">
        <v>0</v>
      </c>
      <c r="Q320" s="340">
        <v>0</v>
      </c>
      <c r="R320" s="340">
        <v>0</v>
      </c>
      <c r="S320" s="341">
        <v>0</v>
      </c>
      <c r="T320" s="341">
        <v>0</v>
      </c>
      <c r="U320" s="341">
        <v>0</v>
      </c>
      <c r="V320" s="340">
        <v>0</v>
      </c>
      <c r="W320" s="340">
        <v>0</v>
      </c>
    </row>
    <row r="321" spans="1:23">
      <c r="A321" s="332">
        <v>20750</v>
      </c>
      <c r="B321" s="333">
        <v>39632.5</v>
      </c>
      <c r="C321" s="334" t="s">
        <v>19655</v>
      </c>
      <c r="D321" s="371" t="s">
        <v>19556</v>
      </c>
      <c r="E321" s="372" t="s">
        <v>332</v>
      </c>
      <c r="F321" s="389" t="s">
        <v>20155</v>
      </c>
      <c r="G321" s="336">
        <v>45593</v>
      </c>
      <c r="H321" s="337">
        <v>20750</v>
      </c>
      <c r="I321" s="337"/>
      <c r="J321" s="338"/>
      <c r="K321" s="337"/>
      <c r="L321" s="339" t="s">
        <v>18201</v>
      </c>
      <c r="M321" s="318" t="s">
        <v>20754</v>
      </c>
      <c r="N321" s="379" t="s">
        <v>17693</v>
      </c>
      <c r="O321" s="380">
        <v>45616</v>
      </c>
      <c r="P321" s="381">
        <v>0</v>
      </c>
      <c r="Q321" s="340">
        <v>0</v>
      </c>
      <c r="R321" s="340">
        <v>0</v>
      </c>
      <c r="S321" s="341">
        <v>0</v>
      </c>
      <c r="T321" s="341">
        <v>0</v>
      </c>
      <c r="U321" s="341">
        <v>0</v>
      </c>
      <c r="V321" s="340">
        <v>0</v>
      </c>
      <c r="W321" s="340">
        <v>0</v>
      </c>
    </row>
    <row r="322" spans="1:23">
      <c r="A322" s="332">
        <v>20500</v>
      </c>
      <c r="B322" s="333">
        <v>45100</v>
      </c>
      <c r="C322" s="334" t="s">
        <v>17018</v>
      </c>
      <c r="D322" s="371" t="s">
        <v>19557</v>
      </c>
      <c r="E322" s="372" t="s">
        <v>333</v>
      </c>
      <c r="F322" s="397" t="s">
        <v>20155</v>
      </c>
      <c r="G322" s="336">
        <v>45593</v>
      </c>
      <c r="H322" s="337"/>
      <c r="I322" s="337">
        <v>20500</v>
      </c>
      <c r="J322" s="338"/>
      <c r="K322" s="337"/>
      <c r="L322" s="339" t="s">
        <v>20398</v>
      </c>
      <c r="M322" s="318" t="s">
        <v>20755</v>
      </c>
      <c r="N322" s="379" t="s">
        <v>20350</v>
      </c>
      <c r="O322" s="380">
        <v>45596</v>
      </c>
      <c r="P322" s="381">
        <v>0</v>
      </c>
      <c r="Q322" s="340">
        <v>0</v>
      </c>
      <c r="R322" s="340">
        <v>0</v>
      </c>
      <c r="S322" s="341">
        <v>0</v>
      </c>
      <c r="T322" s="341">
        <v>0</v>
      </c>
      <c r="U322" s="341">
        <v>0</v>
      </c>
      <c r="V322" s="340">
        <v>0</v>
      </c>
      <c r="W322" s="340">
        <v>0</v>
      </c>
    </row>
    <row r="323" spans="1:23">
      <c r="A323" s="332">
        <v>19200</v>
      </c>
      <c r="B323" s="333">
        <v>38208</v>
      </c>
      <c r="C323" s="334" t="s">
        <v>19655</v>
      </c>
      <c r="D323" s="371" t="s">
        <v>19558</v>
      </c>
      <c r="E323" s="372" t="s">
        <v>334</v>
      </c>
      <c r="F323" s="397" t="s">
        <v>20155</v>
      </c>
      <c r="G323" s="336">
        <v>45593</v>
      </c>
      <c r="H323" s="337">
        <v>19200</v>
      </c>
      <c r="I323" s="337"/>
      <c r="J323" s="338"/>
      <c r="K323" s="337"/>
      <c r="L323" s="339" t="s">
        <v>18201</v>
      </c>
      <c r="M323" s="318" t="s">
        <v>20756</v>
      </c>
      <c r="N323" s="379" t="s">
        <v>18248</v>
      </c>
      <c r="O323" s="380">
        <v>45596</v>
      </c>
      <c r="P323" s="381">
        <v>0</v>
      </c>
      <c r="Q323" s="340">
        <v>0</v>
      </c>
      <c r="R323" s="340">
        <v>0</v>
      </c>
      <c r="S323" s="341">
        <v>0</v>
      </c>
      <c r="T323" s="341">
        <v>0</v>
      </c>
      <c r="U323" s="341">
        <v>0</v>
      </c>
      <c r="V323" s="340">
        <v>0</v>
      </c>
      <c r="W323" s="340">
        <v>0</v>
      </c>
    </row>
    <row r="324" spans="1:23">
      <c r="A324" s="332">
        <v>156000</v>
      </c>
      <c r="B324" s="333">
        <v>285654.408</v>
      </c>
      <c r="C324" s="334" t="s">
        <v>19095</v>
      </c>
      <c r="D324" s="371" t="s">
        <v>19559</v>
      </c>
      <c r="E324" s="372" t="s">
        <v>335</v>
      </c>
      <c r="F324" s="389" t="s">
        <v>20155</v>
      </c>
      <c r="G324" s="336">
        <v>45594</v>
      </c>
      <c r="H324" s="337"/>
      <c r="I324" s="337"/>
      <c r="J324" s="338">
        <v>156000</v>
      </c>
      <c r="K324" s="337"/>
      <c r="L324" s="339" t="s">
        <v>20757</v>
      </c>
      <c r="M324" s="318" t="s">
        <v>20758</v>
      </c>
      <c r="N324" s="379" t="s">
        <v>20377</v>
      </c>
      <c r="O324" s="380">
        <v>45618</v>
      </c>
      <c r="P324" s="381">
        <v>0</v>
      </c>
      <c r="Q324" s="340">
        <v>0</v>
      </c>
      <c r="R324" s="340">
        <v>0</v>
      </c>
      <c r="S324" s="341">
        <v>0</v>
      </c>
      <c r="T324" s="341">
        <v>0</v>
      </c>
      <c r="U324" s="341">
        <v>0</v>
      </c>
      <c r="V324" s="340">
        <v>0</v>
      </c>
      <c r="W324" s="340">
        <v>0</v>
      </c>
    </row>
    <row r="325" spans="1:23">
      <c r="A325" s="332">
        <v>53180</v>
      </c>
      <c r="B325" s="333">
        <v>116850.4283</v>
      </c>
      <c r="C325" s="334" t="s">
        <v>17805</v>
      </c>
      <c r="D325" s="371" t="s">
        <v>19560</v>
      </c>
      <c r="E325" s="372" t="s">
        <v>336</v>
      </c>
      <c r="F325" s="389" t="s">
        <v>20155</v>
      </c>
      <c r="G325" s="336">
        <v>45594</v>
      </c>
      <c r="H325" s="337"/>
      <c r="I325" s="337">
        <v>15780</v>
      </c>
      <c r="J325" s="338">
        <v>37400</v>
      </c>
      <c r="K325" s="337"/>
      <c r="L325" s="339" t="s">
        <v>20398</v>
      </c>
      <c r="M325" s="318" t="s">
        <v>20759</v>
      </c>
      <c r="N325" s="379" t="s">
        <v>20381</v>
      </c>
      <c r="O325" s="380">
        <v>45616</v>
      </c>
      <c r="P325" s="381">
        <v>19113.579999999998</v>
      </c>
      <c r="Q325" s="340">
        <v>0.35941293719443396</v>
      </c>
      <c r="R325" s="340">
        <v>0</v>
      </c>
      <c r="S325" s="341">
        <v>5671.5361489281677</v>
      </c>
      <c r="T325" s="341">
        <v>13442.04385107183</v>
      </c>
      <c r="U325" s="341">
        <v>0</v>
      </c>
      <c r="V325" s="340">
        <v>19113.579999999998</v>
      </c>
      <c r="W325" s="340">
        <v>0</v>
      </c>
    </row>
    <row r="326" spans="1:23">
      <c r="A326" s="332">
        <v>20820</v>
      </c>
      <c r="B326" s="333">
        <v>76823.607426999995</v>
      </c>
      <c r="C326" s="334" t="s">
        <v>19653</v>
      </c>
      <c r="D326" s="371" t="s">
        <v>19561</v>
      </c>
      <c r="E326" s="372" t="s">
        <v>337</v>
      </c>
      <c r="F326" s="397" t="s">
        <v>20155</v>
      </c>
      <c r="G326" s="336">
        <v>45594</v>
      </c>
      <c r="H326" s="337">
        <v>16000</v>
      </c>
      <c r="I326" s="337">
        <v>4820</v>
      </c>
      <c r="J326" s="338"/>
      <c r="K326" s="337"/>
      <c r="L326" s="339" t="s">
        <v>20520</v>
      </c>
      <c r="M326" s="318" t="s">
        <v>20760</v>
      </c>
      <c r="N326" s="379" t="s">
        <v>20379</v>
      </c>
      <c r="O326" s="380">
        <v>45610</v>
      </c>
      <c r="P326" s="381">
        <v>0</v>
      </c>
      <c r="Q326" s="340">
        <v>0</v>
      </c>
      <c r="R326" s="340">
        <v>0</v>
      </c>
      <c r="S326" s="341">
        <v>0</v>
      </c>
      <c r="T326" s="341">
        <v>0</v>
      </c>
      <c r="U326" s="341">
        <v>0</v>
      </c>
      <c r="V326" s="340">
        <v>0</v>
      </c>
      <c r="W326" s="340">
        <v>0</v>
      </c>
    </row>
    <row r="327" spans="1:23">
      <c r="A327" s="332">
        <v>93600</v>
      </c>
      <c r="B327" s="333">
        <v>171405.42120000001</v>
      </c>
      <c r="C327" s="334" t="s">
        <v>19964</v>
      </c>
      <c r="D327" s="371" t="s">
        <v>19562</v>
      </c>
      <c r="E327" s="372" t="s">
        <v>338</v>
      </c>
      <c r="F327" s="389" t="s">
        <v>20155</v>
      </c>
      <c r="G327" s="336">
        <v>45594</v>
      </c>
      <c r="H327" s="337"/>
      <c r="I327" s="337">
        <v>93600</v>
      </c>
      <c r="J327" s="338"/>
      <c r="K327" s="337"/>
      <c r="L327" s="339" t="s">
        <v>20427</v>
      </c>
      <c r="M327" s="318" t="s">
        <v>20761</v>
      </c>
      <c r="N327" s="379" t="s">
        <v>20173</v>
      </c>
      <c r="O327" s="380">
        <v>45607</v>
      </c>
      <c r="P327" s="381">
        <v>0</v>
      </c>
      <c r="Q327" s="340">
        <v>0</v>
      </c>
      <c r="R327" s="340">
        <v>0</v>
      </c>
      <c r="S327" s="341">
        <v>0</v>
      </c>
      <c r="T327" s="341">
        <v>0</v>
      </c>
      <c r="U327" s="341">
        <v>0</v>
      </c>
      <c r="V327" s="340">
        <v>0</v>
      </c>
      <c r="W327" s="340">
        <v>0</v>
      </c>
    </row>
    <row r="328" spans="1:23">
      <c r="A328" s="332">
        <v>26000</v>
      </c>
      <c r="B328" s="333">
        <v>49765.787499999999</v>
      </c>
      <c r="C328" s="334" t="s">
        <v>19095</v>
      </c>
      <c r="D328" s="371" t="s">
        <v>19563</v>
      </c>
      <c r="E328" s="372" t="s">
        <v>339</v>
      </c>
      <c r="F328" s="389" t="s">
        <v>20155</v>
      </c>
      <c r="G328" s="336">
        <v>45600</v>
      </c>
      <c r="H328" s="337"/>
      <c r="I328" s="337"/>
      <c r="J328" s="338">
        <v>26000</v>
      </c>
      <c r="K328" s="337"/>
      <c r="L328" s="339" t="s">
        <v>20430</v>
      </c>
      <c r="M328" s="318" t="s">
        <v>20762</v>
      </c>
      <c r="N328" s="379" t="s">
        <v>20335</v>
      </c>
      <c r="O328" s="380">
        <v>45614</v>
      </c>
      <c r="P328" s="381">
        <v>0</v>
      </c>
      <c r="Q328" s="340">
        <v>0</v>
      </c>
      <c r="R328" s="340">
        <v>0</v>
      </c>
      <c r="S328" s="341">
        <v>0</v>
      </c>
      <c r="T328" s="341">
        <v>0</v>
      </c>
      <c r="U328" s="341">
        <v>0</v>
      </c>
      <c r="V328" s="340">
        <v>0</v>
      </c>
      <c r="W328" s="340">
        <v>0</v>
      </c>
    </row>
    <row r="329" spans="1:23">
      <c r="A329" s="332">
        <v>162750</v>
      </c>
      <c r="B329" s="333">
        <v>258382.5</v>
      </c>
      <c r="C329" s="334" t="s">
        <v>19833</v>
      </c>
      <c r="D329" s="371" t="s">
        <v>19564</v>
      </c>
      <c r="E329" s="372" t="s">
        <v>340</v>
      </c>
      <c r="F329" s="389" t="s">
        <v>20155</v>
      </c>
      <c r="G329" s="336">
        <v>45600</v>
      </c>
      <c r="H329" s="337"/>
      <c r="I329" s="337">
        <v>57750</v>
      </c>
      <c r="J329" s="338">
        <v>105000</v>
      </c>
      <c r="K329" s="337"/>
      <c r="L329" s="339" t="s">
        <v>20446</v>
      </c>
      <c r="M329" s="318" t="s">
        <v>20763</v>
      </c>
      <c r="N329" s="379" t="s">
        <v>20321</v>
      </c>
      <c r="O329" s="380">
        <v>45604</v>
      </c>
      <c r="P329" s="381">
        <v>0</v>
      </c>
      <c r="Q329" s="340">
        <v>0</v>
      </c>
      <c r="R329" s="340">
        <v>0</v>
      </c>
      <c r="S329" s="341">
        <v>0</v>
      </c>
      <c r="T329" s="341">
        <v>0</v>
      </c>
      <c r="U329" s="341">
        <v>0</v>
      </c>
      <c r="V329" s="340">
        <v>0</v>
      </c>
      <c r="W329" s="340">
        <v>0</v>
      </c>
    </row>
    <row r="330" spans="1:23">
      <c r="A330" s="332">
        <v>20000</v>
      </c>
      <c r="B330" s="333">
        <v>43000</v>
      </c>
      <c r="C330" s="334" t="s">
        <v>17018</v>
      </c>
      <c r="D330" s="371" t="s">
        <v>19565</v>
      </c>
      <c r="E330" s="372" t="s">
        <v>341</v>
      </c>
      <c r="F330" s="389" t="s">
        <v>20155</v>
      </c>
      <c r="G330" s="336">
        <v>45600</v>
      </c>
      <c r="H330" s="337">
        <v>20000</v>
      </c>
      <c r="I330" s="337"/>
      <c r="J330" s="338"/>
      <c r="K330" s="337"/>
      <c r="L330" s="339" t="s">
        <v>20398</v>
      </c>
      <c r="M330" s="318" t="s">
        <v>20764</v>
      </c>
      <c r="N330" s="379" t="s">
        <v>18064</v>
      </c>
      <c r="O330" s="380">
        <v>45611</v>
      </c>
      <c r="P330" s="381">
        <v>0</v>
      </c>
      <c r="Q330" s="340">
        <v>0</v>
      </c>
      <c r="R330" s="340">
        <v>0</v>
      </c>
      <c r="S330" s="341">
        <v>0</v>
      </c>
      <c r="T330" s="341">
        <v>0</v>
      </c>
      <c r="U330" s="341">
        <v>0</v>
      </c>
      <c r="V330" s="340">
        <v>0</v>
      </c>
      <c r="W330" s="340">
        <v>0</v>
      </c>
    </row>
    <row r="331" spans="1:23">
      <c r="A331" s="332">
        <v>45611</v>
      </c>
      <c r="B331" s="333">
        <v>104127.86448400001</v>
      </c>
      <c r="C331" s="334" t="s">
        <v>17330</v>
      </c>
      <c r="D331" s="371" t="s">
        <v>19566</v>
      </c>
      <c r="E331" s="372" t="s">
        <v>342</v>
      </c>
      <c r="F331" s="389" t="s">
        <v>20155</v>
      </c>
      <c r="G331" s="336">
        <v>45600</v>
      </c>
      <c r="H331" s="337">
        <v>1000</v>
      </c>
      <c r="I331" s="337">
        <v>12480</v>
      </c>
      <c r="J331" s="338">
        <v>26006</v>
      </c>
      <c r="K331" s="337">
        <v>6125</v>
      </c>
      <c r="L331" s="339" t="s">
        <v>20765</v>
      </c>
      <c r="M331" s="318" t="s">
        <v>20766</v>
      </c>
      <c r="N331" s="379" t="s">
        <v>20335</v>
      </c>
      <c r="O331" s="380">
        <v>45615</v>
      </c>
      <c r="P331" s="381">
        <v>0</v>
      </c>
      <c r="Q331" s="340">
        <v>0</v>
      </c>
      <c r="R331" s="340">
        <v>0</v>
      </c>
      <c r="S331" s="341">
        <v>0</v>
      </c>
      <c r="T331" s="341">
        <v>0</v>
      </c>
      <c r="U331" s="341">
        <v>0</v>
      </c>
      <c r="V331" s="340">
        <v>0</v>
      </c>
      <c r="W331" s="340">
        <v>0</v>
      </c>
    </row>
    <row r="332" spans="1:23">
      <c r="A332" s="332">
        <v>60019.199999999997</v>
      </c>
      <c r="B332" s="333">
        <v>141045.12</v>
      </c>
      <c r="C332" s="334" t="s">
        <v>19883</v>
      </c>
      <c r="D332" s="371" t="s">
        <v>19567</v>
      </c>
      <c r="E332" s="372" t="s">
        <v>343</v>
      </c>
      <c r="F332" s="389" t="s">
        <v>20155</v>
      </c>
      <c r="G332" s="336">
        <v>45600</v>
      </c>
      <c r="H332" s="338">
        <v>60019.199999999997</v>
      </c>
      <c r="I332" s="337"/>
      <c r="J332" s="338"/>
      <c r="K332" s="337"/>
      <c r="L332" s="339" t="s">
        <v>20767</v>
      </c>
      <c r="M332" s="318" t="s">
        <v>20768</v>
      </c>
      <c r="N332" s="379" t="s">
        <v>17939</v>
      </c>
      <c r="O332" s="380">
        <v>45604</v>
      </c>
      <c r="P332" s="381">
        <v>0</v>
      </c>
      <c r="Q332" s="340">
        <v>0</v>
      </c>
      <c r="R332" s="340">
        <v>0</v>
      </c>
      <c r="S332" s="341">
        <v>0</v>
      </c>
      <c r="T332" s="341">
        <v>0</v>
      </c>
      <c r="U332" s="341">
        <v>0</v>
      </c>
      <c r="V332" s="340">
        <v>0</v>
      </c>
      <c r="W332" s="340">
        <v>0</v>
      </c>
    </row>
    <row r="333" spans="1:23">
      <c r="A333" s="332">
        <v>20150</v>
      </c>
      <c r="B333" s="333">
        <v>47224.713737499995</v>
      </c>
      <c r="C333" s="334" t="s">
        <v>19659</v>
      </c>
      <c r="D333" s="371" t="s">
        <v>19568</v>
      </c>
      <c r="E333" s="372" t="s">
        <v>344</v>
      </c>
      <c r="F333" s="397" t="s">
        <v>20155</v>
      </c>
      <c r="G333" s="336">
        <v>45604</v>
      </c>
      <c r="H333" s="337">
        <v>20150</v>
      </c>
      <c r="I333" s="337"/>
      <c r="J333" s="338"/>
      <c r="K333" s="337"/>
      <c r="L333" s="339" t="s">
        <v>20398</v>
      </c>
      <c r="M333" s="318" t="s">
        <v>20769</v>
      </c>
      <c r="N333" s="379" t="s">
        <v>20161</v>
      </c>
      <c r="O333" s="380">
        <v>45610</v>
      </c>
      <c r="P333" s="381">
        <v>0</v>
      </c>
      <c r="Q333" s="340">
        <v>0</v>
      </c>
      <c r="R333" s="340">
        <v>0</v>
      </c>
      <c r="S333" s="341">
        <v>0</v>
      </c>
      <c r="T333" s="341">
        <v>0</v>
      </c>
      <c r="U333" s="341">
        <v>0</v>
      </c>
      <c r="V333" s="340">
        <v>0</v>
      </c>
      <c r="W333" s="340">
        <v>0</v>
      </c>
    </row>
    <row r="334" spans="1:23">
      <c r="A334" s="332">
        <v>40300</v>
      </c>
      <c r="B334" s="333">
        <v>110271.05635</v>
      </c>
      <c r="C334" s="334" t="s">
        <v>19659</v>
      </c>
      <c r="D334" s="371" t="s">
        <v>19569</v>
      </c>
      <c r="E334" s="372" t="s">
        <v>345</v>
      </c>
      <c r="F334" s="389" t="s">
        <v>20155</v>
      </c>
      <c r="G334" s="336">
        <v>45604</v>
      </c>
      <c r="H334" s="337">
        <v>40300</v>
      </c>
      <c r="I334" s="337"/>
      <c r="J334" s="338"/>
      <c r="K334" s="337"/>
      <c r="L334" s="339" t="s">
        <v>20398</v>
      </c>
      <c r="M334" s="318" t="s">
        <v>20770</v>
      </c>
      <c r="N334" s="379" t="s">
        <v>20161</v>
      </c>
      <c r="O334" s="380">
        <v>45615</v>
      </c>
      <c r="P334" s="381">
        <v>0</v>
      </c>
      <c r="Q334" s="340">
        <v>0</v>
      </c>
      <c r="R334" s="340">
        <v>0</v>
      </c>
      <c r="S334" s="341">
        <v>0</v>
      </c>
      <c r="T334" s="341">
        <v>0</v>
      </c>
      <c r="U334" s="341">
        <v>0</v>
      </c>
      <c r="V334" s="340">
        <v>0</v>
      </c>
      <c r="W334" s="340">
        <v>0</v>
      </c>
    </row>
    <row r="335" spans="1:23">
      <c r="A335" s="332">
        <v>38400</v>
      </c>
      <c r="B335" s="333">
        <v>76416</v>
      </c>
      <c r="C335" s="334" t="s">
        <v>19656</v>
      </c>
      <c r="D335" s="371" t="s">
        <v>19570</v>
      </c>
      <c r="E335" s="372" t="s">
        <v>346</v>
      </c>
      <c r="F335" s="389" t="s">
        <v>20155</v>
      </c>
      <c r="G335" s="336">
        <v>45604</v>
      </c>
      <c r="H335" s="337">
        <v>38400</v>
      </c>
      <c r="I335" s="337"/>
      <c r="J335" s="338"/>
      <c r="K335" s="337"/>
      <c r="L335" s="339" t="s">
        <v>20398</v>
      </c>
      <c r="M335" s="318" t="s">
        <v>20771</v>
      </c>
      <c r="N335" s="379" t="s">
        <v>17965</v>
      </c>
      <c r="O335" s="380">
        <v>45611</v>
      </c>
      <c r="P335" s="381">
        <v>0</v>
      </c>
      <c r="Q335" s="340">
        <v>0</v>
      </c>
      <c r="R335" s="340">
        <v>0</v>
      </c>
      <c r="S335" s="341">
        <v>0</v>
      </c>
      <c r="T335" s="341">
        <v>0</v>
      </c>
      <c r="U335" s="341">
        <v>0</v>
      </c>
      <c r="V335" s="340">
        <v>0</v>
      </c>
      <c r="W335" s="340">
        <v>0</v>
      </c>
    </row>
    <row r="336" spans="1:23">
      <c r="A336" s="332">
        <v>23504</v>
      </c>
      <c r="B336" s="333">
        <v>33804.312970499996</v>
      </c>
      <c r="C336" s="334" t="s">
        <v>17343</v>
      </c>
      <c r="D336" s="371" t="s">
        <v>19571</v>
      </c>
      <c r="E336" s="372" t="s">
        <v>347</v>
      </c>
      <c r="F336" s="389" t="s">
        <v>20155</v>
      </c>
      <c r="G336" s="336">
        <v>45608</v>
      </c>
      <c r="H336" s="337">
        <v>1600</v>
      </c>
      <c r="I336" s="337">
        <v>15984</v>
      </c>
      <c r="J336" s="338">
        <v>4800</v>
      </c>
      <c r="K336" s="337">
        <v>1120</v>
      </c>
      <c r="L336" s="339" t="s">
        <v>20424</v>
      </c>
      <c r="M336" s="318" t="s">
        <v>20772</v>
      </c>
      <c r="N336" s="401" t="s">
        <v>20304</v>
      </c>
      <c r="O336" s="380">
        <v>45609</v>
      </c>
      <c r="P336" s="381">
        <v>13447.502999999999</v>
      </c>
      <c r="Q336" s="340">
        <v>0.57213678522804623</v>
      </c>
      <c r="R336" s="340">
        <v>915.41885636487393</v>
      </c>
      <c r="S336" s="341">
        <v>9145.0343750850916</v>
      </c>
      <c r="T336" s="341">
        <v>2746.2565690946217</v>
      </c>
      <c r="U336" s="341">
        <v>640.79319945541181</v>
      </c>
      <c r="V336" s="340">
        <v>13447.502999999997</v>
      </c>
      <c r="W336" s="340">
        <v>0</v>
      </c>
    </row>
    <row r="337" spans="1:23">
      <c r="A337" s="332">
        <v>110000</v>
      </c>
      <c r="B337" s="333">
        <v>180042.17</v>
      </c>
      <c r="C337" s="334" t="s">
        <v>19964</v>
      </c>
      <c r="D337" s="371" t="s">
        <v>19572</v>
      </c>
      <c r="E337" s="372" t="s">
        <v>348</v>
      </c>
      <c r="F337" s="389" t="s">
        <v>20155</v>
      </c>
      <c r="G337" s="336">
        <v>45608</v>
      </c>
      <c r="H337" s="337"/>
      <c r="I337" s="337"/>
      <c r="J337" s="338">
        <v>110000</v>
      </c>
      <c r="K337" s="337"/>
      <c r="L337" s="339" t="s">
        <v>20427</v>
      </c>
      <c r="M337" s="318" t="s">
        <v>20773</v>
      </c>
      <c r="N337" s="379" t="s">
        <v>20173</v>
      </c>
      <c r="O337" s="380">
        <v>45614</v>
      </c>
      <c r="P337" s="381">
        <v>0</v>
      </c>
      <c r="Q337" s="340">
        <v>0</v>
      </c>
      <c r="R337" s="340">
        <v>0</v>
      </c>
      <c r="S337" s="341">
        <v>0</v>
      </c>
      <c r="T337" s="341">
        <v>0</v>
      </c>
      <c r="U337" s="341">
        <v>0</v>
      </c>
      <c r="V337" s="340">
        <v>0</v>
      </c>
      <c r="W337" s="340">
        <v>0</v>
      </c>
    </row>
    <row r="338" spans="1:23">
      <c r="A338" s="332">
        <v>52000</v>
      </c>
      <c r="B338" s="333">
        <v>76960</v>
      </c>
      <c r="C338" s="334" t="s">
        <v>17380</v>
      </c>
      <c r="D338" s="371" t="s">
        <v>19573</v>
      </c>
      <c r="E338" s="372" t="s">
        <v>349</v>
      </c>
      <c r="F338" s="397" t="s">
        <v>20155</v>
      </c>
      <c r="G338" s="336">
        <v>45608</v>
      </c>
      <c r="H338" s="337"/>
      <c r="I338" s="337"/>
      <c r="J338" s="338">
        <v>52000</v>
      </c>
      <c r="K338" s="337"/>
      <c r="L338" s="339" t="s">
        <v>20725</v>
      </c>
      <c r="M338" s="318" t="s">
        <v>20774</v>
      </c>
      <c r="N338" s="379" t="s">
        <v>20159</v>
      </c>
      <c r="O338" s="380">
        <v>45610</v>
      </c>
      <c r="P338" s="381">
        <v>0</v>
      </c>
      <c r="Q338" s="340">
        <v>0</v>
      </c>
      <c r="R338" s="340">
        <v>0</v>
      </c>
      <c r="S338" s="341">
        <v>0</v>
      </c>
      <c r="T338" s="341">
        <v>0</v>
      </c>
      <c r="U338" s="341">
        <v>0</v>
      </c>
      <c r="V338" s="340">
        <v>0</v>
      </c>
      <c r="W338" s="340">
        <v>0</v>
      </c>
    </row>
    <row r="339" spans="1:23">
      <c r="A339" s="332">
        <v>45436</v>
      </c>
      <c r="B339" s="333">
        <v>78359.705648000003</v>
      </c>
      <c r="C339" s="334" t="s">
        <v>17343</v>
      </c>
      <c r="D339" s="371" t="s">
        <v>19574</v>
      </c>
      <c r="E339" s="372" t="s">
        <v>350</v>
      </c>
      <c r="F339" s="397" t="s">
        <v>20155</v>
      </c>
      <c r="G339" s="336">
        <v>45609</v>
      </c>
      <c r="H339" s="337">
        <v>2400</v>
      </c>
      <c r="I339" s="337">
        <v>30416</v>
      </c>
      <c r="J339" s="338">
        <v>10800</v>
      </c>
      <c r="K339" s="337">
        <v>1820</v>
      </c>
      <c r="L339" s="339" t="s">
        <v>20408</v>
      </c>
      <c r="M339" s="318" t="s">
        <v>20775</v>
      </c>
      <c r="N339" s="379" t="s">
        <v>16394</v>
      </c>
      <c r="O339" s="380">
        <v>45611</v>
      </c>
      <c r="P339" s="381">
        <v>30754.262200000001</v>
      </c>
      <c r="Q339" s="340">
        <v>0.67686993133198348</v>
      </c>
      <c r="R339" s="340">
        <v>1624.4878351967604</v>
      </c>
      <c r="S339" s="341">
        <v>20587.675831393608</v>
      </c>
      <c r="T339" s="341">
        <v>7310.1952583854218</v>
      </c>
      <c r="U339" s="341">
        <v>1231.90327502421</v>
      </c>
      <c r="V339" s="340">
        <v>30754.262200000001</v>
      </c>
      <c r="W339" s="340">
        <v>0</v>
      </c>
    </row>
    <row r="340" spans="1:23">
      <c r="A340" s="332">
        <v>48216</v>
      </c>
      <c r="B340" s="333">
        <v>154097.502328</v>
      </c>
      <c r="C340" s="334" t="s">
        <v>18159</v>
      </c>
      <c r="D340" s="371" t="s">
        <v>19575</v>
      </c>
      <c r="E340" s="372" t="s">
        <v>351</v>
      </c>
      <c r="F340" s="397" t="s">
        <v>20155</v>
      </c>
      <c r="G340" s="336">
        <v>45609</v>
      </c>
      <c r="H340" s="337">
        <v>1200</v>
      </c>
      <c r="I340" s="337">
        <v>44136</v>
      </c>
      <c r="J340" s="338">
        <v>2880</v>
      </c>
      <c r="K340" s="337"/>
      <c r="L340" s="339" t="s">
        <v>20439</v>
      </c>
      <c r="M340" s="318" t="s">
        <v>20776</v>
      </c>
      <c r="N340" s="379" t="s">
        <v>17954</v>
      </c>
      <c r="O340" s="380">
        <v>45615</v>
      </c>
      <c r="P340" s="381">
        <v>30684.01</v>
      </c>
      <c r="Q340" s="340">
        <v>0.63638646922183506</v>
      </c>
      <c r="R340" s="340">
        <v>763.66376306620202</v>
      </c>
      <c r="S340" s="341">
        <v>28087.553205574914</v>
      </c>
      <c r="T340" s="341">
        <v>1832.7930313588849</v>
      </c>
      <c r="U340" s="341">
        <v>0</v>
      </c>
      <c r="V340" s="340">
        <v>30684.01</v>
      </c>
      <c r="W340" s="340">
        <v>0</v>
      </c>
    </row>
    <row r="341" spans="1:23">
      <c r="A341" s="332">
        <v>57600</v>
      </c>
      <c r="B341" s="333">
        <v>114048</v>
      </c>
      <c r="C341" s="334" t="s">
        <v>19656</v>
      </c>
      <c r="D341" s="371" t="s">
        <v>19576</v>
      </c>
      <c r="E341" s="372" t="s">
        <v>352</v>
      </c>
      <c r="F341" s="397" t="s">
        <v>20155</v>
      </c>
      <c r="G341" s="336">
        <v>45609</v>
      </c>
      <c r="H341" s="337">
        <v>57600</v>
      </c>
      <c r="I341" s="337"/>
      <c r="J341" s="338"/>
      <c r="K341" s="337"/>
      <c r="L341" s="339" t="s">
        <v>20398</v>
      </c>
      <c r="M341" s="318" t="s">
        <v>20777</v>
      </c>
      <c r="N341" s="379" t="s">
        <v>18248</v>
      </c>
      <c r="O341" s="380">
        <v>45615</v>
      </c>
      <c r="P341" s="381">
        <v>0</v>
      </c>
      <c r="Q341" s="340">
        <v>0</v>
      </c>
      <c r="R341" s="340">
        <v>0</v>
      </c>
      <c r="S341" s="341">
        <v>0</v>
      </c>
      <c r="T341" s="341">
        <v>0</v>
      </c>
      <c r="U341" s="341">
        <v>0</v>
      </c>
      <c r="V341" s="340">
        <v>0</v>
      </c>
      <c r="W341" s="340">
        <v>0</v>
      </c>
    </row>
    <row r="342" spans="1:23">
      <c r="A342" s="332">
        <v>32070</v>
      </c>
      <c r="B342" s="333">
        <v>142025.84340000001</v>
      </c>
      <c r="C342" s="334" t="s">
        <v>20407</v>
      </c>
      <c r="D342" s="371" t="s">
        <v>19577</v>
      </c>
      <c r="E342" s="372" t="s">
        <v>353</v>
      </c>
      <c r="F342" s="397" t="s">
        <v>20155</v>
      </c>
      <c r="G342" s="336">
        <v>45611</v>
      </c>
      <c r="H342" s="337"/>
      <c r="I342" s="337">
        <v>32070</v>
      </c>
      <c r="J342" s="338"/>
      <c r="K342" s="337"/>
      <c r="L342" s="339" t="s">
        <v>20408</v>
      </c>
      <c r="M342" s="318" t="s">
        <v>20778</v>
      </c>
      <c r="N342" s="379" t="s">
        <v>17939</v>
      </c>
      <c r="O342" s="380">
        <v>45615</v>
      </c>
      <c r="P342" s="381">
        <v>0</v>
      </c>
      <c r="Q342" s="340">
        <v>0</v>
      </c>
      <c r="R342" s="340">
        <v>0</v>
      </c>
      <c r="S342" s="341">
        <v>0</v>
      </c>
      <c r="T342" s="341">
        <v>0</v>
      </c>
      <c r="U342" s="341">
        <v>0</v>
      </c>
      <c r="V342" s="340">
        <v>0</v>
      </c>
      <c r="W342" s="340">
        <v>0</v>
      </c>
    </row>
    <row r="343" spans="1:23">
      <c r="A343" s="332">
        <v>180818</v>
      </c>
      <c r="B343" s="333">
        <v>341911.64</v>
      </c>
      <c r="C343" s="334" t="s">
        <v>19656</v>
      </c>
      <c r="D343" s="371" t="s">
        <v>19578</v>
      </c>
      <c r="E343" s="372" t="s">
        <v>354</v>
      </c>
      <c r="F343" s="397" t="s">
        <v>20155</v>
      </c>
      <c r="G343" s="336">
        <v>45614</v>
      </c>
      <c r="H343" s="337">
        <v>152798</v>
      </c>
      <c r="I343" s="337">
        <v>28020</v>
      </c>
      <c r="J343" s="338"/>
      <c r="K343" s="337"/>
      <c r="L343" s="339" t="s">
        <v>20398</v>
      </c>
      <c r="M343" s="318" t="s">
        <v>20779</v>
      </c>
      <c r="N343" s="379" t="s">
        <v>17949</v>
      </c>
      <c r="O343" s="380">
        <v>45618</v>
      </c>
      <c r="P343" s="381">
        <v>0</v>
      </c>
      <c r="Q343" s="340">
        <v>0</v>
      </c>
      <c r="R343" s="340">
        <v>0</v>
      </c>
      <c r="S343" s="341">
        <v>0</v>
      </c>
      <c r="T343" s="341">
        <v>0</v>
      </c>
      <c r="U343" s="341">
        <v>0</v>
      </c>
      <c r="V343" s="340">
        <v>0</v>
      </c>
      <c r="W343" s="340">
        <v>0</v>
      </c>
    </row>
    <row r="344" spans="1:23">
      <c r="A344" s="332">
        <v>56000</v>
      </c>
      <c r="B344" s="333">
        <v>95200</v>
      </c>
      <c r="C344" s="334" t="s">
        <v>19647</v>
      </c>
      <c r="D344" s="371" t="s">
        <v>19579</v>
      </c>
      <c r="E344" s="372" t="s">
        <v>355</v>
      </c>
      <c r="F344" s="397" t="s">
        <v>20155</v>
      </c>
      <c r="G344" s="336">
        <v>45614</v>
      </c>
      <c r="H344" s="337"/>
      <c r="I344" s="337"/>
      <c r="J344" s="338">
        <v>56000</v>
      </c>
      <c r="K344" s="337"/>
      <c r="L344" s="339" t="s">
        <v>20398</v>
      </c>
      <c r="M344" s="318" t="s">
        <v>20780</v>
      </c>
      <c r="N344" s="379" t="s">
        <v>17771</v>
      </c>
      <c r="O344" s="380">
        <v>45629</v>
      </c>
      <c r="P344" s="381">
        <v>0</v>
      </c>
      <c r="Q344" s="340">
        <v>0</v>
      </c>
      <c r="R344" s="340">
        <v>0</v>
      </c>
      <c r="S344" s="341">
        <v>0</v>
      </c>
      <c r="T344" s="341">
        <v>0</v>
      </c>
      <c r="U344" s="341">
        <v>0</v>
      </c>
      <c r="V344" s="340">
        <v>0</v>
      </c>
      <c r="W344" s="340">
        <v>0</v>
      </c>
    </row>
    <row r="345" spans="1:23">
      <c r="A345" s="332">
        <v>272208</v>
      </c>
      <c r="B345" s="333">
        <v>471849.13730400003</v>
      </c>
      <c r="C345" s="334" t="s">
        <v>19804</v>
      </c>
      <c r="D345" s="371" t="s">
        <v>19580</v>
      </c>
      <c r="E345" s="372" t="s">
        <v>356</v>
      </c>
      <c r="F345" s="400" t="s">
        <v>20155</v>
      </c>
      <c r="G345" s="336">
        <v>45614</v>
      </c>
      <c r="H345" s="337"/>
      <c r="I345" s="337">
        <v>155280</v>
      </c>
      <c r="J345" s="338">
        <v>116928</v>
      </c>
      <c r="K345" s="337"/>
      <c r="L345" s="339" t="s">
        <v>20424</v>
      </c>
      <c r="M345" s="318" t="s">
        <v>20781</v>
      </c>
      <c r="N345" s="379" t="s">
        <v>20173</v>
      </c>
      <c r="O345" s="380">
        <v>45645</v>
      </c>
      <c r="P345" s="381">
        <v>0</v>
      </c>
      <c r="Q345" s="340">
        <v>0</v>
      </c>
      <c r="R345" s="340">
        <v>0</v>
      </c>
      <c r="S345" s="341">
        <v>0</v>
      </c>
      <c r="T345" s="341">
        <v>0</v>
      </c>
      <c r="U345" s="341">
        <v>0</v>
      </c>
      <c r="V345" s="340">
        <v>0</v>
      </c>
      <c r="W345" s="340">
        <v>0</v>
      </c>
    </row>
    <row r="346" spans="1:23">
      <c r="A346" s="332">
        <v>315144</v>
      </c>
      <c r="B346" s="333">
        <v>703168.49161999999</v>
      </c>
      <c r="C346" s="334" t="s">
        <v>19662</v>
      </c>
      <c r="D346" s="371" t="s">
        <v>19581</v>
      </c>
      <c r="E346" s="372" t="s">
        <v>357</v>
      </c>
      <c r="F346" s="397" t="s">
        <v>20155</v>
      </c>
      <c r="G346" s="336">
        <v>45614</v>
      </c>
      <c r="H346" s="337">
        <v>21168</v>
      </c>
      <c r="I346" s="337">
        <v>293976</v>
      </c>
      <c r="J346" s="338"/>
      <c r="K346" s="337"/>
      <c r="L346" s="339" t="s">
        <v>20520</v>
      </c>
      <c r="M346" s="318" t="s">
        <v>20782</v>
      </c>
      <c r="N346" s="379" t="s">
        <v>20159</v>
      </c>
      <c r="O346" s="380">
        <v>45626</v>
      </c>
      <c r="P346" s="381">
        <v>87732.12</v>
      </c>
      <c r="Q346" s="340">
        <v>0.27838740385347649</v>
      </c>
      <c r="R346" s="340">
        <v>5892.9045647703906</v>
      </c>
      <c r="S346" s="341">
        <v>81839.215435229606</v>
      </c>
      <c r="T346" s="341">
        <v>0</v>
      </c>
      <c r="U346" s="341">
        <v>0</v>
      </c>
      <c r="V346" s="340">
        <v>87732.12</v>
      </c>
      <c r="W346" s="340">
        <v>0</v>
      </c>
    </row>
    <row r="347" spans="1:23">
      <c r="A347" s="332">
        <v>175000</v>
      </c>
      <c r="B347" s="333">
        <v>311864.875</v>
      </c>
      <c r="C347" s="334" t="s">
        <v>19722</v>
      </c>
      <c r="D347" s="371" t="s">
        <v>19582</v>
      </c>
      <c r="E347" s="372" t="s">
        <v>358</v>
      </c>
      <c r="F347" s="400" t="s">
        <v>20155</v>
      </c>
      <c r="G347" s="336">
        <v>45614</v>
      </c>
      <c r="H347" s="337"/>
      <c r="I347" s="337">
        <v>175000</v>
      </c>
      <c r="J347" s="338"/>
      <c r="K347" s="337"/>
      <c r="L347" s="339" t="s">
        <v>20427</v>
      </c>
      <c r="M347" s="318" t="s">
        <v>20783</v>
      </c>
      <c r="N347" s="379" t="s">
        <v>17801</v>
      </c>
      <c r="O347" s="380">
        <v>45646</v>
      </c>
      <c r="P347" s="381">
        <v>0</v>
      </c>
      <c r="Q347" s="340">
        <v>0</v>
      </c>
      <c r="R347" s="340">
        <v>0</v>
      </c>
      <c r="S347" s="341">
        <v>0</v>
      </c>
      <c r="T347" s="341">
        <v>0</v>
      </c>
      <c r="U347" s="341">
        <v>0</v>
      </c>
      <c r="V347" s="340">
        <v>0</v>
      </c>
      <c r="W347" s="340">
        <v>0</v>
      </c>
    </row>
    <row r="348" spans="1:23">
      <c r="A348" s="332">
        <v>137500</v>
      </c>
      <c r="B348" s="333">
        <v>229133.4375</v>
      </c>
      <c r="C348" s="334" t="s">
        <v>19722</v>
      </c>
      <c r="D348" s="371" t="s">
        <v>19583</v>
      </c>
      <c r="E348" s="372" t="s">
        <v>359</v>
      </c>
      <c r="F348" s="397" t="s">
        <v>20155</v>
      </c>
      <c r="G348" s="336">
        <v>45614</v>
      </c>
      <c r="H348" s="337"/>
      <c r="I348" s="337"/>
      <c r="J348" s="338">
        <v>137500</v>
      </c>
      <c r="K348" s="337"/>
      <c r="L348" s="339" t="s">
        <v>20427</v>
      </c>
      <c r="M348" s="318" t="s">
        <v>20784</v>
      </c>
      <c r="N348" s="379" t="s">
        <v>17801</v>
      </c>
      <c r="O348" s="380">
        <v>45621</v>
      </c>
      <c r="P348" s="381">
        <v>0</v>
      </c>
      <c r="Q348" s="340">
        <v>0</v>
      </c>
      <c r="R348" s="340">
        <v>0</v>
      </c>
      <c r="S348" s="341">
        <v>0</v>
      </c>
      <c r="T348" s="341">
        <v>0</v>
      </c>
      <c r="U348" s="341">
        <v>0</v>
      </c>
      <c r="V348" s="340">
        <v>0</v>
      </c>
      <c r="W348" s="340">
        <v>0</v>
      </c>
    </row>
    <row r="349" spans="1:23">
      <c r="A349" s="332">
        <v>137500</v>
      </c>
      <c r="B349" s="333">
        <v>229133.4375</v>
      </c>
      <c r="C349" s="334" t="s">
        <v>19722</v>
      </c>
      <c r="D349" s="371" t="s">
        <v>19584</v>
      </c>
      <c r="E349" s="372" t="s">
        <v>360</v>
      </c>
      <c r="F349" s="397" t="s">
        <v>20155</v>
      </c>
      <c r="G349" s="336">
        <v>45614</v>
      </c>
      <c r="H349" s="337"/>
      <c r="I349" s="337"/>
      <c r="J349" s="338">
        <v>137500</v>
      </c>
      <c r="K349" s="337"/>
      <c r="L349" s="339" t="s">
        <v>20427</v>
      </c>
      <c r="M349" s="318" t="s">
        <v>20785</v>
      </c>
      <c r="N349" s="379" t="s">
        <v>17801</v>
      </c>
      <c r="O349" s="380">
        <v>45622</v>
      </c>
      <c r="P349" s="381">
        <v>0</v>
      </c>
      <c r="Q349" s="340">
        <v>0</v>
      </c>
      <c r="R349" s="340">
        <v>0</v>
      </c>
      <c r="S349" s="341">
        <v>0</v>
      </c>
      <c r="T349" s="341">
        <v>0</v>
      </c>
      <c r="U349" s="341">
        <v>0</v>
      </c>
      <c r="V349" s="340">
        <v>0</v>
      </c>
      <c r="W349" s="340">
        <v>0</v>
      </c>
    </row>
    <row r="350" spans="1:23">
      <c r="A350" s="332">
        <v>110000</v>
      </c>
      <c r="B350" s="333">
        <v>183306.75</v>
      </c>
      <c r="C350" s="334" t="s">
        <v>19722</v>
      </c>
      <c r="D350" s="371" t="s">
        <v>19585</v>
      </c>
      <c r="E350" s="372" t="s">
        <v>361</v>
      </c>
      <c r="F350" s="397" t="s">
        <v>20155</v>
      </c>
      <c r="G350" s="336">
        <v>45614</v>
      </c>
      <c r="H350" s="337"/>
      <c r="I350" s="337"/>
      <c r="J350" s="338">
        <v>110000</v>
      </c>
      <c r="K350" s="337"/>
      <c r="L350" s="339" t="s">
        <v>20427</v>
      </c>
      <c r="M350" s="318" t="s">
        <v>20786</v>
      </c>
      <c r="N350" s="379" t="s">
        <v>17801</v>
      </c>
      <c r="O350" s="380">
        <v>45624</v>
      </c>
      <c r="P350" s="381">
        <v>0</v>
      </c>
      <c r="Q350" s="340">
        <v>0</v>
      </c>
      <c r="R350" s="340">
        <v>0</v>
      </c>
      <c r="S350" s="341">
        <v>0</v>
      </c>
      <c r="T350" s="341">
        <v>0</v>
      </c>
      <c r="U350" s="341">
        <v>0</v>
      </c>
      <c r="V350" s="340">
        <v>0</v>
      </c>
      <c r="W350" s="340">
        <v>0</v>
      </c>
    </row>
    <row r="351" spans="1:23">
      <c r="A351" s="332">
        <v>23280</v>
      </c>
      <c r="B351" s="333">
        <v>74389.516470000002</v>
      </c>
      <c r="C351" s="334" t="s">
        <v>17210</v>
      </c>
      <c r="D351" s="371" t="s">
        <v>19586</v>
      </c>
      <c r="E351" s="372" t="s">
        <v>362</v>
      </c>
      <c r="F351" s="397" t="s">
        <v>20155</v>
      </c>
      <c r="G351" s="336">
        <v>45614</v>
      </c>
      <c r="H351" s="337">
        <v>3000</v>
      </c>
      <c r="I351" s="337">
        <v>9600</v>
      </c>
      <c r="J351" s="338">
        <v>7680</v>
      </c>
      <c r="K351" s="337">
        <v>3000</v>
      </c>
      <c r="L351" s="339" t="s">
        <v>20424</v>
      </c>
      <c r="M351" s="318" t="s">
        <v>20787</v>
      </c>
      <c r="N351" s="379" t="s">
        <v>20168</v>
      </c>
      <c r="O351" s="380">
        <v>45621</v>
      </c>
      <c r="P351" s="381">
        <v>4191.0659999999998</v>
      </c>
      <c r="Q351" s="340">
        <v>0.18002860824742267</v>
      </c>
      <c r="R351" s="340">
        <v>540.08582474226807</v>
      </c>
      <c r="S351" s="341">
        <v>1728.2746391752576</v>
      </c>
      <c r="T351" s="341">
        <v>1382.6197113402061</v>
      </c>
      <c r="U351" s="341">
        <v>540.08582474226807</v>
      </c>
      <c r="V351" s="340">
        <v>4191.0659999999998</v>
      </c>
      <c r="W351" s="340">
        <v>0</v>
      </c>
    </row>
    <row r="352" spans="1:23">
      <c r="A352" s="332">
        <v>25000</v>
      </c>
      <c r="B352" s="333">
        <v>90483.397349999999</v>
      </c>
      <c r="C352" s="334" t="s">
        <v>17305</v>
      </c>
      <c r="D352" s="371" t="s">
        <v>19587</v>
      </c>
      <c r="E352" s="372" t="s">
        <v>363</v>
      </c>
      <c r="F352" s="397" t="s">
        <v>20155</v>
      </c>
      <c r="G352" s="336">
        <v>45615</v>
      </c>
      <c r="H352" s="337">
        <v>1700</v>
      </c>
      <c r="I352" s="337">
        <v>12480</v>
      </c>
      <c r="J352" s="338">
        <v>6120</v>
      </c>
      <c r="K352" s="337">
        <v>4700</v>
      </c>
      <c r="L352" s="339" t="s">
        <v>20520</v>
      </c>
      <c r="M352" s="318" t="s">
        <v>20788</v>
      </c>
      <c r="N352" s="379" t="s">
        <v>17954</v>
      </c>
      <c r="O352" s="380">
        <v>45626</v>
      </c>
      <c r="P352" s="381">
        <v>11505.855000000001</v>
      </c>
      <c r="Q352" s="340">
        <v>0.46023420000000004</v>
      </c>
      <c r="R352" s="340">
        <v>782.39814000000001</v>
      </c>
      <c r="S352" s="341">
        <v>5743.7228160000004</v>
      </c>
      <c r="T352" s="341">
        <v>2816.6333040000004</v>
      </c>
      <c r="U352" s="341">
        <v>2163.1007400000003</v>
      </c>
      <c r="V352" s="340">
        <v>11505.855000000001</v>
      </c>
      <c r="W352" s="340">
        <v>0</v>
      </c>
    </row>
    <row r="353" spans="1:23">
      <c r="A353" s="332">
        <v>24904</v>
      </c>
      <c r="B353" s="333">
        <v>82937.586915000007</v>
      </c>
      <c r="C353" s="334" t="s">
        <v>17305</v>
      </c>
      <c r="D353" s="371" t="s">
        <v>19588</v>
      </c>
      <c r="E353" s="372" t="s">
        <v>364</v>
      </c>
      <c r="F353" s="397" t="s">
        <v>20155</v>
      </c>
      <c r="G353" s="336">
        <v>45616</v>
      </c>
      <c r="H353" s="337">
        <v>1500</v>
      </c>
      <c r="I353" s="337">
        <v>16884</v>
      </c>
      <c r="J353" s="338">
        <v>4320</v>
      </c>
      <c r="K353" s="337">
        <v>2200</v>
      </c>
      <c r="L353" s="339" t="s">
        <v>20520</v>
      </c>
      <c r="M353" s="318" t="s">
        <v>20789</v>
      </c>
      <c r="N353" s="379" t="s">
        <v>17954</v>
      </c>
      <c r="O353" s="380">
        <v>45625</v>
      </c>
      <c r="P353" s="381">
        <v>11505.855000000001</v>
      </c>
      <c r="Q353" s="340">
        <v>0.46200831191776426</v>
      </c>
      <c r="R353" s="340">
        <v>693.01246787664638</v>
      </c>
      <c r="S353" s="341">
        <v>7800.5483384195313</v>
      </c>
      <c r="T353" s="341">
        <v>1995.8759074847417</v>
      </c>
      <c r="U353" s="341">
        <v>1016.4182862190813</v>
      </c>
      <c r="V353" s="340">
        <v>11505.855000000001</v>
      </c>
      <c r="W353" s="340">
        <v>0</v>
      </c>
    </row>
    <row r="354" spans="1:23">
      <c r="A354" s="332">
        <v>24056</v>
      </c>
      <c r="B354" s="333">
        <v>28755.305392000002</v>
      </c>
      <c r="C354" s="334" t="s">
        <v>17343</v>
      </c>
      <c r="D354" s="371" t="s">
        <v>19589</v>
      </c>
      <c r="E354" s="372" t="s">
        <v>365</v>
      </c>
      <c r="F354" s="397" t="s">
        <v>20155</v>
      </c>
      <c r="G354" s="336">
        <v>45616</v>
      </c>
      <c r="H354" s="337"/>
      <c r="I354" s="337">
        <v>16296</v>
      </c>
      <c r="J354" s="338">
        <v>7200</v>
      </c>
      <c r="K354" s="337">
        <v>560</v>
      </c>
      <c r="L354" s="339" t="s">
        <v>20424</v>
      </c>
      <c r="M354" s="318" t="s">
        <v>20790</v>
      </c>
      <c r="N354" s="379" t="s">
        <v>16394</v>
      </c>
      <c r="O354" s="380">
        <v>45618</v>
      </c>
      <c r="P354" s="381">
        <v>9845.33</v>
      </c>
      <c r="Q354" s="340">
        <v>0.4092671267043565</v>
      </c>
      <c r="R354" s="340">
        <v>0</v>
      </c>
      <c r="S354" s="341">
        <v>6669.4170967741939</v>
      </c>
      <c r="T354" s="341">
        <v>2946.7233122713669</v>
      </c>
      <c r="U354" s="341">
        <v>229.18959095443964</v>
      </c>
      <c r="V354" s="340">
        <v>9845.3300000000017</v>
      </c>
      <c r="W354" s="340">
        <v>0</v>
      </c>
    </row>
    <row r="355" spans="1:23">
      <c r="A355" s="332">
        <v>78000</v>
      </c>
      <c r="B355" s="333">
        <v>115440</v>
      </c>
      <c r="C355" s="334" t="s">
        <v>17380</v>
      </c>
      <c r="D355" s="371" t="s">
        <v>19590</v>
      </c>
      <c r="E355" s="372" t="s">
        <v>366</v>
      </c>
      <c r="F355" s="400" t="s">
        <v>20155</v>
      </c>
      <c r="G355" s="336">
        <v>45616</v>
      </c>
      <c r="H355" s="337"/>
      <c r="I355" s="337"/>
      <c r="J355" s="338">
        <v>78000</v>
      </c>
      <c r="K355" s="337"/>
      <c r="L355" s="339" t="s">
        <v>20725</v>
      </c>
      <c r="M355" s="318" t="s">
        <v>20791</v>
      </c>
      <c r="N355" s="379" t="s">
        <v>20159</v>
      </c>
      <c r="O355" s="380">
        <v>45635</v>
      </c>
      <c r="P355" s="381">
        <v>0</v>
      </c>
      <c r="Q355" s="340">
        <v>0</v>
      </c>
      <c r="R355" s="340">
        <v>0</v>
      </c>
      <c r="S355" s="341">
        <v>0</v>
      </c>
      <c r="T355" s="341">
        <v>0</v>
      </c>
      <c r="U355" s="341">
        <v>0</v>
      </c>
      <c r="V355" s="340">
        <v>0</v>
      </c>
      <c r="W355" s="340">
        <v>0</v>
      </c>
    </row>
    <row r="356" spans="1:23">
      <c r="A356" s="332">
        <v>19200</v>
      </c>
      <c r="B356" s="333">
        <v>39068</v>
      </c>
      <c r="C356" s="334" t="s">
        <v>19652</v>
      </c>
      <c r="D356" s="371" t="s">
        <v>19591</v>
      </c>
      <c r="E356" s="372" t="s">
        <v>367</v>
      </c>
      <c r="F356" s="389" t="s">
        <v>20155</v>
      </c>
      <c r="G356" s="336">
        <v>45616</v>
      </c>
      <c r="H356" s="337">
        <v>19200</v>
      </c>
      <c r="I356" s="337"/>
      <c r="J356" s="338"/>
      <c r="K356" s="337"/>
      <c r="L356" s="339" t="s">
        <v>20424</v>
      </c>
      <c r="M356" s="318" t="s">
        <v>20792</v>
      </c>
      <c r="N356" s="379" t="s">
        <v>20195</v>
      </c>
      <c r="O356" s="380">
        <v>45631</v>
      </c>
      <c r="P356" s="381">
        <v>0</v>
      </c>
      <c r="Q356" s="340">
        <v>0</v>
      </c>
      <c r="R356" s="340">
        <v>0</v>
      </c>
      <c r="S356" s="341">
        <v>0</v>
      </c>
      <c r="T356" s="341">
        <v>0</v>
      </c>
      <c r="U356" s="341">
        <v>0</v>
      </c>
      <c r="V356" s="340">
        <v>0</v>
      </c>
      <c r="W356" s="340">
        <v>0</v>
      </c>
    </row>
    <row r="357" spans="1:23">
      <c r="A357" s="332">
        <v>39200</v>
      </c>
      <c r="B357" s="333">
        <v>77078</v>
      </c>
      <c r="C357" s="334" t="s">
        <v>19652</v>
      </c>
      <c r="D357" s="371" t="s">
        <v>19592</v>
      </c>
      <c r="E357" s="372" t="s">
        <v>368</v>
      </c>
      <c r="F357" s="389" t="s">
        <v>20155</v>
      </c>
      <c r="G357" s="336">
        <v>45616</v>
      </c>
      <c r="H357" s="337">
        <v>39200</v>
      </c>
      <c r="I357" s="337"/>
      <c r="J357" s="338"/>
      <c r="K357" s="337"/>
      <c r="L357" s="339" t="s">
        <v>20520</v>
      </c>
      <c r="M357" s="318" t="s">
        <v>20793</v>
      </c>
      <c r="N357" s="379" t="s">
        <v>17801</v>
      </c>
      <c r="O357" s="380">
        <v>45637</v>
      </c>
      <c r="P357" s="381">
        <v>0</v>
      </c>
      <c r="Q357" s="340">
        <v>0</v>
      </c>
      <c r="R357" s="340">
        <v>0</v>
      </c>
      <c r="S357" s="341">
        <v>0</v>
      </c>
      <c r="T357" s="341">
        <v>0</v>
      </c>
      <c r="U357" s="341">
        <v>0</v>
      </c>
      <c r="V357" s="340">
        <v>0</v>
      </c>
      <c r="W357" s="340">
        <v>0</v>
      </c>
    </row>
    <row r="358" spans="1:23">
      <c r="A358" s="332">
        <v>26484</v>
      </c>
      <c r="B358" s="333">
        <v>77183.662808000008</v>
      </c>
      <c r="C358" s="334" t="s">
        <v>19661</v>
      </c>
      <c r="D358" s="371" t="s">
        <v>19593</v>
      </c>
      <c r="E358" s="372" t="s">
        <v>369</v>
      </c>
      <c r="F358" s="397" t="s">
        <v>20155</v>
      </c>
      <c r="G358" s="336">
        <v>45616</v>
      </c>
      <c r="H358" s="337"/>
      <c r="I358" s="337">
        <v>15984</v>
      </c>
      <c r="J358" s="338">
        <v>10500</v>
      </c>
      <c r="K358" s="337"/>
      <c r="L358" s="339" t="s">
        <v>20408</v>
      </c>
      <c r="M358" s="318" t="s">
        <v>20794</v>
      </c>
      <c r="N358" s="379" t="s">
        <v>20160</v>
      </c>
      <c r="O358" s="380">
        <v>45623</v>
      </c>
      <c r="P358" s="381">
        <v>14140.175000000001</v>
      </c>
      <c r="Q358" s="340">
        <v>0.53391387252680866</v>
      </c>
      <c r="R358" s="340">
        <v>0</v>
      </c>
      <c r="S358" s="341">
        <v>8534.0793384685094</v>
      </c>
      <c r="T358" s="341">
        <v>5606.0956615314908</v>
      </c>
      <c r="U358" s="341">
        <v>0</v>
      </c>
      <c r="V358" s="340">
        <v>14140.174999999999</v>
      </c>
      <c r="W358" s="340">
        <v>0</v>
      </c>
    </row>
    <row r="359" spans="1:23">
      <c r="A359" s="332">
        <v>23664</v>
      </c>
      <c r="B359" s="333">
        <v>70727.757968000005</v>
      </c>
      <c r="C359" s="334" t="s">
        <v>19661</v>
      </c>
      <c r="D359" s="371" t="s">
        <v>19594</v>
      </c>
      <c r="E359" s="372" t="s">
        <v>370</v>
      </c>
      <c r="F359" s="397" t="s">
        <v>20155</v>
      </c>
      <c r="G359" s="336">
        <v>45616</v>
      </c>
      <c r="H359" s="337"/>
      <c r="I359" s="337">
        <v>20664</v>
      </c>
      <c r="J359" s="338">
        <v>3000</v>
      </c>
      <c r="K359" s="337"/>
      <c r="L359" s="339" t="s">
        <v>20424</v>
      </c>
      <c r="M359" s="318" t="s">
        <v>20795</v>
      </c>
      <c r="N359" s="379" t="s">
        <v>20160</v>
      </c>
      <c r="O359" s="380">
        <v>45623</v>
      </c>
      <c r="P359" s="381">
        <v>14140.175000000001</v>
      </c>
      <c r="Q359" s="340">
        <v>0.59753951149425288</v>
      </c>
      <c r="R359" s="340">
        <v>0</v>
      </c>
      <c r="S359" s="341">
        <v>12347.556465517242</v>
      </c>
      <c r="T359" s="341">
        <v>1792.6185344827586</v>
      </c>
      <c r="U359" s="341">
        <v>0</v>
      </c>
      <c r="V359" s="340">
        <v>14140.175000000001</v>
      </c>
      <c r="W359" s="340">
        <v>0</v>
      </c>
    </row>
    <row r="360" spans="1:23">
      <c r="A360" s="332">
        <v>288000</v>
      </c>
      <c r="B360" s="333">
        <v>611017.48800000001</v>
      </c>
      <c r="C360" s="334" t="s">
        <v>20407</v>
      </c>
      <c r="D360" s="371" t="s">
        <v>19595</v>
      </c>
      <c r="E360" s="372" t="s">
        <v>371</v>
      </c>
      <c r="F360" s="397" t="s">
        <v>20155</v>
      </c>
      <c r="G360" s="336">
        <v>45616</v>
      </c>
      <c r="H360" s="337">
        <v>72000</v>
      </c>
      <c r="I360" s="337">
        <v>216000</v>
      </c>
      <c r="J360" s="338"/>
      <c r="K360" s="337"/>
      <c r="L360" s="339" t="s">
        <v>20424</v>
      </c>
      <c r="M360" s="318" t="s">
        <v>20796</v>
      </c>
      <c r="N360" s="379" t="s">
        <v>17939</v>
      </c>
      <c r="O360" s="380">
        <v>45621</v>
      </c>
      <c r="P360" s="381">
        <v>0</v>
      </c>
      <c r="Q360" s="340">
        <v>0</v>
      </c>
      <c r="R360" s="340">
        <v>0</v>
      </c>
      <c r="S360" s="341">
        <v>0</v>
      </c>
      <c r="T360" s="341">
        <v>0</v>
      </c>
      <c r="U360" s="341">
        <v>0</v>
      </c>
      <c r="V360" s="340">
        <v>0</v>
      </c>
      <c r="W360" s="340">
        <v>0</v>
      </c>
    </row>
    <row r="361" spans="1:23">
      <c r="A361" s="332">
        <v>19200</v>
      </c>
      <c r="B361" s="333">
        <v>38208</v>
      </c>
      <c r="C361" s="334" t="s">
        <v>19655</v>
      </c>
      <c r="D361" s="371" t="s">
        <v>19596</v>
      </c>
      <c r="E361" s="372" t="s">
        <v>372</v>
      </c>
      <c r="F361" s="400" t="s">
        <v>20155</v>
      </c>
      <c r="G361" s="336">
        <v>45617</v>
      </c>
      <c r="H361" s="337">
        <v>19200</v>
      </c>
      <c r="I361" s="337"/>
      <c r="J361" s="338"/>
      <c r="K361" s="337"/>
      <c r="L361" s="339" t="s">
        <v>18201</v>
      </c>
      <c r="M361" s="318" t="s">
        <v>20797</v>
      </c>
      <c r="N361" s="379" t="s">
        <v>18248</v>
      </c>
      <c r="O361" s="380">
        <v>45635</v>
      </c>
      <c r="P361" s="381">
        <v>0</v>
      </c>
      <c r="Q361" s="340">
        <v>0</v>
      </c>
      <c r="R361" s="340">
        <v>0</v>
      </c>
      <c r="S361" s="341">
        <v>0</v>
      </c>
      <c r="T361" s="341">
        <v>0</v>
      </c>
      <c r="U361" s="341">
        <v>0</v>
      </c>
      <c r="V361" s="340">
        <v>0</v>
      </c>
      <c r="W361" s="340">
        <v>0</v>
      </c>
    </row>
    <row r="362" spans="1:23">
      <c r="A362" s="332">
        <v>6450</v>
      </c>
      <c r="B362" s="333">
        <v>18480</v>
      </c>
      <c r="C362" s="334" t="s">
        <v>17018</v>
      </c>
      <c r="D362" s="371" t="s">
        <v>19597</v>
      </c>
      <c r="E362" s="372" t="s">
        <v>373</v>
      </c>
      <c r="F362" s="400" t="s">
        <v>20155</v>
      </c>
      <c r="G362" s="336">
        <v>45622</v>
      </c>
      <c r="H362" s="337"/>
      <c r="I362" s="337">
        <v>5040</v>
      </c>
      <c r="J362" s="338">
        <v>800</v>
      </c>
      <c r="K362" s="337">
        <v>610</v>
      </c>
      <c r="L362" s="339" t="s">
        <v>20424</v>
      </c>
      <c r="M362" s="318" t="s">
        <v>20798</v>
      </c>
      <c r="N362" s="379" t="s">
        <v>18261</v>
      </c>
      <c r="O362" s="380">
        <v>45644</v>
      </c>
      <c r="P362" s="381">
        <v>0</v>
      </c>
      <c r="Q362" s="340">
        <v>0</v>
      </c>
      <c r="R362" s="340">
        <v>0</v>
      </c>
      <c r="S362" s="341">
        <v>0</v>
      </c>
      <c r="T362" s="341">
        <v>0</v>
      </c>
      <c r="U362" s="341">
        <v>0</v>
      </c>
      <c r="V362" s="340">
        <v>0</v>
      </c>
      <c r="W362" s="340">
        <v>0</v>
      </c>
    </row>
    <row r="363" spans="1:23">
      <c r="A363" s="332">
        <v>39984</v>
      </c>
      <c r="B363" s="333">
        <v>93962.4</v>
      </c>
      <c r="C363" s="334" t="s">
        <v>19883</v>
      </c>
      <c r="D363" s="371" t="s">
        <v>19598</v>
      </c>
      <c r="E363" s="372" t="s">
        <v>374</v>
      </c>
      <c r="F363" s="397" t="s">
        <v>20155</v>
      </c>
      <c r="G363" s="336">
        <v>45618</v>
      </c>
      <c r="H363" s="337">
        <v>39984</v>
      </c>
      <c r="I363" s="337"/>
      <c r="J363" s="338"/>
      <c r="K363" s="337"/>
      <c r="L363" s="339" t="s">
        <v>20767</v>
      </c>
      <c r="M363" s="318" t="s">
        <v>20799</v>
      </c>
      <c r="N363" s="379" t="s">
        <v>17939</v>
      </c>
      <c r="O363" s="380">
        <v>45628</v>
      </c>
      <c r="P363" s="381">
        <v>0</v>
      </c>
      <c r="Q363" s="340">
        <v>0</v>
      </c>
      <c r="R363" s="340">
        <v>0</v>
      </c>
      <c r="S363" s="341">
        <v>0</v>
      </c>
      <c r="T363" s="341">
        <v>0</v>
      </c>
      <c r="U363" s="341">
        <v>0</v>
      </c>
      <c r="V363" s="340">
        <v>0</v>
      </c>
      <c r="W363" s="340">
        <v>0</v>
      </c>
    </row>
    <row r="364" spans="1:23">
      <c r="A364" s="332">
        <v>19552</v>
      </c>
      <c r="B364" s="333">
        <v>14632.791264</v>
      </c>
      <c r="C364" s="334" t="s">
        <v>17343</v>
      </c>
      <c r="D364" s="371" t="s">
        <v>19599</v>
      </c>
      <c r="E364" s="372" t="s">
        <v>375</v>
      </c>
      <c r="F364" s="397" t="s">
        <v>20155</v>
      </c>
      <c r="G364" s="336">
        <v>45623</v>
      </c>
      <c r="H364" s="337">
        <v>800</v>
      </c>
      <c r="I364" s="337">
        <v>15792</v>
      </c>
      <c r="J364" s="338">
        <v>2400</v>
      </c>
      <c r="K364" s="337">
        <v>560</v>
      </c>
      <c r="L364" s="339" t="s">
        <v>20424</v>
      </c>
      <c r="M364" s="318" t="s">
        <v>20800</v>
      </c>
      <c r="N364" s="379" t="s">
        <v>20306</v>
      </c>
      <c r="O364" s="380">
        <v>45637</v>
      </c>
      <c r="P364" s="381">
        <v>0</v>
      </c>
      <c r="Q364" s="340">
        <v>0</v>
      </c>
      <c r="R364" s="340">
        <v>0</v>
      </c>
      <c r="S364" s="341">
        <v>0</v>
      </c>
      <c r="T364" s="341">
        <v>0</v>
      </c>
      <c r="U364" s="341">
        <v>0</v>
      </c>
      <c r="V364" s="340">
        <v>0</v>
      </c>
      <c r="W364" s="340">
        <v>0</v>
      </c>
    </row>
    <row r="365" spans="1:23">
      <c r="A365" s="332">
        <v>47820</v>
      </c>
      <c r="B365" s="333">
        <v>63575.473239999992</v>
      </c>
      <c r="C365" s="334" t="s">
        <v>17343</v>
      </c>
      <c r="D365" s="371" t="s">
        <v>19600</v>
      </c>
      <c r="E365" s="372" t="s">
        <v>376</v>
      </c>
      <c r="F365" s="397" t="s">
        <v>20155</v>
      </c>
      <c r="G365" s="336">
        <v>45623</v>
      </c>
      <c r="H365" s="337">
        <v>2400</v>
      </c>
      <c r="I365" s="337">
        <v>35760</v>
      </c>
      <c r="J365" s="338">
        <v>8400</v>
      </c>
      <c r="K365" s="337">
        <v>1260</v>
      </c>
      <c r="L365" s="339" t="s">
        <v>20424</v>
      </c>
      <c r="M365" s="318" t="s">
        <v>20801</v>
      </c>
      <c r="N365" s="390" t="s">
        <v>16394</v>
      </c>
      <c r="O365" s="380">
        <v>45628</v>
      </c>
      <c r="P365" s="381">
        <v>24008.760000000002</v>
      </c>
      <c r="Q365" s="340">
        <v>0.50206524466750313</v>
      </c>
      <c r="R365" s="340">
        <v>1204.9565872020075</v>
      </c>
      <c r="S365" s="341">
        <v>17953.853149309911</v>
      </c>
      <c r="T365" s="341">
        <v>4217.3480552070259</v>
      </c>
      <c r="U365" s="341">
        <v>632.60220828105389</v>
      </c>
      <c r="V365" s="340">
        <v>24008.759999999995</v>
      </c>
      <c r="W365" s="340">
        <v>0</v>
      </c>
    </row>
    <row r="366" spans="1:23">
      <c r="A366" s="332">
        <v>100003</v>
      </c>
      <c r="B366" s="333">
        <v>210006.72</v>
      </c>
      <c r="C366" s="334" t="s">
        <v>19878</v>
      </c>
      <c r="D366" s="371" t="s">
        <v>19601</v>
      </c>
      <c r="E366" s="372" t="s">
        <v>377</v>
      </c>
      <c r="F366" s="397" t="s">
        <v>20155</v>
      </c>
      <c r="G366" s="336">
        <v>45625</v>
      </c>
      <c r="H366" s="337">
        <v>100003</v>
      </c>
      <c r="I366" s="337"/>
      <c r="J366" s="338"/>
      <c r="K366" s="337"/>
      <c r="L366" s="339" t="s">
        <v>20571</v>
      </c>
      <c r="M366" s="318" t="s">
        <v>20802</v>
      </c>
      <c r="N366" s="379" t="s">
        <v>17939</v>
      </c>
      <c r="O366" s="380">
        <v>45632</v>
      </c>
      <c r="P366" s="381">
        <v>0</v>
      </c>
      <c r="Q366" s="340">
        <v>0</v>
      </c>
      <c r="R366" s="340">
        <v>0</v>
      </c>
      <c r="S366" s="341">
        <v>0</v>
      </c>
      <c r="T366" s="341">
        <v>0</v>
      </c>
      <c r="U366" s="341">
        <v>0</v>
      </c>
      <c r="V366" s="340">
        <v>0</v>
      </c>
      <c r="W366" s="340">
        <v>0</v>
      </c>
    </row>
    <row r="367" spans="1:23">
      <c r="A367" s="332">
        <v>290400</v>
      </c>
      <c r="B367" s="333">
        <v>616303.86839999992</v>
      </c>
      <c r="C367" s="334" t="s">
        <v>20407</v>
      </c>
      <c r="D367" s="371" t="s">
        <v>19602</v>
      </c>
      <c r="E367" s="372" t="s">
        <v>378</v>
      </c>
      <c r="F367" s="397" t="s">
        <v>20155</v>
      </c>
      <c r="G367" s="336">
        <v>45628</v>
      </c>
      <c r="H367" s="337">
        <v>36000</v>
      </c>
      <c r="I367" s="337">
        <v>187200</v>
      </c>
      <c r="J367" s="338">
        <v>67200</v>
      </c>
      <c r="K367" s="337"/>
      <c r="L367" s="339" t="s">
        <v>20424</v>
      </c>
      <c r="M367" s="318" t="s">
        <v>20803</v>
      </c>
      <c r="N367" s="379" t="s">
        <v>17939</v>
      </c>
      <c r="O367" s="380">
        <v>45630</v>
      </c>
      <c r="P367" s="381">
        <v>0</v>
      </c>
      <c r="Q367" s="340">
        <v>0</v>
      </c>
      <c r="R367" s="340">
        <v>0</v>
      </c>
      <c r="S367" s="341">
        <v>0</v>
      </c>
      <c r="T367" s="341">
        <v>0</v>
      </c>
      <c r="U367" s="341">
        <v>0</v>
      </c>
      <c r="V367" s="340">
        <v>0</v>
      </c>
      <c r="W367" s="340">
        <v>0</v>
      </c>
    </row>
    <row r="368" spans="1:23">
      <c r="A368" s="332">
        <v>40300</v>
      </c>
      <c r="B368" s="333">
        <v>110577.81994999999</v>
      </c>
      <c r="C368" s="334" t="s">
        <v>19659</v>
      </c>
      <c r="D368" s="371" t="s">
        <v>19603</v>
      </c>
      <c r="E368" s="372" t="s">
        <v>379</v>
      </c>
      <c r="F368" s="400" t="s">
        <v>20155</v>
      </c>
      <c r="G368" s="336">
        <v>45631</v>
      </c>
      <c r="H368" s="337">
        <v>40300</v>
      </c>
      <c r="I368" s="337"/>
      <c r="J368" s="338"/>
      <c r="K368" s="337"/>
      <c r="L368" s="339" t="s">
        <v>20398</v>
      </c>
      <c r="M368" s="318" t="s">
        <v>20804</v>
      </c>
      <c r="N368" s="379" t="s">
        <v>20161</v>
      </c>
      <c r="O368" s="380">
        <v>45649</v>
      </c>
      <c r="P368" s="381">
        <v>0</v>
      </c>
      <c r="Q368" s="340">
        <v>0</v>
      </c>
      <c r="R368" s="340">
        <v>0</v>
      </c>
      <c r="S368" s="341">
        <v>0</v>
      </c>
      <c r="T368" s="341">
        <v>0</v>
      </c>
      <c r="U368" s="341">
        <v>0</v>
      </c>
      <c r="V368" s="340">
        <v>0</v>
      </c>
      <c r="W368" s="340">
        <v>0</v>
      </c>
    </row>
    <row r="369" spans="1:23">
      <c r="A369" s="332">
        <v>27336</v>
      </c>
      <c r="B369" s="333">
        <v>79188.921151999995</v>
      </c>
      <c r="C369" s="334" t="s">
        <v>19661</v>
      </c>
      <c r="D369" s="371" t="s">
        <v>19604</v>
      </c>
      <c r="E369" s="372" t="s">
        <v>380</v>
      </c>
      <c r="F369" s="389" t="s">
        <v>20155</v>
      </c>
      <c r="G369" s="336">
        <v>45631</v>
      </c>
      <c r="H369" s="337"/>
      <c r="I369" s="337">
        <v>15336</v>
      </c>
      <c r="J369" s="338">
        <v>12000</v>
      </c>
      <c r="K369" s="337"/>
      <c r="L369" s="339" t="s">
        <v>20424</v>
      </c>
      <c r="M369" s="318" t="s">
        <v>20805</v>
      </c>
      <c r="N369" s="379" t="s">
        <v>20160</v>
      </c>
      <c r="O369" s="380">
        <v>45638</v>
      </c>
      <c r="P369" s="381">
        <v>14133.800000000001</v>
      </c>
      <c r="Q369" s="340">
        <v>0.51703980099502489</v>
      </c>
      <c r="R369" s="340">
        <v>0</v>
      </c>
      <c r="S369" s="341">
        <v>7929.3223880597016</v>
      </c>
      <c r="T369" s="341">
        <v>6204.4776119402986</v>
      </c>
      <c r="U369" s="341">
        <v>0</v>
      </c>
      <c r="V369" s="340">
        <v>14133.8</v>
      </c>
      <c r="W369" s="340">
        <v>0</v>
      </c>
    </row>
    <row r="370" spans="1:23">
      <c r="A370" s="332">
        <v>27505</v>
      </c>
      <c r="B370" s="333">
        <v>78163.239600000001</v>
      </c>
      <c r="C370" s="334" t="s">
        <v>19661</v>
      </c>
      <c r="D370" s="371" t="s">
        <v>19605</v>
      </c>
      <c r="E370" s="372" t="s">
        <v>381</v>
      </c>
      <c r="F370" s="389" t="s">
        <v>20155</v>
      </c>
      <c r="G370" s="336">
        <v>45631</v>
      </c>
      <c r="H370" s="337"/>
      <c r="I370" s="337">
        <v>27505</v>
      </c>
      <c r="J370" s="338"/>
      <c r="K370" s="337"/>
      <c r="L370" s="339" t="s">
        <v>20424</v>
      </c>
      <c r="M370" s="318" t="s">
        <v>20806</v>
      </c>
      <c r="N370" s="379" t="s">
        <v>20160</v>
      </c>
      <c r="O370" s="380">
        <v>45638</v>
      </c>
      <c r="P370" s="381">
        <v>14133.800000000001</v>
      </c>
      <c r="Q370" s="340">
        <v>0.5138629340119979</v>
      </c>
      <c r="R370" s="340">
        <v>0</v>
      </c>
      <c r="S370" s="341">
        <v>14133.800000000003</v>
      </c>
      <c r="T370" s="341">
        <v>0</v>
      </c>
      <c r="U370" s="341">
        <v>0</v>
      </c>
      <c r="V370" s="340">
        <v>14133.800000000003</v>
      </c>
      <c r="W370" s="340">
        <v>0</v>
      </c>
    </row>
    <row r="371" spans="1:23">
      <c r="A371" s="332">
        <v>43200</v>
      </c>
      <c r="B371" s="333">
        <v>76464</v>
      </c>
      <c r="C371" s="334" t="s">
        <v>19655</v>
      </c>
      <c r="D371" s="371" t="s">
        <v>19606</v>
      </c>
      <c r="E371" s="372" t="s">
        <v>382</v>
      </c>
      <c r="F371" s="400" t="s">
        <v>20155</v>
      </c>
      <c r="G371" s="336">
        <v>45631</v>
      </c>
      <c r="H371" s="337"/>
      <c r="I371" s="337">
        <v>43200</v>
      </c>
      <c r="J371" s="338"/>
      <c r="K371" s="337"/>
      <c r="L371" s="339" t="s">
        <v>18201</v>
      </c>
      <c r="M371" s="318" t="s">
        <v>20807</v>
      </c>
      <c r="N371" s="379" t="s">
        <v>18248</v>
      </c>
      <c r="O371" s="380">
        <v>45644</v>
      </c>
      <c r="P371" s="381">
        <v>0</v>
      </c>
      <c r="Q371" s="340">
        <v>0</v>
      </c>
      <c r="R371" s="340">
        <v>0</v>
      </c>
      <c r="S371" s="341">
        <v>0</v>
      </c>
      <c r="T371" s="341">
        <v>0</v>
      </c>
      <c r="U371" s="341">
        <v>0</v>
      </c>
      <c r="V371" s="340">
        <v>0</v>
      </c>
      <c r="W371" s="340">
        <v>0</v>
      </c>
    </row>
    <row r="372" spans="1:23">
      <c r="A372" s="332">
        <v>110040</v>
      </c>
      <c r="B372" s="333">
        <v>226983.9184</v>
      </c>
      <c r="C372" s="334" t="s">
        <v>19852</v>
      </c>
      <c r="D372" s="371" t="s">
        <v>19607</v>
      </c>
      <c r="E372" s="372" t="s">
        <v>383</v>
      </c>
      <c r="F372" s="400" t="s">
        <v>20155</v>
      </c>
      <c r="G372" s="336">
        <v>45631</v>
      </c>
      <c r="H372" s="337">
        <v>110040</v>
      </c>
      <c r="I372" s="337"/>
      <c r="J372" s="338"/>
      <c r="K372" s="337"/>
      <c r="L372" s="339" t="s">
        <v>19852</v>
      </c>
      <c r="M372" s="318" t="s">
        <v>20808</v>
      </c>
      <c r="N372" s="379" t="s">
        <v>17949</v>
      </c>
      <c r="O372" s="380">
        <v>45644</v>
      </c>
      <c r="P372" s="381">
        <v>25766.424999999999</v>
      </c>
      <c r="Q372" s="340">
        <v>0.23415507997091967</v>
      </c>
      <c r="R372" s="340">
        <v>25766.424999999999</v>
      </c>
      <c r="S372" s="341">
        <v>0</v>
      </c>
      <c r="T372" s="341">
        <v>0</v>
      </c>
      <c r="U372" s="341">
        <v>0</v>
      </c>
      <c r="V372" s="340">
        <v>25766.424999999999</v>
      </c>
      <c r="W372" s="340">
        <v>0</v>
      </c>
    </row>
    <row r="373" spans="1:23">
      <c r="A373" s="332">
        <v>55000</v>
      </c>
      <c r="B373" s="333">
        <v>91591.5</v>
      </c>
      <c r="C373" s="334" t="s">
        <v>19722</v>
      </c>
      <c r="D373" s="371" t="s">
        <v>19608</v>
      </c>
      <c r="E373" s="372" t="s">
        <v>384</v>
      </c>
      <c r="F373" s="389" t="s">
        <v>20155</v>
      </c>
      <c r="G373" s="336">
        <v>45631</v>
      </c>
      <c r="H373" s="337"/>
      <c r="I373" s="337"/>
      <c r="J373" s="338">
        <v>55000</v>
      </c>
      <c r="K373" s="337"/>
      <c r="L373" s="339" t="s">
        <v>20427</v>
      </c>
      <c r="M373" s="318" t="s">
        <v>20809</v>
      </c>
      <c r="N373" s="379" t="s">
        <v>17801</v>
      </c>
      <c r="O373" s="380">
        <v>45637</v>
      </c>
      <c r="P373" s="381">
        <v>0</v>
      </c>
      <c r="Q373" s="340">
        <v>0</v>
      </c>
      <c r="R373" s="340">
        <v>0</v>
      </c>
      <c r="S373" s="341">
        <v>0</v>
      </c>
      <c r="T373" s="341">
        <v>0</v>
      </c>
      <c r="U373" s="341">
        <v>0</v>
      </c>
      <c r="V373" s="340">
        <v>0</v>
      </c>
      <c r="W373" s="340">
        <v>0</v>
      </c>
    </row>
    <row r="374" spans="1:23">
      <c r="A374" s="332">
        <v>84000</v>
      </c>
      <c r="B374" s="333">
        <v>128520</v>
      </c>
      <c r="C374" s="334" t="s">
        <v>19656</v>
      </c>
      <c r="D374" s="371" t="s">
        <v>19609</v>
      </c>
      <c r="E374" s="372" t="s">
        <v>385</v>
      </c>
      <c r="F374" s="397" t="s">
        <v>20155</v>
      </c>
      <c r="G374" s="336">
        <v>45631</v>
      </c>
      <c r="H374" s="337"/>
      <c r="I374" s="337"/>
      <c r="J374" s="338">
        <v>84000</v>
      </c>
      <c r="K374" s="337"/>
      <c r="L374" s="339" t="s">
        <v>20398</v>
      </c>
      <c r="M374" s="318" t="s">
        <v>20810</v>
      </c>
      <c r="N374" s="379" t="s">
        <v>17949</v>
      </c>
      <c r="O374" s="380">
        <v>45637</v>
      </c>
      <c r="P374" s="381">
        <v>0</v>
      </c>
      <c r="Q374" s="340">
        <v>0</v>
      </c>
      <c r="R374" s="340">
        <v>0</v>
      </c>
      <c r="S374" s="341">
        <v>0</v>
      </c>
      <c r="T374" s="341">
        <v>0</v>
      </c>
      <c r="U374" s="341">
        <v>0</v>
      </c>
      <c r="V374" s="340">
        <v>0</v>
      </c>
      <c r="W374" s="340">
        <v>0</v>
      </c>
    </row>
    <row r="375" spans="1:23">
      <c r="A375" s="332">
        <v>22680</v>
      </c>
      <c r="B375" s="333">
        <v>68476.561040000001</v>
      </c>
      <c r="C375" s="334" t="s">
        <v>19661</v>
      </c>
      <c r="D375" s="371" t="s">
        <v>19610</v>
      </c>
      <c r="E375" s="372" t="s">
        <v>386</v>
      </c>
      <c r="F375" s="397" t="s">
        <v>20155</v>
      </c>
      <c r="G375" s="336">
        <v>45632</v>
      </c>
      <c r="H375" s="337"/>
      <c r="I375" s="337">
        <v>22680</v>
      </c>
      <c r="J375" s="338"/>
      <c r="K375" s="337"/>
      <c r="L375" s="339" t="s">
        <v>20408</v>
      </c>
      <c r="M375" s="318" t="s">
        <v>20811</v>
      </c>
      <c r="N375" s="379" t="s">
        <v>20160</v>
      </c>
      <c r="O375" s="380">
        <v>45657</v>
      </c>
      <c r="P375" s="381">
        <v>14141.449999999999</v>
      </c>
      <c r="Q375" s="340">
        <v>0.62352072310405637</v>
      </c>
      <c r="R375" s="340">
        <v>0</v>
      </c>
      <c r="S375" s="341">
        <v>14141.449999999999</v>
      </c>
      <c r="T375" s="341">
        <v>0</v>
      </c>
      <c r="U375" s="341">
        <v>0</v>
      </c>
      <c r="V375" s="340">
        <v>14141.449999999999</v>
      </c>
      <c r="W375" s="340">
        <v>0</v>
      </c>
    </row>
    <row r="376" spans="1:23">
      <c r="A376" s="332">
        <v>23704</v>
      </c>
      <c r="B376" s="333">
        <v>30958.326672000003</v>
      </c>
      <c r="C376" s="334" t="s">
        <v>17343</v>
      </c>
      <c r="D376" s="371" t="s">
        <v>19611</v>
      </c>
      <c r="E376" s="372" t="s">
        <v>387</v>
      </c>
      <c r="F376" s="397" t="s">
        <v>20155</v>
      </c>
      <c r="G376" s="336">
        <v>45635</v>
      </c>
      <c r="H376" s="337">
        <v>1600</v>
      </c>
      <c r="I376" s="337">
        <v>18504</v>
      </c>
      <c r="J376" s="338">
        <v>3600</v>
      </c>
      <c r="K376" s="337"/>
      <c r="L376" s="339" t="s">
        <v>20424</v>
      </c>
      <c r="M376" s="318" t="s">
        <v>20812</v>
      </c>
      <c r="N376" s="379" t="s">
        <v>16394</v>
      </c>
      <c r="O376" s="380">
        <v>45636</v>
      </c>
      <c r="P376" s="381">
        <v>13155.87</v>
      </c>
      <c r="Q376" s="340">
        <v>0.55500632804589944</v>
      </c>
      <c r="R376" s="340">
        <v>888.01012487343905</v>
      </c>
      <c r="S376" s="341">
        <v>10269.837094161323</v>
      </c>
      <c r="T376" s="341">
        <v>1998.0227809652381</v>
      </c>
      <c r="U376" s="341">
        <v>0</v>
      </c>
      <c r="V376" s="340">
        <v>13155.87</v>
      </c>
      <c r="W376" s="340">
        <v>0</v>
      </c>
    </row>
    <row r="377" spans="1:23">
      <c r="A377" s="332">
        <v>23300</v>
      </c>
      <c r="B377" s="333">
        <v>77585.453699999998</v>
      </c>
      <c r="C377" s="334" t="s">
        <v>17210</v>
      </c>
      <c r="D377" s="371" t="s">
        <v>19612</v>
      </c>
      <c r="E377" s="372" t="s">
        <v>388</v>
      </c>
      <c r="F377" s="397" t="s">
        <v>20155</v>
      </c>
      <c r="G377" s="336">
        <v>45638</v>
      </c>
      <c r="H377" s="337">
        <v>2400</v>
      </c>
      <c r="I377" s="337">
        <v>12600</v>
      </c>
      <c r="J377" s="338">
        <v>4800</v>
      </c>
      <c r="K377" s="337">
        <v>3500</v>
      </c>
      <c r="L377" s="339" t="s">
        <v>20424</v>
      </c>
      <c r="M377" s="318" t="s">
        <v>20813</v>
      </c>
      <c r="N377" s="379" t="s">
        <v>20168</v>
      </c>
      <c r="O377" s="380">
        <v>45642</v>
      </c>
      <c r="P377" s="381">
        <v>4196.2139999999999</v>
      </c>
      <c r="Q377" s="340">
        <v>0.18009502145922746</v>
      </c>
      <c r="R377" s="340">
        <v>432.22805150214589</v>
      </c>
      <c r="S377" s="341">
        <v>2269.1972703862662</v>
      </c>
      <c r="T377" s="341">
        <v>864.45610300429178</v>
      </c>
      <c r="U377" s="341">
        <v>630.33257510729607</v>
      </c>
      <c r="V377" s="340">
        <v>4196.2139999999999</v>
      </c>
      <c r="W377" s="340">
        <v>0</v>
      </c>
    </row>
    <row r="378" spans="1:23">
      <c r="A378" s="332">
        <v>40300</v>
      </c>
      <c r="B378" s="333">
        <v>110914.6022145</v>
      </c>
      <c r="C378" s="334" t="s">
        <v>19659</v>
      </c>
      <c r="D378" s="371" t="s">
        <v>19613</v>
      </c>
      <c r="E378" s="372" t="s">
        <v>389</v>
      </c>
      <c r="F378" s="397" t="s">
        <v>20155</v>
      </c>
      <c r="G378" s="336">
        <v>45638</v>
      </c>
      <c r="H378" s="337">
        <v>40300</v>
      </c>
      <c r="I378" s="337"/>
      <c r="J378" s="338"/>
      <c r="K378" s="337"/>
      <c r="L378" s="339" t="s">
        <v>20398</v>
      </c>
      <c r="M378" s="318" t="s">
        <v>20814</v>
      </c>
      <c r="N378" s="379" t="s">
        <v>20161</v>
      </c>
      <c r="O378" s="380">
        <v>45650</v>
      </c>
      <c r="P378" s="381">
        <v>0</v>
      </c>
      <c r="Q378" s="340">
        <v>0</v>
      </c>
      <c r="R378" s="340">
        <v>0</v>
      </c>
      <c r="S378" s="341">
        <v>0</v>
      </c>
      <c r="T378" s="341">
        <v>0</v>
      </c>
      <c r="U378" s="341">
        <v>0</v>
      </c>
      <c r="V378" s="340">
        <v>0</v>
      </c>
      <c r="W378" s="340">
        <v>0</v>
      </c>
    </row>
    <row r="379" spans="1:23">
      <c r="A379" s="332">
        <v>38400</v>
      </c>
      <c r="B379" s="333">
        <v>72960</v>
      </c>
      <c r="C379" s="334" t="s">
        <v>19833</v>
      </c>
      <c r="D379" s="371" t="s">
        <v>19614</v>
      </c>
      <c r="E379" s="372" t="s">
        <v>390</v>
      </c>
      <c r="F379" s="397" t="s">
        <v>20155</v>
      </c>
      <c r="G379" s="336">
        <v>45638</v>
      </c>
      <c r="H379" s="337">
        <v>38400</v>
      </c>
      <c r="I379" s="337"/>
      <c r="J379" s="338"/>
      <c r="K379" s="337"/>
      <c r="L379" s="339" t="s">
        <v>20446</v>
      </c>
      <c r="M379" s="318" t="s">
        <v>20815</v>
      </c>
      <c r="N379" s="379" t="s">
        <v>18248</v>
      </c>
      <c r="O379" s="380">
        <v>45645</v>
      </c>
      <c r="P379" s="381">
        <v>0</v>
      </c>
      <c r="Q379" s="340">
        <v>0</v>
      </c>
      <c r="R379" s="340">
        <v>0</v>
      </c>
      <c r="S379" s="341">
        <v>0</v>
      </c>
      <c r="T379" s="341">
        <v>0</v>
      </c>
      <c r="U379" s="341">
        <v>0</v>
      </c>
      <c r="V379" s="340">
        <v>0</v>
      </c>
      <c r="W379" s="340">
        <v>0</v>
      </c>
    </row>
    <row r="380" spans="1:23">
      <c r="A380" s="332">
        <v>418500</v>
      </c>
      <c r="B380" s="333">
        <v>705716.01</v>
      </c>
      <c r="C380" s="334" t="s">
        <v>19833</v>
      </c>
      <c r="D380" s="371" t="s">
        <v>19615</v>
      </c>
      <c r="E380" s="372" t="s">
        <v>391</v>
      </c>
      <c r="F380" s="397" t="s">
        <v>20155</v>
      </c>
      <c r="G380" s="336">
        <v>45638</v>
      </c>
      <c r="H380" s="337">
        <v>128500</v>
      </c>
      <c r="I380" s="337">
        <v>20000</v>
      </c>
      <c r="J380" s="338">
        <v>270000</v>
      </c>
      <c r="K380" s="337"/>
      <c r="L380" s="339" t="s">
        <v>20446</v>
      </c>
      <c r="M380" s="318" t="s">
        <v>20816</v>
      </c>
      <c r="N380" s="379" t="s">
        <v>20321</v>
      </c>
      <c r="O380" s="380">
        <v>45628</v>
      </c>
      <c r="P380" s="381">
        <v>0</v>
      </c>
      <c r="Q380" s="340">
        <v>0</v>
      </c>
      <c r="R380" s="340">
        <v>0</v>
      </c>
      <c r="S380" s="341">
        <v>0</v>
      </c>
      <c r="T380" s="341">
        <v>0</v>
      </c>
      <c r="U380" s="341">
        <v>0</v>
      </c>
      <c r="V380" s="340">
        <v>0</v>
      </c>
      <c r="W380" s="340">
        <v>0</v>
      </c>
    </row>
    <row r="381" spans="1:23">
      <c r="A381" s="332">
        <v>22972</v>
      </c>
      <c r="B381" s="333">
        <v>33154.843099999998</v>
      </c>
      <c r="C381" s="334" t="s">
        <v>17343</v>
      </c>
      <c r="D381" s="371" t="s">
        <v>19616</v>
      </c>
      <c r="E381" s="372" t="s">
        <v>392</v>
      </c>
      <c r="F381" s="397" t="s">
        <v>20155</v>
      </c>
      <c r="G381" s="336">
        <v>45644</v>
      </c>
      <c r="H381" s="337"/>
      <c r="I381" s="337">
        <v>18672</v>
      </c>
      <c r="J381" s="338">
        <v>3600</v>
      </c>
      <c r="K381" s="337">
        <v>700</v>
      </c>
      <c r="L381" s="339" t="s">
        <v>20424</v>
      </c>
      <c r="M381" s="318" t="s">
        <v>20817</v>
      </c>
      <c r="N381" s="379" t="s">
        <v>16394</v>
      </c>
      <c r="O381" s="380">
        <v>45646</v>
      </c>
      <c r="P381" s="381">
        <v>12288.625</v>
      </c>
      <c r="Q381" s="340">
        <v>0.53493927389865925</v>
      </c>
      <c r="R381" s="340">
        <v>0</v>
      </c>
      <c r="S381" s="341">
        <v>9988.3861222357664</v>
      </c>
      <c r="T381" s="341">
        <v>1925.7813860351732</v>
      </c>
      <c r="U381" s="341">
        <v>374.45749172906147</v>
      </c>
      <c r="V381" s="340">
        <v>12288.625</v>
      </c>
      <c r="W381" s="340">
        <v>0</v>
      </c>
    </row>
    <row r="382" spans="1:23">
      <c r="A382" s="332">
        <v>24256</v>
      </c>
      <c r="B382" s="333">
        <v>31091.151200000004</v>
      </c>
      <c r="C382" s="334" t="s">
        <v>17343</v>
      </c>
      <c r="D382" s="371" t="s">
        <v>19617</v>
      </c>
      <c r="E382" s="372" t="s">
        <v>393</v>
      </c>
      <c r="F382" s="397" t="s">
        <v>20155</v>
      </c>
      <c r="G382" s="336">
        <v>45644</v>
      </c>
      <c r="H382" s="337"/>
      <c r="I382" s="337">
        <v>17136</v>
      </c>
      <c r="J382" s="338">
        <v>6000</v>
      </c>
      <c r="K382" s="337">
        <v>1120</v>
      </c>
      <c r="L382" s="339" t="s">
        <v>20424</v>
      </c>
      <c r="M382" s="318" t="s">
        <v>20513</v>
      </c>
      <c r="N382" s="379" t="s">
        <v>16394</v>
      </c>
      <c r="O382" s="380">
        <v>45646</v>
      </c>
      <c r="P382" s="381">
        <v>11956.5</v>
      </c>
      <c r="Q382" s="340">
        <v>0.49292958443271767</v>
      </c>
      <c r="R382" s="340">
        <v>0</v>
      </c>
      <c r="S382" s="341">
        <v>8446.8413588390504</v>
      </c>
      <c r="T382" s="341">
        <v>2957.5775065963062</v>
      </c>
      <c r="U382" s="341">
        <v>552.08113456464378</v>
      </c>
      <c r="V382" s="340">
        <v>11956.5</v>
      </c>
      <c r="W382" s="340">
        <v>0</v>
      </c>
    </row>
    <row r="383" spans="1:23">
      <c r="A383" s="332">
        <v>44624</v>
      </c>
      <c r="B383" s="333">
        <v>60159.129750000007</v>
      </c>
      <c r="C383" s="334" t="s">
        <v>17343</v>
      </c>
      <c r="D383" s="371" t="s">
        <v>19618</v>
      </c>
      <c r="E383" s="372" t="s">
        <v>394</v>
      </c>
      <c r="F383" s="397" t="s">
        <v>20155</v>
      </c>
      <c r="G383" s="336">
        <v>45644</v>
      </c>
      <c r="H383" s="337">
        <v>3200</v>
      </c>
      <c r="I383" s="337">
        <v>32064</v>
      </c>
      <c r="J383" s="338">
        <v>6000</v>
      </c>
      <c r="K383" s="337">
        <v>3360</v>
      </c>
      <c r="L383" s="339" t="s">
        <v>20424</v>
      </c>
      <c r="M383" s="318" t="s">
        <v>20818</v>
      </c>
      <c r="N383" s="379" t="s">
        <v>16394</v>
      </c>
      <c r="O383" s="380">
        <v>45646</v>
      </c>
      <c r="P383" s="381">
        <v>19595.375</v>
      </c>
      <c r="Q383" s="340">
        <v>0.43912188508425959</v>
      </c>
      <c r="R383" s="340">
        <v>1405.1900322696306</v>
      </c>
      <c r="S383" s="341">
        <v>14080.0041233417</v>
      </c>
      <c r="T383" s="341">
        <v>2634.7313105055578</v>
      </c>
      <c r="U383" s="341">
        <v>1475.4495338831123</v>
      </c>
      <c r="V383" s="340">
        <v>19595.375</v>
      </c>
      <c r="W383" s="340">
        <v>0</v>
      </c>
    </row>
    <row r="384" spans="1:23">
      <c r="A384">
        <v>24825</v>
      </c>
      <c r="B384">
        <v>48528</v>
      </c>
      <c r="C384" t="s">
        <v>19647</v>
      </c>
      <c r="D384" t="s">
        <v>19619</v>
      </c>
      <c r="E384" t="s">
        <v>395</v>
      </c>
      <c r="F384" t="s">
        <v>20155</v>
      </c>
      <c r="G384">
        <v>45644</v>
      </c>
      <c r="I384">
        <v>23700</v>
      </c>
      <c r="K384">
        <v>1125</v>
      </c>
      <c r="L384" t="s">
        <v>20520</v>
      </c>
      <c r="M384" t="s">
        <v>20819</v>
      </c>
      <c r="N384" t="s">
        <v>17771</v>
      </c>
      <c r="O384">
        <v>45652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>
      <c r="A385">
        <v>76800</v>
      </c>
      <c r="B385">
        <v>157056</v>
      </c>
      <c r="C385" t="s">
        <v>19647</v>
      </c>
      <c r="D385" t="s">
        <v>19620</v>
      </c>
      <c r="E385" t="s">
        <v>396</v>
      </c>
      <c r="F385" t="s">
        <v>20155</v>
      </c>
      <c r="G385">
        <v>45644</v>
      </c>
      <c r="H385">
        <v>76800</v>
      </c>
      <c r="L385" t="s">
        <v>20427</v>
      </c>
      <c r="M385" t="s">
        <v>20820</v>
      </c>
      <c r="N385" t="s">
        <v>17965</v>
      </c>
      <c r="O385">
        <v>45654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>
      <c r="A386">
        <v>21958</v>
      </c>
      <c r="B386">
        <v>40618.699999999997</v>
      </c>
      <c r="C386" t="s">
        <v>19655</v>
      </c>
      <c r="D386" t="s">
        <v>19621</v>
      </c>
      <c r="E386" t="s">
        <v>397</v>
      </c>
      <c r="F386" t="s">
        <v>20155</v>
      </c>
      <c r="G386">
        <v>45644</v>
      </c>
      <c r="H386">
        <v>21958</v>
      </c>
      <c r="L386" t="s">
        <v>18201</v>
      </c>
      <c r="M386" t="s">
        <v>20821</v>
      </c>
      <c r="N386" t="s">
        <v>17693</v>
      </c>
      <c r="O386">
        <v>45652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>
      <c r="A387">
        <v>275000</v>
      </c>
      <c r="B387">
        <v>398750</v>
      </c>
      <c r="C387" t="s">
        <v>19652</v>
      </c>
      <c r="D387" t="s">
        <v>19622</v>
      </c>
      <c r="E387" t="s">
        <v>398</v>
      </c>
      <c r="F387" t="s">
        <v>20155</v>
      </c>
      <c r="G387">
        <v>45644</v>
      </c>
      <c r="J387">
        <v>275000</v>
      </c>
      <c r="L387" t="s">
        <v>20398</v>
      </c>
      <c r="M387" t="s">
        <v>20822</v>
      </c>
      <c r="N387" t="s">
        <v>17801</v>
      </c>
      <c r="O387">
        <v>45649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>
      <c r="A388">
        <v>23608</v>
      </c>
      <c r="B388">
        <v>79912.201247999998</v>
      </c>
      <c r="C388" t="s">
        <v>17305</v>
      </c>
      <c r="D388" t="s">
        <v>19623</v>
      </c>
      <c r="E388" t="s">
        <v>399</v>
      </c>
      <c r="F388" t="s">
        <v>20155</v>
      </c>
      <c r="G388">
        <v>45645</v>
      </c>
      <c r="J388">
        <v>23608</v>
      </c>
      <c r="L388" t="s">
        <v>20459</v>
      </c>
      <c r="M388" t="s">
        <v>20823</v>
      </c>
      <c r="N388" t="s">
        <v>17238</v>
      </c>
      <c r="O388">
        <v>45651</v>
      </c>
      <c r="P388">
        <v>20657.16</v>
      </c>
      <c r="Q388">
        <v>0.87500677736360555</v>
      </c>
      <c r="R388">
        <v>0</v>
      </c>
      <c r="S388">
        <v>0</v>
      </c>
      <c r="T388">
        <v>20657.16</v>
      </c>
      <c r="U388">
        <v>0</v>
      </c>
      <c r="V388">
        <v>20657.16</v>
      </c>
      <c r="W388">
        <v>0</v>
      </c>
    </row>
    <row r="389" spans="1:23">
      <c r="A389">
        <v>40300</v>
      </c>
      <c r="B389">
        <v>95884.550774999996</v>
      </c>
      <c r="C389" t="s">
        <v>19659</v>
      </c>
      <c r="D389" t="s">
        <v>19624</v>
      </c>
      <c r="E389" t="s">
        <v>400</v>
      </c>
      <c r="F389" t="s">
        <v>20155</v>
      </c>
      <c r="G389">
        <v>45645</v>
      </c>
      <c r="H389">
        <v>40300</v>
      </c>
      <c r="L389" t="s">
        <v>20398</v>
      </c>
      <c r="M389" t="s">
        <v>20824</v>
      </c>
      <c r="N389" t="s">
        <v>20161</v>
      </c>
      <c r="O389">
        <v>45650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>
      <c r="A390">
        <v>262620</v>
      </c>
      <c r="B390">
        <v>575039.00034999999</v>
      </c>
      <c r="C390" t="s">
        <v>19662</v>
      </c>
      <c r="D390" t="s">
        <v>19625</v>
      </c>
      <c r="E390" t="s">
        <v>401</v>
      </c>
      <c r="F390" t="s">
        <v>20155</v>
      </c>
      <c r="G390">
        <v>45644</v>
      </c>
      <c r="H390">
        <v>17640</v>
      </c>
      <c r="I390">
        <v>244980</v>
      </c>
      <c r="L390" t="s">
        <v>20520</v>
      </c>
      <c r="M390" t="s">
        <v>20825</v>
      </c>
      <c r="N390" t="s">
        <v>20159</v>
      </c>
      <c r="O390">
        <v>45657</v>
      </c>
      <c r="P390">
        <v>59152.824999999997</v>
      </c>
      <c r="Q390">
        <v>0.22524112786535677</v>
      </c>
      <c r="R390">
        <v>3973.2534955448937</v>
      </c>
      <c r="S390">
        <v>55179.571504455103</v>
      </c>
      <c r="T390">
        <v>0</v>
      </c>
      <c r="U390">
        <v>0</v>
      </c>
      <c r="V390">
        <v>59152.824999999997</v>
      </c>
      <c r="W390">
        <v>0</v>
      </c>
    </row>
    <row r="391" spans="1:23">
      <c r="A391">
        <v>28016</v>
      </c>
      <c r="B391">
        <v>61479.885200999997</v>
      </c>
      <c r="C391" t="s">
        <v>17805</v>
      </c>
      <c r="D391" t="s">
        <v>19626</v>
      </c>
      <c r="E391" t="s">
        <v>402</v>
      </c>
      <c r="F391" t="s">
        <v>20155</v>
      </c>
      <c r="G391">
        <v>45645</v>
      </c>
      <c r="H391">
        <v>8420</v>
      </c>
      <c r="I391">
        <v>13596</v>
      </c>
      <c r="J391">
        <v>6000</v>
      </c>
      <c r="L391" t="s">
        <v>20398</v>
      </c>
      <c r="M391" t="s">
        <v>20826</v>
      </c>
      <c r="N391" t="s">
        <v>17965</v>
      </c>
      <c r="O391">
        <v>45652</v>
      </c>
      <c r="P391">
        <v>5436.5150000000003</v>
      </c>
      <c r="Q391">
        <v>0.1940503640776699</v>
      </c>
      <c r="R391">
        <v>1633.9040655339807</v>
      </c>
      <c r="S391">
        <v>2638.3087500000001</v>
      </c>
      <c r="T391">
        <v>1164.3021844660193</v>
      </c>
      <c r="U391">
        <v>0</v>
      </c>
      <c r="V391">
        <v>5436.5149999999994</v>
      </c>
      <c r="W391">
        <v>0</v>
      </c>
    </row>
    <row r="392" spans="1:23">
      <c r="A392">
        <v>20300</v>
      </c>
      <c r="B392">
        <v>93432.790999999997</v>
      </c>
      <c r="C392" t="s">
        <v>19661</v>
      </c>
      <c r="D392" t="s">
        <v>19627</v>
      </c>
      <c r="E392" t="s">
        <v>403</v>
      </c>
      <c r="F392" t="s">
        <v>20155</v>
      </c>
      <c r="G392">
        <v>45649</v>
      </c>
      <c r="I392">
        <v>11000</v>
      </c>
      <c r="J392">
        <v>4000</v>
      </c>
      <c r="K392">
        <v>5300</v>
      </c>
      <c r="L392" t="s">
        <v>20424</v>
      </c>
      <c r="M392" t="s">
        <v>20827</v>
      </c>
      <c r="N392" t="s">
        <v>20160</v>
      </c>
      <c r="O392">
        <v>45652</v>
      </c>
      <c r="P392">
        <v>14122.75</v>
      </c>
      <c r="Q392">
        <v>0.6957019704433498</v>
      </c>
      <c r="R392">
        <v>0</v>
      </c>
      <c r="S392">
        <v>7652.7216748768478</v>
      </c>
      <c r="T392">
        <v>2782.807881773399</v>
      </c>
      <c r="U392">
        <v>3687.2204433497541</v>
      </c>
      <c r="V392">
        <v>14122.75</v>
      </c>
      <c r="W392">
        <v>0</v>
      </c>
    </row>
    <row r="393" spans="1:23">
      <c r="A393">
        <v>100003.2</v>
      </c>
      <c r="B393">
        <v>180005.76000000001</v>
      </c>
      <c r="C393" t="s">
        <v>19883</v>
      </c>
      <c r="D393" t="s">
        <v>19628</v>
      </c>
      <c r="E393" t="s">
        <v>404</v>
      </c>
      <c r="F393" t="s">
        <v>20155</v>
      </c>
      <c r="G393">
        <v>45649</v>
      </c>
      <c r="I393">
        <v>100003.2</v>
      </c>
      <c r="L393" t="s">
        <v>20427</v>
      </c>
      <c r="M393" t="s">
        <v>20828</v>
      </c>
      <c r="N393" t="s">
        <v>17939</v>
      </c>
      <c r="O393">
        <v>45653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>
      <c r="A394">
        <v>39584</v>
      </c>
      <c r="B394">
        <v>62177.442248999992</v>
      </c>
      <c r="C394" t="s">
        <v>20829</v>
      </c>
      <c r="D394" t="s">
        <v>19629</v>
      </c>
      <c r="E394" t="s">
        <v>405</v>
      </c>
      <c r="F394" t="s">
        <v>20155</v>
      </c>
      <c r="G394">
        <v>45650</v>
      </c>
      <c r="I394">
        <v>31934</v>
      </c>
      <c r="J394">
        <v>5750</v>
      </c>
      <c r="K394">
        <v>1900</v>
      </c>
      <c r="L394" t="s">
        <v>20408</v>
      </c>
      <c r="M394" t="s">
        <v>20830</v>
      </c>
      <c r="N394" t="s">
        <v>16394</v>
      </c>
      <c r="O394">
        <v>45653</v>
      </c>
      <c r="P394">
        <v>27757.787311999997</v>
      </c>
      <c r="Q394">
        <v>0.7012375533548908</v>
      </c>
      <c r="R394">
        <v>0</v>
      </c>
      <c r="S394">
        <v>22393.320028835082</v>
      </c>
      <c r="T394">
        <v>4032.1159317906222</v>
      </c>
      <c r="U394">
        <v>1332.3513513742926</v>
      </c>
      <c r="V394">
        <v>27757.787311999997</v>
      </c>
      <c r="W394">
        <v>0</v>
      </c>
    </row>
    <row r="395" spans="1:23">
      <c r="A395">
        <v>44848</v>
      </c>
      <c r="B395">
        <v>48387.328132000002</v>
      </c>
      <c r="C395" t="s">
        <v>17343</v>
      </c>
      <c r="D395" t="s">
        <v>19630</v>
      </c>
      <c r="E395" t="s">
        <v>406</v>
      </c>
      <c r="F395" t="s">
        <v>20155</v>
      </c>
      <c r="G395">
        <v>45650</v>
      </c>
      <c r="I395">
        <v>32448</v>
      </c>
      <c r="J395">
        <v>9600</v>
      </c>
      <c r="K395">
        <v>2800</v>
      </c>
      <c r="L395" t="s">
        <v>20424</v>
      </c>
      <c r="M395" t="s">
        <v>20831</v>
      </c>
      <c r="N395" t="s">
        <v>16394</v>
      </c>
      <c r="O395">
        <v>45656</v>
      </c>
      <c r="P395">
        <v>12631.58</v>
      </c>
      <c r="Q395">
        <v>0.28165313949339993</v>
      </c>
      <c r="R395">
        <v>0</v>
      </c>
      <c r="S395">
        <v>9139.0810702818417</v>
      </c>
      <c r="T395">
        <v>2703.8701391366394</v>
      </c>
      <c r="U395">
        <v>788.62879058151975</v>
      </c>
      <c r="V395">
        <v>12631.580000000002</v>
      </c>
      <c r="W395">
        <v>0</v>
      </c>
    </row>
    <row r="396" spans="1:23">
      <c r="A396">
        <v>19200</v>
      </c>
      <c r="B396">
        <v>38208</v>
      </c>
      <c r="C396" t="s">
        <v>19655</v>
      </c>
      <c r="D396" t="s">
        <v>19631</v>
      </c>
      <c r="E396" t="s">
        <v>407</v>
      </c>
      <c r="F396" t="s">
        <v>20155</v>
      </c>
      <c r="G396">
        <v>45652</v>
      </c>
      <c r="H396">
        <v>19200</v>
      </c>
      <c r="L396" t="s">
        <v>18201</v>
      </c>
      <c r="M396" t="s">
        <v>20832</v>
      </c>
      <c r="N396" t="s">
        <v>18248</v>
      </c>
      <c r="O396">
        <v>45657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>
      <c r="A397">
        <v>43200</v>
      </c>
      <c r="B397">
        <v>90720</v>
      </c>
      <c r="C397" t="s">
        <v>19655</v>
      </c>
      <c r="D397" t="s">
        <v>19632</v>
      </c>
      <c r="E397" t="s">
        <v>408</v>
      </c>
      <c r="F397" t="s">
        <v>20155</v>
      </c>
      <c r="G397">
        <v>45652</v>
      </c>
      <c r="H397">
        <v>43200</v>
      </c>
      <c r="L397" t="s">
        <v>20833</v>
      </c>
      <c r="M397" t="s">
        <v>20834</v>
      </c>
      <c r="N397" t="s">
        <v>20382</v>
      </c>
      <c r="O397">
        <v>45657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>
      <c r="A398">
        <v>49220</v>
      </c>
      <c r="B398">
        <v>106350.704195</v>
      </c>
      <c r="C398" t="s">
        <v>17805</v>
      </c>
      <c r="D398" t="s">
        <v>19633</v>
      </c>
      <c r="E398" t="s">
        <v>409</v>
      </c>
      <c r="F398" t="s">
        <v>20155</v>
      </c>
      <c r="G398">
        <v>45653</v>
      </c>
      <c r="H398">
        <v>1500</v>
      </c>
      <c r="I398">
        <v>41220</v>
      </c>
      <c r="J398">
        <v>6500</v>
      </c>
      <c r="L398" t="s">
        <v>20520</v>
      </c>
      <c r="M398" t="s">
        <v>20835</v>
      </c>
      <c r="N398" t="s">
        <v>17965</v>
      </c>
      <c r="O398">
        <v>45656</v>
      </c>
      <c r="P398">
        <v>8489.2297500000004</v>
      </c>
      <c r="Q398">
        <v>0.1724752082486794</v>
      </c>
      <c r="R398">
        <v>258.71281237301912</v>
      </c>
      <c r="S398">
        <v>7109.4280840105648</v>
      </c>
      <c r="T398">
        <v>1121.0888536164161</v>
      </c>
      <c r="U398">
        <v>0</v>
      </c>
      <c r="V398">
        <v>8489.2297500000004</v>
      </c>
      <c r="W398">
        <v>0</v>
      </c>
    </row>
    <row r="399" spans="1:23">
      <c r="A399">
        <v>156000</v>
      </c>
      <c r="B399">
        <v>230880</v>
      </c>
      <c r="C399" t="s">
        <v>17380</v>
      </c>
      <c r="D399" t="s">
        <v>19634</v>
      </c>
      <c r="E399" t="s">
        <v>410</v>
      </c>
      <c r="F399" t="s">
        <v>20155</v>
      </c>
      <c r="G399">
        <v>45653</v>
      </c>
      <c r="J399">
        <v>156000</v>
      </c>
      <c r="L399" t="s">
        <v>20725</v>
      </c>
      <c r="M399" t="s">
        <v>20836</v>
      </c>
      <c r="N399" t="s">
        <v>20159</v>
      </c>
      <c r="O399">
        <v>45657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</sheetData>
  <autoFilter ref="A1:W363" xr:uid="{67DCBBAB-17DE-4065-9C61-21768021BA27}"/>
  <phoneticPr fontId="6" type="noConversion"/>
  <conditionalFormatting sqref="D1">
    <cfRule type="duplicateValues" dxfId="9" priority="8" stopIfTrue="1"/>
  </conditionalFormatting>
  <conditionalFormatting sqref="D3:D19 D21:D54">
    <cfRule type="duplicateValues" dxfId="8" priority="6" stopIfTrue="1"/>
  </conditionalFormatting>
  <conditionalFormatting sqref="D55:D92 D94:D100">
    <cfRule type="duplicateValues" dxfId="7" priority="5" stopIfTrue="1"/>
  </conditionalFormatting>
  <conditionalFormatting sqref="D2">
    <cfRule type="duplicateValues" dxfId="6" priority="4" stopIfTrue="1"/>
  </conditionalFormatting>
  <conditionalFormatting sqref="D20">
    <cfRule type="duplicateValues" dxfId="5" priority="3" stopIfTrue="1"/>
  </conditionalFormatting>
  <conditionalFormatting sqref="D93">
    <cfRule type="duplicateValues" dxfId="4" priority="2" stopIfTrue="1"/>
  </conditionalFormatting>
  <conditionalFormatting sqref="D101:D383">
    <cfRule type="duplicateValues" dxfId="3" priority="1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6BD36-5AC1-4C13-A78A-62801D546009}">
  <dimension ref="A1:W300"/>
  <sheetViews>
    <sheetView topLeftCell="A243" zoomScale="80" zoomScaleNormal="80" workbookViewId="0">
      <selection activeCell="P254" sqref="P254"/>
    </sheetView>
  </sheetViews>
  <sheetFormatPr defaultColWidth="11.42578125" defaultRowHeight="12.6"/>
  <cols>
    <col min="1" max="1" width="11.5703125" customWidth="1"/>
    <col min="2" max="2" width="14.5703125" bestFit="1" customWidth="1"/>
    <col min="3" max="3" width="15.7109375" customWidth="1"/>
    <col min="7" max="7" width="11.42578125" style="912"/>
    <col min="10" max="10" width="12.140625" bestFit="1" customWidth="1"/>
    <col min="12" max="12" width="13.140625" customWidth="1"/>
    <col min="13" max="13" width="12.7109375" customWidth="1"/>
    <col min="16" max="16" width="12.5703125" customWidth="1"/>
    <col min="18" max="18" width="11.42578125" customWidth="1"/>
    <col min="19" max="19" width="12.140625" customWidth="1"/>
    <col min="20" max="20" width="12" customWidth="1"/>
  </cols>
  <sheetData>
    <row r="1" spans="1:23" ht="12.95" thickBot="1">
      <c r="A1" s="823" t="s">
        <v>19637</v>
      </c>
      <c r="B1" s="824" t="s">
        <v>19638</v>
      </c>
      <c r="C1" s="824" t="s">
        <v>19642</v>
      </c>
      <c r="D1" s="824" t="s">
        <v>19643</v>
      </c>
      <c r="E1" s="824" t="s">
        <v>7</v>
      </c>
      <c r="F1" s="825" t="s">
        <v>2036</v>
      </c>
      <c r="G1" s="826" t="s">
        <v>19644</v>
      </c>
      <c r="H1" s="823" t="s">
        <v>20384</v>
      </c>
      <c r="I1" s="823" t="s">
        <v>20385</v>
      </c>
      <c r="J1" s="823" t="s">
        <v>20386</v>
      </c>
      <c r="K1" s="827" t="s">
        <v>20387</v>
      </c>
      <c r="L1" s="828" t="s">
        <v>20388</v>
      </c>
      <c r="M1" s="829" t="s">
        <v>20389</v>
      </c>
      <c r="N1" s="825" t="s">
        <v>20390</v>
      </c>
      <c r="O1" s="826" t="s">
        <v>20391</v>
      </c>
      <c r="P1" s="826" t="s">
        <v>20392</v>
      </c>
      <c r="Q1" s="826" t="s">
        <v>20393</v>
      </c>
      <c r="R1" s="830" t="s">
        <v>20394</v>
      </c>
      <c r="S1" s="831" t="s">
        <v>20395</v>
      </c>
      <c r="T1" s="832" t="s">
        <v>20396</v>
      </c>
      <c r="U1" s="833" t="s">
        <v>20397</v>
      </c>
      <c r="V1" s="834" t="s">
        <v>9</v>
      </c>
      <c r="W1" s="834" t="s">
        <v>10</v>
      </c>
    </row>
    <row r="2" spans="1:23">
      <c r="A2" s="368">
        <v>180000</v>
      </c>
      <c r="B2" s="369">
        <v>288000</v>
      </c>
      <c r="C2" s="370" t="s">
        <v>19647</v>
      </c>
      <c r="D2" s="371" t="s">
        <v>19635</v>
      </c>
      <c r="E2" s="372" t="s">
        <v>20181</v>
      </c>
      <c r="F2" s="373" t="s">
        <v>20155</v>
      </c>
      <c r="G2" s="374">
        <v>45663</v>
      </c>
      <c r="H2" s="375"/>
      <c r="I2" s="375">
        <v>180000</v>
      </c>
      <c r="J2" s="376"/>
      <c r="K2" s="375"/>
      <c r="L2" s="377" t="s">
        <v>20398</v>
      </c>
      <c r="M2" s="378" t="s">
        <v>20837</v>
      </c>
      <c r="N2" s="379" t="s">
        <v>20321</v>
      </c>
      <c r="O2" s="374">
        <v>45667</v>
      </c>
      <c r="P2" s="381">
        <v>0</v>
      </c>
      <c r="Q2" s="394">
        <v>0</v>
      </c>
      <c r="R2" s="394">
        <v>0</v>
      </c>
      <c r="S2" s="395">
        <v>0</v>
      </c>
      <c r="T2" s="395">
        <v>0</v>
      </c>
      <c r="U2" s="395">
        <v>0</v>
      </c>
      <c r="V2" s="394">
        <v>0</v>
      </c>
      <c r="W2" s="394">
        <v>0</v>
      </c>
    </row>
    <row r="3" spans="1:23">
      <c r="A3" s="332">
        <v>57600</v>
      </c>
      <c r="B3" s="333">
        <v>109440</v>
      </c>
      <c r="C3" s="334" t="s">
        <v>19833</v>
      </c>
      <c r="D3" s="371" t="s">
        <v>19886</v>
      </c>
      <c r="E3" s="372" t="s">
        <v>20182</v>
      </c>
      <c r="F3" s="335" t="s">
        <v>20155</v>
      </c>
      <c r="G3" s="336">
        <v>45665</v>
      </c>
      <c r="H3" s="337">
        <v>57600</v>
      </c>
      <c r="I3" s="337"/>
      <c r="J3" s="338"/>
      <c r="K3" s="337"/>
      <c r="L3" s="339" t="s">
        <v>20568</v>
      </c>
      <c r="M3" s="318" t="s">
        <v>20838</v>
      </c>
      <c r="N3" s="379" t="s">
        <v>17965</v>
      </c>
      <c r="O3" s="336">
        <v>45671</v>
      </c>
      <c r="P3" s="381">
        <v>0</v>
      </c>
    </row>
    <row r="4" spans="1:23">
      <c r="A4" s="332">
        <v>43200</v>
      </c>
      <c r="B4" s="333">
        <v>90720</v>
      </c>
      <c r="C4" s="334" t="s">
        <v>19655</v>
      </c>
      <c r="D4" s="371" t="s">
        <v>19887</v>
      </c>
      <c r="E4" s="372" t="s">
        <v>20183</v>
      </c>
      <c r="F4" s="335" t="s">
        <v>20155</v>
      </c>
      <c r="G4" s="336">
        <v>45659</v>
      </c>
      <c r="H4" s="337">
        <v>43200</v>
      </c>
      <c r="I4" s="337"/>
      <c r="J4" s="338"/>
      <c r="K4" s="337"/>
      <c r="L4" s="339" t="s">
        <v>18201</v>
      </c>
      <c r="M4" s="318" t="s">
        <v>20839</v>
      </c>
      <c r="N4" s="379" t="s">
        <v>20173</v>
      </c>
      <c r="O4" s="336">
        <v>45670</v>
      </c>
      <c r="P4" s="381">
        <v>0</v>
      </c>
    </row>
    <row r="5" spans="1:23">
      <c r="A5" s="332">
        <v>41000</v>
      </c>
      <c r="B5" s="333">
        <v>77900</v>
      </c>
      <c r="C5" s="334" t="s">
        <v>17018</v>
      </c>
      <c r="D5" s="371" t="s">
        <v>19888</v>
      </c>
      <c r="E5" s="372" t="s">
        <v>20184</v>
      </c>
      <c r="F5" s="335" t="s">
        <v>20155</v>
      </c>
      <c r="G5" s="336">
        <v>45665</v>
      </c>
      <c r="H5" s="337">
        <v>41000</v>
      </c>
      <c r="I5" s="337"/>
      <c r="J5" s="338"/>
      <c r="K5" s="337"/>
      <c r="L5" s="339" t="s">
        <v>20398</v>
      </c>
      <c r="M5" s="318" t="s">
        <v>20840</v>
      </c>
      <c r="N5" s="379" t="s">
        <v>20307</v>
      </c>
      <c r="O5" s="336">
        <v>45674</v>
      </c>
      <c r="P5" s="381">
        <v>0</v>
      </c>
    </row>
    <row r="6" spans="1:23">
      <c r="A6" s="332">
        <v>84000</v>
      </c>
      <c r="B6" s="333">
        <v>139440</v>
      </c>
      <c r="C6" s="334" t="s">
        <v>19647</v>
      </c>
      <c r="D6" s="371" t="s">
        <v>19889</v>
      </c>
      <c r="E6" s="372" t="s">
        <v>20185</v>
      </c>
      <c r="F6" s="335" t="s">
        <v>20155</v>
      </c>
      <c r="G6" s="336">
        <v>45665</v>
      </c>
      <c r="H6" s="337"/>
      <c r="I6" s="337"/>
      <c r="J6" s="392">
        <v>84000</v>
      </c>
      <c r="K6" s="337"/>
      <c r="L6" s="339" t="s">
        <v>20398</v>
      </c>
      <c r="M6" s="318" t="s">
        <v>20841</v>
      </c>
      <c r="N6" s="379" t="s">
        <v>17771</v>
      </c>
      <c r="O6" s="336">
        <v>45695</v>
      </c>
      <c r="P6" s="381">
        <v>0</v>
      </c>
    </row>
    <row r="7" spans="1:23">
      <c r="A7" s="332">
        <v>19700</v>
      </c>
      <c r="B7" s="333">
        <f>27068.22*3.20535</f>
        <v>86763.118977000006</v>
      </c>
      <c r="C7" s="334" t="s">
        <v>19653</v>
      </c>
      <c r="D7" s="371" t="s">
        <v>19890</v>
      </c>
      <c r="E7" s="372" t="s">
        <v>20186</v>
      </c>
      <c r="F7" s="335" t="s">
        <v>20155</v>
      </c>
      <c r="G7" s="336">
        <v>45665</v>
      </c>
      <c r="H7" s="337">
        <v>4200</v>
      </c>
      <c r="I7" s="337">
        <v>15500</v>
      </c>
      <c r="J7" s="338"/>
      <c r="K7" s="337"/>
      <c r="L7" s="339" t="s">
        <v>20398</v>
      </c>
      <c r="M7" s="318" t="s">
        <v>20842</v>
      </c>
      <c r="N7" s="379" t="s">
        <v>20156</v>
      </c>
      <c r="O7" s="336">
        <v>45679</v>
      </c>
      <c r="P7" s="381">
        <v>0</v>
      </c>
    </row>
    <row r="8" spans="1:23">
      <c r="A8" s="332">
        <v>20500</v>
      </c>
      <c r="B8" s="333">
        <f>28810.6*3.20535</f>
        <v>92348.056710000004</v>
      </c>
      <c r="C8" s="334" t="s">
        <v>19653</v>
      </c>
      <c r="D8" s="371" t="s">
        <v>19891</v>
      </c>
      <c r="E8" s="372" t="s">
        <v>20187</v>
      </c>
      <c r="F8" s="335" t="s">
        <v>20155</v>
      </c>
      <c r="G8" s="336">
        <v>45665</v>
      </c>
      <c r="H8" s="337">
        <v>2500</v>
      </c>
      <c r="I8" s="337">
        <v>18000</v>
      </c>
      <c r="J8" s="338"/>
      <c r="K8" s="337"/>
      <c r="L8" s="339" t="s">
        <v>20398</v>
      </c>
      <c r="M8" s="318" t="s">
        <v>20843</v>
      </c>
      <c r="N8" s="379" t="s">
        <v>20156</v>
      </c>
      <c r="O8" s="336">
        <v>45679</v>
      </c>
      <c r="P8" s="381">
        <v>0</v>
      </c>
    </row>
    <row r="9" spans="1:23">
      <c r="A9" s="332">
        <v>20500</v>
      </c>
      <c r="B9" s="333">
        <v>38950</v>
      </c>
      <c r="C9" s="334" t="s">
        <v>17018</v>
      </c>
      <c r="D9" s="371" t="s">
        <v>19892</v>
      </c>
      <c r="E9" s="372" t="s">
        <v>20188</v>
      </c>
      <c r="F9" s="335" t="s">
        <v>20155</v>
      </c>
      <c r="G9" s="336">
        <v>45667</v>
      </c>
      <c r="H9" s="337"/>
      <c r="I9" s="337">
        <v>20500</v>
      </c>
      <c r="J9" s="338"/>
      <c r="K9" s="337"/>
      <c r="L9" s="339" t="s">
        <v>20398</v>
      </c>
      <c r="M9" s="318" t="s">
        <v>20844</v>
      </c>
      <c r="N9" s="379" t="s">
        <v>20307</v>
      </c>
      <c r="O9" s="336">
        <v>45674</v>
      </c>
      <c r="P9" s="381">
        <v>0</v>
      </c>
    </row>
    <row r="10" spans="1:23">
      <c r="A10" s="332">
        <v>61500</v>
      </c>
      <c r="B10" s="333">
        <v>116850</v>
      </c>
      <c r="C10" s="334" t="s">
        <v>17018</v>
      </c>
      <c r="D10" s="371" t="s">
        <v>19893</v>
      </c>
      <c r="E10" s="372" t="s">
        <v>20189</v>
      </c>
      <c r="F10" s="335" t="s">
        <v>20155</v>
      </c>
      <c r="G10" s="336">
        <v>45667</v>
      </c>
      <c r="H10" s="337"/>
      <c r="I10" s="337">
        <v>61500</v>
      </c>
      <c r="J10" s="338"/>
      <c r="K10" s="337"/>
      <c r="L10" s="339" t="s">
        <v>20398</v>
      </c>
      <c r="M10" s="318" t="s">
        <v>20845</v>
      </c>
      <c r="N10" s="379" t="s">
        <v>20307</v>
      </c>
      <c r="O10" s="336">
        <v>45674</v>
      </c>
      <c r="P10" s="381">
        <v>0</v>
      </c>
    </row>
    <row r="11" spans="1:23">
      <c r="A11" s="332">
        <v>200000</v>
      </c>
      <c r="B11" s="333">
        <f>140000*3.22195</f>
        <v>451073</v>
      </c>
      <c r="C11" s="334" t="s">
        <v>19929</v>
      </c>
      <c r="D11" s="371" t="s">
        <v>19894</v>
      </c>
      <c r="E11" s="372" t="s">
        <v>20190</v>
      </c>
      <c r="F11" s="335" t="s">
        <v>20155</v>
      </c>
      <c r="G11" s="336">
        <v>45668</v>
      </c>
      <c r="H11" s="337">
        <v>200000</v>
      </c>
      <c r="I11" s="337"/>
      <c r="J11" s="338"/>
      <c r="K11" s="337"/>
      <c r="L11" s="339" t="s">
        <v>20427</v>
      </c>
      <c r="M11" s="318" t="s">
        <v>20846</v>
      </c>
      <c r="N11" s="379" t="s">
        <v>17939</v>
      </c>
      <c r="O11" s="336">
        <v>45672</v>
      </c>
      <c r="P11" s="381">
        <v>0</v>
      </c>
    </row>
    <row r="12" spans="1:23">
      <c r="A12" s="332">
        <v>275000</v>
      </c>
      <c r="B12" s="333">
        <v>398750</v>
      </c>
      <c r="C12" s="334" t="s">
        <v>19652</v>
      </c>
      <c r="D12" s="371" t="s">
        <v>19895</v>
      </c>
      <c r="E12" s="372" t="s">
        <v>20191</v>
      </c>
      <c r="F12" s="335" t="s">
        <v>20155</v>
      </c>
      <c r="G12" s="336">
        <v>45672</v>
      </c>
      <c r="H12" s="337"/>
      <c r="I12" s="337"/>
      <c r="J12" s="392">
        <v>275000</v>
      </c>
      <c r="K12" s="337"/>
      <c r="L12" s="339" t="s">
        <v>20398</v>
      </c>
      <c r="M12" s="318" t="s">
        <v>20847</v>
      </c>
      <c r="N12" s="379" t="s">
        <v>17801</v>
      </c>
      <c r="O12" s="336">
        <v>45679</v>
      </c>
      <c r="P12" s="381">
        <v>0</v>
      </c>
    </row>
    <row r="13" spans="1:23">
      <c r="A13" s="332">
        <v>20750</v>
      </c>
      <c r="B13" s="333">
        <v>45235</v>
      </c>
      <c r="C13" s="334" t="s">
        <v>17018</v>
      </c>
      <c r="D13" s="371" t="s">
        <v>19896</v>
      </c>
      <c r="E13" s="372" t="s">
        <v>20192</v>
      </c>
      <c r="F13" s="335" t="s">
        <v>20155</v>
      </c>
      <c r="G13" s="336">
        <v>45672</v>
      </c>
      <c r="H13" s="337">
        <v>20750</v>
      </c>
      <c r="I13" s="337"/>
      <c r="J13" s="836"/>
      <c r="K13" s="337"/>
      <c r="L13" s="339" t="s">
        <v>20398</v>
      </c>
      <c r="M13" s="318" t="s">
        <v>20848</v>
      </c>
      <c r="N13" s="379" t="s">
        <v>20169</v>
      </c>
      <c r="O13" s="336">
        <v>45685</v>
      </c>
      <c r="P13" s="381">
        <v>0</v>
      </c>
    </row>
    <row r="14" spans="1:23">
      <c r="A14" s="332">
        <v>76800</v>
      </c>
      <c r="B14" s="333">
        <v>157056</v>
      </c>
      <c r="C14" s="334" t="s">
        <v>19656</v>
      </c>
      <c r="D14" s="371" t="s">
        <v>19897</v>
      </c>
      <c r="E14" s="372" t="s">
        <v>20193</v>
      </c>
      <c r="F14" s="335" t="s">
        <v>20155</v>
      </c>
      <c r="G14" s="336">
        <v>45672</v>
      </c>
      <c r="H14" s="337">
        <v>76800</v>
      </c>
      <c r="I14" s="337"/>
      <c r="J14" s="836"/>
      <c r="K14" s="337"/>
      <c r="L14" s="339" t="s">
        <v>20398</v>
      </c>
      <c r="M14" s="318" t="s">
        <v>20849</v>
      </c>
      <c r="N14" s="379" t="s">
        <v>17965</v>
      </c>
      <c r="O14" s="336">
        <v>45681</v>
      </c>
      <c r="P14" s="381">
        <v>0</v>
      </c>
    </row>
    <row r="15" spans="1:23">
      <c r="A15" s="332">
        <v>25702</v>
      </c>
      <c r="B15" s="333">
        <f>42508.24*2.2221</f>
        <v>94457.560104000004</v>
      </c>
      <c r="C15" s="334" t="s">
        <v>17305</v>
      </c>
      <c r="D15" s="371" t="s">
        <v>19898</v>
      </c>
      <c r="E15" s="372" t="s">
        <v>20194</v>
      </c>
      <c r="F15" s="335" t="s">
        <v>20155</v>
      </c>
      <c r="G15" s="336">
        <v>45672</v>
      </c>
      <c r="H15" s="337">
        <v>4000</v>
      </c>
      <c r="I15" s="337">
        <v>13962</v>
      </c>
      <c r="J15" s="392">
        <v>1440</v>
      </c>
      <c r="K15" s="337">
        <v>6300</v>
      </c>
      <c r="L15" s="339" t="s">
        <v>20424</v>
      </c>
      <c r="M15" s="318" t="s">
        <v>20850</v>
      </c>
      <c r="N15" s="379" t="s">
        <v>17954</v>
      </c>
      <c r="O15" s="336">
        <v>45685</v>
      </c>
      <c r="P15" s="381">
        <f>5100*2.2221</f>
        <v>11332.710000000001</v>
      </c>
    </row>
    <row r="16" spans="1:23">
      <c r="A16" s="332">
        <v>86040</v>
      </c>
      <c r="B16" s="835">
        <f>56215.2*3.3281</f>
        <v>187089.80711999998</v>
      </c>
      <c r="C16" s="334" t="s">
        <v>20403</v>
      </c>
      <c r="D16" s="371" t="s">
        <v>19899</v>
      </c>
      <c r="E16" s="372" t="s">
        <v>20196</v>
      </c>
      <c r="F16" s="335" t="s">
        <v>20155</v>
      </c>
      <c r="G16" s="336">
        <v>45672</v>
      </c>
      <c r="H16" s="337"/>
      <c r="I16" s="337">
        <v>86040</v>
      </c>
      <c r="J16" s="836"/>
      <c r="K16" s="337"/>
      <c r="L16" s="339" t="s">
        <v>18191</v>
      </c>
      <c r="M16" s="318" t="s">
        <v>20851</v>
      </c>
      <c r="N16" s="379" t="s">
        <v>20159</v>
      </c>
      <c r="O16" s="336">
        <v>45681</v>
      </c>
      <c r="P16" s="381">
        <f>5400*3.3281</f>
        <v>17971.740000000002</v>
      </c>
    </row>
    <row r="17" spans="1:16">
      <c r="A17" s="332">
        <v>40300</v>
      </c>
      <c r="B17" s="333">
        <f>29911.75*3.19565</f>
        <v>95587.483887499999</v>
      </c>
      <c r="C17" s="334" t="s">
        <v>19659</v>
      </c>
      <c r="D17" s="371" t="s">
        <v>19900</v>
      </c>
      <c r="E17" s="372" t="s">
        <v>20197</v>
      </c>
      <c r="F17" s="335" t="s">
        <v>20155</v>
      </c>
      <c r="G17" s="336">
        <v>45672</v>
      </c>
      <c r="H17" s="337">
        <v>40300</v>
      </c>
      <c r="I17" s="337"/>
      <c r="J17" s="836"/>
      <c r="K17" s="337"/>
      <c r="L17" s="339" t="s">
        <v>20398</v>
      </c>
      <c r="M17" s="318" t="s">
        <v>20852</v>
      </c>
      <c r="N17" s="379" t="s">
        <v>20161</v>
      </c>
      <c r="O17" s="336">
        <v>45680</v>
      </c>
      <c r="P17" s="381">
        <v>0</v>
      </c>
    </row>
    <row r="18" spans="1:16">
      <c r="A18" s="332">
        <v>134400</v>
      </c>
      <c r="B18" s="333">
        <f>89084*3.3252</f>
        <v>296222.11680000002</v>
      </c>
      <c r="C18" s="334" t="s">
        <v>20534</v>
      </c>
      <c r="D18" s="371" t="s">
        <v>19901</v>
      </c>
      <c r="E18" s="372" t="s">
        <v>20198</v>
      </c>
      <c r="F18" s="335" t="s">
        <v>20155</v>
      </c>
      <c r="G18" s="336">
        <v>45672</v>
      </c>
      <c r="H18" s="337">
        <v>134400</v>
      </c>
      <c r="I18" s="337"/>
      <c r="J18" s="836"/>
      <c r="K18" s="337"/>
      <c r="L18" s="339" t="s">
        <v>20424</v>
      </c>
      <c r="M18" s="318" t="s">
        <v>20853</v>
      </c>
      <c r="N18" s="379" t="s">
        <v>20321</v>
      </c>
      <c r="O18" s="336">
        <v>45707</v>
      </c>
      <c r="P18" s="381">
        <f>7100*3.3252</f>
        <v>23608.920000000002</v>
      </c>
    </row>
    <row r="19" spans="1:16">
      <c r="A19" s="332">
        <v>112500</v>
      </c>
      <c r="B19" s="333">
        <f>62225*3.3165</f>
        <v>206369.21249999999</v>
      </c>
      <c r="C19" s="334" t="s">
        <v>20534</v>
      </c>
      <c r="D19" s="371" t="s">
        <v>19902</v>
      </c>
      <c r="E19" s="372" t="s">
        <v>20199</v>
      </c>
      <c r="F19" s="335" t="s">
        <v>20155</v>
      </c>
      <c r="G19" s="336">
        <v>45672</v>
      </c>
      <c r="H19" s="337"/>
      <c r="I19" s="337">
        <v>112500</v>
      </c>
      <c r="J19" s="836"/>
      <c r="K19" s="337"/>
      <c r="L19" s="339" t="s">
        <v>20424</v>
      </c>
      <c r="M19" s="318" t="s">
        <v>20854</v>
      </c>
      <c r="N19" s="379" t="s">
        <v>20321</v>
      </c>
      <c r="O19" s="336">
        <v>45700</v>
      </c>
      <c r="P19" s="381">
        <f>3500*3.3165</f>
        <v>11607.75</v>
      </c>
    </row>
    <row r="20" spans="1:16">
      <c r="A20" s="332">
        <v>210096</v>
      </c>
      <c r="B20" s="333">
        <f>147468.4*3.18465</f>
        <v>469635.24005999998</v>
      </c>
      <c r="C20" s="334" t="s">
        <v>19662</v>
      </c>
      <c r="D20" s="371" t="s">
        <v>19903</v>
      </c>
      <c r="E20" s="372" t="s">
        <v>20200</v>
      </c>
      <c r="F20" s="389" t="s">
        <v>20155</v>
      </c>
      <c r="G20" s="336">
        <v>45672</v>
      </c>
      <c r="H20" s="337">
        <v>14112</v>
      </c>
      <c r="I20" s="337">
        <v>195984</v>
      </c>
      <c r="J20" s="836"/>
      <c r="K20" s="337"/>
      <c r="L20" s="339" t="s">
        <v>20398</v>
      </c>
      <c r="M20" s="318" t="s">
        <v>20855</v>
      </c>
      <c r="N20" s="379" t="s">
        <v>20159</v>
      </c>
      <c r="O20" s="336">
        <v>45687</v>
      </c>
      <c r="P20" s="381">
        <f>18400*3.18465</f>
        <v>58597.56</v>
      </c>
    </row>
    <row r="21" spans="1:16">
      <c r="A21" s="332">
        <v>43608</v>
      </c>
      <c r="B21" s="333">
        <v>90476.4</v>
      </c>
      <c r="C21" s="334" t="s">
        <v>19655</v>
      </c>
      <c r="D21" s="371" t="s">
        <v>19904</v>
      </c>
      <c r="E21" s="372" t="s">
        <v>20201</v>
      </c>
      <c r="F21" s="335" t="s">
        <v>20155</v>
      </c>
      <c r="G21" s="336">
        <v>45672</v>
      </c>
      <c r="H21" s="337">
        <v>43608</v>
      </c>
      <c r="I21" s="337"/>
      <c r="J21" s="836"/>
      <c r="K21" s="337"/>
      <c r="L21" s="339" t="s">
        <v>18201</v>
      </c>
      <c r="M21" s="318" t="s">
        <v>20856</v>
      </c>
      <c r="N21" s="379" t="s">
        <v>17949</v>
      </c>
      <c r="O21" s="336">
        <v>45691</v>
      </c>
      <c r="P21" s="381">
        <v>0</v>
      </c>
    </row>
    <row r="22" spans="1:16">
      <c r="A22" s="332">
        <v>84000</v>
      </c>
      <c r="B22" s="333">
        <v>140990</v>
      </c>
      <c r="C22" s="334" t="s">
        <v>19655</v>
      </c>
      <c r="D22" s="371" t="s">
        <v>19905</v>
      </c>
      <c r="E22" s="372" t="s">
        <v>20202</v>
      </c>
      <c r="F22" s="335" t="s">
        <v>20155</v>
      </c>
      <c r="G22" s="336">
        <v>45672</v>
      </c>
      <c r="H22" s="337"/>
      <c r="I22" s="337">
        <v>84000</v>
      </c>
      <c r="J22" s="836"/>
      <c r="K22" s="337"/>
      <c r="L22" s="339" t="s">
        <v>18201</v>
      </c>
      <c r="M22" s="318" t="s">
        <v>20857</v>
      </c>
      <c r="N22" s="379" t="s">
        <v>20173</v>
      </c>
      <c r="O22" s="336">
        <v>45686</v>
      </c>
      <c r="P22" s="381">
        <v>0</v>
      </c>
    </row>
    <row r="23" spans="1:16">
      <c r="A23" s="332">
        <v>460000</v>
      </c>
      <c r="B23" s="333">
        <v>772500</v>
      </c>
      <c r="C23" s="334" t="s">
        <v>19833</v>
      </c>
      <c r="D23" s="371" t="s">
        <v>19907</v>
      </c>
      <c r="E23" s="372" t="s">
        <v>20203</v>
      </c>
      <c r="F23" s="335" t="s">
        <v>20155</v>
      </c>
      <c r="G23" s="336">
        <v>45672</v>
      </c>
      <c r="H23" s="337">
        <v>90000</v>
      </c>
      <c r="I23" s="337">
        <v>70000</v>
      </c>
      <c r="J23" s="392">
        <v>300000</v>
      </c>
      <c r="K23" s="337"/>
      <c r="L23" s="339" t="s">
        <v>20446</v>
      </c>
      <c r="M23" s="318" t="s">
        <v>20858</v>
      </c>
      <c r="N23" s="379" t="s">
        <v>20321</v>
      </c>
      <c r="O23" s="336">
        <v>45687</v>
      </c>
      <c r="P23" s="381">
        <v>0</v>
      </c>
    </row>
    <row r="24" spans="1:16">
      <c r="A24" s="332">
        <v>312000</v>
      </c>
      <c r="B24" s="333">
        <v>483600</v>
      </c>
      <c r="C24" s="334" t="s">
        <v>19833</v>
      </c>
      <c r="D24" s="371" t="s">
        <v>19908</v>
      </c>
      <c r="E24" s="372" t="s">
        <v>20204</v>
      </c>
      <c r="F24" s="335" t="s">
        <v>20155</v>
      </c>
      <c r="G24" s="336">
        <v>45672</v>
      </c>
      <c r="H24" s="337"/>
      <c r="I24" s="337"/>
      <c r="J24" s="392">
        <v>312000</v>
      </c>
      <c r="K24" s="337"/>
      <c r="L24" s="339" t="s">
        <v>20446</v>
      </c>
      <c r="M24" s="318" t="s">
        <v>20859</v>
      </c>
      <c r="N24" s="379" t="s">
        <v>17261</v>
      </c>
      <c r="O24" s="336">
        <v>45688</v>
      </c>
      <c r="P24" s="381">
        <v>0</v>
      </c>
    </row>
    <row r="25" spans="1:16">
      <c r="A25" s="332">
        <v>46872</v>
      </c>
      <c r="B25" s="333">
        <f>26561.4*3.3153</f>
        <v>88059.009420000002</v>
      </c>
      <c r="C25" s="334" t="s">
        <v>17343</v>
      </c>
      <c r="D25" s="371" t="s">
        <v>19909</v>
      </c>
      <c r="E25" s="372" t="s">
        <v>20205</v>
      </c>
      <c r="F25" s="335" t="s">
        <v>20155</v>
      </c>
      <c r="G25" s="336">
        <v>45672</v>
      </c>
      <c r="H25" s="337">
        <v>3200</v>
      </c>
      <c r="I25" s="337">
        <v>30792</v>
      </c>
      <c r="J25" s="392">
        <v>8400</v>
      </c>
      <c r="K25" s="337">
        <v>4480</v>
      </c>
      <c r="L25" s="339" t="s">
        <v>20424</v>
      </c>
      <c r="M25" s="318" t="s">
        <v>20860</v>
      </c>
      <c r="N25" s="379" t="s">
        <v>16394</v>
      </c>
      <c r="O25" s="336">
        <v>45674</v>
      </c>
      <c r="P25" s="381">
        <f>7300*3.3153</f>
        <v>24201.690000000002</v>
      </c>
    </row>
    <row r="26" spans="1:16">
      <c r="A26" s="332">
        <v>157500</v>
      </c>
      <c r="B26" s="333">
        <v>252000</v>
      </c>
      <c r="C26" s="334" t="s">
        <v>19647</v>
      </c>
      <c r="D26" s="371" t="s">
        <v>19910</v>
      </c>
      <c r="E26" s="372" t="s">
        <v>20206</v>
      </c>
      <c r="F26" s="335" t="s">
        <v>20155</v>
      </c>
      <c r="G26" s="336">
        <v>45673</v>
      </c>
      <c r="H26" s="337"/>
      <c r="I26" s="337">
        <v>157500</v>
      </c>
      <c r="J26" s="836"/>
      <c r="K26" s="337"/>
      <c r="L26" s="339" t="s">
        <v>20398</v>
      </c>
      <c r="M26" s="318" t="s">
        <v>20861</v>
      </c>
      <c r="N26" s="379" t="s">
        <v>20321</v>
      </c>
      <c r="O26" s="336">
        <v>45688</v>
      </c>
      <c r="P26" s="381">
        <v>0</v>
      </c>
    </row>
    <row r="27" spans="1:16">
      <c r="A27" s="332">
        <v>287306</v>
      </c>
      <c r="B27" s="333">
        <v>571776.80000000005</v>
      </c>
      <c r="C27" s="334" t="s">
        <v>19656</v>
      </c>
      <c r="D27" s="371" t="s">
        <v>19911</v>
      </c>
      <c r="E27" s="372" t="s">
        <v>20207</v>
      </c>
      <c r="F27" s="335" t="s">
        <v>20155</v>
      </c>
      <c r="G27" s="336">
        <v>45673</v>
      </c>
      <c r="H27" s="337">
        <v>239606</v>
      </c>
      <c r="I27" s="337">
        <v>47700</v>
      </c>
      <c r="J27" s="836"/>
      <c r="K27" s="337"/>
      <c r="L27" s="339" t="s">
        <v>20398</v>
      </c>
      <c r="M27" s="318" t="s">
        <v>20862</v>
      </c>
      <c r="N27" s="379" t="s">
        <v>17949</v>
      </c>
      <c r="O27" s="336">
        <v>45685</v>
      </c>
      <c r="P27" s="381">
        <v>0</v>
      </c>
    </row>
    <row r="28" spans="1:16">
      <c r="A28" s="332">
        <v>40300</v>
      </c>
      <c r="B28" s="333">
        <f>34859.5*3.19565</f>
        <v>111398.76117500001</v>
      </c>
      <c r="C28" s="334" t="s">
        <v>19659</v>
      </c>
      <c r="D28" s="371" t="s">
        <v>19912</v>
      </c>
      <c r="E28" s="372" t="s">
        <v>20208</v>
      </c>
      <c r="F28" s="389" t="s">
        <v>20155</v>
      </c>
      <c r="G28" s="336">
        <v>45677</v>
      </c>
      <c r="H28" s="337">
        <v>40300</v>
      </c>
      <c r="I28" s="337"/>
      <c r="J28" s="836"/>
      <c r="K28" s="337"/>
      <c r="L28" s="339" t="s">
        <v>20398</v>
      </c>
      <c r="M28" s="318" t="s">
        <v>20863</v>
      </c>
      <c r="N28" s="379" t="s">
        <v>20161</v>
      </c>
      <c r="O28" s="336">
        <v>45681</v>
      </c>
      <c r="P28" s="381">
        <v>0</v>
      </c>
    </row>
    <row r="29" spans="1:16">
      <c r="A29" s="332">
        <v>60800</v>
      </c>
      <c r="B29" s="333">
        <f>44410*3.1757</f>
        <v>141032.837</v>
      </c>
      <c r="C29" s="334" t="s">
        <v>19854</v>
      </c>
      <c r="D29" s="371" t="s">
        <v>19913</v>
      </c>
      <c r="E29" s="372" t="s">
        <v>20209</v>
      </c>
      <c r="F29" s="389" t="s">
        <v>20155</v>
      </c>
      <c r="G29" s="336">
        <v>45685</v>
      </c>
      <c r="H29" s="337"/>
      <c r="I29" s="337">
        <v>60800</v>
      </c>
      <c r="J29" s="836"/>
      <c r="K29" s="337"/>
      <c r="L29" s="339" t="s">
        <v>20424</v>
      </c>
      <c r="M29" s="318" t="s">
        <v>20864</v>
      </c>
      <c r="N29" s="379" t="s">
        <v>20865</v>
      </c>
      <c r="O29" s="336">
        <v>45708</v>
      </c>
      <c r="P29" s="381">
        <f>9450*3.1757</f>
        <v>30010.364999999998</v>
      </c>
    </row>
    <row r="30" spans="1:16">
      <c r="A30" s="332">
        <v>23112</v>
      </c>
      <c r="B30" s="333">
        <f>8393.72*3.3249</f>
        <v>27908.279627999997</v>
      </c>
      <c r="C30" s="334" t="s">
        <v>17343</v>
      </c>
      <c r="D30" s="371" t="s">
        <v>19914</v>
      </c>
      <c r="E30" s="372" t="s">
        <v>20210</v>
      </c>
      <c r="F30" s="335" t="s">
        <v>20155</v>
      </c>
      <c r="G30" s="336">
        <v>45685</v>
      </c>
      <c r="H30" s="337"/>
      <c r="I30" s="337">
        <v>17112</v>
      </c>
      <c r="J30" s="392">
        <v>6000</v>
      </c>
      <c r="K30" s="337"/>
      <c r="L30" s="339" t="s">
        <v>20424</v>
      </c>
      <c r="M30" s="318" t="s">
        <v>20866</v>
      </c>
      <c r="N30" s="379" t="s">
        <v>16394</v>
      </c>
      <c r="O30" s="336">
        <v>45688</v>
      </c>
      <c r="P30" s="381">
        <f>3650*3.3249</f>
        <v>12135.885</v>
      </c>
    </row>
    <row r="31" spans="1:16">
      <c r="A31" s="332">
        <v>45640</v>
      </c>
      <c r="B31" s="333">
        <f>22185.64*3.3195</f>
        <v>73645.231979999997</v>
      </c>
      <c r="C31" s="334" t="s">
        <v>17343</v>
      </c>
      <c r="D31" s="371" t="s">
        <v>19915</v>
      </c>
      <c r="E31" s="372" t="s">
        <v>20211</v>
      </c>
      <c r="F31" s="335" t="s">
        <v>20155</v>
      </c>
      <c r="G31" s="336">
        <v>45686</v>
      </c>
      <c r="H31" s="337">
        <v>6400</v>
      </c>
      <c r="I31" s="337">
        <v>24840</v>
      </c>
      <c r="J31" s="392">
        <v>3600</v>
      </c>
      <c r="K31" s="337">
        <v>10800</v>
      </c>
      <c r="L31" s="339" t="s">
        <v>20424</v>
      </c>
      <c r="M31" s="318" t="s">
        <v>20867</v>
      </c>
      <c r="N31" s="379" t="s">
        <v>16394</v>
      </c>
      <c r="O31" s="336">
        <v>45695</v>
      </c>
      <c r="P31" s="381">
        <f>3650*3.3195</f>
        <v>12116.175000000001</v>
      </c>
    </row>
    <row r="32" spans="1:16">
      <c r="A32" s="332">
        <v>24000</v>
      </c>
      <c r="B32" s="333">
        <f>9840.32*3.317</f>
        <v>32640.34144</v>
      </c>
      <c r="C32" s="334" t="s">
        <v>17343</v>
      </c>
      <c r="D32" s="371" t="s">
        <v>19916</v>
      </c>
      <c r="E32" s="372" t="s">
        <v>20212</v>
      </c>
      <c r="F32" s="335" t="s">
        <v>20155</v>
      </c>
      <c r="G32" s="336">
        <v>45686</v>
      </c>
      <c r="H32" s="337"/>
      <c r="I32" s="337">
        <v>20400</v>
      </c>
      <c r="J32" s="392">
        <v>3600</v>
      </c>
      <c r="K32" s="337"/>
      <c r="L32" s="339" t="s">
        <v>20424</v>
      </c>
      <c r="M32" s="318" t="s">
        <v>20868</v>
      </c>
      <c r="N32" s="379" t="s">
        <v>16394</v>
      </c>
      <c r="O32" s="336">
        <v>45695</v>
      </c>
      <c r="P32" s="381">
        <f>3950*3.317</f>
        <v>13102.150000000001</v>
      </c>
    </row>
    <row r="33" spans="1:16">
      <c r="A33" s="332">
        <v>11280</v>
      </c>
      <c r="B33" s="333">
        <f>2783.64*3.3267</f>
        <v>9260.3351880000009</v>
      </c>
      <c r="C33" s="334" t="s">
        <v>17343</v>
      </c>
      <c r="D33" s="371" t="s">
        <v>19917</v>
      </c>
      <c r="E33" s="372" t="s">
        <v>20213</v>
      </c>
      <c r="F33" s="335" t="s">
        <v>20155</v>
      </c>
      <c r="G33" s="336">
        <v>45685</v>
      </c>
      <c r="H33" s="337"/>
      <c r="I33" s="337">
        <v>11280</v>
      </c>
      <c r="J33" s="836"/>
      <c r="K33" s="337"/>
      <c r="L33" s="339" t="s">
        <v>20424</v>
      </c>
      <c r="M33" s="318" t="s">
        <v>20869</v>
      </c>
      <c r="N33" s="379" t="s">
        <v>16394</v>
      </c>
      <c r="O33" s="336">
        <v>45706</v>
      </c>
      <c r="P33" s="381">
        <v>0</v>
      </c>
    </row>
    <row r="34" spans="1:16">
      <c r="A34" s="332">
        <v>8452</v>
      </c>
      <c r="B34" s="333">
        <v>29927.599999999999</v>
      </c>
      <c r="C34" s="334" t="s">
        <v>17018</v>
      </c>
      <c r="D34" s="371" t="s">
        <v>19918</v>
      </c>
      <c r="E34" s="372" t="s">
        <v>20214</v>
      </c>
      <c r="F34" s="335" t="s">
        <v>20155</v>
      </c>
      <c r="G34" s="336">
        <v>45688</v>
      </c>
      <c r="H34" s="337"/>
      <c r="I34" s="337">
        <v>4032</v>
      </c>
      <c r="J34" s="392">
        <v>1920</v>
      </c>
      <c r="K34" s="337">
        <v>2500</v>
      </c>
      <c r="L34" s="339" t="s">
        <v>20424</v>
      </c>
      <c r="M34" s="318" t="s">
        <v>20870</v>
      </c>
      <c r="N34" s="379" t="s">
        <v>18261</v>
      </c>
      <c r="O34" s="336">
        <v>45700</v>
      </c>
      <c r="P34" s="381">
        <v>0</v>
      </c>
    </row>
    <row r="35" spans="1:16">
      <c r="A35" s="332">
        <v>231728</v>
      </c>
      <c r="B35" s="333">
        <v>384686.6</v>
      </c>
      <c r="C35" s="334" t="s">
        <v>19656</v>
      </c>
      <c r="D35" s="371" t="s">
        <v>19919</v>
      </c>
      <c r="E35" s="372" t="s">
        <v>20215</v>
      </c>
      <c r="F35" s="335" t="s">
        <v>20155</v>
      </c>
      <c r="G35" s="336">
        <v>45693</v>
      </c>
      <c r="H35" s="337">
        <v>22008</v>
      </c>
      <c r="I35" s="337">
        <v>127220</v>
      </c>
      <c r="J35" s="392">
        <v>82500</v>
      </c>
      <c r="K35" s="337"/>
      <c r="L35" s="339" t="s">
        <v>20398</v>
      </c>
      <c r="M35" s="318" t="s">
        <v>20871</v>
      </c>
      <c r="N35" s="379" t="s">
        <v>17801</v>
      </c>
      <c r="O35" s="336">
        <v>45698</v>
      </c>
      <c r="P35" s="381">
        <v>0</v>
      </c>
    </row>
    <row r="36" spans="1:16">
      <c r="A36" s="332">
        <v>40000</v>
      </c>
      <c r="B36" s="835">
        <f>64800*3.19265</f>
        <v>206883.72</v>
      </c>
      <c r="C36" s="334" t="s">
        <v>20872</v>
      </c>
      <c r="D36" s="371" t="s">
        <v>19920</v>
      </c>
      <c r="E36" s="372" t="s">
        <v>20216</v>
      </c>
      <c r="F36" s="335" t="s">
        <v>20155</v>
      </c>
      <c r="G36" s="336">
        <v>45694</v>
      </c>
      <c r="H36" s="337"/>
      <c r="I36" s="337"/>
      <c r="J36" s="836"/>
      <c r="K36" s="337">
        <v>40000</v>
      </c>
      <c r="L36" s="339" t="s">
        <v>20592</v>
      </c>
      <c r="M36" s="318" t="s">
        <v>20873</v>
      </c>
      <c r="N36" s="379" t="s">
        <v>17939</v>
      </c>
      <c r="O36" s="336">
        <v>45707</v>
      </c>
      <c r="P36" s="381">
        <v>0</v>
      </c>
    </row>
    <row r="37" spans="1:16">
      <c r="A37" s="332">
        <v>268800</v>
      </c>
      <c r="B37" s="333">
        <f>180096*3.17685</f>
        <v>572137.97759999998</v>
      </c>
      <c r="C37" s="334" t="s">
        <v>19961</v>
      </c>
      <c r="D37" s="371" t="s">
        <v>19921</v>
      </c>
      <c r="E37" s="372" t="s">
        <v>20217</v>
      </c>
      <c r="F37" s="335" t="s">
        <v>20155</v>
      </c>
      <c r="G37" s="336">
        <v>45698</v>
      </c>
      <c r="H37" s="337">
        <v>72000</v>
      </c>
      <c r="I37" s="337">
        <v>110400</v>
      </c>
      <c r="J37" s="392">
        <v>86400</v>
      </c>
      <c r="K37" s="337"/>
      <c r="L37" s="339" t="s">
        <v>20424</v>
      </c>
      <c r="M37" s="318" t="s">
        <v>20874</v>
      </c>
      <c r="N37" s="379" t="s">
        <v>17939</v>
      </c>
      <c r="O37" s="336">
        <v>45706</v>
      </c>
      <c r="P37" s="381">
        <v>0</v>
      </c>
    </row>
    <row r="38" spans="1:16">
      <c r="A38" s="332">
        <v>91000</v>
      </c>
      <c r="B38" s="333">
        <f>121005*3.19655</f>
        <v>386798.53274999995</v>
      </c>
      <c r="C38" s="334" t="s">
        <v>19961</v>
      </c>
      <c r="D38" s="371" t="s">
        <v>19922</v>
      </c>
      <c r="E38" s="372" t="s">
        <v>20218</v>
      </c>
      <c r="F38" s="335" t="s">
        <v>20155</v>
      </c>
      <c r="G38" s="336">
        <v>45698</v>
      </c>
      <c r="H38" s="337"/>
      <c r="I38" s="337">
        <v>40500</v>
      </c>
      <c r="J38" s="392">
        <v>24000</v>
      </c>
      <c r="K38" s="337">
        <v>26500</v>
      </c>
      <c r="L38" s="339" t="s">
        <v>20424</v>
      </c>
      <c r="M38" s="318" t="s">
        <v>20875</v>
      </c>
      <c r="N38" s="379" t="s">
        <v>17939</v>
      </c>
      <c r="O38" s="336">
        <v>45703</v>
      </c>
      <c r="P38" s="381">
        <v>0</v>
      </c>
    </row>
    <row r="39" spans="1:16">
      <c r="A39" s="332">
        <v>200006</v>
      </c>
      <c r="B39" s="333">
        <v>394012.61</v>
      </c>
      <c r="C39" s="334" t="s">
        <v>19878</v>
      </c>
      <c r="D39" s="371" t="s">
        <v>19923</v>
      </c>
      <c r="E39" s="372" t="s">
        <v>20219</v>
      </c>
      <c r="F39" s="335" t="s">
        <v>20155</v>
      </c>
      <c r="G39" s="336">
        <v>45698</v>
      </c>
      <c r="H39" s="337">
        <v>200006</v>
      </c>
      <c r="I39" s="337"/>
      <c r="J39" s="836"/>
      <c r="K39" s="337"/>
      <c r="L39" s="339" t="s">
        <v>20571</v>
      </c>
      <c r="M39" s="318" t="s">
        <v>20876</v>
      </c>
      <c r="N39" s="379" t="s">
        <v>17939</v>
      </c>
      <c r="O39" s="336">
        <v>45700</v>
      </c>
      <c r="P39" s="381">
        <v>0</v>
      </c>
    </row>
    <row r="40" spans="1:16">
      <c r="A40" s="332">
        <v>12200</v>
      </c>
      <c r="B40" s="333">
        <f>21194*2.24005</f>
        <v>47475.619700000003</v>
      </c>
      <c r="C40" s="334" t="s">
        <v>17305</v>
      </c>
      <c r="D40" s="371" t="s">
        <v>19924</v>
      </c>
      <c r="E40" s="372" t="s">
        <v>20220</v>
      </c>
      <c r="F40" s="335" t="s">
        <v>20155</v>
      </c>
      <c r="G40" s="336">
        <v>45695</v>
      </c>
      <c r="H40" s="337"/>
      <c r="I40" s="337">
        <v>7200</v>
      </c>
      <c r="J40" s="392">
        <v>1000</v>
      </c>
      <c r="K40" s="337">
        <v>4000</v>
      </c>
      <c r="L40" s="339" t="s">
        <v>20424</v>
      </c>
      <c r="M40" s="318" t="s">
        <v>20877</v>
      </c>
      <c r="N40" s="379" t="s">
        <v>17954</v>
      </c>
      <c r="O40" s="336">
        <v>45701</v>
      </c>
      <c r="P40" s="381">
        <f>2550*2.24005</f>
        <v>5712.1275000000005</v>
      </c>
    </row>
    <row r="41" spans="1:16">
      <c r="A41" s="332">
        <v>110000</v>
      </c>
      <c r="B41" s="333">
        <f>53900*3.3252</f>
        <v>179228.28</v>
      </c>
      <c r="C41" s="334" t="s">
        <v>17375</v>
      </c>
      <c r="D41" s="371" t="s">
        <v>19925</v>
      </c>
      <c r="E41" s="372" t="s">
        <v>20221</v>
      </c>
      <c r="F41" s="335" t="s">
        <v>20155</v>
      </c>
      <c r="G41" s="336">
        <v>45698</v>
      </c>
      <c r="H41" s="337"/>
      <c r="I41" s="337"/>
      <c r="J41" s="392">
        <v>110000</v>
      </c>
      <c r="K41" s="337"/>
      <c r="L41" s="339" t="s">
        <v>20427</v>
      </c>
      <c r="M41" s="318" t="s">
        <v>20878</v>
      </c>
      <c r="N41" s="379" t="s">
        <v>20173</v>
      </c>
      <c r="O41" s="336">
        <v>45705</v>
      </c>
      <c r="P41" s="381">
        <v>0</v>
      </c>
    </row>
    <row r="42" spans="1:16">
      <c r="A42" s="332">
        <v>147600</v>
      </c>
      <c r="B42" s="333">
        <f>82122*3.3244</f>
        <v>273006.37679999997</v>
      </c>
      <c r="C42" s="334" t="s">
        <v>17375</v>
      </c>
      <c r="D42" s="371" t="s">
        <v>19926</v>
      </c>
      <c r="E42" s="372" t="s">
        <v>20222</v>
      </c>
      <c r="F42" s="335" t="s">
        <v>20155</v>
      </c>
      <c r="G42" s="336">
        <v>45698</v>
      </c>
      <c r="H42" s="337">
        <v>12000</v>
      </c>
      <c r="I42" s="337">
        <v>135600</v>
      </c>
      <c r="J42" s="836"/>
      <c r="K42" s="337"/>
      <c r="L42" s="339" t="s">
        <v>20427</v>
      </c>
      <c r="M42" s="318" t="s">
        <v>20879</v>
      </c>
      <c r="N42" s="379" t="s">
        <v>20173</v>
      </c>
      <c r="O42" s="336">
        <v>45714</v>
      </c>
      <c r="P42" s="381">
        <v>0</v>
      </c>
    </row>
    <row r="43" spans="1:16">
      <c r="A43" s="332">
        <v>44400</v>
      </c>
      <c r="B43" s="333">
        <v>75324</v>
      </c>
      <c r="C43" s="334" t="s">
        <v>19833</v>
      </c>
      <c r="D43" s="371" t="s">
        <v>19927</v>
      </c>
      <c r="E43" s="372" t="s">
        <v>20223</v>
      </c>
      <c r="F43" s="335" t="s">
        <v>20155</v>
      </c>
      <c r="G43" s="336">
        <v>45698</v>
      </c>
      <c r="H43" s="337"/>
      <c r="I43" s="337">
        <v>44400</v>
      </c>
      <c r="J43" s="836"/>
      <c r="K43" s="337"/>
      <c r="L43" s="339" t="s">
        <v>20446</v>
      </c>
      <c r="M43" s="318" t="s">
        <v>20880</v>
      </c>
      <c r="N43" s="379" t="s">
        <v>17261</v>
      </c>
      <c r="O43" s="336">
        <v>45709</v>
      </c>
      <c r="P43" s="381">
        <v>0</v>
      </c>
    </row>
    <row r="44" spans="1:16">
      <c r="A44" s="332">
        <v>55000</v>
      </c>
      <c r="B44" s="333">
        <v>77550</v>
      </c>
      <c r="C44" s="334" t="s">
        <v>19652</v>
      </c>
      <c r="D44" s="371" t="s">
        <v>19930</v>
      </c>
      <c r="E44" s="372" t="s">
        <v>20224</v>
      </c>
      <c r="F44" s="335" t="s">
        <v>20155</v>
      </c>
      <c r="G44" s="336">
        <v>45698</v>
      </c>
      <c r="H44" s="337"/>
      <c r="I44" s="337"/>
      <c r="J44" s="392">
        <v>55000</v>
      </c>
      <c r="K44" s="337"/>
      <c r="L44" s="339" t="s">
        <v>20398</v>
      </c>
      <c r="M44" s="318" t="s">
        <v>20881</v>
      </c>
      <c r="N44" s="379" t="s">
        <v>17801</v>
      </c>
      <c r="O44" s="336">
        <v>45707</v>
      </c>
      <c r="P44" s="381">
        <v>0</v>
      </c>
    </row>
    <row r="45" spans="1:16">
      <c r="A45" s="332">
        <v>408250</v>
      </c>
      <c r="B45" s="333">
        <f>217528.03*3.3176</f>
        <v>721670.99232800002</v>
      </c>
      <c r="C45" s="334" t="s">
        <v>19804</v>
      </c>
      <c r="D45" s="371" t="s">
        <v>19931</v>
      </c>
      <c r="E45" s="372" t="s">
        <v>20225</v>
      </c>
      <c r="F45" s="335" t="s">
        <v>20155</v>
      </c>
      <c r="G45" s="336">
        <v>45698</v>
      </c>
      <c r="H45" s="337">
        <v>19200</v>
      </c>
      <c r="I45" s="337">
        <v>249850</v>
      </c>
      <c r="J45" s="392">
        <v>139200</v>
      </c>
      <c r="K45" s="337"/>
      <c r="L45" s="339" t="s">
        <v>20424</v>
      </c>
      <c r="M45" s="318" t="s">
        <v>20882</v>
      </c>
      <c r="N45" s="379" t="s">
        <v>20173</v>
      </c>
      <c r="O45" s="336">
        <v>45713</v>
      </c>
      <c r="P45" s="381">
        <v>0</v>
      </c>
    </row>
    <row r="46" spans="1:16">
      <c r="A46" s="332">
        <v>336300</v>
      </c>
      <c r="B46" s="333">
        <f>237718.84*3.16655</f>
        <v>752748.592802</v>
      </c>
      <c r="C46" s="334" t="s">
        <v>19662</v>
      </c>
      <c r="D46" s="371" t="s">
        <v>19932</v>
      </c>
      <c r="E46" s="372" t="s">
        <v>20226</v>
      </c>
      <c r="F46" s="335" t="s">
        <v>20155</v>
      </c>
      <c r="G46" s="336">
        <v>45698</v>
      </c>
      <c r="H46" s="337">
        <v>48000</v>
      </c>
      <c r="I46" s="337">
        <v>288300</v>
      </c>
      <c r="J46" s="836"/>
      <c r="K46" s="337"/>
      <c r="L46" s="339" t="s">
        <v>20398</v>
      </c>
      <c r="M46" s="318" t="s">
        <v>20883</v>
      </c>
      <c r="N46" s="379" t="s">
        <v>20159</v>
      </c>
      <c r="O46" s="336">
        <v>45715</v>
      </c>
      <c r="P46" s="381">
        <f>27600*3.16655</f>
        <v>87396.78</v>
      </c>
    </row>
    <row r="47" spans="1:16">
      <c r="A47" s="332">
        <v>48816</v>
      </c>
      <c r="B47" s="333">
        <v>85788.479999999996</v>
      </c>
      <c r="C47" s="334" t="s">
        <v>19656</v>
      </c>
      <c r="D47" s="371" t="s">
        <v>19933</v>
      </c>
      <c r="E47" s="372" t="s">
        <v>20227</v>
      </c>
      <c r="F47" s="389" t="s">
        <v>20155</v>
      </c>
      <c r="G47" s="336">
        <v>45698</v>
      </c>
      <c r="H47" s="337"/>
      <c r="I47" s="337">
        <v>48816</v>
      </c>
      <c r="J47" s="836"/>
      <c r="K47" s="337"/>
      <c r="L47" s="339" t="s">
        <v>20398</v>
      </c>
      <c r="M47" s="318" t="s">
        <v>20884</v>
      </c>
      <c r="N47" s="379" t="s">
        <v>18094</v>
      </c>
      <c r="O47" s="336">
        <v>45712</v>
      </c>
      <c r="P47" s="381">
        <v>0</v>
      </c>
    </row>
    <row r="48" spans="1:16">
      <c r="A48" s="332">
        <v>45400</v>
      </c>
      <c r="B48" s="333">
        <v>77384</v>
      </c>
      <c r="C48" s="334" t="s">
        <v>19655</v>
      </c>
      <c r="D48" s="371" t="s">
        <v>19934</v>
      </c>
      <c r="E48" s="372" t="s">
        <v>20228</v>
      </c>
      <c r="F48" s="335" t="s">
        <v>20155</v>
      </c>
      <c r="G48" s="336">
        <v>45698</v>
      </c>
      <c r="H48" s="337"/>
      <c r="I48" s="337">
        <v>45400</v>
      </c>
      <c r="J48" s="836"/>
      <c r="K48" s="337"/>
      <c r="L48" s="339" t="s">
        <v>18201</v>
      </c>
      <c r="M48" s="318" t="s">
        <v>20885</v>
      </c>
      <c r="N48" s="379" t="s">
        <v>18248</v>
      </c>
      <c r="O48" s="336">
        <v>45714</v>
      </c>
      <c r="P48" s="381">
        <v>0</v>
      </c>
    </row>
    <row r="49" spans="1:16">
      <c r="A49" s="332">
        <v>69264</v>
      </c>
      <c r="B49" s="333">
        <f>29556.52*3.3246</f>
        <v>98263.606392000002</v>
      </c>
      <c r="C49" s="334" t="s">
        <v>17343</v>
      </c>
      <c r="D49" s="371" t="s">
        <v>19935</v>
      </c>
      <c r="E49" s="372" t="s">
        <v>20229</v>
      </c>
      <c r="F49" s="389" t="s">
        <v>20155</v>
      </c>
      <c r="G49" s="336">
        <v>45700</v>
      </c>
      <c r="H49" s="337">
        <v>4000</v>
      </c>
      <c r="I49" s="337">
        <v>52824</v>
      </c>
      <c r="J49" s="392">
        <v>6000</v>
      </c>
      <c r="K49" s="337">
        <v>6440</v>
      </c>
      <c r="L49" s="339" t="s">
        <v>20424</v>
      </c>
      <c r="M49" s="318" t="s">
        <v>20886</v>
      </c>
      <c r="N49" s="379" t="s">
        <v>16394</v>
      </c>
      <c r="O49" s="336">
        <v>45702</v>
      </c>
      <c r="P49" s="381">
        <f>10950*3.3246</f>
        <v>36404.370000000003</v>
      </c>
    </row>
    <row r="50" spans="1:16">
      <c r="A50" s="332">
        <v>275000</v>
      </c>
      <c r="B50" s="333">
        <v>398750</v>
      </c>
      <c r="C50" s="334" t="s">
        <v>19652</v>
      </c>
      <c r="D50" s="371" t="s">
        <v>19936</v>
      </c>
      <c r="E50" s="372" t="s">
        <v>20230</v>
      </c>
      <c r="F50" s="389" t="s">
        <v>20155</v>
      </c>
      <c r="G50" s="336">
        <v>45701</v>
      </c>
      <c r="H50" s="337"/>
      <c r="I50" s="337"/>
      <c r="J50" s="392">
        <v>275000</v>
      </c>
      <c r="K50" s="337"/>
      <c r="L50" s="339" t="s">
        <v>20398</v>
      </c>
      <c r="M50" s="318" t="s">
        <v>20887</v>
      </c>
      <c r="N50" s="379" t="s">
        <v>17801</v>
      </c>
      <c r="O50" s="336">
        <v>45708</v>
      </c>
      <c r="P50" s="381">
        <v>0</v>
      </c>
    </row>
    <row r="51" spans="1:16">
      <c r="A51" s="332">
        <v>40300</v>
      </c>
      <c r="B51" s="333">
        <f>30023.5*3.179</f>
        <v>95444.7065</v>
      </c>
      <c r="C51" s="334" t="s">
        <v>19659</v>
      </c>
      <c r="D51" s="371" t="s">
        <v>19937</v>
      </c>
      <c r="E51" s="372" t="s">
        <v>20232</v>
      </c>
      <c r="F51" s="389" t="s">
        <v>20155</v>
      </c>
      <c r="G51" s="336">
        <v>45701</v>
      </c>
      <c r="H51" s="337">
        <v>40300</v>
      </c>
      <c r="I51" s="337"/>
      <c r="J51" s="836"/>
      <c r="K51" s="337"/>
      <c r="L51" s="339" t="s">
        <v>20398</v>
      </c>
      <c r="M51" s="318" t="s">
        <v>20888</v>
      </c>
      <c r="N51" s="379" t="s">
        <v>20161</v>
      </c>
      <c r="O51" s="336">
        <v>45709</v>
      </c>
      <c r="P51" s="381">
        <v>0</v>
      </c>
    </row>
    <row r="52" spans="1:16">
      <c r="A52" s="332">
        <v>20000</v>
      </c>
      <c r="B52" s="333">
        <v>44000</v>
      </c>
      <c r="C52" s="334" t="s">
        <v>17018</v>
      </c>
      <c r="D52" s="371" t="s">
        <v>19938</v>
      </c>
      <c r="E52" s="372" t="s">
        <v>20233</v>
      </c>
      <c r="F52" s="335" t="s">
        <v>20155</v>
      </c>
      <c r="G52" s="336">
        <v>45702</v>
      </c>
      <c r="H52" s="337">
        <v>20000</v>
      </c>
      <c r="I52" s="337"/>
      <c r="J52" s="338"/>
      <c r="K52" s="337"/>
      <c r="L52" s="339" t="s">
        <v>18201</v>
      </c>
      <c r="M52" s="318" t="s">
        <v>20889</v>
      </c>
      <c r="N52" s="379" t="s">
        <v>17854</v>
      </c>
      <c r="O52" s="336">
        <v>45740</v>
      </c>
      <c r="P52" s="381">
        <v>0</v>
      </c>
    </row>
    <row r="53" spans="1:16">
      <c r="A53" s="332">
        <v>110040</v>
      </c>
      <c r="B53" s="333">
        <f>74699.1*3.3235</f>
        <v>248262.45885000002</v>
      </c>
      <c r="C53" s="334" t="s">
        <v>19852</v>
      </c>
      <c r="D53" s="371" t="s">
        <v>19939</v>
      </c>
      <c r="E53" s="372" t="s">
        <v>20234</v>
      </c>
      <c r="F53" s="335" t="s">
        <v>20155</v>
      </c>
      <c r="G53" s="336">
        <v>45730</v>
      </c>
      <c r="H53" s="337">
        <v>110040</v>
      </c>
      <c r="I53" s="337"/>
      <c r="J53" s="836"/>
      <c r="K53" s="337"/>
      <c r="L53" s="339" t="s">
        <v>19852</v>
      </c>
      <c r="M53" s="318" t="s">
        <v>20890</v>
      </c>
      <c r="N53" s="379" t="s">
        <v>17949</v>
      </c>
      <c r="O53" s="336">
        <v>45708</v>
      </c>
      <c r="P53" s="381">
        <f>8400*3.3235</f>
        <v>27917.4</v>
      </c>
    </row>
    <row r="54" spans="1:16">
      <c r="A54" s="332">
        <v>19204</v>
      </c>
      <c r="B54" s="333">
        <v>38265.96</v>
      </c>
      <c r="C54" s="334" t="s">
        <v>19655</v>
      </c>
      <c r="D54" s="371" t="s">
        <v>19940</v>
      </c>
      <c r="E54" s="372" t="s">
        <v>20235</v>
      </c>
      <c r="F54" s="389" t="s">
        <v>20155</v>
      </c>
      <c r="G54" s="336">
        <v>45702</v>
      </c>
      <c r="H54" s="337">
        <v>19204</v>
      </c>
      <c r="I54" s="337"/>
      <c r="J54" s="836"/>
      <c r="K54" s="337"/>
      <c r="L54" s="339" t="s">
        <v>18201</v>
      </c>
      <c r="M54" s="318" t="s">
        <v>20891</v>
      </c>
      <c r="N54" s="379" t="s">
        <v>18248</v>
      </c>
      <c r="O54" s="336">
        <v>45712</v>
      </c>
      <c r="P54" s="381">
        <v>0</v>
      </c>
    </row>
    <row r="55" spans="1:16">
      <c r="A55" s="332">
        <v>182050</v>
      </c>
      <c r="B55" s="333">
        <f>118109.23*3.17195</f>
        <v>374636.57209849998</v>
      </c>
      <c r="C55" s="334" t="s">
        <v>19986</v>
      </c>
      <c r="D55" s="371" t="s">
        <v>19941</v>
      </c>
      <c r="E55" s="372" t="s">
        <v>20236</v>
      </c>
      <c r="F55" s="389" t="s">
        <v>20155</v>
      </c>
      <c r="G55" s="336">
        <v>45702</v>
      </c>
      <c r="H55" s="337"/>
      <c r="I55" s="337"/>
      <c r="J55" s="392">
        <v>182050</v>
      </c>
      <c r="K55" s="337"/>
      <c r="L55" s="339" t="s">
        <v>20892</v>
      </c>
      <c r="M55" s="318" t="s">
        <v>20893</v>
      </c>
      <c r="N55" s="379" t="s">
        <v>20894</v>
      </c>
      <c r="O55" s="336">
        <v>45716</v>
      </c>
      <c r="P55" s="381">
        <f>13300*3.17195</f>
        <v>42186.934999999998</v>
      </c>
    </row>
    <row r="56" spans="1:16">
      <c r="A56" s="332">
        <v>23060</v>
      </c>
      <c r="B56" s="333">
        <f>24179.2*3.17195</f>
        <v>76695.213439999992</v>
      </c>
      <c r="C56" s="334" t="s">
        <v>17210</v>
      </c>
      <c r="D56" s="371" t="s">
        <v>19942</v>
      </c>
      <c r="E56" s="372" t="s">
        <v>20237</v>
      </c>
      <c r="F56" s="389" t="s">
        <v>20155</v>
      </c>
      <c r="G56" s="336">
        <v>45702</v>
      </c>
      <c r="H56" s="337">
        <v>3600</v>
      </c>
      <c r="I56" s="337">
        <v>11160</v>
      </c>
      <c r="J56" s="392">
        <v>4800</v>
      </c>
      <c r="K56" s="337">
        <v>3500</v>
      </c>
      <c r="L56" s="339" t="s">
        <v>20424</v>
      </c>
      <c r="M56" s="318" t="s">
        <v>20895</v>
      </c>
      <c r="N56" s="379" t="s">
        <v>20168</v>
      </c>
      <c r="O56" s="336">
        <v>45716</v>
      </c>
      <c r="P56" s="381">
        <f>1350*3.17195</f>
        <v>4282.1324999999997</v>
      </c>
    </row>
    <row r="57" spans="1:16">
      <c r="A57" s="332">
        <v>20760</v>
      </c>
      <c r="B57" s="333">
        <f>24097.2*3.17195</f>
        <v>76435.113539999991</v>
      </c>
      <c r="C57" s="334" t="s">
        <v>17210</v>
      </c>
      <c r="D57" s="371" t="s">
        <v>19943</v>
      </c>
      <c r="E57" s="372" t="s">
        <v>20238</v>
      </c>
      <c r="F57" s="389" t="s">
        <v>20155</v>
      </c>
      <c r="G57" s="336">
        <v>45702</v>
      </c>
      <c r="H57" s="337"/>
      <c r="I57" s="337">
        <v>11760</v>
      </c>
      <c r="J57" s="392">
        <v>3600</v>
      </c>
      <c r="K57" s="337">
        <v>5400</v>
      </c>
      <c r="L57" s="339" t="s">
        <v>20424</v>
      </c>
      <c r="M57" s="318" t="s">
        <v>20896</v>
      </c>
      <c r="N57" s="379" t="s">
        <v>20168</v>
      </c>
      <c r="O57" s="336">
        <v>45716</v>
      </c>
      <c r="P57" s="381">
        <f>1350*3.17195</f>
        <v>4282.1324999999997</v>
      </c>
    </row>
    <row r="58" spans="1:16">
      <c r="A58" s="332">
        <v>22780</v>
      </c>
      <c r="B58" s="333">
        <f>20780*3.17195</f>
        <v>65913.120999999999</v>
      </c>
      <c r="C58" s="334" t="s">
        <v>17210</v>
      </c>
      <c r="D58" s="371" t="s">
        <v>19944</v>
      </c>
      <c r="E58" s="372" t="s">
        <v>20239</v>
      </c>
      <c r="F58" s="389" t="s">
        <v>20155</v>
      </c>
      <c r="G58" s="336">
        <v>45702</v>
      </c>
      <c r="H58" s="337"/>
      <c r="I58" s="337">
        <v>8640</v>
      </c>
      <c r="J58" s="392">
        <v>13440</v>
      </c>
      <c r="K58" s="337">
        <v>700</v>
      </c>
      <c r="L58" s="339" t="s">
        <v>20424</v>
      </c>
      <c r="M58" s="318" t="s">
        <v>20897</v>
      </c>
      <c r="N58" s="379" t="s">
        <v>20168</v>
      </c>
      <c r="O58" s="336">
        <v>45716</v>
      </c>
      <c r="P58" s="381">
        <f>1350*3.17195</f>
        <v>4282.1324999999997</v>
      </c>
    </row>
    <row r="59" spans="1:16">
      <c r="A59" s="332">
        <v>49600</v>
      </c>
      <c r="B59" s="333">
        <f>33852*3.3233</f>
        <v>112500.35160000001</v>
      </c>
      <c r="C59" s="334" t="s">
        <v>17277</v>
      </c>
      <c r="D59" s="371" t="s">
        <v>19945</v>
      </c>
      <c r="E59" s="372" t="s">
        <v>20240</v>
      </c>
      <c r="F59" s="389" t="s">
        <v>20155</v>
      </c>
      <c r="G59" s="336">
        <v>45702</v>
      </c>
      <c r="H59" s="337"/>
      <c r="I59" s="337">
        <v>49600</v>
      </c>
      <c r="J59" s="836"/>
      <c r="K59" s="337"/>
      <c r="L59" s="339" t="s">
        <v>20424</v>
      </c>
      <c r="M59" s="318" t="s">
        <v>20898</v>
      </c>
      <c r="N59" s="379" t="s">
        <v>20297</v>
      </c>
      <c r="O59" s="336">
        <v>45713</v>
      </c>
      <c r="P59" s="381">
        <f>4150*3.3233</f>
        <v>13791.695</v>
      </c>
    </row>
    <row r="60" spans="1:16">
      <c r="A60" s="332">
        <v>67500</v>
      </c>
      <c r="B60" s="333">
        <v>105975</v>
      </c>
      <c r="C60" s="334" t="s">
        <v>19647</v>
      </c>
      <c r="D60" s="371" t="s">
        <v>19946</v>
      </c>
      <c r="E60" s="372" t="s">
        <v>20241</v>
      </c>
      <c r="F60" s="389" t="s">
        <v>20155</v>
      </c>
      <c r="G60" s="336">
        <v>45702</v>
      </c>
      <c r="H60" s="337"/>
      <c r="I60" s="337">
        <v>67500</v>
      </c>
      <c r="J60" s="836"/>
      <c r="K60" s="337"/>
      <c r="L60" s="339" t="s">
        <v>20398</v>
      </c>
      <c r="M60" s="319" t="s">
        <v>20899</v>
      </c>
      <c r="N60" s="379" t="s">
        <v>20321</v>
      </c>
      <c r="O60" s="336" t="s">
        <v>20900</v>
      </c>
      <c r="P60" s="381">
        <v>0</v>
      </c>
    </row>
    <row r="61" spans="1:16">
      <c r="A61" s="332">
        <v>239550</v>
      </c>
      <c r="B61" s="333">
        <v>404023</v>
      </c>
      <c r="C61" s="334" t="s">
        <v>19647</v>
      </c>
      <c r="D61" s="371" t="s">
        <v>19947</v>
      </c>
      <c r="E61" s="372" t="s">
        <v>20242</v>
      </c>
      <c r="F61" s="389" t="s">
        <v>20155</v>
      </c>
      <c r="G61" s="336">
        <v>45706</v>
      </c>
      <c r="H61" s="337">
        <v>20750</v>
      </c>
      <c r="I61" s="337">
        <v>22800</v>
      </c>
      <c r="J61" s="392">
        <v>196000</v>
      </c>
      <c r="K61" s="337"/>
      <c r="L61" s="339" t="s">
        <v>20398</v>
      </c>
      <c r="M61" s="318" t="s">
        <v>20901</v>
      </c>
      <c r="N61" s="379" t="s">
        <v>17771</v>
      </c>
      <c r="O61" s="336">
        <v>45716</v>
      </c>
      <c r="P61" s="381">
        <v>0</v>
      </c>
    </row>
    <row r="62" spans="1:16">
      <c r="A62" s="332">
        <v>174598</v>
      </c>
      <c r="B62" s="333">
        <v>372093.2</v>
      </c>
      <c r="C62" s="334" t="s">
        <v>19656</v>
      </c>
      <c r="D62" s="371" t="s">
        <v>19948</v>
      </c>
      <c r="E62" s="372" t="s">
        <v>20243</v>
      </c>
      <c r="F62" s="389" t="s">
        <v>20155</v>
      </c>
      <c r="G62" s="336">
        <v>45706</v>
      </c>
      <c r="H62" s="337">
        <v>167398</v>
      </c>
      <c r="I62" s="337">
        <v>7200</v>
      </c>
      <c r="J62" s="836"/>
      <c r="K62" s="337"/>
      <c r="L62" s="339" t="s">
        <v>20398</v>
      </c>
      <c r="M62" s="318" t="s">
        <v>20902</v>
      </c>
      <c r="N62" s="379" t="s">
        <v>17949</v>
      </c>
      <c r="O62" s="336">
        <v>45713</v>
      </c>
      <c r="P62" s="381">
        <v>0</v>
      </c>
    </row>
    <row r="63" spans="1:16">
      <c r="A63" s="332">
        <v>24588</v>
      </c>
      <c r="B63" s="333">
        <f>9873.84*3.3176</f>
        <v>32757.451584000002</v>
      </c>
      <c r="C63" s="334" t="s">
        <v>17343</v>
      </c>
      <c r="D63" s="371" t="s">
        <v>19949</v>
      </c>
      <c r="E63" s="372" t="s">
        <v>20244</v>
      </c>
      <c r="F63" s="389" t="s">
        <v>20155</v>
      </c>
      <c r="G63" s="336">
        <v>45706</v>
      </c>
      <c r="H63" s="337"/>
      <c r="I63" s="337">
        <v>16968</v>
      </c>
      <c r="J63" s="392">
        <v>6000</v>
      </c>
      <c r="K63" s="337">
        <v>1620</v>
      </c>
      <c r="L63" s="339" t="s">
        <v>20424</v>
      </c>
      <c r="M63" s="318" t="s">
        <v>20903</v>
      </c>
      <c r="N63" s="379" t="s">
        <v>16394</v>
      </c>
      <c r="O63" s="336">
        <v>45709</v>
      </c>
      <c r="P63" s="381">
        <f>2750*3.3176</f>
        <v>9123.4</v>
      </c>
    </row>
    <row r="64" spans="1:16">
      <c r="A64" s="332">
        <v>53916</v>
      </c>
      <c r="B64" s="333">
        <f>27582.2*3.3176</f>
        <v>91506.706720000002</v>
      </c>
      <c r="C64" s="334" t="s">
        <v>17343</v>
      </c>
      <c r="D64" s="371" t="s">
        <v>19950</v>
      </c>
      <c r="E64" s="372" t="s">
        <v>20245</v>
      </c>
      <c r="F64" s="389" t="s">
        <v>20155</v>
      </c>
      <c r="G64" s="336">
        <v>45707</v>
      </c>
      <c r="H64" s="337">
        <v>3200</v>
      </c>
      <c r="I64" s="337">
        <v>40536</v>
      </c>
      <c r="J64" s="392">
        <v>7200</v>
      </c>
      <c r="K64" s="337">
        <v>2980</v>
      </c>
      <c r="L64" s="339" t="s">
        <v>20424</v>
      </c>
      <c r="M64" s="318" t="s">
        <v>20904</v>
      </c>
      <c r="N64" s="379" t="s">
        <v>16394</v>
      </c>
      <c r="O64" s="336">
        <v>45709</v>
      </c>
      <c r="P64" s="381">
        <f>10950*3.3176</f>
        <v>36327.72</v>
      </c>
    </row>
    <row r="65" spans="1:16">
      <c r="A65" s="332">
        <v>166000</v>
      </c>
      <c r="B65" s="333">
        <v>354805</v>
      </c>
      <c r="C65" s="334" t="s">
        <v>19833</v>
      </c>
      <c r="D65" s="371" t="s">
        <v>19951</v>
      </c>
      <c r="E65" s="372" t="s">
        <v>20246</v>
      </c>
      <c r="F65" s="389" t="s">
        <v>20155</v>
      </c>
      <c r="G65" s="336">
        <v>45720</v>
      </c>
      <c r="H65" s="337">
        <v>166000</v>
      </c>
      <c r="I65" s="337"/>
      <c r="J65" s="338"/>
      <c r="K65" s="337"/>
      <c r="L65" s="339" t="s">
        <v>20398</v>
      </c>
      <c r="M65" s="318" t="s">
        <v>20905</v>
      </c>
      <c r="N65" s="379" t="s">
        <v>17854</v>
      </c>
      <c r="O65" s="336">
        <v>45727</v>
      </c>
      <c r="P65" s="381">
        <v>0</v>
      </c>
    </row>
    <row r="66" spans="1:16">
      <c r="A66" s="332">
        <v>6000</v>
      </c>
      <c r="B66" s="333">
        <v>16500</v>
      </c>
      <c r="C66" s="334" t="s">
        <v>17018</v>
      </c>
      <c r="D66" s="371" t="s">
        <v>19952</v>
      </c>
      <c r="E66" s="372" t="s">
        <v>20247</v>
      </c>
      <c r="F66" s="389" t="s">
        <v>20155</v>
      </c>
      <c r="G66" s="336">
        <v>45720</v>
      </c>
      <c r="H66" s="337">
        <v>6000</v>
      </c>
      <c r="I66" s="337"/>
      <c r="J66" s="338"/>
      <c r="K66" s="337"/>
      <c r="L66" s="339" t="s">
        <v>20424</v>
      </c>
      <c r="M66" s="318" t="s">
        <v>20906</v>
      </c>
      <c r="N66" s="379" t="s">
        <v>20907</v>
      </c>
      <c r="O66" s="336">
        <v>45728</v>
      </c>
      <c r="P66" s="381">
        <v>0</v>
      </c>
    </row>
    <row r="67" spans="1:16">
      <c r="A67" s="332">
        <v>235200</v>
      </c>
      <c r="B67" s="333">
        <f>157854*3.10455</f>
        <v>490065.63570000004</v>
      </c>
      <c r="C67" s="334" t="s">
        <v>19961</v>
      </c>
      <c r="D67" s="371" t="s">
        <v>19953</v>
      </c>
      <c r="E67" s="372" t="s">
        <v>20248</v>
      </c>
      <c r="F67" s="389" t="s">
        <v>20155</v>
      </c>
      <c r="G67" s="336">
        <v>45720</v>
      </c>
      <c r="H67" s="337"/>
      <c r="I67" s="337">
        <v>235200</v>
      </c>
      <c r="J67" s="338"/>
      <c r="K67" s="337"/>
      <c r="L67" s="339" t="s">
        <v>20424</v>
      </c>
      <c r="M67" s="318" t="s">
        <v>20908</v>
      </c>
      <c r="N67" s="379" t="s">
        <v>17939</v>
      </c>
      <c r="O67" s="336">
        <v>45723</v>
      </c>
      <c r="P67" s="381">
        <v>0</v>
      </c>
    </row>
    <row r="68" spans="1:16">
      <c r="A68" s="332">
        <v>23971</v>
      </c>
      <c r="B68" s="333">
        <f>24716.67*3.1008</f>
        <v>76641.450335999994</v>
      </c>
      <c r="C68" s="334" t="s">
        <v>18159</v>
      </c>
      <c r="D68" s="371" t="s">
        <v>19954</v>
      </c>
      <c r="E68" s="372" t="s">
        <v>20249</v>
      </c>
      <c r="F68" s="389" t="s">
        <v>20155</v>
      </c>
      <c r="G68" s="336">
        <v>45720</v>
      </c>
      <c r="H68" s="337"/>
      <c r="I68" s="337">
        <v>23971</v>
      </c>
      <c r="J68" s="338"/>
      <c r="K68" s="337"/>
      <c r="L68" s="339" t="s">
        <v>20909</v>
      </c>
      <c r="M68" s="318" t="s">
        <v>20910</v>
      </c>
      <c r="N68" s="379" t="s">
        <v>17954</v>
      </c>
      <c r="O68" s="336">
        <v>45728</v>
      </c>
      <c r="P68" s="381">
        <f>5300*3.1008</f>
        <v>16434.240000000002</v>
      </c>
    </row>
    <row r="69" spans="1:16">
      <c r="A69" s="332">
        <v>86400</v>
      </c>
      <c r="B69" s="333">
        <v>185760</v>
      </c>
      <c r="C69" s="334" t="s">
        <v>19655</v>
      </c>
      <c r="D69" s="371" t="s">
        <v>19955</v>
      </c>
      <c r="E69" s="372" t="s">
        <v>20250</v>
      </c>
      <c r="F69" s="389" t="s">
        <v>20155</v>
      </c>
      <c r="G69" s="336">
        <v>45720</v>
      </c>
      <c r="H69" s="337">
        <v>86400</v>
      </c>
      <c r="I69" s="337"/>
      <c r="J69" s="338"/>
      <c r="K69" s="337"/>
      <c r="L69" s="339" t="s">
        <v>18201</v>
      </c>
      <c r="M69" s="318" t="s">
        <v>20911</v>
      </c>
      <c r="N69" s="390" t="s">
        <v>20173</v>
      </c>
      <c r="O69" s="336">
        <v>45729</v>
      </c>
      <c r="P69" s="381">
        <v>0</v>
      </c>
    </row>
    <row r="70" spans="1:16">
      <c r="A70" s="332">
        <v>84000</v>
      </c>
      <c r="B70" s="333">
        <v>130200</v>
      </c>
      <c r="C70" s="334" t="s">
        <v>19656</v>
      </c>
      <c r="D70" s="371" t="s">
        <v>19956</v>
      </c>
      <c r="E70" s="372" t="s">
        <v>20251</v>
      </c>
      <c r="F70" s="389" t="s">
        <v>20155</v>
      </c>
      <c r="G70" s="336">
        <v>45721</v>
      </c>
      <c r="H70" s="337"/>
      <c r="I70" s="337"/>
      <c r="J70" s="338">
        <v>84000</v>
      </c>
      <c r="K70" s="337"/>
      <c r="L70" s="339" t="s">
        <v>20398</v>
      </c>
      <c r="M70" s="318" t="s">
        <v>20912</v>
      </c>
      <c r="N70" s="379" t="s">
        <v>17777</v>
      </c>
      <c r="O70" s="336">
        <v>45726</v>
      </c>
      <c r="P70" s="381">
        <v>0</v>
      </c>
    </row>
    <row r="71" spans="1:16">
      <c r="A71" s="332">
        <v>84000</v>
      </c>
      <c r="B71" s="333">
        <v>139440</v>
      </c>
      <c r="C71" s="334" t="s">
        <v>19647</v>
      </c>
      <c r="D71" s="371" t="s">
        <v>19957</v>
      </c>
      <c r="E71" s="372" t="s">
        <v>20252</v>
      </c>
      <c r="F71" s="389" t="s">
        <v>20155</v>
      </c>
      <c r="G71" s="336">
        <v>45721</v>
      </c>
      <c r="H71" s="337"/>
      <c r="I71" s="337"/>
      <c r="J71" s="338">
        <v>84000</v>
      </c>
      <c r="K71" s="337"/>
      <c r="L71" s="339" t="s">
        <v>20398</v>
      </c>
      <c r="M71" s="318" t="s">
        <v>20913</v>
      </c>
      <c r="N71" s="379" t="s">
        <v>17771</v>
      </c>
      <c r="O71" s="336">
        <v>45727</v>
      </c>
      <c r="P71" s="381">
        <v>0</v>
      </c>
    </row>
    <row r="72" spans="1:16">
      <c r="A72" s="393">
        <v>19200</v>
      </c>
      <c r="B72" s="393">
        <f>13804*3.36635</f>
        <v>46469.095400000006</v>
      </c>
      <c r="C72" s="334" t="s">
        <v>17277</v>
      </c>
      <c r="D72" s="371" t="s">
        <v>19958</v>
      </c>
      <c r="E72" s="372" t="s">
        <v>20253</v>
      </c>
      <c r="F72" s="389" t="s">
        <v>20155</v>
      </c>
      <c r="G72" s="336">
        <v>45780</v>
      </c>
      <c r="H72" s="391">
        <v>19200</v>
      </c>
      <c r="I72" s="391"/>
      <c r="J72" s="392"/>
      <c r="K72" s="337"/>
      <c r="L72" s="339" t="s">
        <v>20424</v>
      </c>
      <c r="M72" s="318" t="s">
        <v>20914</v>
      </c>
      <c r="N72" s="379" t="s">
        <v>20297</v>
      </c>
      <c r="O72" s="336">
        <v>45735</v>
      </c>
      <c r="P72" s="381">
        <f>1900*3.36635</f>
        <v>6396.0650000000005</v>
      </c>
    </row>
    <row r="73" spans="1:16">
      <c r="A73" s="393">
        <v>82500</v>
      </c>
      <c r="B73" s="393">
        <f>42075*3.3596</f>
        <v>141355.16999999998</v>
      </c>
      <c r="C73" s="334" t="s">
        <v>19722</v>
      </c>
      <c r="D73" s="371" t="s">
        <v>19959</v>
      </c>
      <c r="E73" s="372" t="s">
        <v>20254</v>
      </c>
      <c r="F73" s="389" t="s">
        <v>20155</v>
      </c>
      <c r="G73" s="336">
        <v>45723</v>
      </c>
      <c r="H73" s="391"/>
      <c r="I73" s="391"/>
      <c r="J73" s="392">
        <v>82500</v>
      </c>
      <c r="K73" s="337"/>
      <c r="L73" s="339" t="s">
        <v>20427</v>
      </c>
      <c r="M73" s="318" t="s">
        <v>20915</v>
      </c>
      <c r="N73" s="379" t="s">
        <v>17801</v>
      </c>
      <c r="O73" s="336">
        <v>45728</v>
      </c>
      <c r="P73" s="381">
        <v>0</v>
      </c>
    </row>
    <row r="74" spans="1:16">
      <c r="A74" s="332">
        <v>110000</v>
      </c>
      <c r="B74" s="333">
        <f>55100*3.3596</f>
        <v>185113.96</v>
      </c>
      <c r="C74" s="334" t="s">
        <v>19722</v>
      </c>
      <c r="D74" s="371" t="s">
        <v>19960</v>
      </c>
      <c r="E74" s="372" t="s">
        <v>20256</v>
      </c>
      <c r="F74" s="389" t="s">
        <v>20155</v>
      </c>
      <c r="G74" s="336">
        <v>45723</v>
      </c>
      <c r="H74" s="337"/>
      <c r="I74" s="337"/>
      <c r="J74" s="338">
        <v>110000</v>
      </c>
      <c r="K74" s="337"/>
      <c r="L74" s="339" t="s">
        <v>20427</v>
      </c>
      <c r="M74" s="318" t="s">
        <v>20916</v>
      </c>
      <c r="N74" s="379" t="s">
        <v>17801</v>
      </c>
      <c r="O74" s="336">
        <v>45730</v>
      </c>
      <c r="P74" s="381">
        <v>0</v>
      </c>
    </row>
    <row r="75" spans="1:16">
      <c r="A75" s="332">
        <v>110000</v>
      </c>
      <c r="B75" s="333">
        <f>55100*3.36965</f>
        <v>185667.715</v>
      </c>
      <c r="C75" s="334" t="s">
        <v>19722</v>
      </c>
      <c r="D75" s="371" t="s">
        <v>19962</v>
      </c>
      <c r="E75" s="372" t="s">
        <v>20257</v>
      </c>
      <c r="F75" s="389" t="s">
        <v>20155</v>
      </c>
      <c r="G75" s="336">
        <v>45723</v>
      </c>
      <c r="H75" s="337"/>
      <c r="I75" s="337"/>
      <c r="J75" s="338">
        <v>110000</v>
      </c>
      <c r="K75" s="337"/>
      <c r="L75" s="339" t="s">
        <v>20427</v>
      </c>
      <c r="M75" s="318" t="s">
        <v>20917</v>
      </c>
      <c r="N75" s="379" t="s">
        <v>17801</v>
      </c>
      <c r="O75" s="336">
        <v>45733</v>
      </c>
      <c r="P75" s="381">
        <v>0</v>
      </c>
    </row>
    <row r="76" spans="1:16">
      <c r="A76" s="332">
        <v>110000</v>
      </c>
      <c r="B76" s="333">
        <f>55100*3.3623</f>
        <v>185262.72999999998</v>
      </c>
      <c r="C76" s="334" t="s">
        <v>19722</v>
      </c>
      <c r="D76" s="371" t="s">
        <v>19965</v>
      </c>
      <c r="E76" s="372" t="s">
        <v>20259</v>
      </c>
      <c r="F76" s="389" t="s">
        <v>20155</v>
      </c>
      <c r="G76" s="336">
        <v>45723</v>
      </c>
      <c r="H76" s="337"/>
      <c r="I76" s="337"/>
      <c r="J76" s="338">
        <v>110000</v>
      </c>
      <c r="K76" s="337"/>
      <c r="L76" s="339" t="s">
        <v>20427</v>
      </c>
      <c r="M76" s="318" t="s">
        <v>20918</v>
      </c>
      <c r="N76" s="379" t="s">
        <v>17801</v>
      </c>
      <c r="O76" s="336">
        <v>45733</v>
      </c>
      <c r="P76" s="381">
        <v>0</v>
      </c>
    </row>
    <row r="77" spans="1:16">
      <c r="A77" s="332">
        <v>40300</v>
      </c>
      <c r="B77" s="333">
        <f>33449*3.0813</f>
        <v>103066.40370000001</v>
      </c>
      <c r="C77" s="334" t="s">
        <v>19659</v>
      </c>
      <c r="D77" s="371" t="s">
        <v>19966</v>
      </c>
      <c r="E77" s="372" t="s">
        <v>20260</v>
      </c>
      <c r="F77" s="389" t="s">
        <v>20155</v>
      </c>
      <c r="G77" s="336">
        <v>45723</v>
      </c>
      <c r="H77" s="337">
        <v>40300</v>
      </c>
      <c r="I77" s="337"/>
      <c r="J77" s="338"/>
      <c r="K77" s="337"/>
      <c r="L77" s="339" t="s">
        <v>20398</v>
      </c>
      <c r="M77" s="318" t="s">
        <v>20919</v>
      </c>
      <c r="N77" s="379" t="s">
        <v>20161</v>
      </c>
      <c r="O77" s="336">
        <v>45758</v>
      </c>
      <c r="P77" s="381">
        <v>0</v>
      </c>
    </row>
    <row r="78" spans="1:16">
      <c r="A78" s="332">
        <v>16500</v>
      </c>
      <c r="B78" s="333">
        <f>15448.52*3.35635</f>
        <v>51850.640101999998</v>
      </c>
      <c r="C78" s="334" t="s">
        <v>17397</v>
      </c>
      <c r="D78" s="371" t="s">
        <v>19967</v>
      </c>
      <c r="E78" s="372" t="s">
        <v>20261</v>
      </c>
      <c r="F78" s="389" t="s">
        <v>20155</v>
      </c>
      <c r="G78" s="336">
        <v>45726</v>
      </c>
      <c r="H78" s="337"/>
      <c r="I78" s="337">
        <v>11160</v>
      </c>
      <c r="J78" s="338">
        <v>4440</v>
      </c>
      <c r="K78" s="337">
        <v>900</v>
      </c>
      <c r="L78" s="339" t="s">
        <v>20424</v>
      </c>
      <c r="M78" s="318" t="s">
        <v>20920</v>
      </c>
      <c r="N78" s="379" t="s">
        <v>20161</v>
      </c>
      <c r="O78" s="336">
        <v>45734</v>
      </c>
      <c r="P78" s="381">
        <f>1776*3.35635</f>
        <v>5960.8775999999998</v>
      </c>
    </row>
    <row r="79" spans="1:16">
      <c r="A79" s="332">
        <v>336300</v>
      </c>
      <c r="B79" s="333">
        <f>237718.84*3.0898</f>
        <v>734503.67183199991</v>
      </c>
      <c r="C79" s="334" t="s">
        <v>19662</v>
      </c>
      <c r="D79" s="371" t="s">
        <v>19968</v>
      </c>
      <c r="E79" s="372" t="s">
        <v>20262</v>
      </c>
      <c r="F79" s="389" t="s">
        <v>20155</v>
      </c>
      <c r="G79" s="336">
        <v>45726</v>
      </c>
      <c r="H79" s="337">
        <v>48000</v>
      </c>
      <c r="I79" s="337">
        <f>+A79-H79</f>
        <v>288300</v>
      </c>
      <c r="J79" s="338"/>
      <c r="K79" s="337"/>
      <c r="L79" s="339" t="s">
        <v>20398</v>
      </c>
      <c r="M79" s="318" t="s">
        <v>20921</v>
      </c>
      <c r="N79" s="379" t="s">
        <v>20159</v>
      </c>
      <c r="O79" s="336">
        <v>45740</v>
      </c>
      <c r="P79" s="381">
        <f>27600*3.0898</f>
        <v>85278.48</v>
      </c>
    </row>
    <row r="80" spans="1:16">
      <c r="A80" s="332">
        <v>336300</v>
      </c>
      <c r="B80" s="333">
        <f>237718.84*3.094</f>
        <v>735502.09095999994</v>
      </c>
      <c r="C80" s="334" t="s">
        <v>19662</v>
      </c>
      <c r="D80" s="371" t="s">
        <v>19969</v>
      </c>
      <c r="E80" s="372" t="s">
        <v>20263</v>
      </c>
      <c r="F80" s="389" t="s">
        <v>20155</v>
      </c>
      <c r="G80" s="336">
        <v>45726</v>
      </c>
      <c r="H80" s="337">
        <v>48000</v>
      </c>
      <c r="I80" s="337">
        <v>288300</v>
      </c>
      <c r="J80" s="338"/>
      <c r="K80" s="337"/>
      <c r="L80" s="339" t="s">
        <v>20398</v>
      </c>
      <c r="M80" s="318" t="s">
        <v>20922</v>
      </c>
      <c r="N80" s="379" t="s">
        <v>20159</v>
      </c>
      <c r="O80" s="336">
        <v>45742</v>
      </c>
      <c r="P80" s="381">
        <f>27600*3.094</f>
        <v>85394.4</v>
      </c>
    </row>
    <row r="81" spans="1:16">
      <c r="A81" s="332">
        <v>42200</v>
      </c>
      <c r="B81" s="333">
        <v>74272</v>
      </c>
      <c r="C81" s="334" t="s">
        <v>19655</v>
      </c>
      <c r="D81" s="371" t="s">
        <v>19970</v>
      </c>
      <c r="E81" s="372" t="s">
        <v>20264</v>
      </c>
      <c r="F81" s="389" t="s">
        <v>20155</v>
      </c>
      <c r="G81" s="336">
        <v>45726</v>
      </c>
      <c r="H81" s="337"/>
      <c r="I81" s="337">
        <v>42200</v>
      </c>
      <c r="J81" s="338"/>
      <c r="K81" s="337"/>
      <c r="L81" s="339" t="s">
        <v>18201</v>
      </c>
      <c r="M81" s="318" t="s">
        <v>20923</v>
      </c>
      <c r="N81" s="379" t="s">
        <v>18248</v>
      </c>
      <c r="O81" s="336">
        <v>45742</v>
      </c>
      <c r="P81" s="381">
        <v>0</v>
      </c>
    </row>
    <row r="82" spans="1:16">
      <c r="A82" s="332">
        <v>22008</v>
      </c>
      <c r="B82" s="333">
        <v>47317.2</v>
      </c>
      <c r="C82" s="334" t="s">
        <v>19655</v>
      </c>
      <c r="D82" s="371" t="s">
        <v>19971</v>
      </c>
      <c r="E82" s="372" t="s">
        <v>20265</v>
      </c>
      <c r="F82" s="389" t="s">
        <v>20155</v>
      </c>
      <c r="G82" s="336">
        <v>45728</v>
      </c>
      <c r="H82" s="337">
        <v>22008</v>
      </c>
      <c r="I82" s="337"/>
      <c r="J82" s="338"/>
      <c r="K82" s="337"/>
      <c r="L82" s="339" t="s">
        <v>18201</v>
      </c>
      <c r="M82" s="318" t="s">
        <v>20924</v>
      </c>
      <c r="N82" s="379" t="s">
        <v>17801</v>
      </c>
      <c r="O82" s="336">
        <v>45742</v>
      </c>
      <c r="P82" s="381">
        <v>0</v>
      </c>
    </row>
    <row r="83" spans="1:16">
      <c r="A83" s="332">
        <v>44016</v>
      </c>
      <c r="B83" s="333">
        <v>90232.8</v>
      </c>
      <c r="C83" s="334" t="s">
        <v>19647</v>
      </c>
      <c r="D83" s="371" t="s">
        <v>19972</v>
      </c>
      <c r="E83" s="372" t="s">
        <v>20267</v>
      </c>
      <c r="F83" s="389" t="s">
        <v>20155</v>
      </c>
      <c r="G83" s="336">
        <v>45728</v>
      </c>
      <c r="H83" s="337">
        <v>44016</v>
      </c>
      <c r="I83" s="337"/>
      <c r="J83" s="338"/>
      <c r="K83" s="337"/>
      <c r="L83" s="339" t="s">
        <v>20430</v>
      </c>
      <c r="M83" s="318" t="s">
        <v>20925</v>
      </c>
      <c r="N83" s="379" t="s">
        <v>17949</v>
      </c>
      <c r="O83" s="336">
        <v>45741</v>
      </c>
      <c r="P83" s="381">
        <v>0</v>
      </c>
    </row>
    <row r="84" spans="1:16">
      <c r="A84" s="332">
        <v>20500</v>
      </c>
      <c r="B84" s="333">
        <v>47150</v>
      </c>
      <c r="C84" s="334" t="s">
        <v>17018</v>
      </c>
      <c r="D84" s="371" t="s">
        <v>19973</v>
      </c>
      <c r="E84" s="372" t="s">
        <v>20268</v>
      </c>
      <c r="F84" s="389" t="s">
        <v>20155</v>
      </c>
      <c r="G84" s="336">
        <v>45728</v>
      </c>
      <c r="H84" s="337"/>
      <c r="I84" s="337">
        <v>20500</v>
      </c>
      <c r="J84" s="338"/>
      <c r="K84" s="337"/>
      <c r="L84" s="339" t="s">
        <v>20398</v>
      </c>
      <c r="M84" s="318" t="s">
        <v>20926</v>
      </c>
      <c r="N84" s="379" t="s">
        <v>20370</v>
      </c>
      <c r="O84" s="336">
        <v>45735</v>
      </c>
      <c r="P84" s="381">
        <v>0</v>
      </c>
    </row>
    <row r="85" spans="1:16">
      <c r="A85" s="332">
        <v>275000</v>
      </c>
      <c r="B85" s="333">
        <v>398750</v>
      </c>
      <c r="C85" s="334" t="s">
        <v>19652</v>
      </c>
      <c r="D85" s="371" t="s">
        <v>19974</v>
      </c>
      <c r="E85" s="372" t="s">
        <v>20269</v>
      </c>
      <c r="F85" s="389" t="s">
        <v>20155</v>
      </c>
      <c r="G85" s="336">
        <v>45730</v>
      </c>
      <c r="H85" s="337"/>
      <c r="I85" s="337"/>
      <c r="J85" s="338">
        <v>275000</v>
      </c>
      <c r="K85" s="337"/>
      <c r="L85" s="339" t="s">
        <v>20398</v>
      </c>
      <c r="M85" s="318" t="s">
        <v>20927</v>
      </c>
      <c r="N85" s="379" t="s">
        <v>17801</v>
      </c>
      <c r="O85" s="336">
        <v>45744</v>
      </c>
      <c r="P85" s="381">
        <v>0</v>
      </c>
    </row>
    <row r="86" spans="1:16">
      <c r="A86" s="332">
        <v>76800</v>
      </c>
      <c r="B86" s="333">
        <v>167808</v>
      </c>
      <c r="C86" s="334" t="s">
        <v>19656</v>
      </c>
      <c r="D86" s="371" t="s">
        <v>19975</v>
      </c>
      <c r="E86" s="372" t="s">
        <v>20270</v>
      </c>
      <c r="F86" s="389" t="s">
        <v>20155</v>
      </c>
      <c r="G86" s="336">
        <v>45733</v>
      </c>
      <c r="H86" s="337">
        <v>76800</v>
      </c>
      <c r="I86" s="337"/>
      <c r="J86" s="338"/>
      <c r="K86" s="337"/>
      <c r="L86" s="339" t="s">
        <v>20398</v>
      </c>
      <c r="M86" s="318" t="s">
        <v>20928</v>
      </c>
      <c r="N86" s="379" t="s">
        <v>17965</v>
      </c>
      <c r="O86" s="336">
        <v>45758</v>
      </c>
      <c r="P86" s="381">
        <v>0</v>
      </c>
    </row>
    <row r="87" spans="1:16">
      <c r="A87" s="332">
        <v>6000</v>
      </c>
      <c r="B87" s="333">
        <f>5340*2.99725</f>
        <v>16005.315000000001</v>
      </c>
      <c r="C87" s="334" t="s">
        <v>20052</v>
      </c>
      <c r="D87" s="371" t="s">
        <v>19976</v>
      </c>
      <c r="E87" s="372" t="s">
        <v>20271</v>
      </c>
      <c r="F87" s="389" t="s">
        <v>20155</v>
      </c>
      <c r="G87" s="336">
        <v>45733</v>
      </c>
      <c r="H87" s="337">
        <v>6000</v>
      </c>
      <c r="I87" s="337"/>
      <c r="J87" s="338"/>
      <c r="K87" s="337"/>
      <c r="L87" s="339" t="s">
        <v>20424</v>
      </c>
      <c r="M87" s="318" t="s">
        <v>20929</v>
      </c>
      <c r="N87" s="379" t="s">
        <v>20930</v>
      </c>
      <c r="O87" s="911">
        <v>45784</v>
      </c>
      <c r="P87" s="381">
        <v>0</v>
      </c>
    </row>
    <row r="88" spans="1:16">
      <c r="A88" s="332">
        <v>27500</v>
      </c>
      <c r="B88" s="333">
        <f>47029*2.97065</f>
        <v>139706.69884999999</v>
      </c>
      <c r="C88" s="334" t="s">
        <v>19789</v>
      </c>
      <c r="D88" s="371" t="s">
        <v>19977</v>
      </c>
      <c r="E88" s="372" t="s">
        <v>20272</v>
      </c>
      <c r="F88" s="389" t="s">
        <v>20155</v>
      </c>
      <c r="G88" s="336">
        <v>45734</v>
      </c>
      <c r="H88" s="337"/>
      <c r="I88" s="337"/>
      <c r="J88" s="338"/>
      <c r="K88" s="337">
        <v>27500</v>
      </c>
      <c r="L88" s="339" t="s">
        <v>20931</v>
      </c>
      <c r="M88" s="318" t="s">
        <v>20932</v>
      </c>
      <c r="N88" s="379" t="s">
        <v>20157</v>
      </c>
      <c r="O88" s="336">
        <v>45772</v>
      </c>
      <c r="P88" s="381">
        <v>0</v>
      </c>
    </row>
    <row r="89" spans="1:16">
      <c r="A89" s="332">
        <v>132750</v>
      </c>
      <c r="B89" s="333">
        <v>236070</v>
      </c>
      <c r="C89" s="334" t="s">
        <v>19647</v>
      </c>
      <c r="D89" s="371" t="s">
        <v>19978</v>
      </c>
      <c r="E89" s="372" t="s">
        <v>20273</v>
      </c>
      <c r="F89" s="389" t="s">
        <v>20155</v>
      </c>
      <c r="G89" s="336">
        <v>45735</v>
      </c>
      <c r="H89" s="337">
        <v>20750</v>
      </c>
      <c r="I89" s="337"/>
      <c r="J89" s="338">
        <v>112000</v>
      </c>
      <c r="K89" s="337"/>
      <c r="L89" s="339" t="s">
        <v>20398</v>
      </c>
      <c r="M89" s="318" t="s">
        <v>20933</v>
      </c>
      <c r="N89" s="379" t="s">
        <v>17771</v>
      </c>
      <c r="O89" s="336">
        <v>45750</v>
      </c>
      <c r="P89" s="381">
        <v>0</v>
      </c>
    </row>
    <row r="90" spans="1:16">
      <c r="A90" s="332">
        <v>19200</v>
      </c>
      <c r="B90" s="333">
        <v>40780</v>
      </c>
      <c r="C90" s="334" t="s">
        <v>19656</v>
      </c>
      <c r="D90" s="371" t="s">
        <v>19979</v>
      </c>
      <c r="E90" s="372" t="s">
        <v>20274</v>
      </c>
      <c r="F90" s="389" t="s">
        <v>20155</v>
      </c>
      <c r="G90" s="336">
        <v>45735</v>
      </c>
      <c r="H90" s="337">
        <v>19200</v>
      </c>
      <c r="I90" s="337"/>
      <c r="J90" s="338"/>
      <c r="K90" s="337"/>
      <c r="L90" s="339" t="s">
        <v>20398</v>
      </c>
      <c r="M90" s="318" t="s">
        <v>20934</v>
      </c>
      <c r="N90" s="379" t="s">
        <v>18094</v>
      </c>
      <c r="O90" s="336">
        <v>45734</v>
      </c>
      <c r="P90" s="381">
        <v>0</v>
      </c>
    </row>
    <row r="91" spans="1:16">
      <c r="A91" s="332">
        <v>15500</v>
      </c>
      <c r="B91" s="333">
        <v>55475</v>
      </c>
      <c r="C91" s="334" t="s">
        <v>17018</v>
      </c>
      <c r="D91" s="371" t="s">
        <v>19980</v>
      </c>
      <c r="E91" s="372" t="s">
        <v>20275</v>
      </c>
      <c r="F91" s="389" t="s">
        <v>20155</v>
      </c>
      <c r="G91" s="336">
        <v>45735</v>
      </c>
      <c r="H91" s="337"/>
      <c r="I91" s="337">
        <v>5500</v>
      </c>
      <c r="J91" s="338">
        <v>5000</v>
      </c>
      <c r="K91" s="337">
        <v>5000</v>
      </c>
      <c r="L91" s="339" t="s">
        <v>20681</v>
      </c>
      <c r="M91" s="318" t="s">
        <v>20935</v>
      </c>
      <c r="N91" s="379" t="s">
        <v>20359</v>
      </c>
      <c r="O91" s="336">
        <v>45776</v>
      </c>
      <c r="P91" s="381">
        <v>0</v>
      </c>
    </row>
    <row r="92" spans="1:16">
      <c r="A92" s="332">
        <v>44016</v>
      </c>
      <c r="B92" s="333">
        <v>90232.8</v>
      </c>
      <c r="C92" s="334" t="s">
        <v>19655</v>
      </c>
      <c r="D92" s="371" t="s">
        <v>19981</v>
      </c>
      <c r="E92" s="372" t="s">
        <v>20276</v>
      </c>
      <c r="F92" s="389" t="s">
        <v>20155</v>
      </c>
      <c r="G92" s="336">
        <v>45737</v>
      </c>
      <c r="H92" s="337">
        <v>44016</v>
      </c>
      <c r="I92" s="337"/>
      <c r="J92" s="338"/>
      <c r="K92" s="337"/>
      <c r="L92" s="339" t="s">
        <v>18201</v>
      </c>
      <c r="M92" s="318" t="s">
        <v>20936</v>
      </c>
      <c r="N92" s="379" t="s">
        <v>17949</v>
      </c>
      <c r="O92" s="336">
        <v>45749</v>
      </c>
      <c r="P92" s="381">
        <v>0</v>
      </c>
    </row>
    <row r="93" spans="1:16">
      <c r="A93" s="332">
        <v>27972</v>
      </c>
      <c r="B93" s="333">
        <f>24239.84*3.35505</f>
        <v>81325.875191999992</v>
      </c>
      <c r="C93" s="334" t="s">
        <v>19661</v>
      </c>
      <c r="D93" s="371" t="s">
        <v>19982</v>
      </c>
      <c r="E93" s="372" t="s">
        <v>20277</v>
      </c>
      <c r="F93" s="389" t="s">
        <v>20155</v>
      </c>
      <c r="G93" s="336">
        <v>45742</v>
      </c>
      <c r="H93" s="337"/>
      <c r="I93" s="337">
        <v>14472</v>
      </c>
      <c r="J93" s="338">
        <v>13500</v>
      </c>
      <c r="K93" s="337"/>
      <c r="L93" s="339" t="s">
        <v>20424</v>
      </c>
      <c r="M93" s="318" t="s">
        <v>20937</v>
      </c>
      <c r="N93" s="379" t="s">
        <v>20160</v>
      </c>
      <c r="O93" s="336">
        <v>45751</v>
      </c>
      <c r="P93" s="381">
        <f>4250*3.35505</f>
        <v>14258.9625</v>
      </c>
    </row>
    <row r="94" spans="1:16">
      <c r="A94" s="332">
        <v>25980</v>
      </c>
      <c r="B94" s="333">
        <f>22835.6*3.35505</f>
        <v>76614.579779999985</v>
      </c>
      <c r="C94" s="334" t="s">
        <v>19661</v>
      </c>
      <c r="D94" s="371" t="s">
        <v>19983</v>
      </c>
      <c r="E94" s="372" t="s">
        <v>20278</v>
      </c>
      <c r="F94" s="389" t="s">
        <v>20155</v>
      </c>
      <c r="G94" s="336">
        <v>45742</v>
      </c>
      <c r="H94" s="337"/>
      <c r="I94" s="337">
        <v>15480</v>
      </c>
      <c r="J94" s="338">
        <v>10500</v>
      </c>
      <c r="K94" s="337"/>
      <c r="L94" s="339" t="s">
        <v>20424</v>
      </c>
      <c r="M94" s="318" t="s">
        <v>20938</v>
      </c>
      <c r="N94" s="379" t="s">
        <v>20160</v>
      </c>
      <c r="O94" s="336">
        <v>45751</v>
      </c>
      <c r="P94" s="381">
        <f>4250*3.35505</f>
        <v>14258.9625</v>
      </c>
    </row>
    <row r="95" spans="1:16">
      <c r="A95" s="332">
        <v>26124</v>
      </c>
      <c r="B95" s="333">
        <f>22939.28*3.35505</f>
        <v>76962.431363999989</v>
      </c>
      <c r="C95" s="334" t="s">
        <v>19661</v>
      </c>
      <c r="D95" s="371" t="s">
        <v>19984</v>
      </c>
      <c r="E95" s="372" t="s">
        <v>20279</v>
      </c>
      <c r="F95" s="389" t="s">
        <v>20155</v>
      </c>
      <c r="G95" s="336">
        <v>45742</v>
      </c>
      <c r="H95" s="337"/>
      <c r="I95" s="337">
        <v>15624</v>
      </c>
      <c r="J95" s="338">
        <v>10500</v>
      </c>
      <c r="K95" s="337"/>
      <c r="L95" s="339" t="s">
        <v>20424</v>
      </c>
      <c r="M95" s="318" t="s">
        <v>20939</v>
      </c>
      <c r="N95" s="379" t="s">
        <v>20160</v>
      </c>
      <c r="O95" s="336">
        <v>45751</v>
      </c>
      <c r="P95" s="381">
        <f>4250*3.35505</f>
        <v>14258.9625</v>
      </c>
    </row>
    <row r="96" spans="1:16">
      <c r="A96" s="332">
        <v>27600</v>
      </c>
      <c r="B96" s="333">
        <f>19188*3.06215</f>
        <v>58756.534200000002</v>
      </c>
      <c r="C96" s="334" t="s">
        <v>17805</v>
      </c>
      <c r="D96" s="371" t="s">
        <v>19985</v>
      </c>
      <c r="E96" s="372" t="s">
        <v>20280</v>
      </c>
      <c r="F96" s="389" t="s">
        <v>20155</v>
      </c>
      <c r="G96" s="336">
        <v>45749</v>
      </c>
      <c r="H96" s="337"/>
      <c r="I96" s="337">
        <v>27600</v>
      </c>
      <c r="J96" s="338"/>
      <c r="K96" s="337"/>
      <c r="L96" s="339" t="s">
        <v>20398</v>
      </c>
      <c r="M96" s="318" t="s">
        <v>20940</v>
      </c>
      <c r="N96" s="379" t="s">
        <v>17965</v>
      </c>
      <c r="O96" s="336">
        <v>45754</v>
      </c>
      <c r="P96" s="381">
        <f>1800*3.06215</f>
        <v>5511.87</v>
      </c>
    </row>
    <row r="97" spans="1:16">
      <c r="A97" s="332">
        <v>27370</v>
      </c>
      <c r="B97" s="333">
        <f>37849.77*2.98575</f>
        <v>113009.95077749998</v>
      </c>
      <c r="C97" s="334" t="s">
        <v>19653</v>
      </c>
      <c r="D97" s="371" t="s">
        <v>19987</v>
      </c>
      <c r="E97" s="372" t="s">
        <v>20281</v>
      </c>
      <c r="F97" s="389" t="s">
        <v>20155</v>
      </c>
      <c r="G97" s="336">
        <v>45751</v>
      </c>
      <c r="H97" s="337">
        <v>5000</v>
      </c>
      <c r="I97" s="337">
        <v>22370</v>
      </c>
      <c r="J97" s="338"/>
      <c r="K97" s="337"/>
      <c r="L97" s="339" t="s">
        <v>20398</v>
      </c>
      <c r="M97" s="318" t="s">
        <v>20941</v>
      </c>
      <c r="N97" s="379" t="s">
        <v>20156</v>
      </c>
      <c r="O97" s="336">
        <v>45806</v>
      </c>
      <c r="P97" s="381">
        <v>0</v>
      </c>
    </row>
    <row r="98" spans="1:16">
      <c r="A98" s="332">
        <v>38400</v>
      </c>
      <c r="B98" s="333">
        <v>77087.520000000004</v>
      </c>
      <c r="C98" s="334" t="s">
        <v>17385</v>
      </c>
      <c r="D98" s="371" t="s">
        <v>19988</v>
      </c>
      <c r="E98" s="372" t="s">
        <v>20282</v>
      </c>
      <c r="F98" s="389" t="s">
        <v>20155</v>
      </c>
      <c r="G98" s="336">
        <v>45751</v>
      </c>
      <c r="H98" s="337">
        <v>38400</v>
      </c>
      <c r="I98" s="337"/>
      <c r="J98" s="338"/>
      <c r="K98" s="337"/>
      <c r="L98" s="339" t="s">
        <v>20702</v>
      </c>
      <c r="M98" s="318" t="s">
        <v>20942</v>
      </c>
      <c r="N98" s="379" t="s">
        <v>18248</v>
      </c>
      <c r="O98" s="336">
        <v>45763</v>
      </c>
      <c r="P98" s="381">
        <v>0</v>
      </c>
    </row>
    <row r="99" spans="1:16">
      <c r="A99" s="332">
        <v>38400</v>
      </c>
      <c r="B99" s="333">
        <v>84480</v>
      </c>
      <c r="C99" s="334" t="s">
        <v>19655</v>
      </c>
      <c r="D99" s="371" t="s">
        <v>19989</v>
      </c>
      <c r="E99" s="372" t="s">
        <v>20283</v>
      </c>
      <c r="F99" s="389" t="s">
        <v>20155</v>
      </c>
      <c r="G99" s="336">
        <v>45751</v>
      </c>
      <c r="H99" s="337">
        <v>38400</v>
      </c>
      <c r="I99" s="337"/>
      <c r="J99" s="338"/>
      <c r="K99" s="337"/>
      <c r="L99" s="339" t="s">
        <v>18201</v>
      </c>
      <c r="M99" s="318" t="s">
        <v>20943</v>
      </c>
      <c r="N99" s="379" t="s">
        <v>18248</v>
      </c>
      <c r="O99" s="336">
        <v>45775</v>
      </c>
      <c r="P99" s="381">
        <v>0</v>
      </c>
    </row>
    <row r="100" spans="1:16">
      <c r="A100" s="332">
        <v>110040</v>
      </c>
      <c r="B100" s="333">
        <f>76825.2*3.41085</f>
        <v>262039.23341999998</v>
      </c>
      <c r="C100" s="334" t="s">
        <v>19852</v>
      </c>
      <c r="D100" s="371" t="s">
        <v>19990</v>
      </c>
      <c r="E100" s="372" t="s">
        <v>20284</v>
      </c>
      <c r="F100" s="389" t="s">
        <v>20155</v>
      </c>
      <c r="G100" s="336">
        <v>45751</v>
      </c>
      <c r="H100" s="337">
        <v>110040</v>
      </c>
      <c r="I100" s="337"/>
      <c r="J100" s="338"/>
      <c r="K100" s="337"/>
      <c r="L100" s="339" t="s">
        <v>19852</v>
      </c>
      <c r="M100" s="318" t="s">
        <v>20944</v>
      </c>
      <c r="N100" s="379" t="s">
        <v>17949</v>
      </c>
      <c r="O100" s="336">
        <v>45762</v>
      </c>
      <c r="P100" s="381">
        <f>7500*3.41085</f>
        <v>25581.375</v>
      </c>
    </row>
    <row r="101" spans="1:16">
      <c r="A101" s="332">
        <v>16700</v>
      </c>
      <c r="B101" s="333">
        <f>18843*2.99315</f>
        <v>56399.925450000002</v>
      </c>
      <c r="C101" s="334" t="s">
        <v>17403</v>
      </c>
      <c r="D101" s="371" t="s">
        <v>19991</v>
      </c>
      <c r="E101" s="372" t="s">
        <v>112</v>
      </c>
      <c r="F101" s="389" t="s">
        <v>20155</v>
      </c>
      <c r="G101" s="336">
        <v>45751</v>
      </c>
      <c r="H101" s="337"/>
      <c r="I101" s="337">
        <v>12900</v>
      </c>
      <c r="J101" s="338"/>
      <c r="K101" s="337">
        <v>3800</v>
      </c>
      <c r="L101" s="339" t="s">
        <v>20424</v>
      </c>
      <c r="M101" s="318" t="s">
        <v>20945</v>
      </c>
      <c r="N101" s="379" t="s">
        <v>17689</v>
      </c>
      <c r="O101" s="336">
        <v>45773</v>
      </c>
      <c r="P101" s="381">
        <f>1500*2.99315</f>
        <v>4489.7250000000004</v>
      </c>
    </row>
    <row r="102" spans="1:16">
      <c r="A102" s="332">
        <v>275000</v>
      </c>
      <c r="B102" s="333">
        <v>398750</v>
      </c>
      <c r="C102" s="334" t="s">
        <v>19652</v>
      </c>
      <c r="D102" s="371" t="s">
        <v>19992</v>
      </c>
      <c r="E102" s="372" t="s">
        <v>113</v>
      </c>
      <c r="F102" s="389" t="s">
        <v>20155</v>
      </c>
      <c r="G102" s="336">
        <v>45751</v>
      </c>
      <c r="H102" s="337"/>
      <c r="I102" s="337"/>
      <c r="J102" s="338">
        <v>275000</v>
      </c>
      <c r="K102" s="337"/>
      <c r="L102" s="339" t="s">
        <v>20398</v>
      </c>
      <c r="M102" s="318" t="s">
        <v>20946</v>
      </c>
      <c r="N102" s="379" t="s">
        <v>17801</v>
      </c>
      <c r="O102" s="336">
        <v>45761</v>
      </c>
      <c r="P102" s="381">
        <v>0</v>
      </c>
    </row>
    <row r="103" spans="1:16">
      <c r="A103" s="332">
        <v>171288</v>
      </c>
      <c r="B103" s="333">
        <v>359941.08</v>
      </c>
      <c r="C103" s="334" t="s">
        <v>19656</v>
      </c>
      <c r="D103" s="371" t="s">
        <v>19993</v>
      </c>
      <c r="E103" s="372" t="s">
        <v>114</v>
      </c>
      <c r="F103" s="389" t="s">
        <v>20155</v>
      </c>
      <c r="G103" s="336">
        <v>45751</v>
      </c>
      <c r="H103" s="337">
        <v>152832</v>
      </c>
      <c r="I103" s="337">
        <v>18456</v>
      </c>
      <c r="J103" s="338"/>
      <c r="K103" s="337"/>
      <c r="L103" s="339" t="s">
        <v>20398</v>
      </c>
      <c r="M103" s="318" t="s">
        <v>20947</v>
      </c>
      <c r="N103" s="379" t="s">
        <v>17949</v>
      </c>
      <c r="O103" s="336">
        <v>45765</v>
      </c>
      <c r="P103" s="381">
        <v>0</v>
      </c>
    </row>
    <row r="104" spans="1:16">
      <c r="A104" s="332">
        <v>52000</v>
      </c>
      <c r="B104" s="333">
        <f>33120*2.99445</f>
        <v>99176.184000000008</v>
      </c>
      <c r="C104" s="334" t="s">
        <v>17805</v>
      </c>
      <c r="D104" s="371" t="s">
        <v>19995</v>
      </c>
      <c r="E104" s="372" t="s">
        <v>115</v>
      </c>
      <c r="F104" s="389" t="s">
        <v>20155</v>
      </c>
      <c r="G104" s="336">
        <v>45751</v>
      </c>
      <c r="H104" s="337"/>
      <c r="I104" s="337"/>
      <c r="J104" s="338">
        <v>52000</v>
      </c>
      <c r="K104" s="337"/>
      <c r="L104" s="339" t="s">
        <v>20398</v>
      </c>
      <c r="M104" s="318" t="s">
        <v>20948</v>
      </c>
      <c r="N104" s="379" t="s">
        <v>17965</v>
      </c>
      <c r="O104" s="336">
        <v>45763</v>
      </c>
      <c r="P104" s="381">
        <f>4000*2.99445</f>
        <v>11977.800000000001</v>
      </c>
    </row>
    <row r="105" spans="1:16">
      <c r="A105" s="332">
        <v>41800</v>
      </c>
      <c r="B105" s="333">
        <f>32514*2.99445</f>
        <v>97361.547300000006</v>
      </c>
      <c r="C105" s="334" t="s">
        <v>17805</v>
      </c>
      <c r="D105" s="371" t="s">
        <v>19996</v>
      </c>
      <c r="E105" s="372" t="s">
        <v>116</v>
      </c>
      <c r="F105" s="389" t="s">
        <v>20155</v>
      </c>
      <c r="G105" s="336">
        <v>45751</v>
      </c>
      <c r="H105" s="337"/>
      <c r="I105" s="337">
        <v>41800</v>
      </c>
      <c r="J105" s="338"/>
      <c r="K105" s="337"/>
      <c r="L105" s="339" t="s">
        <v>20398</v>
      </c>
      <c r="M105" s="318" t="s">
        <v>20949</v>
      </c>
      <c r="N105" s="379" t="s">
        <v>17965</v>
      </c>
      <c r="O105" s="336">
        <v>45763</v>
      </c>
      <c r="P105" s="381">
        <f>6250*2.99445</f>
        <v>18715.3125</v>
      </c>
    </row>
    <row r="106" spans="1:16">
      <c r="A106" s="332">
        <v>47942</v>
      </c>
      <c r="B106" s="333">
        <f>49153.92*2.97065</f>
        <v>146019.09244799998</v>
      </c>
      <c r="C106" s="334" t="s">
        <v>18159</v>
      </c>
      <c r="D106" s="371" t="s">
        <v>19997</v>
      </c>
      <c r="E106" s="372" t="s">
        <v>117</v>
      </c>
      <c r="F106" s="389" t="s">
        <v>20155</v>
      </c>
      <c r="G106" s="336">
        <v>45751</v>
      </c>
      <c r="H106" s="337"/>
      <c r="I106" s="337">
        <v>47942</v>
      </c>
      <c r="J106" s="338"/>
      <c r="K106" s="337"/>
      <c r="L106" s="339" t="s">
        <v>20909</v>
      </c>
      <c r="M106" s="318" t="s">
        <v>20950</v>
      </c>
      <c r="N106" s="379" t="s">
        <v>17954</v>
      </c>
      <c r="O106" s="336">
        <v>45772</v>
      </c>
      <c r="P106" s="381">
        <f>10800*2.997065</f>
        <v>32368.302</v>
      </c>
    </row>
    <row r="107" spans="1:16">
      <c r="A107" s="332">
        <v>19200</v>
      </c>
      <c r="B107" s="333">
        <f>13804*3.40895</f>
        <v>47057.145799999998</v>
      </c>
      <c r="C107" s="334" t="s">
        <v>17277</v>
      </c>
      <c r="D107" s="371" t="s">
        <v>19998</v>
      </c>
      <c r="E107" s="372" t="s">
        <v>118</v>
      </c>
      <c r="F107" s="389" t="s">
        <v>20155</v>
      </c>
      <c r="G107" s="336">
        <v>45751</v>
      </c>
      <c r="H107" s="337">
        <v>19200</v>
      </c>
      <c r="I107" s="337"/>
      <c r="J107" s="338"/>
      <c r="K107" s="337"/>
      <c r="L107" s="339" t="s">
        <v>20424</v>
      </c>
      <c r="M107" s="318" t="s">
        <v>20951</v>
      </c>
      <c r="N107" s="379" t="s">
        <v>20297</v>
      </c>
      <c r="O107" s="336">
        <v>45764</v>
      </c>
      <c r="P107" s="381">
        <f>1900*3.40895</f>
        <v>6477.0050000000001</v>
      </c>
    </row>
    <row r="108" spans="1:16">
      <c r="A108" s="332">
        <v>56000</v>
      </c>
      <c r="B108" s="333">
        <f>35510*3.40695</f>
        <v>120980.7945</v>
      </c>
      <c r="C108" s="334" t="s">
        <v>17277</v>
      </c>
      <c r="D108" s="371" t="s">
        <v>19999</v>
      </c>
      <c r="E108" s="372" t="s">
        <v>119</v>
      </c>
      <c r="F108" s="389" t="s">
        <v>20155</v>
      </c>
      <c r="G108" s="336">
        <v>45751</v>
      </c>
      <c r="H108" s="337"/>
      <c r="I108" s="337">
        <v>56000</v>
      </c>
      <c r="J108" s="338"/>
      <c r="K108" s="337"/>
      <c r="L108" s="339" t="s">
        <v>20424</v>
      </c>
      <c r="M108" s="318" t="s">
        <v>20952</v>
      </c>
      <c r="N108" s="379" t="s">
        <v>20297</v>
      </c>
      <c r="O108" s="336">
        <v>45770</v>
      </c>
      <c r="P108" s="381">
        <f>4150*3.40695</f>
        <v>14138.842500000001</v>
      </c>
    </row>
    <row r="109" spans="1:16">
      <c r="A109" s="332">
        <v>76800</v>
      </c>
      <c r="B109" s="333">
        <v>161280</v>
      </c>
      <c r="C109" s="334" t="s">
        <v>19833</v>
      </c>
      <c r="D109" s="371" t="s">
        <v>20000</v>
      </c>
      <c r="E109" s="372" t="s">
        <v>120</v>
      </c>
      <c r="F109" s="389" t="s">
        <v>20155</v>
      </c>
      <c r="G109" s="336">
        <v>45751</v>
      </c>
      <c r="H109" s="337">
        <v>76800</v>
      </c>
      <c r="I109" s="337"/>
      <c r="J109" s="338"/>
      <c r="K109" s="337"/>
      <c r="L109" s="339" t="s">
        <v>20446</v>
      </c>
      <c r="M109" s="318" t="s">
        <v>20953</v>
      </c>
      <c r="N109" s="379" t="s">
        <v>18248</v>
      </c>
      <c r="O109" s="336">
        <v>45777</v>
      </c>
      <c r="P109" s="381">
        <v>0</v>
      </c>
    </row>
    <row r="110" spans="1:16">
      <c r="A110" s="332">
        <v>491000</v>
      </c>
      <c r="B110" s="393">
        <v>806137</v>
      </c>
      <c r="C110" s="334" t="s">
        <v>19833</v>
      </c>
      <c r="D110" s="371" t="s">
        <v>20001</v>
      </c>
      <c r="E110" s="372" t="s">
        <v>121</v>
      </c>
      <c r="F110" s="389" t="s">
        <v>20155</v>
      </c>
      <c r="G110" s="336" t="s">
        <v>20954</v>
      </c>
      <c r="H110" s="337">
        <v>46000</v>
      </c>
      <c r="I110" s="337">
        <v>45000</v>
      </c>
      <c r="J110" s="338">
        <v>400000</v>
      </c>
      <c r="K110" s="337"/>
      <c r="L110" s="339" t="s">
        <v>20446</v>
      </c>
      <c r="M110" s="318" t="s">
        <v>20955</v>
      </c>
      <c r="N110" s="379" t="s">
        <v>20321</v>
      </c>
      <c r="O110" s="336">
        <v>45777</v>
      </c>
      <c r="P110" s="381">
        <v>0</v>
      </c>
    </row>
    <row r="111" spans="1:16">
      <c r="A111" s="332">
        <v>180000</v>
      </c>
      <c r="B111" s="333">
        <v>293400</v>
      </c>
      <c r="C111" s="334" t="s">
        <v>19647</v>
      </c>
      <c r="D111" s="371" t="s">
        <v>20002</v>
      </c>
      <c r="E111" s="372" t="s">
        <v>122</v>
      </c>
      <c r="F111" s="389" t="s">
        <v>20155</v>
      </c>
      <c r="G111" s="336">
        <v>45761</v>
      </c>
      <c r="H111" s="337"/>
      <c r="I111" s="337">
        <v>180000</v>
      </c>
      <c r="J111" s="338"/>
      <c r="K111" s="337"/>
      <c r="L111" s="339" t="s">
        <v>20398</v>
      </c>
      <c r="M111" s="318" t="s">
        <v>20956</v>
      </c>
      <c r="N111" s="379" t="s">
        <v>20321</v>
      </c>
      <c r="O111" s="336">
        <v>45771</v>
      </c>
      <c r="P111" s="381">
        <v>0</v>
      </c>
    </row>
    <row r="112" spans="1:16">
      <c r="A112" s="332">
        <v>56000</v>
      </c>
      <c r="B112" s="333">
        <f>36036*2.99505</f>
        <v>107929.62179999999</v>
      </c>
      <c r="C112" s="334" t="s">
        <v>19854</v>
      </c>
      <c r="D112" s="371" t="s">
        <v>20003</v>
      </c>
      <c r="E112" s="372" t="s">
        <v>123</v>
      </c>
      <c r="F112" s="389" t="s">
        <v>20155</v>
      </c>
      <c r="G112" s="336">
        <v>45761</v>
      </c>
      <c r="H112" s="337"/>
      <c r="I112" s="337">
        <v>25200</v>
      </c>
      <c r="J112" s="338">
        <v>30800</v>
      </c>
      <c r="K112" s="337"/>
      <c r="L112" s="339" t="s">
        <v>20424</v>
      </c>
      <c r="M112" s="318" t="s">
        <v>20957</v>
      </c>
      <c r="N112" s="379" t="s">
        <v>17261</v>
      </c>
      <c r="O112" s="336">
        <v>45765</v>
      </c>
      <c r="P112" s="381">
        <f>6300*2.99505</f>
        <v>18868.814999999999</v>
      </c>
    </row>
    <row r="113" spans="1:16">
      <c r="A113" s="332">
        <v>39200</v>
      </c>
      <c r="B113" s="333">
        <v>83350</v>
      </c>
      <c r="C113" s="334" t="s">
        <v>19652</v>
      </c>
      <c r="D113" s="371" t="s">
        <v>20004</v>
      </c>
      <c r="E113" s="372" t="s">
        <v>124</v>
      </c>
      <c r="F113" s="389" t="s">
        <v>20155</v>
      </c>
      <c r="G113" s="336">
        <v>45761</v>
      </c>
      <c r="H113" s="337">
        <v>39200</v>
      </c>
      <c r="I113" s="337"/>
      <c r="J113" s="338"/>
      <c r="K113" s="337"/>
      <c r="L113" s="339" t="s">
        <v>20424</v>
      </c>
      <c r="M113" s="318" t="s">
        <v>20958</v>
      </c>
      <c r="N113" s="379" t="s">
        <v>17801</v>
      </c>
      <c r="O113" s="911">
        <v>45784</v>
      </c>
      <c r="P113" s="381">
        <v>0</v>
      </c>
    </row>
    <row r="114" spans="1:16">
      <c r="A114" s="835">
        <v>275000</v>
      </c>
      <c r="B114" s="835">
        <v>412500</v>
      </c>
      <c r="C114" s="905" t="s">
        <v>19655</v>
      </c>
      <c r="D114" s="906" t="s">
        <v>20005</v>
      </c>
      <c r="E114" s="907" t="s">
        <v>125</v>
      </c>
      <c r="F114" s="900" t="s">
        <v>20155</v>
      </c>
      <c r="G114" s="900">
        <v>45761</v>
      </c>
      <c r="H114" s="908"/>
      <c r="I114" s="908"/>
      <c r="J114" s="909">
        <v>275000</v>
      </c>
      <c r="K114" s="337"/>
      <c r="L114" s="339" t="s">
        <v>18201</v>
      </c>
      <c r="M114" s="318" t="s">
        <v>20959</v>
      </c>
      <c r="N114" s="379" t="s">
        <v>17801</v>
      </c>
      <c r="O114" s="336" t="s">
        <v>20960</v>
      </c>
      <c r="P114" s="381">
        <v>0</v>
      </c>
    </row>
    <row r="115" spans="1:16">
      <c r="A115" s="332">
        <v>8400</v>
      </c>
      <c r="B115" s="333">
        <f>6552*2.9923</f>
        <v>19605.549600000002</v>
      </c>
      <c r="C115" s="334" t="s">
        <v>17403</v>
      </c>
      <c r="D115" s="371" t="s">
        <v>20006</v>
      </c>
      <c r="E115" s="372" t="s">
        <v>126</v>
      </c>
      <c r="F115" s="389" t="s">
        <v>20155</v>
      </c>
      <c r="G115" s="336" t="s">
        <v>20954</v>
      </c>
      <c r="H115" s="337">
        <v>8400</v>
      </c>
      <c r="I115" s="337"/>
      <c r="J115" s="338"/>
      <c r="K115" s="337"/>
      <c r="L115" s="339" t="s">
        <v>20424</v>
      </c>
      <c r="M115" s="318" t="s">
        <v>20961</v>
      </c>
      <c r="N115" s="379" t="s">
        <v>17689</v>
      </c>
      <c r="O115" s="336">
        <v>45800</v>
      </c>
      <c r="P115" s="381">
        <v>0</v>
      </c>
    </row>
    <row r="116" spans="1:16">
      <c r="A116" s="332">
        <v>192000</v>
      </c>
      <c r="B116" s="333">
        <f>134760*3.41865</f>
        <v>460697.27399999998</v>
      </c>
      <c r="C116" s="334" t="s">
        <v>20534</v>
      </c>
      <c r="D116" s="371" t="s">
        <v>20007</v>
      </c>
      <c r="E116" s="372" t="s">
        <v>127</v>
      </c>
      <c r="F116" s="389" t="s">
        <v>20155</v>
      </c>
      <c r="G116" s="336">
        <v>45761</v>
      </c>
      <c r="H116" s="337">
        <v>192000</v>
      </c>
      <c r="I116" s="337"/>
      <c r="J116" s="338"/>
      <c r="K116" s="337"/>
      <c r="L116" s="339" t="s">
        <v>20424</v>
      </c>
      <c r="M116" s="318" t="s">
        <v>20962</v>
      </c>
      <c r="N116" s="379" t="s">
        <v>20321</v>
      </c>
      <c r="O116" s="336">
        <v>45775</v>
      </c>
      <c r="P116" s="381">
        <f>9000*3.41865</f>
        <v>30767.85</v>
      </c>
    </row>
    <row r="117" spans="1:16">
      <c r="A117" s="332">
        <v>17192</v>
      </c>
      <c r="B117" s="333">
        <f>7216.32*3.40895</f>
        <v>24600.074063999997</v>
      </c>
      <c r="C117" s="334" t="s">
        <v>17343</v>
      </c>
      <c r="D117" s="371" t="s">
        <v>20008</v>
      </c>
      <c r="E117" s="372" t="s">
        <v>128</v>
      </c>
      <c r="F117" s="389" t="s">
        <v>20155</v>
      </c>
      <c r="G117" s="336">
        <v>45761</v>
      </c>
      <c r="H117" s="337">
        <v>10080</v>
      </c>
      <c r="I117" s="337">
        <v>2592</v>
      </c>
      <c r="J117" s="338">
        <v>2400</v>
      </c>
      <c r="K117" s="337">
        <v>2120</v>
      </c>
      <c r="L117" s="339" t="s">
        <v>20424</v>
      </c>
      <c r="M117" s="318" t="s">
        <v>20963</v>
      </c>
      <c r="N117" s="379" t="s">
        <v>16394</v>
      </c>
      <c r="O117" s="336">
        <v>45764</v>
      </c>
      <c r="P117" s="381">
        <f>2250*3.40895</f>
        <v>7670.1374999999998</v>
      </c>
    </row>
    <row r="118" spans="1:16">
      <c r="A118" s="398">
        <v>20480</v>
      </c>
      <c r="B118" s="398">
        <f>10172.16*3.40895</f>
        <v>34676.384831999996</v>
      </c>
      <c r="C118" s="334" t="s">
        <v>17343</v>
      </c>
      <c r="D118" s="371" t="s">
        <v>20009</v>
      </c>
      <c r="E118" s="372" t="s">
        <v>129</v>
      </c>
      <c r="F118" s="397" t="s">
        <v>20155</v>
      </c>
      <c r="G118" s="336">
        <v>45762</v>
      </c>
      <c r="H118" s="337"/>
      <c r="I118" s="337">
        <v>17040</v>
      </c>
      <c r="J118" s="338">
        <v>1200</v>
      </c>
      <c r="K118" s="337">
        <v>2240</v>
      </c>
      <c r="L118" s="339" t="s">
        <v>20424</v>
      </c>
      <c r="M118" s="318" t="s">
        <v>20964</v>
      </c>
      <c r="N118" s="379" t="s">
        <v>16394</v>
      </c>
      <c r="O118" s="336">
        <v>45764</v>
      </c>
      <c r="P118" s="381">
        <f>3650*3.40895</f>
        <v>12442.6675</v>
      </c>
    </row>
    <row r="119" spans="1:16">
      <c r="A119" s="398">
        <v>157500</v>
      </c>
      <c r="B119" s="398">
        <v>256725</v>
      </c>
      <c r="C119" s="334" t="s">
        <v>19647</v>
      </c>
      <c r="D119" s="371" t="s">
        <v>20010</v>
      </c>
      <c r="E119" s="372" t="s">
        <v>130</v>
      </c>
      <c r="F119" s="389" t="s">
        <v>20155</v>
      </c>
      <c r="G119" s="336" t="s">
        <v>20965</v>
      </c>
      <c r="H119" s="337"/>
      <c r="I119" s="337">
        <v>157500</v>
      </c>
      <c r="J119" s="338"/>
      <c r="K119" s="337"/>
      <c r="L119" s="339" t="s">
        <v>20398</v>
      </c>
      <c r="M119" s="318" t="s">
        <v>20966</v>
      </c>
      <c r="N119" s="379" t="s">
        <v>20321</v>
      </c>
      <c r="O119" s="336">
        <v>45777</v>
      </c>
      <c r="P119" s="381">
        <v>0</v>
      </c>
    </row>
    <row r="120" spans="1:16">
      <c r="A120" s="398">
        <v>41500</v>
      </c>
      <c r="B120" s="398">
        <v>85490</v>
      </c>
      <c r="C120" s="334" t="s">
        <v>19655</v>
      </c>
      <c r="D120" s="371" t="s">
        <v>20011</v>
      </c>
      <c r="E120" s="372" t="s">
        <v>131</v>
      </c>
      <c r="F120" s="389" t="s">
        <v>20155</v>
      </c>
      <c r="G120" s="336" t="s">
        <v>20965</v>
      </c>
      <c r="H120" s="337">
        <v>41500</v>
      </c>
      <c r="I120" s="337"/>
      <c r="J120" s="338"/>
      <c r="K120" s="337"/>
      <c r="L120" s="339" t="s">
        <v>18201</v>
      </c>
      <c r="M120" s="318" t="s">
        <v>20967</v>
      </c>
      <c r="N120" s="379" t="s">
        <v>17693</v>
      </c>
      <c r="O120" s="336">
        <v>45775</v>
      </c>
      <c r="P120" s="381">
        <v>0</v>
      </c>
    </row>
    <row r="121" spans="1:16">
      <c r="A121" s="398">
        <v>240080</v>
      </c>
      <c r="B121" s="398">
        <f>176713.6*2.99975</f>
        <v>530096.62160000007</v>
      </c>
      <c r="C121" s="334" t="s">
        <v>19961</v>
      </c>
      <c r="D121" s="371" t="s">
        <v>20012</v>
      </c>
      <c r="E121" s="372" t="s">
        <v>132</v>
      </c>
      <c r="F121" s="389" t="s">
        <v>20155</v>
      </c>
      <c r="G121" s="336" t="s">
        <v>20968</v>
      </c>
      <c r="H121" s="337"/>
      <c r="I121" s="337">
        <v>201680</v>
      </c>
      <c r="J121" s="338">
        <v>38400</v>
      </c>
      <c r="K121" s="337"/>
      <c r="L121" s="339" t="s">
        <v>20424</v>
      </c>
      <c r="M121" s="318" t="s">
        <v>20969</v>
      </c>
      <c r="N121" s="379" t="s">
        <v>17939</v>
      </c>
      <c r="O121" s="336">
        <v>45777</v>
      </c>
      <c r="P121" s="381">
        <v>0</v>
      </c>
    </row>
    <row r="122" spans="1:16">
      <c r="A122" s="398">
        <v>57600</v>
      </c>
      <c r="B122" s="398">
        <v>126144</v>
      </c>
      <c r="C122" s="334" t="s">
        <v>19656</v>
      </c>
      <c r="D122" s="371" t="s">
        <v>20013</v>
      </c>
      <c r="E122" s="372" t="s">
        <v>133</v>
      </c>
      <c r="F122" s="389" t="s">
        <v>20155</v>
      </c>
      <c r="G122" s="336" t="s">
        <v>20970</v>
      </c>
      <c r="H122" s="337">
        <v>57600</v>
      </c>
      <c r="I122" s="337"/>
      <c r="J122" s="338"/>
      <c r="K122" s="337"/>
      <c r="L122" s="339" t="s">
        <v>20398</v>
      </c>
      <c r="M122" s="318" t="s">
        <v>20971</v>
      </c>
      <c r="N122" s="379" t="s">
        <v>18248</v>
      </c>
      <c r="O122" s="336">
        <v>45785</v>
      </c>
      <c r="P122" s="381">
        <v>0</v>
      </c>
    </row>
    <row r="123" spans="1:16">
      <c r="A123" s="398">
        <v>76800</v>
      </c>
      <c r="B123" s="398">
        <v>168960</v>
      </c>
      <c r="C123" s="334" t="s">
        <v>19656</v>
      </c>
      <c r="D123" s="371" t="s">
        <v>20014</v>
      </c>
      <c r="E123" s="372" t="s">
        <v>134</v>
      </c>
      <c r="F123" s="389" t="s">
        <v>20155</v>
      </c>
      <c r="G123" s="336">
        <v>45782</v>
      </c>
      <c r="H123" s="337">
        <v>76800</v>
      </c>
      <c r="I123" s="337"/>
      <c r="J123" s="338"/>
      <c r="K123" s="337"/>
      <c r="L123" s="339" t="s">
        <v>20427</v>
      </c>
      <c r="M123" s="318" t="s">
        <v>20972</v>
      </c>
      <c r="N123" s="379" t="s">
        <v>17965</v>
      </c>
      <c r="O123" s="336">
        <v>45786</v>
      </c>
      <c r="P123" s="381">
        <v>0</v>
      </c>
    </row>
    <row r="124" spans="1:16">
      <c r="A124" s="398">
        <v>275000</v>
      </c>
      <c r="B124" s="398">
        <v>412500</v>
      </c>
      <c r="C124" s="334" t="s">
        <v>19655</v>
      </c>
      <c r="D124" s="371" t="s">
        <v>20015</v>
      </c>
      <c r="E124" s="372" t="s">
        <v>135</v>
      </c>
      <c r="F124" s="389" t="s">
        <v>20155</v>
      </c>
      <c r="G124" s="336">
        <v>45782</v>
      </c>
      <c r="H124" s="337"/>
      <c r="I124" s="337"/>
      <c r="J124" s="338">
        <v>275000</v>
      </c>
      <c r="K124" s="337"/>
      <c r="L124" s="339" t="s">
        <v>18201</v>
      </c>
      <c r="M124" s="318" t="s">
        <v>20973</v>
      </c>
      <c r="N124" s="379" t="s">
        <v>17801</v>
      </c>
      <c r="O124" s="336">
        <v>45792</v>
      </c>
      <c r="P124" s="381">
        <v>0</v>
      </c>
    </row>
    <row r="125" spans="1:16">
      <c r="A125" s="398">
        <v>52000</v>
      </c>
      <c r="B125" s="398">
        <f>33120*3.03685</f>
        <v>100580.47199999999</v>
      </c>
      <c r="C125" s="334" t="s">
        <v>17805</v>
      </c>
      <c r="D125" s="371" t="s">
        <v>20016</v>
      </c>
      <c r="E125" s="372" t="s">
        <v>136</v>
      </c>
      <c r="F125" s="389" t="s">
        <v>20155</v>
      </c>
      <c r="G125" s="336">
        <v>45905</v>
      </c>
      <c r="H125" s="337"/>
      <c r="I125" s="337"/>
      <c r="J125" s="338">
        <v>52000</v>
      </c>
      <c r="K125" s="337"/>
      <c r="L125" s="339" t="s">
        <v>20398</v>
      </c>
      <c r="M125" s="318" t="s">
        <v>20974</v>
      </c>
      <c r="N125" s="379" t="s">
        <v>17965</v>
      </c>
      <c r="O125" s="336">
        <v>45792</v>
      </c>
      <c r="P125" s="381">
        <f>4000*3.03685</f>
        <v>12147.4</v>
      </c>
    </row>
    <row r="126" spans="1:16">
      <c r="A126" s="398">
        <v>54000</v>
      </c>
      <c r="B126" s="398">
        <f>35986*2.9923</f>
        <v>107680.9078</v>
      </c>
      <c r="C126" s="334" t="s">
        <v>17805</v>
      </c>
      <c r="D126" s="371" t="s">
        <v>20017</v>
      </c>
      <c r="E126" s="372" t="s">
        <v>137</v>
      </c>
      <c r="F126" s="389" t="s">
        <v>20155</v>
      </c>
      <c r="G126" s="336">
        <v>45905</v>
      </c>
      <c r="H126" s="337">
        <v>19600</v>
      </c>
      <c r="I126" s="337">
        <v>8400</v>
      </c>
      <c r="J126" s="338">
        <v>26000</v>
      </c>
      <c r="K126" s="337"/>
      <c r="L126" s="339" t="s">
        <v>20398</v>
      </c>
      <c r="M126" s="318" t="s">
        <v>20975</v>
      </c>
      <c r="N126" s="379" t="s">
        <v>17965</v>
      </c>
      <c r="O126" s="336">
        <v>45800</v>
      </c>
      <c r="P126" s="381">
        <f>3100*2.9923</f>
        <v>9276.130000000001</v>
      </c>
    </row>
    <row r="127" spans="1:16">
      <c r="A127" s="398">
        <v>19200</v>
      </c>
      <c r="B127" s="398">
        <f>12248*3.39085</f>
        <v>41531.130799999999</v>
      </c>
      <c r="C127" s="334" t="s">
        <v>20403</v>
      </c>
      <c r="D127" s="371" t="s">
        <v>20018</v>
      </c>
      <c r="E127" s="372" t="s">
        <v>138</v>
      </c>
      <c r="F127" s="389" t="s">
        <v>20155</v>
      </c>
      <c r="G127" s="336">
        <v>45905</v>
      </c>
      <c r="H127" s="337"/>
      <c r="I127" s="337">
        <v>19200</v>
      </c>
      <c r="J127" s="338"/>
      <c r="K127" s="337"/>
      <c r="L127" s="339" t="s">
        <v>18191</v>
      </c>
      <c r="M127" s="318" t="s">
        <v>20976</v>
      </c>
      <c r="N127" s="379" t="s">
        <v>20159</v>
      </c>
      <c r="O127" s="336">
        <v>45800</v>
      </c>
      <c r="P127" s="381">
        <f>1400*3.39085</f>
        <v>4747.1899999999996</v>
      </c>
    </row>
    <row r="128" spans="1:16">
      <c r="A128" s="398">
        <v>62000</v>
      </c>
      <c r="B128" s="398">
        <f>49564*3.37915</f>
        <v>167484.1906</v>
      </c>
      <c r="C128" s="334" t="s">
        <v>20403</v>
      </c>
      <c r="D128" s="371" t="s">
        <v>20019</v>
      </c>
      <c r="E128" s="372" t="s">
        <v>139</v>
      </c>
      <c r="F128" s="389" t="s">
        <v>20155</v>
      </c>
      <c r="G128" s="336">
        <v>45905</v>
      </c>
      <c r="H128" s="337"/>
      <c r="I128" s="337">
        <v>54000</v>
      </c>
      <c r="J128" s="338"/>
      <c r="K128" s="337">
        <v>8000</v>
      </c>
      <c r="L128" s="339" t="s">
        <v>18191</v>
      </c>
      <c r="M128" s="318" t="s">
        <v>20977</v>
      </c>
      <c r="N128" s="379" t="s">
        <v>20159</v>
      </c>
      <c r="O128" s="336">
        <v>45796</v>
      </c>
      <c r="P128" s="381">
        <f>5400*3.37915</f>
        <v>18247.41</v>
      </c>
    </row>
    <row r="129" spans="1:16">
      <c r="A129" s="398">
        <v>96000</v>
      </c>
      <c r="B129" s="398">
        <f>68900*3.3816</f>
        <v>232992.24000000002</v>
      </c>
      <c r="C129" s="334" t="s">
        <v>20534</v>
      </c>
      <c r="D129" s="371" t="s">
        <v>20020</v>
      </c>
      <c r="E129" s="372" t="s">
        <v>140</v>
      </c>
      <c r="F129" s="389" t="s">
        <v>20155</v>
      </c>
      <c r="G129" s="336">
        <v>45905</v>
      </c>
      <c r="H129" s="337">
        <v>96000</v>
      </c>
      <c r="I129" s="337"/>
      <c r="J129" s="338"/>
      <c r="K129" s="337"/>
      <c r="L129" s="339" t="s">
        <v>20424</v>
      </c>
      <c r="M129" s="318" t="s">
        <v>20978</v>
      </c>
      <c r="N129" s="379" t="s">
        <v>20321</v>
      </c>
      <c r="O129" s="336">
        <v>45796</v>
      </c>
      <c r="P129" s="381">
        <f>6500*3.3816</f>
        <v>21980.400000000001</v>
      </c>
    </row>
    <row r="130" spans="1:16">
      <c r="A130" s="398">
        <v>234066</v>
      </c>
      <c r="B130" s="398">
        <f>148450.96*2.99095</f>
        <v>444009.398812</v>
      </c>
      <c r="C130" s="334" t="s">
        <v>19986</v>
      </c>
      <c r="D130" s="371" t="s">
        <v>20021</v>
      </c>
      <c r="E130" s="372" t="s">
        <v>141</v>
      </c>
      <c r="F130" s="389" t="s">
        <v>20155</v>
      </c>
      <c r="G130" s="336">
        <v>45905</v>
      </c>
      <c r="H130" s="337"/>
      <c r="I130" s="337"/>
      <c r="J130" s="338">
        <v>234066</v>
      </c>
      <c r="K130" s="337"/>
      <c r="L130" s="339" t="s">
        <v>20892</v>
      </c>
      <c r="M130" s="318" t="s">
        <v>20979</v>
      </c>
      <c r="N130" s="379" t="s">
        <v>20335</v>
      </c>
      <c r="O130" s="336">
        <v>45807</v>
      </c>
      <c r="P130" s="381">
        <f>17100*2.99095</f>
        <v>51145.245000000003</v>
      </c>
    </row>
    <row r="131" spans="1:16">
      <c r="A131" s="398">
        <v>111360</v>
      </c>
      <c r="B131" s="398">
        <f>57907.2*3.38915</f>
        <v>196256.18687999999</v>
      </c>
      <c r="C131" s="334" t="s">
        <v>19964</v>
      </c>
      <c r="D131" s="371" t="s">
        <v>20022</v>
      </c>
      <c r="E131" s="372" t="s">
        <v>142</v>
      </c>
      <c r="F131" s="389" t="s">
        <v>20155</v>
      </c>
      <c r="G131" s="336">
        <v>45905</v>
      </c>
      <c r="H131" s="337"/>
      <c r="I131" s="337"/>
      <c r="J131" s="338">
        <v>111360</v>
      </c>
      <c r="K131" s="337"/>
      <c r="L131" s="339" t="s">
        <v>20427</v>
      </c>
      <c r="M131" s="318" t="s">
        <v>20980</v>
      </c>
      <c r="N131" s="379" t="s">
        <v>20173</v>
      </c>
      <c r="O131" s="336">
        <v>45802</v>
      </c>
      <c r="P131" s="381">
        <v>0</v>
      </c>
    </row>
    <row r="132" spans="1:16">
      <c r="A132" s="398">
        <v>125100</v>
      </c>
      <c r="B132" s="398">
        <f>75060*3.39085</f>
        <v>254517.201</v>
      </c>
      <c r="C132" s="334" t="s">
        <v>19964</v>
      </c>
      <c r="D132" s="371" t="s">
        <v>20023</v>
      </c>
      <c r="E132" s="372" t="s">
        <v>143</v>
      </c>
      <c r="F132" s="389" t="s">
        <v>20155</v>
      </c>
      <c r="G132" s="336">
        <v>45905</v>
      </c>
      <c r="H132" s="337"/>
      <c r="I132" s="337">
        <v>125100</v>
      </c>
      <c r="J132" s="338"/>
      <c r="K132" s="337"/>
      <c r="L132" s="339" t="s">
        <v>20427</v>
      </c>
      <c r="M132" s="318" t="s">
        <v>20981</v>
      </c>
      <c r="N132" s="379" t="s">
        <v>20173</v>
      </c>
      <c r="O132" s="336">
        <v>45803</v>
      </c>
      <c r="P132" s="381">
        <v>0</v>
      </c>
    </row>
    <row r="133" spans="1:16">
      <c r="A133" s="398">
        <v>110000</v>
      </c>
      <c r="B133" s="398">
        <f>55100*3.37915</f>
        <v>186191.16500000001</v>
      </c>
      <c r="C133" s="334" t="s">
        <v>19722</v>
      </c>
      <c r="D133" s="371" t="s">
        <v>20024</v>
      </c>
      <c r="E133" s="372" t="s">
        <v>144</v>
      </c>
      <c r="F133" s="389" t="s">
        <v>20155</v>
      </c>
      <c r="G133" s="336">
        <v>45905</v>
      </c>
      <c r="H133" s="337"/>
      <c r="I133" s="337"/>
      <c r="J133" s="338">
        <v>110000</v>
      </c>
      <c r="K133" s="337"/>
      <c r="L133" s="339" t="s">
        <v>20427</v>
      </c>
      <c r="M133" s="318" t="s">
        <v>20982</v>
      </c>
      <c r="N133" s="379" t="s">
        <v>17801</v>
      </c>
      <c r="O133" s="336">
        <v>45797</v>
      </c>
      <c r="P133" s="381">
        <v>0</v>
      </c>
    </row>
    <row r="134" spans="1:16">
      <c r="A134" s="398">
        <v>82500</v>
      </c>
      <c r="B134" s="398">
        <f>41075*3.37915</f>
        <v>138798.58624999999</v>
      </c>
      <c r="C134" s="334" t="s">
        <v>19722</v>
      </c>
      <c r="D134" s="371" t="s">
        <v>20025</v>
      </c>
      <c r="E134" s="372" t="s">
        <v>145</v>
      </c>
      <c r="F134" s="389" t="s">
        <v>20155</v>
      </c>
      <c r="G134" s="336">
        <v>45905</v>
      </c>
      <c r="H134" s="337"/>
      <c r="I134" s="337"/>
      <c r="J134" s="338">
        <v>82500</v>
      </c>
      <c r="K134" s="337"/>
      <c r="L134" s="339" t="s">
        <v>20427</v>
      </c>
      <c r="M134" s="318" t="s">
        <v>20983</v>
      </c>
      <c r="N134" s="379" t="s">
        <v>17801</v>
      </c>
      <c r="O134" s="336">
        <v>45796</v>
      </c>
      <c r="P134" s="381">
        <v>0</v>
      </c>
    </row>
    <row r="135" spans="1:16">
      <c r="A135" s="398">
        <v>110000</v>
      </c>
      <c r="B135" s="398">
        <f>55100*3.38145</f>
        <v>186317.89499999999</v>
      </c>
      <c r="C135" s="334" t="s">
        <v>19722</v>
      </c>
      <c r="D135" s="371" t="s">
        <v>20026</v>
      </c>
      <c r="E135" s="372" t="s">
        <v>146</v>
      </c>
      <c r="F135" s="389" t="s">
        <v>20155</v>
      </c>
      <c r="G135" s="336">
        <v>45905</v>
      </c>
      <c r="H135" s="337"/>
      <c r="I135" s="337"/>
      <c r="J135" s="338">
        <v>110000</v>
      </c>
      <c r="K135" s="337"/>
      <c r="L135" s="339" t="s">
        <v>20427</v>
      </c>
      <c r="M135" s="891" t="s">
        <v>20984</v>
      </c>
      <c r="N135" s="379" t="s">
        <v>17801</v>
      </c>
      <c r="O135" s="336">
        <v>45798</v>
      </c>
      <c r="P135" s="381">
        <v>0</v>
      </c>
    </row>
    <row r="136" spans="1:16">
      <c r="A136" s="398">
        <v>59150</v>
      </c>
      <c r="B136" s="398">
        <f>37971.25*3.00085</f>
        <v>113946.0255625</v>
      </c>
      <c r="C136" s="334" t="s">
        <v>20086</v>
      </c>
      <c r="D136" s="371" t="s">
        <v>20027</v>
      </c>
      <c r="E136" s="372" t="s">
        <v>147</v>
      </c>
      <c r="F136" s="389" t="s">
        <v>20155</v>
      </c>
      <c r="G136" s="336">
        <v>45996</v>
      </c>
      <c r="H136" s="337">
        <v>59150</v>
      </c>
      <c r="I136" s="337"/>
      <c r="J136" s="338"/>
      <c r="K136" s="337"/>
      <c r="L136" s="339" t="s">
        <v>20398</v>
      </c>
      <c r="M136" s="318" t="s">
        <v>20985</v>
      </c>
      <c r="N136" s="379" t="s">
        <v>20333</v>
      </c>
      <c r="O136" s="336">
        <v>45807</v>
      </c>
      <c r="P136" s="381">
        <f>3664.25*3.00085</f>
        <v>10995.8646125</v>
      </c>
    </row>
    <row r="137" spans="1:16">
      <c r="A137" s="398">
        <v>18614</v>
      </c>
      <c r="B137" s="398">
        <f>27933.82*2.16395</f>
        <v>60447.389788999993</v>
      </c>
      <c r="C137" s="334" t="s">
        <v>17305</v>
      </c>
      <c r="D137" s="371" t="s">
        <v>20028</v>
      </c>
      <c r="E137" s="372" t="s">
        <v>148</v>
      </c>
      <c r="F137" s="389" t="s">
        <v>20155</v>
      </c>
      <c r="G137" s="336">
        <v>45996</v>
      </c>
      <c r="H137" s="337"/>
      <c r="I137" s="337"/>
      <c r="J137" s="338">
        <v>18614</v>
      </c>
      <c r="K137" s="337"/>
      <c r="L137" s="339" t="s">
        <v>20986</v>
      </c>
      <c r="M137" s="318" t="s">
        <v>20987</v>
      </c>
      <c r="N137" s="379" t="s">
        <v>17238</v>
      </c>
      <c r="O137" s="336">
        <v>45804</v>
      </c>
      <c r="P137" s="381">
        <f>6900*2.16395</f>
        <v>14931.254999999999</v>
      </c>
    </row>
    <row r="138" spans="1:16">
      <c r="A138" s="398">
        <v>12418</v>
      </c>
      <c r="B138" s="398">
        <f>21767.85*2.17</f>
        <v>47236.234499999999</v>
      </c>
      <c r="C138" s="334" t="s">
        <v>17305</v>
      </c>
      <c r="D138" s="371" t="s">
        <v>20029</v>
      </c>
      <c r="E138" s="372" t="s">
        <v>149</v>
      </c>
      <c r="F138" s="389" t="s">
        <v>20155</v>
      </c>
      <c r="G138" s="336">
        <v>45996</v>
      </c>
      <c r="H138" s="337"/>
      <c r="I138" s="337">
        <v>9344</v>
      </c>
      <c r="J138" s="338">
        <v>1634</v>
      </c>
      <c r="K138" s="337">
        <f>720+720</f>
        <v>1440</v>
      </c>
      <c r="L138" s="339" t="s">
        <v>20424</v>
      </c>
      <c r="M138" s="318" t="s">
        <v>20988</v>
      </c>
      <c r="N138" s="379" t="s">
        <v>17954</v>
      </c>
      <c r="O138" s="336">
        <v>45806</v>
      </c>
      <c r="P138" s="381">
        <f>5700*2.17</f>
        <v>12369</v>
      </c>
    </row>
    <row r="139" spans="1:16">
      <c r="A139" s="398">
        <v>12368</v>
      </c>
      <c r="B139" s="398">
        <f>21989.42*2.1726</f>
        <v>47774.213892</v>
      </c>
      <c r="C139" s="334" t="s">
        <v>17305</v>
      </c>
      <c r="D139" s="371" t="s">
        <v>20030</v>
      </c>
      <c r="E139" s="372" t="s">
        <v>150</v>
      </c>
      <c r="F139" s="389" t="s">
        <v>20155</v>
      </c>
      <c r="G139" s="336">
        <v>45996</v>
      </c>
      <c r="H139" s="337"/>
      <c r="I139" s="337">
        <v>9484</v>
      </c>
      <c r="J139" s="338">
        <v>1634</v>
      </c>
      <c r="K139" s="337">
        <v>1250</v>
      </c>
      <c r="L139" s="339" t="s">
        <v>20424</v>
      </c>
      <c r="M139" s="318" t="s">
        <v>20989</v>
      </c>
      <c r="N139" s="379" t="s">
        <v>17954</v>
      </c>
      <c r="O139" s="336">
        <v>45805</v>
      </c>
      <c r="P139" s="381">
        <f>5700*2.1726</f>
        <v>12383.82</v>
      </c>
    </row>
    <row r="140" spans="1:16">
      <c r="A140" s="398">
        <v>330000</v>
      </c>
      <c r="B140" s="398">
        <f>236674.8*3.3914</f>
        <v>802658.91671999998</v>
      </c>
      <c r="C140" s="334" t="s">
        <v>19804</v>
      </c>
      <c r="D140" s="371" t="s">
        <v>20031</v>
      </c>
      <c r="E140" s="372" t="s">
        <v>151</v>
      </c>
      <c r="F140" s="389" t="s">
        <v>20155</v>
      </c>
      <c r="G140" s="336">
        <v>45996</v>
      </c>
      <c r="H140" s="337">
        <v>38400</v>
      </c>
      <c r="I140" s="337">
        <v>291600</v>
      </c>
      <c r="J140" s="338"/>
      <c r="K140" s="337"/>
      <c r="L140" s="339" t="s">
        <v>20424</v>
      </c>
      <c r="M140" s="318" t="s">
        <v>20990</v>
      </c>
      <c r="N140" s="379" t="s">
        <v>20173</v>
      </c>
      <c r="O140" s="336">
        <v>45808</v>
      </c>
      <c r="P140" s="381">
        <v>0</v>
      </c>
    </row>
    <row r="141" spans="1:16">
      <c r="A141" s="398">
        <v>76800</v>
      </c>
      <c r="B141" s="398">
        <v>168960</v>
      </c>
      <c r="C141" s="334" t="s">
        <v>19656</v>
      </c>
      <c r="D141" s="371" t="s">
        <v>20032</v>
      </c>
      <c r="E141" s="372" t="s">
        <v>152</v>
      </c>
      <c r="F141" s="389" t="s">
        <v>20155</v>
      </c>
      <c r="G141" s="336">
        <v>45996</v>
      </c>
      <c r="H141" s="337">
        <v>76800</v>
      </c>
      <c r="I141" s="337"/>
      <c r="J141" s="338"/>
      <c r="K141" s="337"/>
      <c r="L141" s="339" t="s">
        <v>20398</v>
      </c>
      <c r="M141" s="318" t="s">
        <v>20991</v>
      </c>
      <c r="N141" s="379" t="s">
        <v>17965</v>
      </c>
      <c r="O141" s="336">
        <v>45797</v>
      </c>
      <c r="P141" s="381">
        <v>0</v>
      </c>
    </row>
    <row r="142" spans="1:16">
      <c r="A142" s="398">
        <v>43200</v>
      </c>
      <c r="B142" s="398">
        <v>92880</v>
      </c>
      <c r="C142" s="334" t="s">
        <v>19655</v>
      </c>
      <c r="D142" s="371" t="s">
        <v>20033</v>
      </c>
      <c r="E142" s="372" t="s">
        <v>153</v>
      </c>
      <c r="F142" s="389" t="s">
        <v>20155</v>
      </c>
      <c r="G142" s="336">
        <v>45996</v>
      </c>
      <c r="H142" s="337">
        <v>43200</v>
      </c>
      <c r="I142" s="337"/>
      <c r="J142" s="338"/>
      <c r="K142" s="337"/>
      <c r="L142" s="339" t="s">
        <v>18201</v>
      </c>
      <c r="M142" s="318" t="s">
        <v>20992</v>
      </c>
      <c r="N142" s="379" t="s">
        <v>20173</v>
      </c>
      <c r="O142" s="336">
        <v>45799</v>
      </c>
      <c r="P142" s="381">
        <v>0</v>
      </c>
    </row>
    <row r="143" spans="1:16">
      <c r="A143" s="398">
        <v>21600</v>
      </c>
      <c r="B143" s="398">
        <v>46440</v>
      </c>
      <c r="C143" s="334" t="s">
        <v>19655</v>
      </c>
      <c r="D143" s="371" t="s">
        <v>20034</v>
      </c>
      <c r="E143" s="372" t="s">
        <v>154</v>
      </c>
      <c r="F143" s="389" t="s">
        <v>20155</v>
      </c>
      <c r="G143" s="336">
        <v>45996</v>
      </c>
      <c r="H143" s="337">
        <v>21600</v>
      </c>
      <c r="I143" s="337"/>
      <c r="J143" s="338"/>
      <c r="K143" s="337"/>
      <c r="L143" s="339" t="s">
        <v>18201</v>
      </c>
      <c r="M143" s="318" t="s">
        <v>20993</v>
      </c>
      <c r="N143" s="379" t="s">
        <v>17949</v>
      </c>
      <c r="O143" s="336">
        <v>45806</v>
      </c>
      <c r="P143" s="381">
        <v>0</v>
      </c>
    </row>
    <row r="144" spans="1:16">
      <c r="A144" s="398">
        <v>19204</v>
      </c>
      <c r="B144" s="398">
        <v>42298.8</v>
      </c>
      <c r="C144" s="334" t="s">
        <v>19655</v>
      </c>
      <c r="D144" s="371" t="s">
        <v>20035</v>
      </c>
      <c r="E144" s="372" t="s">
        <v>155</v>
      </c>
      <c r="F144" s="389" t="s">
        <v>20155</v>
      </c>
      <c r="G144" s="336">
        <v>45996</v>
      </c>
      <c r="H144" s="337">
        <v>19204</v>
      </c>
      <c r="I144" s="337"/>
      <c r="J144" s="338"/>
      <c r="K144" s="337"/>
      <c r="L144" s="339" t="s">
        <v>18201</v>
      </c>
      <c r="M144" s="318" t="s">
        <v>20994</v>
      </c>
      <c r="N144" s="379" t="s">
        <v>18248</v>
      </c>
      <c r="O144" s="336">
        <v>45806</v>
      </c>
      <c r="P144" s="381">
        <v>0</v>
      </c>
    </row>
    <row r="145" spans="1:16">
      <c r="A145" s="398">
        <v>19204</v>
      </c>
      <c r="B145" s="398">
        <v>42298.8</v>
      </c>
      <c r="C145" s="334" t="s">
        <v>19655</v>
      </c>
      <c r="D145" s="371" t="s">
        <v>20036</v>
      </c>
      <c r="E145" s="372" t="s">
        <v>156</v>
      </c>
      <c r="F145" s="389" t="s">
        <v>20155</v>
      </c>
      <c r="G145" s="336">
        <v>45996</v>
      </c>
      <c r="H145" s="337">
        <v>19204</v>
      </c>
      <c r="I145" s="337"/>
      <c r="J145" s="338"/>
      <c r="K145" s="337"/>
      <c r="L145" s="339" t="s">
        <v>18201</v>
      </c>
      <c r="M145" s="318" t="s">
        <v>20995</v>
      </c>
      <c r="N145" s="379" t="s">
        <v>18248</v>
      </c>
      <c r="O145" s="336">
        <v>45806</v>
      </c>
      <c r="P145" s="381">
        <v>0</v>
      </c>
    </row>
    <row r="146" spans="1:16">
      <c r="A146" s="398">
        <v>56000</v>
      </c>
      <c r="B146" s="398">
        <v>96160</v>
      </c>
      <c r="C146" s="334" t="s">
        <v>19655</v>
      </c>
      <c r="D146" s="371" t="s">
        <v>20037</v>
      </c>
      <c r="E146" s="372" t="s">
        <v>157</v>
      </c>
      <c r="F146" s="389" t="s">
        <v>20155</v>
      </c>
      <c r="G146" s="336">
        <v>45996</v>
      </c>
      <c r="H146" s="337"/>
      <c r="I146" s="337">
        <v>56000</v>
      </c>
      <c r="J146" s="338"/>
      <c r="K146" s="337"/>
      <c r="L146" s="339" t="s">
        <v>18201</v>
      </c>
      <c r="M146" s="318" t="s">
        <v>20996</v>
      </c>
      <c r="N146" s="379" t="s">
        <v>20173</v>
      </c>
      <c r="O146" s="336">
        <v>45799</v>
      </c>
      <c r="P146" s="381">
        <v>0</v>
      </c>
    </row>
    <row r="147" spans="1:16">
      <c r="A147" s="398">
        <v>6448</v>
      </c>
      <c r="B147" s="398"/>
      <c r="C147" s="334" t="s">
        <v>17343</v>
      </c>
      <c r="D147" s="371" t="s">
        <v>20997</v>
      </c>
      <c r="E147" s="372" t="s">
        <v>158</v>
      </c>
      <c r="F147" s="400" t="s">
        <v>20231</v>
      </c>
      <c r="G147" s="336" t="s">
        <v>20998</v>
      </c>
      <c r="H147" s="337">
        <v>1600</v>
      </c>
      <c r="I147" s="337">
        <v>3168</v>
      </c>
      <c r="J147" s="338"/>
      <c r="K147" s="337">
        <v>1680</v>
      </c>
      <c r="L147" s="339" t="s">
        <v>20424</v>
      </c>
      <c r="M147" s="318"/>
      <c r="N147" s="379" t="s">
        <v>16394</v>
      </c>
      <c r="O147" s="336"/>
      <c r="P147" s="381">
        <v>0</v>
      </c>
    </row>
    <row r="148" spans="1:16">
      <c r="A148" s="398">
        <v>52216</v>
      </c>
      <c r="B148" s="398">
        <v>93134.36</v>
      </c>
      <c r="C148" s="334" t="s">
        <v>19655</v>
      </c>
      <c r="D148" s="371" t="s">
        <v>20038</v>
      </c>
      <c r="E148" s="372" t="s">
        <v>159</v>
      </c>
      <c r="F148" s="389" t="s">
        <v>20155</v>
      </c>
      <c r="G148" s="336" t="s">
        <v>20998</v>
      </c>
      <c r="H148" s="337">
        <v>7000</v>
      </c>
      <c r="I148" s="337">
        <v>40212</v>
      </c>
      <c r="J148" s="338">
        <v>5004</v>
      </c>
      <c r="K148" s="337"/>
      <c r="L148" s="339" t="s">
        <v>18201</v>
      </c>
      <c r="M148" s="318" t="s">
        <v>20999</v>
      </c>
      <c r="N148" s="379" t="s">
        <v>18248</v>
      </c>
      <c r="O148" s="336">
        <v>45799</v>
      </c>
      <c r="P148" s="381">
        <v>0</v>
      </c>
    </row>
    <row r="149" spans="1:16">
      <c r="A149" s="398">
        <v>24720</v>
      </c>
      <c r="B149" s="398">
        <f>23407.78*3.37915</f>
        <v>79098.399787000002</v>
      </c>
      <c r="C149" s="334" t="s">
        <v>19661</v>
      </c>
      <c r="D149" s="371" t="s">
        <v>20039</v>
      </c>
      <c r="E149" s="372" t="s">
        <v>160</v>
      </c>
      <c r="F149" s="389" t="s">
        <v>20155</v>
      </c>
      <c r="G149" s="336" t="s">
        <v>20998</v>
      </c>
      <c r="H149" s="337"/>
      <c r="I149" s="337">
        <v>14164</v>
      </c>
      <c r="J149" s="338">
        <v>10556</v>
      </c>
      <c r="K149" s="337"/>
      <c r="L149" s="339" t="s">
        <v>20424</v>
      </c>
      <c r="M149" s="318" t="s">
        <v>21000</v>
      </c>
      <c r="N149" s="379" t="s">
        <v>20160</v>
      </c>
      <c r="O149" s="336">
        <v>45797</v>
      </c>
      <c r="P149" s="381">
        <f>4250*3.37915</f>
        <v>14361.387500000001</v>
      </c>
    </row>
    <row r="150" spans="1:16">
      <c r="A150" s="398">
        <v>20916</v>
      </c>
      <c r="B150" s="398">
        <f>21851.52*3.38895</f>
        <v>74053.708704000004</v>
      </c>
      <c r="C150" s="334" t="s">
        <v>19661</v>
      </c>
      <c r="D150" s="371" t="s">
        <v>20040</v>
      </c>
      <c r="E150" s="372" t="s">
        <v>161</v>
      </c>
      <c r="F150" s="389" t="s">
        <v>20155</v>
      </c>
      <c r="G150" s="336" t="s">
        <v>20998</v>
      </c>
      <c r="H150" s="337"/>
      <c r="I150" s="337">
        <v>14516</v>
      </c>
      <c r="J150" s="338">
        <f>1500+3000+1900</f>
        <v>6400</v>
      </c>
      <c r="K150" s="337"/>
      <c r="L150" s="339" t="s">
        <v>20424</v>
      </c>
      <c r="M150" s="318" t="s">
        <v>21001</v>
      </c>
      <c r="N150" s="379" t="s">
        <v>20160</v>
      </c>
      <c r="O150" s="336">
        <v>45808</v>
      </c>
      <c r="P150" s="381">
        <f>4250*3.38895</f>
        <v>14403.0375</v>
      </c>
    </row>
    <row r="151" spans="1:16">
      <c r="A151" s="398">
        <v>24434</v>
      </c>
      <c r="B151" s="398">
        <f>22333.48*3.38895</f>
        <v>75687.047045999992</v>
      </c>
      <c r="C151" s="334" t="s">
        <v>19661</v>
      </c>
      <c r="D151" s="371" t="s">
        <v>20041</v>
      </c>
      <c r="E151" s="372" t="s">
        <v>162</v>
      </c>
      <c r="F151" s="389" t="s">
        <v>20155</v>
      </c>
      <c r="G151" s="336" t="s">
        <v>20998</v>
      </c>
      <c r="H151" s="337"/>
      <c r="I151" s="337">
        <v>15984</v>
      </c>
      <c r="J151" s="338">
        <f>3000+4500+950</f>
        <v>8450</v>
      </c>
      <c r="K151" s="337"/>
      <c r="L151" s="339" t="s">
        <v>20424</v>
      </c>
      <c r="M151" s="318" t="s">
        <v>21002</v>
      </c>
      <c r="N151" s="379" t="s">
        <v>20160</v>
      </c>
      <c r="O151" s="336">
        <v>45808</v>
      </c>
      <c r="P151" s="381">
        <f>4250*3.38895</f>
        <v>14403.0375</v>
      </c>
    </row>
    <row r="152" spans="1:16">
      <c r="A152" s="398">
        <v>23720</v>
      </c>
      <c r="B152" s="398">
        <f>22536.53*3.38895</f>
        <v>76375.173343499991</v>
      </c>
      <c r="C152" s="334" t="s">
        <v>19661</v>
      </c>
      <c r="D152" s="371" t="s">
        <v>20042</v>
      </c>
      <c r="E152" s="372" t="s">
        <v>163</v>
      </c>
      <c r="F152" s="389" t="s">
        <v>20155</v>
      </c>
      <c r="G152" s="336" t="s">
        <v>20998</v>
      </c>
      <c r="H152" s="337"/>
      <c r="I152" s="337">
        <v>15614</v>
      </c>
      <c r="J152" s="338">
        <v>8106</v>
      </c>
      <c r="K152" s="337"/>
      <c r="L152" s="339" t="s">
        <v>20424</v>
      </c>
      <c r="M152" s="318" t="s">
        <v>21003</v>
      </c>
      <c r="N152" s="379" t="s">
        <v>20160</v>
      </c>
      <c r="O152" s="336">
        <v>45807</v>
      </c>
      <c r="P152" s="381">
        <f>4250*3.38895</f>
        <v>14403.0375</v>
      </c>
    </row>
    <row r="153" spans="1:16">
      <c r="A153" s="398">
        <v>52000</v>
      </c>
      <c r="B153" s="398"/>
      <c r="C153" s="334" t="s">
        <v>17330</v>
      </c>
      <c r="D153" s="371" t="s">
        <v>21004</v>
      </c>
      <c r="E153" s="372" t="s">
        <v>164</v>
      </c>
      <c r="F153" s="400" t="s">
        <v>20231</v>
      </c>
      <c r="G153" s="336" t="s">
        <v>20998</v>
      </c>
      <c r="H153" s="337"/>
      <c r="I153" s="337"/>
      <c r="J153" s="338">
        <v>52000</v>
      </c>
      <c r="K153" s="337"/>
      <c r="L153" s="339" t="s">
        <v>21005</v>
      </c>
      <c r="M153" s="318"/>
      <c r="N153" s="379" t="s">
        <v>21006</v>
      </c>
      <c r="O153" s="336"/>
      <c r="P153" s="381">
        <v>0</v>
      </c>
    </row>
    <row r="154" spans="1:16">
      <c r="A154" s="398">
        <v>24000</v>
      </c>
      <c r="B154" s="398">
        <f>27570*3.00125</f>
        <v>82744.462500000009</v>
      </c>
      <c r="C154" s="334" t="s">
        <v>19961</v>
      </c>
      <c r="D154" s="371" t="s">
        <v>20043</v>
      </c>
      <c r="E154" s="372" t="s">
        <v>165</v>
      </c>
      <c r="F154" s="389" t="s">
        <v>20155</v>
      </c>
      <c r="G154" s="336" t="s">
        <v>21007</v>
      </c>
      <c r="H154" s="337">
        <v>24000</v>
      </c>
      <c r="I154" s="337"/>
      <c r="J154" s="338"/>
      <c r="K154" s="337"/>
      <c r="L154" s="339" t="s">
        <v>20424</v>
      </c>
      <c r="M154" s="318" t="s">
        <v>21008</v>
      </c>
      <c r="N154" s="379" t="s">
        <v>17939</v>
      </c>
      <c r="O154" s="336">
        <v>45799</v>
      </c>
      <c r="P154" s="381">
        <v>0</v>
      </c>
    </row>
    <row r="155" spans="1:16">
      <c r="A155" s="398">
        <v>110040</v>
      </c>
      <c r="B155" s="398">
        <f>75724.8*3.38915</f>
        <v>256642.70592000001</v>
      </c>
      <c r="C155" s="334" t="s">
        <v>19852</v>
      </c>
      <c r="D155" s="371" t="s">
        <v>20044</v>
      </c>
      <c r="E155" s="372" t="s">
        <v>166</v>
      </c>
      <c r="F155" s="389" t="s">
        <v>20155</v>
      </c>
      <c r="G155" s="336" t="s">
        <v>21009</v>
      </c>
      <c r="H155" s="337">
        <v>110040</v>
      </c>
      <c r="I155" s="337"/>
      <c r="J155" s="338"/>
      <c r="K155" s="337"/>
      <c r="L155" s="339" t="s">
        <v>19852</v>
      </c>
      <c r="M155" s="318" t="s">
        <v>21010</v>
      </c>
      <c r="N155" s="379" t="s">
        <v>17949</v>
      </c>
      <c r="O155" s="336">
        <v>45804</v>
      </c>
      <c r="P155" s="381">
        <f>7500*3.38915</f>
        <v>25418.625</v>
      </c>
    </row>
    <row r="156" spans="1:16">
      <c r="A156" s="398">
        <v>27840</v>
      </c>
      <c r="B156" s="398">
        <f>22397.6*2.97785</f>
        <v>66696.693159999995</v>
      </c>
      <c r="C156" s="334" t="s">
        <v>17403</v>
      </c>
      <c r="D156" s="371" t="s">
        <v>20045</v>
      </c>
      <c r="E156" s="372" t="s">
        <v>167</v>
      </c>
      <c r="F156" s="389" t="s">
        <v>20155</v>
      </c>
      <c r="G156" s="336" t="s">
        <v>21009</v>
      </c>
      <c r="H156" s="337"/>
      <c r="I156" s="337"/>
      <c r="J156" s="338">
        <v>27840</v>
      </c>
      <c r="K156" s="337"/>
      <c r="L156" s="339" t="s">
        <v>20424</v>
      </c>
      <c r="M156" s="318" t="s">
        <v>21011</v>
      </c>
      <c r="N156" s="379" t="s">
        <v>17689</v>
      </c>
      <c r="O156" s="336">
        <v>45805</v>
      </c>
      <c r="P156" s="381">
        <f>1100*2.97785</f>
        <v>3275.6350000000002</v>
      </c>
    </row>
    <row r="157" spans="1:16">
      <c r="A157" s="398">
        <v>42422</v>
      </c>
      <c r="B157" s="910">
        <f>18219.57*3.3914</f>
        <v>61789.849697999998</v>
      </c>
      <c r="C157" s="334" t="s">
        <v>17343</v>
      </c>
      <c r="D157" s="371" t="s">
        <v>20046</v>
      </c>
      <c r="E157" s="372" t="s">
        <v>168</v>
      </c>
      <c r="F157" s="389" t="s">
        <v>20155</v>
      </c>
      <c r="G157" s="336" t="s">
        <v>21012</v>
      </c>
      <c r="H157" s="337">
        <v>1600</v>
      </c>
      <c r="I157" s="337">
        <v>28622</v>
      </c>
      <c r="J157" s="338">
        <v>8400</v>
      </c>
      <c r="K157" s="337">
        <v>3800</v>
      </c>
      <c r="L157" s="339" t="s">
        <v>20424</v>
      </c>
      <c r="M157" s="318" t="s">
        <v>21013</v>
      </c>
      <c r="N157" s="379" t="s">
        <v>16394</v>
      </c>
      <c r="O157" s="336">
        <v>45806</v>
      </c>
      <c r="P157" s="381">
        <f>7160*3.3914</f>
        <v>24282.423999999999</v>
      </c>
    </row>
    <row r="158" spans="1:16">
      <c r="A158" s="398">
        <v>16250</v>
      </c>
      <c r="B158" s="398">
        <f>26875*2.9513</f>
        <v>79316.1875</v>
      </c>
      <c r="C158" s="334" t="s">
        <v>19961</v>
      </c>
      <c r="D158" s="371" t="s">
        <v>20047</v>
      </c>
      <c r="E158" s="372" t="s">
        <v>169</v>
      </c>
      <c r="F158" s="389" t="s">
        <v>20155</v>
      </c>
      <c r="G158" s="336">
        <v>45906</v>
      </c>
      <c r="H158" s="337"/>
      <c r="I158" s="337"/>
      <c r="J158" s="338"/>
      <c r="K158" s="337">
        <v>16250</v>
      </c>
      <c r="L158" s="339" t="s">
        <v>20424</v>
      </c>
      <c r="M158" s="318" t="s">
        <v>21014</v>
      </c>
      <c r="N158" s="379" t="s">
        <v>17939</v>
      </c>
      <c r="O158" s="336">
        <v>45831</v>
      </c>
      <c r="P158" s="381">
        <v>0</v>
      </c>
    </row>
    <row r="159" spans="1:16">
      <c r="A159" s="398">
        <v>200011</v>
      </c>
      <c r="B159" s="398">
        <f>404022.38</f>
        <v>404022.38</v>
      </c>
      <c r="C159" s="334" t="s">
        <v>19878</v>
      </c>
      <c r="D159" s="371" t="s">
        <v>20049</v>
      </c>
      <c r="E159" s="372" t="s">
        <v>170</v>
      </c>
      <c r="F159" s="389" t="s">
        <v>20155</v>
      </c>
      <c r="G159" s="336">
        <v>45906</v>
      </c>
      <c r="H159" s="337">
        <v>200011</v>
      </c>
      <c r="I159" s="337"/>
      <c r="J159" s="338"/>
      <c r="K159" s="337"/>
      <c r="L159" s="339" t="s">
        <v>20571</v>
      </c>
      <c r="M159" s="318" t="s">
        <v>21015</v>
      </c>
      <c r="N159" s="379" t="s">
        <v>17939</v>
      </c>
      <c r="O159" s="336">
        <v>45824</v>
      </c>
      <c r="P159" s="381">
        <v>0</v>
      </c>
    </row>
    <row r="160" spans="1:16">
      <c r="A160" s="398">
        <v>26000</v>
      </c>
      <c r="B160" s="398">
        <f>14960*3.40825</f>
        <v>50987.42</v>
      </c>
      <c r="C160" s="334" t="s">
        <v>17277</v>
      </c>
      <c r="D160" s="371" t="s">
        <v>20050</v>
      </c>
      <c r="E160" s="372" t="s">
        <v>171</v>
      </c>
      <c r="F160" s="389" t="s">
        <v>20155</v>
      </c>
      <c r="G160" s="336" t="s">
        <v>21016</v>
      </c>
      <c r="H160" s="337"/>
      <c r="I160" s="337"/>
      <c r="J160" s="338">
        <v>26000</v>
      </c>
      <c r="K160" s="337"/>
      <c r="L160" s="339" t="s">
        <v>20424</v>
      </c>
      <c r="M160" s="318" t="s">
        <v>21017</v>
      </c>
      <c r="N160" s="379" t="s">
        <v>20297</v>
      </c>
      <c r="O160" s="336">
        <v>45831</v>
      </c>
      <c r="P160" s="381">
        <f>1700*3.40825</f>
        <v>5794.0249999999996</v>
      </c>
    </row>
    <row r="161" spans="1:16">
      <c r="A161" s="398">
        <v>20000</v>
      </c>
      <c r="B161" s="398">
        <v>44000</v>
      </c>
      <c r="C161" s="334" t="s">
        <v>17018</v>
      </c>
      <c r="D161" s="371" t="s">
        <v>20051</v>
      </c>
      <c r="E161" s="372" t="s">
        <v>172</v>
      </c>
      <c r="F161" s="389" t="s">
        <v>20155</v>
      </c>
      <c r="G161" s="336">
        <v>45967</v>
      </c>
      <c r="H161" s="337">
        <v>20000</v>
      </c>
      <c r="I161" s="337"/>
      <c r="J161" s="338"/>
      <c r="K161" s="337"/>
      <c r="L161" s="339" t="s">
        <v>20398</v>
      </c>
      <c r="M161" s="318" t="s">
        <v>21018</v>
      </c>
      <c r="N161" s="379" t="s">
        <v>20350</v>
      </c>
      <c r="O161" s="336">
        <v>45832</v>
      </c>
      <c r="P161" s="381" t="s">
        <v>21019</v>
      </c>
    </row>
    <row r="162" spans="1:16">
      <c r="A162" s="398">
        <v>21600</v>
      </c>
      <c r="B162" s="398">
        <v>45684</v>
      </c>
      <c r="C162" s="334" t="s">
        <v>19656</v>
      </c>
      <c r="D162" s="371" t="s">
        <v>20053</v>
      </c>
      <c r="E162" s="372" t="s">
        <v>173</v>
      </c>
      <c r="F162" s="389" t="s">
        <v>20155</v>
      </c>
      <c r="G162" s="336">
        <v>45967</v>
      </c>
      <c r="H162" s="337">
        <v>21600</v>
      </c>
      <c r="I162" s="337"/>
      <c r="J162" s="338"/>
      <c r="K162" s="337"/>
      <c r="L162" s="339" t="s">
        <v>20424</v>
      </c>
      <c r="M162" s="318" t="s">
        <v>21020</v>
      </c>
      <c r="N162" s="379" t="s">
        <v>17693</v>
      </c>
      <c r="O162" s="336">
        <v>45832</v>
      </c>
      <c r="P162" s="381">
        <v>0</v>
      </c>
    </row>
    <row r="163" spans="1:16">
      <c r="A163" s="398">
        <v>23100</v>
      </c>
      <c r="B163" s="398">
        <f>20718*2.95745</f>
        <v>61272.449100000005</v>
      </c>
      <c r="C163" s="334" t="s">
        <v>19885</v>
      </c>
      <c r="D163" s="371" t="s">
        <v>20054</v>
      </c>
      <c r="E163" s="372" t="s">
        <v>174</v>
      </c>
      <c r="F163" s="389" t="s">
        <v>20155</v>
      </c>
      <c r="G163" s="336">
        <v>45967</v>
      </c>
      <c r="H163" s="337">
        <v>15000</v>
      </c>
      <c r="I163" s="337">
        <v>8100</v>
      </c>
      <c r="J163" s="338"/>
      <c r="K163" s="337"/>
      <c r="L163" s="339" t="s">
        <v>20424</v>
      </c>
      <c r="M163" s="318" t="s">
        <v>21021</v>
      </c>
      <c r="N163" s="379" t="s">
        <v>20168</v>
      </c>
      <c r="O163" s="336">
        <v>45824</v>
      </c>
      <c r="P163" s="381">
        <f>1350*2.95745</f>
        <v>3992.5575000000003</v>
      </c>
    </row>
    <row r="164" spans="1:16">
      <c r="A164" s="398">
        <v>56000</v>
      </c>
      <c r="B164" s="398">
        <v>86800</v>
      </c>
      <c r="C164" s="334" t="s">
        <v>19656</v>
      </c>
      <c r="D164" s="371" t="s">
        <v>20055</v>
      </c>
      <c r="E164" s="372" t="s">
        <v>175</v>
      </c>
      <c r="F164" s="389" t="s">
        <v>20155</v>
      </c>
      <c r="G164" s="336">
        <v>45997</v>
      </c>
      <c r="H164" s="337"/>
      <c r="I164" s="337"/>
      <c r="J164" s="338">
        <v>56000</v>
      </c>
      <c r="K164" s="337"/>
      <c r="L164" s="339" t="s">
        <v>20398</v>
      </c>
      <c r="M164" s="318" t="s">
        <v>21022</v>
      </c>
      <c r="N164" s="379" t="s">
        <v>17777</v>
      </c>
      <c r="O164" s="336">
        <v>45832</v>
      </c>
      <c r="P164" s="381">
        <v>0</v>
      </c>
    </row>
    <row r="165" spans="1:16">
      <c r="A165" s="398">
        <v>134400</v>
      </c>
      <c r="B165" s="398">
        <f>93804*3.41675</f>
        <v>320504.81699999998</v>
      </c>
      <c r="C165" s="334" t="s">
        <v>20534</v>
      </c>
      <c r="D165" s="371" t="s">
        <v>20056</v>
      </c>
      <c r="E165" s="372" t="s">
        <v>176</v>
      </c>
      <c r="F165" s="389" t="s">
        <v>20155</v>
      </c>
      <c r="G165" s="336" t="s">
        <v>21023</v>
      </c>
      <c r="H165" s="337">
        <v>134400</v>
      </c>
      <c r="I165" s="337"/>
      <c r="J165" s="338"/>
      <c r="K165" s="337"/>
      <c r="L165" s="339" t="s">
        <v>20424</v>
      </c>
      <c r="M165" s="318" t="s">
        <v>21024</v>
      </c>
      <c r="N165" s="379" t="s">
        <v>20321</v>
      </c>
      <c r="O165" s="336">
        <v>45828</v>
      </c>
      <c r="P165" s="381">
        <f>5100*3.41675</f>
        <v>17425.424999999999</v>
      </c>
    </row>
    <row r="166" spans="1:16">
      <c r="A166" s="398">
        <v>227920</v>
      </c>
      <c r="B166" s="398">
        <f>173446.4*2.9513</f>
        <v>511892.36031999998</v>
      </c>
      <c r="C166" s="334" t="s">
        <v>19961</v>
      </c>
      <c r="D166" s="371" t="s">
        <v>20057</v>
      </c>
      <c r="E166" s="372" t="s">
        <v>177</v>
      </c>
      <c r="F166" s="389" t="s">
        <v>20155</v>
      </c>
      <c r="G166" s="336" t="s">
        <v>21023</v>
      </c>
      <c r="H166" s="337"/>
      <c r="I166" s="337">
        <v>189120</v>
      </c>
      <c r="J166" s="338">
        <v>38800</v>
      </c>
      <c r="K166" s="337"/>
      <c r="L166" s="339" t="s">
        <v>20424</v>
      </c>
      <c r="M166" s="318" t="s">
        <v>21025</v>
      </c>
      <c r="N166" s="379" t="s">
        <v>17939</v>
      </c>
      <c r="O166" s="336">
        <v>45828</v>
      </c>
      <c r="P166" s="381">
        <v>0</v>
      </c>
    </row>
    <row r="167" spans="1:16">
      <c r="A167" s="398">
        <v>87600</v>
      </c>
      <c r="B167" s="398">
        <f>61970*2.96395</f>
        <v>183675.98149999999</v>
      </c>
      <c r="C167" s="334" t="s">
        <v>19837</v>
      </c>
      <c r="D167" s="371" t="s">
        <v>20058</v>
      </c>
      <c r="E167" s="372" t="s">
        <v>178</v>
      </c>
      <c r="F167" s="389" t="s">
        <v>20155</v>
      </c>
      <c r="G167" s="336" t="s">
        <v>21026</v>
      </c>
      <c r="H167" s="337"/>
      <c r="I167" s="337">
        <v>87600</v>
      </c>
      <c r="J167" s="338"/>
      <c r="K167" s="337"/>
      <c r="L167" s="339" t="s">
        <v>20424</v>
      </c>
      <c r="M167" s="318" t="s">
        <v>21027</v>
      </c>
      <c r="N167" s="379" t="s">
        <v>17261</v>
      </c>
      <c r="O167" s="336">
        <v>45833</v>
      </c>
      <c r="P167" s="381">
        <f>11600*2.96395</f>
        <v>34381.82</v>
      </c>
    </row>
    <row r="168" spans="1:16">
      <c r="A168" s="398">
        <v>20150</v>
      </c>
      <c r="B168" s="398">
        <f>14981.5*2.94625</f>
        <v>44139.244375000002</v>
      </c>
      <c r="C168" s="334" t="s">
        <v>19659</v>
      </c>
      <c r="D168" s="371" t="s">
        <v>20060</v>
      </c>
      <c r="E168" s="372" t="s">
        <v>179</v>
      </c>
      <c r="F168" s="389" t="s">
        <v>20155</v>
      </c>
      <c r="G168" s="336" t="s">
        <v>21028</v>
      </c>
      <c r="H168" s="337">
        <v>20150</v>
      </c>
      <c r="I168" s="337"/>
      <c r="J168" s="338"/>
      <c r="K168" s="337"/>
      <c r="L168" s="339" t="s">
        <v>20398</v>
      </c>
      <c r="M168" s="318" t="s">
        <v>21029</v>
      </c>
      <c r="N168" s="379" t="s">
        <v>20161</v>
      </c>
      <c r="O168" s="336">
        <v>45835</v>
      </c>
      <c r="P168" s="381">
        <v>0</v>
      </c>
    </row>
    <row r="169" spans="1:16">
      <c r="A169" s="398">
        <v>156000</v>
      </c>
      <c r="B169" s="398">
        <v>272220</v>
      </c>
      <c r="C169" s="334" t="s">
        <v>19655</v>
      </c>
      <c r="D169" s="371" t="s">
        <v>20061</v>
      </c>
      <c r="E169" s="372" t="s">
        <v>180</v>
      </c>
      <c r="F169" s="389" t="s">
        <v>20155</v>
      </c>
      <c r="G169" s="336" t="s">
        <v>21028</v>
      </c>
      <c r="H169" s="337"/>
      <c r="I169" s="337"/>
      <c r="J169" s="338">
        <v>156000</v>
      </c>
      <c r="K169" s="337"/>
      <c r="L169" s="339" t="s">
        <v>18201</v>
      </c>
      <c r="M169" s="318" t="s">
        <v>21030</v>
      </c>
      <c r="N169" s="379" t="s">
        <v>17771</v>
      </c>
      <c r="O169" s="336">
        <v>45838</v>
      </c>
      <c r="P169" s="381">
        <v>0</v>
      </c>
    </row>
    <row r="170" spans="1:16">
      <c r="A170" s="398">
        <v>84000</v>
      </c>
      <c r="B170" s="398">
        <v>144480</v>
      </c>
      <c r="C170" s="334" t="s">
        <v>19655</v>
      </c>
      <c r="D170" s="371" t="s">
        <v>20062</v>
      </c>
      <c r="E170" s="372" t="s">
        <v>181</v>
      </c>
      <c r="F170" s="389" t="s">
        <v>20155</v>
      </c>
      <c r="G170" s="336" t="s">
        <v>21028</v>
      </c>
      <c r="H170" s="337"/>
      <c r="I170" s="337">
        <v>84000</v>
      </c>
      <c r="J170" s="338"/>
      <c r="K170" s="337"/>
      <c r="L170" s="339" t="s">
        <v>18201</v>
      </c>
      <c r="M170" s="318" t="s">
        <v>21031</v>
      </c>
      <c r="N170" s="379" t="s">
        <v>20173</v>
      </c>
      <c r="O170" s="336">
        <v>45831</v>
      </c>
      <c r="P170" s="381">
        <v>0</v>
      </c>
    </row>
    <row r="171" spans="1:16">
      <c r="A171" s="398">
        <v>43200</v>
      </c>
      <c r="B171" s="398">
        <v>94176</v>
      </c>
      <c r="C171" s="334" t="s">
        <v>19655</v>
      </c>
      <c r="D171" s="371" t="s">
        <v>20063</v>
      </c>
      <c r="E171" s="372" t="s">
        <v>182</v>
      </c>
      <c r="F171" s="389" t="s">
        <v>20155</v>
      </c>
      <c r="G171" s="336" t="s">
        <v>21028</v>
      </c>
      <c r="H171" s="337">
        <v>43200</v>
      </c>
      <c r="I171" s="337"/>
      <c r="J171" s="338"/>
      <c r="K171" s="337"/>
      <c r="L171" s="339" t="s">
        <v>18201</v>
      </c>
      <c r="M171" s="318" t="s">
        <v>21032</v>
      </c>
      <c r="N171" s="379" t="s">
        <v>20173</v>
      </c>
      <c r="O171" s="336">
        <v>45847</v>
      </c>
      <c r="P171" s="381">
        <v>0</v>
      </c>
    </row>
    <row r="172" spans="1:16">
      <c r="A172" s="398">
        <v>21600</v>
      </c>
      <c r="B172" s="398">
        <v>47520</v>
      </c>
      <c r="C172" s="334" t="s">
        <v>19655</v>
      </c>
      <c r="D172" s="371" t="s">
        <v>20064</v>
      </c>
      <c r="E172" s="372" t="s">
        <v>183</v>
      </c>
      <c r="F172" s="389" t="s">
        <v>20155</v>
      </c>
      <c r="G172" s="336" t="s">
        <v>21028</v>
      </c>
      <c r="H172" s="337">
        <v>21600</v>
      </c>
      <c r="I172" s="337"/>
      <c r="J172" s="338"/>
      <c r="K172" s="337"/>
      <c r="L172" s="339" t="s">
        <v>18201</v>
      </c>
      <c r="M172" s="318" t="s">
        <v>21033</v>
      </c>
      <c r="N172" s="379" t="s">
        <v>17693</v>
      </c>
      <c r="O172" s="336">
        <v>45847</v>
      </c>
      <c r="P172" s="381">
        <v>0</v>
      </c>
    </row>
    <row r="173" spans="1:16">
      <c r="A173" s="398">
        <v>48000</v>
      </c>
      <c r="B173" s="398">
        <v>83880</v>
      </c>
      <c r="C173" s="334" t="s">
        <v>19655</v>
      </c>
      <c r="D173" s="371" t="s">
        <v>20065</v>
      </c>
      <c r="E173" s="372" t="s">
        <v>184</v>
      </c>
      <c r="F173" s="389" t="s">
        <v>20155</v>
      </c>
      <c r="G173" s="336" t="s">
        <v>21028</v>
      </c>
      <c r="H173" s="337"/>
      <c r="I173" s="337">
        <v>48000</v>
      </c>
      <c r="J173" s="338"/>
      <c r="K173" s="337"/>
      <c r="L173" s="339" t="s">
        <v>18201</v>
      </c>
      <c r="M173" s="318" t="s">
        <v>21034</v>
      </c>
      <c r="N173" s="379" t="s">
        <v>18248</v>
      </c>
      <c r="O173" s="336">
        <v>45847</v>
      </c>
      <c r="P173" s="381">
        <v>0</v>
      </c>
    </row>
    <row r="174" spans="1:16">
      <c r="A174" s="398">
        <v>22560</v>
      </c>
      <c r="B174" s="398">
        <v>39367.199999999997</v>
      </c>
      <c r="C174" s="334" t="s">
        <v>19656</v>
      </c>
      <c r="D174" s="371" t="s">
        <v>20066</v>
      </c>
      <c r="E174" s="372" t="s">
        <v>185</v>
      </c>
      <c r="F174" s="389" t="s">
        <v>20155</v>
      </c>
      <c r="G174" s="336" t="s">
        <v>21028</v>
      </c>
      <c r="H174" s="337"/>
      <c r="I174" s="337">
        <v>22560</v>
      </c>
      <c r="J174" s="338"/>
      <c r="K174" s="337"/>
      <c r="L174" s="339" t="s">
        <v>20430</v>
      </c>
      <c r="M174" s="318" t="s">
        <v>21035</v>
      </c>
      <c r="N174" s="379" t="s">
        <v>17771</v>
      </c>
      <c r="O174" s="336">
        <v>45846</v>
      </c>
      <c r="P174" s="381">
        <v>0</v>
      </c>
    </row>
    <row r="175" spans="1:16">
      <c r="A175" s="898">
        <v>76800</v>
      </c>
      <c r="B175" s="898">
        <v>168960</v>
      </c>
      <c r="C175" s="899" t="s">
        <v>19656</v>
      </c>
      <c r="D175" s="371" t="s">
        <v>20067</v>
      </c>
      <c r="E175" s="372" t="s">
        <v>186</v>
      </c>
      <c r="F175" s="900" t="s">
        <v>20155</v>
      </c>
      <c r="G175" s="911" t="s">
        <v>21028</v>
      </c>
      <c r="H175" s="901">
        <v>76800</v>
      </c>
      <c r="I175" s="901"/>
      <c r="J175" s="902"/>
      <c r="K175" s="901"/>
      <c r="L175" s="903" t="s">
        <v>20427</v>
      </c>
      <c r="M175" s="904" t="s">
        <v>21036</v>
      </c>
      <c r="N175" s="379" t="s">
        <v>17965</v>
      </c>
      <c r="O175" s="911">
        <v>45841</v>
      </c>
      <c r="P175" s="381">
        <v>0</v>
      </c>
    </row>
    <row r="176" spans="1:16">
      <c r="A176" s="398">
        <v>165654</v>
      </c>
      <c r="B176" s="398">
        <v>287391.03999999998</v>
      </c>
      <c r="C176" s="334" t="s">
        <v>19647</v>
      </c>
      <c r="D176" s="371" t="s">
        <v>20068</v>
      </c>
      <c r="E176" s="372" t="s">
        <v>187</v>
      </c>
      <c r="F176" s="389" t="s">
        <v>20155</v>
      </c>
      <c r="G176" s="336" t="s">
        <v>21028</v>
      </c>
      <c r="H176" s="337"/>
      <c r="I176" s="337">
        <v>25404</v>
      </c>
      <c r="J176" s="338">
        <v>140000</v>
      </c>
      <c r="K176" s="337">
        <v>250</v>
      </c>
      <c r="L176" s="339" t="s">
        <v>20398</v>
      </c>
      <c r="M176" s="318" t="s">
        <v>21037</v>
      </c>
      <c r="N176" s="379" t="s">
        <v>17771</v>
      </c>
      <c r="O176" s="336">
        <v>45852</v>
      </c>
      <c r="P176" s="381">
        <v>0</v>
      </c>
    </row>
    <row r="177" spans="1:16">
      <c r="A177" s="398">
        <v>110400</v>
      </c>
      <c r="B177" s="398">
        <v>190540</v>
      </c>
      <c r="C177" s="334" t="s">
        <v>19647</v>
      </c>
      <c r="D177" s="371" t="s">
        <v>20069</v>
      </c>
      <c r="E177" s="372" t="s">
        <v>188</v>
      </c>
      <c r="F177" s="389" t="s">
        <v>20155</v>
      </c>
      <c r="G177" s="336" t="s">
        <v>21028</v>
      </c>
      <c r="H177" s="337">
        <v>2400</v>
      </c>
      <c r="I177" s="337">
        <v>24000</v>
      </c>
      <c r="J177" s="338">
        <v>84000</v>
      </c>
      <c r="K177" s="337"/>
      <c r="L177" s="339" t="s">
        <v>20398</v>
      </c>
      <c r="M177" s="318" t="s">
        <v>21038</v>
      </c>
      <c r="N177" s="379" t="s">
        <v>17771</v>
      </c>
      <c r="O177" s="336">
        <v>45846</v>
      </c>
      <c r="P177" s="381">
        <v>0</v>
      </c>
    </row>
    <row r="178" spans="1:16">
      <c r="A178" s="398">
        <v>16932</v>
      </c>
      <c r="B178" s="398">
        <v>60678.84</v>
      </c>
      <c r="C178" s="334" t="s">
        <v>17018</v>
      </c>
      <c r="D178" s="371" t="s">
        <v>20070</v>
      </c>
      <c r="E178" s="372" t="s">
        <v>189</v>
      </c>
      <c r="F178" s="389" t="s">
        <v>20155</v>
      </c>
      <c r="G178" s="336" t="s">
        <v>21028</v>
      </c>
      <c r="H178" s="337"/>
      <c r="I178" s="337">
        <v>10380</v>
      </c>
      <c r="J178" s="338">
        <v>1152</v>
      </c>
      <c r="K178" s="337">
        <v>5400</v>
      </c>
      <c r="L178" s="339" t="s">
        <v>20424</v>
      </c>
      <c r="M178" s="318" t="s">
        <v>21039</v>
      </c>
      <c r="N178" s="379" t="s">
        <v>21040</v>
      </c>
      <c r="O178" s="336">
        <v>45861</v>
      </c>
      <c r="P178" s="381">
        <v>0</v>
      </c>
    </row>
    <row r="179" spans="1:16">
      <c r="A179" s="398">
        <v>188640</v>
      </c>
      <c r="B179" s="398">
        <f>129172.9*2.918</f>
        <v>376926.52220000001</v>
      </c>
      <c r="C179" s="334" t="s">
        <v>19804</v>
      </c>
      <c r="D179" s="371" t="s">
        <v>20071</v>
      </c>
      <c r="E179" s="372" t="s">
        <v>190</v>
      </c>
      <c r="F179" s="389" t="s">
        <v>20155</v>
      </c>
      <c r="G179" s="336" t="s">
        <v>21028</v>
      </c>
      <c r="H179" s="337"/>
      <c r="I179" s="337">
        <v>155232</v>
      </c>
      <c r="J179" s="338">
        <v>33408</v>
      </c>
      <c r="K179" s="337"/>
      <c r="L179" s="339" t="s">
        <v>20424</v>
      </c>
      <c r="M179" s="318" t="s">
        <v>21041</v>
      </c>
      <c r="N179" s="379" t="s">
        <v>20173</v>
      </c>
      <c r="O179" s="336">
        <v>45855</v>
      </c>
      <c r="P179" s="381">
        <v>0</v>
      </c>
    </row>
    <row r="180" spans="1:16">
      <c r="A180" s="398">
        <v>78000</v>
      </c>
      <c r="B180" s="398">
        <v>120510</v>
      </c>
      <c r="C180" s="334" t="s">
        <v>20728</v>
      </c>
      <c r="D180" s="371" t="s">
        <v>20072</v>
      </c>
      <c r="E180" s="372" t="s">
        <v>191</v>
      </c>
      <c r="F180" s="389" t="s">
        <v>20155</v>
      </c>
      <c r="G180" s="336" t="s">
        <v>21042</v>
      </c>
      <c r="H180" s="337"/>
      <c r="I180" s="337"/>
      <c r="J180" s="338">
        <v>78000</v>
      </c>
      <c r="K180" s="337"/>
      <c r="L180" s="339" t="s">
        <v>20729</v>
      </c>
      <c r="M180" s="318" t="s">
        <v>21043</v>
      </c>
      <c r="N180" s="379" t="s">
        <v>20195</v>
      </c>
      <c r="O180" s="336">
        <v>45838</v>
      </c>
      <c r="P180" s="381">
        <v>0</v>
      </c>
    </row>
    <row r="181" spans="1:16">
      <c r="A181" s="398">
        <v>22008</v>
      </c>
      <c r="B181" s="398">
        <v>47317.2</v>
      </c>
      <c r="C181" s="334" t="s">
        <v>19655</v>
      </c>
      <c r="D181" s="371" t="s">
        <v>20073</v>
      </c>
      <c r="E181" s="372" t="s">
        <v>192</v>
      </c>
      <c r="F181" s="389" t="s">
        <v>20155</v>
      </c>
      <c r="G181" s="336" t="s">
        <v>21042</v>
      </c>
      <c r="H181" s="337">
        <v>22008</v>
      </c>
      <c r="I181" s="337"/>
      <c r="J181" s="338"/>
      <c r="K181" s="337"/>
      <c r="L181" s="339" t="s">
        <v>18201</v>
      </c>
      <c r="M181" s="318" t="s">
        <v>21044</v>
      </c>
      <c r="N181" s="379" t="s">
        <v>17693</v>
      </c>
      <c r="O181" s="336">
        <v>45849</v>
      </c>
      <c r="P181" s="381">
        <v>0</v>
      </c>
    </row>
    <row r="182" spans="1:16">
      <c r="A182" s="398">
        <v>87600</v>
      </c>
      <c r="B182" s="398">
        <f>61970*2.9214</f>
        <v>181039.15800000002</v>
      </c>
      <c r="C182" s="334" t="s">
        <v>19837</v>
      </c>
      <c r="D182" s="371" t="s">
        <v>20074</v>
      </c>
      <c r="E182" s="372" t="s">
        <v>193</v>
      </c>
      <c r="F182" s="389" t="s">
        <v>20155</v>
      </c>
      <c r="G182" s="336" t="s">
        <v>21016</v>
      </c>
      <c r="H182" s="337"/>
      <c r="I182" s="337">
        <v>87600</v>
      </c>
      <c r="J182" s="338"/>
      <c r="K182" s="337"/>
      <c r="L182" s="339" t="s">
        <v>20424</v>
      </c>
      <c r="M182" s="318" t="s">
        <v>21045</v>
      </c>
      <c r="N182" s="379" t="s">
        <v>17261</v>
      </c>
      <c r="O182" s="911">
        <v>45840</v>
      </c>
      <c r="P182" s="381">
        <f>11600*2.9214</f>
        <v>33888.240000000005</v>
      </c>
    </row>
    <row r="183" spans="1:16">
      <c r="A183" s="398">
        <v>18500</v>
      </c>
      <c r="B183" s="398">
        <f>23954.6*2.9214</f>
        <v>69980.968439999997</v>
      </c>
      <c r="C183" s="334" t="s">
        <v>19653</v>
      </c>
      <c r="D183" s="371" t="s">
        <v>20075</v>
      </c>
      <c r="E183" s="372" t="s">
        <v>194</v>
      </c>
      <c r="F183" s="389" t="s">
        <v>20155</v>
      </c>
      <c r="G183" s="336" t="s">
        <v>21016</v>
      </c>
      <c r="H183" s="337">
        <v>8750</v>
      </c>
      <c r="I183" s="337">
        <v>9750</v>
      </c>
      <c r="J183" s="338"/>
      <c r="K183" s="337"/>
      <c r="L183" s="339" t="s">
        <v>20398</v>
      </c>
      <c r="M183" s="318" t="s">
        <v>21046</v>
      </c>
      <c r="N183" s="379" t="s">
        <v>20156</v>
      </c>
      <c r="O183" s="911">
        <v>45842</v>
      </c>
      <c r="P183" s="381">
        <v>0</v>
      </c>
    </row>
    <row r="184" spans="1:16">
      <c r="A184" s="398">
        <v>20000</v>
      </c>
      <c r="B184" s="398">
        <f>29287.5*2.9214</f>
        <v>85560.502500000002</v>
      </c>
      <c r="C184" s="334" t="s">
        <v>19653</v>
      </c>
      <c r="D184" s="371" t="s">
        <v>20076</v>
      </c>
      <c r="E184" s="372" t="s">
        <v>195</v>
      </c>
      <c r="F184" s="389" t="s">
        <v>20155</v>
      </c>
      <c r="G184" s="336" t="s">
        <v>21047</v>
      </c>
      <c r="H184" s="337"/>
      <c r="I184" s="337">
        <v>20000</v>
      </c>
      <c r="J184" s="338"/>
      <c r="K184" s="337"/>
      <c r="L184" s="339" t="s">
        <v>20398</v>
      </c>
      <c r="M184" s="318" t="s">
        <v>21048</v>
      </c>
      <c r="N184" s="379" t="s">
        <v>20156</v>
      </c>
      <c r="O184" s="911">
        <v>45842</v>
      </c>
      <c r="P184" s="381">
        <v>0</v>
      </c>
    </row>
    <row r="185" spans="1:16">
      <c r="A185" s="898">
        <v>45512</v>
      </c>
      <c r="B185" s="898">
        <f>16765.2*3.42695</f>
        <v>57453.502140000004</v>
      </c>
      <c r="C185" s="899" t="s">
        <v>17343</v>
      </c>
      <c r="D185" s="371" t="s">
        <v>20077</v>
      </c>
      <c r="E185" s="372" t="s">
        <v>196</v>
      </c>
      <c r="F185" s="900" t="s">
        <v>20155</v>
      </c>
      <c r="G185" s="911" t="s">
        <v>21016</v>
      </c>
      <c r="H185" s="901"/>
      <c r="I185" s="901">
        <v>36552</v>
      </c>
      <c r="J185" s="902">
        <v>8400</v>
      </c>
      <c r="K185" s="901">
        <v>560</v>
      </c>
      <c r="L185" s="903" t="s">
        <v>20424</v>
      </c>
      <c r="M185" s="904" t="s">
        <v>21049</v>
      </c>
      <c r="N185" s="379" t="s">
        <v>16394</v>
      </c>
      <c r="O185" s="911">
        <v>45841</v>
      </c>
      <c r="P185" s="381">
        <f>7160*3.42695</f>
        <v>24536.962</v>
      </c>
    </row>
    <row r="186" spans="1:16">
      <c r="A186" s="398">
        <v>17880</v>
      </c>
      <c r="B186" s="398">
        <f>27009.6*2.13565</f>
        <v>57683.052239999997</v>
      </c>
      <c r="C186" s="334" t="s">
        <v>17305</v>
      </c>
      <c r="D186" s="371" t="s">
        <v>20078</v>
      </c>
      <c r="E186" s="372" t="s">
        <v>197</v>
      </c>
      <c r="F186" s="389" t="s">
        <v>20155</v>
      </c>
      <c r="G186" s="336">
        <v>45664</v>
      </c>
      <c r="H186" s="337"/>
      <c r="I186" s="337">
        <v>7800</v>
      </c>
      <c r="J186" s="338">
        <v>10080</v>
      </c>
      <c r="K186" s="337"/>
      <c r="L186" s="339" t="s">
        <v>20424</v>
      </c>
      <c r="M186" s="318" t="s">
        <v>21050</v>
      </c>
      <c r="N186" s="379" t="s">
        <v>17954</v>
      </c>
      <c r="O186" s="336">
        <v>45849</v>
      </c>
      <c r="P186" s="381">
        <f>5700*2.13565</f>
        <v>12173.205</v>
      </c>
    </row>
    <row r="187" spans="1:16">
      <c r="A187" s="398">
        <v>110040</v>
      </c>
      <c r="B187" s="398">
        <f>75724.8*3.42255</f>
        <v>259171.91424000001</v>
      </c>
      <c r="C187" s="334" t="s">
        <v>19852</v>
      </c>
      <c r="D187" s="371" t="s">
        <v>20079</v>
      </c>
      <c r="E187" s="372" t="s">
        <v>198</v>
      </c>
      <c r="F187" s="389" t="s">
        <v>20155</v>
      </c>
      <c r="G187" s="336">
        <v>45664</v>
      </c>
      <c r="H187" s="337">
        <v>110040</v>
      </c>
      <c r="I187" s="337"/>
      <c r="J187" s="338"/>
      <c r="K187" s="337"/>
      <c r="L187" s="339" t="s">
        <v>19852</v>
      </c>
      <c r="M187" s="318" t="s">
        <v>21051</v>
      </c>
      <c r="N187" s="379" t="s">
        <v>17949</v>
      </c>
      <c r="O187" s="336">
        <v>45848</v>
      </c>
      <c r="P187" s="381">
        <f>7500*3.42255</f>
        <v>25669.125</v>
      </c>
    </row>
    <row r="188" spans="1:16">
      <c r="A188" s="398">
        <v>28000</v>
      </c>
      <c r="B188" s="398">
        <v>49000</v>
      </c>
      <c r="C188" s="334" t="s">
        <v>19656</v>
      </c>
      <c r="D188" s="371" t="s">
        <v>20080</v>
      </c>
      <c r="E188" s="372" t="s">
        <v>199</v>
      </c>
      <c r="F188" s="389" t="s">
        <v>20155</v>
      </c>
      <c r="G188" s="336">
        <v>45754</v>
      </c>
      <c r="H188" s="337"/>
      <c r="I188" s="337"/>
      <c r="J188" s="338">
        <v>28000</v>
      </c>
      <c r="K188" s="337"/>
      <c r="L188" s="339" t="s">
        <v>20430</v>
      </c>
      <c r="M188" s="318" t="s">
        <v>21052</v>
      </c>
      <c r="N188" s="379" t="s">
        <v>17771</v>
      </c>
      <c r="O188" s="336">
        <v>45846</v>
      </c>
      <c r="P188" s="381">
        <v>0</v>
      </c>
    </row>
    <row r="189" spans="1:16">
      <c r="A189" s="398">
        <v>279864</v>
      </c>
      <c r="B189" s="398">
        <v>591784.31999999995</v>
      </c>
      <c r="C189" s="334" t="s">
        <v>19656</v>
      </c>
      <c r="D189" s="371" t="s">
        <v>20081</v>
      </c>
      <c r="E189" s="372" t="s">
        <v>200</v>
      </c>
      <c r="F189" s="389" t="s">
        <v>20155</v>
      </c>
      <c r="G189" s="336">
        <v>45845</v>
      </c>
      <c r="H189" s="337">
        <v>262464</v>
      </c>
      <c r="I189" s="337">
        <v>17400</v>
      </c>
      <c r="J189" s="338"/>
      <c r="K189" s="337"/>
      <c r="L189" s="339" t="s">
        <v>20398</v>
      </c>
      <c r="M189" s="318" t="s">
        <v>21053</v>
      </c>
      <c r="N189" s="379" t="s">
        <v>17949</v>
      </c>
      <c r="O189" s="336">
        <v>45857</v>
      </c>
      <c r="P189" s="381">
        <v>0</v>
      </c>
    </row>
    <row r="190" spans="1:16">
      <c r="A190" s="398">
        <v>24034</v>
      </c>
      <c r="B190" s="398">
        <f>22383.73*3.42405</f>
        <v>76643.01070649999</v>
      </c>
      <c r="C190" s="334" t="s">
        <v>19661</v>
      </c>
      <c r="D190" s="371" t="s">
        <v>20082</v>
      </c>
      <c r="E190" s="372" t="s">
        <v>201</v>
      </c>
      <c r="F190" s="389" t="s">
        <v>20155</v>
      </c>
      <c r="G190" s="336">
        <v>45845</v>
      </c>
      <c r="H190" s="337"/>
      <c r="I190" s="337">
        <v>15584</v>
      </c>
      <c r="J190" s="338">
        <v>8450</v>
      </c>
      <c r="K190" s="337"/>
      <c r="L190" s="339" t="s">
        <v>20424</v>
      </c>
      <c r="M190" s="318" t="s">
        <v>21054</v>
      </c>
      <c r="N190" s="379" t="s">
        <v>20160</v>
      </c>
      <c r="O190" s="336">
        <v>45862</v>
      </c>
      <c r="P190" s="381">
        <f>4250*3.42405</f>
        <v>14552.2125</v>
      </c>
    </row>
    <row r="191" spans="1:16">
      <c r="A191" s="398">
        <v>23408</v>
      </c>
      <c r="B191" s="398">
        <f>22079.26*3.42775</f>
        <v>75682.183464999995</v>
      </c>
      <c r="C191" s="334" t="s">
        <v>19661</v>
      </c>
      <c r="D191" s="371" t="s">
        <v>20083</v>
      </c>
      <c r="E191" s="372" t="s">
        <v>202</v>
      </c>
      <c r="F191" s="389" t="s">
        <v>20155</v>
      </c>
      <c r="G191" s="336">
        <v>45845</v>
      </c>
      <c r="H191" s="337"/>
      <c r="I191" s="337">
        <v>16458</v>
      </c>
      <c r="J191" s="338">
        <v>6950</v>
      </c>
      <c r="K191" s="337"/>
      <c r="L191" s="339" t="s">
        <v>20424</v>
      </c>
      <c r="M191" s="318" t="s">
        <v>21055</v>
      </c>
      <c r="N191" s="379" t="s">
        <v>20160</v>
      </c>
      <c r="O191" s="336">
        <v>45862</v>
      </c>
      <c r="P191" s="381">
        <f>4250*3.42775</f>
        <v>14567.9375</v>
      </c>
    </row>
    <row r="192" spans="1:16">
      <c r="A192" s="398">
        <v>24932</v>
      </c>
      <c r="B192" s="398">
        <f>23180.04*3.42775</f>
        <v>79455.382110000006</v>
      </c>
      <c r="C192" s="334" t="s">
        <v>19661</v>
      </c>
      <c r="D192" s="371" t="s">
        <v>20084</v>
      </c>
      <c r="E192" s="372" t="s">
        <v>203</v>
      </c>
      <c r="F192" s="389" t="s">
        <v>20155</v>
      </c>
      <c r="G192" s="336">
        <v>45845</v>
      </c>
      <c r="H192" s="337"/>
      <c r="I192" s="337">
        <v>15532</v>
      </c>
      <c r="J192" s="338">
        <v>9400</v>
      </c>
      <c r="K192" s="337"/>
      <c r="L192" s="339" t="s">
        <v>20424</v>
      </c>
      <c r="M192" s="318" t="s">
        <v>21056</v>
      </c>
      <c r="N192" s="379" t="s">
        <v>20160</v>
      </c>
      <c r="O192" s="336">
        <v>45862</v>
      </c>
      <c r="P192" s="381">
        <f>4250*3.42755</f>
        <v>14567.0875</v>
      </c>
    </row>
    <row r="193" spans="1:16">
      <c r="A193" s="398">
        <v>19200</v>
      </c>
      <c r="B193" s="398">
        <f>13508*3.42585</f>
        <v>46276.381800000003</v>
      </c>
      <c r="C193" s="334" t="s">
        <v>17277</v>
      </c>
      <c r="D193" s="371" t="s">
        <v>20085</v>
      </c>
      <c r="E193" s="372" t="s">
        <v>204</v>
      </c>
      <c r="F193" s="389" t="s">
        <v>20155</v>
      </c>
      <c r="G193" s="336">
        <v>45845</v>
      </c>
      <c r="H193" s="337">
        <v>19200</v>
      </c>
      <c r="I193" s="337"/>
      <c r="J193" s="338"/>
      <c r="K193" s="337"/>
      <c r="L193" s="339" t="s">
        <v>20424</v>
      </c>
      <c r="M193" s="318" t="s">
        <v>21057</v>
      </c>
      <c r="N193" s="379" t="s">
        <v>20297</v>
      </c>
      <c r="O193" s="336">
        <v>45854</v>
      </c>
      <c r="P193" s="381">
        <f>1700*3.42585</f>
        <v>5823.9449999999997</v>
      </c>
    </row>
    <row r="194" spans="1:16">
      <c r="A194" s="398">
        <v>100003</v>
      </c>
      <c r="B194" s="398">
        <v>207006.62</v>
      </c>
      <c r="C194" s="334" t="s">
        <v>19878</v>
      </c>
      <c r="D194" s="371" t="s">
        <v>20087</v>
      </c>
      <c r="E194" s="372" t="s">
        <v>205</v>
      </c>
      <c r="F194" s="389" t="s">
        <v>20155</v>
      </c>
      <c r="G194" s="336">
        <v>45937</v>
      </c>
      <c r="H194" s="337">
        <v>100003</v>
      </c>
      <c r="I194" s="337"/>
      <c r="J194" s="338"/>
      <c r="K194" s="337"/>
      <c r="L194" s="339" t="s">
        <v>20571</v>
      </c>
      <c r="M194" s="318" t="s">
        <v>21058</v>
      </c>
      <c r="N194" s="379" t="s">
        <v>17939</v>
      </c>
      <c r="O194" s="336">
        <v>45859</v>
      </c>
      <c r="P194" s="381">
        <v>0</v>
      </c>
    </row>
    <row r="195" spans="1:16">
      <c r="A195" s="398">
        <v>260000</v>
      </c>
      <c r="B195" s="398">
        <f>141700*2.94105</f>
        <v>416746.78500000003</v>
      </c>
      <c r="C195" s="334" t="s">
        <v>17330</v>
      </c>
      <c r="D195" s="371" t="s">
        <v>20089</v>
      </c>
      <c r="E195" s="372" t="s">
        <v>206</v>
      </c>
      <c r="F195" s="389" t="s">
        <v>20155</v>
      </c>
      <c r="G195" s="336">
        <v>45937</v>
      </c>
      <c r="H195" s="337"/>
      <c r="I195" s="337"/>
      <c r="J195" s="338">
        <v>260000</v>
      </c>
      <c r="K195" s="337"/>
      <c r="L195" s="339" t="s">
        <v>21005</v>
      </c>
      <c r="M195" s="318" t="s">
        <v>21059</v>
      </c>
      <c r="N195" s="379" t="s">
        <v>20335</v>
      </c>
      <c r="O195" s="336">
        <v>45859</v>
      </c>
      <c r="P195" s="381">
        <v>0</v>
      </c>
    </row>
    <row r="196" spans="1:16">
      <c r="A196" s="398">
        <v>220000</v>
      </c>
      <c r="B196" s="398">
        <v>330000</v>
      </c>
      <c r="C196" s="334" t="s">
        <v>19655</v>
      </c>
      <c r="D196" s="371" t="s">
        <v>20090</v>
      </c>
      <c r="E196" s="372" t="s">
        <v>207</v>
      </c>
      <c r="F196" s="389" t="s">
        <v>20155</v>
      </c>
      <c r="G196" s="336">
        <v>45968</v>
      </c>
      <c r="H196" s="337"/>
      <c r="I196" s="337"/>
      <c r="J196" s="338">
        <v>220000</v>
      </c>
      <c r="K196" s="337"/>
      <c r="L196" s="339" t="s">
        <v>18201</v>
      </c>
      <c r="M196" s="318" t="s">
        <v>21060</v>
      </c>
      <c r="N196" s="379" t="s">
        <v>17801</v>
      </c>
      <c r="O196" s="336">
        <v>45856</v>
      </c>
      <c r="P196" s="381">
        <v>0</v>
      </c>
    </row>
    <row r="197" spans="1:16">
      <c r="A197" s="398">
        <v>28000</v>
      </c>
      <c r="B197" s="398">
        <f>23240*2.93825</f>
        <v>68284.930000000008</v>
      </c>
      <c r="C197" s="334" t="s">
        <v>17405</v>
      </c>
      <c r="D197" s="371" t="s">
        <v>20091</v>
      </c>
      <c r="E197" s="372" t="s">
        <v>208</v>
      </c>
      <c r="F197" s="389" t="s">
        <v>20155</v>
      </c>
      <c r="G197" s="336">
        <v>45968</v>
      </c>
      <c r="H197" s="337">
        <v>28000</v>
      </c>
      <c r="I197" s="337"/>
      <c r="J197" s="338"/>
      <c r="K197" s="337"/>
      <c r="L197" s="339" t="s">
        <v>20398</v>
      </c>
      <c r="M197" s="318" t="s">
        <v>21061</v>
      </c>
      <c r="N197" s="379" t="s">
        <v>20161</v>
      </c>
      <c r="O197" s="336">
        <v>45859</v>
      </c>
      <c r="P197" s="381">
        <v>0</v>
      </c>
    </row>
    <row r="198" spans="1:16">
      <c r="A198" s="398">
        <v>28000</v>
      </c>
      <c r="B198" s="398">
        <f>23240*2.93825</f>
        <v>68284.930000000008</v>
      </c>
      <c r="C198" s="334" t="s">
        <v>17405</v>
      </c>
      <c r="D198" s="371" t="s">
        <v>20092</v>
      </c>
      <c r="E198" s="372" t="s">
        <v>209</v>
      </c>
      <c r="F198" s="389" t="s">
        <v>20155</v>
      </c>
      <c r="G198" s="336">
        <v>45968</v>
      </c>
      <c r="H198" s="337">
        <v>28000</v>
      </c>
      <c r="I198" s="337"/>
      <c r="J198" s="338"/>
      <c r="K198" s="337"/>
      <c r="L198" s="339" t="s">
        <v>20398</v>
      </c>
      <c r="M198" s="318" t="s">
        <v>21062</v>
      </c>
      <c r="N198" s="379" t="s">
        <v>20161</v>
      </c>
      <c r="O198" s="336">
        <v>45859</v>
      </c>
      <c r="P198" s="381">
        <v>0</v>
      </c>
    </row>
    <row r="199" spans="1:16">
      <c r="A199" s="398">
        <v>28000</v>
      </c>
      <c r="B199" s="398">
        <f>23240*2.93825</f>
        <v>68284.930000000008</v>
      </c>
      <c r="C199" s="334" t="s">
        <v>17405</v>
      </c>
      <c r="D199" s="371" t="s">
        <v>20093</v>
      </c>
      <c r="E199" s="372" t="s">
        <v>210</v>
      </c>
      <c r="F199" s="389" t="s">
        <v>20155</v>
      </c>
      <c r="G199" s="336">
        <v>45968</v>
      </c>
      <c r="H199" s="337">
        <v>28000</v>
      </c>
      <c r="I199" s="337"/>
      <c r="J199" s="338"/>
      <c r="K199" s="337"/>
      <c r="L199" s="339" t="s">
        <v>20398</v>
      </c>
      <c r="M199" s="318" t="s">
        <v>21063</v>
      </c>
      <c r="N199" s="379" t="s">
        <v>20161</v>
      </c>
      <c r="O199" s="336">
        <v>45860</v>
      </c>
      <c r="P199" s="381">
        <v>0</v>
      </c>
    </row>
    <row r="200" spans="1:16">
      <c r="A200" s="398">
        <v>28000</v>
      </c>
      <c r="B200" s="398">
        <f>23240*2.93825</f>
        <v>68284.930000000008</v>
      </c>
      <c r="C200" s="334" t="s">
        <v>17405</v>
      </c>
      <c r="D200" s="371" t="s">
        <v>20094</v>
      </c>
      <c r="E200" s="372" t="s">
        <v>211</v>
      </c>
      <c r="F200" s="389" t="s">
        <v>20155</v>
      </c>
      <c r="G200" s="336">
        <v>45968</v>
      </c>
      <c r="H200" s="337">
        <v>28000</v>
      </c>
      <c r="I200" s="337"/>
      <c r="J200" s="338"/>
      <c r="K200" s="337"/>
      <c r="L200" s="339" t="s">
        <v>20398</v>
      </c>
      <c r="M200" s="318" t="s">
        <v>21064</v>
      </c>
      <c r="N200" s="379" t="s">
        <v>20161</v>
      </c>
      <c r="O200" s="336">
        <v>45860</v>
      </c>
      <c r="P200" s="381">
        <v>0</v>
      </c>
    </row>
    <row r="201" spans="1:16">
      <c r="A201" s="398">
        <v>28000</v>
      </c>
      <c r="B201" s="398">
        <f>23240*2.93825</f>
        <v>68284.930000000008</v>
      </c>
      <c r="C201" s="334" t="s">
        <v>17405</v>
      </c>
      <c r="D201" s="371" t="s">
        <v>20095</v>
      </c>
      <c r="E201" s="372" t="s">
        <v>212</v>
      </c>
      <c r="F201" s="389" t="s">
        <v>20155</v>
      </c>
      <c r="G201" s="336">
        <v>45968</v>
      </c>
      <c r="H201" s="337">
        <v>28000</v>
      </c>
      <c r="I201" s="337"/>
      <c r="J201" s="338"/>
      <c r="K201" s="337"/>
      <c r="L201" s="339" t="s">
        <v>20398</v>
      </c>
      <c r="M201" s="318" t="s">
        <v>21065</v>
      </c>
      <c r="N201" s="379" t="s">
        <v>20161</v>
      </c>
      <c r="O201" s="336">
        <v>45860</v>
      </c>
      <c r="P201" s="381">
        <v>0</v>
      </c>
    </row>
    <row r="202" spans="1:16">
      <c r="A202" s="398">
        <v>490000</v>
      </c>
      <c r="B202" s="398">
        <v>817130.4</v>
      </c>
      <c r="C202" s="334" t="s">
        <v>19833</v>
      </c>
      <c r="D202" s="371" t="s">
        <v>20096</v>
      </c>
      <c r="E202" s="372" t="s">
        <v>213</v>
      </c>
      <c r="F202" s="389" t="s">
        <v>20155</v>
      </c>
      <c r="G202" s="336" t="s">
        <v>21066</v>
      </c>
      <c r="H202" s="337">
        <v>54000</v>
      </c>
      <c r="I202" s="337">
        <v>26000</v>
      </c>
      <c r="J202" s="338">
        <v>410000</v>
      </c>
      <c r="K202" s="337"/>
      <c r="L202" s="339" t="s">
        <v>20446</v>
      </c>
      <c r="M202" s="318" t="s">
        <v>21067</v>
      </c>
      <c r="N202" s="379" t="s">
        <v>20321</v>
      </c>
      <c r="O202" s="336">
        <v>45867</v>
      </c>
      <c r="P202" s="381">
        <v>0</v>
      </c>
    </row>
    <row r="203" spans="1:16">
      <c r="A203" s="398">
        <v>38400</v>
      </c>
      <c r="B203" s="398">
        <v>82752</v>
      </c>
      <c r="C203" s="334" t="s">
        <v>19833</v>
      </c>
      <c r="D203" s="371" t="s">
        <v>20097</v>
      </c>
      <c r="E203" s="372" t="s">
        <v>214</v>
      </c>
      <c r="F203" s="389" t="s">
        <v>20155</v>
      </c>
      <c r="G203" s="336" t="s">
        <v>21028</v>
      </c>
      <c r="H203" s="337">
        <v>38400</v>
      </c>
      <c r="I203" s="337"/>
      <c r="J203" s="338"/>
      <c r="K203" s="337"/>
      <c r="L203" s="339" t="s">
        <v>20446</v>
      </c>
      <c r="M203" s="318" t="s">
        <v>21068</v>
      </c>
      <c r="N203" s="379" t="s">
        <v>20174</v>
      </c>
      <c r="O203" s="336">
        <v>45861</v>
      </c>
      <c r="P203" s="381">
        <v>0</v>
      </c>
    </row>
    <row r="204" spans="1:16">
      <c r="A204" s="398">
        <v>55904</v>
      </c>
      <c r="B204" s="398">
        <v>107521.8</v>
      </c>
      <c r="C204" s="334" t="s">
        <v>19655</v>
      </c>
      <c r="D204" s="371" t="s">
        <v>20098</v>
      </c>
      <c r="E204" s="372" t="s">
        <v>215</v>
      </c>
      <c r="F204" s="389" t="s">
        <v>20155</v>
      </c>
      <c r="G204" s="336" t="s">
        <v>21066</v>
      </c>
      <c r="H204" s="337">
        <v>20504</v>
      </c>
      <c r="I204" s="337">
        <v>32400</v>
      </c>
      <c r="J204" s="338">
        <v>3000</v>
      </c>
      <c r="K204" s="337"/>
      <c r="L204" s="339" t="s">
        <v>18201</v>
      </c>
      <c r="M204" s="318" t="s">
        <v>21069</v>
      </c>
      <c r="N204" s="379" t="s">
        <v>18248</v>
      </c>
      <c r="O204" s="336">
        <v>45862</v>
      </c>
      <c r="P204" s="381">
        <v>0</v>
      </c>
    </row>
    <row r="205" spans="1:16">
      <c r="A205" s="398">
        <v>49400</v>
      </c>
      <c r="B205" s="398">
        <f>50948*2.9146</f>
        <v>148493.04080000002</v>
      </c>
      <c r="C205" s="334" t="s">
        <v>19961</v>
      </c>
      <c r="D205" s="371" t="s">
        <v>20099</v>
      </c>
      <c r="E205" s="372" t="s">
        <v>216</v>
      </c>
      <c r="F205" s="389" t="s">
        <v>20155</v>
      </c>
      <c r="G205" s="336" t="s">
        <v>21066</v>
      </c>
      <c r="H205" s="337"/>
      <c r="I205" s="337">
        <v>49400</v>
      </c>
      <c r="J205" s="338"/>
      <c r="K205" s="337"/>
      <c r="L205" s="339" t="s">
        <v>20424</v>
      </c>
      <c r="M205" s="318" t="s">
        <v>21070</v>
      </c>
      <c r="N205" s="379" t="s">
        <v>17939</v>
      </c>
      <c r="O205" s="336">
        <v>45867</v>
      </c>
      <c r="P205" s="381">
        <v>0</v>
      </c>
    </row>
    <row r="206" spans="1:16">
      <c r="A206" s="398">
        <v>144000</v>
      </c>
      <c r="B206" s="398">
        <f>96480*2.9146</f>
        <v>281200.60800000001</v>
      </c>
      <c r="C206" s="334" t="s">
        <v>19961</v>
      </c>
      <c r="D206" s="371" t="s">
        <v>20100</v>
      </c>
      <c r="E206" s="372" t="s">
        <v>217</v>
      </c>
      <c r="F206" s="389" t="s">
        <v>20155</v>
      </c>
      <c r="G206" s="336" t="s">
        <v>21066</v>
      </c>
      <c r="H206" s="337"/>
      <c r="I206" s="337">
        <v>134400</v>
      </c>
      <c r="J206" s="338">
        <v>9600</v>
      </c>
      <c r="K206" s="337"/>
      <c r="L206" s="339" t="s">
        <v>20424</v>
      </c>
      <c r="M206" s="318" t="s">
        <v>21071</v>
      </c>
      <c r="N206" s="379" t="s">
        <v>17939</v>
      </c>
      <c r="O206" s="336">
        <v>45867</v>
      </c>
      <c r="P206" s="381">
        <v>0</v>
      </c>
    </row>
    <row r="207" spans="1:16">
      <c r="A207" s="398">
        <v>20500</v>
      </c>
      <c r="B207" s="398">
        <v>45100</v>
      </c>
      <c r="C207" s="334" t="s">
        <v>17018</v>
      </c>
      <c r="D207" s="371" t="s">
        <v>20101</v>
      </c>
      <c r="E207" s="372" t="s">
        <v>218</v>
      </c>
      <c r="F207" s="389" t="s">
        <v>20155</v>
      </c>
      <c r="G207" s="336" t="s">
        <v>21072</v>
      </c>
      <c r="H207" s="337"/>
      <c r="I207" s="337">
        <v>20500</v>
      </c>
      <c r="J207" s="338"/>
      <c r="K207" s="337"/>
      <c r="L207" s="339" t="s">
        <v>20398</v>
      </c>
      <c r="M207" s="318" t="s">
        <v>21073</v>
      </c>
      <c r="N207" s="379" t="s">
        <v>20169</v>
      </c>
      <c r="O207" s="336">
        <v>45868</v>
      </c>
      <c r="P207" s="381">
        <v>0</v>
      </c>
    </row>
    <row r="208" spans="1:16" ht="12.75">
      <c r="A208" s="398">
        <v>20070</v>
      </c>
      <c r="B208" s="398">
        <f>28518.55*2.94985</f>
        <v>84125.444717499995</v>
      </c>
      <c r="C208" s="334" t="s">
        <v>19653</v>
      </c>
      <c r="D208" s="371" t="s">
        <v>21074</v>
      </c>
      <c r="E208" s="372" t="s">
        <v>219</v>
      </c>
      <c r="F208" s="389" t="s">
        <v>20155</v>
      </c>
      <c r="G208" s="336" t="s">
        <v>21072</v>
      </c>
      <c r="H208" s="391">
        <v>2500</v>
      </c>
      <c r="I208" s="337">
        <v>17570</v>
      </c>
      <c r="J208" s="338"/>
      <c r="K208" s="337"/>
      <c r="L208" s="339" t="s">
        <v>20398</v>
      </c>
      <c r="M208" s="318" t="s">
        <v>21075</v>
      </c>
      <c r="N208" s="379" t="s">
        <v>20156</v>
      </c>
      <c r="O208" s="911">
        <v>45870</v>
      </c>
      <c r="P208" s="381">
        <v>0</v>
      </c>
    </row>
    <row r="209" spans="1:16" ht="12.75">
      <c r="A209" s="398">
        <v>20320</v>
      </c>
      <c r="B209" s="398">
        <f>27809.15*2.94985</f>
        <v>82032.821127500007</v>
      </c>
      <c r="C209" s="334" t="s">
        <v>19653</v>
      </c>
      <c r="D209" s="371" t="s">
        <v>21076</v>
      </c>
      <c r="E209" s="372" t="s">
        <v>220</v>
      </c>
      <c r="F209" s="389" t="s">
        <v>20155</v>
      </c>
      <c r="G209" s="336" t="s">
        <v>21072</v>
      </c>
      <c r="H209" s="391">
        <v>5000</v>
      </c>
      <c r="I209" s="337">
        <v>15320</v>
      </c>
      <c r="J209" s="338"/>
      <c r="K209" s="337"/>
      <c r="L209" s="339" t="s">
        <v>20540</v>
      </c>
      <c r="M209" s="318" t="s">
        <v>21077</v>
      </c>
      <c r="N209" s="379" t="s">
        <v>20156</v>
      </c>
      <c r="O209" s="911">
        <v>45870</v>
      </c>
      <c r="P209" s="381">
        <v>0</v>
      </c>
    </row>
    <row r="210" spans="1:16">
      <c r="A210" s="398">
        <v>44520</v>
      </c>
      <c r="B210" s="398">
        <v>80364</v>
      </c>
      <c r="C210" s="334" t="s">
        <v>19656</v>
      </c>
      <c r="D210" s="371" t="s">
        <v>20102</v>
      </c>
      <c r="E210" s="372" t="s">
        <v>221</v>
      </c>
      <c r="F210" s="389" t="s">
        <v>20164</v>
      </c>
      <c r="G210" s="336" t="s">
        <v>21078</v>
      </c>
      <c r="H210" s="337"/>
      <c r="I210" s="337">
        <v>44520</v>
      </c>
      <c r="J210" s="338"/>
      <c r="K210" s="337"/>
      <c r="L210" s="339" t="s">
        <v>20430</v>
      </c>
      <c r="M210" s="318" t="s">
        <v>21079</v>
      </c>
      <c r="N210" s="379" t="s">
        <v>17771</v>
      </c>
      <c r="O210" s="336">
        <v>45867</v>
      </c>
      <c r="P210" s="381">
        <v>0</v>
      </c>
    </row>
    <row r="211" spans="1:16">
      <c r="A211" s="398">
        <v>20750</v>
      </c>
      <c r="B211" s="398">
        <v>45650</v>
      </c>
      <c r="C211" s="334" t="s">
        <v>17018</v>
      </c>
      <c r="D211" s="371" t="s">
        <v>20103</v>
      </c>
      <c r="E211" s="372" t="s">
        <v>222</v>
      </c>
      <c r="F211" s="389" t="s">
        <v>20155</v>
      </c>
      <c r="G211" s="336" t="s">
        <v>21072</v>
      </c>
      <c r="H211" s="337">
        <v>20750</v>
      </c>
      <c r="I211" s="337"/>
      <c r="J211" s="338"/>
      <c r="K211" s="337"/>
      <c r="L211" s="339" t="s">
        <v>20398</v>
      </c>
      <c r="M211" s="318" t="s">
        <v>21080</v>
      </c>
      <c r="N211" s="379" t="s">
        <v>20169</v>
      </c>
      <c r="O211" s="336">
        <v>45868</v>
      </c>
      <c r="P211" s="381">
        <v>0</v>
      </c>
    </row>
    <row r="212" spans="1:16">
      <c r="A212" s="398">
        <v>192500</v>
      </c>
      <c r="B212" s="398">
        <v>288750</v>
      </c>
      <c r="C212" s="334" t="s">
        <v>19655</v>
      </c>
      <c r="D212" s="371" t="s">
        <v>20104</v>
      </c>
      <c r="E212" s="372" t="s">
        <v>223</v>
      </c>
      <c r="F212" s="389" t="s">
        <v>20155</v>
      </c>
      <c r="G212" s="336" t="s">
        <v>21081</v>
      </c>
      <c r="H212" s="337"/>
      <c r="I212" s="337"/>
      <c r="J212" s="338">
        <v>192500</v>
      </c>
      <c r="K212" s="337"/>
      <c r="L212" s="339" t="s">
        <v>18201</v>
      </c>
      <c r="M212" s="318" t="s">
        <v>21082</v>
      </c>
      <c r="N212" s="379" t="s">
        <v>17801</v>
      </c>
      <c r="O212" s="336">
        <v>45869</v>
      </c>
      <c r="P212" s="381">
        <v>0</v>
      </c>
    </row>
    <row r="213" spans="1:16">
      <c r="A213" s="398">
        <v>51816</v>
      </c>
      <c r="B213" s="398">
        <f>24711.12*3.41025</f>
        <v>84271.096980000002</v>
      </c>
      <c r="C213" s="334" t="s">
        <v>17343</v>
      </c>
      <c r="D213" s="371" t="s">
        <v>20106</v>
      </c>
      <c r="E213" s="372" t="s">
        <v>224</v>
      </c>
      <c r="F213" s="389" t="s">
        <v>20155</v>
      </c>
      <c r="G213" s="336" t="s">
        <v>21083</v>
      </c>
      <c r="H213" s="337">
        <v>4790</v>
      </c>
      <c r="I213" s="337">
        <v>31516</v>
      </c>
      <c r="J213" s="338">
        <v>11750</v>
      </c>
      <c r="K213" s="337">
        <v>3760</v>
      </c>
      <c r="L213" s="339" t="s">
        <v>20424</v>
      </c>
      <c r="M213" s="318" t="s">
        <v>21084</v>
      </c>
      <c r="N213" s="379" t="s">
        <v>16394</v>
      </c>
      <c r="O213" s="336">
        <v>45869</v>
      </c>
      <c r="P213" s="381">
        <f>10952*3.41025</f>
        <v>37349.057999999997</v>
      </c>
    </row>
    <row r="214" spans="1:16" ht="12.75">
      <c r="A214" s="398">
        <v>20150</v>
      </c>
      <c r="B214" s="398">
        <f>16724.5*2.94585</f>
        <v>49267.868325000003</v>
      </c>
      <c r="C214" s="334" t="s">
        <v>19659</v>
      </c>
      <c r="D214" s="371" t="s">
        <v>21085</v>
      </c>
      <c r="E214" s="372" t="s">
        <v>225</v>
      </c>
      <c r="F214" s="389" t="s">
        <v>20155</v>
      </c>
      <c r="G214" s="336" t="s">
        <v>21083</v>
      </c>
      <c r="H214" s="391">
        <v>20150</v>
      </c>
      <c r="I214" s="337"/>
      <c r="J214" s="338"/>
      <c r="K214" s="337"/>
      <c r="L214" s="339" t="s">
        <v>20398</v>
      </c>
      <c r="M214" s="318" t="s">
        <v>21086</v>
      </c>
      <c r="N214" s="379" t="s">
        <v>20161</v>
      </c>
      <c r="O214" s="336">
        <v>45877</v>
      </c>
      <c r="P214" s="381">
        <v>0</v>
      </c>
    </row>
    <row r="215" spans="1:16">
      <c r="A215" s="398">
        <v>14192</v>
      </c>
      <c r="B215" s="398">
        <f>9824.2*3.41025</f>
        <v>33502.978050000005</v>
      </c>
      <c r="C215" s="334" t="s">
        <v>17343</v>
      </c>
      <c r="D215" s="371" t="s">
        <v>20107</v>
      </c>
      <c r="E215" s="372" t="s">
        <v>226</v>
      </c>
      <c r="F215" s="389" t="s">
        <v>20155</v>
      </c>
      <c r="G215" s="336" t="s">
        <v>21087</v>
      </c>
      <c r="H215" s="337"/>
      <c r="I215" s="337">
        <v>13872</v>
      </c>
      <c r="J215" s="338"/>
      <c r="K215" s="337">
        <v>320</v>
      </c>
      <c r="L215" s="339" t="s">
        <v>20424</v>
      </c>
      <c r="M215" s="318" t="s">
        <v>21088</v>
      </c>
      <c r="N215" s="379" t="s">
        <v>16394</v>
      </c>
      <c r="O215" s="336">
        <v>45869</v>
      </c>
      <c r="P215" s="381">
        <v>0</v>
      </c>
    </row>
    <row r="216" spans="1:16" ht="12.75">
      <c r="A216" s="398">
        <v>28000</v>
      </c>
      <c r="B216" s="398">
        <f>23240*2.92685</f>
        <v>68019.994000000006</v>
      </c>
      <c r="C216" s="334" t="s">
        <v>17405</v>
      </c>
      <c r="D216" s="371" t="s">
        <v>21089</v>
      </c>
      <c r="E216" s="372" t="s">
        <v>227</v>
      </c>
      <c r="F216" s="389" t="s">
        <v>20155</v>
      </c>
      <c r="G216" s="336">
        <v>45874</v>
      </c>
      <c r="H216" s="391">
        <v>28000</v>
      </c>
      <c r="I216" s="337"/>
      <c r="J216" s="338"/>
      <c r="K216" s="337"/>
      <c r="L216" s="339" t="s">
        <v>20398</v>
      </c>
      <c r="M216" s="318" t="s">
        <v>21090</v>
      </c>
      <c r="N216" s="379" t="s">
        <v>20161</v>
      </c>
      <c r="O216" s="336">
        <v>45880</v>
      </c>
      <c r="P216" s="381">
        <v>0</v>
      </c>
    </row>
    <row r="217" spans="1:16" ht="12.75">
      <c r="A217" s="398">
        <v>28000</v>
      </c>
      <c r="B217" s="398">
        <f>23240*2.92685</f>
        <v>68019.994000000006</v>
      </c>
      <c r="C217" s="334" t="s">
        <v>17405</v>
      </c>
      <c r="D217" s="371" t="s">
        <v>21091</v>
      </c>
      <c r="E217" s="372" t="s">
        <v>228</v>
      </c>
      <c r="F217" s="389" t="s">
        <v>20155</v>
      </c>
      <c r="G217" s="336">
        <v>45874</v>
      </c>
      <c r="H217" s="391">
        <v>28000</v>
      </c>
      <c r="I217" s="337"/>
      <c r="J217" s="338"/>
      <c r="K217" s="337"/>
      <c r="L217" s="339" t="s">
        <v>20398</v>
      </c>
      <c r="M217" s="318" t="s">
        <v>21092</v>
      </c>
      <c r="N217" s="379" t="s">
        <v>20161</v>
      </c>
      <c r="O217" s="336">
        <v>45880</v>
      </c>
      <c r="P217" s="381">
        <v>0</v>
      </c>
    </row>
    <row r="218" spans="1:16" ht="12.75">
      <c r="A218" s="398">
        <v>28000</v>
      </c>
      <c r="B218" s="398">
        <f>23240*2.9311</f>
        <v>68118.763999999996</v>
      </c>
      <c r="C218" s="334" t="s">
        <v>17405</v>
      </c>
      <c r="D218" s="371" t="s">
        <v>21093</v>
      </c>
      <c r="E218" s="372" t="s">
        <v>229</v>
      </c>
      <c r="F218" s="389" t="s">
        <v>20155</v>
      </c>
      <c r="G218" s="336">
        <v>45874</v>
      </c>
      <c r="H218" s="391">
        <v>28000</v>
      </c>
      <c r="I218" s="337"/>
      <c r="J218" s="338"/>
      <c r="K218" s="337"/>
      <c r="L218" s="339" t="s">
        <v>20398</v>
      </c>
      <c r="M218" s="318" t="s">
        <v>21094</v>
      </c>
      <c r="N218" s="379" t="s">
        <v>20161</v>
      </c>
      <c r="O218" s="336">
        <v>45880</v>
      </c>
      <c r="P218" s="381">
        <v>0</v>
      </c>
    </row>
    <row r="219" spans="1:16" ht="12.75">
      <c r="A219" s="398">
        <v>28000</v>
      </c>
      <c r="B219" s="398">
        <f>23240*2.9311</f>
        <v>68118.763999999996</v>
      </c>
      <c r="C219" s="334" t="s">
        <v>17405</v>
      </c>
      <c r="D219" s="371" t="s">
        <v>21095</v>
      </c>
      <c r="E219" s="372" t="s">
        <v>230</v>
      </c>
      <c r="F219" s="389" t="s">
        <v>20155</v>
      </c>
      <c r="G219" s="336">
        <v>45874</v>
      </c>
      <c r="H219" s="391">
        <v>28000</v>
      </c>
      <c r="I219" s="337"/>
      <c r="J219" s="338"/>
      <c r="K219" s="337"/>
      <c r="L219" s="339" t="s">
        <v>20398</v>
      </c>
      <c r="M219" s="318" t="s">
        <v>21096</v>
      </c>
      <c r="N219" s="379" t="s">
        <v>20161</v>
      </c>
      <c r="O219" s="336">
        <v>45881</v>
      </c>
      <c r="P219" s="381">
        <v>0</v>
      </c>
    </row>
    <row r="220" spans="1:16" ht="12.75">
      <c r="A220" s="398">
        <v>28000</v>
      </c>
      <c r="B220" s="398">
        <f>23240*2.9311</f>
        <v>68118.763999999996</v>
      </c>
      <c r="C220" s="334" t="s">
        <v>17405</v>
      </c>
      <c r="D220" s="371" t="s">
        <v>21097</v>
      </c>
      <c r="E220" s="372" t="s">
        <v>231</v>
      </c>
      <c r="F220" s="389" t="s">
        <v>20155</v>
      </c>
      <c r="G220" s="336">
        <v>45874</v>
      </c>
      <c r="H220" s="391">
        <v>28000</v>
      </c>
      <c r="I220" s="337"/>
      <c r="J220" s="338"/>
      <c r="K220" s="337"/>
      <c r="L220" s="339" t="s">
        <v>20398</v>
      </c>
      <c r="M220" s="318" t="s">
        <v>21098</v>
      </c>
      <c r="N220" s="379" t="s">
        <v>20161</v>
      </c>
      <c r="O220" s="336">
        <v>45881</v>
      </c>
      <c r="P220" s="381">
        <v>0</v>
      </c>
    </row>
    <row r="221" spans="1:16" ht="12.75">
      <c r="A221" s="398">
        <v>130000</v>
      </c>
      <c r="B221" s="398">
        <v>226720</v>
      </c>
      <c r="C221" s="334" t="s">
        <v>19656</v>
      </c>
      <c r="D221" s="371" t="s">
        <v>21099</v>
      </c>
      <c r="E221" s="372" t="s">
        <v>232</v>
      </c>
      <c r="F221" s="389" t="s">
        <v>20155</v>
      </c>
      <c r="G221" s="336">
        <v>45874</v>
      </c>
      <c r="H221" s="973"/>
      <c r="I221" s="337"/>
      <c r="J221" s="338">
        <v>130000</v>
      </c>
      <c r="K221" s="337"/>
      <c r="L221" s="339" t="s">
        <v>20430</v>
      </c>
      <c r="M221" s="318" t="s">
        <v>21100</v>
      </c>
      <c r="N221" s="379" t="s">
        <v>17771</v>
      </c>
      <c r="O221" s="336">
        <v>45888</v>
      </c>
      <c r="P221" s="381">
        <v>0</v>
      </c>
    </row>
    <row r="222" spans="1:16" ht="12.75">
      <c r="A222" s="398">
        <v>275000</v>
      </c>
      <c r="B222" s="398">
        <v>412500</v>
      </c>
      <c r="C222" s="334" t="s">
        <v>19655</v>
      </c>
      <c r="D222" s="371" t="s">
        <v>21101</v>
      </c>
      <c r="E222" s="372" t="s">
        <v>233</v>
      </c>
      <c r="F222" s="389" t="s">
        <v>20155</v>
      </c>
      <c r="G222" s="336">
        <v>45874</v>
      </c>
      <c r="H222" s="973"/>
      <c r="I222" s="337"/>
      <c r="J222" s="338">
        <v>275000</v>
      </c>
      <c r="K222" s="337"/>
      <c r="L222" s="339" t="s">
        <v>18201</v>
      </c>
      <c r="M222" s="318" t="s">
        <v>21102</v>
      </c>
      <c r="N222" s="379" t="s">
        <v>17801</v>
      </c>
      <c r="O222" s="336">
        <v>45883</v>
      </c>
      <c r="P222" s="381">
        <v>0</v>
      </c>
    </row>
    <row r="223" spans="1:16" ht="12.75">
      <c r="A223" s="398">
        <v>20500</v>
      </c>
      <c r="B223" s="398">
        <v>45100</v>
      </c>
      <c r="C223" s="334" t="s">
        <v>17018</v>
      </c>
      <c r="D223" s="371" t="s">
        <v>21103</v>
      </c>
      <c r="E223" s="372" t="s">
        <v>234</v>
      </c>
      <c r="F223" s="389" t="s">
        <v>20155</v>
      </c>
      <c r="G223" s="336">
        <v>45874</v>
      </c>
      <c r="H223" s="973"/>
      <c r="I223" s="337">
        <v>20500</v>
      </c>
      <c r="J223" s="338"/>
      <c r="K223" s="337"/>
      <c r="L223" s="339" t="s">
        <v>20398</v>
      </c>
      <c r="M223" s="318" t="s">
        <v>21104</v>
      </c>
      <c r="N223" s="379" t="s">
        <v>20370</v>
      </c>
      <c r="O223" s="336">
        <v>45889</v>
      </c>
      <c r="P223" s="381">
        <v>0</v>
      </c>
    </row>
    <row r="224" spans="1:16" ht="12.75">
      <c r="A224" s="398">
        <v>20150</v>
      </c>
      <c r="B224" s="398">
        <f>16724.5*2.9309</f>
        <v>49017.837049999995</v>
      </c>
      <c r="C224" s="334" t="s">
        <v>19659</v>
      </c>
      <c r="D224" s="371" t="s">
        <v>21105</v>
      </c>
      <c r="E224" s="372" t="s">
        <v>235</v>
      </c>
      <c r="F224" s="389" t="s">
        <v>20155</v>
      </c>
      <c r="G224" s="336">
        <v>45874</v>
      </c>
      <c r="H224" s="391">
        <v>20150</v>
      </c>
      <c r="I224" s="337"/>
      <c r="J224" s="338"/>
      <c r="K224" s="337"/>
      <c r="L224" s="339" t="s">
        <v>20398</v>
      </c>
      <c r="M224" s="318" t="s">
        <v>21106</v>
      </c>
      <c r="N224" s="379" t="s">
        <v>20161</v>
      </c>
      <c r="O224" s="336">
        <v>45883</v>
      </c>
      <c r="P224" s="381">
        <v>0</v>
      </c>
    </row>
    <row r="225" spans="1:16" ht="12.75">
      <c r="A225" s="398">
        <v>278342</v>
      </c>
      <c r="B225" s="398">
        <v>586646.96</v>
      </c>
      <c r="C225" s="334" t="s">
        <v>19656</v>
      </c>
      <c r="D225" s="371" t="s">
        <v>21107</v>
      </c>
      <c r="E225" s="372" t="s">
        <v>236</v>
      </c>
      <c r="F225" s="389" t="s">
        <v>20155</v>
      </c>
      <c r="G225" s="336">
        <v>45874</v>
      </c>
      <c r="H225" s="391">
        <v>262022</v>
      </c>
      <c r="I225" s="337">
        <v>16320</v>
      </c>
      <c r="J225" s="338"/>
      <c r="K225" s="337"/>
      <c r="L225" s="339" t="s">
        <v>20398</v>
      </c>
      <c r="M225" s="318" t="s">
        <v>21108</v>
      </c>
      <c r="N225" s="390" t="s">
        <v>17949</v>
      </c>
      <c r="O225" s="336">
        <v>45891</v>
      </c>
      <c r="P225" s="381">
        <v>0</v>
      </c>
    </row>
    <row r="226" spans="1:16" ht="12.75">
      <c r="A226" s="398">
        <v>23200</v>
      </c>
      <c r="B226" s="398">
        <f>24631.4*2.905</f>
        <v>71554.217000000004</v>
      </c>
      <c r="C226" s="334" t="s">
        <v>19811</v>
      </c>
      <c r="D226" s="371" t="s">
        <v>21109</v>
      </c>
      <c r="E226" s="372" t="s">
        <v>237</v>
      </c>
      <c r="F226" s="389" t="s">
        <v>20155</v>
      </c>
      <c r="G226" s="336">
        <v>45874</v>
      </c>
      <c r="H226" s="337"/>
      <c r="I226" s="337">
        <v>15360</v>
      </c>
      <c r="J226" s="338">
        <v>3840</v>
      </c>
      <c r="K226" s="337">
        <v>4000</v>
      </c>
      <c r="L226" s="339" t="s">
        <v>20424</v>
      </c>
      <c r="M226" s="318" t="s">
        <v>21110</v>
      </c>
      <c r="N226" s="379" t="s">
        <v>20168</v>
      </c>
      <c r="O226" s="336">
        <v>45902</v>
      </c>
      <c r="P226" s="381">
        <f>1350*2.9205</f>
        <v>3942.6750000000002</v>
      </c>
    </row>
    <row r="227" spans="1:16" ht="12.75">
      <c r="A227" s="398">
        <v>26000</v>
      </c>
      <c r="B227" s="398">
        <v>41340</v>
      </c>
      <c r="C227" s="334" t="s">
        <v>17385</v>
      </c>
      <c r="D227" s="371" t="s">
        <v>21111</v>
      </c>
      <c r="E227" s="372" t="s">
        <v>238</v>
      </c>
      <c r="F227" s="389" t="s">
        <v>20155</v>
      </c>
      <c r="G227" s="336">
        <v>45875</v>
      </c>
      <c r="H227" s="973"/>
      <c r="I227" s="337"/>
      <c r="J227" s="338">
        <v>26000</v>
      </c>
      <c r="K227" s="337"/>
      <c r="L227" s="339" t="s">
        <v>20427</v>
      </c>
      <c r="M227" s="318" t="s">
        <v>21112</v>
      </c>
      <c r="N227" s="379" t="s">
        <v>17771</v>
      </c>
      <c r="O227" s="336">
        <v>45897</v>
      </c>
      <c r="P227" s="381">
        <v>0</v>
      </c>
    </row>
    <row r="228" spans="1:16" ht="12.75">
      <c r="A228" s="398">
        <v>42624</v>
      </c>
      <c r="B228" s="398">
        <v>76916.88</v>
      </c>
      <c r="C228" s="334" t="s">
        <v>19656</v>
      </c>
      <c r="D228" s="371" t="s">
        <v>21113</v>
      </c>
      <c r="E228" s="372" t="s">
        <v>239</v>
      </c>
      <c r="F228" s="389" t="s">
        <v>20155</v>
      </c>
      <c r="G228" s="336">
        <v>45876</v>
      </c>
      <c r="H228" s="973"/>
      <c r="I228" s="337">
        <v>42624</v>
      </c>
      <c r="J228" s="338"/>
      <c r="K228" s="337"/>
      <c r="L228" s="339" t="s">
        <v>20430</v>
      </c>
      <c r="M228" s="318" t="s">
        <v>21079</v>
      </c>
      <c r="N228" s="379" t="s">
        <v>17771</v>
      </c>
      <c r="O228" s="336">
        <v>45887</v>
      </c>
      <c r="P228" s="381">
        <v>0</v>
      </c>
    </row>
    <row r="229" spans="1:16" ht="12.75">
      <c r="A229" s="398">
        <v>46272</v>
      </c>
      <c r="B229" s="398">
        <f>13481.28*3.41255</f>
        <v>46005.542064000001</v>
      </c>
      <c r="C229" s="334" t="s">
        <v>17303</v>
      </c>
      <c r="D229" s="371" t="s">
        <v>21114</v>
      </c>
      <c r="E229" s="372" t="s">
        <v>240</v>
      </c>
      <c r="F229" s="389" t="s">
        <v>20155</v>
      </c>
      <c r="G229" s="336">
        <v>45877</v>
      </c>
      <c r="H229" s="973"/>
      <c r="I229" s="337">
        <v>37872</v>
      </c>
      <c r="J229" s="338">
        <v>8400</v>
      </c>
      <c r="K229" s="337"/>
      <c r="L229" s="339" t="s">
        <v>20424</v>
      </c>
      <c r="M229" s="318" t="s">
        <v>21115</v>
      </c>
      <c r="N229" s="379" t="s">
        <v>16394</v>
      </c>
      <c r="O229" s="336">
        <v>45884</v>
      </c>
      <c r="P229" s="381">
        <v>0</v>
      </c>
    </row>
    <row r="230" spans="1:16" ht="12.75">
      <c r="A230" s="398">
        <v>137500</v>
      </c>
      <c r="B230" s="398">
        <f>69125.1*3.41445</f>
        <v>236024.19769500001</v>
      </c>
      <c r="C230" s="334" t="s">
        <v>19722</v>
      </c>
      <c r="D230" s="371" t="s">
        <v>21116</v>
      </c>
      <c r="E230" s="372" t="s">
        <v>241</v>
      </c>
      <c r="F230" s="389" t="s">
        <v>20155</v>
      </c>
      <c r="G230" s="336">
        <v>45883</v>
      </c>
      <c r="H230" s="973"/>
      <c r="I230" s="337"/>
      <c r="J230" s="338">
        <v>137500</v>
      </c>
      <c r="K230" s="337"/>
      <c r="L230" s="339" t="s">
        <v>20427</v>
      </c>
      <c r="M230" s="318" t="s">
        <v>21117</v>
      </c>
      <c r="N230" s="379" t="s">
        <v>17801</v>
      </c>
      <c r="O230" s="336">
        <v>45887</v>
      </c>
      <c r="P230" s="381">
        <v>0</v>
      </c>
    </row>
    <row r="231" spans="1:16" ht="12.75">
      <c r="A231" s="398">
        <v>137500</v>
      </c>
      <c r="B231" s="398">
        <f>69125.1*3.40945</f>
        <v>235678.57219500002</v>
      </c>
      <c r="C231" s="334" t="s">
        <v>19722</v>
      </c>
      <c r="D231" s="371" t="s">
        <v>21118</v>
      </c>
      <c r="E231" s="372" t="s">
        <v>242</v>
      </c>
      <c r="F231" s="389" t="s">
        <v>20155</v>
      </c>
      <c r="G231" s="336">
        <v>45883</v>
      </c>
      <c r="H231" s="973"/>
      <c r="I231" s="337"/>
      <c r="J231" s="338">
        <v>137500</v>
      </c>
      <c r="K231" s="337"/>
      <c r="L231" s="339" t="s">
        <v>20427</v>
      </c>
      <c r="M231" s="318" t="s">
        <v>21119</v>
      </c>
      <c r="N231" s="379" t="s">
        <v>17801</v>
      </c>
      <c r="O231" s="336">
        <v>45894</v>
      </c>
      <c r="P231" s="381">
        <v>0</v>
      </c>
    </row>
    <row r="232" spans="1:16" ht="12.75">
      <c r="A232" s="398">
        <v>137500</v>
      </c>
      <c r="B232" s="398">
        <f>69125.1*3.40945</f>
        <v>235678.57219500002</v>
      </c>
      <c r="C232" s="334" t="s">
        <v>19722</v>
      </c>
      <c r="D232" s="371" t="s">
        <v>21120</v>
      </c>
      <c r="E232" s="372" t="s">
        <v>243</v>
      </c>
      <c r="F232" s="389" t="s">
        <v>20155</v>
      </c>
      <c r="G232" s="336">
        <v>45883</v>
      </c>
      <c r="H232" s="973"/>
      <c r="I232" s="337"/>
      <c r="J232" s="338">
        <v>137500</v>
      </c>
      <c r="K232" s="337"/>
      <c r="L232" s="339" t="s">
        <v>20427</v>
      </c>
      <c r="M232" s="318" t="s">
        <v>21121</v>
      </c>
      <c r="N232" s="379" t="s">
        <v>17801</v>
      </c>
      <c r="O232" s="336">
        <v>45894</v>
      </c>
      <c r="P232" s="381">
        <v>0</v>
      </c>
    </row>
    <row r="233" spans="1:16" ht="12.75">
      <c r="A233" s="398">
        <v>43800</v>
      </c>
      <c r="B233" s="398">
        <v>77088</v>
      </c>
      <c r="C233" s="334" t="s">
        <v>19655</v>
      </c>
      <c r="D233" s="371" t="s">
        <v>21122</v>
      </c>
      <c r="E233" s="372" t="s">
        <v>244</v>
      </c>
      <c r="F233" s="389" t="s">
        <v>20155</v>
      </c>
      <c r="G233" s="336">
        <v>45883</v>
      </c>
      <c r="H233" s="973"/>
      <c r="I233" s="337">
        <v>43800</v>
      </c>
      <c r="J233" s="338"/>
      <c r="K233" s="337"/>
      <c r="L233" s="339" t="s">
        <v>20398</v>
      </c>
      <c r="M233" s="318" t="s">
        <v>21123</v>
      </c>
      <c r="N233" s="379" t="s">
        <v>18248</v>
      </c>
      <c r="O233" s="336">
        <v>45894</v>
      </c>
      <c r="P233" s="381">
        <v>0</v>
      </c>
    </row>
    <row r="234" spans="1:16" ht="12.75">
      <c r="A234" s="398">
        <v>110040</v>
      </c>
      <c r="B234" s="398">
        <f>75724.8*3.40485</f>
        <v>257831.58528000003</v>
      </c>
      <c r="C234" s="334" t="s">
        <v>19852</v>
      </c>
      <c r="D234" s="371" t="s">
        <v>21124</v>
      </c>
      <c r="E234" s="372" t="s">
        <v>245</v>
      </c>
      <c r="F234" s="389" t="s">
        <v>20155</v>
      </c>
      <c r="G234" s="336">
        <v>45890</v>
      </c>
      <c r="H234" s="391">
        <v>110040</v>
      </c>
      <c r="I234" s="337"/>
      <c r="J234" s="338"/>
      <c r="K234" s="337"/>
      <c r="L234" s="339" t="s">
        <v>19852</v>
      </c>
      <c r="M234" s="318" t="s">
        <v>21125</v>
      </c>
      <c r="N234" s="379" t="s">
        <v>17949</v>
      </c>
      <c r="O234" s="336">
        <v>45895</v>
      </c>
      <c r="P234" s="381">
        <f>7500*3.40485</f>
        <v>25536.375</v>
      </c>
    </row>
    <row r="235" spans="1:16" ht="12.75">
      <c r="A235" s="398">
        <v>211200</v>
      </c>
      <c r="B235" s="398">
        <f>145066*3.41575</f>
        <v>495509.18950000004</v>
      </c>
      <c r="C235" s="334" t="s">
        <v>20534</v>
      </c>
      <c r="D235" s="371" t="s">
        <v>21126</v>
      </c>
      <c r="E235" s="372" t="s">
        <v>246</v>
      </c>
      <c r="F235" s="389" t="s">
        <v>20155</v>
      </c>
      <c r="G235" s="336">
        <v>45890</v>
      </c>
      <c r="H235" s="391">
        <v>211200</v>
      </c>
      <c r="I235" s="337"/>
      <c r="J235" s="338"/>
      <c r="K235" s="337"/>
      <c r="L235" s="339" t="s">
        <v>20424</v>
      </c>
      <c r="M235" s="318" t="s">
        <v>21127</v>
      </c>
      <c r="N235" s="379" t="s">
        <v>20321</v>
      </c>
      <c r="O235" s="336">
        <v>45898</v>
      </c>
      <c r="P235" s="381">
        <f>11530*3.41575</f>
        <v>39383.597500000003</v>
      </c>
    </row>
    <row r="236" spans="1:16" ht="12.75">
      <c r="A236" s="398">
        <v>21110</v>
      </c>
      <c r="B236" s="398">
        <f>28260.29*2.9296</f>
        <v>82791.34558400001</v>
      </c>
      <c r="C236" s="334" t="s">
        <v>19653</v>
      </c>
      <c r="D236" s="371" t="s">
        <v>21128</v>
      </c>
      <c r="E236" s="372" t="s">
        <v>247</v>
      </c>
      <c r="F236" s="389" t="s">
        <v>20155</v>
      </c>
      <c r="G236" s="336">
        <v>45891</v>
      </c>
      <c r="H236" s="391">
        <v>6700</v>
      </c>
      <c r="I236" s="337">
        <v>14410</v>
      </c>
      <c r="J236" s="338"/>
      <c r="K236" s="337"/>
      <c r="L236" s="339" t="s">
        <v>20398</v>
      </c>
      <c r="M236" s="318" t="s">
        <v>21129</v>
      </c>
      <c r="N236" s="379" t="s">
        <v>20156</v>
      </c>
      <c r="O236" s="336">
        <v>45897</v>
      </c>
      <c r="P236" s="381">
        <v>0</v>
      </c>
    </row>
    <row r="237" spans="1:16" ht="12.75">
      <c r="A237" s="398">
        <v>145500</v>
      </c>
      <c r="B237" s="398">
        <f>175860*2.9157</f>
        <v>512755.00200000004</v>
      </c>
      <c r="C237" s="334" t="s">
        <v>19961</v>
      </c>
      <c r="D237" s="371" t="s">
        <v>21130</v>
      </c>
      <c r="E237" s="372" t="s">
        <v>248</v>
      </c>
      <c r="F237" s="389" t="s">
        <v>20155</v>
      </c>
      <c r="G237" s="336">
        <v>45894</v>
      </c>
      <c r="H237" s="391">
        <v>48000</v>
      </c>
      <c r="I237" s="391">
        <v>40000</v>
      </c>
      <c r="J237" s="338"/>
      <c r="K237" s="337">
        <v>57500</v>
      </c>
      <c r="L237" s="339" t="s">
        <v>20424</v>
      </c>
      <c r="M237" s="318" t="s">
        <v>21131</v>
      </c>
      <c r="N237" s="379" t="s">
        <v>17939</v>
      </c>
      <c r="O237" s="336">
        <v>45897</v>
      </c>
      <c r="P237" s="381">
        <v>0</v>
      </c>
    </row>
    <row r="238" spans="1:16" ht="12.75">
      <c r="A238" s="398">
        <v>297600</v>
      </c>
      <c r="B238" s="398">
        <f>199392*2.9157</f>
        <v>581367.25440000009</v>
      </c>
      <c r="C238" s="334" t="s">
        <v>19961</v>
      </c>
      <c r="D238" s="371" t="s">
        <v>21132</v>
      </c>
      <c r="E238" s="372" t="s">
        <v>249</v>
      </c>
      <c r="F238" s="389" t="s">
        <v>20155</v>
      </c>
      <c r="G238" s="336">
        <v>45894</v>
      </c>
      <c r="H238" s="973"/>
      <c r="I238" s="337">
        <v>240000</v>
      </c>
      <c r="J238" s="338">
        <v>57600</v>
      </c>
      <c r="K238" s="337"/>
      <c r="L238" s="339" t="s">
        <v>20424</v>
      </c>
      <c r="M238" s="318" t="s">
        <v>21133</v>
      </c>
      <c r="N238" s="379" t="s">
        <v>17939</v>
      </c>
      <c r="O238" s="336">
        <v>45900</v>
      </c>
      <c r="P238" s="381">
        <v>0</v>
      </c>
    </row>
    <row r="239" spans="1:16" ht="12.75">
      <c r="A239" s="398">
        <v>195555</v>
      </c>
      <c r="B239" s="398">
        <f>133276.05*2.92265</f>
        <v>389519.24753249995</v>
      </c>
      <c r="C239" s="334" t="s">
        <v>19662</v>
      </c>
      <c r="D239" s="371" t="s">
        <v>21134</v>
      </c>
      <c r="E239" s="372" t="s">
        <v>250</v>
      </c>
      <c r="F239" s="389"/>
      <c r="G239" s="336">
        <v>45894</v>
      </c>
      <c r="H239" s="337"/>
      <c r="I239" s="337">
        <v>163695</v>
      </c>
      <c r="J239" s="338">
        <v>31860</v>
      </c>
      <c r="K239" s="337"/>
      <c r="L239" s="339" t="s">
        <v>20398</v>
      </c>
      <c r="M239" s="318" t="s">
        <v>21135</v>
      </c>
      <c r="N239" s="379" t="s">
        <v>20159</v>
      </c>
      <c r="O239" s="336">
        <v>45909</v>
      </c>
      <c r="P239" s="381">
        <f>18200*2.92265</f>
        <v>53192.229999999996</v>
      </c>
    </row>
    <row r="240" spans="1:16" ht="12.75">
      <c r="A240" s="398">
        <v>57600</v>
      </c>
      <c r="B240" s="398">
        <v>124416</v>
      </c>
      <c r="C240" s="334" t="s">
        <v>19656</v>
      </c>
      <c r="D240" s="371" t="s">
        <v>21136</v>
      </c>
      <c r="E240" s="372" t="s">
        <v>251</v>
      </c>
      <c r="F240" s="389" t="s">
        <v>20155</v>
      </c>
      <c r="G240" s="336">
        <v>45894</v>
      </c>
      <c r="H240" s="337">
        <v>57600</v>
      </c>
      <c r="I240" s="337"/>
      <c r="J240" s="338"/>
      <c r="K240" s="337"/>
      <c r="L240" s="339" t="s">
        <v>20398</v>
      </c>
      <c r="M240" s="318" t="s">
        <v>21137</v>
      </c>
      <c r="N240" s="379" t="s">
        <v>18248</v>
      </c>
      <c r="O240" s="336">
        <v>45903</v>
      </c>
      <c r="P240" s="381">
        <v>0</v>
      </c>
    </row>
    <row r="241" spans="1:16" ht="12.75">
      <c r="A241" s="398">
        <v>23400</v>
      </c>
      <c r="B241" s="398">
        <v>37993.919999999998</v>
      </c>
      <c r="C241" s="334" t="s">
        <v>19656</v>
      </c>
      <c r="D241" s="371" t="s">
        <v>21138</v>
      </c>
      <c r="E241" s="372" t="s">
        <v>252</v>
      </c>
      <c r="F241" s="389"/>
      <c r="G241" s="336">
        <v>45894</v>
      </c>
      <c r="H241" s="337"/>
      <c r="I241" s="337">
        <v>23400</v>
      </c>
      <c r="J241" s="338"/>
      <c r="K241" s="337"/>
      <c r="L241" s="339" t="s">
        <v>20398</v>
      </c>
      <c r="M241" s="318"/>
      <c r="N241" s="379" t="s">
        <v>18094</v>
      </c>
      <c r="O241" s="336"/>
      <c r="P241" s="381">
        <v>0</v>
      </c>
    </row>
    <row r="242" spans="1:16" ht="12.75">
      <c r="A242" s="398">
        <v>76800</v>
      </c>
      <c r="B242" s="398">
        <v>168960</v>
      </c>
      <c r="C242" s="334" t="s">
        <v>19656</v>
      </c>
      <c r="D242" s="371" t="s">
        <v>21139</v>
      </c>
      <c r="E242" s="372" t="s">
        <v>253</v>
      </c>
      <c r="F242" s="389" t="s">
        <v>20155</v>
      </c>
      <c r="G242" s="336">
        <v>45894</v>
      </c>
      <c r="H242" s="391">
        <v>76800</v>
      </c>
      <c r="I242" s="337"/>
      <c r="J242" s="338"/>
      <c r="K242" s="337"/>
      <c r="L242" s="339" t="s">
        <v>20398</v>
      </c>
      <c r="M242" s="318" t="s">
        <v>21140</v>
      </c>
      <c r="N242" s="379" t="s">
        <v>17965</v>
      </c>
      <c r="O242" s="336">
        <v>45898</v>
      </c>
      <c r="P242" s="381">
        <v>0</v>
      </c>
    </row>
    <row r="243" spans="1:16" ht="12.75">
      <c r="A243" s="398">
        <v>26000</v>
      </c>
      <c r="B243" s="398">
        <v>45500</v>
      </c>
      <c r="C243" s="334" t="s">
        <v>19656</v>
      </c>
      <c r="D243" s="371" t="s">
        <v>21141</v>
      </c>
      <c r="E243" s="372" t="s">
        <v>254</v>
      </c>
      <c r="F243" s="389" t="s">
        <v>20155</v>
      </c>
      <c r="G243" s="336">
        <v>45894</v>
      </c>
      <c r="H243" s="337"/>
      <c r="I243" s="337"/>
      <c r="J243" s="338">
        <v>26000</v>
      </c>
      <c r="K243" s="337"/>
      <c r="L243" s="339" t="s">
        <v>20398</v>
      </c>
      <c r="M243" s="318" t="s">
        <v>21142</v>
      </c>
      <c r="N243" s="379" t="s">
        <v>18094</v>
      </c>
      <c r="O243" s="336">
        <v>45901</v>
      </c>
      <c r="P243" s="381">
        <v>0</v>
      </c>
    </row>
    <row r="244" spans="1:16" ht="12.75">
      <c r="A244" s="398">
        <v>107400</v>
      </c>
      <c r="B244" s="398">
        <v>184900</v>
      </c>
      <c r="C244" s="334" t="s">
        <v>19647</v>
      </c>
      <c r="D244" s="371" t="s">
        <v>21143</v>
      </c>
      <c r="E244" s="372" t="s">
        <v>255</v>
      </c>
      <c r="F244" s="389" t="s">
        <v>20155</v>
      </c>
      <c r="G244" s="336">
        <v>45894</v>
      </c>
      <c r="H244" s="337">
        <v>2400</v>
      </c>
      <c r="I244" s="337">
        <v>21000</v>
      </c>
      <c r="J244" s="338">
        <v>84000</v>
      </c>
      <c r="K244" s="337"/>
      <c r="L244" s="339" t="s">
        <v>20398</v>
      </c>
      <c r="M244" s="318" t="s">
        <v>21144</v>
      </c>
      <c r="N244" s="379" t="s">
        <v>17771</v>
      </c>
      <c r="O244" s="336">
        <v>45874</v>
      </c>
      <c r="P244" s="381">
        <v>0</v>
      </c>
    </row>
    <row r="245" spans="1:16" ht="12.75">
      <c r="A245" s="398">
        <v>84000</v>
      </c>
      <c r="B245" s="398">
        <v>143080</v>
      </c>
      <c r="C245" s="334" t="s">
        <v>19647</v>
      </c>
      <c r="D245" s="371" t="s">
        <v>21145</v>
      </c>
      <c r="E245" s="372" t="s">
        <v>256</v>
      </c>
      <c r="F245" s="389"/>
      <c r="G245" s="336">
        <v>45894</v>
      </c>
      <c r="H245" s="337"/>
      <c r="I245" s="337"/>
      <c r="J245" s="338">
        <v>84000</v>
      </c>
      <c r="K245" s="337"/>
      <c r="L245" s="339" t="s">
        <v>20398</v>
      </c>
      <c r="M245" s="318"/>
      <c r="N245" s="379" t="s">
        <v>17771</v>
      </c>
      <c r="O245" s="336"/>
      <c r="P245" s="381">
        <v>0</v>
      </c>
    </row>
    <row r="246" spans="1:16" ht="12.75">
      <c r="A246" s="398">
        <v>22280</v>
      </c>
      <c r="B246" s="398">
        <f>7216.8*3.41325</f>
        <v>24632.742600000001</v>
      </c>
      <c r="C246" s="334" t="s">
        <v>17303</v>
      </c>
      <c r="D246" s="371" t="s">
        <v>21146</v>
      </c>
      <c r="E246" s="372" t="s">
        <v>257</v>
      </c>
      <c r="F246" s="389"/>
      <c r="G246" s="336">
        <v>45894</v>
      </c>
      <c r="H246" s="337">
        <v>3200</v>
      </c>
      <c r="I246" s="337">
        <v>15000</v>
      </c>
      <c r="J246" s="338">
        <v>2400</v>
      </c>
      <c r="K246" s="337">
        <v>1680</v>
      </c>
      <c r="L246" s="339" t="s">
        <v>20424</v>
      </c>
      <c r="M246" s="318"/>
      <c r="N246" s="379" t="s">
        <v>16394</v>
      </c>
      <c r="O246" s="336"/>
      <c r="P246" s="381">
        <v>0</v>
      </c>
    </row>
    <row r="247" spans="1:16" ht="12.75">
      <c r="A247" s="398">
        <v>23896</v>
      </c>
      <c r="B247" s="398">
        <f>8924.24*3.41325</f>
        <v>30460.662179999999</v>
      </c>
      <c r="C247" s="334" t="s">
        <v>17303</v>
      </c>
      <c r="D247" s="371" t="s">
        <v>21147</v>
      </c>
      <c r="E247" s="372" t="s">
        <v>258</v>
      </c>
      <c r="F247" s="389" t="s">
        <v>20155</v>
      </c>
      <c r="G247" s="336">
        <v>45894</v>
      </c>
      <c r="H247" s="337"/>
      <c r="I247" s="337">
        <v>16296</v>
      </c>
      <c r="J247" s="338">
        <v>4800</v>
      </c>
      <c r="K247" s="337">
        <v>2800</v>
      </c>
      <c r="L247" s="339" t="s">
        <v>20424</v>
      </c>
      <c r="M247" s="318" t="s">
        <v>21148</v>
      </c>
      <c r="N247" s="379" t="s">
        <v>16394</v>
      </c>
      <c r="O247" s="336">
        <v>45908</v>
      </c>
      <c r="P247" s="381">
        <v>0</v>
      </c>
    </row>
    <row r="248" spans="1:16" ht="12.75">
      <c r="A248" s="398"/>
      <c r="B248" s="398"/>
      <c r="C248" s="334"/>
      <c r="D248" s="371" t="s">
        <v>21149</v>
      </c>
      <c r="E248" s="372" t="s">
        <v>259</v>
      </c>
      <c r="F248" s="389"/>
      <c r="G248" s="336"/>
      <c r="H248" s="337"/>
      <c r="I248" s="337"/>
      <c r="J248" s="338"/>
      <c r="K248" s="337"/>
      <c r="L248" s="339"/>
      <c r="M248" s="318"/>
      <c r="N248" s="379"/>
      <c r="O248" s="336"/>
      <c r="P248" s="381"/>
    </row>
    <row r="249" spans="1:16" ht="12.75">
      <c r="A249" s="398"/>
      <c r="B249" s="398"/>
      <c r="C249" s="334"/>
      <c r="D249" s="371" t="s">
        <v>21150</v>
      </c>
      <c r="E249" s="372" t="s">
        <v>260</v>
      </c>
      <c r="F249" s="389"/>
      <c r="G249" s="336"/>
      <c r="H249" s="337"/>
      <c r="I249" s="337"/>
      <c r="J249" s="338"/>
      <c r="K249" s="337"/>
      <c r="L249" s="339"/>
      <c r="M249" s="318"/>
      <c r="N249" s="379"/>
      <c r="O249" s="336"/>
      <c r="P249" s="381"/>
    </row>
    <row r="250" spans="1:16" ht="12.75">
      <c r="A250" s="398"/>
      <c r="B250" s="398"/>
      <c r="C250" s="334"/>
      <c r="D250" s="371" t="s">
        <v>21151</v>
      </c>
      <c r="E250" s="372" t="s">
        <v>261</v>
      </c>
      <c r="F250" s="389"/>
      <c r="G250" s="336"/>
      <c r="H250" s="337"/>
      <c r="I250" s="337"/>
      <c r="J250" s="338"/>
      <c r="K250" s="337"/>
      <c r="L250" s="339"/>
      <c r="M250" s="318"/>
      <c r="N250" s="379"/>
      <c r="O250" s="336"/>
      <c r="P250" s="381"/>
    </row>
    <row r="251" spans="1:16" ht="12.75">
      <c r="A251" s="398"/>
      <c r="B251" s="398"/>
      <c r="C251" s="334"/>
      <c r="D251" s="371" t="s">
        <v>21152</v>
      </c>
      <c r="E251" s="372" t="s">
        <v>262</v>
      </c>
      <c r="F251" s="389"/>
      <c r="G251" s="336"/>
      <c r="H251" s="337"/>
      <c r="I251" s="337"/>
      <c r="J251" s="338"/>
      <c r="K251" s="337"/>
      <c r="L251" s="339"/>
      <c r="M251" s="318"/>
      <c r="N251" s="379"/>
      <c r="O251" s="336"/>
      <c r="P251" s="381"/>
    </row>
    <row r="252" spans="1:16" ht="12.75">
      <c r="A252" s="398"/>
      <c r="B252" s="398"/>
      <c r="C252" s="334"/>
      <c r="D252" s="371" t="s">
        <v>21153</v>
      </c>
      <c r="E252" s="372" t="s">
        <v>263</v>
      </c>
      <c r="F252" s="389"/>
      <c r="G252" s="336"/>
      <c r="H252" s="337"/>
      <c r="I252" s="337"/>
      <c r="J252" s="338"/>
      <c r="K252" s="337"/>
      <c r="L252" s="339"/>
      <c r="M252" s="318"/>
      <c r="N252" s="379"/>
      <c r="O252" s="336"/>
      <c r="P252" s="381"/>
    </row>
    <row r="253" spans="1:16" ht="12.75">
      <c r="A253" s="398">
        <v>47050</v>
      </c>
      <c r="B253" s="398">
        <v>81306</v>
      </c>
      <c r="C253" s="334" t="s">
        <v>19655</v>
      </c>
      <c r="D253" s="371" t="s">
        <v>21154</v>
      </c>
      <c r="E253" s="372" t="s">
        <v>264</v>
      </c>
      <c r="F253" s="389" t="s">
        <v>20155</v>
      </c>
      <c r="G253" s="336">
        <v>45908</v>
      </c>
      <c r="H253" s="337"/>
      <c r="I253" s="337">
        <v>47050</v>
      </c>
      <c r="J253" s="338"/>
      <c r="K253" s="337"/>
      <c r="L253" s="339" t="s">
        <v>18201</v>
      </c>
      <c r="M253" s="318" t="s">
        <v>21155</v>
      </c>
      <c r="N253" s="379" t="s">
        <v>17693</v>
      </c>
      <c r="O253" s="336">
        <v>45911</v>
      </c>
      <c r="P253" s="381">
        <v>0</v>
      </c>
    </row>
    <row r="254" spans="1:16" ht="12.75">
      <c r="A254" s="398"/>
      <c r="B254" s="398"/>
      <c r="C254" s="334"/>
      <c r="D254" s="371" t="s">
        <v>21156</v>
      </c>
      <c r="E254" s="372" t="s">
        <v>265</v>
      </c>
      <c r="F254" s="389"/>
      <c r="G254" s="336"/>
      <c r="H254" s="337"/>
      <c r="I254" s="337"/>
      <c r="J254" s="338"/>
      <c r="K254" s="337"/>
      <c r="L254" s="339"/>
      <c r="M254" s="318"/>
      <c r="N254" s="379"/>
      <c r="O254" s="336"/>
      <c r="P254" s="381"/>
    </row>
    <row r="255" spans="1:16" ht="12.75">
      <c r="A255" s="398"/>
      <c r="B255" s="398"/>
      <c r="C255" s="334"/>
      <c r="D255" s="371" t="s">
        <v>21157</v>
      </c>
      <c r="E255" s="372" t="s">
        <v>266</v>
      </c>
      <c r="F255" s="389"/>
      <c r="G255" s="336"/>
      <c r="H255" s="337"/>
      <c r="I255" s="337"/>
      <c r="J255" s="338"/>
      <c r="K255" s="337"/>
      <c r="L255" s="339"/>
      <c r="M255" s="318"/>
      <c r="N255" s="379"/>
      <c r="O255" s="336"/>
      <c r="P255" s="381"/>
    </row>
    <row r="256" spans="1:16" ht="12.75">
      <c r="A256" s="398"/>
      <c r="B256" s="398"/>
      <c r="C256" s="334"/>
      <c r="D256" s="371" t="s">
        <v>21158</v>
      </c>
      <c r="E256" s="372" t="s">
        <v>267</v>
      </c>
      <c r="F256" s="389"/>
      <c r="G256" s="336"/>
      <c r="H256" s="337"/>
      <c r="I256" s="337"/>
      <c r="J256" s="338"/>
      <c r="K256" s="337"/>
      <c r="L256" s="339"/>
      <c r="M256" s="318"/>
      <c r="N256" s="379"/>
      <c r="O256" s="336"/>
      <c r="P256" s="381"/>
    </row>
    <row r="257" spans="1:16" ht="12.75">
      <c r="A257" s="398"/>
      <c r="B257" s="398"/>
      <c r="C257" s="334"/>
      <c r="D257" s="371" t="s">
        <v>21159</v>
      </c>
      <c r="E257" s="372" t="s">
        <v>268</v>
      </c>
      <c r="F257" s="389"/>
      <c r="G257" s="336"/>
      <c r="H257" s="337"/>
      <c r="I257" s="337"/>
      <c r="J257" s="338"/>
      <c r="K257" s="337"/>
      <c r="L257" s="339"/>
      <c r="M257" s="318"/>
      <c r="N257" s="379"/>
      <c r="O257" s="336"/>
      <c r="P257" s="381"/>
    </row>
    <row r="258" spans="1:16" ht="12.75">
      <c r="A258" s="398"/>
      <c r="B258" s="398"/>
      <c r="C258" s="334"/>
      <c r="D258" s="371" t="s">
        <v>21160</v>
      </c>
      <c r="E258" s="372" t="s">
        <v>269</v>
      </c>
      <c r="F258" s="389"/>
      <c r="G258" s="336"/>
      <c r="H258" s="337"/>
      <c r="I258" s="337"/>
      <c r="J258" s="338"/>
      <c r="K258" s="337"/>
      <c r="L258" s="339"/>
      <c r="M258" s="318"/>
      <c r="N258" s="379"/>
      <c r="O258" s="336"/>
      <c r="P258" s="381"/>
    </row>
    <row r="259" spans="1:16" ht="12.75">
      <c r="A259" s="398"/>
      <c r="B259" s="398"/>
      <c r="C259" s="334"/>
      <c r="D259" s="371" t="s">
        <v>21161</v>
      </c>
      <c r="E259" s="372" t="s">
        <v>270</v>
      </c>
      <c r="F259" s="389"/>
      <c r="G259" s="336"/>
      <c r="H259" s="337"/>
      <c r="I259" s="337"/>
      <c r="J259" s="338"/>
      <c r="K259" s="337"/>
      <c r="L259" s="339"/>
      <c r="M259" s="318"/>
      <c r="N259" s="379"/>
      <c r="O259" s="336"/>
      <c r="P259" s="381"/>
    </row>
    <row r="260" spans="1:16" ht="12.75">
      <c r="A260" s="398"/>
      <c r="B260" s="398"/>
      <c r="C260" s="334"/>
      <c r="D260" s="371" t="s">
        <v>21162</v>
      </c>
      <c r="E260" s="372" t="s">
        <v>271</v>
      </c>
      <c r="F260" s="389"/>
      <c r="G260" s="336"/>
      <c r="H260" s="337"/>
      <c r="I260" s="337"/>
      <c r="J260" s="338"/>
      <c r="K260" s="337"/>
      <c r="L260" s="339"/>
      <c r="M260" s="318"/>
      <c r="N260" s="379"/>
      <c r="O260" s="336"/>
      <c r="P260" s="381"/>
    </row>
    <row r="261" spans="1:16" ht="12.75">
      <c r="A261" s="398"/>
      <c r="B261" s="398"/>
      <c r="C261" s="334"/>
      <c r="D261" s="371" t="s">
        <v>21163</v>
      </c>
      <c r="E261" s="372" t="s">
        <v>272</v>
      </c>
      <c r="F261" s="389"/>
      <c r="G261" s="336"/>
      <c r="H261" s="337"/>
      <c r="I261" s="337"/>
      <c r="J261" s="338"/>
      <c r="K261" s="337"/>
      <c r="L261" s="339"/>
      <c r="M261" s="318"/>
      <c r="N261" s="379"/>
      <c r="O261" s="336"/>
      <c r="P261" s="381"/>
    </row>
    <row r="262" spans="1:16" ht="12.75">
      <c r="A262" s="398"/>
      <c r="B262" s="398"/>
      <c r="C262" s="334"/>
      <c r="D262" s="371" t="s">
        <v>21164</v>
      </c>
      <c r="E262" s="372" t="s">
        <v>273</v>
      </c>
      <c r="F262" s="389"/>
      <c r="G262" s="336"/>
      <c r="H262" s="337"/>
      <c r="I262" s="337"/>
      <c r="J262" s="338"/>
      <c r="K262" s="337"/>
      <c r="L262" s="339"/>
      <c r="M262" s="318"/>
      <c r="N262" s="379"/>
      <c r="O262" s="336"/>
      <c r="P262" s="381"/>
    </row>
    <row r="263" spans="1:16" ht="12.75">
      <c r="A263" s="398"/>
      <c r="B263" s="398"/>
      <c r="C263" s="334"/>
      <c r="D263" s="371" t="s">
        <v>21165</v>
      </c>
      <c r="E263" s="372" t="s">
        <v>274</v>
      </c>
      <c r="F263" s="389"/>
      <c r="G263" s="336"/>
      <c r="H263" s="337"/>
      <c r="I263" s="337"/>
      <c r="J263" s="338"/>
      <c r="K263" s="337"/>
      <c r="L263" s="339"/>
      <c r="M263" s="318"/>
      <c r="N263" s="379"/>
      <c r="O263" s="336"/>
      <c r="P263" s="381"/>
    </row>
    <row r="264" spans="1:16" ht="12.75">
      <c r="A264" s="398"/>
      <c r="B264" s="398"/>
      <c r="C264" s="334"/>
      <c r="D264" s="371" t="s">
        <v>21166</v>
      </c>
      <c r="E264" s="372" t="s">
        <v>275</v>
      </c>
      <c r="F264" s="389"/>
      <c r="G264" s="336"/>
      <c r="H264" s="337"/>
      <c r="I264" s="337"/>
      <c r="J264" s="338"/>
      <c r="K264" s="337"/>
      <c r="L264" s="339"/>
      <c r="M264" s="318"/>
      <c r="N264" s="379"/>
      <c r="O264" s="336"/>
      <c r="P264" s="381"/>
    </row>
    <row r="265" spans="1:16" ht="12.75">
      <c r="A265" s="398"/>
      <c r="B265" s="398"/>
      <c r="C265" s="334"/>
      <c r="D265" s="371" t="s">
        <v>21167</v>
      </c>
      <c r="E265" s="372" t="s">
        <v>276</v>
      </c>
      <c r="F265" s="389"/>
      <c r="G265" s="336"/>
      <c r="H265" s="337"/>
      <c r="I265" s="337"/>
      <c r="J265" s="338"/>
      <c r="K265" s="337"/>
      <c r="L265" s="339"/>
      <c r="M265" s="318"/>
      <c r="N265" s="379"/>
      <c r="O265" s="336"/>
      <c r="P265" s="381"/>
    </row>
    <row r="266" spans="1:16" ht="12.75">
      <c r="A266" s="398"/>
      <c r="B266" s="398"/>
      <c r="C266" s="334"/>
      <c r="D266" s="371" t="s">
        <v>21168</v>
      </c>
      <c r="E266" s="372" t="s">
        <v>277</v>
      </c>
      <c r="F266" s="389"/>
      <c r="G266" s="336"/>
      <c r="H266" s="337"/>
      <c r="I266" s="337"/>
      <c r="J266" s="338"/>
      <c r="K266" s="337"/>
      <c r="L266" s="339"/>
      <c r="M266" s="318"/>
      <c r="N266" s="379"/>
      <c r="O266" s="336"/>
      <c r="P266" s="381"/>
    </row>
    <row r="267" spans="1:16" ht="12.75">
      <c r="A267" s="398"/>
      <c r="B267" s="398"/>
      <c r="C267" s="334"/>
      <c r="D267" s="371" t="s">
        <v>21169</v>
      </c>
      <c r="E267" s="372" t="s">
        <v>278</v>
      </c>
      <c r="F267" s="389"/>
      <c r="G267" s="336"/>
      <c r="H267" s="337"/>
      <c r="I267" s="337"/>
      <c r="J267" s="338"/>
      <c r="K267" s="337"/>
      <c r="L267" s="339"/>
      <c r="M267" s="318"/>
      <c r="N267" s="379"/>
      <c r="O267" s="336"/>
      <c r="P267" s="381"/>
    </row>
    <row r="268" spans="1:16">
      <c r="G268"/>
    </row>
    <row r="269" spans="1:16">
      <c r="G269"/>
    </row>
    <row r="270" spans="1:16">
      <c r="G270"/>
    </row>
    <row r="271" spans="1:16">
      <c r="G271"/>
    </row>
    <row r="272" spans="1:16">
      <c r="G272"/>
    </row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</sheetData>
  <phoneticPr fontId="6" type="noConversion"/>
  <conditionalFormatting sqref="D1">
    <cfRule type="duplicateValues" dxfId="2" priority="2" stopIfTrue="1"/>
  </conditionalFormatting>
  <conditionalFormatting sqref="D2:D267">
    <cfRule type="duplicateValues" dxfId="1" priority="1" stopIfTrue="1"/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9"/>
  <dimension ref="A1:Q1493"/>
  <sheetViews>
    <sheetView topLeftCell="A1374" zoomScale="75" workbookViewId="0">
      <selection activeCell="I1496" sqref="I1496"/>
    </sheetView>
  </sheetViews>
  <sheetFormatPr defaultColWidth="9.140625" defaultRowHeight="12.6"/>
  <cols>
    <col min="1" max="1" width="12.140625" style="5" customWidth="1"/>
    <col min="2" max="2" width="10.85546875" style="897" customWidth="1"/>
    <col min="3" max="4" width="9.140625" style="5" customWidth="1"/>
    <col min="5" max="5" width="30.140625" style="5" customWidth="1"/>
    <col min="6" max="6" width="9.140625" style="5" customWidth="1"/>
    <col min="7" max="7" width="11.42578125" style="5" customWidth="1"/>
    <col min="8" max="8" width="10.85546875" style="5" customWidth="1"/>
    <col min="9" max="9" width="9.140625" style="5" customWidth="1"/>
    <col min="10" max="10" width="9.140625" style="6" customWidth="1"/>
    <col min="11" max="11" width="9.140625" style="5" customWidth="1"/>
    <col min="12" max="12" width="24.140625" style="6" customWidth="1"/>
    <col min="13" max="13" width="9.140625" style="5" customWidth="1"/>
    <col min="14" max="14" width="9.140625" style="6" customWidth="1"/>
    <col min="15" max="15" width="9.140625" style="5" customWidth="1"/>
    <col min="16" max="16" width="9.140625" style="6" customWidth="1"/>
    <col min="17" max="17" width="9.140625" style="5" customWidth="1"/>
    <col min="18" max="19" width="9.140625" customWidth="1"/>
  </cols>
  <sheetData>
    <row r="1" spans="1:17" s="1" customFormat="1" ht="11.45">
      <c r="A1" s="988"/>
      <c r="B1" s="988"/>
      <c r="C1" s="988"/>
      <c r="D1" s="988"/>
      <c r="E1" s="989"/>
      <c r="F1" s="990" t="s">
        <v>20112</v>
      </c>
      <c r="G1" s="988"/>
      <c r="H1" s="989"/>
      <c r="I1" s="990" t="s">
        <v>20113</v>
      </c>
      <c r="J1" s="991"/>
      <c r="K1" s="988"/>
      <c r="L1" s="991"/>
      <c r="M1" s="988"/>
      <c r="N1" s="991"/>
      <c r="O1" s="988"/>
      <c r="P1" s="991"/>
      <c r="Q1" s="989"/>
    </row>
    <row r="2" spans="1:17" s="2" customFormat="1" ht="11.45">
      <c r="A2" s="7" t="s">
        <v>17406</v>
      </c>
      <c r="B2" s="872" t="s">
        <v>17407</v>
      </c>
      <c r="C2" s="7" t="s">
        <v>20124</v>
      </c>
      <c r="D2" s="7" t="s">
        <v>17408</v>
      </c>
      <c r="E2" s="7" t="s">
        <v>17409</v>
      </c>
      <c r="F2" s="7" t="s">
        <v>20112</v>
      </c>
      <c r="G2" s="7" t="s">
        <v>20129</v>
      </c>
      <c r="H2" s="8" t="s">
        <v>20130</v>
      </c>
      <c r="I2" s="7" t="s">
        <v>20131</v>
      </c>
      <c r="J2" s="13" t="s">
        <v>21170</v>
      </c>
      <c r="K2" s="7" t="s">
        <v>20132</v>
      </c>
      <c r="L2" s="13" t="s">
        <v>20152</v>
      </c>
      <c r="M2" s="7" t="s">
        <v>20133</v>
      </c>
      <c r="N2" s="13" t="s">
        <v>21171</v>
      </c>
      <c r="O2" s="7" t="s">
        <v>20134</v>
      </c>
      <c r="P2" s="13" t="s">
        <v>20154</v>
      </c>
      <c r="Q2" s="7" t="s">
        <v>20135</v>
      </c>
    </row>
    <row r="3" spans="1:17" s="3" customFormat="1" ht="11.45">
      <c r="A3" s="9" t="s">
        <v>18336</v>
      </c>
      <c r="B3" s="10" t="s">
        <v>20295</v>
      </c>
      <c r="C3" s="11">
        <v>2021</v>
      </c>
      <c r="D3" s="11" t="s">
        <v>16838</v>
      </c>
      <c r="E3" s="11" t="s">
        <v>16839</v>
      </c>
      <c r="F3" s="11" t="s">
        <v>20155</v>
      </c>
      <c r="G3" s="11" t="s">
        <v>17798</v>
      </c>
      <c r="H3" s="12">
        <v>44211</v>
      </c>
      <c r="I3" s="14">
        <v>0</v>
      </c>
      <c r="J3" s="15"/>
      <c r="K3" s="14">
        <v>0</v>
      </c>
      <c r="L3" s="15"/>
      <c r="M3" s="14">
        <v>156000</v>
      </c>
      <c r="N3" s="15" t="s">
        <v>20296</v>
      </c>
      <c r="O3" s="14">
        <v>0</v>
      </c>
      <c r="P3" s="15"/>
      <c r="Q3" s="14">
        <v>156000</v>
      </c>
    </row>
    <row r="4" spans="1:17" s="3" customFormat="1" ht="11.45">
      <c r="A4" s="9" t="s">
        <v>18337</v>
      </c>
      <c r="B4" s="10" t="s">
        <v>20295</v>
      </c>
      <c r="C4" s="11">
        <v>2021</v>
      </c>
      <c r="D4" s="11" t="s">
        <v>16384</v>
      </c>
      <c r="E4" s="11" t="s">
        <v>16385</v>
      </c>
      <c r="F4" s="11" t="s">
        <v>20155</v>
      </c>
      <c r="G4" s="11" t="s">
        <v>17965</v>
      </c>
      <c r="H4" s="12">
        <v>44217</v>
      </c>
      <c r="I4" s="14">
        <v>96000</v>
      </c>
      <c r="J4" s="16">
        <v>1</v>
      </c>
      <c r="K4" s="14">
        <v>0</v>
      </c>
      <c r="L4" s="15"/>
      <c r="M4" s="14">
        <v>0</v>
      </c>
      <c r="N4" s="15"/>
      <c r="O4" s="14">
        <v>0</v>
      </c>
      <c r="P4" s="15"/>
      <c r="Q4" s="14">
        <v>96000</v>
      </c>
    </row>
    <row r="5" spans="1:17" s="3" customFormat="1" ht="11.45">
      <c r="A5" s="9" t="s">
        <v>18339</v>
      </c>
      <c r="B5" s="10" t="s">
        <v>20295</v>
      </c>
      <c r="C5" s="11">
        <v>2021</v>
      </c>
      <c r="D5" s="11" t="s">
        <v>16384</v>
      </c>
      <c r="E5" s="11" t="s">
        <v>16385</v>
      </c>
      <c r="F5" s="11" t="s">
        <v>20155</v>
      </c>
      <c r="G5" s="11" t="s">
        <v>17965</v>
      </c>
      <c r="H5" s="12">
        <v>44224</v>
      </c>
      <c r="I5" s="14">
        <v>76800</v>
      </c>
      <c r="J5" s="16">
        <v>1</v>
      </c>
      <c r="K5" s="14">
        <v>0</v>
      </c>
      <c r="L5" s="15"/>
      <c r="M5" s="14">
        <v>0</v>
      </c>
      <c r="N5" s="15"/>
      <c r="O5" s="14">
        <v>0</v>
      </c>
      <c r="P5" s="15"/>
      <c r="Q5" s="14">
        <v>76800</v>
      </c>
    </row>
    <row r="6" spans="1:17" s="1" customFormat="1" ht="11.45">
      <c r="A6" s="9" t="s">
        <v>18340</v>
      </c>
      <c r="B6" s="10" t="s">
        <v>20295</v>
      </c>
      <c r="C6" s="11">
        <v>2021</v>
      </c>
      <c r="D6" s="11" t="s">
        <v>16904</v>
      </c>
      <c r="E6" s="11" t="s">
        <v>16905</v>
      </c>
      <c r="F6" s="11" t="s">
        <v>20155</v>
      </c>
      <c r="G6" s="11" t="s">
        <v>20160</v>
      </c>
      <c r="H6" s="12">
        <v>44211</v>
      </c>
      <c r="I6" s="14">
        <v>0</v>
      </c>
      <c r="J6" s="15"/>
      <c r="K6" s="14">
        <v>10800</v>
      </c>
      <c r="L6" s="16">
        <v>1</v>
      </c>
      <c r="M6" s="14">
        <v>0</v>
      </c>
      <c r="N6" s="15"/>
      <c r="O6" s="14">
        <v>0</v>
      </c>
      <c r="P6" s="15"/>
      <c r="Q6" s="14">
        <v>10800</v>
      </c>
    </row>
    <row r="7" spans="1:17" s="1" customFormat="1" ht="11.45">
      <c r="A7" s="9" t="s">
        <v>18341</v>
      </c>
      <c r="B7" s="10" t="s">
        <v>20295</v>
      </c>
      <c r="C7" s="11">
        <v>2021</v>
      </c>
      <c r="D7" s="11" t="s">
        <v>16904</v>
      </c>
      <c r="E7" s="11" t="s">
        <v>16905</v>
      </c>
      <c r="F7" s="11" t="s">
        <v>20155</v>
      </c>
      <c r="G7" s="11" t="s">
        <v>20160</v>
      </c>
      <c r="H7" s="12">
        <v>44211</v>
      </c>
      <c r="I7" s="14">
        <v>0</v>
      </c>
      <c r="J7" s="15"/>
      <c r="K7" s="14">
        <v>18876</v>
      </c>
      <c r="L7" s="16">
        <v>1</v>
      </c>
      <c r="M7" s="14">
        <v>8460</v>
      </c>
      <c r="N7" s="16">
        <v>1</v>
      </c>
      <c r="O7" s="14">
        <v>0</v>
      </c>
      <c r="P7" s="15"/>
      <c r="Q7" s="14">
        <v>27336</v>
      </c>
    </row>
    <row r="8" spans="1:17" s="1" customFormat="1" ht="11.45">
      <c r="A8" s="9" t="s">
        <v>18342</v>
      </c>
      <c r="B8" s="10" t="s">
        <v>20295</v>
      </c>
      <c r="C8" s="11">
        <v>2021</v>
      </c>
      <c r="D8" s="11" t="s">
        <v>17276</v>
      </c>
      <c r="E8" s="11" t="s">
        <v>17277</v>
      </c>
      <c r="F8" s="11" t="s">
        <v>20155</v>
      </c>
      <c r="G8" s="11" t="s">
        <v>20297</v>
      </c>
      <c r="H8" s="12">
        <v>44217</v>
      </c>
      <c r="I8" s="14">
        <v>19200</v>
      </c>
      <c r="J8" s="16">
        <v>1</v>
      </c>
      <c r="K8" s="14">
        <v>0</v>
      </c>
      <c r="L8" s="16"/>
      <c r="M8" s="14">
        <v>0</v>
      </c>
      <c r="N8" s="16"/>
      <c r="O8" s="14">
        <v>0</v>
      </c>
      <c r="P8" s="16"/>
      <c r="Q8" s="14">
        <v>19200</v>
      </c>
    </row>
    <row r="9" spans="1:17" s="3" customFormat="1" ht="11.45">
      <c r="A9" s="9" t="s">
        <v>18343</v>
      </c>
      <c r="B9" s="10" t="s">
        <v>20295</v>
      </c>
      <c r="C9" s="11">
        <v>2021</v>
      </c>
      <c r="D9" s="11" t="s">
        <v>16444</v>
      </c>
      <c r="E9" s="11" t="s">
        <v>16445</v>
      </c>
      <c r="F9" s="11" t="s">
        <v>20155</v>
      </c>
      <c r="G9" s="11" t="s">
        <v>17693</v>
      </c>
      <c r="H9" s="12">
        <v>44237</v>
      </c>
      <c r="I9" s="14">
        <v>22008</v>
      </c>
      <c r="J9" s="16">
        <v>1</v>
      </c>
      <c r="K9" s="14">
        <v>0</v>
      </c>
      <c r="L9" s="15"/>
      <c r="M9" s="14">
        <v>0</v>
      </c>
      <c r="N9" s="15"/>
      <c r="O9" s="14">
        <v>0</v>
      </c>
      <c r="P9" s="15"/>
      <c r="Q9" s="14">
        <v>22008</v>
      </c>
    </row>
    <row r="10" spans="1:17" s="1" customFormat="1" ht="11.45">
      <c r="A10" s="9" t="s">
        <v>18344</v>
      </c>
      <c r="B10" s="10" t="s">
        <v>20295</v>
      </c>
      <c r="C10" s="11">
        <v>2021</v>
      </c>
      <c r="D10" s="11" t="s">
        <v>16444</v>
      </c>
      <c r="E10" s="11" t="s">
        <v>16445</v>
      </c>
      <c r="F10" s="11" t="s">
        <v>20155</v>
      </c>
      <c r="G10" s="11" t="s">
        <v>17693</v>
      </c>
      <c r="H10" s="12">
        <v>44214</v>
      </c>
      <c r="I10" s="14">
        <v>41500</v>
      </c>
      <c r="J10" s="16">
        <v>1</v>
      </c>
      <c r="K10" s="14">
        <v>0</v>
      </c>
      <c r="L10" s="15"/>
      <c r="M10" s="14">
        <v>0</v>
      </c>
      <c r="N10" s="15"/>
      <c r="O10" s="14">
        <v>0</v>
      </c>
      <c r="P10" s="15"/>
      <c r="Q10" s="14">
        <v>41500</v>
      </c>
    </row>
    <row r="11" spans="1:17" s="1" customFormat="1" ht="11.45">
      <c r="A11" s="9" t="s">
        <v>18345</v>
      </c>
      <c r="B11" s="10" t="s">
        <v>20295</v>
      </c>
      <c r="C11" s="11">
        <v>2021</v>
      </c>
      <c r="D11" s="11" t="s">
        <v>16444</v>
      </c>
      <c r="E11" s="11" t="s">
        <v>16445</v>
      </c>
      <c r="F11" s="11" t="s">
        <v>20155</v>
      </c>
      <c r="G11" s="11" t="s">
        <v>18248</v>
      </c>
      <c r="H11" s="12">
        <v>44228</v>
      </c>
      <c r="I11" s="14">
        <v>19200</v>
      </c>
      <c r="J11" s="16">
        <v>1</v>
      </c>
      <c r="K11" s="14">
        <v>0</v>
      </c>
      <c r="L11" s="15"/>
      <c r="M11" s="14">
        <v>0</v>
      </c>
      <c r="N11" s="15"/>
      <c r="O11" s="14">
        <v>0</v>
      </c>
      <c r="P11" s="15"/>
      <c r="Q11" s="14">
        <v>19200</v>
      </c>
    </row>
    <row r="12" spans="1:17" s="1" customFormat="1" ht="11.45">
      <c r="A12" s="9" t="s">
        <v>18346</v>
      </c>
      <c r="B12" s="10" t="s">
        <v>20295</v>
      </c>
      <c r="C12" s="11">
        <v>2021</v>
      </c>
      <c r="D12" s="11" t="s">
        <v>16444</v>
      </c>
      <c r="E12" s="11" t="s">
        <v>16445</v>
      </c>
      <c r="F12" s="11" t="s">
        <v>20155</v>
      </c>
      <c r="G12" s="11" t="s">
        <v>17854</v>
      </c>
      <c r="H12" s="12">
        <v>44222</v>
      </c>
      <c r="I12" s="14">
        <v>35950</v>
      </c>
      <c r="J12" s="16">
        <v>1</v>
      </c>
      <c r="K12" s="14">
        <v>0</v>
      </c>
      <c r="L12" s="16"/>
      <c r="M12" s="14">
        <v>0</v>
      </c>
      <c r="N12" s="16"/>
      <c r="O12" s="14">
        <v>0</v>
      </c>
      <c r="P12" s="16"/>
      <c r="Q12" s="14">
        <v>35950</v>
      </c>
    </row>
    <row r="13" spans="1:17" s="1" customFormat="1" ht="11.45">
      <c r="A13" s="9" t="s">
        <v>18347</v>
      </c>
      <c r="B13" s="10" t="s">
        <v>20295</v>
      </c>
      <c r="C13" s="11">
        <v>2021</v>
      </c>
      <c r="D13" s="11" t="s">
        <v>16444</v>
      </c>
      <c r="E13" s="11" t="s">
        <v>16445</v>
      </c>
      <c r="F13" s="11" t="s">
        <v>20155</v>
      </c>
      <c r="G13" s="11" t="s">
        <v>18248</v>
      </c>
      <c r="H13" s="12">
        <v>44209</v>
      </c>
      <c r="I13" s="14">
        <v>44016</v>
      </c>
      <c r="J13" s="16">
        <v>1</v>
      </c>
      <c r="K13" s="14">
        <v>0</v>
      </c>
      <c r="L13" s="15"/>
      <c r="M13" s="14">
        <v>0</v>
      </c>
      <c r="N13" s="15"/>
      <c r="O13" s="14">
        <v>0</v>
      </c>
      <c r="P13" s="15"/>
      <c r="Q13" s="14">
        <v>44016</v>
      </c>
    </row>
    <row r="14" spans="1:17" s="1" customFormat="1" ht="11.45">
      <c r="A14" s="9" t="s">
        <v>18348</v>
      </c>
      <c r="B14" s="10" t="s">
        <v>20295</v>
      </c>
      <c r="C14" s="11">
        <v>2021</v>
      </c>
      <c r="D14" s="11" t="s">
        <v>16470</v>
      </c>
      <c r="E14" s="11" t="s">
        <v>16471</v>
      </c>
      <c r="F14" s="11" t="s">
        <v>20155</v>
      </c>
      <c r="G14" s="11" t="s">
        <v>20159</v>
      </c>
      <c r="H14" s="12">
        <v>44216</v>
      </c>
      <c r="I14" s="14">
        <v>28800</v>
      </c>
      <c r="J14" s="16">
        <v>1</v>
      </c>
      <c r="K14" s="14">
        <v>250320</v>
      </c>
      <c r="L14" s="15" t="s">
        <v>20296</v>
      </c>
      <c r="M14" s="14">
        <v>0</v>
      </c>
      <c r="N14" s="15"/>
      <c r="O14" s="14">
        <v>0</v>
      </c>
      <c r="P14" s="15"/>
      <c r="Q14" s="14">
        <v>279120</v>
      </c>
    </row>
    <row r="15" spans="1:17" s="1" customFormat="1" ht="11.45">
      <c r="A15" s="9" t="s">
        <v>18349</v>
      </c>
      <c r="B15" s="10" t="s">
        <v>20295</v>
      </c>
      <c r="C15" s="11">
        <v>2021</v>
      </c>
      <c r="D15" s="11" t="s">
        <v>16444</v>
      </c>
      <c r="E15" s="11" t="s">
        <v>16445</v>
      </c>
      <c r="F15" s="11" t="s">
        <v>20155</v>
      </c>
      <c r="G15" s="11" t="s">
        <v>18248</v>
      </c>
      <c r="H15" s="12">
        <v>44216</v>
      </c>
      <c r="I15" s="14">
        <v>25344</v>
      </c>
      <c r="J15" s="16">
        <v>1</v>
      </c>
      <c r="K15" s="14">
        <v>80028</v>
      </c>
      <c r="L15" s="15" t="s">
        <v>20296</v>
      </c>
      <c r="M15" s="14">
        <v>0</v>
      </c>
      <c r="N15" s="15"/>
      <c r="O15" s="14">
        <v>0</v>
      </c>
      <c r="P15" s="15"/>
      <c r="Q15" s="14">
        <v>105372</v>
      </c>
    </row>
    <row r="16" spans="1:17" s="1" customFormat="1" ht="11.45">
      <c r="A16" s="9" t="s">
        <v>18350</v>
      </c>
      <c r="B16" s="10" t="s">
        <v>20295</v>
      </c>
      <c r="C16" s="11">
        <v>2021</v>
      </c>
      <c r="D16" s="11" t="s">
        <v>16444</v>
      </c>
      <c r="E16" s="11" t="s">
        <v>16445</v>
      </c>
      <c r="F16" s="11" t="s">
        <v>20155</v>
      </c>
      <c r="G16" s="11" t="s">
        <v>17801</v>
      </c>
      <c r="H16" s="12">
        <v>44209</v>
      </c>
      <c r="I16" s="14">
        <v>22008</v>
      </c>
      <c r="J16" s="16">
        <v>1</v>
      </c>
      <c r="K16" s="14">
        <v>0</v>
      </c>
      <c r="L16" s="15"/>
      <c r="M16" s="14">
        <v>0</v>
      </c>
      <c r="N16" s="15"/>
      <c r="O16" s="14">
        <v>0</v>
      </c>
      <c r="P16" s="15"/>
      <c r="Q16" s="14">
        <v>22008</v>
      </c>
    </row>
    <row r="17" spans="1:17" s="1" customFormat="1" ht="11.45">
      <c r="A17" s="9" t="s">
        <v>18351</v>
      </c>
      <c r="B17" s="10" t="s">
        <v>20298</v>
      </c>
      <c r="C17" s="11">
        <v>2021</v>
      </c>
      <c r="D17" s="11" t="s">
        <v>17017</v>
      </c>
      <c r="E17" s="11" t="s">
        <v>17018</v>
      </c>
      <c r="F17" s="11" t="s">
        <v>20155</v>
      </c>
      <c r="G17" s="11" t="s">
        <v>18064</v>
      </c>
      <c r="H17" s="12">
        <v>44214</v>
      </c>
      <c r="I17" s="14">
        <v>0</v>
      </c>
      <c r="J17" s="16"/>
      <c r="K17" s="14">
        <v>20000</v>
      </c>
      <c r="L17" s="16">
        <v>1</v>
      </c>
      <c r="M17" s="14">
        <v>0</v>
      </c>
      <c r="N17" s="16"/>
      <c r="O17" s="14">
        <v>0</v>
      </c>
      <c r="P17" s="16"/>
      <c r="Q17" s="14">
        <v>20000</v>
      </c>
    </row>
    <row r="18" spans="1:17" s="1" customFormat="1" ht="11.45">
      <c r="A18" s="9" t="s">
        <v>18352</v>
      </c>
      <c r="B18" s="10" t="s">
        <v>20298</v>
      </c>
      <c r="C18" s="11">
        <v>2021</v>
      </c>
      <c r="D18" s="11" t="s">
        <v>16957</v>
      </c>
      <c r="E18" s="11" t="s">
        <v>16958</v>
      </c>
      <c r="F18" s="11" t="s">
        <v>20155</v>
      </c>
      <c r="G18" s="11" t="s">
        <v>20161</v>
      </c>
      <c r="H18" s="12">
        <v>44208</v>
      </c>
      <c r="I18" s="14">
        <v>20000</v>
      </c>
      <c r="J18" s="16">
        <v>1</v>
      </c>
      <c r="K18" s="14">
        <v>0</v>
      </c>
      <c r="L18" s="16"/>
      <c r="M18" s="14">
        <v>0</v>
      </c>
      <c r="N18" s="16"/>
      <c r="O18" s="14">
        <v>0</v>
      </c>
      <c r="P18" s="16"/>
      <c r="Q18" s="14">
        <v>20000</v>
      </c>
    </row>
    <row r="19" spans="1:17" s="1" customFormat="1" ht="11.45">
      <c r="A19" s="9" t="s">
        <v>18353</v>
      </c>
      <c r="B19" s="10" t="s">
        <v>20298</v>
      </c>
      <c r="C19" s="11">
        <v>2021</v>
      </c>
      <c r="D19" s="11" t="s">
        <v>17248</v>
      </c>
      <c r="E19" s="11" t="s">
        <v>17249</v>
      </c>
      <c r="F19" s="11" t="s">
        <v>20155</v>
      </c>
      <c r="G19" s="11" t="s">
        <v>17954</v>
      </c>
      <c r="H19" s="12">
        <v>44211</v>
      </c>
      <c r="I19" s="14">
        <v>0</v>
      </c>
      <c r="J19" s="16"/>
      <c r="K19" s="14">
        <v>23426</v>
      </c>
      <c r="L19" s="16">
        <v>1</v>
      </c>
      <c r="M19" s="14">
        <v>0</v>
      </c>
      <c r="N19" s="16"/>
      <c r="O19" s="14">
        <v>0</v>
      </c>
      <c r="P19" s="16"/>
      <c r="Q19" s="14">
        <v>23426</v>
      </c>
    </row>
    <row r="20" spans="1:17" s="3" customFormat="1" ht="11.45">
      <c r="A20" s="9" t="s">
        <v>18354</v>
      </c>
      <c r="B20" s="10" t="s">
        <v>20299</v>
      </c>
      <c r="C20" s="11">
        <v>2021</v>
      </c>
      <c r="D20" s="11" t="s">
        <v>16384</v>
      </c>
      <c r="E20" s="11" t="s">
        <v>16385</v>
      </c>
      <c r="F20" s="11" t="s">
        <v>20155</v>
      </c>
      <c r="G20" s="11" t="s">
        <v>17261</v>
      </c>
      <c r="H20" s="12">
        <v>44214</v>
      </c>
      <c r="I20" s="14">
        <v>0</v>
      </c>
      <c r="J20" s="15"/>
      <c r="K20" s="14">
        <v>0</v>
      </c>
      <c r="L20" s="16"/>
      <c r="M20" s="14">
        <v>140000</v>
      </c>
      <c r="N20" s="15" t="s">
        <v>20300</v>
      </c>
      <c r="O20" s="14">
        <v>0</v>
      </c>
      <c r="P20" s="15"/>
      <c r="Q20" s="14">
        <v>140000</v>
      </c>
    </row>
    <row r="21" spans="1:17" s="3" customFormat="1" ht="11.45">
      <c r="A21" s="9" t="s">
        <v>18355</v>
      </c>
      <c r="B21" s="10" t="s">
        <v>20299</v>
      </c>
      <c r="C21" s="11">
        <v>2021</v>
      </c>
      <c r="D21" s="11" t="s">
        <v>16384</v>
      </c>
      <c r="E21" s="11" t="s">
        <v>16385</v>
      </c>
      <c r="F21" s="11" t="s">
        <v>20155</v>
      </c>
      <c r="G21" s="11" t="s">
        <v>17261</v>
      </c>
      <c r="H21" s="12">
        <v>44217</v>
      </c>
      <c r="I21" s="14">
        <v>0</v>
      </c>
      <c r="J21" s="15"/>
      <c r="K21" s="14">
        <v>0</v>
      </c>
      <c r="L21" s="16"/>
      <c r="M21" s="14">
        <v>140000</v>
      </c>
      <c r="N21" s="15" t="s">
        <v>20300</v>
      </c>
      <c r="O21" s="14">
        <v>0</v>
      </c>
      <c r="P21" s="15"/>
      <c r="Q21" s="14">
        <v>140000</v>
      </c>
    </row>
    <row r="22" spans="1:17" s="1" customFormat="1" ht="11.45">
      <c r="A22" s="9" t="s">
        <v>18356</v>
      </c>
      <c r="B22" s="10" t="s">
        <v>20301</v>
      </c>
      <c r="C22" s="11">
        <v>2021</v>
      </c>
      <c r="D22" s="11" t="s">
        <v>17017</v>
      </c>
      <c r="E22" s="11" t="s">
        <v>17018</v>
      </c>
      <c r="F22" s="11" t="s">
        <v>20302</v>
      </c>
      <c r="G22" s="11" t="s">
        <v>17954</v>
      </c>
      <c r="H22" s="12">
        <v>44216</v>
      </c>
      <c r="I22" s="14">
        <v>0</v>
      </c>
      <c r="J22" s="16"/>
      <c r="K22" s="14">
        <v>38136</v>
      </c>
      <c r="L22" s="16">
        <v>1</v>
      </c>
      <c r="M22" s="14">
        <v>3632</v>
      </c>
      <c r="N22" s="16">
        <v>1</v>
      </c>
      <c r="O22" s="14">
        <v>0</v>
      </c>
      <c r="P22" s="16"/>
      <c r="Q22" s="14">
        <v>41768</v>
      </c>
    </row>
    <row r="23" spans="1:17" s="1" customFormat="1" ht="11.45">
      <c r="A23" s="9" t="s">
        <v>18357</v>
      </c>
      <c r="B23" s="10" t="s">
        <v>20303</v>
      </c>
      <c r="C23" s="11">
        <v>2021</v>
      </c>
      <c r="D23" s="11" t="s">
        <v>16880</v>
      </c>
      <c r="E23" s="11" t="s">
        <v>16881</v>
      </c>
      <c r="F23" s="11" t="s">
        <v>20155</v>
      </c>
      <c r="G23" s="11" t="s">
        <v>20156</v>
      </c>
      <c r="H23" s="12">
        <v>44222</v>
      </c>
      <c r="I23" s="14">
        <v>0</v>
      </c>
      <c r="J23" s="16"/>
      <c r="K23" s="14">
        <v>17320</v>
      </c>
      <c r="L23" s="16">
        <v>1</v>
      </c>
      <c r="M23" s="14">
        <v>0</v>
      </c>
      <c r="N23" s="16"/>
      <c r="O23" s="14">
        <v>0</v>
      </c>
      <c r="P23" s="16"/>
      <c r="Q23" s="14">
        <v>17320</v>
      </c>
    </row>
    <row r="24" spans="1:17" s="3" customFormat="1" ht="11.45">
      <c r="A24" s="9" t="s">
        <v>18358</v>
      </c>
      <c r="B24" s="10" t="s">
        <v>20303</v>
      </c>
      <c r="C24" s="11">
        <v>2021</v>
      </c>
      <c r="D24" s="11" t="s">
        <v>16838</v>
      </c>
      <c r="E24" s="11" t="s">
        <v>16839</v>
      </c>
      <c r="F24" s="11" t="s">
        <v>20155</v>
      </c>
      <c r="G24" s="11" t="s">
        <v>17798</v>
      </c>
      <c r="H24" s="12">
        <v>44221</v>
      </c>
      <c r="I24" s="14">
        <v>0</v>
      </c>
      <c r="J24" s="15"/>
      <c r="K24" s="14">
        <v>264096</v>
      </c>
      <c r="L24" s="15" t="s">
        <v>20296</v>
      </c>
      <c r="M24" s="14">
        <v>0</v>
      </c>
      <c r="N24" s="15"/>
      <c r="O24" s="14">
        <v>0</v>
      </c>
      <c r="P24" s="15"/>
      <c r="Q24" s="14">
        <v>264096</v>
      </c>
    </row>
    <row r="25" spans="1:17" s="1" customFormat="1" ht="11.45">
      <c r="A25" s="9" t="s">
        <v>18359</v>
      </c>
      <c r="B25" s="10" t="s">
        <v>20303</v>
      </c>
      <c r="C25" s="11">
        <v>2021</v>
      </c>
      <c r="D25" s="11" t="s">
        <v>17119</v>
      </c>
      <c r="E25" s="11" t="s">
        <v>17120</v>
      </c>
      <c r="F25" s="11" t="s">
        <v>20155</v>
      </c>
      <c r="G25" s="11" t="s">
        <v>17965</v>
      </c>
      <c r="H25" s="12">
        <v>44228</v>
      </c>
      <c r="I25" s="14">
        <v>0</v>
      </c>
      <c r="J25" s="16"/>
      <c r="K25" s="14">
        <v>44016</v>
      </c>
      <c r="L25" s="15" t="s">
        <v>20296</v>
      </c>
      <c r="M25" s="14">
        <v>0</v>
      </c>
      <c r="N25" s="15"/>
      <c r="O25" s="14">
        <v>0</v>
      </c>
      <c r="P25" s="15"/>
      <c r="Q25" s="14">
        <v>44016</v>
      </c>
    </row>
    <row r="26" spans="1:17" s="1" customFormat="1" ht="11.45">
      <c r="A26" s="9" t="s">
        <v>18360</v>
      </c>
      <c r="B26" s="10">
        <v>44217</v>
      </c>
      <c r="C26" s="11">
        <v>2021</v>
      </c>
      <c r="D26" s="11" t="s">
        <v>17262</v>
      </c>
      <c r="E26" s="11" t="s">
        <v>17263</v>
      </c>
      <c r="F26" s="11" t="s">
        <v>20155</v>
      </c>
      <c r="G26" s="11" t="s">
        <v>16394</v>
      </c>
      <c r="H26" s="12">
        <v>44223</v>
      </c>
      <c r="I26" s="14">
        <v>0</v>
      </c>
      <c r="J26" s="16"/>
      <c r="K26" s="14">
        <v>3792</v>
      </c>
      <c r="L26" s="16">
        <v>1</v>
      </c>
      <c r="M26" s="14">
        <v>1500</v>
      </c>
      <c r="N26" s="16">
        <v>1</v>
      </c>
      <c r="O26" s="14">
        <v>2800</v>
      </c>
      <c r="P26" s="16">
        <v>1</v>
      </c>
      <c r="Q26" s="14">
        <v>8092</v>
      </c>
    </row>
    <row r="27" spans="1:17" s="1" customFormat="1" ht="11.45">
      <c r="A27" s="9" t="s">
        <v>18361</v>
      </c>
      <c r="B27" s="10">
        <v>44219</v>
      </c>
      <c r="C27" s="11">
        <v>2021</v>
      </c>
      <c r="D27" s="11" t="s">
        <v>16560</v>
      </c>
      <c r="E27" s="11" t="s">
        <v>16561</v>
      </c>
      <c r="F27" s="11" t="s">
        <v>20155</v>
      </c>
      <c r="G27" s="11" t="s">
        <v>17801</v>
      </c>
      <c r="H27" s="12">
        <v>44231</v>
      </c>
      <c r="I27" s="14">
        <v>0</v>
      </c>
      <c r="J27" s="15"/>
      <c r="K27" s="14">
        <v>0</v>
      </c>
      <c r="L27" s="16"/>
      <c r="M27" s="14">
        <v>108000</v>
      </c>
      <c r="N27" s="15" t="s">
        <v>20300</v>
      </c>
      <c r="O27" s="14">
        <v>0</v>
      </c>
      <c r="P27" s="15"/>
      <c r="Q27" s="14">
        <v>108000</v>
      </c>
    </row>
    <row r="28" spans="1:17" s="1" customFormat="1" ht="11.45">
      <c r="A28" s="9" t="s">
        <v>18362</v>
      </c>
      <c r="B28" s="10">
        <v>44219</v>
      </c>
      <c r="C28" s="11">
        <v>2021</v>
      </c>
      <c r="D28" s="11" t="s">
        <v>16560</v>
      </c>
      <c r="E28" s="11" t="s">
        <v>16561</v>
      </c>
      <c r="F28" s="11" t="s">
        <v>20155</v>
      </c>
      <c r="G28" s="11" t="s">
        <v>17801</v>
      </c>
      <c r="H28" s="12">
        <v>44230</v>
      </c>
      <c r="I28" s="14">
        <v>0</v>
      </c>
      <c r="J28" s="15"/>
      <c r="K28" s="14">
        <v>0</v>
      </c>
      <c r="L28" s="16"/>
      <c r="M28" s="14">
        <v>108000</v>
      </c>
      <c r="N28" s="15" t="s">
        <v>20300</v>
      </c>
      <c r="O28" s="14">
        <v>0</v>
      </c>
      <c r="P28" s="15"/>
      <c r="Q28" s="14">
        <v>108000</v>
      </c>
    </row>
    <row r="29" spans="1:17" s="1" customFormat="1" ht="11.45">
      <c r="A29" s="9" t="s">
        <v>18363</v>
      </c>
      <c r="B29" s="10">
        <v>44219</v>
      </c>
      <c r="C29" s="11">
        <v>2021</v>
      </c>
      <c r="D29" s="11" t="s">
        <v>16560</v>
      </c>
      <c r="E29" s="11" t="s">
        <v>16561</v>
      </c>
      <c r="F29" s="11" t="s">
        <v>20155</v>
      </c>
      <c r="G29" s="11" t="s">
        <v>17801</v>
      </c>
      <c r="H29" s="12">
        <v>44232</v>
      </c>
      <c r="I29" s="14">
        <v>0</v>
      </c>
      <c r="J29" s="15"/>
      <c r="K29" s="14">
        <v>0</v>
      </c>
      <c r="L29" s="16"/>
      <c r="M29" s="14">
        <v>108000</v>
      </c>
      <c r="N29" s="15" t="s">
        <v>20300</v>
      </c>
      <c r="O29" s="14">
        <v>0</v>
      </c>
      <c r="P29" s="15"/>
      <c r="Q29" s="14">
        <v>108000</v>
      </c>
    </row>
    <row r="30" spans="1:17" s="1" customFormat="1" ht="11.45">
      <c r="A30" s="9" t="s">
        <v>18364</v>
      </c>
      <c r="B30" s="10">
        <v>44222</v>
      </c>
      <c r="C30" s="11">
        <v>2021</v>
      </c>
      <c r="D30" s="11" t="s">
        <v>16444</v>
      </c>
      <c r="E30" s="11" t="s">
        <v>16445</v>
      </c>
      <c r="F30" s="11" t="s">
        <v>20155</v>
      </c>
      <c r="G30" s="11" t="s">
        <v>17693</v>
      </c>
      <c r="H30" s="12">
        <v>44228</v>
      </c>
      <c r="I30" s="14">
        <v>20750</v>
      </c>
      <c r="J30" s="16">
        <v>1</v>
      </c>
      <c r="K30" s="14">
        <v>0</v>
      </c>
      <c r="L30" s="15"/>
      <c r="M30" s="14">
        <v>0</v>
      </c>
      <c r="N30" s="15"/>
      <c r="O30" s="14">
        <v>0</v>
      </c>
      <c r="P30" s="15"/>
      <c r="Q30" s="14">
        <v>20750</v>
      </c>
    </row>
    <row r="31" spans="1:17" s="1" customFormat="1" ht="11.45">
      <c r="A31" s="9" t="s">
        <v>18365</v>
      </c>
      <c r="B31" s="10">
        <v>44222</v>
      </c>
      <c r="C31" s="11">
        <v>2021</v>
      </c>
      <c r="D31" s="11" t="s">
        <v>17017</v>
      </c>
      <c r="E31" s="11" t="s">
        <v>17018</v>
      </c>
      <c r="F31" s="11" t="s">
        <v>20155</v>
      </c>
      <c r="G31" s="11" t="s">
        <v>20304</v>
      </c>
      <c r="H31" s="12">
        <v>44237</v>
      </c>
      <c r="I31" s="14">
        <v>7200</v>
      </c>
      <c r="J31" s="16">
        <v>1</v>
      </c>
      <c r="K31" s="14">
        <v>4260</v>
      </c>
      <c r="L31" s="16">
        <v>1</v>
      </c>
      <c r="M31" s="14">
        <v>1500</v>
      </c>
      <c r="N31" s="16">
        <v>1</v>
      </c>
      <c r="O31" s="14">
        <v>240</v>
      </c>
      <c r="P31" s="16">
        <v>1</v>
      </c>
      <c r="Q31" s="14">
        <v>13200</v>
      </c>
    </row>
    <row r="32" spans="1:17" s="1" customFormat="1" ht="11.45">
      <c r="A32" s="9" t="s">
        <v>18366</v>
      </c>
      <c r="B32" s="10">
        <v>44229</v>
      </c>
      <c r="C32" s="11">
        <v>2021</v>
      </c>
      <c r="D32" s="11" t="s">
        <v>17017</v>
      </c>
      <c r="E32" s="11" t="s">
        <v>17018</v>
      </c>
      <c r="F32" s="11" t="s">
        <v>20155</v>
      </c>
      <c r="G32" s="11" t="s">
        <v>18064</v>
      </c>
      <c r="H32" s="12">
        <v>44242</v>
      </c>
      <c r="I32" s="14">
        <v>0</v>
      </c>
      <c r="J32" s="16"/>
      <c r="K32" s="14">
        <v>20000</v>
      </c>
      <c r="L32" s="16">
        <v>1</v>
      </c>
      <c r="M32" s="14">
        <v>0</v>
      </c>
      <c r="N32" s="16"/>
      <c r="O32" s="14">
        <v>0</v>
      </c>
      <c r="P32" s="16"/>
      <c r="Q32" s="14">
        <v>20000</v>
      </c>
    </row>
    <row r="33" spans="1:17" s="1" customFormat="1" ht="11.45">
      <c r="A33" s="9" t="s">
        <v>18367</v>
      </c>
      <c r="B33" s="10">
        <v>44229</v>
      </c>
      <c r="C33" s="11">
        <v>2021</v>
      </c>
      <c r="D33" s="11" t="s">
        <v>16384</v>
      </c>
      <c r="E33" s="11" t="s">
        <v>16385</v>
      </c>
      <c r="F33" s="11" t="s">
        <v>20155</v>
      </c>
      <c r="G33" s="11" t="s">
        <v>17965</v>
      </c>
      <c r="H33" s="12">
        <v>44235</v>
      </c>
      <c r="I33" s="14">
        <v>96000</v>
      </c>
      <c r="J33" s="16">
        <v>1</v>
      </c>
      <c r="K33" s="14">
        <v>0</v>
      </c>
      <c r="L33" s="15"/>
      <c r="M33" s="14">
        <v>0</v>
      </c>
      <c r="N33" s="15"/>
      <c r="O33" s="14">
        <v>0</v>
      </c>
      <c r="P33" s="15"/>
      <c r="Q33" s="14">
        <v>96000</v>
      </c>
    </row>
    <row r="34" spans="1:17" s="1" customFormat="1" ht="11.45">
      <c r="A34" s="9" t="s">
        <v>18368</v>
      </c>
      <c r="B34" s="10">
        <v>44229</v>
      </c>
      <c r="C34" s="11">
        <v>2021</v>
      </c>
      <c r="D34" s="11" t="s">
        <v>16470</v>
      </c>
      <c r="E34" s="11" t="s">
        <v>16471</v>
      </c>
      <c r="F34" s="11" t="s">
        <v>20155</v>
      </c>
      <c r="G34" s="11" t="s">
        <v>20159</v>
      </c>
      <c r="H34" s="12">
        <v>44237</v>
      </c>
      <c r="I34" s="14">
        <v>0</v>
      </c>
      <c r="J34" s="16"/>
      <c r="K34" s="14">
        <v>0</v>
      </c>
      <c r="L34" s="15"/>
      <c r="M34" s="14">
        <v>104000</v>
      </c>
      <c r="N34" s="15" t="s">
        <v>20296</v>
      </c>
      <c r="O34" s="14">
        <v>0</v>
      </c>
      <c r="P34" s="15"/>
      <c r="Q34" s="14">
        <v>104000</v>
      </c>
    </row>
    <row r="35" spans="1:17" s="1" customFormat="1" ht="11.45">
      <c r="A35" s="9" t="s">
        <v>18369</v>
      </c>
      <c r="B35" s="10">
        <v>44229</v>
      </c>
      <c r="C35" s="11">
        <v>2021</v>
      </c>
      <c r="D35" s="11" t="s">
        <v>16470</v>
      </c>
      <c r="E35" s="11" t="s">
        <v>16471</v>
      </c>
      <c r="F35" s="11" t="s">
        <v>20155</v>
      </c>
      <c r="G35" s="11" t="s">
        <v>20159</v>
      </c>
      <c r="H35" s="12">
        <v>44245</v>
      </c>
      <c r="I35" s="14">
        <v>26496</v>
      </c>
      <c r="J35" s="16">
        <v>1</v>
      </c>
      <c r="K35" s="14">
        <v>309408</v>
      </c>
      <c r="L35" s="15" t="s">
        <v>20296</v>
      </c>
      <c r="M35" s="14">
        <v>0</v>
      </c>
      <c r="N35" s="15"/>
      <c r="O35" s="14">
        <v>0</v>
      </c>
      <c r="P35" s="15"/>
      <c r="Q35" s="14">
        <v>335904</v>
      </c>
    </row>
    <row r="36" spans="1:17" s="1" customFormat="1" ht="11.45">
      <c r="A36" s="9" t="s">
        <v>18370</v>
      </c>
      <c r="B36" s="10">
        <v>44229</v>
      </c>
      <c r="C36" s="11">
        <v>2021</v>
      </c>
      <c r="D36" s="11" t="s">
        <v>16838</v>
      </c>
      <c r="E36" s="11" t="s">
        <v>16839</v>
      </c>
      <c r="F36" s="11" t="s">
        <v>20155</v>
      </c>
      <c r="G36" s="11" t="s">
        <v>17949</v>
      </c>
      <c r="H36" s="12">
        <v>44247</v>
      </c>
      <c r="I36" s="14">
        <v>110040</v>
      </c>
      <c r="J36" s="16">
        <v>1</v>
      </c>
      <c r="K36" s="14">
        <v>21000</v>
      </c>
      <c r="L36" s="15" t="s">
        <v>20305</v>
      </c>
      <c r="M36" s="14">
        <v>0</v>
      </c>
      <c r="N36" s="15"/>
      <c r="O36" s="14">
        <v>0</v>
      </c>
      <c r="P36" s="15"/>
      <c r="Q36" s="14">
        <v>131040</v>
      </c>
    </row>
    <row r="37" spans="1:17" s="1" customFormat="1" ht="11.45">
      <c r="A37" s="9" t="s">
        <v>18371</v>
      </c>
      <c r="B37" s="10">
        <v>44229</v>
      </c>
      <c r="C37" s="11">
        <v>2021</v>
      </c>
      <c r="D37" s="11" t="s">
        <v>16838</v>
      </c>
      <c r="E37" s="11" t="s">
        <v>16839</v>
      </c>
      <c r="F37" s="11" t="s">
        <v>20155</v>
      </c>
      <c r="G37" s="11" t="s">
        <v>17949</v>
      </c>
      <c r="H37" s="12">
        <v>44240</v>
      </c>
      <c r="I37" s="14">
        <v>130040</v>
      </c>
      <c r="J37" s="16">
        <v>1</v>
      </c>
      <c r="K37" s="14">
        <v>17880</v>
      </c>
      <c r="L37" s="15" t="s">
        <v>20305</v>
      </c>
      <c r="M37" s="14">
        <v>9600</v>
      </c>
      <c r="N37" s="15" t="s">
        <v>20296</v>
      </c>
      <c r="O37" s="14">
        <v>0</v>
      </c>
      <c r="P37" s="15"/>
      <c r="Q37" s="14">
        <v>157520</v>
      </c>
    </row>
    <row r="38" spans="1:17" s="1" customFormat="1" ht="11.45">
      <c r="A38" s="9" t="s">
        <v>18372</v>
      </c>
      <c r="B38" s="10">
        <v>44229</v>
      </c>
      <c r="C38" s="11">
        <v>2021</v>
      </c>
      <c r="D38" s="11" t="s">
        <v>16384</v>
      </c>
      <c r="E38" s="11" t="s">
        <v>16385</v>
      </c>
      <c r="F38" s="11" t="s">
        <v>20155</v>
      </c>
      <c r="G38" s="11" t="s">
        <v>18248</v>
      </c>
      <c r="H38" s="12">
        <v>44249</v>
      </c>
      <c r="I38" s="14">
        <v>57600</v>
      </c>
      <c r="J38" s="16">
        <v>1</v>
      </c>
      <c r="K38" s="14">
        <v>0</v>
      </c>
      <c r="L38" s="15"/>
      <c r="M38" s="14">
        <v>0</v>
      </c>
      <c r="N38" s="15"/>
      <c r="O38" s="14">
        <v>0</v>
      </c>
      <c r="P38" s="15"/>
      <c r="Q38" s="14">
        <v>57600</v>
      </c>
    </row>
    <row r="39" spans="1:17" s="3" customFormat="1" ht="11.45">
      <c r="A39" s="9" t="s">
        <v>18373</v>
      </c>
      <c r="B39" s="10">
        <v>44230</v>
      </c>
      <c r="C39" s="11">
        <v>2021</v>
      </c>
      <c r="D39" s="11" t="s">
        <v>16444</v>
      </c>
      <c r="E39" s="11" t="s">
        <v>16445</v>
      </c>
      <c r="F39" s="11" t="s">
        <v>20155</v>
      </c>
      <c r="G39" s="11" t="s">
        <v>18248</v>
      </c>
      <c r="H39" s="12">
        <v>44237</v>
      </c>
      <c r="I39" s="14">
        <v>44016</v>
      </c>
      <c r="J39" s="16">
        <v>1</v>
      </c>
      <c r="K39" s="14">
        <v>0</v>
      </c>
      <c r="L39" s="15"/>
      <c r="M39" s="14">
        <v>0</v>
      </c>
      <c r="N39" s="15"/>
      <c r="O39" s="14">
        <v>0</v>
      </c>
      <c r="P39" s="15"/>
      <c r="Q39" s="14">
        <v>44016</v>
      </c>
    </row>
    <row r="40" spans="1:17" s="1" customFormat="1" ht="11.45">
      <c r="A40" s="9" t="s">
        <v>18374</v>
      </c>
      <c r="B40" s="10">
        <v>44230</v>
      </c>
      <c r="C40" s="11">
        <v>2021</v>
      </c>
      <c r="D40" s="11" t="s">
        <v>16384</v>
      </c>
      <c r="E40" s="11" t="s">
        <v>16385</v>
      </c>
      <c r="F40" s="11" t="s">
        <v>20155</v>
      </c>
      <c r="G40" s="11" t="s">
        <v>17261</v>
      </c>
      <c r="H40" s="12">
        <v>44243</v>
      </c>
      <c r="I40" s="14">
        <v>0</v>
      </c>
      <c r="J40" s="15"/>
      <c r="K40" s="14">
        <v>0</v>
      </c>
      <c r="L40" s="16"/>
      <c r="M40" s="14">
        <v>140000</v>
      </c>
      <c r="N40" s="15" t="s">
        <v>20300</v>
      </c>
      <c r="O40" s="14">
        <v>0</v>
      </c>
      <c r="P40" s="15"/>
      <c r="Q40" s="14">
        <v>140000</v>
      </c>
    </row>
    <row r="41" spans="1:17" s="1" customFormat="1" ht="11.45">
      <c r="A41" s="9" t="s">
        <v>18375</v>
      </c>
      <c r="B41" s="10">
        <v>44230</v>
      </c>
      <c r="C41" s="11">
        <v>2021</v>
      </c>
      <c r="D41" s="11" t="s">
        <v>17274</v>
      </c>
      <c r="E41" s="11" t="s">
        <v>17275</v>
      </c>
      <c r="F41" s="11" t="s">
        <v>20155</v>
      </c>
      <c r="G41" s="11" t="s">
        <v>16394</v>
      </c>
      <c r="H41" s="12">
        <v>44239</v>
      </c>
      <c r="I41" s="14">
        <v>0</v>
      </c>
      <c r="J41" s="16"/>
      <c r="K41" s="14">
        <v>16392</v>
      </c>
      <c r="L41" s="16">
        <v>1</v>
      </c>
      <c r="M41" s="14">
        <v>7500</v>
      </c>
      <c r="N41" s="16">
        <v>1</v>
      </c>
      <c r="O41" s="14">
        <v>1810</v>
      </c>
      <c r="P41" s="16">
        <v>1</v>
      </c>
      <c r="Q41" s="14">
        <v>25702</v>
      </c>
    </row>
    <row r="42" spans="1:17" s="3" customFormat="1" ht="11.45">
      <c r="A42" s="9" t="s">
        <v>18376</v>
      </c>
      <c r="B42" s="10">
        <v>44230</v>
      </c>
      <c r="C42" s="11">
        <v>2021</v>
      </c>
      <c r="D42" s="11" t="s">
        <v>16444</v>
      </c>
      <c r="E42" s="11" t="s">
        <v>16445</v>
      </c>
      <c r="F42" s="11" t="s">
        <v>20155</v>
      </c>
      <c r="G42" s="11" t="s">
        <v>18248</v>
      </c>
      <c r="H42" s="12">
        <v>44237</v>
      </c>
      <c r="I42" s="14">
        <v>9000</v>
      </c>
      <c r="J42" s="16">
        <v>1</v>
      </c>
      <c r="K42" s="14">
        <v>18000</v>
      </c>
      <c r="L42" s="15" t="s">
        <v>20296</v>
      </c>
      <c r="M42" s="14">
        <v>0</v>
      </c>
      <c r="N42" s="15"/>
      <c r="O42" s="14">
        <v>0</v>
      </c>
      <c r="P42" s="15"/>
      <c r="Q42" s="14">
        <v>27000</v>
      </c>
    </row>
    <row r="43" spans="1:17" s="1" customFormat="1" ht="11.45">
      <c r="A43" s="9" t="s">
        <v>18377</v>
      </c>
      <c r="B43" s="10">
        <v>44230</v>
      </c>
      <c r="C43" s="11">
        <v>2021</v>
      </c>
      <c r="D43" s="11" t="s">
        <v>17119</v>
      </c>
      <c r="E43" s="11" t="s">
        <v>17120</v>
      </c>
      <c r="F43" s="11" t="s">
        <v>20155</v>
      </c>
      <c r="G43" s="11" t="s">
        <v>17965</v>
      </c>
      <c r="H43" s="12">
        <v>44238</v>
      </c>
      <c r="I43" s="14">
        <v>38400</v>
      </c>
      <c r="J43" s="16">
        <v>1</v>
      </c>
      <c r="K43" s="14">
        <v>68616</v>
      </c>
      <c r="L43" s="15" t="s">
        <v>20296</v>
      </c>
      <c r="M43" s="14">
        <v>0</v>
      </c>
      <c r="N43" s="15"/>
      <c r="O43" s="14">
        <v>0</v>
      </c>
      <c r="P43" s="15"/>
      <c r="Q43" s="14">
        <v>107016</v>
      </c>
    </row>
    <row r="44" spans="1:17" s="1" customFormat="1" ht="11.45">
      <c r="A44" s="9" t="s">
        <v>18378</v>
      </c>
      <c r="B44" s="10">
        <v>44231</v>
      </c>
      <c r="C44" s="11">
        <v>2021</v>
      </c>
      <c r="D44" s="11" t="s">
        <v>16560</v>
      </c>
      <c r="E44" s="11" t="s">
        <v>16561</v>
      </c>
      <c r="F44" s="11" t="s">
        <v>20155</v>
      </c>
      <c r="G44" s="11" t="s">
        <v>17801</v>
      </c>
      <c r="H44" s="12">
        <v>44240</v>
      </c>
      <c r="I44" s="14">
        <v>0</v>
      </c>
      <c r="J44" s="15"/>
      <c r="K44" s="14">
        <v>0</v>
      </c>
      <c r="L44" s="16"/>
      <c r="M44" s="14">
        <v>108000</v>
      </c>
      <c r="N44" s="15" t="s">
        <v>20300</v>
      </c>
      <c r="O44" s="14">
        <v>0</v>
      </c>
      <c r="P44" s="15"/>
      <c r="Q44" s="14">
        <v>108000</v>
      </c>
    </row>
    <row r="45" spans="1:17" s="1" customFormat="1" ht="11.45">
      <c r="A45" s="9" t="s">
        <v>18379</v>
      </c>
      <c r="B45" s="10">
        <v>44231</v>
      </c>
      <c r="C45" s="11">
        <v>2021</v>
      </c>
      <c r="D45" s="11" t="s">
        <v>16560</v>
      </c>
      <c r="E45" s="11" t="s">
        <v>16561</v>
      </c>
      <c r="F45" s="11" t="s">
        <v>20155</v>
      </c>
      <c r="G45" s="11" t="s">
        <v>17801</v>
      </c>
      <c r="H45" s="12">
        <v>44242</v>
      </c>
      <c r="I45" s="14">
        <v>0</v>
      </c>
      <c r="J45" s="15"/>
      <c r="K45" s="14">
        <v>0</v>
      </c>
      <c r="L45" s="16"/>
      <c r="M45" s="14">
        <v>108000</v>
      </c>
      <c r="N45" s="15" t="s">
        <v>20300</v>
      </c>
      <c r="O45" s="14">
        <v>0</v>
      </c>
      <c r="P45" s="15"/>
      <c r="Q45" s="14">
        <v>108000</v>
      </c>
    </row>
    <row r="46" spans="1:17" s="1" customFormat="1" ht="11.45">
      <c r="A46" s="9" t="s">
        <v>18380</v>
      </c>
      <c r="B46" s="10">
        <v>44235</v>
      </c>
      <c r="C46" s="11">
        <v>2021</v>
      </c>
      <c r="D46" s="11" t="s">
        <v>17281</v>
      </c>
      <c r="E46" s="11" t="s">
        <v>17282</v>
      </c>
      <c r="F46" s="11" t="s">
        <v>20155</v>
      </c>
      <c r="G46" s="11" t="s">
        <v>20306</v>
      </c>
      <c r="H46" s="12">
        <v>44242</v>
      </c>
      <c r="I46" s="14">
        <v>0</v>
      </c>
      <c r="J46" s="16"/>
      <c r="K46" s="14">
        <v>6480</v>
      </c>
      <c r="L46" s="16">
        <v>1</v>
      </c>
      <c r="M46" s="14">
        <v>9000</v>
      </c>
      <c r="N46" s="16">
        <v>1</v>
      </c>
      <c r="O46" s="14">
        <v>11200</v>
      </c>
      <c r="P46" s="16">
        <v>1</v>
      </c>
      <c r="Q46" s="14">
        <v>26680</v>
      </c>
    </row>
    <row r="47" spans="1:17" s="1" customFormat="1" ht="11.45">
      <c r="A47" s="9" t="s">
        <v>18382</v>
      </c>
      <c r="B47" s="10">
        <v>44235</v>
      </c>
      <c r="C47" s="11">
        <v>2021</v>
      </c>
      <c r="D47" s="11" t="s">
        <v>17284</v>
      </c>
      <c r="E47" s="11" t="s">
        <v>17285</v>
      </c>
      <c r="F47" s="11" t="s">
        <v>20155</v>
      </c>
      <c r="G47" s="11" t="s">
        <v>20306</v>
      </c>
      <c r="H47" s="12">
        <v>44250</v>
      </c>
      <c r="I47" s="14">
        <v>2400</v>
      </c>
      <c r="J47" s="16">
        <v>1</v>
      </c>
      <c r="K47" s="14">
        <v>3144</v>
      </c>
      <c r="L47" s="16">
        <v>1</v>
      </c>
      <c r="M47" s="14">
        <v>1500</v>
      </c>
      <c r="N47" s="16">
        <v>1</v>
      </c>
      <c r="O47" s="14">
        <v>2280</v>
      </c>
      <c r="P47" s="16">
        <v>1</v>
      </c>
      <c r="Q47" s="14">
        <v>9324</v>
      </c>
    </row>
    <row r="48" spans="1:17" s="1" customFormat="1" ht="11.45">
      <c r="A48" s="9" t="s">
        <v>18384</v>
      </c>
      <c r="B48" s="10">
        <v>44235</v>
      </c>
      <c r="C48" s="11">
        <v>2021</v>
      </c>
      <c r="D48" s="11" t="s">
        <v>16972</v>
      </c>
      <c r="E48" s="11" t="s">
        <v>16973</v>
      </c>
      <c r="F48" s="11" t="s">
        <v>20155</v>
      </c>
      <c r="G48" s="11" t="s">
        <v>17693</v>
      </c>
      <c r="H48" s="12">
        <v>44244</v>
      </c>
      <c r="I48" s="14">
        <v>38000</v>
      </c>
      <c r="J48" s="16">
        <v>1</v>
      </c>
      <c r="K48" s="14">
        <v>0</v>
      </c>
      <c r="L48" s="15"/>
      <c r="M48" s="14">
        <v>0</v>
      </c>
      <c r="N48" s="15"/>
      <c r="O48" s="14">
        <v>0</v>
      </c>
      <c r="P48" s="15"/>
      <c r="Q48" s="14">
        <v>38000</v>
      </c>
    </row>
    <row r="49" spans="1:17" s="1" customFormat="1" ht="11.45">
      <c r="A49" s="9" t="s">
        <v>18385</v>
      </c>
      <c r="B49" s="10">
        <v>44237</v>
      </c>
      <c r="C49" s="11">
        <v>2021</v>
      </c>
      <c r="D49" s="11" t="s">
        <v>17017</v>
      </c>
      <c r="E49" s="11" t="s">
        <v>17018</v>
      </c>
      <c r="F49" s="11" t="s">
        <v>20155</v>
      </c>
      <c r="G49" s="11" t="s">
        <v>20162</v>
      </c>
      <c r="H49" s="12">
        <v>44245</v>
      </c>
      <c r="I49" s="14">
        <v>0</v>
      </c>
      <c r="J49" s="16"/>
      <c r="K49" s="14">
        <v>16200</v>
      </c>
      <c r="L49" s="16">
        <v>1</v>
      </c>
      <c r="M49" s="14">
        <v>8400</v>
      </c>
      <c r="N49" s="16">
        <v>1</v>
      </c>
      <c r="O49" s="14">
        <v>1200</v>
      </c>
      <c r="P49" s="16">
        <v>1</v>
      </c>
      <c r="Q49" s="14">
        <v>25800</v>
      </c>
    </row>
    <row r="50" spans="1:17" s="1" customFormat="1" ht="11.45">
      <c r="A50" s="9" t="s">
        <v>18386</v>
      </c>
      <c r="B50" s="10">
        <v>44237</v>
      </c>
      <c r="C50" s="11">
        <v>2021</v>
      </c>
      <c r="D50" s="11" t="s">
        <v>17017</v>
      </c>
      <c r="E50" s="11" t="s">
        <v>17018</v>
      </c>
      <c r="F50" s="11" t="s">
        <v>20155</v>
      </c>
      <c r="G50" s="11" t="s">
        <v>17238</v>
      </c>
      <c r="H50" s="12">
        <v>44246</v>
      </c>
      <c r="I50" s="14">
        <v>0</v>
      </c>
      <c r="J50" s="16"/>
      <c r="K50" s="14">
        <v>4540</v>
      </c>
      <c r="L50" s="16">
        <v>1</v>
      </c>
      <c r="M50" s="14">
        <v>0</v>
      </c>
      <c r="N50" s="16"/>
      <c r="O50" s="14">
        <v>0</v>
      </c>
      <c r="P50" s="16"/>
      <c r="Q50" s="14">
        <v>4540</v>
      </c>
    </row>
    <row r="51" spans="1:17" s="1" customFormat="1" ht="11.45">
      <c r="A51" s="9" t="s">
        <v>18387</v>
      </c>
      <c r="B51" s="10">
        <v>44239</v>
      </c>
      <c r="C51" s="11">
        <v>2021</v>
      </c>
      <c r="D51" s="11" t="s">
        <v>17270</v>
      </c>
      <c r="E51" s="11" t="s">
        <v>17271</v>
      </c>
      <c r="F51" s="11" t="s">
        <v>20155</v>
      </c>
      <c r="G51" s="11" t="s">
        <v>16394</v>
      </c>
      <c r="H51" s="12">
        <v>44260</v>
      </c>
      <c r="I51" s="14">
        <v>0</v>
      </c>
      <c r="J51" s="16"/>
      <c r="K51" s="14">
        <v>14832</v>
      </c>
      <c r="L51" s="16">
        <v>1</v>
      </c>
      <c r="M51" s="14">
        <v>0</v>
      </c>
      <c r="N51" s="16"/>
      <c r="O51" s="14">
        <v>7280</v>
      </c>
      <c r="P51" s="16">
        <v>1</v>
      </c>
      <c r="Q51" s="14">
        <v>22112</v>
      </c>
    </row>
    <row r="52" spans="1:17" s="1" customFormat="1" ht="11.45">
      <c r="A52" s="9" t="s">
        <v>18388</v>
      </c>
      <c r="B52" s="10">
        <v>44239</v>
      </c>
      <c r="C52" s="11">
        <v>2021</v>
      </c>
      <c r="D52" s="11" t="s">
        <v>17259</v>
      </c>
      <c r="E52" s="11" t="s">
        <v>17260</v>
      </c>
      <c r="F52" s="11" t="s">
        <v>20155</v>
      </c>
      <c r="G52" s="11" t="s">
        <v>17261</v>
      </c>
      <c r="H52" s="12">
        <v>44251</v>
      </c>
      <c r="I52" s="14">
        <v>240</v>
      </c>
      <c r="J52" s="16">
        <v>1</v>
      </c>
      <c r="K52" s="14">
        <v>53500</v>
      </c>
      <c r="L52" s="16">
        <v>1</v>
      </c>
      <c r="M52" s="14">
        <v>0</v>
      </c>
      <c r="N52" s="15"/>
      <c r="O52" s="14">
        <v>6700</v>
      </c>
      <c r="P52" s="16">
        <v>1</v>
      </c>
      <c r="Q52" s="14">
        <v>60440</v>
      </c>
    </row>
    <row r="53" spans="1:17" s="1" customFormat="1" ht="11.45">
      <c r="A53" s="9" t="s">
        <v>18389</v>
      </c>
      <c r="B53" s="10">
        <v>44239</v>
      </c>
      <c r="C53" s="11">
        <v>2021</v>
      </c>
      <c r="D53" s="11" t="s">
        <v>16643</v>
      </c>
      <c r="E53" s="11" t="s">
        <v>16644</v>
      </c>
      <c r="F53" s="11" t="s">
        <v>20155</v>
      </c>
      <c r="G53" s="11" t="s">
        <v>20159</v>
      </c>
      <c r="H53" s="12">
        <v>44259</v>
      </c>
      <c r="I53" s="14">
        <v>4000</v>
      </c>
      <c r="J53" s="16">
        <v>1</v>
      </c>
      <c r="K53" s="14">
        <v>96000</v>
      </c>
      <c r="L53" s="15" t="s">
        <v>20296</v>
      </c>
      <c r="M53" s="14">
        <v>26000</v>
      </c>
      <c r="N53" s="15" t="s">
        <v>20296</v>
      </c>
      <c r="O53" s="14">
        <v>0</v>
      </c>
      <c r="P53" s="15"/>
      <c r="Q53" s="14">
        <v>126000</v>
      </c>
    </row>
    <row r="54" spans="1:17" s="1" customFormat="1" ht="11.45">
      <c r="A54" s="9" t="s">
        <v>18390</v>
      </c>
      <c r="B54" s="10">
        <v>44239</v>
      </c>
      <c r="C54" s="11">
        <v>2021</v>
      </c>
      <c r="D54" s="11" t="s">
        <v>17209</v>
      </c>
      <c r="E54" s="11" t="s">
        <v>17210</v>
      </c>
      <c r="F54" s="11" t="s">
        <v>20155</v>
      </c>
      <c r="G54" s="11" t="s">
        <v>20168</v>
      </c>
      <c r="H54" s="12">
        <v>44250</v>
      </c>
      <c r="I54" s="14">
        <v>4800</v>
      </c>
      <c r="J54" s="16">
        <v>1</v>
      </c>
      <c r="K54" s="14">
        <v>15840</v>
      </c>
      <c r="L54" s="16">
        <v>1</v>
      </c>
      <c r="M54" s="14">
        <v>3840</v>
      </c>
      <c r="N54" s="16">
        <v>1</v>
      </c>
      <c r="O54" s="14">
        <v>2300</v>
      </c>
      <c r="P54" s="16">
        <v>1</v>
      </c>
      <c r="Q54" s="14">
        <v>26780</v>
      </c>
    </row>
    <row r="55" spans="1:17" s="1" customFormat="1" ht="11.45">
      <c r="A55" s="9" t="s">
        <v>18391</v>
      </c>
      <c r="B55" s="10">
        <v>44240</v>
      </c>
      <c r="C55" s="11">
        <v>2021</v>
      </c>
      <c r="D55" s="11" t="s">
        <v>17209</v>
      </c>
      <c r="E55" s="11" t="s">
        <v>17210</v>
      </c>
      <c r="F55" s="11" t="s">
        <v>20155</v>
      </c>
      <c r="G55" s="11" t="s">
        <v>20168</v>
      </c>
      <c r="H55" s="12">
        <v>44250</v>
      </c>
      <c r="I55" s="14">
        <v>0</v>
      </c>
      <c r="J55" s="16"/>
      <c r="K55" s="14">
        <v>0</v>
      </c>
      <c r="L55" s="16"/>
      <c r="M55" s="14">
        <v>0</v>
      </c>
      <c r="N55" s="16"/>
      <c r="O55" s="14">
        <v>8330</v>
      </c>
      <c r="P55" s="16">
        <v>1</v>
      </c>
      <c r="Q55" s="14">
        <v>8330</v>
      </c>
    </row>
    <row r="56" spans="1:17" s="1" customFormat="1" ht="11.45">
      <c r="A56" s="9" t="s">
        <v>18392</v>
      </c>
      <c r="B56" s="10">
        <v>44245</v>
      </c>
      <c r="C56" s="11">
        <v>2021</v>
      </c>
      <c r="D56" s="11" t="s">
        <v>16444</v>
      </c>
      <c r="E56" s="11" t="s">
        <v>16445</v>
      </c>
      <c r="F56" s="11" t="s">
        <v>20155</v>
      </c>
      <c r="G56" s="11" t="s">
        <v>17854</v>
      </c>
      <c r="H56" s="12">
        <v>44254</v>
      </c>
      <c r="I56" s="14">
        <v>35940</v>
      </c>
      <c r="J56" s="16">
        <v>1</v>
      </c>
      <c r="K56" s="14">
        <v>0</v>
      </c>
      <c r="L56" s="16"/>
      <c r="M56" s="14">
        <v>0</v>
      </c>
      <c r="N56" s="16"/>
      <c r="O56" s="14">
        <v>0</v>
      </c>
      <c r="P56" s="16"/>
      <c r="Q56" s="14">
        <v>35940</v>
      </c>
    </row>
    <row r="57" spans="1:17" s="1" customFormat="1" ht="11.45">
      <c r="A57" s="9" t="s">
        <v>18393</v>
      </c>
      <c r="B57" s="10">
        <v>44245</v>
      </c>
      <c r="C57" s="11">
        <v>2021</v>
      </c>
      <c r="D57" s="11" t="s">
        <v>16444</v>
      </c>
      <c r="E57" s="11" t="s">
        <v>16445</v>
      </c>
      <c r="F57" s="11" t="s">
        <v>20155</v>
      </c>
      <c r="G57" s="11" t="s">
        <v>17798</v>
      </c>
      <c r="H57" s="12">
        <v>44256</v>
      </c>
      <c r="I57" s="14">
        <v>38400</v>
      </c>
      <c r="J57" s="16">
        <v>1</v>
      </c>
      <c r="K57" s="14">
        <v>0</v>
      </c>
      <c r="L57" s="15"/>
      <c r="M57" s="14">
        <v>0</v>
      </c>
      <c r="N57" s="15"/>
      <c r="O57" s="14">
        <v>0</v>
      </c>
      <c r="P57" s="15"/>
      <c r="Q57" s="14">
        <v>38400</v>
      </c>
    </row>
    <row r="58" spans="1:17" s="1" customFormat="1" ht="11.45">
      <c r="A58" s="9" t="s">
        <v>18394</v>
      </c>
      <c r="B58" s="10">
        <v>44249</v>
      </c>
      <c r="C58" s="11">
        <v>2021</v>
      </c>
      <c r="D58" s="11" t="s">
        <v>16444</v>
      </c>
      <c r="E58" s="11" t="s">
        <v>16445</v>
      </c>
      <c r="F58" s="11" t="s">
        <v>20155</v>
      </c>
      <c r="G58" s="11" t="s">
        <v>18248</v>
      </c>
      <c r="H58" s="12">
        <v>44265</v>
      </c>
      <c r="I58" s="14">
        <v>44736</v>
      </c>
      <c r="J58" s="16">
        <v>1</v>
      </c>
      <c r="K58" s="14">
        <v>63204</v>
      </c>
      <c r="L58" s="15" t="s">
        <v>20296</v>
      </c>
      <c r="M58" s="14">
        <v>0</v>
      </c>
      <c r="N58" s="15"/>
      <c r="O58" s="14">
        <v>0</v>
      </c>
      <c r="P58" s="15"/>
      <c r="Q58" s="14">
        <v>107940</v>
      </c>
    </row>
    <row r="59" spans="1:17" s="1" customFormat="1" ht="11.45">
      <c r="A59" s="9" t="s">
        <v>18395</v>
      </c>
      <c r="B59" s="10">
        <v>44249</v>
      </c>
      <c r="C59" s="11">
        <v>2021</v>
      </c>
      <c r="D59" s="11" t="s">
        <v>16444</v>
      </c>
      <c r="E59" s="11" t="s">
        <v>16445</v>
      </c>
      <c r="F59" s="11" t="s">
        <v>20155</v>
      </c>
      <c r="G59" s="11" t="s">
        <v>18248</v>
      </c>
      <c r="H59" s="12">
        <v>44265</v>
      </c>
      <c r="I59" s="14">
        <v>38400</v>
      </c>
      <c r="J59" s="16">
        <v>1</v>
      </c>
      <c r="K59" s="14">
        <v>0</v>
      </c>
      <c r="L59" s="15"/>
      <c r="M59" s="14">
        <v>0</v>
      </c>
      <c r="N59" s="15"/>
      <c r="O59" s="14">
        <v>0</v>
      </c>
      <c r="P59" s="15"/>
      <c r="Q59" s="14">
        <v>38400</v>
      </c>
    </row>
    <row r="60" spans="1:17" s="1" customFormat="1" ht="11.45">
      <c r="A60" s="9" t="s">
        <v>18396</v>
      </c>
      <c r="B60" s="10">
        <v>44249</v>
      </c>
      <c r="C60" s="11">
        <v>2021</v>
      </c>
      <c r="D60" s="11" t="s">
        <v>16972</v>
      </c>
      <c r="E60" s="11" t="s">
        <v>16973</v>
      </c>
      <c r="F60" s="11" t="s">
        <v>20155</v>
      </c>
      <c r="G60" s="11" t="s">
        <v>17801</v>
      </c>
      <c r="H60" s="12">
        <v>44268</v>
      </c>
      <c r="I60" s="14">
        <v>0</v>
      </c>
      <c r="J60" s="15"/>
      <c r="K60" s="14">
        <v>0</v>
      </c>
      <c r="L60" s="15"/>
      <c r="M60" s="14">
        <v>280000</v>
      </c>
      <c r="N60" s="15" t="s">
        <v>20300</v>
      </c>
      <c r="O60" s="14">
        <v>0</v>
      </c>
      <c r="P60" s="15"/>
      <c r="Q60" s="14">
        <v>280000</v>
      </c>
    </row>
    <row r="61" spans="1:17" s="1" customFormat="1" ht="11.45">
      <c r="A61" s="9" t="s">
        <v>18397</v>
      </c>
      <c r="B61" s="10">
        <v>44249</v>
      </c>
      <c r="C61" s="11">
        <v>2021</v>
      </c>
      <c r="D61" s="11" t="s">
        <v>17287</v>
      </c>
      <c r="E61" s="11" t="s">
        <v>17288</v>
      </c>
      <c r="F61" s="11" t="s">
        <v>20155</v>
      </c>
      <c r="G61" s="11" t="s">
        <v>17261</v>
      </c>
      <c r="H61" s="12">
        <v>44265</v>
      </c>
      <c r="I61" s="14">
        <v>0</v>
      </c>
      <c r="J61" s="15"/>
      <c r="K61" s="14">
        <v>0</v>
      </c>
      <c r="L61" s="15"/>
      <c r="M61" s="14">
        <v>54600</v>
      </c>
      <c r="N61" s="15" t="s">
        <v>20300</v>
      </c>
      <c r="O61" s="14">
        <v>0</v>
      </c>
      <c r="P61" s="15"/>
      <c r="Q61" s="14">
        <v>54600</v>
      </c>
    </row>
    <row r="62" spans="1:17" s="1" customFormat="1" ht="11.45">
      <c r="A62" s="9" t="s">
        <v>18399</v>
      </c>
      <c r="B62" s="10">
        <v>44249</v>
      </c>
      <c r="C62" s="11">
        <v>2021</v>
      </c>
      <c r="D62" s="11" t="s">
        <v>16957</v>
      </c>
      <c r="E62" s="11" t="s">
        <v>16958</v>
      </c>
      <c r="F62" s="11" t="s">
        <v>20155</v>
      </c>
      <c r="G62" s="11" t="s">
        <v>20161</v>
      </c>
      <c r="H62" s="12">
        <v>44258</v>
      </c>
      <c r="I62" s="14">
        <v>40000</v>
      </c>
      <c r="J62" s="16">
        <v>1</v>
      </c>
      <c r="K62" s="14">
        <v>0</v>
      </c>
      <c r="L62" s="16"/>
      <c r="M62" s="14">
        <v>0</v>
      </c>
      <c r="N62" s="16"/>
      <c r="O62" s="14">
        <v>0</v>
      </c>
      <c r="P62" s="16"/>
      <c r="Q62" s="14">
        <v>40000</v>
      </c>
    </row>
    <row r="63" spans="1:17" s="1" customFormat="1" ht="11.45">
      <c r="A63" s="9" t="s">
        <v>18400</v>
      </c>
      <c r="B63" s="10">
        <v>44249</v>
      </c>
      <c r="C63" s="11">
        <v>2021</v>
      </c>
      <c r="D63" s="11" t="s">
        <v>17017</v>
      </c>
      <c r="E63" s="11" t="s">
        <v>17018</v>
      </c>
      <c r="F63" s="11" t="s">
        <v>20155</v>
      </c>
      <c r="G63" s="11" t="s">
        <v>20307</v>
      </c>
      <c r="H63" s="12">
        <v>44272</v>
      </c>
      <c r="I63" s="14">
        <v>40000</v>
      </c>
      <c r="J63" s="16">
        <v>1</v>
      </c>
      <c r="K63" s="14">
        <v>0</v>
      </c>
      <c r="L63" s="16"/>
      <c r="M63" s="14">
        <v>0</v>
      </c>
      <c r="N63" s="16"/>
      <c r="O63" s="14">
        <v>0</v>
      </c>
      <c r="P63" s="16"/>
      <c r="Q63" s="14">
        <v>40000</v>
      </c>
    </row>
    <row r="64" spans="1:17" s="1" customFormat="1" ht="11.45">
      <c r="A64" s="9" t="s">
        <v>18401</v>
      </c>
      <c r="B64" s="10">
        <v>44249</v>
      </c>
      <c r="C64" s="11">
        <v>2021</v>
      </c>
      <c r="D64" s="11" t="s">
        <v>17017</v>
      </c>
      <c r="E64" s="11" t="s">
        <v>17018</v>
      </c>
      <c r="F64" s="11" t="s">
        <v>20155</v>
      </c>
      <c r="G64" s="11" t="s">
        <v>17238</v>
      </c>
      <c r="H64" s="12">
        <v>44288</v>
      </c>
      <c r="I64" s="14">
        <v>0</v>
      </c>
      <c r="J64" s="16"/>
      <c r="K64" s="14">
        <v>0</v>
      </c>
      <c r="L64" s="16"/>
      <c r="M64" s="14">
        <v>20157.599999999999</v>
      </c>
      <c r="N64" s="16">
        <v>1</v>
      </c>
      <c r="O64" s="14">
        <v>0</v>
      </c>
      <c r="P64" s="16"/>
      <c r="Q64" s="14">
        <v>20157.599999999999</v>
      </c>
    </row>
    <row r="65" spans="1:17" s="1" customFormat="1" ht="11.45">
      <c r="A65" s="9" t="s">
        <v>18402</v>
      </c>
      <c r="B65" s="10">
        <v>44249</v>
      </c>
      <c r="C65" s="11">
        <v>2021</v>
      </c>
      <c r="D65" s="11" t="s">
        <v>17262</v>
      </c>
      <c r="E65" s="11" t="s">
        <v>17263</v>
      </c>
      <c r="F65" s="11" t="s">
        <v>20155</v>
      </c>
      <c r="G65" s="11" t="s">
        <v>16394</v>
      </c>
      <c r="H65" s="12">
        <v>44257</v>
      </c>
      <c r="I65" s="14">
        <v>0</v>
      </c>
      <c r="J65" s="16"/>
      <c r="K65" s="14">
        <v>14784</v>
      </c>
      <c r="L65" s="16">
        <v>1</v>
      </c>
      <c r="M65" s="14">
        <v>0</v>
      </c>
      <c r="N65" s="16"/>
      <c r="O65" s="14">
        <v>5680</v>
      </c>
      <c r="P65" s="16">
        <v>1</v>
      </c>
      <c r="Q65" s="14">
        <v>20464</v>
      </c>
    </row>
    <row r="66" spans="1:17" s="1" customFormat="1" ht="11.45">
      <c r="A66" s="9" t="s">
        <v>18403</v>
      </c>
      <c r="B66" s="10">
        <v>44249</v>
      </c>
      <c r="C66" s="11">
        <v>2021</v>
      </c>
      <c r="D66" s="11" t="s">
        <v>16904</v>
      </c>
      <c r="E66" s="11" t="s">
        <v>16905</v>
      </c>
      <c r="F66" s="11" t="s">
        <v>20302</v>
      </c>
      <c r="G66" s="11" t="s">
        <v>20160</v>
      </c>
      <c r="H66" s="12">
        <v>44256</v>
      </c>
      <c r="I66" s="14">
        <v>0</v>
      </c>
      <c r="J66" s="15"/>
      <c r="K66" s="14">
        <v>18696</v>
      </c>
      <c r="L66" s="16">
        <v>1</v>
      </c>
      <c r="M66" s="14">
        <v>8640</v>
      </c>
      <c r="N66" s="16">
        <v>1</v>
      </c>
      <c r="O66" s="14">
        <v>0</v>
      </c>
      <c r="P66" s="15"/>
      <c r="Q66" s="14">
        <v>27336</v>
      </c>
    </row>
    <row r="67" spans="1:17" s="1" customFormat="1" ht="11.45">
      <c r="A67" s="9" t="s">
        <v>18404</v>
      </c>
      <c r="B67" s="10">
        <v>44249</v>
      </c>
      <c r="C67" s="11">
        <v>2021</v>
      </c>
      <c r="D67" s="11" t="s">
        <v>16838</v>
      </c>
      <c r="E67" s="11" t="s">
        <v>16839</v>
      </c>
      <c r="F67" s="11" t="s">
        <v>20155</v>
      </c>
      <c r="G67" s="11" t="s">
        <v>17798</v>
      </c>
      <c r="H67" s="12">
        <v>44252</v>
      </c>
      <c r="I67" s="14">
        <v>0</v>
      </c>
      <c r="J67" s="15"/>
      <c r="K67" s="14">
        <v>0</v>
      </c>
      <c r="L67" s="15"/>
      <c r="M67" s="14">
        <v>78000</v>
      </c>
      <c r="N67" s="15" t="s">
        <v>20296</v>
      </c>
      <c r="O67" s="14">
        <v>0</v>
      </c>
      <c r="P67" s="15"/>
      <c r="Q67" s="14">
        <v>78000</v>
      </c>
    </row>
    <row r="68" spans="1:17" s="1" customFormat="1" ht="11.45">
      <c r="A68" s="9" t="s">
        <v>18405</v>
      </c>
      <c r="B68" s="10">
        <v>44249</v>
      </c>
      <c r="C68" s="11">
        <v>2021</v>
      </c>
      <c r="D68" s="11" t="s">
        <v>16444</v>
      </c>
      <c r="E68" s="11" t="s">
        <v>16445</v>
      </c>
      <c r="F68" s="11" t="s">
        <v>20155</v>
      </c>
      <c r="G68" s="11" t="s">
        <v>18248</v>
      </c>
      <c r="H68" s="12">
        <v>44258</v>
      </c>
      <c r="I68" s="14">
        <v>19200</v>
      </c>
      <c r="J68" s="16">
        <v>1</v>
      </c>
      <c r="K68" s="14">
        <v>0</v>
      </c>
      <c r="L68" s="15"/>
      <c r="M68" s="14">
        <v>0</v>
      </c>
      <c r="N68" s="15"/>
      <c r="O68" s="14">
        <v>0</v>
      </c>
      <c r="P68" s="15"/>
      <c r="Q68" s="14">
        <v>19200</v>
      </c>
    </row>
    <row r="69" spans="1:17" s="1" customFormat="1" ht="11.45">
      <c r="A69" s="9" t="s">
        <v>18406</v>
      </c>
      <c r="B69" s="10">
        <v>44251</v>
      </c>
      <c r="C69" s="11">
        <v>2021</v>
      </c>
      <c r="D69" s="11" t="s">
        <v>16444</v>
      </c>
      <c r="E69" s="11" t="s">
        <v>16445</v>
      </c>
      <c r="F69" s="11" t="s">
        <v>20155</v>
      </c>
      <c r="G69" s="11" t="s">
        <v>17693</v>
      </c>
      <c r="H69" s="12">
        <v>44259</v>
      </c>
      <c r="I69" s="14">
        <v>21600</v>
      </c>
      <c r="J69" s="16">
        <v>1</v>
      </c>
      <c r="K69" s="14">
        <v>0</v>
      </c>
      <c r="L69" s="15"/>
      <c r="M69" s="14">
        <v>0</v>
      </c>
      <c r="N69" s="15"/>
      <c r="O69" s="14">
        <v>0</v>
      </c>
      <c r="P69" s="15"/>
      <c r="Q69" s="14">
        <v>21600</v>
      </c>
    </row>
    <row r="70" spans="1:17" s="1" customFormat="1" ht="11.45">
      <c r="A70" s="9" t="s">
        <v>18407</v>
      </c>
      <c r="B70" s="10">
        <v>44252</v>
      </c>
      <c r="C70" s="11">
        <v>2021</v>
      </c>
      <c r="D70" s="11" t="s">
        <v>17278</v>
      </c>
      <c r="E70" s="11" t="s">
        <v>17279</v>
      </c>
      <c r="F70" s="11" t="s">
        <v>20155</v>
      </c>
      <c r="G70" s="11" t="s">
        <v>20173</v>
      </c>
      <c r="H70" s="12">
        <v>44264</v>
      </c>
      <c r="I70" s="14">
        <v>0</v>
      </c>
      <c r="J70" s="15"/>
      <c r="K70" s="14">
        <v>262032</v>
      </c>
      <c r="L70" s="15" t="s">
        <v>20296</v>
      </c>
      <c r="M70" s="14">
        <v>120720</v>
      </c>
      <c r="N70" s="15" t="s">
        <v>20296</v>
      </c>
      <c r="O70" s="14">
        <v>0</v>
      </c>
      <c r="P70" s="15"/>
      <c r="Q70" s="14">
        <v>382752</v>
      </c>
    </row>
    <row r="71" spans="1:17" s="1" customFormat="1" ht="11.45">
      <c r="A71" s="9" t="s">
        <v>18408</v>
      </c>
      <c r="B71" s="10">
        <v>44252</v>
      </c>
      <c r="C71" s="11">
        <v>2021</v>
      </c>
      <c r="D71" s="11" t="s">
        <v>17278</v>
      </c>
      <c r="E71" s="11" t="s">
        <v>17279</v>
      </c>
      <c r="F71" s="11" t="s">
        <v>20155</v>
      </c>
      <c r="G71" s="11" t="s">
        <v>20173</v>
      </c>
      <c r="H71" s="12">
        <v>44264</v>
      </c>
      <c r="I71" s="14">
        <v>22008</v>
      </c>
      <c r="J71" s="16">
        <v>1</v>
      </c>
      <c r="K71" s="14">
        <v>0</v>
      </c>
      <c r="L71" s="15"/>
      <c r="M71" s="14">
        <v>0</v>
      </c>
      <c r="N71" s="15"/>
      <c r="O71" s="14">
        <v>0</v>
      </c>
      <c r="P71" s="15"/>
      <c r="Q71" s="14">
        <v>22008</v>
      </c>
    </row>
    <row r="72" spans="1:17" s="1" customFormat="1" ht="11.45">
      <c r="A72" s="9" t="s">
        <v>18409</v>
      </c>
      <c r="B72" s="10">
        <v>44252</v>
      </c>
      <c r="C72" s="11">
        <v>2021</v>
      </c>
      <c r="D72" s="11" t="s">
        <v>17257</v>
      </c>
      <c r="E72" s="11" t="s">
        <v>17258</v>
      </c>
      <c r="F72" s="11" t="s">
        <v>20155</v>
      </c>
      <c r="G72" s="11" t="s">
        <v>18261</v>
      </c>
      <c r="H72" s="12">
        <v>44263</v>
      </c>
      <c r="I72" s="14">
        <v>1800</v>
      </c>
      <c r="J72" s="16">
        <v>1</v>
      </c>
      <c r="K72" s="14">
        <v>20160</v>
      </c>
      <c r="L72" s="16">
        <v>1</v>
      </c>
      <c r="M72" s="14">
        <v>2400</v>
      </c>
      <c r="N72" s="16">
        <v>1</v>
      </c>
      <c r="O72" s="14">
        <v>0</v>
      </c>
      <c r="P72" s="16"/>
      <c r="Q72" s="14">
        <v>24360</v>
      </c>
    </row>
    <row r="73" spans="1:17" s="1" customFormat="1" ht="11.45">
      <c r="A73" s="9" t="s">
        <v>18410</v>
      </c>
      <c r="B73" s="10">
        <v>44256</v>
      </c>
      <c r="C73" s="11">
        <v>2021</v>
      </c>
      <c r="D73" s="11" t="s">
        <v>17017</v>
      </c>
      <c r="E73" s="11" t="s">
        <v>17018</v>
      </c>
      <c r="F73" s="11" t="s">
        <v>20155</v>
      </c>
      <c r="G73" s="11" t="s">
        <v>20158</v>
      </c>
      <c r="H73" s="12">
        <v>44263</v>
      </c>
      <c r="I73" s="14">
        <v>0</v>
      </c>
      <c r="J73" s="16"/>
      <c r="K73" s="14">
        <v>0</v>
      </c>
      <c r="L73" s="16"/>
      <c r="M73" s="14">
        <v>16800</v>
      </c>
      <c r="N73" s="16">
        <v>1</v>
      </c>
      <c r="O73" s="14">
        <v>0</v>
      </c>
      <c r="P73" s="16"/>
      <c r="Q73" s="14">
        <v>16800</v>
      </c>
    </row>
    <row r="74" spans="1:17" s="1" customFormat="1" ht="11.45">
      <c r="A74" s="9" t="s">
        <v>18411</v>
      </c>
      <c r="B74" s="10">
        <v>44256</v>
      </c>
      <c r="C74" s="11">
        <v>2021</v>
      </c>
      <c r="D74" s="11" t="s">
        <v>16880</v>
      </c>
      <c r="E74" s="11" t="s">
        <v>16881</v>
      </c>
      <c r="F74" s="11" t="s">
        <v>20155</v>
      </c>
      <c r="G74" s="11" t="s">
        <v>20156</v>
      </c>
      <c r="H74" s="12">
        <v>44264</v>
      </c>
      <c r="I74" s="14">
        <v>0</v>
      </c>
      <c r="J74" s="16"/>
      <c r="K74" s="14">
        <v>18480</v>
      </c>
      <c r="L74" s="16">
        <v>1</v>
      </c>
      <c r="M74" s="14">
        <v>0</v>
      </c>
      <c r="N74" s="16"/>
      <c r="O74" s="14">
        <v>0</v>
      </c>
      <c r="P74" s="16"/>
      <c r="Q74" s="14">
        <v>18480</v>
      </c>
    </row>
    <row r="75" spans="1:17" s="1" customFormat="1" ht="11.45">
      <c r="A75" s="9" t="s">
        <v>18412</v>
      </c>
      <c r="B75" s="10">
        <v>44260</v>
      </c>
      <c r="C75" s="11">
        <v>2021</v>
      </c>
      <c r="D75" s="11" t="s">
        <v>17017</v>
      </c>
      <c r="E75" s="11" t="s">
        <v>17018</v>
      </c>
      <c r="F75" s="11" t="s">
        <v>20155</v>
      </c>
      <c r="G75" s="11" t="s">
        <v>18064</v>
      </c>
      <c r="H75" s="12">
        <v>44270</v>
      </c>
      <c r="I75" s="14">
        <v>0</v>
      </c>
      <c r="J75" s="16"/>
      <c r="K75" s="14">
        <v>20000</v>
      </c>
      <c r="L75" s="16">
        <v>1</v>
      </c>
      <c r="M75" s="14">
        <v>0</v>
      </c>
      <c r="N75" s="16"/>
      <c r="O75" s="14">
        <v>0</v>
      </c>
      <c r="P75" s="16"/>
      <c r="Q75" s="14">
        <v>20000</v>
      </c>
    </row>
    <row r="76" spans="1:17" s="1" customFormat="1" ht="11.45">
      <c r="A76" s="9" t="s">
        <v>18413</v>
      </c>
      <c r="B76" s="10">
        <v>44263</v>
      </c>
      <c r="C76" s="11">
        <v>2021</v>
      </c>
      <c r="D76" s="11" t="s">
        <v>17017</v>
      </c>
      <c r="E76" s="11" t="s">
        <v>17018</v>
      </c>
      <c r="F76" s="11" t="s">
        <v>20155</v>
      </c>
      <c r="G76" s="11" t="s">
        <v>20308</v>
      </c>
      <c r="H76" s="12">
        <v>44267</v>
      </c>
      <c r="I76" s="14">
        <v>7200</v>
      </c>
      <c r="J76" s="16">
        <v>1</v>
      </c>
      <c r="K76" s="14">
        <v>2276</v>
      </c>
      <c r="L76" s="16">
        <v>1</v>
      </c>
      <c r="M76" s="14">
        <v>0</v>
      </c>
      <c r="N76" s="16"/>
      <c r="O76" s="14">
        <v>560</v>
      </c>
      <c r="P76" s="16">
        <v>1</v>
      </c>
      <c r="Q76" s="14">
        <v>10036</v>
      </c>
    </row>
    <row r="77" spans="1:17" s="1" customFormat="1" ht="11.45">
      <c r="A77" s="9" t="s">
        <v>18414</v>
      </c>
      <c r="B77" s="10">
        <v>44263</v>
      </c>
      <c r="C77" s="11">
        <v>2021</v>
      </c>
      <c r="D77" s="11" t="s">
        <v>17284</v>
      </c>
      <c r="E77" s="11" t="s">
        <v>17285</v>
      </c>
      <c r="F77" s="11" t="s">
        <v>20155</v>
      </c>
      <c r="G77" s="11" t="s">
        <v>16394</v>
      </c>
      <c r="H77" s="12">
        <v>44274</v>
      </c>
      <c r="I77" s="14">
        <v>0</v>
      </c>
      <c r="J77" s="16"/>
      <c r="K77" s="14">
        <v>0</v>
      </c>
      <c r="L77" s="16"/>
      <c r="M77" s="14">
        <v>0</v>
      </c>
      <c r="N77" s="16"/>
      <c r="O77" s="14">
        <v>10760</v>
      </c>
      <c r="P77" s="16">
        <v>1</v>
      </c>
      <c r="Q77" s="14">
        <v>10760</v>
      </c>
    </row>
    <row r="78" spans="1:17" s="1" customFormat="1" ht="11.45">
      <c r="A78" s="9" t="s">
        <v>18415</v>
      </c>
      <c r="B78" s="10">
        <v>44263</v>
      </c>
      <c r="C78" s="11">
        <v>2021</v>
      </c>
      <c r="D78" s="11" t="s">
        <v>17289</v>
      </c>
      <c r="E78" s="11" t="s">
        <v>17290</v>
      </c>
      <c r="F78" s="11" t="s">
        <v>20155</v>
      </c>
      <c r="G78" s="11" t="s">
        <v>20309</v>
      </c>
      <c r="H78" s="12">
        <v>44270</v>
      </c>
      <c r="I78" s="14">
        <v>0</v>
      </c>
      <c r="J78" s="16"/>
      <c r="K78" s="14">
        <v>2496</v>
      </c>
      <c r="L78" s="16">
        <v>1</v>
      </c>
      <c r="M78" s="14">
        <v>6000</v>
      </c>
      <c r="N78" s="16">
        <v>1</v>
      </c>
      <c r="O78" s="14">
        <v>2580</v>
      </c>
      <c r="P78" s="16">
        <v>1</v>
      </c>
      <c r="Q78" s="14">
        <v>11076</v>
      </c>
    </row>
    <row r="79" spans="1:17" s="1" customFormat="1" ht="11.45">
      <c r="A79" s="9" t="s">
        <v>18416</v>
      </c>
      <c r="B79" s="10">
        <v>44263</v>
      </c>
      <c r="C79" s="11">
        <v>2021</v>
      </c>
      <c r="D79" s="11" t="s">
        <v>17017</v>
      </c>
      <c r="E79" s="11" t="s">
        <v>17018</v>
      </c>
      <c r="F79" s="11" t="s">
        <v>20155</v>
      </c>
      <c r="G79" s="11" t="s">
        <v>17238</v>
      </c>
      <c r="H79" s="12">
        <v>44273</v>
      </c>
      <c r="I79" s="14">
        <v>3060</v>
      </c>
      <c r="J79" s="16">
        <v>1</v>
      </c>
      <c r="K79" s="14">
        <v>0</v>
      </c>
      <c r="L79" s="16"/>
      <c r="M79" s="14">
        <v>0</v>
      </c>
      <c r="N79" s="16"/>
      <c r="O79" s="14">
        <v>2400</v>
      </c>
      <c r="P79" s="16">
        <v>1</v>
      </c>
      <c r="Q79" s="14">
        <v>5460</v>
      </c>
    </row>
    <row r="80" spans="1:17" s="1" customFormat="1" ht="11.45">
      <c r="A80" s="9" t="s">
        <v>18417</v>
      </c>
      <c r="B80" s="10">
        <v>44267</v>
      </c>
      <c r="C80" s="11">
        <v>2021</v>
      </c>
      <c r="D80" s="11" t="s">
        <v>16444</v>
      </c>
      <c r="E80" s="11" t="s">
        <v>16445</v>
      </c>
      <c r="F80" s="11" t="s">
        <v>20155</v>
      </c>
      <c r="G80" s="11" t="s">
        <v>17693</v>
      </c>
      <c r="H80" s="12">
        <v>44272</v>
      </c>
      <c r="I80" s="14">
        <v>20750</v>
      </c>
      <c r="J80" s="16">
        <v>1</v>
      </c>
      <c r="K80" s="14">
        <v>0</v>
      </c>
      <c r="L80" s="15"/>
      <c r="M80" s="14">
        <v>0</v>
      </c>
      <c r="N80" s="15"/>
      <c r="O80" s="14">
        <v>0</v>
      </c>
      <c r="P80" s="15"/>
      <c r="Q80" s="14">
        <v>20750</v>
      </c>
    </row>
    <row r="81" spans="1:17" s="1" customFormat="1" ht="11.45">
      <c r="A81" s="9" t="s">
        <v>18418</v>
      </c>
      <c r="B81" s="10">
        <v>44267</v>
      </c>
      <c r="C81" s="11">
        <v>2021</v>
      </c>
      <c r="D81" s="11" t="s">
        <v>17209</v>
      </c>
      <c r="E81" s="11" t="s">
        <v>17210</v>
      </c>
      <c r="F81" s="11" t="s">
        <v>20155</v>
      </c>
      <c r="G81" s="11" t="s">
        <v>20168</v>
      </c>
      <c r="H81" s="12">
        <v>44274</v>
      </c>
      <c r="I81" s="14">
        <v>0</v>
      </c>
      <c r="J81" s="16"/>
      <c r="K81" s="14">
        <v>17760</v>
      </c>
      <c r="L81" s="16">
        <v>1</v>
      </c>
      <c r="M81" s="14">
        <v>4800</v>
      </c>
      <c r="N81" s="16">
        <v>1</v>
      </c>
      <c r="O81" s="14">
        <v>900</v>
      </c>
      <c r="P81" s="16">
        <v>1</v>
      </c>
      <c r="Q81" s="14">
        <v>23460</v>
      </c>
    </row>
    <row r="82" spans="1:17" s="1" customFormat="1" ht="11.45">
      <c r="A82" s="9" t="s">
        <v>18419</v>
      </c>
      <c r="B82" s="10">
        <v>44267</v>
      </c>
      <c r="C82" s="11">
        <v>2021</v>
      </c>
      <c r="D82" s="11" t="s">
        <v>17230</v>
      </c>
      <c r="E82" s="11" t="s">
        <v>17231</v>
      </c>
      <c r="F82" s="11" t="s">
        <v>20155</v>
      </c>
      <c r="G82" s="11" t="s">
        <v>16394</v>
      </c>
      <c r="H82" s="12">
        <v>44298</v>
      </c>
      <c r="I82" s="14">
        <v>960</v>
      </c>
      <c r="J82" s="16">
        <v>1</v>
      </c>
      <c r="K82" s="14">
        <v>11272</v>
      </c>
      <c r="L82" s="16">
        <v>1</v>
      </c>
      <c r="M82" s="14">
        <v>6000</v>
      </c>
      <c r="N82" s="16">
        <v>1</v>
      </c>
      <c r="O82" s="14">
        <v>5420</v>
      </c>
      <c r="P82" s="16">
        <v>1</v>
      </c>
      <c r="Q82" s="14">
        <v>23652</v>
      </c>
    </row>
    <row r="83" spans="1:17" s="1" customFormat="1" ht="11.45">
      <c r="A83" s="9" t="s">
        <v>18420</v>
      </c>
      <c r="B83" s="10">
        <v>44267</v>
      </c>
      <c r="C83" s="11">
        <v>2021</v>
      </c>
      <c r="D83" s="11" t="s">
        <v>16838</v>
      </c>
      <c r="E83" s="11" t="s">
        <v>16839</v>
      </c>
      <c r="F83" s="11" t="s">
        <v>20155</v>
      </c>
      <c r="G83" s="11" t="s">
        <v>17949</v>
      </c>
      <c r="H83" s="12">
        <v>44274</v>
      </c>
      <c r="I83" s="14">
        <v>88032</v>
      </c>
      <c r="J83" s="16">
        <v>1</v>
      </c>
      <c r="K83" s="14">
        <v>0</v>
      </c>
      <c r="L83" s="15"/>
      <c r="M83" s="14">
        <v>0</v>
      </c>
      <c r="N83" s="15"/>
      <c r="O83" s="14">
        <v>0</v>
      </c>
      <c r="P83" s="15"/>
      <c r="Q83" s="14">
        <v>88032</v>
      </c>
    </row>
    <row r="84" spans="1:17" s="1" customFormat="1" ht="11.45">
      <c r="A84" s="9" t="s">
        <v>18421</v>
      </c>
      <c r="B84" s="10">
        <v>44267</v>
      </c>
      <c r="C84" s="11">
        <v>2021</v>
      </c>
      <c r="D84" s="11" t="s">
        <v>16904</v>
      </c>
      <c r="E84" s="11" t="s">
        <v>16905</v>
      </c>
      <c r="F84" s="11" t="s">
        <v>20155</v>
      </c>
      <c r="G84" s="11" t="s">
        <v>20160</v>
      </c>
      <c r="H84" s="12">
        <v>44271</v>
      </c>
      <c r="I84" s="14">
        <v>0</v>
      </c>
      <c r="J84" s="15"/>
      <c r="K84" s="14">
        <v>16776</v>
      </c>
      <c r="L84" s="16">
        <v>1</v>
      </c>
      <c r="M84" s="14">
        <v>10560</v>
      </c>
      <c r="N84" s="16">
        <v>1</v>
      </c>
      <c r="O84" s="14">
        <v>0</v>
      </c>
      <c r="P84" s="15"/>
      <c r="Q84" s="14">
        <v>27336</v>
      </c>
    </row>
    <row r="85" spans="1:17" s="1" customFormat="1" ht="11.45">
      <c r="A85" s="9" t="s">
        <v>18422</v>
      </c>
      <c r="B85" s="10">
        <v>44267</v>
      </c>
      <c r="C85" s="11">
        <v>2021</v>
      </c>
      <c r="D85" s="11" t="s">
        <v>16384</v>
      </c>
      <c r="E85" s="11" t="s">
        <v>16385</v>
      </c>
      <c r="F85" s="11" t="s">
        <v>20155</v>
      </c>
      <c r="G85" s="11" t="s">
        <v>17965</v>
      </c>
      <c r="H85" s="12">
        <v>44280</v>
      </c>
      <c r="I85" s="14">
        <v>96000</v>
      </c>
      <c r="J85" s="16">
        <v>1</v>
      </c>
      <c r="K85" s="14">
        <v>0</v>
      </c>
      <c r="L85" s="15"/>
      <c r="M85" s="14">
        <v>0</v>
      </c>
      <c r="N85" s="15"/>
      <c r="O85" s="14">
        <v>0</v>
      </c>
      <c r="P85" s="15"/>
      <c r="Q85" s="14">
        <v>96000</v>
      </c>
    </row>
    <row r="86" spans="1:17" s="1" customFormat="1" ht="11.45">
      <c r="A86" s="9" t="s">
        <v>18423</v>
      </c>
      <c r="B86" s="10">
        <v>44267</v>
      </c>
      <c r="C86" s="11">
        <v>2021</v>
      </c>
      <c r="D86" s="11" t="s">
        <v>16838</v>
      </c>
      <c r="E86" s="11" t="s">
        <v>16839</v>
      </c>
      <c r="F86" s="11" t="s">
        <v>20155</v>
      </c>
      <c r="G86" s="11" t="s">
        <v>17798</v>
      </c>
      <c r="H86" s="12">
        <v>44273</v>
      </c>
      <c r="I86" s="14">
        <v>0</v>
      </c>
      <c r="J86" s="15"/>
      <c r="K86" s="14">
        <v>0</v>
      </c>
      <c r="L86" s="15"/>
      <c r="M86" s="14">
        <v>156000</v>
      </c>
      <c r="N86" s="15" t="s">
        <v>20296</v>
      </c>
      <c r="O86" s="14">
        <v>0</v>
      </c>
      <c r="P86" s="15"/>
      <c r="Q86" s="14">
        <v>156000</v>
      </c>
    </row>
    <row r="87" spans="1:17" s="1" customFormat="1" ht="11.45">
      <c r="A87" s="9" t="s">
        <v>18424</v>
      </c>
      <c r="B87" s="10">
        <v>44267</v>
      </c>
      <c r="C87" s="11">
        <v>2021</v>
      </c>
      <c r="D87" s="11" t="s">
        <v>16838</v>
      </c>
      <c r="E87" s="11" t="s">
        <v>16839</v>
      </c>
      <c r="F87" s="11" t="s">
        <v>20155</v>
      </c>
      <c r="G87" s="11" t="s">
        <v>17949</v>
      </c>
      <c r="H87" s="12">
        <v>0</v>
      </c>
      <c r="I87" s="14">
        <v>174840</v>
      </c>
      <c r="J87" s="16">
        <v>1</v>
      </c>
      <c r="K87" s="14">
        <v>37200</v>
      </c>
      <c r="L87" s="15" t="s">
        <v>20310</v>
      </c>
      <c r="M87" s="14">
        <v>19200</v>
      </c>
      <c r="N87" s="15" t="s">
        <v>20296</v>
      </c>
      <c r="O87" s="14">
        <v>0</v>
      </c>
      <c r="P87" s="15"/>
      <c r="Q87" s="14">
        <v>231240</v>
      </c>
    </row>
    <row r="88" spans="1:17" s="1" customFormat="1" ht="11.45">
      <c r="A88" s="9" t="s">
        <v>18425</v>
      </c>
      <c r="B88" s="10">
        <v>44267</v>
      </c>
      <c r="C88" s="11">
        <v>2021</v>
      </c>
      <c r="D88" s="11" t="s">
        <v>16957</v>
      </c>
      <c r="E88" s="11" t="s">
        <v>16958</v>
      </c>
      <c r="F88" s="11" t="s">
        <v>20155</v>
      </c>
      <c r="G88" s="11" t="s">
        <v>20161</v>
      </c>
      <c r="H88" s="12">
        <v>44280</v>
      </c>
      <c r="I88" s="14">
        <v>20000</v>
      </c>
      <c r="J88" s="16">
        <v>1</v>
      </c>
      <c r="K88" s="14">
        <v>0</v>
      </c>
      <c r="L88" s="16"/>
      <c r="M88" s="14">
        <v>0</v>
      </c>
      <c r="N88" s="16"/>
      <c r="O88" s="14">
        <v>0</v>
      </c>
      <c r="P88" s="16"/>
      <c r="Q88" s="14">
        <v>20000</v>
      </c>
    </row>
    <row r="89" spans="1:17" s="1" customFormat="1" ht="11.45">
      <c r="A89" s="9" t="s">
        <v>18426</v>
      </c>
      <c r="B89" s="10">
        <v>44267</v>
      </c>
      <c r="C89" s="11">
        <v>2021</v>
      </c>
      <c r="D89" s="11" t="s">
        <v>17017</v>
      </c>
      <c r="E89" s="11" t="s">
        <v>17018</v>
      </c>
      <c r="F89" s="11" t="s">
        <v>20155</v>
      </c>
      <c r="G89" s="11" t="s">
        <v>17238</v>
      </c>
      <c r="H89" s="12">
        <v>44280</v>
      </c>
      <c r="I89" s="14">
        <v>0</v>
      </c>
      <c r="J89" s="16"/>
      <c r="K89" s="14">
        <v>635.6</v>
      </c>
      <c r="L89" s="16">
        <v>1</v>
      </c>
      <c r="M89" s="14">
        <v>0</v>
      </c>
      <c r="N89" s="16"/>
      <c r="O89" s="14">
        <v>0</v>
      </c>
      <c r="P89" s="16"/>
      <c r="Q89" s="14">
        <v>635.6</v>
      </c>
    </row>
    <row r="90" spans="1:17" s="1" customFormat="1" ht="11.45">
      <c r="A90" s="9" t="s">
        <v>18427</v>
      </c>
      <c r="B90" s="10">
        <v>44267</v>
      </c>
      <c r="C90" s="11">
        <v>2021</v>
      </c>
      <c r="D90" s="11" t="s">
        <v>16444</v>
      </c>
      <c r="E90" s="11" t="s">
        <v>16445</v>
      </c>
      <c r="F90" s="11" t="s">
        <v>20155</v>
      </c>
      <c r="G90" s="11" t="s">
        <v>17798</v>
      </c>
      <c r="H90" s="12">
        <v>44278</v>
      </c>
      <c r="I90" s="14">
        <v>115200</v>
      </c>
      <c r="J90" s="16">
        <v>1</v>
      </c>
      <c r="K90" s="14">
        <v>0</v>
      </c>
      <c r="L90" s="15"/>
      <c r="M90" s="14">
        <v>0</v>
      </c>
      <c r="N90" s="15"/>
      <c r="O90" s="14">
        <v>0</v>
      </c>
      <c r="P90" s="15"/>
      <c r="Q90" s="14">
        <v>115200</v>
      </c>
    </row>
    <row r="91" spans="1:17" s="1" customFormat="1" ht="11.45">
      <c r="A91" s="9" t="s">
        <v>18428</v>
      </c>
      <c r="B91" s="10">
        <v>44267</v>
      </c>
      <c r="C91" s="11">
        <v>2021</v>
      </c>
      <c r="D91" s="11" t="s">
        <v>16783</v>
      </c>
      <c r="E91" s="11" t="s">
        <v>16784</v>
      </c>
      <c r="F91" s="11" t="s">
        <v>20155</v>
      </c>
      <c r="G91" s="11" t="s">
        <v>17939</v>
      </c>
      <c r="H91" s="12">
        <v>44277</v>
      </c>
      <c r="I91" s="14">
        <v>0</v>
      </c>
      <c r="J91" s="15"/>
      <c r="K91" s="14">
        <v>0</v>
      </c>
      <c r="L91" s="15"/>
      <c r="M91" s="14">
        <v>0</v>
      </c>
      <c r="N91" s="15"/>
      <c r="O91" s="14">
        <v>65100</v>
      </c>
      <c r="P91" s="16">
        <v>1</v>
      </c>
      <c r="Q91" s="14">
        <v>65100</v>
      </c>
    </row>
    <row r="92" spans="1:17" s="1" customFormat="1" ht="11.45">
      <c r="A92" s="9" t="s">
        <v>18429</v>
      </c>
      <c r="B92" s="10">
        <v>44267</v>
      </c>
      <c r="C92" s="11">
        <v>2021</v>
      </c>
      <c r="D92" s="11" t="s">
        <v>16872</v>
      </c>
      <c r="E92" s="11" t="s">
        <v>16873</v>
      </c>
      <c r="F92" s="11" t="s">
        <v>20155</v>
      </c>
      <c r="G92" s="11" t="s">
        <v>20169</v>
      </c>
      <c r="H92" s="12">
        <v>44287</v>
      </c>
      <c r="I92" s="14">
        <v>12000</v>
      </c>
      <c r="J92" s="16">
        <v>1</v>
      </c>
      <c r="K92" s="14">
        <v>3150</v>
      </c>
      <c r="L92" s="16">
        <v>1</v>
      </c>
      <c r="M92" s="14">
        <v>0</v>
      </c>
      <c r="N92" s="16"/>
      <c r="O92" s="14">
        <v>0</v>
      </c>
      <c r="P92" s="16"/>
      <c r="Q92" s="14">
        <v>15150</v>
      </c>
    </row>
    <row r="93" spans="1:17" s="1" customFormat="1" ht="11.45">
      <c r="A93" s="9" t="s">
        <v>18430</v>
      </c>
      <c r="B93" s="10">
        <v>44267</v>
      </c>
      <c r="C93" s="11">
        <v>2021</v>
      </c>
      <c r="D93" s="11" t="s">
        <v>16972</v>
      </c>
      <c r="E93" s="11" t="s">
        <v>16973</v>
      </c>
      <c r="F93" s="11" t="s">
        <v>20155</v>
      </c>
      <c r="G93" s="11" t="s">
        <v>17801</v>
      </c>
      <c r="H93" s="12">
        <v>44274</v>
      </c>
      <c r="I93" s="14">
        <v>0</v>
      </c>
      <c r="J93" s="15"/>
      <c r="K93" s="14">
        <v>100000</v>
      </c>
      <c r="L93" s="15" t="s">
        <v>20300</v>
      </c>
      <c r="M93" s="14">
        <v>0</v>
      </c>
      <c r="N93" s="15"/>
      <c r="O93" s="14">
        <v>0</v>
      </c>
      <c r="P93" s="15"/>
      <c r="Q93" s="14">
        <v>100000</v>
      </c>
    </row>
    <row r="94" spans="1:17" s="1" customFormat="1" ht="11.45">
      <c r="A94" s="9" t="s">
        <v>18431</v>
      </c>
      <c r="B94" s="10">
        <v>44272</v>
      </c>
      <c r="C94" s="11">
        <v>2021</v>
      </c>
      <c r="D94" s="11" t="s">
        <v>17233</v>
      </c>
      <c r="E94" s="11" t="s">
        <v>17234</v>
      </c>
      <c r="F94" s="11" t="s">
        <v>20155</v>
      </c>
      <c r="G94" s="11" t="s">
        <v>17939</v>
      </c>
      <c r="H94" s="12">
        <v>44281</v>
      </c>
      <c r="I94" s="14">
        <v>0</v>
      </c>
      <c r="J94" s="15"/>
      <c r="K94" s="14">
        <v>550444.80000000005</v>
      </c>
      <c r="L94" s="15" t="s">
        <v>20311</v>
      </c>
      <c r="M94" s="14">
        <v>450355.20000000001</v>
      </c>
      <c r="N94" s="15" t="s">
        <v>20311</v>
      </c>
      <c r="O94" s="14">
        <v>0</v>
      </c>
      <c r="P94" s="15"/>
      <c r="Q94" s="14">
        <v>1000800</v>
      </c>
    </row>
    <row r="95" spans="1:17" s="1" customFormat="1" ht="11.45">
      <c r="A95" s="9" t="s">
        <v>18432</v>
      </c>
      <c r="B95" s="10">
        <v>44272</v>
      </c>
      <c r="C95" s="11">
        <v>2021</v>
      </c>
      <c r="D95" s="11" t="s">
        <v>17287</v>
      </c>
      <c r="E95" s="11" t="s">
        <v>17288</v>
      </c>
      <c r="F95" s="11" t="s">
        <v>20155</v>
      </c>
      <c r="G95" s="11" t="s">
        <v>17798</v>
      </c>
      <c r="H95" s="12">
        <v>44301</v>
      </c>
      <c r="I95" s="14">
        <v>57600</v>
      </c>
      <c r="J95" s="16">
        <v>1</v>
      </c>
      <c r="K95" s="14">
        <v>0</v>
      </c>
      <c r="L95" s="15"/>
      <c r="M95" s="14">
        <v>0</v>
      </c>
      <c r="N95" s="15"/>
      <c r="O95" s="14">
        <v>0</v>
      </c>
      <c r="P95" s="15"/>
      <c r="Q95" s="14">
        <v>57600</v>
      </c>
    </row>
    <row r="96" spans="1:17" s="1" customFormat="1" ht="11.45">
      <c r="A96" s="9" t="s">
        <v>18433</v>
      </c>
      <c r="B96" s="10">
        <v>44280</v>
      </c>
      <c r="C96" s="11">
        <v>2021</v>
      </c>
      <c r="D96" s="11" t="s">
        <v>16470</v>
      </c>
      <c r="E96" s="11" t="s">
        <v>16471</v>
      </c>
      <c r="F96" s="11" t="s">
        <v>20155</v>
      </c>
      <c r="G96" s="11" t="s">
        <v>20159</v>
      </c>
      <c r="H96" s="12">
        <v>44286</v>
      </c>
      <c r="I96" s="14">
        <v>26496</v>
      </c>
      <c r="J96" s="16">
        <v>1</v>
      </c>
      <c r="K96" s="14">
        <v>309408</v>
      </c>
      <c r="L96" s="15" t="s">
        <v>20296</v>
      </c>
      <c r="M96" s="14">
        <v>0</v>
      </c>
      <c r="N96" s="15"/>
      <c r="O96" s="14">
        <v>0</v>
      </c>
      <c r="P96" s="15"/>
      <c r="Q96" s="14">
        <v>335904</v>
      </c>
    </row>
    <row r="97" spans="1:17" s="1" customFormat="1" ht="11.45">
      <c r="A97" s="9" t="s">
        <v>18434</v>
      </c>
      <c r="B97" s="10">
        <v>44282</v>
      </c>
      <c r="C97" s="11">
        <v>2021</v>
      </c>
      <c r="D97" s="11" t="s">
        <v>16838</v>
      </c>
      <c r="E97" s="11" t="s">
        <v>16839</v>
      </c>
      <c r="F97" s="11" t="s">
        <v>20155</v>
      </c>
      <c r="G97" s="11" t="s">
        <v>17798</v>
      </c>
      <c r="H97" s="12">
        <v>44292</v>
      </c>
      <c r="I97" s="14">
        <v>0</v>
      </c>
      <c r="J97" s="15"/>
      <c r="K97" s="14">
        <v>88032</v>
      </c>
      <c r="L97" s="15" t="s">
        <v>20296</v>
      </c>
      <c r="M97" s="14">
        <v>0</v>
      </c>
      <c r="N97" s="15"/>
      <c r="O97" s="14">
        <v>0</v>
      </c>
      <c r="P97" s="15"/>
      <c r="Q97" s="14">
        <v>88032</v>
      </c>
    </row>
    <row r="98" spans="1:17" s="1" customFormat="1" ht="11.45">
      <c r="A98" s="9" t="s">
        <v>18435</v>
      </c>
      <c r="B98" s="10">
        <v>44282</v>
      </c>
      <c r="C98" s="11">
        <v>2021</v>
      </c>
      <c r="D98" s="11" t="s">
        <v>16560</v>
      </c>
      <c r="E98" s="11" t="s">
        <v>16561</v>
      </c>
      <c r="F98" s="11" t="s">
        <v>20155</v>
      </c>
      <c r="G98" s="11" t="s">
        <v>17801</v>
      </c>
      <c r="H98" s="12">
        <v>44302</v>
      </c>
      <c r="I98" s="14">
        <v>0</v>
      </c>
      <c r="J98" s="15"/>
      <c r="K98" s="14">
        <v>0</v>
      </c>
      <c r="L98" s="15"/>
      <c r="M98" s="14">
        <v>108000</v>
      </c>
      <c r="N98" s="15" t="s">
        <v>20300</v>
      </c>
      <c r="O98" s="14">
        <v>0</v>
      </c>
      <c r="P98" s="15"/>
      <c r="Q98" s="14">
        <v>108000</v>
      </c>
    </row>
    <row r="99" spans="1:17" s="1" customFormat="1" ht="11.45">
      <c r="A99" s="9" t="s">
        <v>18436</v>
      </c>
      <c r="B99" s="10">
        <v>44282</v>
      </c>
      <c r="C99" s="11">
        <v>2021</v>
      </c>
      <c r="D99" s="11" t="s">
        <v>16560</v>
      </c>
      <c r="E99" s="11" t="s">
        <v>16561</v>
      </c>
      <c r="F99" s="11" t="s">
        <v>20155</v>
      </c>
      <c r="G99" s="11" t="s">
        <v>17801</v>
      </c>
      <c r="H99" s="12">
        <v>44303</v>
      </c>
      <c r="I99" s="14">
        <v>0</v>
      </c>
      <c r="J99" s="15"/>
      <c r="K99" s="14">
        <v>0</v>
      </c>
      <c r="L99" s="15"/>
      <c r="M99" s="14">
        <v>108000</v>
      </c>
      <c r="N99" s="15" t="s">
        <v>20300</v>
      </c>
      <c r="O99" s="14">
        <v>0</v>
      </c>
      <c r="P99" s="15"/>
      <c r="Q99" s="14">
        <v>108000</v>
      </c>
    </row>
    <row r="100" spans="1:17" s="1" customFormat="1" ht="11.45">
      <c r="A100" s="9" t="s">
        <v>18437</v>
      </c>
      <c r="B100" s="10">
        <v>44282</v>
      </c>
      <c r="C100" s="11">
        <v>2021</v>
      </c>
      <c r="D100" s="11" t="s">
        <v>16560</v>
      </c>
      <c r="E100" s="11" t="s">
        <v>16561</v>
      </c>
      <c r="F100" s="11" t="s">
        <v>20155</v>
      </c>
      <c r="G100" s="11" t="s">
        <v>17801</v>
      </c>
      <c r="H100" s="12">
        <v>44305</v>
      </c>
      <c r="I100" s="14">
        <v>0</v>
      </c>
      <c r="J100" s="15"/>
      <c r="K100" s="14">
        <v>0</v>
      </c>
      <c r="L100" s="15"/>
      <c r="M100" s="14">
        <v>108000</v>
      </c>
      <c r="N100" s="15" t="s">
        <v>20300</v>
      </c>
      <c r="O100" s="14">
        <v>0</v>
      </c>
      <c r="P100" s="15"/>
      <c r="Q100" s="14">
        <v>108000</v>
      </c>
    </row>
    <row r="101" spans="1:17" s="1" customFormat="1" ht="11.45">
      <c r="A101" s="9" t="s">
        <v>18438</v>
      </c>
      <c r="B101" s="10">
        <v>44282</v>
      </c>
      <c r="C101" s="11">
        <v>2021</v>
      </c>
      <c r="D101" s="11" t="s">
        <v>16384</v>
      </c>
      <c r="E101" s="11" t="s">
        <v>16385</v>
      </c>
      <c r="F101" s="11" t="s">
        <v>20155</v>
      </c>
      <c r="G101" s="11" t="s">
        <v>17261</v>
      </c>
      <c r="H101" s="12">
        <v>44296</v>
      </c>
      <c r="I101" s="14">
        <v>0</v>
      </c>
      <c r="J101" s="15"/>
      <c r="K101" s="14">
        <v>0</v>
      </c>
      <c r="L101" s="15"/>
      <c r="M101" s="14">
        <v>280000</v>
      </c>
      <c r="N101" s="15" t="s">
        <v>20300</v>
      </c>
      <c r="O101" s="14">
        <v>0</v>
      </c>
      <c r="P101" s="15"/>
      <c r="Q101" s="14">
        <v>280000</v>
      </c>
    </row>
    <row r="102" spans="1:17" s="1" customFormat="1" ht="11.45">
      <c r="A102" s="9" t="s">
        <v>18439</v>
      </c>
      <c r="B102" s="10">
        <v>44289</v>
      </c>
      <c r="C102" s="11">
        <v>2021</v>
      </c>
      <c r="D102" s="11" t="s">
        <v>17291</v>
      </c>
      <c r="E102" s="11" t="s">
        <v>17292</v>
      </c>
      <c r="F102" s="11" t="s">
        <v>20155</v>
      </c>
      <c r="G102" s="11" t="s">
        <v>16394</v>
      </c>
      <c r="H102" s="12">
        <v>44293</v>
      </c>
      <c r="I102" s="14">
        <v>7500</v>
      </c>
      <c r="J102" s="16">
        <v>1</v>
      </c>
      <c r="K102" s="14">
        <v>15720</v>
      </c>
      <c r="L102" s="16">
        <v>1</v>
      </c>
      <c r="M102" s="14">
        <v>0</v>
      </c>
      <c r="N102" s="16"/>
      <c r="O102" s="14">
        <v>780</v>
      </c>
      <c r="P102" s="16">
        <v>1</v>
      </c>
      <c r="Q102" s="14">
        <v>24000</v>
      </c>
    </row>
    <row r="103" spans="1:17" s="1" customFormat="1" ht="11.45">
      <c r="A103" s="9" t="s">
        <v>18441</v>
      </c>
      <c r="B103" s="10">
        <v>44284</v>
      </c>
      <c r="C103" s="11">
        <v>2021</v>
      </c>
      <c r="D103" s="11" t="s">
        <v>16957</v>
      </c>
      <c r="E103" s="11" t="s">
        <v>16958</v>
      </c>
      <c r="F103" s="11" t="s">
        <v>20155</v>
      </c>
      <c r="G103" s="11" t="s">
        <v>20161</v>
      </c>
      <c r="H103" s="12">
        <v>44289</v>
      </c>
      <c r="I103" s="14">
        <v>40000</v>
      </c>
      <c r="J103" s="16">
        <v>1</v>
      </c>
      <c r="K103" s="14">
        <v>0</v>
      </c>
      <c r="L103" s="16"/>
      <c r="M103" s="14">
        <v>0</v>
      </c>
      <c r="N103" s="16"/>
      <c r="O103" s="14">
        <v>0</v>
      </c>
      <c r="P103" s="16"/>
      <c r="Q103" s="14">
        <v>40000</v>
      </c>
    </row>
    <row r="104" spans="1:17" s="1" customFormat="1" ht="11.45">
      <c r="A104" s="9" t="s">
        <v>18442</v>
      </c>
      <c r="B104" s="10">
        <v>44284</v>
      </c>
      <c r="C104" s="11">
        <v>2021</v>
      </c>
      <c r="D104" s="11" t="s">
        <v>17017</v>
      </c>
      <c r="E104" s="11" t="s">
        <v>17018</v>
      </c>
      <c r="F104" s="11" t="s">
        <v>20155</v>
      </c>
      <c r="G104" s="11" t="s">
        <v>17238</v>
      </c>
      <c r="H104" s="12">
        <v>44291</v>
      </c>
      <c r="I104" s="14">
        <v>0</v>
      </c>
      <c r="J104" s="16"/>
      <c r="K104" s="14">
        <v>0</v>
      </c>
      <c r="L104" s="16"/>
      <c r="M104" s="14">
        <v>20157.599999999999</v>
      </c>
      <c r="N104" s="16">
        <v>1</v>
      </c>
      <c r="O104" s="14">
        <v>0</v>
      </c>
      <c r="P104" s="16"/>
      <c r="Q104" s="14">
        <v>20157.599999999999</v>
      </c>
    </row>
    <row r="105" spans="1:17" s="1" customFormat="1" ht="11.45">
      <c r="A105" s="9" t="s">
        <v>18443</v>
      </c>
      <c r="B105" s="10">
        <v>44285</v>
      </c>
      <c r="C105" s="11">
        <v>2021</v>
      </c>
      <c r="D105" s="11" t="s">
        <v>17017</v>
      </c>
      <c r="E105" s="11" t="s">
        <v>17018</v>
      </c>
      <c r="F105" s="11" t="s">
        <v>20155</v>
      </c>
      <c r="G105" s="11" t="s">
        <v>17889</v>
      </c>
      <c r="H105" s="12">
        <v>44293</v>
      </c>
      <c r="I105" s="14">
        <v>12000</v>
      </c>
      <c r="J105" s="16">
        <v>1</v>
      </c>
      <c r="K105" s="14">
        <v>7200</v>
      </c>
      <c r="L105" s="16">
        <v>1</v>
      </c>
      <c r="M105" s="14">
        <v>14400</v>
      </c>
      <c r="N105" s="16">
        <v>1</v>
      </c>
      <c r="O105" s="14">
        <v>4550</v>
      </c>
      <c r="P105" s="16">
        <v>1</v>
      </c>
      <c r="Q105" s="14">
        <v>38150</v>
      </c>
    </row>
    <row r="106" spans="1:17" s="1" customFormat="1" ht="11.45">
      <c r="A106" s="9" t="s">
        <v>18444</v>
      </c>
      <c r="B106" s="10">
        <v>44288</v>
      </c>
      <c r="C106" s="11">
        <v>2021</v>
      </c>
      <c r="D106" s="11" t="s">
        <v>16444</v>
      </c>
      <c r="E106" s="11" t="s">
        <v>16445</v>
      </c>
      <c r="F106" s="11" t="s">
        <v>20155</v>
      </c>
      <c r="G106" s="11" t="s">
        <v>18248</v>
      </c>
      <c r="H106" s="12">
        <v>44293</v>
      </c>
      <c r="I106" s="14">
        <v>22008</v>
      </c>
      <c r="J106" s="16">
        <v>1</v>
      </c>
      <c r="K106" s="14">
        <v>25200</v>
      </c>
      <c r="L106" s="15" t="s">
        <v>20296</v>
      </c>
      <c r="M106" s="14">
        <v>0</v>
      </c>
      <c r="N106" s="15"/>
      <c r="O106" s="14">
        <v>0</v>
      </c>
      <c r="P106" s="15"/>
      <c r="Q106" s="14">
        <v>47208</v>
      </c>
    </row>
    <row r="107" spans="1:17" s="4" customFormat="1" ht="11.45">
      <c r="A107" s="19" t="s">
        <v>18445</v>
      </c>
      <c r="B107" s="20">
        <v>44291</v>
      </c>
      <c r="C107" s="21">
        <v>2021</v>
      </c>
      <c r="D107" s="21" t="s">
        <v>16444</v>
      </c>
      <c r="E107" s="21" t="s">
        <v>16445</v>
      </c>
      <c r="F107" s="21" t="s">
        <v>20231</v>
      </c>
      <c r="G107" s="21" t="s">
        <v>17949</v>
      </c>
      <c r="H107" s="22">
        <v>0</v>
      </c>
      <c r="I107" s="11">
        <v>43608</v>
      </c>
      <c r="J107" s="16">
        <v>1</v>
      </c>
      <c r="K107" s="11">
        <v>0</v>
      </c>
      <c r="L107" s="23"/>
      <c r="M107" s="11">
        <v>0</v>
      </c>
      <c r="N107" s="23"/>
      <c r="O107" s="11">
        <v>0</v>
      </c>
      <c r="P107" s="23"/>
      <c r="Q107" s="11">
        <v>43608</v>
      </c>
    </row>
    <row r="108" spans="1:17" s="1" customFormat="1" ht="11.45">
      <c r="A108" s="9" t="s">
        <v>18446</v>
      </c>
      <c r="B108" s="10">
        <v>44291</v>
      </c>
      <c r="C108" s="11">
        <v>2021</v>
      </c>
      <c r="D108" s="11" t="s">
        <v>17200</v>
      </c>
      <c r="E108" s="11" t="s">
        <v>17201</v>
      </c>
      <c r="F108" s="11" t="s">
        <v>20155</v>
      </c>
      <c r="G108" s="11" t="s">
        <v>17771</v>
      </c>
      <c r="H108" s="12">
        <v>44298</v>
      </c>
      <c r="I108" s="14">
        <v>20000</v>
      </c>
      <c r="J108" s="16">
        <v>1</v>
      </c>
      <c r="K108" s="14">
        <v>0</v>
      </c>
      <c r="L108" s="15"/>
      <c r="M108" s="14">
        <v>0</v>
      </c>
      <c r="N108" s="15"/>
      <c r="O108" s="14">
        <v>0</v>
      </c>
      <c r="P108" s="15"/>
      <c r="Q108" s="14">
        <v>20000</v>
      </c>
    </row>
    <row r="109" spans="1:17" s="1" customFormat="1" ht="11.45">
      <c r="A109" s="9" t="s">
        <v>18447</v>
      </c>
      <c r="B109" s="10">
        <v>44294</v>
      </c>
      <c r="C109" s="11">
        <v>2021</v>
      </c>
      <c r="D109" s="11" t="s">
        <v>16444</v>
      </c>
      <c r="E109" s="11" t="s">
        <v>16445</v>
      </c>
      <c r="F109" s="11" t="s">
        <v>20155</v>
      </c>
      <c r="G109" s="11" t="s">
        <v>17693</v>
      </c>
      <c r="H109" s="12">
        <v>44300</v>
      </c>
      <c r="I109" s="14">
        <v>20750</v>
      </c>
      <c r="J109" s="16">
        <v>1</v>
      </c>
      <c r="K109" s="14">
        <v>0</v>
      </c>
      <c r="L109" s="15"/>
      <c r="M109" s="14">
        <v>0</v>
      </c>
      <c r="N109" s="15"/>
      <c r="O109" s="14">
        <v>0</v>
      </c>
      <c r="P109" s="15"/>
      <c r="Q109" s="14">
        <v>20750</v>
      </c>
    </row>
    <row r="110" spans="1:17" s="1" customFormat="1" ht="11.45">
      <c r="A110" s="9" t="s">
        <v>18448</v>
      </c>
      <c r="B110" s="10">
        <v>44294</v>
      </c>
      <c r="C110" s="11">
        <v>2021</v>
      </c>
      <c r="D110" s="11" t="s">
        <v>16444</v>
      </c>
      <c r="E110" s="11" t="s">
        <v>16445</v>
      </c>
      <c r="F110" s="11" t="s">
        <v>20302</v>
      </c>
      <c r="G110" s="11" t="s">
        <v>17801</v>
      </c>
      <c r="H110" s="12">
        <v>44300</v>
      </c>
      <c r="I110" s="14">
        <v>0</v>
      </c>
      <c r="J110" s="15"/>
      <c r="K110" s="14">
        <v>146800</v>
      </c>
      <c r="L110" s="15" t="s">
        <v>20300</v>
      </c>
      <c r="M110" s="14">
        <v>3000</v>
      </c>
      <c r="N110" s="15" t="s">
        <v>20300</v>
      </c>
      <c r="O110" s="14">
        <v>0</v>
      </c>
      <c r="P110" s="15"/>
      <c r="Q110" s="14">
        <v>149800</v>
      </c>
    </row>
    <row r="111" spans="1:17" s="1" customFormat="1" ht="11.45">
      <c r="A111" s="9" t="s">
        <v>18449</v>
      </c>
      <c r="B111" s="10">
        <v>44294</v>
      </c>
      <c r="C111" s="11">
        <v>2021</v>
      </c>
      <c r="D111" s="11" t="s">
        <v>16444</v>
      </c>
      <c r="E111" s="11" t="s">
        <v>16445</v>
      </c>
      <c r="F111" s="11" t="s">
        <v>20302</v>
      </c>
      <c r="G111" s="11" t="s">
        <v>17801</v>
      </c>
      <c r="H111" s="12">
        <v>44300</v>
      </c>
      <c r="I111" s="14">
        <v>0</v>
      </c>
      <c r="J111" s="15"/>
      <c r="K111" s="14">
        <v>19200</v>
      </c>
      <c r="L111" s="15" t="s">
        <v>20300</v>
      </c>
      <c r="M111" s="14">
        <v>0</v>
      </c>
      <c r="N111" s="15"/>
      <c r="O111" s="14">
        <v>0</v>
      </c>
      <c r="P111" s="15"/>
      <c r="Q111" s="14">
        <v>19200</v>
      </c>
    </row>
    <row r="112" spans="1:17" s="1" customFormat="1" ht="11.45">
      <c r="A112" s="9" t="s">
        <v>18450</v>
      </c>
      <c r="B112" s="10">
        <v>44299</v>
      </c>
      <c r="C112" s="11">
        <v>2021</v>
      </c>
      <c r="D112" s="11" t="s">
        <v>17017</v>
      </c>
      <c r="E112" s="11" t="s">
        <v>17018</v>
      </c>
      <c r="F112" s="11" t="s">
        <v>20155</v>
      </c>
      <c r="G112" s="11" t="s">
        <v>20308</v>
      </c>
      <c r="H112" s="12">
        <v>44301</v>
      </c>
      <c r="I112" s="14">
        <v>0</v>
      </c>
      <c r="J112" s="16"/>
      <c r="K112" s="14">
        <v>1848</v>
      </c>
      <c r="L112" s="16">
        <v>1</v>
      </c>
      <c r="M112" s="14">
        <v>0</v>
      </c>
      <c r="N112" s="16"/>
      <c r="O112" s="14">
        <v>2960</v>
      </c>
      <c r="P112" s="16">
        <v>1</v>
      </c>
      <c r="Q112" s="14">
        <v>4808</v>
      </c>
    </row>
    <row r="113" spans="1:17" s="1" customFormat="1" ht="11.45">
      <c r="A113" s="9" t="s">
        <v>18451</v>
      </c>
      <c r="B113" s="10">
        <v>44301</v>
      </c>
      <c r="C113" s="11">
        <v>2021</v>
      </c>
      <c r="D113" s="11" t="s">
        <v>16838</v>
      </c>
      <c r="E113" s="11" t="s">
        <v>16839</v>
      </c>
      <c r="F113" s="11" t="s">
        <v>20155</v>
      </c>
      <c r="G113" s="11" t="s">
        <v>17771</v>
      </c>
      <c r="H113" s="12">
        <v>44314</v>
      </c>
      <c r="I113" s="14">
        <v>0</v>
      </c>
      <c r="J113" s="16"/>
      <c r="K113" s="14">
        <v>18240</v>
      </c>
      <c r="L113" s="16">
        <v>1</v>
      </c>
      <c r="M113" s="14">
        <v>56000</v>
      </c>
      <c r="N113" s="15" t="s">
        <v>20296</v>
      </c>
      <c r="O113" s="14">
        <v>1000</v>
      </c>
      <c r="P113" s="16">
        <v>1</v>
      </c>
      <c r="Q113" s="14">
        <v>75240</v>
      </c>
    </row>
    <row r="114" spans="1:17" s="1" customFormat="1" ht="11.45">
      <c r="A114" s="9" t="s">
        <v>18452</v>
      </c>
      <c r="B114" s="10">
        <v>44303</v>
      </c>
      <c r="C114" s="11">
        <v>2021</v>
      </c>
      <c r="D114" s="11" t="s">
        <v>17209</v>
      </c>
      <c r="E114" s="11" t="s">
        <v>17210</v>
      </c>
      <c r="F114" s="11" t="s">
        <v>20155</v>
      </c>
      <c r="G114" s="11" t="s">
        <v>20168</v>
      </c>
      <c r="H114" s="12">
        <v>44312</v>
      </c>
      <c r="I114" s="14">
        <v>0</v>
      </c>
      <c r="J114" s="16"/>
      <c r="K114" s="14">
        <v>17760</v>
      </c>
      <c r="L114" s="16">
        <v>1</v>
      </c>
      <c r="M114" s="14">
        <v>5760</v>
      </c>
      <c r="N114" s="16">
        <v>1</v>
      </c>
      <c r="O114" s="14">
        <v>600</v>
      </c>
      <c r="P114" s="16">
        <v>1</v>
      </c>
      <c r="Q114" s="14">
        <v>24120</v>
      </c>
    </row>
    <row r="115" spans="1:17" s="1" customFormat="1" ht="11.45">
      <c r="A115" s="9" t="s">
        <v>18453</v>
      </c>
      <c r="B115" s="10">
        <v>44303</v>
      </c>
      <c r="C115" s="11">
        <v>2021</v>
      </c>
      <c r="D115" s="11" t="s">
        <v>16470</v>
      </c>
      <c r="E115" s="11" t="s">
        <v>16471</v>
      </c>
      <c r="F115" s="11" t="s">
        <v>20155</v>
      </c>
      <c r="G115" s="11" t="s">
        <v>20159</v>
      </c>
      <c r="H115" s="12">
        <v>44313</v>
      </c>
      <c r="I115" s="14">
        <v>0</v>
      </c>
      <c r="J115" s="16"/>
      <c r="K115" s="14">
        <v>0</v>
      </c>
      <c r="L115" s="15"/>
      <c r="M115" s="14">
        <v>104000</v>
      </c>
      <c r="N115" s="15" t="s">
        <v>20296</v>
      </c>
      <c r="O115" s="14">
        <v>0</v>
      </c>
      <c r="P115" s="15"/>
      <c r="Q115" s="14">
        <v>104000</v>
      </c>
    </row>
    <row r="116" spans="1:17" s="1" customFormat="1" ht="11.45">
      <c r="A116" s="9" t="s">
        <v>18454</v>
      </c>
      <c r="B116" s="10">
        <v>44303</v>
      </c>
      <c r="C116" s="11">
        <v>2021</v>
      </c>
      <c r="D116" s="11" t="s">
        <v>16470</v>
      </c>
      <c r="E116" s="11" t="s">
        <v>16471</v>
      </c>
      <c r="F116" s="11" t="s">
        <v>20155</v>
      </c>
      <c r="G116" s="11" t="s">
        <v>20159</v>
      </c>
      <c r="H116" s="12">
        <v>44314</v>
      </c>
      <c r="I116" s="14">
        <v>37248</v>
      </c>
      <c r="J116" s="16">
        <v>1</v>
      </c>
      <c r="K116" s="14">
        <v>186688</v>
      </c>
      <c r="L116" s="15" t="s">
        <v>20296</v>
      </c>
      <c r="M116" s="14">
        <v>0</v>
      </c>
      <c r="N116" s="15"/>
      <c r="O116" s="14">
        <v>0</v>
      </c>
      <c r="P116" s="15"/>
      <c r="Q116" s="14">
        <v>223936</v>
      </c>
    </row>
    <row r="117" spans="1:17" s="1" customFormat="1" ht="11.45">
      <c r="A117" s="9" t="s">
        <v>18455</v>
      </c>
      <c r="B117" s="10">
        <v>44303</v>
      </c>
      <c r="C117" s="11">
        <v>2021</v>
      </c>
      <c r="D117" s="11" t="s">
        <v>16904</v>
      </c>
      <c r="E117" s="11" t="s">
        <v>16905</v>
      </c>
      <c r="F117" s="11" t="s">
        <v>20155</v>
      </c>
      <c r="G117" s="11" t="s">
        <v>20160</v>
      </c>
      <c r="H117" s="12">
        <v>44312</v>
      </c>
      <c r="I117" s="14">
        <v>0</v>
      </c>
      <c r="J117" s="15"/>
      <c r="K117" s="14">
        <v>16764</v>
      </c>
      <c r="L117" s="16">
        <v>1</v>
      </c>
      <c r="M117" s="14">
        <v>10572</v>
      </c>
      <c r="N117" s="16">
        <v>1</v>
      </c>
      <c r="O117" s="14">
        <v>0</v>
      </c>
      <c r="P117" s="15"/>
      <c r="Q117" s="14">
        <v>27336</v>
      </c>
    </row>
    <row r="118" spans="1:17" s="1" customFormat="1" ht="11.45">
      <c r="A118" s="9" t="s">
        <v>18456</v>
      </c>
      <c r="B118" s="10">
        <v>44303</v>
      </c>
      <c r="C118" s="11">
        <v>2021</v>
      </c>
      <c r="D118" s="11" t="s">
        <v>16957</v>
      </c>
      <c r="E118" s="11" t="s">
        <v>16958</v>
      </c>
      <c r="F118" s="11" t="s">
        <v>20155</v>
      </c>
      <c r="G118" s="11" t="s">
        <v>20161</v>
      </c>
      <c r="H118" s="12">
        <v>44303</v>
      </c>
      <c r="I118" s="14">
        <v>0</v>
      </c>
      <c r="J118" s="16"/>
      <c r="K118" s="14">
        <v>0</v>
      </c>
      <c r="L118" s="16"/>
      <c r="M118" s="14">
        <v>0</v>
      </c>
      <c r="N118" s="16"/>
      <c r="O118" s="14">
        <v>20000</v>
      </c>
      <c r="P118" s="16">
        <v>1</v>
      </c>
      <c r="Q118" s="14">
        <v>20000</v>
      </c>
    </row>
    <row r="119" spans="1:17" s="1" customFormat="1" ht="11.45">
      <c r="A119" s="9" t="s">
        <v>18457</v>
      </c>
      <c r="B119" s="10">
        <v>44303</v>
      </c>
      <c r="C119" s="11">
        <v>2021</v>
      </c>
      <c r="D119" s="11" t="s">
        <v>16779</v>
      </c>
      <c r="E119" s="11" t="s">
        <v>16780</v>
      </c>
      <c r="F119" s="11" t="s">
        <v>20155</v>
      </c>
      <c r="G119" s="11" t="s">
        <v>16394</v>
      </c>
      <c r="H119" s="12">
        <v>44323</v>
      </c>
      <c r="I119" s="14">
        <v>0</v>
      </c>
      <c r="J119" s="16"/>
      <c r="K119" s="14">
        <v>19936</v>
      </c>
      <c r="L119" s="16">
        <v>1</v>
      </c>
      <c r="M119" s="14">
        <v>3000</v>
      </c>
      <c r="N119" s="16">
        <v>1</v>
      </c>
      <c r="O119" s="14">
        <v>1920</v>
      </c>
      <c r="P119" s="16">
        <v>1</v>
      </c>
      <c r="Q119" s="14">
        <v>24856</v>
      </c>
    </row>
    <row r="120" spans="1:17" s="1" customFormat="1" ht="11.45">
      <c r="A120" s="9" t="s">
        <v>18458</v>
      </c>
      <c r="B120" s="10">
        <v>44303</v>
      </c>
      <c r="C120" s="11">
        <v>2021</v>
      </c>
      <c r="D120" s="11" t="s">
        <v>16838</v>
      </c>
      <c r="E120" s="11" t="s">
        <v>16839</v>
      </c>
      <c r="F120" s="11" t="s">
        <v>20155</v>
      </c>
      <c r="G120" s="11" t="s">
        <v>17949</v>
      </c>
      <c r="H120" s="12">
        <v>44309</v>
      </c>
      <c r="I120" s="14">
        <v>85208</v>
      </c>
      <c r="J120" s="16">
        <v>1</v>
      </c>
      <c r="K120" s="14">
        <v>19080</v>
      </c>
      <c r="L120" s="15" t="s">
        <v>20296</v>
      </c>
      <c r="M120" s="14">
        <v>7920</v>
      </c>
      <c r="N120" s="15" t="s">
        <v>20296</v>
      </c>
      <c r="O120" s="14">
        <v>0</v>
      </c>
      <c r="P120" s="15"/>
      <c r="Q120" s="14">
        <v>112208</v>
      </c>
    </row>
    <row r="121" spans="1:17" s="1" customFormat="1" ht="11.45">
      <c r="A121" s="9" t="s">
        <v>18459</v>
      </c>
      <c r="B121" s="10">
        <v>44303</v>
      </c>
      <c r="C121" s="11">
        <v>2021</v>
      </c>
      <c r="D121" s="11" t="s">
        <v>16384</v>
      </c>
      <c r="E121" s="11" t="s">
        <v>16385</v>
      </c>
      <c r="F121" s="11" t="s">
        <v>20155</v>
      </c>
      <c r="G121" s="11" t="s">
        <v>18094</v>
      </c>
      <c r="H121" s="12">
        <v>44310</v>
      </c>
      <c r="I121" s="14">
        <v>16800</v>
      </c>
      <c r="J121" s="16">
        <v>1</v>
      </c>
      <c r="K121" s="14">
        <v>31800</v>
      </c>
      <c r="L121" s="15" t="s">
        <v>20305</v>
      </c>
      <c r="M121" s="14">
        <v>0</v>
      </c>
      <c r="N121" s="15"/>
      <c r="O121" s="14">
        <v>0</v>
      </c>
      <c r="P121" s="15"/>
      <c r="Q121" s="14">
        <v>48600</v>
      </c>
    </row>
    <row r="122" spans="1:17" s="1" customFormat="1" ht="11.45">
      <c r="A122" s="9" t="s">
        <v>18460</v>
      </c>
      <c r="B122" s="10">
        <v>44303</v>
      </c>
      <c r="C122" s="11">
        <v>2021</v>
      </c>
      <c r="D122" s="11" t="s">
        <v>16444</v>
      </c>
      <c r="E122" s="11" t="s">
        <v>16445</v>
      </c>
      <c r="F122" s="11" t="s">
        <v>20155</v>
      </c>
      <c r="G122" s="11" t="s">
        <v>18248</v>
      </c>
      <c r="H122" s="12">
        <v>44308</v>
      </c>
      <c r="I122" s="14">
        <v>28800</v>
      </c>
      <c r="J122" s="16">
        <v>1</v>
      </c>
      <c r="K122" s="14">
        <v>50400</v>
      </c>
      <c r="L122" s="15" t="s">
        <v>20296</v>
      </c>
      <c r="M122" s="14">
        <v>3600</v>
      </c>
      <c r="N122" s="15" t="s">
        <v>20296</v>
      </c>
      <c r="O122" s="14">
        <v>0</v>
      </c>
      <c r="P122" s="15"/>
      <c r="Q122" s="14">
        <v>82800</v>
      </c>
    </row>
    <row r="123" spans="1:17" s="1" customFormat="1" ht="11.45">
      <c r="A123" s="9" t="s">
        <v>18461</v>
      </c>
      <c r="B123" s="10">
        <v>44303</v>
      </c>
      <c r="C123" s="11">
        <v>2021</v>
      </c>
      <c r="D123" s="11" t="s">
        <v>16972</v>
      </c>
      <c r="E123" s="11" t="s">
        <v>16973</v>
      </c>
      <c r="F123" s="11" t="s">
        <v>20155</v>
      </c>
      <c r="G123" s="11" t="s">
        <v>17801</v>
      </c>
      <c r="H123" s="12">
        <v>44327</v>
      </c>
      <c r="I123" s="14">
        <v>0</v>
      </c>
      <c r="J123" s="15"/>
      <c r="K123" s="14">
        <v>0</v>
      </c>
      <c r="L123" s="15"/>
      <c r="M123" s="14">
        <v>280000</v>
      </c>
      <c r="N123" s="15" t="s">
        <v>20300</v>
      </c>
      <c r="O123" s="14">
        <v>0</v>
      </c>
      <c r="P123" s="15"/>
      <c r="Q123" s="14">
        <v>280000</v>
      </c>
    </row>
    <row r="124" spans="1:17" s="1" customFormat="1" ht="11.45">
      <c r="A124" s="9" t="s">
        <v>18462</v>
      </c>
      <c r="B124" s="10">
        <v>44303</v>
      </c>
      <c r="C124" s="11">
        <v>2021</v>
      </c>
      <c r="D124" s="11" t="s">
        <v>17293</v>
      </c>
      <c r="E124" s="11" t="s">
        <v>17294</v>
      </c>
      <c r="F124" s="11" t="s">
        <v>20155</v>
      </c>
      <c r="G124" s="11" t="s">
        <v>16394</v>
      </c>
      <c r="H124" s="12">
        <v>44312</v>
      </c>
      <c r="I124" s="14">
        <v>450</v>
      </c>
      <c r="J124" s="16">
        <v>1</v>
      </c>
      <c r="K124" s="14">
        <v>8448</v>
      </c>
      <c r="L124" s="16">
        <v>1</v>
      </c>
      <c r="M124" s="14">
        <v>360</v>
      </c>
      <c r="N124" s="16">
        <v>1</v>
      </c>
      <c r="O124" s="14">
        <v>1500</v>
      </c>
      <c r="P124" s="16">
        <v>1</v>
      </c>
      <c r="Q124" s="14">
        <v>10758</v>
      </c>
    </row>
    <row r="125" spans="1:17" s="1" customFormat="1" ht="11.45">
      <c r="A125" s="9" t="s">
        <v>18463</v>
      </c>
      <c r="B125" s="10">
        <v>44303</v>
      </c>
      <c r="C125" s="11">
        <v>2021</v>
      </c>
      <c r="D125" s="11" t="s">
        <v>17017</v>
      </c>
      <c r="E125" s="11" t="s">
        <v>17018</v>
      </c>
      <c r="F125" s="11" t="s">
        <v>20155</v>
      </c>
      <c r="G125" s="11" t="s">
        <v>20304</v>
      </c>
      <c r="H125" s="12">
        <v>44309</v>
      </c>
      <c r="I125" s="14">
        <v>0</v>
      </c>
      <c r="J125" s="16"/>
      <c r="K125" s="14">
        <v>4240</v>
      </c>
      <c r="L125" s="16">
        <v>1</v>
      </c>
      <c r="M125" s="14">
        <v>0</v>
      </c>
      <c r="N125" s="16"/>
      <c r="O125" s="14">
        <v>1720</v>
      </c>
      <c r="P125" s="16">
        <v>1</v>
      </c>
      <c r="Q125" s="14">
        <v>5960</v>
      </c>
    </row>
    <row r="126" spans="1:17" s="1" customFormat="1" ht="11.45">
      <c r="A126" s="9" t="s">
        <v>18464</v>
      </c>
      <c r="B126" s="10">
        <v>44306</v>
      </c>
      <c r="C126" s="11">
        <v>2021</v>
      </c>
      <c r="D126" s="11" t="s">
        <v>16444</v>
      </c>
      <c r="E126" s="11" t="s">
        <v>16445</v>
      </c>
      <c r="F126" s="11" t="s">
        <v>20155</v>
      </c>
      <c r="G126" s="11" t="s">
        <v>17693</v>
      </c>
      <c r="H126" s="12">
        <v>44319</v>
      </c>
      <c r="I126" s="14">
        <v>44010</v>
      </c>
      <c r="J126" s="16">
        <v>1</v>
      </c>
      <c r="K126" s="14">
        <v>0</v>
      </c>
      <c r="L126" s="15"/>
      <c r="M126" s="14">
        <v>0</v>
      </c>
      <c r="N126" s="15"/>
      <c r="O126" s="14">
        <v>0</v>
      </c>
      <c r="P126" s="15"/>
      <c r="Q126" s="14">
        <v>44010</v>
      </c>
    </row>
    <row r="127" spans="1:17" s="1" customFormat="1" ht="11.45">
      <c r="A127" s="9" t="s">
        <v>18465</v>
      </c>
      <c r="B127" s="10">
        <v>44306</v>
      </c>
      <c r="C127" s="11">
        <v>2021</v>
      </c>
      <c r="D127" s="11" t="s">
        <v>17017</v>
      </c>
      <c r="E127" s="11" t="s">
        <v>17018</v>
      </c>
      <c r="F127" s="11" t="s">
        <v>20155</v>
      </c>
      <c r="G127" s="11" t="s">
        <v>20158</v>
      </c>
      <c r="H127" s="12">
        <v>44315</v>
      </c>
      <c r="I127" s="14">
        <v>0</v>
      </c>
      <c r="J127" s="16"/>
      <c r="K127" s="14">
        <v>0</v>
      </c>
      <c r="L127" s="16"/>
      <c r="M127" s="14">
        <v>33600</v>
      </c>
      <c r="N127" s="16">
        <v>1</v>
      </c>
      <c r="O127" s="14">
        <v>0</v>
      </c>
      <c r="P127" s="16"/>
      <c r="Q127" s="14">
        <v>33600</v>
      </c>
    </row>
    <row r="128" spans="1:17" s="1" customFormat="1" ht="11.45">
      <c r="A128" s="9" t="s">
        <v>18466</v>
      </c>
      <c r="B128" s="10">
        <v>44313</v>
      </c>
      <c r="C128" s="11">
        <v>2021</v>
      </c>
      <c r="D128" s="11" t="s">
        <v>16444</v>
      </c>
      <c r="E128" s="11" t="s">
        <v>16445</v>
      </c>
      <c r="F128" s="11" t="s">
        <v>20155</v>
      </c>
      <c r="G128" s="11" t="s">
        <v>17798</v>
      </c>
      <c r="H128" s="12">
        <v>44335</v>
      </c>
      <c r="I128" s="14">
        <v>76800</v>
      </c>
      <c r="J128" s="16">
        <v>1</v>
      </c>
      <c r="K128" s="14">
        <v>0</v>
      </c>
      <c r="L128" s="15"/>
      <c r="M128" s="14">
        <v>0</v>
      </c>
      <c r="N128" s="15"/>
      <c r="O128" s="14">
        <v>0</v>
      </c>
      <c r="P128" s="15"/>
      <c r="Q128" s="14">
        <v>76800</v>
      </c>
    </row>
    <row r="129" spans="1:17" s="1" customFormat="1" ht="11.45">
      <c r="A129" s="11" t="s">
        <v>18467</v>
      </c>
      <c r="B129" s="12">
        <v>44316</v>
      </c>
      <c r="C129" s="11">
        <v>2021</v>
      </c>
      <c r="D129" s="11" t="s">
        <v>17274</v>
      </c>
      <c r="E129" s="11" t="s">
        <v>17275</v>
      </c>
      <c r="F129" s="11" t="s">
        <v>20155</v>
      </c>
      <c r="G129" s="11" t="s">
        <v>16394</v>
      </c>
      <c r="H129" s="12">
        <v>44322</v>
      </c>
      <c r="I129" s="11">
        <v>0</v>
      </c>
      <c r="J129" s="23"/>
      <c r="K129" s="11">
        <v>14928</v>
      </c>
      <c r="L129" s="16">
        <v>1</v>
      </c>
      <c r="M129" s="11">
        <v>10500</v>
      </c>
      <c r="N129" s="16">
        <v>1</v>
      </c>
      <c r="O129" s="11">
        <v>304</v>
      </c>
      <c r="P129" s="16">
        <v>1</v>
      </c>
      <c r="Q129" s="11">
        <v>25732</v>
      </c>
    </row>
    <row r="130" spans="1:17" s="1" customFormat="1" ht="11.45">
      <c r="A130" s="11" t="s">
        <v>18468</v>
      </c>
      <c r="B130" s="12">
        <v>44320</v>
      </c>
      <c r="C130" s="11">
        <v>2021</v>
      </c>
      <c r="D130" s="11" t="s">
        <v>17226</v>
      </c>
      <c r="E130" s="11" t="s">
        <v>17227</v>
      </c>
      <c r="F130" s="11" t="s">
        <v>20155</v>
      </c>
      <c r="G130" s="11" t="s">
        <v>17689</v>
      </c>
      <c r="H130" s="12">
        <v>44337</v>
      </c>
      <c r="I130" s="11">
        <v>11040</v>
      </c>
      <c r="J130" s="16">
        <v>1</v>
      </c>
      <c r="K130" s="11">
        <v>8200</v>
      </c>
      <c r="L130" s="16">
        <v>1</v>
      </c>
      <c r="M130" s="11">
        <v>0</v>
      </c>
      <c r="N130" s="23"/>
      <c r="O130" s="11">
        <v>1100</v>
      </c>
      <c r="P130" s="16">
        <v>1</v>
      </c>
      <c r="Q130" s="11">
        <v>20340</v>
      </c>
    </row>
    <row r="131" spans="1:17" s="1" customFormat="1" ht="11.45">
      <c r="A131" s="11" t="s">
        <v>18469</v>
      </c>
      <c r="B131" s="12">
        <v>44320</v>
      </c>
      <c r="C131" s="11">
        <v>2021</v>
      </c>
      <c r="D131" s="11" t="s">
        <v>16444</v>
      </c>
      <c r="E131" s="11" t="s">
        <v>16445</v>
      </c>
      <c r="F131" s="11" t="s">
        <v>20155</v>
      </c>
      <c r="G131" s="11" t="s">
        <v>17801</v>
      </c>
      <c r="H131" s="12">
        <v>44326</v>
      </c>
      <c r="I131" s="11">
        <v>0</v>
      </c>
      <c r="J131" s="23"/>
      <c r="K131" s="11">
        <v>199400</v>
      </c>
      <c r="L131" s="15" t="s">
        <v>20300</v>
      </c>
      <c r="M131" s="11">
        <v>0</v>
      </c>
      <c r="N131" s="23"/>
      <c r="O131" s="11">
        <v>0</v>
      </c>
      <c r="P131" s="23"/>
      <c r="Q131" s="11">
        <v>199400</v>
      </c>
    </row>
    <row r="132" spans="1:17" s="1" customFormat="1" ht="11.45">
      <c r="A132" s="11" t="s">
        <v>18470</v>
      </c>
      <c r="B132" s="12">
        <v>44321</v>
      </c>
      <c r="C132" s="11">
        <v>2021</v>
      </c>
      <c r="D132" s="11" t="s">
        <v>17291</v>
      </c>
      <c r="E132" s="11" t="s">
        <v>17292</v>
      </c>
      <c r="F132" s="11" t="s">
        <v>20155</v>
      </c>
      <c r="G132" s="11" t="s">
        <v>16394</v>
      </c>
      <c r="H132" s="12">
        <v>44342</v>
      </c>
      <c r="I132" s="11">
        <v>0</v>
      </c>
      <c r="J132" s="23"/>
      <c r="K132" s="11">
        <v>10384</v>
      </c>
      <c r="L132" s="16">
        <v>1</v>
      </c>
      <c r="M132" s="11">
        <v>10500</v>
      </c>
      <c r="N132" s="16">
        <v>1</v>
      </c>
      <c r="O132" s="11">
        <v>4300</v>
      </c>
      <c r="P132" s="16">
        <v>1</v>
      </c>
      <c r="Q132" s="11">
        <v>25184</v>
      </c>
    </row>
    <row r="133" spans="1:17" s="1" customFormat="1" ht="11.45">
      <c r="A133" s="11" t="s">
        <v>18471</v>
      </c>
      <c r="B133" s="12">
        <v>44321</v>
      </c>
      <c r="C133" s="11">
        <v>2021</v>
      </c>
      <c r="D133" s="11" t="s">
        <v>16754</v>
      </c>
      <c r="E133" s="11" t="s">
        <v>16755</v>
      </c>
      <c r="F133" s="11" t="s">
        <v>20155</v>
      </c>
      <c r="G133" s="11" t="s">
        <v>20312</v>
      </c>
      <c r="H133" s="12">
        <v>44363</v>
      </c>
      <c r="I133" s="11">
        <v>0</v>
      </c>
      <c r="J133" s="23"/>
      <c r="K133" s="11">
        <v>0</v>
      </c>
      <c r="L133" s="23"/>
      <c r="M133" s="11">
        <v>130000</v>
      </c>
      <c r="N133" s="15" t="s">
        <v>20296</v>
      </c>
      <c r="O133" s="11">
        <v>0</v>
      </c>
      <c r="P133" s="23"/>
      <c r="Q133" s="11">
        <v>130000</v>
      </c>
    </row>
    <row r="134" spans="1:17" s="1" customFormat="1" ht="11.45">
      <c r="A134" s="11" t="s">
        <v>18472</v>
      </c>
      <c r="B134" s="12">
        <v>44321</v>
      </c>
      <c r="C134" s="11">
        <v>2021</v>
      </c>
      <c r="D134" s="11" t="s">
        <v>17017</v>
      </c>
      <c r="E134" s="11" t="s">
        <v>17018</v>
      </c>
      <c r="F134" s="11" t="s">
        <v>20155</v>
      </c>
      <c r="G134" s="11" t="s">
        <v>18064</v>
      </c>
      <c r="H134" s="12">
        <v>44334</v>
      </c>
      <c r="I134" s="11">
        <v>0</v>
      </c>
      <c r="J134" s="23"/>
      <c r="K134" s="11">
        <v>20000</v>
      </c>
      <c r="L134" s="16">
        <v>1</v>
      </c>
      <c r="M134" s="11">
        <v>0</v>
      </c>
      <c r="N134" s="23"/>
      <c r="O134" s="11">
        <v>0</v>
      </c>
      <c r="P134" s="23"/>
      <c r="Q134" s="11">
        <v>20000</v>
      </c>
    </row>
    <row r="135" spans="1:17" s="1" customFormat="1" ht="11.45">
      <c r="A135" s="11" t="s">
        <v>18473</v>
      </c>
      <c r="B135" s="12">
        <v>44321</v>
      </c>
      <c r="C135" s="11">
        <v>2021</v>
      </c>
      <c r="D135" s="11" t="s">
        <v>16823</v>
      </c>
      <c r="E135" s="11" t="s">
        <v>16824</v>
      </c>
      <c r="F135" s="11" t="s">
        <v>20155</v>
      </c>
      <c r="G135" s="11" t="s">
        <v>17965</v>
      </c>
      <c r="H135" s="12">
        <v>44343</v>
      </c>
      <c r="I135" s="11">
        <v>31608</v>
      </c>
      <c r="J135" s="16">
        <v>1</v>
      </c>
      <c r="K135" s="11">
        <v>34378</v>
      </c>
      <c r="L135" s="15" t="s">
        <v>20296</v>
      </c>
      <c r="M135" s="11">
        <v>0</v>
      </c>
      <c r="N135" s="23"/>
      <c r="O135" s="11">
        <v>0</v>
      </c>
      <c r="P135" s="23"/>
      <c r="Q135" s="11">
        <v>65986</v>
      </c>
    </row>
    <row r="136" spans="1:17" s="1" customFormat="1" ht="11.45">
      <c r="A136" s="11" t="s">
        <v>18474</v>
      </c>
      <c r="B136" s="12">
        <v>44321</v>
      </c>
      <c r="C136" s="11">
        <v>2021</v>
      </c>
      <c r="D136" s="11" t="s">
        <v>16904</v>
      </c>
      <c r="E136" s="11" t="s">
        <v>16905</v>
      </c>
      <c r="F136" s="11" t="s">
        <v>20155</v>
      </c>
      <c r="G136" s="11" t="s">
        <v>20160</v>
      </c>
      <c r="H136" s="12">
        <v>44336</v>
      </c>
      <c r="I136" s="11">
        <v>0</v>
      </c>
      <c r="J136" s="23"/>
      <c r="K136" s="11">
        <v>18120</v>
      </c>
      <c r="L136" s="16">
        <v>1</v>
      </c>
      <c r="M136" s="11">
        <v>9216</v>
      </c>
      <c r="N136" s="16">
        <v>1</v>
      </c>
      <c r="O136" s="11">
        <v>0</v>
      </c>
      <c r="P136" s="23"/>
      <c r="Q136" s="11">
        <v>27336</v>
      </c>
    </row>
    <row r="137" spans="1:17" s="1" customFormat="1" ht="11.45">
      <c r="A137" s="11" t="s">
        <v>18475</v>
      </c>
      <c r="B137" s="12">
        <v>44321</v>
      </c>
      <c r="C137" s="11">
        <v>2021</v>
      </c>
      <c r="D137" s="11" t="s">
        <v>16643</v>
      </c>
      <c r="E137" s="11" t="s">
        <v>16644</v>
      </c>
      <c r="F137" s="11" t="s">
        <v>20155</v>
      </c>
      <c r="G137" s="11" t="s">
        <v>20159</v>
      </c>
      <c r="H137" s="12">
        <v>44343</v>
      </c>
      <c r="I137" s="11">
        <v>0</v>
      </c>
      <c r="J137" s="23"/>
      <c r="K137" s="11">
        <v>22008</v>
      </c>
      <c r="L137" s="15" t="s">
        <v>20296</v>
      </c>
      <c r="M137" s="11">
        <v>0</v>
      </c>
      <c r="N137" s="23"/>
      <c r="O137" s="11">
        <v>0</v>
      </c>
      <c r="P137" s="23"/>
      <c r="Q137" s="11">
        <v>22008</v>
      </c>
    </row>
    <row r="138" spans="1:17" s="1" customFormat="1" ht="11.45">
      <c r="A138" s="11" t="s">
        <v>18476</v>
      </c>
      <c r="B138" s="12">
        <v>44321</v>
      </c>
      <c r="C138" s="11">
        <v>2021</v>
      </c>
      <c r="D138" s="11" t="s">
        <v>16838</v>
      </c>
      <c r="E138" s="11" t="s">
        <v>16839</v>
      </c>
      <c r="F138" s="11" t="s">
        <v>20155</v>
      </c>
      <c r="G138" s="11" t="s">
        <v>17771</v>
      </c>
      <c r="H138" s="12">
        <v>44343</v>
      </c>
      <c r="I138" s="11">
        <v>0</v>
      </c>
      <c r="J138" s="23"/>
      <c r="K138" s="11">
        <v>0</v>
      </c>
      <c r="L138" s="23"/>
      <c r="M138" s="11">
        <v>28000</v>
      </c>
      <c r="N138" s="15" t="s">
        <v>20296</v>
      </c>
      <c r="O138" s="11">
        <v>0</v>
      </c>
      <c r="P138" s="23"/>
      <c r="Q138" s="11">
        <v>28000</v>
      </c>
    </row>
    <row r="139" spans="1:17" s="1" customFormat="1" ht="11.45">
      <c r="A139" s="11" t="s">
        <v>18477</v>
      </c>
      <c r="B139" s="12">
        <v>44321</v>
      </c>
      <c r="C139" s="11">
        <v>2021</v>
      </c>
      <c r="D139" s="11" t="s">
        <v>16838</v>
      </c>
      <c r="E139" s="11" t="s">
        <v>16839</v>
      </c>
      <c r="F139" s="11" t="s">
        <v>20155</v>
      </c>
      <c r="G139" s="11" t="s">
        <v>17798</v>
      </c>
      <c r="H139" s="12">
        <v>44334</v>
      </c>
      <c r="I139" s="11">
        <v>0</v>
      </c>
      <c r="J139" s="23"/>
      <c r="K139" s="11">
        <v>110040</v>
      </c>
      <c r="L139" s="15" t="s">
        <v>20300</v>
      </c>
      <c r="M139" s="11">
        <v>0</v>
      </c>
      <c r="N139" s="23"/>
      <c r="O139" s="11">
        <v>0</v>
      </c>
      <c r="P139" s="23"/>
      <c r="Q139" s="11">
        <v>110040</v>
      </c>
    </row>
    <row r="140" spans="1:17" s="1" customFormat="1" ht="11.45">
      <c r="A140" s="11" t="s">
        <v>18478</v>
      </c>
      <c r="B140" s="12">
        <v>44333</v>
      </c>
      <c r="C140" s="11">
        <v>2021</v>
      </c>
      <c r="D140" s="11" t="s">
        <v>16880</v>
      </c>
      <c r="E140" s="11" t="s">
        <v>16881</v>
      </c>
      <c r="F140" s="11" t="s">
        <v>20155</v>
      </c>
      <c r="G140" s="11" t="s">
        <v>20156</v>
      </c>
      <c r="H140" s="12">
        <v>44341</v>
      </c>
      <c r="I140" s="11">
        <v>0</v>
      </c>
      <c r="J140" s="23"/>
      <c r="K140" s="11">
        <v>21000</v>
      </c>
      <c r="L140" s="16">
        <v>1</v>
      </c>
      <c r="M140" s="11">
        <v>0</v>
      </c>
      <c r="N140" s="23"/>
      <c r="O140" s="11">
        <v>0</v>
      </c>
      <c r="P140" s="23"/>
      <c r="Q140" s="11">
        <v>21000</v>
      </c>
    </row>
    <row r="141" spans="1:17" s="1" customFormat="1" ht="11.45">
      <c r="A141" s="11" t="s">
        <v>18479</v>
      </c>
      <c r="B141" s="12">
        <v>44333</v>
      </c>
      <c r="C141" s="11">
        <v>2021</v>
      </c>
      <c r="D141" s="11" t="s">
        <v>16957</v>
      </c>
      <c r="E141" s="11" t="s">
        <v>16958</v>
      </c>
      <c r="F141" s="11" t="s">
        <v>20155</v>
      </c>
      <c r="G141" s="11" t="s">
        <v>20161</v>
      </c>
      <c r="H141" s="12">
        <v>44343</v>
      </c>
      <c r="I141" s="11">
        <v>40000</v>
      </c>
      <c r="J141" s="16">
        <v>1</v>
      </c>
      <c r="K141" s="11">
        <v>0</v>
      </c>
      <c r="L141" s="23"/>
      <c r="M141" s="11">
        <v>0</v>
      </c>
      <c r="N141" s="23"/>
      <c r="O141" s="11">
        <v>0</v>
      </c>
      <c r="P141" s="23"/>
      <c r="Q141" s="11">
        <v>40000</v>
      </c>
    </row>
    <row r="142" spans="1:17" s="1" customFormat="1" ht="11.45">
      <c r="A142" s="11" t="s">
        <v>18480</v>
      </c>
      <c r="B142" s="12">
        <v>44333</v>
      </c>
      <c r="C142" s="11">
        <v>2021</v>
      </c>
      <c r="D142" s="11" t="s">
        <v>16384</v>
      </c>
      <c r="E142" s="11" t="s">
        <v>16385</v>
      </c>
      <c r="F142" s="11" t="s">
        <v>20155</v>
      </c>
      <c r="G142" s="11" t="s">
        <v>17693</v>
      </c>
      <c r="H142" s="12">
        <v>44343</v>
      </c>
      <c r="I142" s="11">
        <v>123624</v>
      </c>
      <c r="J142" s="16">
        <v>1</v>
      </c>
      <c r="K142" s="11">
        <v>0</v>
      </c>
      <c r="L142" s="23"/>
      <c r="M142" s="11">
        <v>0</v>
      </c>
      <c r="N142" s="23"/>
      <c r="O142" s="11">
        <v>0</v>
      </c>
      <c r="P142" s="23"/>
      <c r="Q142" s="11">
        <v>123624</v>
      </c>
    </row>
    <row r="143" spans="1:17" s="1" customFormat="1" ht="11.45">
      <c r="A143" s="11" t="s">
        <v>18481</v>
      </c>
      <c r="B143" s="12">
        <v>44333</v>
      </c>
      <c r="C143" s="11">
        <v>2021</v>
      </c>
      <c r="D143" s="11" t="s">
        <v>17017</v>
      </c>
      <c r="E143" s="11" t="s">
        <v>17018</v>
      </c>
      <c r="F143" s="11" t="s">
        <v>20155</v>
      </c>
      <c r="G143" s="11" t="s">
        <v>18283</v>
      </c>
      <c r="H143" s="12">
        <v>44342</v>
      </c>
      <c r="I143" s="11">
        <v>0</v>
      </c>
      <c r="J143" s="23"/>
      <c r="K143" s="11">
        <v>41000</v>
      </c>
      <c r="L143" s="16">
        <v>1</v>
      </c>
      <c r="M143" s="11">
        <v>0</v>
      </c>
      <c r="N143" s="23"/>
      <c r="O143" s="11">
        <v>0</v>
      </c>
      <c r="P143" s="23"/>
      <c r="Q143" s="11">
        <v>41000</v>
      </c>
    </row>
    <row r="144" spans="1:17" s="1" customFormat="1" ht="11.45">
      <c r="A144" s="11" t="s">
        <v>18482</v>
      </c>
      <c r="B144" s="12">
        <v>44334</v>
      </c>
      <c r="C144" s="11">
        <v>2021</v>
      </c>
      <c r="D144" s="11" t="s">
        <v>16972</v>
      </c>
      <c r="E144" s="11" t="s">
        <v>16973</v>
      </c>
      <c r="F144" s="11" t="s">
        <v>20155</v>
      </c>
      <c r="G144" s="11" t="s">
        <v>17801</v>
      </c>
      <c r="H144" s="12">
        <v>44347</v>
      </c>
      <c r="I144" s="11">
        <v>0</v>
      </c>
      <c r="J144" s="23"/>
      <c r="K144" s="11">
        <v>0</v>
      </c>
      <c r="L144" s="16"/>
      <c r="M144" s="11">
        <v>280000</v>
      </c>
      <c r="N144" s="15" t="s">
        <v>20300</v>
      </c>
      <c r="O144" s="11">
        <v>0</v>
      </c>
      <c r="P144" s="23"/>
      <c r="Q144" s="11">
        <v>280000</v>
      </c>
    </row>
    <row r="145" spans="1:17" s="1" customFormat="1" ht="11.45">
      <c r="A145" s="11" t="s">
        <v>18483</v>
      </c>
      <c r="B145" s="12">
        <v>44334</v>
      </c>
      <c r="C145" s="11">
        <v>2021</v>
      </c>
      <c r="D145" s="11" t="s">
        <v>16444</v>
      </c>
      <c r="E145" s="11" t="s">
        <v>16445</v>
      </c>
      <c r="F145" s="11" t="s">
        <v>20155</v>
      </c>
      <c r="G145" s="11" t="s">
        <v>17693</v>
      </c>
      <c r="H145" s="12">
        <v>44343</v>
      </c>
      <c r="I145" s="11">
        <v>43200</v>
      </c>
      <c r="J145" s="16">
        <v>1</v>
      </c>
      <c r="K145" s="11">
        <v>0</v>
      </c>
      <c r="L145" s="16"/>
      <c r="M145" s="11">
        <v>0</v>
      </c>
      <c r="N145" s="23"/>
      <c r="O145" s="11">
        <v>0</v>
      </c>
      <c r="P145" s="23"/>
      <c r="Q145" s="11">
        <v>43200</v>
      </c>
    </row>
    <row r="146" spans="1:17" s="1" customFormat="1" ht="11.45">
      <c r="A146" s="11" t="s">
        <v>18484</v>
      </c>
      <c r="B146" s="12">
        <v>44334</v>
      </c>
      <c r="C146" s="11">
        <v>2021</v>
      </c>
      <c r="D146" s="11" t="s">
        <v>17017</v>
      </c>
      <c r="E146" s="11" t="s">
        <v>17018</v>
      </c>
      <c r="F146" s="11" t="s">
        <v>20155</v>
      </c>
      <c r="G146" s="11" t="s">
        <v>18064</v>
      </c>
      <c r="H146" s="12">
        <v>44342</v>
      </c>
      <c r="I146" s="11">
        <v>0</v>
      </c>
      <c r="J146" s="23"/>
      <c r="K146" s="11">
        <v>20000</v>
      </c>
      <c r="L146" s="16">
        <v>1</v>
      </c>
      <c r="M146" s="11">
        <v>0</v>
      </c>
      <c r="N146" s="23"/>
      <c r="O146" s="11">
        <v>0</v>
      </c>
      <c r="P146" s="23"/>
      <c r="Q146" s="11">
        <v>20000</v>
      </c>
    </row>
    <row r="147" spans="1:17" s="1" customFormat="1" ht="11.45">
      <c r="A147" s="11" t="s">
        <v>18485</v>
      </c>
      <c r="B147" s="12">
        <v>44335</v>
      </c>
      <c r="C147" s="11">
        <v>2021</v>
      </c>
      <c r="D147" s="11" t="s">
        <v>16838</v>
      </c>
      <c r="E147" s="11" t="s">
        <v>16839</v>
      </c>
      <c r="F147" s="11" t="s">
        <v>20155</v>
      </c>
      <c r="G147" s="11" t="s">
        <v>17798</v>
      </c>
      <c r="H147" s="12" t="s">
        <v>20313</v>
      </c>
      <c r="I147" s="11">
        <v>0</v>
      </c>
      <c r="J147" s="23"/>
      <c r="K147" s="11">
        <v>132049</v>
      </c>
      <c r="L147" s="15" t="s">
        <v>20296</v>
      </c>
      <c r="M147" s="11">
        <v>0</v>
      </c>
      <c r="N147" s="23"/>
      <c r="O147" s="11">
        <v>0</v>
      </c>
      <c r="P147" s="23"/>
      <c r="Q147" s="11">
        <v>132049</v>
      </c>
    </row>
    <row r="148" spans="1:17" s="1" customFormat="1" ht="11.45">
      <c r="A148" s="11" t="s">
        <v>18486</v>
      </c>
      <c r="B148" s="12">
        <v>44334</v>
      </c>
      <c r="C148" s="11">
        <v>2021</v>
      </c>
      <c r="D148" s="11" t="s">
        <v>16838</v>
      </c>
      <c r="E148" s="11" t="s">
        <v>16839</v>
      </c>
      <c r="F148" s="11" t="s">
        <v>20155</v>
      </c>
      <c r="G148" s="11" t="s">
        <v>17798</v>
      </c>
      <c r="H148" s="12">
        <v>44340</v>
      </c>
      <c r="I148" s="11">
        <v>0</v>
      </c>
      <c r="J148" s="23"/>
      <c r="K148" s="11">
        <v>0</v>
      </c>
      <c r="L148" s="16"/>
      <c r="M148" s="11">
        <v>130000</v>
      </c>
      <c r="N148" s="15" t="s">
        <v>20296</v>
      </c>
      <c r="O148" s="11">
        <v>0</v>
      </c>
      <c r="P148" s="23"/>
      <c r="Q148" s="11">
        <v>130000</v>
      </c>
    </row>
    <row r="149" spans="1:17" s="1" customFormat="1" ht="11.45">
      <c r="A149" s="11" t="s">
        <v>18487</v>
      </c>
      <c r="B149" s="12">
        <v>44334</v>
      </c>
      <c r="C149" s="11">
        <v>2021</v>
      </c>
      <c r="D149" s="11" t="s">
        <v>16444</v>
      </c>
      <c r="E149" s="11" t="s">
        <v>16445</v>
      </c>
      <c r="F149" s="11" t="s">
        <v>20155</v>
      </c>
      <c r="G149" s="11" t="s">
        <v>17801</v>
      </c>
      <c r="H149" s="12">
        <v>44343</v>
      </c>
      <c r="I149" s="11">
        <v>0</v>
      </c>
      <c r="J149" s="23"/>
      <c r="K149" s="11">
        <v>305600</v>
      </c>
      <c r="L149" s="15" t="s">
        <v>20300</v>
      </c>
      <c r="M149" s="11">
        <v>0</v>
      </c>
      <c r="N149" s="23"/>
      <c r="O149" s="11">
        <v>0</v>
      </c>
      <c r="P149" s="16"/>
      <c r="Q149" s="11">
        <v>305600</v>
      </c>
    </row>
    <row r="150" spans="1:17" s="1" customFormat="1" ht="11.45">
      <c r="A150" s="11" t="s">
        <v>18488</v>
      </c>
      <c r="B150" s="12">
        <v>44334</v>
      </c>
      <c r="C150" s="11">
        <v>2021</v>
      </c>
      <c r="D150" s="11" t="s">
        <v>17017</v>
      </c>
      <c r="E150" s="11" t="s">
        <v>17018</v>
      </c>
      <c r="F150" s="11" t="s">
        <v>20155</v>
      </c>
      <c r="G150" s="11" t="s">
        <v>17238</v>
      </c>
      <c r="H150" s="12">
        <v>44363</v>
      </c>
      <c r="I150" s="11">
        <v>0</v>
      </c>
      <c r="J150" s="23"/>
      <c r="K150" s="11">
        <v>10078.799999999999</v>
      </c>
      <c r="L150" s="16">
        <v>1</v>
      </c>
      <c r="M150" s="11">
        <v>0</v>
      </c>
      <c r="N150" s="23"/>
      <c r="O150" s="11">
        <v>10078.799999999999</v>
      </c>
      <c r="P150" s="16">
        <v>1</v>
      </c>
      <c r="Q150" s="11">
        <v>20157.599999999999</v>
      </c>
    </row>
    <row r="151" spans="1:17" s="1" customFormat="1" ht="11.45">
      <c r="A151" s="11" t="s">
        <v>18489</v>
      </c>
      <c r="B151" s="12">
        <v>44338</v>
      </c>
      <c r="C151" s="11">
        <v>2021</v>
      </c>
      <c r="D151" s="11" t="s">
        <v>17251</v>
      </c>
      <c r="E151" s="11" t="s">
        <v>17252</v>
      </c>
      <c r="F151" s="11" t="s">
        <v>20155</v>
      </c>
      <c r="G151" s="11" t="s">
        <v>17939</v>
      </c>
      <c r="H151" s="12">
        <v>44345</v>
      </c>
      <c r="I151" s="11">
        <v>0</v>
      </c>
      <c r="J151" s="23"/>
      <c r="K151" s="11">
        <v>259200</v>
      </c>
      <c r="L151" s="15" t="s">
        <v>20311</v>
      </c>
      <c r="M151" s="11">
        <v>48000</v>
      </c>
      <c r="N151" s="15" t="s">
        <v>20311</v>
      </c>
      <c r="O151" s="11">
        <v>0</v>
      </c>
      <c r="P151" s="16"/>
      <c r="Q151" s="11">
        <v>307200</v>
      </c>
    </row>
    <row r="152" spans="1:17" s="1" customFormat="1" ht="11.45">
      <c r="A152" s="11" t="s">
        <v>18490</v>
      </c>
      <c r="B152" s="12">
        <v>44341</v>
      </c>
      <c r="C152" s="11">
        <v>2021</v>
      </c>
      <c r="D152" s="11" t="s">
        <v>16904</v>
      </c>
      <c r="E152" s="11" t="s">
        <v>16905</v>
      </c>
      <c r="F152" s="11" t="s">
        <v>20302</v>
      </c>
      <c r="G152" s="11" t="s">
        <v>20160</v>
      </c>
      <c r="H152" s="12">
        <v>44376</v>
      </c>
      <c r="I152" s="11">
        <v>0</v>
      </c>
      <c r="J152" s="23"/>
      <c r="K152" s="11">
        <v>18792</v>
      </c>
      <c r="L152" s="16">
        <v>1</v>
      </c>
      <c r="M152" s="11">
        <v>8544</v>
      </c>
      <c r="N152" s="16">
        <v>1</v>
      </c>
      <c r="O152" s="11">
        <v>0</v>
      </c>
      <c r="P152" s="16"/>
      <c r="Q152" s="11">
        <v>27336</v>
      </c>
    </row>
    <row r="153" spans="1:17" s="1" customFormat="1" ht="11.45">
      <c r="A153" s="11" t="s">
        <v>18491</v>
      </c>
      <c r="B153" s="12">
        <v>44350</v>
      </c>
      <c r="C153" s="11">
        <v>2021</v>
      </c>
      <c r="D153" s="11" t="s">
        <v>16444</v>
      </c>
      <c r="E153" s="11" t="s">
        <v>16445</v>
      </c>
      <c r="F153" s="11" t="s">
        <v>20155</v>
      </c>
      <c r="G153" s="11" t="s">
        <v>17798</v>
      </c>
      <c r="H153" s="12">
        <v>44355</v>
      </c>
      <c r="I153" s="11">
        <v>38400</v>
      </c>
      <c r="J153" s="16">
        <v>1</v>
      </c>
      <c r="K153" s="11">
        <v>0</v>
      </c>
      <c r="L153" s="16"/>
      <c r="M153" s="11">
        <v>0</v>
      </c>
      <c r="N153" s="16"/>
      <c r="O153" s="11">
        <v>0</v>
      </c>
      <c r="P153" s="16"/>
      <c r="Q153" s="11">
        <v>38400</v>
      </c>
    </row>
    <row r="154" spans="1:17" s="1" customFormat="1" ht="11.45">
      <c r="A154" s="11" t="s">
        <v>18492</v>
      </c>
      <c r="B154" s="12">
        <v>44350</v>
      </c>
      <c r="C154" s="11">
        <v>2021</v>
      </c>
      <c r="D154" s="11" t="s">
        <v>16444</v>
      </c>
      <c r="E154" s="11" t="s">
        <v>16445</v>
      </c>
      <c r="F154" s="11" t="s">
        <v>20155</v>
      </c>
      <c r="G154" s="11" t="s">
        <v>20314</v>
      </c>
      <c r="H154" s="12">
        <v>44355</v>
      </c>
      <c r="I154" s="11">
        <v>20750</v>
      </c>
      <c r="J154" s="16">
        <v>1</v>
      </c>
      <c r="K154" s="11">
        <v>0</v>
      </c>
      <c r="L154" s="16"/>
      <c r="M154" s="11">
        <v>0</v>
      </c>
      <c r="N154" s="16"/>
      <c r="O154" s="11">
        <v>0</v>
      </c>
      <c r="P154" s="16"/>
      <c r="Q154" s="11">
        <v>20750</v>
      </c>
    </row>
    <row r="155" spans="1:17" s="1" customFormat="1" ht="11.45">
      <c r="A155" s="11" t="s">
        <v>18493</v>
      </c>
      <c r="B155" s="12">
        <v>44352</v>
      </c>
      <c r="C155" s="11">
        <v>2021</v>
      </c>
      <c r="D155" s="11" t="s">
        <v>16444</v>
      </c>
      <c r="E155" s="11" t="s">
        <v>16445</v>
      </c>
      <c r="F155" s="11" t="s">
        <v>20155</v>
      </c>
      <c r="G155" s="11" t="s">
        <v>17693</v>
      </c>
      <c r="H155" s="12">
        <v>44361</v>
      </c>
      <c r="I155" s="11">
        <v>21600</v>
      </c>
      <c r="J155" s="16">
        <v>1</v>
      </c>
      <c r="K155" s="11">
        <v>0</v>
      </c>
      <c r="L155" s="16"/>
      <c r="M155" s="11">
        <v>0</v>
      </c>
      <c r="N155" s="16"/>
      <c r="O155" s="11">
        <v>0</v>
      </c>
      <c r="P155" s="16"/>
      <c r="Q155" s="11">
        <v>21600</v>
      </c>
    </row>
    <row r="156" spans="1:17" s="1" customFormat="1" ht="11.45">
      <c r="A156" s="11" t="s">
        <v>18494</v>
      </c>
      <c r="B156" s="12">
        <v>44351</v>
      </c>
      <c r="C156" s="11">
        <v>2021</v>
      </c>
      <c r="D156" s="11" t="s">
        <v>16444</v>
      </c>
      <c r="E156" s="11" t="s">
        <v>16445</v>
      </c>
      <c r="F156" s="11" t="s">
        <v>20155</v>
      </c>
      <c r="G156" s="11" t="s">
        <v>18248</v>
      </c>
      <c r="H156" s="12">
        <v>44371</v>
      </c>
      <c r="I156" s="11">
        <v>19200</v>
      </c>
      <c r="J156" s="16">
        <v>1</v>
      </c>
      <c r="K156" s="11">
        <v>0</v>
      </c>
      <c r="L156" s="16"/>
      <c r="M156" s="11">
        <v>0</v>
      </c>
      <c r="N156" s="16"/>
      <c r="O156" s="11">
        <v>0</v>
      </c>
      <c r="P156" s="16"/>
      <c r="Q156" s="11">
        <v>19200</v>
      </c>
    </row>
    <row r="157" spans="1:17" s="1" customFormat="1" ht="11.45">
      <c r="A157" s="11" t="s">
        <v>18495</v>
      </c>
      <c r="B157" s="12">
        <v>44351</v>
      </c>
      <c r="C157" s="11">
        <v>2021</v>
      </c>
      <c r="D157" s="11" t="s">
        <v>17017</v>
      </c>
      <c r="E157" s="11" t="s">
        <v>17018</v>
      </c>
      <c r="F157" s="11" t="s">
        <v>20155</v>
      </c>
      <c r="G157" s="11" t="s">
        <v>18064</v>
      </c>
      <c r="H157" s="12">
        <v>44361</v>
      </c>
      <c r="I157" s="11">
        <v>0</v>
      </c>
      <c r="J157" s="16"/>
      <c r="K157" s="11">
        <v>20000</v>
      </c>
      <c r="L157" s="16">
        <v>1</v>
      </c>
      <c r="M157" s="11">
        <v>0</v>
      </c>
      <c r="N157" s="25"/>
      <c r="O157" s="11">
        <v>0</v>
      </c>
      <c r="P157" s="25"/>
      <c r="Q157" s="11">
        <v>20000</v>
      </c>
    </row>
    <row r="158" spans="1:17" s="1" customFormat="1" ht="11.45">
      <c r="A158" s="11" t="s">
        <v>18496</v>
      </c>
      <c r="B158" s="12">
        <v>44351</v>
      </c>
      <c r="C158" s="11">
        <v>2021</v>
      </c>
      <c r="D158" s="11" t="s">
        <v>16384</v>
      </c>
      <c r="E158" s="11" t="s">
        <v>16385</v>
      </c>
      <c r="F158" s="11" t="s">
        <v>20155</v>
      </c>
      <c r="G158" s="11" t="s">
        <v>17965</v>
      </c>
      <c r="H158" s="12">
        <v>44371</v>
      </c>
      <c r="I158" s="11">
        <v>96000</v>
      </c>
      <c r="J158" s="16">
        <v>1</v>
      </c>
      <c r="K158" s="11">
        <v>0</v>
      </c>
      <c r="L158" s="25"/>
      <c r="M158" s="11">
        <v>0</v>
      </c>
      <c r="N158" s="25"/>
      <c r="O158" s="11">
        <v>0</v>
      </c>
      <c r="P158" s="25"/>
      <c r="Q158" s="11">
        <v>96000</v>
      </c>
    </row>
    <row r="159" spans="1:17" s="1" customFormat="1" ht="11.45">
      <c r="A159" s="11" t="s">
        <v>18497</v>
      </c>
      <c r="B159" s="12">
        <v>44351</v>
      </c>
      <c r="C159" s="11">
        <v>2021</v>
      </c>
      <c r="D159" s="11" t="s">
        <v>16384</v>
      </c>
      <c r="E159" s="11" t="s">
        <v>16385</v>
      </c>
      <c r="F159" s="11" t="s">
        <v>20155</v>
      </c>
      <c r="G159" s="11" t="s">
        <v>17801</v>
      </c>
      <c r="H159" s="12">
        <v>44359</v>
      </c>
      <c r="I159" s="11">
        <v>0</v>
      </c>
      <c r="J159" s="25"/>
      <c r="K159" s="11">
        <v>56000</v>
      </c>
      <c r="L159" s="15" t="s">
        <v>20300</v>
      </c>
      <c r="M159" s="11">
        <v>56000</v>
      </c>
      <c r="N159" s="15" t="s">
        <v>20300</v>
      </c>
      <c r="O159" s="11">
        <v>0</v>
      </c>
      <c r="P159" s="25"/>
      <c r="Q159" s="11">
        <v>112000</v>
      </c>
    </row>
    <row r="160" spans="1:17" s="1" customFormat="1" ht="11.45">
      <c r="A160" s="11" t="s">
        <v>18498</v>
      </c>
      <c r="B160" s="12">
        <v>44351</v>
      </c>
      <c r="C160" s="11">
        <v>2021</v>
      </c>
      <c r="D160" s="11" t="s">
        <v>16384</v>
      </c>
      <c r="E160" s="11" t="s">
        <v>16385</v>
      </c>
      <c r="F160" s="11" t="s">
        <v>20155</v>
      </c>
      <c r="G160" s="11" t="s">
        <v>17949</v>
      </c>
      <c r="H160" s="12">
        <v>44369</v>
      </c>
      <c r="I160" s="11">
        <v>238856</v>
      </c>
      <c r="J160" s="25">
        <v>1</v>
      </c>
      <c r="K160" s="11">
        <v>2400</v>
      </c>
      <c r="L160" s="25">
        <v>1</v>
      </c>
      <c r="M160" s="11">
        <v>19200</v>
      </c>
      <c r="N160" s="15" t="s">
        <v>20296</v>
      </c>
      <c r="O160" s="11">
        <v>0</v>
      </c>
      <c r="P160" s="25"/>
      <c r="Q160" s="11">
        <v>260456</v>
      </c>
    </row>
    <row r="161" spans="1:17" s="1" customFormat="1" ht="11.45">
      <c r="A161" s="11" t="s">
        <v>18499</v>
      </c>
      <c r="B161" s="12">
        <v>44351</v>
      </c>
      <c r="C161" s="11">
        <v>2021</v>
      </c>
      <c r="D161" s="11" t="s">
        <v>16444</v>
      </c>
      <c r="E161" s="11" t="s">
        <v>16445</v>
      </c>
      <c r="F161" s="11" t="s">
        <v>20155</v>
      </c>
      <c r="G161" s="11" t="s">
        <v>17801</v>
      </c>
      <c r="H161" s="12">
        <v>44361</v>
      </c>
      <c r="I161" s="11">
        <v>0</v>
      </c>
      <c r="J161" s="25"/>
      <c r="K161" s="11">
        <v>114000</v>
      </c>
      <c r="L161" s="15" t="s">
        <v>20300</v>
      </c>
      <c r="M161" s="11">
        <v>166200</v>
      </c>
      <c r="N161" s="15" t="s">
        <v>20300</v>
      </c>
      <c r="O161" s="11">
        <v>0</v>
      </c>
      <c r="P161" s="25"/>
      <c r="Q161" s="11">
        <v>280200</v>
      </c>
    </row>
    <row r="162" spans="1:17" s="1" customFormat="1" ht="11.45">
      <c r="A162" s="11" t="s">
        <v>18500</v>
      </c>
      <c r="B162" s="12">
        <v>44355</v>
      </c>
      <c r="C162" s="11">
        <v>2021</v>
      </c>
      <c r="D162" s="11" t="s">
        <v>16444</v>
      </c>
      <c r="E162" s="11" t="s">
        <v>16445</v>
      </c>
      <c r="F162" s="11" t="s">
        <v>20155</v>
      </c>
      <c r="G162" s="11" t="s">
        <v>17798</v>
      </c>
      <c r="H162" s="12">
        <v>44375</v>
      </c>
      <c r="I162" s="11">
        <v>76800</v>
      </c>
      <c r="J162" s="25">
        <v>1</v>
      </c>
      <c r="K162" s="11">
        <v>0</v>
      </c>
      <c r="L162" s="25"/>
      <c r="M162" s="11">
        <v>0</v>
      </c>
      <c r="N162" s="25"/>
      <c r="O162" s="11">
        <v>0</v>
      </c>
      <c r="P162" s="25"/>
      <c r="Q162" s="11">
        <v>76800</v>
      </c>
    </row>
    <row r="163" spans="1:17" s="1" customFormat="1" ht="11.45">
      <c r="A163" s="11" t="s">
        <v>18501</v>
      </c>
      <c r="B163" s="12">
        <v>44355</v>
      </c>
      <c r="C163" s="11">
        <v>2021</v>
      </c>
      <c r="D163" s="11" t="s">
        <v>16957</v>
      </c>
      <c r="E163" s="11" t="s">
        <v>16958</v>
      </c>
      <c r="F163" s="11" t="s">
        <v>20155</v>
      </c>
      <c r="G163" s="11" t="s">
        <v>20161</v>
      </c>
      <c r="H163" s="12">
        <v>44370</v>
      </c>
      <c r="I163" s="11">
        <v>20000</v>
      </c>
      <c r="J163" s="25">
        <v>1</v>
      </c>
      <c r="K163" s="11">
        <v>0</v>
      </c>
      <c r="L163" s="25"/>
      <c r="M163" s="11">
        <v>0</v>
      </c>
      <c r="N163" s="25"/>
      <c r="O163" s="11">
        <v>0</v>
      </c>
      <c r="P163" s="25"/>
      <c r="Q163" s="11">
        <v>20000</v>
      </c>
    </row>
    <row r="164" spans="1:17" s="1" customFormat="1" ht="11.45">
      <c r="A164" s="11" t="s">
        <v>18502</v>
      </c>
      <c r="B164" s="12">
        <v>44355</v>
      </c>
      <c r="C164" s="11">
        <v>2021</v>
      </c>
      <c r="D164" s="11" t="s">
        <v>16972</v>
      </c>
      <c r="E164" s="11" t="s">
        <v>16973</v>
      </c>
      <c r="F164" s="11" t="s">
        <v>20155</v>
      </c>
      <c r="G164" s="11" t="s">
        <v>17693</v>
      </c>
      <c r="H164" s="12">
        <v>44368</v>
      </c>
      <c r="I164" s="11">
        <v>38070</v>
      </c>
      <c r="J164" s="25">
        <v>1</v>
      </c>
      <c r="K164" s="11">
        <v>0</v>
      </c>
      <c r="L164" s="25"/>
      <c r="M164" s="11">
        <v>0</v>
      </c>
      <c r="N164" s="25"/>
      <c r="O164" s="11">
        <v>0</v>
      </c>
      <c r="P164" s="25"/>
      <c r="Q164" s="11">
        <v>38070</v>
      </c>
    </row>
    <row r="165" spans="1:17" s="1" customFormat="1" ht="11.45">
      <c r="A165" s="11" t="s">
        <v>18503</v>
      </c>
      <c r="B165" s="12">
        <v>44355</v>
      </c>
      <c r="C165" s="11">
        <v>2021</v>
      </c>
      <c r="D165" s="11" t="s">
        <v>17209</v>
      </c>
      <c r="E165" s="11" t="s">
        <v>17210</v>
      </c>
      <c r="F165" s="11" t="s">
        <v>20155</v>
      </c>
      <c r="G165" s="11" t="s">
        <v>20168</v>
      </c>
      <c r="H165" s="12">
        <v>44362</v>
      </c>
      <c r="I165" s="11">
        <v>10044</v>
      </c>
      <c r="J165" s="25">
        <v>1</v>
      </c>
      <c r="K165" s="11">
        <v>0</v>
      </c>
      <c r="L165" s="25"/>
      <c r="M165" s="11">
        <v>0</v>
      </c>
      <c r="N165" s="25"/>
      <c r="O165" s="11">
        <v>13000</v>
      </c>
      <c r="P165" s="25">
        <v>1</v>
      </c>
      <c r="Q165" s="11">
        <v>23044</v>
      </c>
    </row>
    <row r="166" spans="1:17" s="1" customFormat="1" ht="11.45">
      <c r="A166" s="11" t="s">
        <v>18504</v>
      </c>
      <c r="B166" s="12">
        <v>44355</v>
      </c>
      <c r="C166" s="11">
        <v>2021</v>
      </c>
      <c r="D166" s="11" t="s">
        <v>17017</v>
      </c>
      <c r="E166" s="11" t="s">
        <v>17018</v>
      </c>
      <c r="F166" s="11" t="s">
        <v>20155</v>
      </c>
      <c r="G166" s="11" t="s">
        <v>20307</v>
      </c>
      <c r="H166" s="12">
        <v>44372</v>
      </c>
      <c r="I166" s="11">
        <v>40000</v>
      </c>
      <c r="J166" s="25">
        <v>1</v>
      </c>
      <c r="K166" s="11">
        <v>0</v>
      </c>
      <c r="L166" s="25"/>
      <c r="M166" s="11">
        <v>0</v>
      </c>
      <c r="N166" s="25"/>
      <c r="O166" s="11">
        <v>0</v>
      </c>
      <c r="P166" s="25"/>
      <c r="Q166" s="11">
        <v>40000</v>
      </c>
    </row>
    <row r="167" spans="1:17" s="1" customFormat="1" ht="11.45">
      <c r="A167" s="11" t="s">
        <v>18505</v>
      </c>
      <c r="B167" s="12">
        <v>44355</v>
      </c>
      <c r="C167" s="11">
        <v>2021</v>
      </c>
      <c r="D167" s="11" t="s">
        <v>16823</v>
      </c>
      <c r="E167" s="11" t="s">
        <v>16824</v>
      </c>
      <c r="F167" s="11" t="s">
        <v>20155</v>
      </c>
      <c r="G167" s="11" t="s">
        <v>17965</v>
      </c>
      <c r="H167" s="12">
        <v>44370</v>
      </c>
      <c r="I167" s="11">
        <v>66024</v>
      </c>
      <c r="J167" s="25">
        <v>1</v>
      </c>
      <c r="K167" s="11">
        <v>65016</v>
      </c>
      <c r="L167" s="15" t="s">
        <v>20296</v>
      </c>
      <c r="M167" s="11">
        <v>0</v>
      </c>
      <c r="N167" s="25"/>
      <c r="O167" s="11">
        <v>0</v>
      </c>
      <c r="P167" s="25"/>
      <c r="Q167" s="11">
        <v>131040</v>
      </c>
    </row>
    <row r="168" spans="1:17" s="1" customFormat="1" ht="11.45">
      <c r="A168" s="11" t="s">
        <v>18506</v>
      </c>
      <c r="B168" s="12">
        <v>44355</v>
      </c>
      <c r="C168" s="11">
        <v>2021</v>
      </c>
      <c r="D168" s="11" t="s">
        <v>16560</v>
      </c>
      <c r="E168" s="11" t="s">
        <v>16561</v>
      </c>
      <c r="F168" s="11" t="s">
        <v>20155</v>
      </c>
      <c r="G168" s="11" t="s">
        <v>17801</v>
      </c>
      <c r="H168" s="12">
        <v>44364</v>
      </c>
      <c r="I168" s="11">
        <v>0</v>
      </c>
      <c r="J168" s="25"/>
      <c r="K168" s="11">
        <v>0</v>
      </c>
      <c r="L168" s="25"/>
      <c r="M168" s="11">
        <v>108000</v>
      </c>
      <c r="N168" s="15" t="s">
        <v>20300</v>
      </c>
      <c r="O168" s="11">
        <v>0</v>
      </c>
      <c r="P168" s="25"/>
      <c r="Q168" s="11">
        <v>108000</v>
      </c>
    </row>
    <row r="169" spans="1:17" s="1" customFormat="1" ht="11.45">
      <c r="A169" s="11" t="s">
        <v>18507</v>
      </c>
      <c r="B169" s="12">
        <v>44355</v>
      </c>
      <c r="C169" s="11">
        <v>2021</v>
      </c>
      <c r="D169" s="11" t="s">
        <v>16560</v>
      </c>
      <c r="E169" s="11" t="s">
        <v>16561</v>
      </c>
      <c r="F169" s="11" t="s">
        <v>20155</v>
      </c>
      <c r="G169" s="11" t="s">
        <v>17801</v>
      </c>
      <c r="H169" s="12">
        <v>44365</v>
      </c>
      <c r="I169" s="11">
        <v>0</v>
      </c>
      <c r="J169" s="25"/>
      <c r="K169" s="11">
        <v>0</v>
      </c>
      <c r="L169" s="25"/>
      <c r="M169" s="11">
        <v>108000</v>
      </c>
      <c r="N169" s="15" t="s">
        <v>20300</v>
      </c>
      <c r="O169" s="11">
        <v>0</v>
      </c>
      <c r="P169" s="25"/>
      <c r="Q169" s="11">
        <v>108000</v>
      </c>
    </row>
    <row r="170" spans="1:17" s="1" customFormat="1" ht="11.45">
      <c r="A170" s="11" t="s">
        <v>18508</v>
      </c>
      <c r="B170" s="12">
        <v>44355</v>
      </c>
      <c r="C170" s="11">
        <v>2021</v>
      </c>
      <c r="D170" s="11" t="s">
        <v>16560</v>
      </c>
      <c r="E170" s="11" t="s">
        <v>16561</v>
      </c>
      <c r="F170" s="11" t="s">
        <v>20155</v>
      </c>
      <c r="G170" s="11" t="s">
        <v>17801</v>
      </c>
      <c r="H170" s="12">
        <v>44366</v>
      </c>
      <c r="I170" s="11">
        <v>0</v>
      </c>
      <c r="J170" s="25"/>
      <c r="K170" s="11">
        <v>0</v>
      </c>
      <c r="L170" s="25"/>
      <c r="M170" s="11">
        <v>108000</v>
      </c>
      <c r="N170" s="15" t="s">
        <v>20300</v>
      </c>
      <c r="O170" s="11">
        <v>0</v>
      </c>
      <c r="P170" s="25"/>
      <c r="Q170" s="11">
        <v>108000</v>
      </c>
    </row>
    <row r="171" spans="1:17" s="1" customFormat="1" ht="12.75" customHeight="1">
      <c r="A171" s="11" t="s">
        <v>18509</v>
      </c>
      <c r="B171" s="12">
        <v>44355</v>
      </c>
      <c r="C171" s="11">
        <v>2021</v>
      </c>
      <c r="D171" s="11" t="s">
        <v>16560</v>
      </c>
      <c r="E171" s="11" t="s">
        <v>16561</v>
      </c>
      <c r="F171" s="11" t="s">
        <v>20155</v>
      </c>
      <c r="G171" s="11" t="s">
        <v>17801</v>
      </c>
      <c r="H171" s="12">
        <v>44368</v>
      </c>
      <c r="I171" s="11">
        <v>0</v>
      </c>
      <c r="J171" s="25"/>
      <c r="K171" s="11">
        <v>0</v>
      </c>
      <c r="L171" s="25"/>
      <c r="M171" s="11">
        <v>108000</v>
      </c>
      <c r="N171" s="15" t="s">
        <v>20300</v>
      </c>
      <c r="O171" s="11">
        <v>0</v>
      </c>
      <c r="P171" s="25"/>
      <c r="Q171" s="11">
        <v>108000</v>
      </c>
    </row>
    <row r="172" spans="1:17" s="1" customFormat="1" ht="11.45">
      <c r="A172" s="11" t="s">
        <v>18510</v>
      </c>
      <c r="B172" s="12">
        <v>44355</v>
      </c>
      <c r="C172" s="11">
        <v>2021</v>
      </c>
      <c r="D172" s="11" t="s">
        <v>16783</v>
      </c>
      <c r="E172" s="11" t="s">
        <v>16784</v>
      </c>
      <c r="F172" s="11" t="s">
        <v>20155</v>
      </c>
      <c r="G172" s="11" t="s">
        <v>17939</v>
      </c>
      <c r="H172" s="12">
        <v>44368</v>
      </c>
      <c r="I172" s="11">
        <v>0</v>
      </c>
      <c r="J172" s="25"/>
      <c r="K172" s="11">
        <v>0</v>
      </c>
      <c r="L172" s="25"/>
      <c r="M172" s="11">
        <v>0</v>
      </c>
      <c r="N172" s="25"/>
      <c r="O172" s="11">
        <v>52500</v>
      </c>
      <c r="P172" s="25">
        <v>1</v>
      </c>
      <c r="Q172" s="11">
        <v>52500</v>
      </c>
    </row>
    <row r="173" spans="1:17" s="1" customFormat="1" ht="11.45">
      <c r="A173" s="11" t="s">
        <v>18511</v>
      </c>
      <c r="B173" s="12">
        <v>44357</v>
      </c>
      <c r="C173" s="11">
        <v>2021</v>
      </c>
      <c r="D173" s="11" t="s">
        <v>16957</v>
      </c>
      <c r="E173" s="11" t="s">
        <v>16958</v>
      </c>
      <c r="F173" s="11" t="s">
        <v>20155</v>
      </c>
      <c r="G173" s="11" t="s">
        <v>20161</v>
      </c>
      <c r="H173" s="12">
        <v>44372</v>
      </c>
      <c r="I173" s="11">
        <v>20000</v>
      </c>
      <c r="J173" s="25">
        <v>1</v>
      </c>
      <c r="K173" s="11">
        <v>0</v>
      </c>
      <c r="L173" s="25"/>
      <c r="M173" s="11">
        <v>0</v>
      </c>
      <c r="N173" s="25"/>
      <c r="O173" s="11">
        <v>0</v>
      </c>
      <c r="P173" s="25"/>
      <c r="Q173" s="11">
        <v>20000</v>
      </c>
    </row>
    <row r="174" spans="1:17" s="1" customFormat="1" ht="11.45">
      <c r="A174" s="11" t="s">
        <v>18512</v>
      </c>
      <c r="B174" s="12">
        <v>44362</v>
      </c>
      <c r="C174" s="11">
        <v>2021</v>
      </c>
      <c r="D174" s="11" t="s">
        <v>16838</v>
      </c>
      <c r="E174" s="11" t="s">
        <v>16839</v>
      </c>
      <c r="F174" s="11" t="s">
        <v>20155</v>
      </c>
      <c r="G174" s="11" t="s">
        <v>17798</v>
      </c>
      <c r="H174" s="12">
        <v>44375</v>
      </c>
      <c r="I174" s="11">
        <v>0</v>
      </c>
      <c r="J174" s="25"/>
      <c r="K174" s="11">
        <v>0</v>
      </c>
      <c r="L174" s="25"/>
      <c r="M174" s="11">
        <v>130000</v>
      </c>
      <c r="N174" s="15" t="s">
        <v>20300</v>
      </c>
      <c r="O174" s="11">
        <v>0</v>
      </c>
      <c r="P174" s="25"/>
      <c r="Q174" s="11">
        <v>130000</v>
      </c>
    </row>
    <row r="175" spans="1:17" s="1" customFormat="1" ht="11.45">
      <c r="A175" s="11" t="s">
        <v>18513</v>
      </c>
      <c r="B175" s="12">
        <v>44359</v>
      </c>
      <c r="C175" s="11">
        <v>2021</v>
      </c>
      <c r="D175" s="11" t="s">
        <v>17293</v>
      </c>
      <c r="E175" s="11" t="s">
        <v>17294</v>
      </c>
      <c r="F175" s="11" t="s">
        <v>20155</v>
      </c>
      <c r="G175" s="11" t="s">
        <v>16394</v>
      </c>
      <c r="H175" s="12">
        <v>44371</v>
      </c>
      <c r="I175" s="11">
        <v>0</v>
      </c>
      <c r="J175" s="25"/>
      <c r="K175" s="11">
        <v>7968</v>
      </c>
      <c r="L175" s="25">
        <v>1</v>
      </c>
      <c r="M175" s="11">
        <v>1500</v>
      </c>
      <c r="N175" s="25">
        <v>1</v>
      </c>
      <c r="O175" s="11">
        <v>0</v>
      </c>
      <c r="P175" s="25"/>
      <c r="Q175" s="11">
        <v>9468</v>
      </c>
    </row>
    <row r="176" spans="1:17" s="1" customFormat="1" ht="11.45">
      <c r="A176" s="11" t="s">
        <v>18514</v>
      </c>
      <c r="B176" s="12">
        <v>44365</v>
      </c>
      <c r="C176" s="11">
        <v>2021</v>
      </c>
      <c r="D176" s="11" t="s">
        <v>17119</v>
      </c>
      <c r="E176" s="11" t="s">
        <v>17120</v>
      </c>
      <c r="F176" s="11" t="s">
        <v>20155</v>
      </c>
      <c r="G176" s="11" t="s">
        <v>17965</v>
      </c>
      <c r="H176" s="12">
        <v>44373</v>
      </c>
      <c r="I176" s="11">
        <v>38400</v>
      </c>
      <c r="J176" s="25">
        <v>1</v>
      </c>
      <c r="K176" s="11">
        <v>64200</v>
      </c>
      <c r="L176" s="15" t="s">
        <v>20296</v>
      </c>
      <c r="M176" s="11">
        <v>0</v>
      </c>
      <c r="N176" s="25"/>
      <c r="O176" s="11">
        <v>0</v>
      </c>
      <c r="P176" s="25"/>
      <c r="Q176" s="11">
        <v>102600</v>
      </c>
    </row>
    <row r="177" spans="1:17" s="1" customFormat="1" ht="11.45">
      <c r="A177" s="11" t="s">
        <v>18515</v>
      </c>
      <c r="B177" s="12">
        <v>44365</v>
      </c>
      <c r="C177" s="11">
        <v>2021</v>
      </c>
      <c r="D177" s="11" t="s">
        <v>16470</v>
      </c>
      <c r="E177" s="11" t="s">
        <v>16471</v>
      </c>
      <c r="F177" s="11" t="s">
        <v>20302</v>
      </c>
      <c r="G177" s="11" t="s">
        <v>20159</v>
      </c>
      <c r="H177" s="12">
        <v>44377</v>
      </c>
      <c r="I177" s="11">
        <v>33600</v>
      </c>
      <c r="J177" s="25">
        <v>1</v>
      </c>
      <c r="K177" s="11">
        <v>240600</v>
      </c>
      <c r="L177" s="15" t="s">
        <v>20296</v>
      </c>
      <c r="M177" s="11">
        <v>0</v>
      </c>
      <c r="N177" s="25"/>
      <c r="O177" s="11">
        <v>0</v>
      </c>
      <c r="P177" s="25"/>
      <c r="Q177" s="11">
        <v>274200</v>
      </c>
    </row>
    <row r="178" spans="1:17" s="1" customFormat="1" ht="11.45">
      <c r="A178" s="11" t="s">
        <v>18516</v>
      </c>
      <c r="B178" s="12">
        <v>44365</v>
      </c>
      <c r="C178" s="11">
        <v>2021</v>
      </c>
      <c r="D178" s="11" t="s">
        <v>16444</v>
      </c>
      <c r="E178" s="11" t="s">
        <v>16445</v>
      </c>
      <c r="F178" s="11" t="s">
        <v>20155</v>
      </c>
      <c r="G178" s="11" t="s">
        <v>17801</v>
      </c>
      <c r="H178" s="12">
        <v>44377</v>
      </c>
      <c r="I178" s="11">
        <v>0</v>
      </c>
      <c r="J178" s="25"/>
      <c r="K178" s="11">
        <v>148000</v>
      </c>
      <c r="L178" s="15" t="s">
        <v>20300</v>
      </c>
      <c r="M178" s="11">
        <v>113800</v>
      </c>
      <c r="N178" s="15" t="s">
        <v>20300</v>
      </c>
      <c r="O178" s="11">
        <v>0</v>
      </c>
      <c r="P178" s="25"/>
      <c r="Q178" s="11">
        <v>261800</v>
      </c>
    </row>
    <row r="179" spans="1:17" s="1" customFormat="1" ht="11.45">
      <c r="A179" s="11" t="s">
        <v>18517</v>
      </c>
      <c r="B179" s="12">
        <v>44370</v>
      </c>
      <c r="C179" s="11">
        <v>2021</v>
      </c>
      <c r="D179" s="11" t="s">
        <v>17272</v>
      </c>
      <c r="E179" s="11" t="s">
        <v>17273</v>
      </c>
      <c r="F179" s="11" t="s">
        <v>20155</v>
      </c>
      <c r="G179" s="11" t="s">
        <v>16394</v>
      </c>
      <c r="H179" s="12">
        <v>44383</v>
      </c>
      <c r="I179" s="11">
        <v>0</v>
      </c>
      <c r="J179" s="25"/>
      <c r="K179" s="11">
        <v>4716</v>
      </c>
      <c r="L179" s="25">
        <v>1</v>
      </c>
      <c r="M179" s="11">
        <v>1500</v>
      </c>
      <c r="N179" s="25">
        <v>1</v>
      </c>
      <c r="O179" s="11">
        <v>1220</v>
      </c>
      <c r="P179" s="25">
        <v>1</v>
      </c>
      <c r="Q179" s="11">
        <v>7436</v>
      </c>
    </row>
    <row r="180" spans="1:17" s="1" customFormat="1" ht="11.45">
      <c r="A180" s="11" t="s">
        <v>18518</v>
      </c>
      <c r="B180" s="12">
        <v>44378</v>
      </c>
      <c r="C180" s="11">
        <v>2021</v>
      </c>
      <c r="D180" s="11" t="s">
        <v>16972</v>
      </c>
      <c r="E180" s="11" t="s">
        <v>16973</v>
      </c>
      <c r="F180" s="11" t="s">
        <v>20155</v>
      </c>
      <c r="G180" s="11" t="s">
        <v>17801</v>
      </c>
      <c r="H180" s="12">
        <v>44382</v>
      </c>
      <c r="I180" s="11">
        <v>0</v>
      </c>
      <c r="J180" s="25"/>
      <c r="K180" s="11">
        <v>0</v>
      </c>
      <c r="L180" s="25"/>
      <c r="M180" s="11">
        <v>280000</v>
      </c>
      <c r="N180" s="15" t="s">
        <v>20300</v>
      </c>
      <c r="O180" s="11">
        <v>0</v>
      </c>
      <c r="P180" s="25"/>
      <c r="Q180" s="11">
        <v>280000</v>
      </c>
    </row>
    <row r="181" spans="1:17" s="1" customFormat="1" ht="11.45">
      <c r="A181" s="11" t="s">
        <v>18519</v>
      </c>
      <c r="B181" s="12">
        <v>44378</v>
      </c>
      <c r="C181" s="11">
        <v>2021</v>
      </c>
      <c r="D181" s="11" t="s">
        <v>16384</v>
      </c>
      <c r="E181" s="11" t="s">
        <v>16385</v>
      </c>
      <c r="F181" s="11" t="s">
        <v>20155</v>
      </c>
      <c r="G181" s="11" t="s">
        <v>17965</v>
      </c>
      <c r="H181" s="12">
        <v>44399</v>
      </c>
      <c r="I181" s="11">
        <v>96000</v>
      </c>
      <c r="J181" s="25">
        <v>1</v>
      </c>
      <c r="K181" s="11">
        <v>0</v>
      </c>
      <c r="L181" s="25"/>
      <c r="M181" s="11">
        <v>0</v>
      </c>
      <c r="N181" s="25"/>
      <c r="O181" s="11">
        <v>0</v>
      </c>
      <c r="P181" s="25"/>
      <c r="Q181" s="11">
        <v>96000</v>
      </c>
    </row>
    <row r="182" spans="1:17" s="1" customFormat="1" ht="11.45">
      <c r="A182" s="11" t="s">
        <v>18520</v>
      </c>
      <c r="B182" s="12">
        <v>44378</v>
      </c>
      <c r="C182" s="11">
        <v>2021</v>
      </c>
      <c r="D182" s="11" t="s">
        <v>16444</v>
      </c>
      <c r="E182" s="11" t="s">
        <v>16445</v>
      </c>
      <c r="F182" s="11" t="s">
        <v>20155</v>
      </c>
      <c r="G182" s="11" t="s">
        <v>17798</v>
      </c>
      <c r="H182" s="12">
        <v>44389</v>
      </c>
      <c r="I182" s="11">
        <v>56000</v>
      </c>
      <c r="J182" s="25">
        <v>1</v>
      </c>
      <c r="K182" s="11">
        <v>0</v>
      </c>
      <c r="L182" s="25"/>
      <c r="M182" s="11">
        <v>0</v>
      </c>
      <c r="N182" s="25"/>
      <c r="O182" s="11">
        <v>0</v>
      </c>
      <c r="P182" s="25"/>
      <c r="Q182" s="11">
        <v>56000</v>
      </c>
    </row>
    <row r="183" spans="1:17" s="1" customFormat="1" ht="11.45">
      <c r="A183" s="11" t="s">
        <v>18521</v>
      </c>
      <c r="B183" s="12">
        <v>44379</v>
      </c>
      <c r="C183" s="11">
        <v>2021</v>
      </c>
      <c r="D183" s="11" t="s">
        <v>17017</v>
      </c>
      <c r="E183" s="11" t="s">
        <v>17018</v>
      </c>
      <c r="F183" s="11" t="s">
        <v>20155</v>
      </c>
      <c r="G183" s="11" t="s">
        <v>20158</v>
      </c>
      <c r="H183" s="12">
        <v>44390</v>
      </c>
      <c r="I183" s="11">
        <v>3000</v>
      </c>
      <c r="J183" s="25">
        <v>1</v>
      </c>
      <c r="K183" s="11">
        <v>0</v>
      </c>
      <c r="L183" s="25"/>
      <c r="M183" s="11">
        <v>0</v>
      </c>
      <c r="N183" s="25"/>
      <c r="O183" s="11">
        <v>0</v>
      </c>
      <c r="P183" s="25"/>
      <c r="Q183" s="11">
        <v>3000</v>
      </c>
    </row>
    <row r="184" spans="1:17" s="1" customFormat="1" ht="11.45">
      <c r="A184" s="11" t="s">
        <v>18522</v>
      </c>
      <c r="B184" s="12">
        <v>44382</v>
      </c>
      <c r="C184" s="11">
        <v>2021</v>
      </c>
      <c r="D184" s="11" t="s">
        <v>16384</v>
      </c>
      <c r="E184" s="11" t="s">
        <v>16385</v>
      </c>
      <c r="F184" s="11" t="s">
        <v>20155</v>
      </c>
      <c r="G184" s="11" t="s">
        <v>17771</v>
      </c>
      <c r="H184" s="12">
        <v>44389</v>
      </c>
      <c r="I184" s="11">
        <v>60000</v>
      </c>
      <c r="J184" s="25">
        <v>1</v>
      </c>
      <c r="K184" s="11">
        <v>0</v>
      </c>
      <c r="L184" s="25"/>
      <c r="M184" s="11">
        <v>0</v>
      </c>
      <c r="N184" s="25"/>
      <c r="O184" s="11">
        <v>0</v>
      </c>
      <c r="P184" s="25"/>
      <c r="Q184" s="11">
        <v>60000</v>
      </c>
    </row>
    <row r="185" spans="1:17" s="1" customFormat="1" ht="11.45">
      <c r="A185" s="11" t="s">
        <v>18523</v>
      </c>
      <c r="B185" s="12">
        <v>44383</v>
      </c>
      <c r="C185" s="11">
        <v>2021</v>
      </c>
      <c r="D185" s="11" t="s">
        <v>16444</v>
      </c>
      <c r="E185" s="11" t="s">
        <v>16445</v>
      </c>
      <c r="F185" s="11" t="s">
        <v>20155</v>
      </c>
      <c r="G185" s="11" t="s">
        <v>17693</v>
      </c>
      <c r="H185" s="12">
        <v>44389</v>
      </c>
      <c r="I185" s="11">
        <v>22008</v>
      </c>
      <c r="J185" s="25">
        <v>1</v>
      </c>
      <c r="K185" s="11">
        <v>0</v>
      </c>
      <c r="L185" s="25"/>
      <c r="M185" s="11">
        <v>0</v>
      </c>
      <c r="N185" s="25"/>
      <c r="O185" s="11">
        <v>0</v>
      </c>
      <c r="P185" s="25"/>
      <c r="Q185" s="11">
        <v>22008</v>
      </c>
    </row>
    <row r="186" spans="1:17" s="1" customFormat="1" ht="11.45">
      <c r="A186" s="11" t="s">
        <v>18524</v>
      </c>
      <c r="B186" s="12">
        <v>44384</v>
      </c>
      <c r="C186" s="11">
        <v>2021</v>
      </c>
      <c r="D186" s="11" t="s">
        <v>16384</v>
      </c>
      <c r="E186" s="11" t="s">
        <v>16385</v>
      </c>
      <c r="F186" s="11" t="s">
        <v>20155</v>
      </c>
      <c r="G186" s="11" t="s">
        <v>17965</v>
      </c>
      <c r="H186" s="12">
        <v>44387</v>
      </c>
      <c r="I186" s="11">
        <v>96000</v>
      </c>
      <c r="J186" s="25">
        <v>1</v>
      </c>
      <c r="K186" s="11">
        <v>0</v>
      </c>
      <c r="L186" s="25"/>
      <c r="M186" s="11">
        <v>0</v>
      </c>
      <c r="N186" s="25"/>
      <c r="O186" s="11">
        <v>0</v>
      </c>
      <c r="P186" s="25"/>
      <c r="Q186" s="11">
        <v>96000</v>
      </c>
    </row>
    <row r="187" spans="1:17" s="1" customFormat="1" ht="11.45">
      <c r="A187" s="11" t="s">
        <v>18525</v>
      </c>
      <c r="B187" s="12">
        <v>44386</v>
      </c>
      <c r="C187" s="11">
        <v>2021</v>
      </c>
      <c r="D187" s="11" t="s">
        <v>16957</v>
      </c>
      <c r="E187" s="11" t="s">
        <v>16958</v>
      </c>
      <c r="F187" s="11" t="s">
        <v>20155</v>
      </c>
      <c r="G187" s="11" t="s">
        <v>20161</v>
      </c>
      <c r="H187" s="12">
        <v>44400</v>
      </c>
      <c r="I187" s="11">
        <v>40000</v>
      </c>
      <c r="J187" s="25">
        <v>1</v>
      </c>
      <c r="K187" s="11">
        <v>0</v>
      </c>
      <c r="L187" s="25"/>
      <c r="M187" s="11">
        <v>0</v>
      </c>
      <c r="N187" s="25"/>
      <c r="O187" s="11">
        <v>0</v>
      </c>
      <c r="P187" s="25"/>
      <c r="Q187" s="11">
        <v>40000</v>
      </c>
    </row>
    <row r="188" spans="1:17" s="1" customFormat="1" ht="11.45">
      <c r="A188" s="11" t="s">
        <v>18526</v>
      </c>
      <c r="B188" s="12">
        <v>44386</v>
      </c>
      <c r="C188" s="11">
        <v>2021</v>
      </c>
      <c r="D188" s="11" t="s">
        <v>16384</v>
      </c>
      <c r="E188" s="11" t="s">
        <v>16385</v>
      </c>
      <c r="F188" s="11" t="s">
        <v>20155</v>
      </c>
      <c r="G188" s="11" t="s">
        <v>17801</v>
      </c>
      <c r="H188" s="12">
        <v>44406</v>
      </c>
      <c r="I188" s="11">
        <v>12000</v>
      </c>
      <c r="J188" s="25">
        <v>1</v>
      </c>
      <c r="K188" s="11">
        <v>52000</v>
      </c>
      <c r="L188" s="15" t="s">
        <v>20300</v>
      </c>
      <c r="M188" s="11">
        <v>18000</v>
      </c>
      <c r="N188" s="15" t="s">
        <v>20300</v>
      </c>
      <c r="O188" s="11">
        <v>0</v>
      </c>
      <c r="P188" s="25"/>
      <c r="Q188" s="11">
        <v>82000</v>
      </c>
    </row>
    <row r="189" spans="1:17" s="1" customFormat="1" ht="11.45">
      <c r="A189" s="11" t="s">
        <v>18527</v>
      </c>
      <c r="B189" s="12">
        <v>44386</v>
      </c>
      <c r="C189" s="11">
        <v>2021</v>
      </c>
      <c r="D189" s="11" t="s">
        <v>17264</v>
      </c>
      <c r="E189" s="11" t="s">
        <v>17265</v>
      </c>
      <c r="F189" s="11" t="s">
        <v>20155</v>
      </c>
      <c r="G189" s="11" t="s">
        <v>20157</v>
      </c>
      <c r="H189" s="12">
        <v>44393</v>
      </c>
      <c r="I189" s="11">
        <v>0</v>
      </c>
      <c r="J189" s="25"/>
      <c r="K189" s="11">
        <v>0</v>
      </c>
      <c r="L189" s="25"/>
      <c r="M189" s="11">
        <v>0</v>
      </c>
      <c r="N189" s="25"/>
      <c r="O189" s="11">
        <v>27500</v>
      </c>
      <c r="P189" s="25">
        <v>1</v>
      </c>
      <c r="Q189" s="11">
        <v>27500</v>
      </c>
    </row>
    <row r="190" spans="1:17" s="1" customFormat="1" ht="11.45">
      <c r="A190" s="11" t="s">
        <v>18528</v>
      </c>
      <c r="B190" s="12">
        <v>44386</v>
      </c>
      <c r="C190" s="11">
        <v>2021</v>
      </c>
      <c r="D190" s="11" t="s">
        <v>17017</v>
      </c>
      <c r="E190" s="11" t="s">
        <v>17018</v>
      </c>
      <c r="F190" s="11" t="s">
        <v>20155</v>
      </c>
      <c r="G190" s="11" t="s">
        <v>17954</v>
      </c>
      <c r="H190" s="12">
        <v>44412</v>
      </c>
      <c r="I190" s="11">
        <v>0</v>
      </c>
      <c r="J190" s="25"/>
      <c r="K190" s="11">
        <v>5448</v>
      </c>
      <c r="L190" s="15" t="s">
        <v>20296</v>
      </c>
      <c r="M190" s="11">
        <v>0</v>
      </c>
      <c r="N190" s="25"/>
      <c r="O190" s="11">
        <v>1400</v>
      </c>
      <c r="P190" s="25">
        <v>1</v>
      </c>
      <c r="Q190" s="11">
        <v>6848</v>
      </c>
    </row>
    <row r="191" spans="1:17" s="1" customFormat="1" ht="11.45">
      <c r="A191" s="11" t="s">
        <v>18529</v>
      </c>
      <c r="B191" s="12">
        <v>44386</v>
      </c>
      <c r="C191" s="11">
        <v>2021</v>
      </c>
      <c r="D191" s="11" t="s">
        <v>17017</v>
      </c>
      <c r="E191" s="11" t="s">
        <v>17018</v>
      </c>
      <c r="F191" s="11" t="s">
        <v>20155</v>
      </c>
      <c r="G191" s="11" t="s">
        <v>18064</v>
      </c>
      <c r="H191" s="12">
        <v>44405</v>
      </c>
      <c r="I191" s="11">
        <v>0</v>
      </c>
      <c r="J191" s="25"/>
      <c r="K191" s="11">
        <v>20000</v>
      </c>
      <c r="L191" s="25">
        <v>1</v>
      </c>
      <c r="M191" s="11">
        <v>0</v>
      </c>
      <c r="N191" s="25"/>
      <c r="O191" s="11">
        <v>0</v>
      </c>
      <c r="P191" s="25"/>
      <c r="Q191" s="11">
        <v>20000</v>
      </c>
    </row>
    <row r="192" spans="1:17" s="1" customFormat="1" ht="11.45">
      <c r="A192" s="11" t="s">
        <v>18530</v>
      </c>
      <c r="B192" s="12">
        <v>44386</v>
      </c>
      <c r="C192" s="11">
        <v>2021</v>
      </c>
      <c r="D192" s="11" t="s">
        <v>16880</v>
      </c>
      <c r="E192" s="11" t="s">
        <v>16881</v>
      </c>
      <c r="F192" s="11" t="s">
        <v>20155</v>
      </c>
      <c r="G192" s="11" t="s">
        <v>20156</v>
      </c>
      <c r="H192" s="12">
        <v>44392</v>
      </c>
      <c r="I192" s="11">
        <v>0</v>
      </c>
      <c r="J192" s="25"/>
      <c r="K192" s="11">
        <v>18500</v>
      </c>
      <c r="L192" s="25">
        <v>1</v>
      </c>
      <c r="M192" s="11">
        <v>0</v>
      </c>
      <c r="N192" s="25"/>
      <c r="O192" s="11">
        <v>0</v>
      </c>
      <c r="P192" s="25"/>
      <c r="Q192" s="11">
        <v>18500</v>
      </c>
    </row>
    <row r="193" spans="1:17" s="1" customFormat="1" ht="11.45">
      <c r="A193" s="11" t="s">
        <v>18531</v>
      </c>
      <c r="B193" s="12">
        <v>44386</v>
      </c>
      <c r="C193" s="11">
        <v>2021</v>
      </c>
      <c r="D193" s="11" t="s">
        <v>16838</v>
      </c>
      <c r="E193" s="11" t="s">
        <v>16839</v>
      </c>
      <c r="F193" s="11" t="s">
        <v>20155</v>
      </c>
      <c r="G193" s="11" t="s">
        <v>17798</v>
      </c>
      <c r="H193" s="12">
        <v>44392</v>
      </c>
      <c r="I193" s="11">
        <v>0</v>
      </c>
      <c r="J193" s="25"/>
      <c r="K193" s="11">
        <v>0</v>
      </c>
      <c r="L193" s="25"/>
      <c r="M193" s="11">
        <v>130000</v>
      </c>
      <c r="N193" s="15" t="s">
        <v>20300</v>
      </c>
      <c r="O193" s="11">
        <v>0</v>
      </c>
      <c r="P193" s="25"/>
      <c r="Q193" s="11">
        <v>130000</v>
      </c>
    </row>
    <row r="194" spans="1:17" s="1" customFormat="1" ht="11.45">
      <c r="A194" s="11" t="s">
        <v>18532</v>
      </c>
      <c r="B194" s="12">
        <v>44390</v>
      </c>
      <c r="C194" s="11">
        <v>2021</v>
      </c>
      <c r="D194" s="11" t="s">
        <v>16838</v>
      </c>
      <c r="E194" s="11" t="s">
        <v>16839</v>
      </c>
      <c r="F194" s="11" t="s">
        <v>20155</v>
      </c>
      <c r="G194" s="11" t="s">
        <v>17798</v>
      </c>
      <c r="H194" s="12">
        <v>44394</v>
      </c>
      <c r="I194" s="11">
        <v>0</v>
      </c>
      <c r="J194" s="25"/>
      <c r="K194" s="11">
        <v>176064</v>
      </c>
      <c r="L194" s="15" t="s">
        <v>20300</v>
      </c>
      <c r="M194" s="11">
        <v>0</v>
      </c>
      <c r="N194" s="15"/>
      <c r="O194" s="11">
        <v>0</v>
      </c>
      <c r="P194" s="25"/>
      <c r="Q194" s="11">
        <v>176064</v>
      </c>
    </row>
    <row r="195" spans="1:17" s="1" customFormat="1" ht="11.45">
      <c r="A195" s="11" t="s">
        <v>18533</v>
      </c>
      <c r="B195" s="12">
        <v>44394</v>
      </c>
      <c r="C195" s="11">
        <v>2021</v>
      </c>
      <c r="D195" s="11" t="s">
        <v>17209</v>
      </c>
      <c r="E195" s="11" t="s">
        <v>17210</v>
      </c>
      <c r="F195" s="11" t="s">
        <v>20155</v>
      </c>
      <c r="G195" s="11" t="s">
        <v>20168</v>
      </c>
      <c r="H195" s="12">
        <v>44411</v>
      </c>
      <c r="I195" s="11">
        <v>0</v>
      </c>
      <c r="J195" s="25"/>
      <c r="K195" s="11">
        <v>4800</v>
      </c>
      <c r="L195" s="25">
        <v>1</v>
      </c>
      <c r="M195" s="11">
        <v>4800</v>
      </c>
      <c r="N195" s="25">
        <v>1</v>
      </c>
      <c r="O195" s="11">
        <v>2350</v>
      </c>
      <c r="P195" s="25">
        <v>1</v>
      </c>
      <c r="Q195" s="11">
        <v>11950</v>
      </c>
    </row>
    <row r="196" spans="1:17" s="1" customFormat="1" ht="11.45">
      <c r="A196" s="11" t="s">
        <v>18534</v>
      </c>
      <c r="B196" s="12">
        <v>44394</v>
      </c>
      <c r="C196" s="11">
        <v>2021</v>
      </c>
      <c r="D196" s="11" t="s">
        <v>16560</v>
      </c>
      <c r="E196" s="11" t="s">
        <v>16561</v>
      </c>
      <c r="F196" s="11" t="s">
        <v>20155</v>
      </c>
      <c r="G196" s="11" t="s">
        <v>17801</v>
      </c>
      <c r="H196" s="12">
        <v>44407</v>
      </c>
      <c r="I196" s="11">
        <v>0</v>
      </c>
      <c r="J196" s="25"/>
      <c r="K196" s="11">
        <v>0</v>
      </c>
      <c r="L196" s="14"/>
      <c r="M196" s="11">
        <v>108000</v>
      </c>
      <c r="N196" s="15" t="s">
        <v>20300</v>
      </c>
      <c r="O196" s="11">
        <v>0</v>
      </c>
      <c r="P196" s="25"/>
      <c r="Q196" s="11">
        <v>108000</v>
      </c>
    </row>
    <row r="197" spans="1:17" s="1" customFormat="1" ht="11.45">
      <c r="A197" s="11" t="s">
        <v>18535</v>
      </c>
      <c r="B197" s="12">
        <v>44394</v>
      </c>
      <c r="C197" s="11">
        <v>2021</v>
      </c>
      <c r="D197" s="11" t="s">
        <v>16560</v>
      </c>
      <c r="E197" s="11" t="s">
        <v>16561</v>
      </c>
      <c r="F197" s="11" t="s">
        <v>20155</v>
      </c>
      <c r="G197" s="11" t="s">
        <v>17801</v>
      </c>
      <c r="H197" s="12">
        <v>44408</v>
      </c>
      <c r="I197" s="11">
        <v>0</v>
      </c>
      <c r="J197" s="25"/>
      <c r="K197" s="11">
        <v>0</v>
      </c>
      <c r="L197" s="14"/>
      <c r="M197" s="11">
        <v>108000</v>
      </c>
      <c r="N197" s="15" t="s">
        <v>20300</v>
      </c>
      <c r="O197" s="11">
        <v>0</v>
      </c>
      <c r="P197" s="25"/>
      <c r="Q197" s="11">
        <v>108000</v>
      </c>
    </row>
    <row r="198" spans="1:17" s="1" customFormat="1" ht="11.45">
      <c r="A198" s="11" t="s">
        <v>18536</v>
      </c>
      <c r="B198" s="12">
        <v>44394</v>
      </c>
      <c r="C198" s="11">
        <v>2021</v>
      </c>
      <c r="D198" s="11" t="s">
        <v>16560</v>
      </c>
      <c r="E198" s="11" t="s">
        <v>16561</v>
      </c>
      <c r="F198" s="11" t="s">
        <v>20155</v>
      </c>
      <c r="G198" s="11" t="s">
        <v>17801</v>
      </c>
      <c r="H198" s="12">
        <v>44410</v>
      </c>
      <c r="I198" s="11">
        <v>0</v>
      </c>
      <c r="J198" s="25"/>
      <c r="K198" s="11">
        <v>0</v>
      </c>
      <c r="L198" s="14"/>
      <c r="M198" s="11">
        <v>108000</v>
      </c>
      <c r="N198" s="15" t="s">
        <v>20300</v>
      </c>
      <c r="O198" s="11">
        <v>0</v>
      </c>
      <c r="P198" s="25"/>
      <c r="Q198" s="11">
        <v>108000</v>
      </c>
    </row>
    <row r="199" spans="1:17" s="1" customFormat="1" ht="11.45">
      <c r="A199" s="11" t="s">
        <v>18537</v>
      </c>
      <c r="B199" s="12">
        <v>44394</v>
      </c>
      <c r="C199" s="11">
        <v>2021</v>
      </c>
      <c r="D199" s="11" t="s">
        <v>16560</v>
      </c>
      <c r="E199" s="11" t="s">
        <v>16561</v>
      </c>
      <c r="F199" s="11" t="s">
        <v>20155</v>
      </c>
      <c r="G199" s="11" t="s">
        <v>17801</v>
      </c>
      <c r="H199" s="12">
        <v>44411</v>
      </c>
      <c r="I199" s="11">
        <v>0</v>
      </c>
      <c r="J199" s="25"/>
      <c r="K199" s="11">
        <v>0</v>
      </c>
      <c r="L199" s="14"/>
      <c r="M199" s="11">
        <v>108000</v>
      </c>
      <c r="N199" s="15" t="s">
        <v>20300</v>
      </c>
      <c r="O199" s="11">
        <v>0</v>
      </c>
      <c r="P199" s="25"/>
      <c r="Q199" s="11">
        <v>108000</v>
      </c>
    </row>
    <row r="200" spans="1:17" s="1" customFormat="1" ht="11.45">
      <c r="A200" s="11" t="s">
        <v>18538</v>
      </c>
      <c r="B200" s="12">
        <v>44396</v>
      </c>
      <c r="C200" s="11">
        <v>2021</v>
      </c>
      <c r="D200" s="11" t="s">
        <v>16470</v>
      </c>
      <c r="E200" s="11" t="s">
        <v>16471</v>
      </c>
      <c r="F200" s="11" t="s">
        <v>20155</v>
      </c>
      <c r="G200" s="11" t="s">
        <v>20159</v>
      </c>
      <c r="H200" s="12">
        <v>44408</v>
      </c>
      <c r="I200" s="11">
        <v>14400</v>
      </c>
      <c r="J200" s="25">
        <v>1</v>
      </c>
      <c r="K200" s="11">
        <v>144396</v>
      </c>
      <c r="L200" s="25">
        <v>1</v>
      </c>
      <c r="M200" s="11">
        <v>0</v>
      </c>
      <c r="N200" s="14"/>
      <c r="O200" s="11">
        <v>0</v>
      </c>
      <c r="P200" s="25"/>
      <c r="Q200" s="11">
        <v>158796</v>
      </c>
    </row>
    <row r="201" spans="1:17" s="1" customFormat="1" ht="11.45">
      <c r="A201" s="11" t="s">
        <v>18539</v>
      </c>
      <c r="B201" s="12">
        <v>44397</v>
      </c>
      <c r="C201" s="11">
        <v>2021</v>
      </c>
      <c r="D201" s="11" t="s">
        <v>16904</v>
      </c>
      <c r="E201" s="11" t="s">
        <v>16905</v>
      </c>
      <c r="F201" s="11" t="s">
        <v>20155</v>
      </c>
      <c r="G201" s="11" t="s">
        <v>20160</v>
      </c>
      <c r="H201" s="12">
        <v>44405</v>
      </c>
      <c r="I201" s="11">
        <v>0</v>
      </c>
      <c r="J201" s="25"/>
      <c r="K201" s="11">
        <v>16764</v>
      </c>
      <c r="L201" s="25">
        <v>1</v>
      </c>
      <c r="M201" s="11">
        <v>10572</v>
      </c>
      <c r="N201" s="25">
        <v>1</v>
      </c>
      <c r="O201" s="11">
        <v>0</v>
      </c>
      <c r="P201" s="25"/>
      <c r="Q201" s="11">
        <v>27336</v>
      </c>
    </row>
    <row r="202" spans="1:17" s="1" customFormat="1" ht="11.45">
      <c r="A202" s="11" t="s">
        <v>18540</v>
      </c>
      <c r="B202" s="12">
        <v>44398</v>
      </c>
      <c r="C202" s="11">
        <v>2021</v>
      </c>
      <c r="D202" s="11" t="s">
        <v>16838</v>
      </c>
      <c r="E202" s="11" t="s">
        <v>16839</v>
      </c>
      <c r="F202" s="11" t="s">
        <v>20155</v>
      </c>
      <c r="G202" s="11" t="s">
        <v>17949</v>
      </c>
      <c r="H202" s="12">
        <v>44439</v>
      </c>
      <c r="I202" s="11">
        <v>98472</v>
      </c>
      <c r="J202" s="25">
        <v>1</v>
      </c>
      <c r="K202" s="11">
        <v>30000</v>
      </c>
      <c r="L202" s="295" t="s">
        <v>20315</v>
      </c>
      <c r="M202" s="11">
        <v>3000</v>
      </c>
      <c r="N202" s="14"/>
      <c r="O202" s="11">
        <v>0</v>
      </c>
      <c r="P202" s="25"/>
      <c r="Q202" s="11">
        <v>131472</v>
      </c>
    </row>
    <row r="203" spans="1:17" s="1" customFormat="1" ht="11.45">
      <c r="A203" s="11" t="s">
        <v>18541</v>
      </c>
      <c r="B203" s="12">
        <v>44399</v>
      </c>
      <c r="C203" s="11">
        <v>2021</v>
      </c>
      <c r="D203" s="11" t="s">
        <v>16838</v>
      </c>
      <c r="E203" s="11" t="s">
        <v>16839</v>
      </c>
      <c r="F203" s="11" t="s">
        <v>20155</v>
      </c>
      <c r="G203" s="11" t="s">
        <v>17798</v>
      </c>
      <c r="H203" s="12">
        <v>44415</v>
      </c>
      <c r="I203" s="11">
        <v>0</v>
      </c>
      <c r="J203" s="25"/>
      <c r="K203" s="11">
        <v>154056</v>
      </c>
      <c r="L203" s="27" t="s">
        <v>20300</v>
      </c>
      <c r="M203" s="11">
        <v>0</v>
      </c>
      <c r="N203" s="14"/>
      <c r="O203" s="11">
        <v>0</v>
      </c>
      <c r="P203" s="25"/>
      <c r="Q203" s="11">
        <v>154056</v>
      </c>
    </row>
    <row r="204" spans="1:17" s="1" customFormat="1" ht="11.45">
      <c r="A204" s="11" t="s">
        <v>18542</v>
      </c>
      <c r="B204" s="12">
        <v>44399</v>
      </c>
      <c r="C204" s="11">
        <v>2021</v>
      </c>
      <c r="D204" s="11" t="s">
        <v>16444</v>
      </c>
      <c r="E204" s="11" t="s">
        <v>16445</v>
      </c>
      <c r="F204" s="11" t="s">
        <v>20155</v>
      </c>
      <c r="G204" s="11" t="s">
        <v>17798</v>
      </c>
      <c r="H204" s="12">
        <v>44406</v>
      </c>
      <c r="I204" s="11">
        <v>38400</v>
      </c>
      <c r="J204" s="25">
        <v>1</v>
      </c>
      <c r="K204" s="11">
        <v>0</v>
      </c>
      <c r="L204" s="27"/>
      <c r="M204" s="11">
        <v>0</v>
      </c>
      <c r="N204" s="14"/>
      <c r="O204" s="11">
        <v>0</v>
      </c>
      <c r="P204" s="25"/>
      <c r="Q204" s="11">
        <v>38400</v>
      </c>
    </row>
    <row r="205" spans="1:17" s="1" customFormat="1" ht="11.45">
      <c r="A205" s="11" t="s">
        <v>18543</v>
      </c>
      <c r="B205" s="12">
        <v>44401</v>
      </c>
      <c r="C205" s="11">
        <v>2021</v>
      </c>
      <c r="D205" s="11" t="s">
        <v>16444</v>
      </c>
      <c r="E205" s="11" t="s">
        <v>16445</v>
      </c>
      <c r="F205" s="11" t="s">
        <v>20155</v>
      </c>
      <c r="G205" s="11" t="s">
        <v>17693</v>
      </c>
      <c r="H205" s="12">
        <v>44406</v>
      </c>
      <c r="I205" s="11">
        <v>41500</v>
      </c>
      <c r="J205" s="25">
        <v>1</v>
      </c>
      <c r="K205" s="11">
        <v>0</v>
      </c>
      <c r="L205" s="27"/>
      <c r="M205" s="11">
        <v>0</v>
      </c>
      <c r="N205" s="14"/>
      <c r="O205" s="11">
        <v>0</v>
      </c>
      <c r="P205" s="25"/>
      <c r="Q205" s="11">
        <v>41500</v>
      </c>
    </row>
    <row r="206" spans="1:17" s="1" customFormat="1" ht="11.45">
      <c r="A206" s="11" t="s">
        <v>18544</v>
      </c>
      <c r="B206" s="12">
        <v>44402</v>
      </c>
      <c r="C206" s="11">
        <v>2021</v>
      </c>
      <c r="D206" s="11" t="s">
        <v>16444</v>
      </c>
      <c r="E206" s="11" t="s">
        <v>16445</v>
      </c>
      <c r="F206" s="11" t="s">
        <v>20155</v>
      </c>
      <c r="G206" s="11" t="s">
        <v>17693</v>
      </c>
      <c r="H206" s="12">
        <v>44414</v>
      </c>
      <c r="I206" s="11">
        <v>0</v>
      </c>
      <c r="J206" s="25"/>
      <c r="K206" s="11">
        <v>0</v>
      </c>
      <c r="L206" s="27"/>
      <c r="M206" s="11">
        <v>55416</v>
      </c>
      <c r="N206" s="296" t="s">
        <v>20316</v>
      </c>
      <c r="O206" s="11">
        <v>0</v>
      </c>
      <c r="P206" s="25"/>
      <c r="Q206" s="11">
        <v>55416</v>
      </c>
    </row>
    <row r="207" spans="1:17" s="1" customFormat="1" ht="11.45">
      <c r="A207" s="11" t="s">
        <v>18545</v>
      </c>
      <c r="B207" s="12">
        <v>44403</v>
      </c>
      <c r="C207" s="11">
        <v>2021</v>
      </c>
      <c r="D207" s="11" t="s">
        <v>16444</v>
      </c>
      <c r="E207" s="11" t="s">
        <v>16445</v>
      </c>
      <c r="F207" s="11" t="s">
        <v>20155</v>
      </c>
      <c r="G207" s="11" t="s">
        <v>17693</v>
      </c>
      <c r="H207" s="12">
        <v>44414</v>
      </c>
      <c r="I207" s="11">
        <v>42100</v>
      </c>
      <c r="J207" s="25">
        <v>1</v>
      </c>
      <c r="K207" s="11">
        <v>0</v>
      </c>
      <c r="L207" s="27"/>
      <c r="M207" s="11">
        <v>0</v>
      </c>
      <c r="N207" s="28"/>
      <c r="O207" s="11">
        <v>0</v>
      </c>
      <c r="P207" s="25"/>
      <c r="Q207" s="11">
        <v>42100</v>
      </c>
    </row>
    <row r="208" spans="1:17" s="1" customFormat="1" ht="11.45">
      <c r="A208" s="11" t="s">
        <v>18546</v>
      </c>
      <c r="B208" s="12">
        <v>44417</v>
      </c>
      <c r="C208" s="11">
        <v>2021</v>
      </c>
      <c r="D208" s="11" t="s">
        <v>17017</v>
      </c>
      <c r="E208" s="11" t="s">
        <v>17018</v>
      </c>
      <c r="F208" s="11" t="s">
        <v>20155</v>
      </c>
      <c r="G208" s="11" t="s">
        <v>17238</v>
      </c>
      <c r="H208" s="12">
        <v>44424</v>
      </c>
      <c r="I208" s="11">
        <v>20000</v>
      </c>
      <c r="J208" s="25">
        <v>1</v>
      </c>
      <c r="K208" s="11">
        <v>0</v>
      </c>
      <c r="L208" s="27"/>
      <c r="M208" s="11">
        <v>0</v>
      </c>
      <c r="N208" s="28"/>
      <c r="O208" s="11">
        <v>0</v>
      </c>
      <c r="P208" s="25"/>
      <c r="Q208" s="11">
        <v>20000</v>
      </c>
    </row>
    <row r="209" spans="1:17" s="1" customFormat="1" ht="11.45">
      <c r="A209" s="11" t="s">
        <v>18547</v>
      </c>
      <c r="B209" s="12">
        <v>44417</v>
      </c>
      <c r="C209" s="11">
        <v>2021</v>
      </c>
      <c r="D209" s="11" t="s">
        <v>17259</v>
      </c>
      <c r="E209" s="11" t="s">
        <v>17260</v>
      </c>
      <c r="F209" s="11" t="s">
        <v>20155</v>
      </c>
      <c r="G209" s="11" t="s">
        <v>17261</v>
      </c>
      <c r="H209" s="12">
        <v>44425</v>
      </c>
      <c r="I209" s="11">
        <v>2400</v>
      </c>
      <c r="J209" s="25">
        <v>1</v>
      </c>
      <c r="K209" s="11">
        <v>14000</v>
      </c>
      <c r="L209" s="25">
        <v>1</v>
      </c>
      <c r="M209" s="11">
        <v>0</v>
      </c>
      <c r="N209" s="28"/>
      <c r="O209" s="11">
        <v>3200</v>
      </c>
      <c r="P209" s="25">
        <v>1</v>
      </c>
      <c r="Q209" s="11">
        <v>19600</v>
      </c>
    </row>
    <row r="210" spans="1:17" s="1" customFormat="1" ht="11.45">
      <c r="A210" s="11" t="s">
        <v>18548</v>
      </c>
      <c r="B210" s="12">
        <v>44417</v>
      </c>
      <c r="C210" s="11">
        <v>2021</v>
      </c>
      <c r="D210" s="11" t="s">
        <v>16444</v>
      </c>
      <c r="E210" s="11" t="s">
        <v>16445</v>
      </c>
      <c r="F210" s="11" t="s">
        <v>20155</v>
      </c>
      <c r="G210" s="11" t="s">
        <v>18248</v>
      </c>
      <c r="H210" s="12">
        <v>44438</v>
      </c>
      <c r="I210" s="11">
        <v>19200</v>
      </c>
      <c r="J210" s="25">
        <v>1</v>
      </c>
      <c r="K210" s="11">
        <v>0</v>
      </c>
      <c r="L210" s="27"/>
      <c r="M210" s="11">
        <v>0</v>
      </c>
      <c r="N210" s="28"/>
      <c r="O210" s="11">
        <v>0</v>
      </c>
      <c r="P210" s="25"/>
      <c r="Q210" s="11">
        <v>19200</v>
      </c>
    </row>
    <row r="211" spans="1:17" s="1" customFormat="1" ht="11.45">
      <c r="A211" s="11" t="s">
        <v>18549</v>
      </c>
      <c r="B211" s="12">
        <v>44417</v>
      </c>
      <c r="C211" s="11">
        <v>2021</v>
      </c>
      <c r="D211" s="11" t="s">
        <v>16972</v>
      </c>
      <c r="E211" s="11" t="s">
        <v>16973</v>
      </c>
      <c r="F211" s="11" t="s">
        <v>20155</v>
      </c>
      <c r="G211" s="11" t="s">
        <v>17801</v>
      </c>
      <c r="H211" s="12">
        <v>44425</v>
      </c>
      <c r="I211" s="11">
        <v>0</v>
      </c>
      <c r="J211" s="25"/>
      <c r="K211" s="11">
        <v>0</v>
      </c>
      <c r="L211" s="27"/>
      <c r="M211" s="11">
        <v>280000</v>
      </c>
      <c r="N211" s="15" t="s">
        <v>20300</v>
      </c>
      <c r="O211" s="11">
        <v>0</v>
      </c>
      <c r="P211" s="25"/>
      <c r="Q211" s="11">
        <v>280000</v>
      </c>
    </row>
    <row r="212" spans="1:17" s="1" customFormat="1" ht="11.45">
      <c r="A212" s="11" t="s">
        <v>18550</v>
      </c>
      <c r="B212" s="12">
        <v>44420</v>
      </c>
      <c r="C212" s="11">
        <v>2021</v>
      </c>
      <c r="D212" s="11" t="s">
        <v>16838</v>
      </c>
      <c r="E212" s="11" t="s">
        <v>16839</v>
      </c>
      <c r="F212" s="11" t="s">
        <v>20155</v>
      </c>
      <c r="G212" s="11" t="s">
        <v>17771</v>
      </c>
      <c r="H212" s="12">
        <v>44425</v>
      </c>
      <c r="I212" s="11">
        <v>3360</v>
      </c>
      <c r="J212" s="25">
        <v>1</v>
      </c>
      <c r="K212" s="11">
        <v>20280</v>
      </c>
      <c r="L212" s="295" t="s">
        <v>20315</v>
      </c>
      <c r="M212" s="11">
        <v>0</v>
      </c>
      <c r="N212" s="15"/>
      <c r="O212" s="11">
        <v>0</v>
      </c>
      <c r="P212" s="25"/>
      <c r="Q212" s="11">
        <v>23640</v>
      </c>
    </row>
    <row r="213" spans="1:17" s="1" customFormat="1" ht="11.45">
      <c r="A213" s="11" t="s">
        <v>18551</v>
      </c>
      <c r="B213" s="12">
        <v>44426</v>
      </c>
      <c r="C213" s="11">
        <v>2021</v>
      </c>
      <c r="D213" s="11" t="s">
        <v>16904</v>
      </c>
      <c r="E213" s="11" t="s">
        <v>16905</v>
      </c>
      <c r="F213" s="11" t="s">
        <v>20155</v>
      </c>
      <c r="G213" s="11" t="s">
        <v>20160</v>
      </c>
      <c r="H213" s="12">
        <v>44433</v>
      </c>
      <c r="I213" s="11">
        <v>0</v>
      </c>
      <c r="J213" s="25"/>
      <c r="K213" s="11">
        <v>17688</v>
      </c>
      <c r="L213" s="25">
        <v>1</v>
      </c>
      <c r="M213" s="11">
        <v>9648</v>
      </c>
      <c r="N213" s="25">
        <v>1</v>
      </c>
      <c r="O213" s="11">
        <v>0</v>
      </c>
      <c r="P213" s="25"/>
      <c r="Q213" s="11">
        <v>27336</v>
      </c>
    </row>
    <row r="214" spans="1:17" s="1" customFormat="1" ht="11.45">
      <c r="A214" s="11" t="s">
        <v>18552</v>
      </c>
      <c r="B214" s="12">
        <v>44426</v>
      </c>
      <c r="C214" s="11">
        <v>2021</v>
      </c>
      <c r="D214" s="11" t="s">
        <v>16444</v>
      </c>
      <c r="E214" s="11" t="s">
        <v>16445</v>
      </c>
      <c r="F214" s="11" t="s">
        <v>20155</v>
      </c>
      <c r="G214" s="11" t="s">
        <v>18248</v>
      </c>
      <c r="H214" s="12">
        <v>44434</v>
      </c>
      <c r="I214" s="11">
        <v>12000</v>
      </c>
      <c r="J214" s="25">
        <v>1</v>
      </c>
      <c r="K214" s="11">
        <v>38700</v>
      </c>
      <c r="L214" s="295" t="s">
        <v>20315</v>
      </c>
      <c r="M214" s="11">
        <v>0</v>
      </c>
      <c r="N214" s="15"/>
      <c r="O214" s="11">
        <v>0</v>
      </c>
      <c r="P214" s="25"/>
      <c r="Q214" s="11">
        <v>50700</v>
      </c>
    </row>
    <row r="215" spans="1:17" s="1" customFormat="1" ht="11.45">
      <c r="A215" s="11" t="s">
        <v>18553</v>
      </c>
      <c r="B215" s="12">
        <v>44427</v>
      </c>
      <c r="C215" s="11">
        <v>2021</v>
      </c>
      <c r="D215" s="11" t="s">
        <v>16783</v>
      </c>
      <c r="E215" s="11" t="s">
        <v>16784</v>
      </c>
      <c r="F215" s="11" t="s">
        <v>20155</v>
      </c>
      <c r="G215" s="11" t="s">
        <v>17939</v>
      </c>
      <c r="H215" s="12">
        <v>44460</v>
      </c>
      <c r="I215" s="11">
        <v>0</v>
      </c>
      <c r="J215" s="25"/>
      <c r="K215" s="11">
        <v>0</v>
      </c>
      <c r="L215" s="27"/>
      <c r="M215" s="11">
        <v>0</v>
      </c>
      <c r="N215" s="15"/>
      <c r="O215" s="11">
        <v>60000</v>
      </c>
      <c r="P215" s="25">
        <v>1</v>
      </c>
      <c r="Q215" s="11">
        <v>60000</v>
      </c>
    </row>
    <row r="216" spans="1:17" s="1" customFormat="1" ht="11.45">
      <c r="A216" s="11" t="s">
        <v>18554</v>
      </c>
      <c r="B216" s="12">
        <v>44428</v>
      </c>
      <c r="C216" s="11">
        <v>2021</v>
      </c>
      <c r="D216" s="11" t="s">
        <v>16838</v>
      </c>
      <c r="E216" s="11" t="s">
        <v>16839</v>
      </c>
      <c r="F216" s="11" t="s">
        <v>20155</v>
      </c>
      <c r="G216" s="11" t="s">
        <v>17798</v>
      </c>
      <c r="H216" s="12">
        <v>44436</v>
      </c>
      <c r="I216" s="11">
        <v>0</v>
      </c>
      <c r="J216" s="25"/>
      <c r="K216" s="11">
        <v>88032</v>
      </c>
      <c r="L216" s="27" t="s">
        <v>20300</v>
      </c>
      <c r="M216" s="11">
        <v>0</v>
      </c>
      <c r="N216" s="15"/>
      <c r="O216" s="11">
        <v>0</v>
      </c>
      <c r="P216" s="25"/>
      <c r="Q216" s="11">
        <v>88032</v>
      </c>
    </row>
    <row r="217" spans="1:17" s="1" customFormat="1" ht="11.45">
      <c r="A217" s="11" t="s">
        <v>18555</v>
      </c>
      <c r="B217" s="12">
        <v>44428</v>
      </c>
      <c r="C217" s="11">
        <v>2021</v>
      </c>
      <c r="D217" s="11" t="s">
        <v>16384</v>
      </c>
      <c r="E217" s="11" t="s">
        <v>16385</v>
      </c>
      <c r="F217" s="11" t="s">
        <v>20155</v>
      </c>
      <c r="G217" s="11" t="s">
        <v>18248</v>
      </c>
      <c r="H217" s="12">
        <v>44435</v>
      </c>
      <c r="I217" s="11">
        <v>57600</v>
      </c>
      <c r="J217" s="25">
        <v>1</v>
      </c>
      <c r="K217" s="11">
        <v>0</v>
      </c>
      <c r="L217" s="27"/>
      <c r="M217" s="11">
        <v>0</v>
      </c>
      <c r="N217" s="15"/>
      <c r="O217" s="11">
        <v>0</v>
      </c>
      <c r="P217" s="25"/>
      <c r="Q217" s="11">
        <v>57600</v>
      </c>
    </row>
    <row r="218" spans="1:17" s="1" customFormat="1" ht="11.45">
      <c r="A218" s="11" t="s">
        <v>18556</v>
      </c>
      <c r="B218" s="12">
        <v>44428</v>
      </c>
      <c r="C218" s="11">
        <v>2021</v>
      </c>
      <c r="D218" s="11" t="s">
        <v>16838</v>
      </c>
      <c r="E218" s="11" t="s">
        <v>16839</v>
      </c>
      <c r="F218" s="11" t="s">
        <v>20155</v>
      </c>
      <c r="G218" s="11" t="s">
        <v>17771</v>
      </c>
      <c r="H218" s="12">
        <v>44440</v>
      </c>
      <c r="I218" s="11">
        <v>0</v>
      </c>
      <c r="J218" s="25"/>
      <c r="K218" s="11">
        <v>0</v>
      </c>
      <c r="L218" s="27"/>
      <c r="M218" s="11">
        <v>28000</v>
      </c>
      <c r="N218" s="27" t="s">
        <v>20300</v>
      </c>
      <c r="O218" s="11">
        <v>0</v>
      </c>
      <c r="P218" s="25"/>
      <c r="Q218" s="11">
        <v>28000</v>
      </c>
    </row>
    <row r="219" spans="1:17" s="1" customFormat="1" ht="11.45">
      <c r="A219" s="11" t="s">
        <v>18557</v>
      </c>
      <c r="B219" s="12">
        <v>44428</v>
      </c>
      <c r="C219" s="11">
        <v>2021</v>
      </c>
      <c r="D219" s="11" t="s">
        <v>16470</v>
      </c>
      <c r="E219" s="11" t="s">
        <v>16471</v>
      </c>
      <c r="F219" s="11" t="s">
        <v>20155</v>
      </c>
      <c r="G219" s="11" t="s">
        <v>20159</v>
      </c>
      <c r="H219" s="12">
        <v>44439</v>
      </c>
      <c r="I219" s="11">
        <v>14400</v>
      </c>
      <c r="J219" s="25">
        <v>1</v>
      </c>
      <c r="K219" s="11">
        <v>145320</v>
      </c>
      <c r="L219" s="15" t="s">
        <v>20296</v>
      </c>
      <c r="M219" s="11">
        <v>0</v>
      </c>
      <c r="N219" s="15"/>
      <c r="O219" s="11">
        <v>0</v>
      </c>
      <c r="P219" s="25"/>
      <c r="Q219" s="11">
        <v>159720</v>
      </c>
    </row>
    <row r="220" spans="1:17" s="1" customFormat="1" ht="11.45">
      <c r="A220" s="11" t="s">
        <v>18558</v>
      </c>
      <c r="B220" s="12">
        <v>44433</v>
      </c>
      <c r="C220" s="11">
        <v>2021</v>
      </c>
      <c r="D220" s="11" t="s">
        <v>16880</v>
      </c>
      <c r="E220" s="11" t="s">
        <v>16881</v>
      </c>
      <c r="F220" s="11" t="s">
        <v>20155</v>
      </c>
      <c r="G220" s="11" t="s">
        <v>20156</v>
      </c>
      <c r="H220" s="12">
        <v>44441</v>
      </c>
      <c r="I220" s="11">
        <v>0</v>
      </c>
      <c r="J220" s="25"/>
      <c r="K220" s="11">
        <v>18500</v>
      </c>
      <c r="L220" s="25">
        <v>1</v>
      </c>
      <c r="M220" s="11">
        <v>0</v>
      </c>
      <c r="N220" s="15"/>
      <c r="O220" s="11">
        <v>0</v>
      </c>
      <c r="P220" s="25"/>
      <c r="Q220" s="11">
        <v>18500</v>
      </c>
    </row>
    <row r="221" spans="1:17" s="1" customFormat="1" ht="11.45">
      <c r="A221" s="11" t="s">
        <v>18559</v>
      </c>
      <c r="B221" s="12">
        <v>44433</v>
      </c>
      <c r="C221" s="11">
        <v>2021</v>
      </c>
      <c r="D221" s="11" t="s">
        <v>17248</v>
      </c>
      <c r="E221" s="11" t="s">
        <v>17249</v>
      </c>
      <c r="F221" s="11" t="s">
        <v>20155</v>
      </c>
      <c r="G221" s="11" t="s">
        <v>17954</v>
      </c>
      <c r="H221" s="12">
        <v>44462</v>
      </c>
      <c r="I221" s="11">
        <v>0</v>
      </c>
      <c r="J221" s="25"/>
      <c r="K221" s="11">
        <v>23426.400000000001</v>
      </c>
      <c r="L221" s="296" t="s">
        <v>20317</v>
      </c>
      <c r="M221" s="11">
        <v>0</v>
      </c>
      <c r="N221" s="15"/>
      <c r="O221" s="11">
        <v>0</v>
      </c>
      <c r="P221" s="25"/>
      <c r="Q221" s="11">
        <v>23426.400000000001</v>
      </c>
    </row>
    <row r="222" spans="1:17" s="1" customFormat="1" ht="11.45">
      <c r="A222" s="11" t="s">
        <v>18560</v>
      </c>
      <c r="B222" s="12">
        <v>44433</v>
      </c>
      <c r="C222" s="11">
        <v>2021</v>
      </c>
      <c r="D222" s="11" t="s">
        <v>16952</v>
      </c>
      <c r="E222" s="11" t="s">
        <v>16953</v>
      </c>
      <c r="F222" s="11" t="s">
        <v>20155</v>
      </c>
      <c r="G222" s="11" t="s">
        <v>20318</v>
      </c>
      <c r="H222" s="12">
        <v>44456</v>
      </c>
      <c r="I222" s="11">
        <v>44016</v>
      </c>
      <c r="J222" s="25">
        <v>1</v>
      </c>
      <c r="K222" s="11">
        <v>0</v>
      </c>
      <c r="L222" s="15"/>
      <c r="M222" s="11">
        <v>0</v>
      </c>
      <c r="N222" s="15"/>
      <c r="O222" s="11">
        <v>0</v>
      </c>
      <c r="P222" s="25"/>
      <c r="Q222" s="11">
        <v>44016</v>
      </c>
    </row>
    <row r="223" spans="1:17" s="1" customFormat="1" ht="11.45">
      <c r="A223" s="11" t="s">
        <v>18561</v>
      </c>
      <c r="B223" s="12">
        <v>44434</v>
      </c>
      <c r="C223" s="11">
        <v>2021</v>
      </c>
      <c r="D223" s="11" t="s">
        <v>17276</v>
      </c>
      <c r="E223" s="11" t="s">
        <v>17277</v>
      </c>
      <c r="F223" s="11" t="s">
        <v>20155</v>
      </c>
      <c r="G223" s="11" t="s">
        <v>20297</v>
      </c>
      <c r="H223" s="12">
        <v>44448</v>
      </c>
      <c r="I223" s="11">
        <v>76800</v>
      </c>
      <c r="J223" s="25">
        <v>1</v>
      </c>
      <c r="K223" s="11">
        <v>0</v>
      </c>
      <c r="L223" s="15"/>
      <c r="M223" s="11">
        <v>0</v>
      </c>
      <c r="N223" s="15"/>
      <c r="O223" s="11">
        <v>0</v>
      </c>
      <c r="P223" s="25"/>
      <c r="Q223" s="11">
        <v>76800</v>
      </c>
    </row>
    <row r="224" spans="1:17" s="1" customFormat="1" ht="11.45">
      <c r="A224" s="11" t="s">
        <v>18562</v>
      </c>
      <c r="B224" s="12">
        <v>44435</v>
      </c>
      <c r="C224" s="11">
        <v>2021</v>
      </c>
      <c r="D224" s="11" t="s">
        <v>17017</v>
      </c>
      <c r="E224" s="11" t="s">
        <v>17018</v>
      </c>
      <c r="F224" s="11" t="s">
        <v>20155</v>
      </c>
      <c r="G224" s="11" t="s">
        <v>18064</v>
      </c>
      <c r="H224" s="12">
        <v>44447</v>
      </c>
      <c r="I224" s="11">
        <v>0</v>
      </c>
      <c r="J224" s="25"/>
      <c r="K224" s="11">
        <v>20000</v>
      </c>
      <c r="L224" s="25">
        <v>1</v>
      </c>
      <c r="M224" s="11">
        <v>0</v>
      </c>
      <c r="N224" s="15"/>
      <c r="O224" s="11">
        <v>0</v>
      </c>
      <c r="P224" s="25"/>
      <c r="Q224" s="11">
        <v>20000</v>
      </c>
    </row>
    <row r="225" spans="1:17" s="1" customFormat="1" ht="11.45">
      <c r="A225" s="11" t="s">
        <v>18563</v>
      </c>
      <c r="B225" s="12">
        <v>44446</v>
      </c>
      <c r="C225" s="11">
        <v>2021</v>
      </c>
      <c r="D225" s="11" t="s">
        <v>16904</v>
      </c>
      <c r="E225" s="11" t="s">
        <v>16905</v>
      </c>
      <c r="F225" s="11" t="s">
        <v>20155</v>
      </c>
      <c r="G225" s="11" t="s">
        <v>20160</v>
      </c>
      <c r="H225" s="12">
        <v>44467</v>
      </c>
      <c r="I225" s="11">
        <v>0</v>
      </c>
      <c r="J225" s="25"/>
      <c r="K225" s="11">
        <v>16944</v>
      </c>
      <c r="L225" s="25">
        <v>1</v>
      </c>
      <c r="M225" s="11">
        <v>10392</v>
      </c>
      <c r="N225" s="25">
        <v>1</v>
      </c>
      <c r="O225" s="11">
        <v>0</v>
      </c>
      <c r="P225" s="25"/>
      <c r="Q225" s="11">
        <v>27336</v>
      </c>
    </row>
    <row r="226" spans="1:17" s="1" customFormat="1" ht="11.45">
      <c r="A226" s="11" t="s">
        <v>18564</v>
      </c>
      <c r="B226" s="12">
        <v>44446</v>
      </c>
      <c r="C226" s="11">
        <v>2021</v>
      </c>
      <c r="D226" s="11" t="s">
        <v>16880</v>
      </c>
      <c r="E226" s="11" t="s">
        <v>16881</v>
      </c>
      <c r="F226" s="11" t="s">
        <v>20155</v>
      </c>
      <c r="G226" s="11" t="s">
        <v>20156</v>
      </c>
      <c r="H226" s="12">
        <v>44455</v>
      </c>
      <c r="I226" s="11">
        <v>0</v>
      </c>
      <c r="J226" s="25"/>
      <c r="K226" s="11">
        <v>20000</v>
      </c>
      <c r="L226" s="25">
        <v>1</v>
      </c>
      <c r="M226" s="11">
        <v>0</v>
      </c>
      <c r="N226" s="15"/>
      <c r="O226" s="11">
        <v>0</v>
      </c>
      <c r="P226" s="25"/>
      <c r="Q226" s="11">
        <v>20000</v>
      </c>
    </row>
    <row r="227" spans="1:17" s="1" customFormat="1" ht="11.45">
      <c r="A227" s="11" t="s">
        <v>18565</v>
      </c>
      <c r="B227" s="12">
        <v>44446</v>
      </c>
      <c r="C227" s="11">
        <v>2021</v>
      </c>
      <c r="D227" s="11" t="s">
        <v>17295</v>
      </c>
      <c r="E227" s="11" t="s">
        <v>17296</v>
      </c>
      <c r="F227" s="11" t="s">
        <v>20155</v>
      </c>
      <c r="G227" s="11" t="s">
        <v>16394</v>
      </c>
      <c r="H227" s="12">
        <v>44467</v>
      </c>
      <c r="I227" s="11">
        <v>3840</v>
      </c>
      <c r="J227" s="25">
        <v>1</v>
      </c>
      <c r="K227" s="11">
        <v>4536</v>
      </c>
      <c r="L227" s="25">
        <v>1</v>
      </c>
      <c r="M227" s="11">
        <v>0</v>
      </c>
      <c r="N227" s="15"/>
      <c r="O227" s="11">
        <v>6720</v>
      </c>
      <c r="P227" s="25">
        <v>1</v>
      </c>
      <c r="Q227" s="11">
        <v>15096</v>
      </c>
    </row>
    <row r="228" spans="1:17" s="1" customFormat="1" ht="11.45">
      <c r="A228" s="11" t="s">
        <v>18567</v>
      </c>
      <c r="B228" s="12">
        <v>44446</v>
      </c>
      <c r="C228" s="11">
        <v>2021</v>
      </c>
      <c r="D228" s="11" t="s">
        <v>17297</v>
      </c>
      <c r="E228" s="11" t="s">
        <v>17298</v>
      </c>
      <c r="F228" s="11" t="s">
        <v>20155</v>
      </c>
      <c r="G228" s="11" t="s">
        <v>20319</v>
      </c>
      <c r="H228" s="12">
        <v>44468</v>
      </c>
      <c r="I228" s="11">
        <v>21600</v>
      </c>
      <c r="J228" s="25">
        <v>1</v>
      </c>
      <c r="K228" s="11">
        <v>0</v>
      </c>
      <c r="L228" s="25"/>
      <c r="M228" s="11">
        <v>0</v>
      </c>
      <c r="N228" s="15"/>
      <c r="O228" s="11">
        <v>0</v>
      </c>
      <c r="P228" s="25"/>
      <c r="Q228" s="11">
        <v>21600</v>
      </c>
    </row>
    <row r="229" spans="1:17" s="1" customFormat="1" ht="11.45">
      <c r="A229" s="11" t="s">
        <v>18569</v>
      </c>
      <c r="B229" s="12">
        <v>44447</v>
      </c>
      <c r="C229" s="11">
        <v>2021</v>
      </c>
      <c r="D229" s="11" t="s">
        <v>16444</v>
      </c>
      <c r="E229" s="11" t="s">
        <v>16445</v>
      </c>
      <c r="F229" s="11" t="s">
        <v>20155</v>
      </c>
      <c r="G229" s="11" t="s">
        <v>18248</v>
      </c>
      <c r="H229" s="12">
        <v>44452</v>
      </c>
      <c r="I229" s="11">
        <v>12000</v>
      </c>
      <c r="J229" s="25">
        <v>1</v>
      </c>
      <c r="K229" s="11">
        <v>38700</v>
      </c>
      <c r="L229" s="15" t="s">
        <v>20296</v>
      </c>
      <c r="M229" s="11">
        <v>0</v>
      </c>
      <c r="N229" s="15"/>
      <c r="O229" s="11">
        <v>0</v>
      </c>
      <c r="P229" s="25"/>
      <c r="Q229" s="11">
        <v>50700</v>
      </c>
    </row>
    <row r="230" spans="1:17" s="1" customFormat="1" ht="11.45">
      <c r="A230" s="11" t="s">
        <v>18570</v>
      </c>
      <c r="B230" s="12">
        <v>44448</v>
      </c>
      <c r="C230" s="11">
        <v>2021</v>
      </c>
      <c r="D230" s="11" t="s">
        <v>16444</v>
      </c>
      <c r="E230" s="11" t="s">
        <v>16445</v>
      </c>
      <c r="F230" s="11" t="s">
        <v>20155</v>
      </c>
      <c r="G230" s="11" t="s">
        <v>17693</v>
      </c>
      <c r="H230" s="12">
        <v>44453</v>
      </c>
      <c r="I230" s="11">
        <v>20750</v>
      </c>
      <c r="J230" s="25">
        <v>1</v>
      </c>
      <c r="K230" s="11">
        <v>0</v>
      </c>
      <c r="L230" s="25"/>
      <c r="M230" s="11">
        <v>0</v>
      </c>
      <c r="N230" s="15"/>
      <c r="O230" s="11">
        <v>0</v>
      </c>
      <c r="P230" s="25"/>
      <c r="Q230" s="11">
        <v>20750</v>
      </c>
    </row>
    <row r="231" spans="1:17" s="1" customFormat="1" ht="11.45">
      <c r="A231" s="11" t="s">
        <v>18571</v>
      </c>
      <c r="B231" s="12">
        <v>44452</v>
      </c>
      <c r="C231" s="11">
        <v>2021</v>
      </c>
      <c r="D231" s="11" t="s">
        <v>16972</v>
      </c>
      <c r="E231" s="11" t="s">
        <v>16973</v>
      </c>
      <c r="F231" s="11" t="s">
        <v>20155</v>
      </c>
      <c r="G231" s="11" t="s">
        <v>17801</v>
      </c>
      <c r="H231" s="12">
        <v>44456</v>
      </c>
      <c r="I231" s="11">
        <v>0</v>
      </c>
      <c r="J231" s="25"/>
      <c r="K231" s="11">
        <v>0</v>
      </c>
      <c r="L231" s="25"/>
      <c r="M231" s="11">
        <v>280000</v>
      </c>
      <c r="N231" s="27" t="s">
        <v>20300</v>
      </c>
      <c r="O231" s="11">
        <v>0</v>
      </c>
      <c r="P231" s="25"/>
      <c r="Q231" s="11">
        <v>280000</v>
      </c>
    </row>
    <row r="232" spans="1:17" s="1" customFormat="1" ht="11.45">
      <c r="A232" s="11" t="s">
        <v>18572</v>
      </c>
      <c r="B232" s="12">
        <v>44457</v>
      </c>
      <c r="C232" s="11">
        <v>2021</v>
      </c>
      <c r="D232" s="11" t="s">
        <v>16972</v>
      </c>
      <c r="E232" s="11" t="s">
        <v>16973</v>
      </c>
      <c r="F232" s="11" t="s">
        <v>20155</v>
      </c>
      <c r="G232" s="11" t="s">
        <v>17801</v>
      </c>
      <c r="H232" s="12">
        <v>44464</v>
      </c>
      <c r="I232" s="11">
        <v>0</v>
      </c>
      <c r="J232" s="25"/>
      <c r="K232" s="11">
        <v>0</v>
      </c>
      <c r="L232" s="25"/>
      <c r="M232" s="11">
        <v>280000</v>
      </c>
      <c r="N232" s="27" t="s">
        <v>20300</v>
      </c>
      <c r="O232" s="11">
        <v>0</v>
      </c>
      <c r="P232" s="25"/>
      <c r="Q232" s="11">
        <v>280000</v>
      </c>
    </row>
    <row r="233" spans="1:17" s="1" customFormat="1" ht="11.45">
      <c r="A233" s="11" t="s">
        <v>18573</v>
      </c>
      <c r="B233" s="12">
        <v>44459</v>
      </c>
      <c r="C233" s="11">
        <v>2021</v>
      </c>
      <c r="D233" s="11" t="s">
        <v>16838</v>
      </c>
      <c r="E233" s="11" t="s">
        <v>16839</v>
      </c>
      <c r="F233" s="11" t="s">
        <v>20155</v>
      </c>
      <c r="G233" s="11" t="s">
        <v>17771</v>
      </c>
      <c r="H233" s="12">
        <v>44462</v>
      </c>
      <c r="I233" s="11">
        <v>0</v>
      </c>
      <c r="J233" s="25"/>
      <c r="K233" s="11">
        <v>0</v>
      </c>
      <c r="L233" s="25"/>
      <c r="M233" s="11">
        <v>28000</v>
      </c>
      <c r="N233" s="27" t="s">
        <v>20300</v>
      </c>
      <c r="O233" s="11">
        <v>0</v>
      </c>
      <c r="P233" s="25"/>
      <c r="Q233" s="11">
        <v>28000</v>
      </c>
    </row>
    <row r="234" spans="1:17" s="1" customFormat="1" ht="11.45">
      <c r="A234" s="11" t="s">
        <v>18574</v>
      </c>
      <c r="B234" s="12">
        <v>44459</v>
      </c>
      <c r="C234" s="11">
        <v>2021</v>
      </c>
      <c r="D234" s="11" t="s">
        <v>16838</v>
      </c>
      <c r="E234" s="11" t="s">
        <v>16839</v>
      </c>
      <c r="F234" s="11" t="s">
        <v>20155</v>
      </c>
      <c r="G234" s="11" t="s">
        <v>17771</v>
      </c>
      <c r="H234" s="12">
        <v>44462</v>
      </c>
      <c r="I234" s="11">
        <v>0</v>
      </c>
      <c r="J234" s="25"/>
      <c r="K234" s="11">
        <v>0</v>
      </c>
      <c r="L234" s="25"/>
      <c r="M234" s="11">
        <v>28000</v>
      </c>
      <c r="N234" s="27" t="s">
        <v>20300</v>
      </c>
      <c r="O234" s="11">
        <v>0</v>
      </c>
      <c r="P234" s="25"/>
      <c r="Q234" s="11">
        <v>28000</v>
      </c>
    </row>
    <row r="235" spans="1:17" s="1" customFormat="1" ht="11.45">
      <c r="A235" s="11" t="s">
        <v>18575</v>
      </c>
      <c r="B235" s="12">
        <v>44460</v>
      </c>
      <c r="C235" s="11">
        <v>2021</v>
      </c>
      <c r="D235" s="11" t="s">
        <v>16838</v>
      </c>
      <c r="E235" s="11" t="s">
        <v>16839</v>
      </c>
      <c r="F235" s="11" t="s">
        <v>20155</v>
      </c>
      <c r="G235" s="11" t="s">
        <v>17798</v>
      </c>
      <c r="H235" s="12">
        <v>44468</v>
      </c>
      <c r="I235" s="11">
        <v>0</v>
      </c>
      <c r="J235" s="25"/>
      <c r="K235" s="11">
        <v>44016</v>
      </c>
      <c r="L235" s="27" t="s">
        <v>20300</v>
      </c>
      <c r="M235" s="11">
        <v>0</v>
      </c>
      <c r="N235" s="15"/>
      <c r="O235" s="11">
        <v>0</v>
      </c>
      <c r="P235" s="25"/>
      <c r="Q235" s="11">
        <v>44016</v>
      </c>
    </row>
    <row r="236" spans="1:17" s="1" customFormat="1" ht="11.45">
      <c r="A236" s="11" t="s">
        <v>18576</v>
      </c>
      <c r="B236" s="12">
        <v>44463</v>
      </c>
      <c r="C236" s="11">
        <v>2021</v>
      </c>
      <c r="D236" s="11" t="s">
        <v>17226</v>
      </c>
      <c r="E236" s="11" t="s">
        <v>17227</v>
      </c>
      <c r="F236" s="11" t="s">
        <v>20155</v>
      </c>
      <c r="G236" s="11" t="s">
        <v>17689</v>
      </c>
      <c r="H236" s="12">
        <v>44473</v>
      </c>
      <c r="I236" s="11">
        <v>0</v>
      </c>
      <c r="J236" s="25"/>
      <c r="K236" s="11">
        <v>50800</v>
      </c>
      <c r="L236" s="25">
        <v>1</v>
      </c>
      <c r="M236" s="11">
        <v>12000</v>
      </c>
      <c r="N236" s="25">
        <v>1</v>
      </c>
      <c r="O236" s="11">
        <v>14400</v>
      </c>
      <c r="P236" s="25">
        <v>1</v>
      </c>
      <c r="Q236" s="11">
        <v>77200</v>
      </c>
    </row>
    <row r="237" spans="1:17" s="1" customFormat="1" ht="11.45">
      <c r="A237" s="11" t="s">
        <v>18577</v>
      </c>
      <c r="B237" s="12">
        <v>44467</v>
      </c>
      <c r="C237" s="11">
        <v>2021</v>
      </c>
      <c r="D237" s="11" t="s">
        <v>16444</v>
      </c>
      <c r="E237" s="11" t="s">
        <v>16445</v>
      </c>
      <c r="F237" s="11" t="s">
        <v>20155</v>
      </c>
      <c r="G237" s="11" t="s">
        <v>17801</v>
      </c>
      <c r="H237" s="12">
        <v>44482</v>
      </c>
      <c r="I237" s="11">
        <v>66024</v>
      </c>
      <c r="J237" s="25">
        <v>1</v>
      </c>
      <c r="K237" s="11">
        <v>0</v>
      </c>
      <c r="L237" s="25"/>
      <c r="M237" s="11">
        <v>0</v>
      </c>
      <c r="N237" s="15"/>
      <c r="O237" s="11">
        <v>0</v>
      </c>
      <c r="P237" s="25"/>
      <c r="Q237" s="11">
        <v>66024</v>
      </c>
    </row>
    <row r="238" spans="1:17" s="1" customFormat="1" ht="11.45">
      <c r="A238" s="11" t="s">
        <v>18578</v>
      </c>
      <c r="B238" s="12">
        <v>44467</v>
      </c>
      <c r="C238" s="11">
        <v>2021</v>
      </c>
      <c r="D238" s="11" t="s">
        <v>16444</v>
      </c>
      <c r="E238" s="11" t="s">
        <v>16445</v>
      </c>
      <c r="F238" s="11" t="s">
        <v>20155</v>
      </c>
      <c r="G238" s="11" t="s">
        <v>17854</v>
      </c>
      <c r="H238" s="12">
        <v>44492</v>
      </c>
      <c r="I238" s="11">
        <v>54000</v>
      </c>
      <c r="J238" s="25">
        <v>1</v>
      </c>
      <c r="K238" s="11">
        <v>0</v>
      </c>
      <c r="L238" s="25"/>
      <c r="M238" s="11">
        <v>0</v>
      </c>
      <c r="N238" s="15"/>
      <c r="O238" s="11">
        <v>0</v>
      </c>
      <c r="P238" s="25"/>
      <c r="Q238" s="11">
        <v>54000</v>
      </c>
    </row>
    <row r="239" spans="1:17" s="1" customFormat="1" ht="11.45">
      <c r="A239" s="11" t="s">
        <v>18579</v>
      </c>
      <c r="B239" s="12">
        <v>44474</v>
      </c>
      <c r="C239" s="11">
        <v>2021</v>
      </c>
      <c r="D239" s="11" t="s">
        <v>17017</v>
      </c>
      <c r="E239" s="11" t="s">
        <v>17018</v>
      </c>
      <c r="F239" s="11" t="s">
        <v>20155</v>
      </c>
      <c r="G239" s="11" t="s">
        <v>18283</v>
      </c>
      <c r="H239" s="12">
        <v>44480</v>
      </c>
      <c r="I239" s="11">
        <v>0</v>
      </c>
      <c r="J239" s="25"/>
      <c r="K239" s="11">
        <v>41000</v>
      </c>
      <c r="L239" s="25">
        <v>1</v>
      </c>
      <c r="M239" s="11">
        <v>0</v>
      </c>
      <c r="N239" s="15"/>
      <c r="O239" s="11">
        <v>0</v>
      </c>
      <c r="P239" s="25"/>
      <c r="Q239" s="11">
        <v>41000</v>
      </c>
    </row>
    <row r="240" spans="1:17" s="1" customFormat="1" ht="11.45">
      <c r="A240" s="11" t="s">
        <v>18580</v>
      </c>
      <c r="B240" s="12">
        <v>44474</v>
      </c>
      <c r="C240" s="11">
        <v>2021</v>
      </c>
      <c r="D240" s="11" t="s">
        <v>16972</v>
      </c>
      <c r="E240" s="11" t="s">
        <v>16973</v>
      </c>
      <c r="F240" s="11" t="s">
        <v>20155</v>
      </c>
      <c r="G240" s="11" t="s">
        <v>17801</v>
      </c>
      <c r="H240" s="12">
        <v>44483</v>
      </c>
      <c r="I240" s="11">
        <v>0</v>
      </c>
      <c r="J240" s="25"/>
      <c r="K240" s="11">
        <v>0</v>
      </c>
      <c r="L240" s="25"/>
      <c r="M240" s="11">
        <v>560000</v>
      </c>
      <c r="N240" s="27" t="s">
        <v>20300</v>
      </c>
      <c r="O240" s="14">
        <v>0</v>
      </c>
      <c r="P240" s="25"/>
      <c r="Q240" s="11">
        <v>560000</v>
      </c>
    </row>
    <row r="241" spans="1:17" s="1" customFormat="1" ht="11.45">
      <c r="A241" s="11" t="s">
        <v>18581</v>
      </c>
      <c r="B241" s="12">
        <v>44474</v>
      </c>
      <c r="C241" s="11">
        <v>2021</v>
      </c>
      <c r="D241" s="11" t="s">
        <v>16444</v>
      </c>
      <c r="E241" s="11" t="s">
        <v>16445</v>
      </c>
      <c r="F241" s="11" t="s">
        <v>20155</v>
      </c>
      <c r="G241" s="11" t="s">
        <v>17693</v>
      </c>
      <c r="H241" s="12">
        <v>44480</v>
      </c>
      <c r="I241" s="11">
        <v>21600</v>
      </c>
      <c r="J241" s="25">
        <v>1</v>
      </c>
      <c r="K241" s="11">
        <v>0</v>
      </c>
      <c r="L241" s="25"/>
      <c r="M241" s="11">
        <v>0</v>
      </c>
      <c r="N241" s="15"/>
      <c r="O241" s="11">
        <v>0</v>
      </c>
      <c r="P241" s="25"/>
      <c r="Q241" s="11">
        <v>21600</v>
      </c>
    </row>
    <row r="242" spans="1:17" s="1" customFormat="1" ht="11.45">
      <c r="A242" s="11" t="s">
        <v>18582</v>
      </c>
      <c r="B242" s="12">
        <v>44475</v>
      </c>
      <c r="C242" s="11">
        <v>2021</v>
      </c>
      <c r="D242" s="11" t="s">
        <v>16957</v>
      </c>
      <c r="E242" s="11" t="s">
        <v>16958</v>
      </c>
      <c r="F242" s="11" t="s">
        <v>20155</v>
      </c>
      <c r="G242" s="11" t="s">
        <v>20161</v>
      </c>
      <c r="H242" s="12">
        <v>44489</v>
      </c>
      <c r="I242" s="11">
        <v>40000</v>
      </c>
      <c r="J242" s="25">
        <v>1</v>
      </c>
      <c r="K242" s="11">
        <v>0</v>
      </c>
      <c r="L242" s="25"/>
      <c r="M242" s="11">
        <v>0</v>
      </c>
      <c r="N242" s="15"/>
      <c r="O242" s="11">
        <v>0</v>
      </c>
      <c r="P242" s="25"/>
      <c r="Q242" s="11">
        <v>40000</v>
      </c>
    </row>
    <row r="243" spans="1:17" s="1" customFormat="1" ht="11.45">
      <c r="A243" s="11" t="s">
        <v>18583</v>
      </c>
      <c r="B243" s="12">
        <v>44476</v>
      </c>
      <c r="C243" s="11">
        <v>2021</v>
      </c>
      <c r="D243" s="11" t="s">
        <v>16444</v>
      </c>
      <c r="E243" s="11" t="s">
        <v>16445</v>
      </c>
      <c r="F243" s="11" t="s">
        <v>20155</v>
      </c>
      <c r="G243" s="11" t="s">
        <v>18248</v>
      </c>
      <c r="H243" s="12">
        <v>44482</v>
      </c>
      <c r="I243" s="11">
        <v>19200</v>
      </c>
      <c r="J243" s="25">
        <v>1</v>
      </c>
      <c r="K243" s="11">
        <v>0</v>
      </c>
      <c r="L243" s="25"/>
      <c r="M243" s="11">
        <v>0</v>
      </c>
      <c r="N243" s="15"/>
      <c r="O243" s="11">
        <v>0</v>
      </c>
      <c r="P243" s="25"/>
      <c r="Q243" s="11">
        <v>19200</v>
      </c>
    </row>
    <row r="244" spans="1:17" s="1" customFormat="1" ht="11.45">
      <c r="A244" s="11" t="s">
        <v>18584</v>
      </c>
      <c r="B244" s="12">
        <v>44481</v>
      </c>
      <c r="C244" s="11">
        <v>2021</v>
      </c>
      <c r="D244" s="11" t="s">
        <v>16904</v>
      </c>
      <c r="E244" s="11" t="s">
        <v>16905</v>
      </c>
      <c r="F244" s="11" t="s">
        <v>20155</v>
      </c>
      <c r="G244" s="11" t="s">
        <v>20160</v>
      </c>
      <c r="H244" s="12">
        <v>44490</v>
      </c>
      <c r="I244" s="11">
        <v>0</v>
      </c>
      <c r="J244" s="25"/>
      <c r="K244" s="11">
        <v>21756</v>
      </c>
      <c r="L244" s="25">
        <v>1</v>
      </c>
      <c r="M244" s="11">
        <v>5580</v>
      </c>
      <c r="N244" s="25">
        <v>1</v>
      </c>
      <c r="O244" s="11">
        <v>0</v>
      </c>
      <c r="P244" s="25"/>
      <c r="Q244" s="11">
        <v>27336</v>
      </c>
    </row>
    <row r="245" spans="1:17" s="1" customFormat="1" ht="11.45">
      <c r="A245" s="11" t="s">
        <v>18585</v>
      </c>
      <c r="B245" s="12">
        <v>44481</v>
      </c>
      <c r="C245" s="11">
        <v>2021</v>
      </c>
      <c r="D245" s="11" t="s">
        <v>17278</v>
      </c>
      <c r="E245" s="11" t="s">
        <v>17279</v>
      </c>
      <c r="F245" s="11" t="s">
        <v>20155</v>
      </c>
      <c r="G245" s="11" t="s">
        <v>20173</v>
      </c>
      <c r="H245" s="12">
        <v>44491</v>
      </c>
      <c r="I245" s="11">
        <v>0</v>
      </c>
      <c r="J245" s="25"/>
      <c r="K245" s="11">
        <v>120480</v>
      </c>
      <c r="L245" s="295" t="s">
        <v>20320</v>
      </c>
      <c r="M245" s="11">
        <v>0</v>
      </c>
      <c r="N245" s="15"/>
      <c r="O245" s="11">
        <v>0</v>
      </c>
      <c r="P245" s="25"/>
      <c r="Q245" s="11">
        <v>120480</v>
      </c>
    </row>
    <row r="246" spans="1:17" s="1" customFormat="1" ht="11.45">
      <c r="A246" s="11" t="s">
        <v>18586</v>
      </c>
      <c r="B246" s="12">
        <v>44482</v>
      </c>
      <c r="C246" s="11">
        <v>2021</v>
      </c>
      <c r="D246" s="11" t="s">
        <v>16560</v>
      </c>
      <c r="E246" s="11" t="s">
        <v>16561</v>
      </c>
      <c r="F246" s="11" t="s">
        <v>20155</v>
      </c>
      <c r="G246" s="11" t="s">
        <v>17801</v>
      </c>
      <c r="H246" s="12">
        <v>44496</v>
      </c>
      <c r="I246" s="11">
        <v>0</v>
      </c>
      <c r="J246" s="25"/>
      <c r="K246" s="11">
        <v>0</v>
      </c>
      <c r="L246" s="25"/>
      <c r="M246" s="11">
        <v>108000</v>
      </c>
      <c r="N246" s="27" t="s">
        <v>20300</v>
      </c>
      <c r="O246" s="11">
        <v>0</v>
      </c>
      <c r="P246" s="25"/>
      <c r="Q246" s="11">
        <v>108000</v>
      </c>
    </row>
    <row r="247" spans="1:17" s="1" customFormat="1" ht="11.45">
      <c r="A247" s="11" t="s">
        <v>18587</v>
      </c>
      <c r="B247" s="12">
        <v>44482</v>
      </c>
      <c r="C247" s="11">
        <v>2021</v>
      </c>
      <c r="D247" s="11" t="s">
        <v>16560</v>
      </c>
      <c r="E247" s="11" t="s">
        <v>16561</v>
      </c>
      <c r="F247" s="11" t="s">
        <v>20155</v>
      </c>
      <c r="G247" s="11" t="s">
        <v>17801</v>
      </c>
      <c r="H247" s="12">
        <v>44497</v>
      </c>
      <c r="I247" s="11">
        <v>0</v>
      </c>
      <c r="J247" s="25"/>
      <c r="K247" s="11">
        <v>0</v>
      </c>
      <c r="L247" s="25"/>
      <c r="M247" s="11">
        <v>108000</v>
      </c>
      <c r="N247" s="27" t="s">
        <v>20300</v>
      </c>
      <c r="O247" s="11">
        <v>0</v>
      </c>
      <c r="P247" s="25"/>
      <c r="Q247" s="11">
        <v>108000</v>
      </c>
    </row>
    <row r="248" spans="1:17" s="1" customFormat="1" ht="11.45">
      <c r="A248" s="11" t="s">
        <v>18588</v>
      </c>
      <c r="B248" s="12">
        <v>44482</v>
      </c>
      <c r="C248" s="11">
        <v>2021</v>
      </c>
      <c r="D248" s="11" t="s">
        <v>16560</v>
      </c>
      <c r="E248" s="11" t="s">
        <v>16561</v>
      </c>
      <c r="F248" s="11" t="s">
        <v>20155</v>
      </c>
      <c r="G248" s="11" t="s">
        <v>17801</v>
      </c>
      <c r="H248" s="12">
        <v>44498</v>
      </c>
      <c r="I248" s="11">
        <v>0</v>
      </c>
      <c r="J248" s="25"/>
      <c r="K248" s="11">
        <v>0</v>
      </c>
      <c r="L248" s="25"/>
      <c r="M248" s="11">
        <v>108000</v>
      </c>
      <c r="N248" s="27" t="s">
        <v>20300</v>
      </c>
      <c r="O248" s="11">
        <v>0</v>
      </c>
      <c r="P248" s="25"/>
      <c r="Q248" s="11">
        <v>108000</v>
      </c>
    </row>
    <row r="249" spans="1:17" s="1" customFormat="1" ht="11.45">
      <c r="A249" s="11" t="s">
        <v>18589</v>
      </c>
      <c r="B249" s="12">
        <v>44482</v>
      </c>
      <c r="C249" s="11">
        <v>2021</v>
      </c>
      <c r="D249" s="11" t="s">
        <v>16560</v>
      </c>
      <c r="E249" s="11" t="s">
        <v>16561</v>
      </c>
      <c r="F249" s="11" t="s">
        <v>20155</v>
      </c>
      <c r="G249" s="11" t="s">
        <v>17801</v>
      </c>
      <c r="H249" s="12">
        <v>44499</v>
      </c>
      <c r="I249" s="11">
        <v>0</v>
      </c>
      <c r="J249" s="25"/>
      <c r="K249" s="11">
        <v>0</v>
      </c>
      <c r="L249" s="25"/>
      <c r="M249" s="11">
        <v>108000</v>
      </c>
      <c r="N249" s="27" t="s">
        <v>20300</v>
      </c>
      <c r="O249" s="11">
        <v>0</v>
      </c>
      <c r="P249" s="25"/>
      <c r="Q249" s="11">
        <v>108000</v>
      </c>
    </row>
    <row r="250" spans="1:17" s="1" customFormat="1" ht="11.45">
      <c r="A250" s="11" t="s">
        <v>18590</v>
      </c>
      <c r="B250" s="12">
        <v>44488</v>
      </c>
      <c r="C250" s="11">
        <v>2021</v>
      </c>
      <c r="D250" s="11" t="s">
        <v>16779</v>
      </c>
      <c r="E250" s="11" t="s">
        <v>16780</v>
      </c>
      <c r="F250" s="11" t="s">
        <v>20155</v>
      </c>
      <c r="G250" s="11" t="s">
        <v>16394</v>
      </c>
      <c r="H250" s="12">
        <v>44501</v>
      </c>
      <c r="I250" s="11">
        <v>300</v>
      </c>
      <c r="J250" s="25">
        <v>1</v>
      </c>
      <c r="K250" s="11">
        <v>16896</v>
      </c>
      <c r="L250" s="25"/>
      <c r="M250" s="11">
        <v>6360</v>
      </c>
      <c r="N250" s="25">
        <v>1</v>
      </c>
      <c r="O250" s="11">
        <v>1160</v>
      </c>
      <c r="P250" s="25">
        <v>1</v>
      </c>
      <c r="Q250" s="11">
        <v>24716</v>
      </c>
    </row>
    <row r="251" spans="1:17" s="1" customFormat="1" ht="11.45">
      <c r="A251" s="11" t="s">
        <v>18591</v>
      </c>
      <c r="B251" s="12">
        <v>44488</v>
      </c>
      <c r="C251" s="11">
        <v>2021</v>
      </c>
      <c r="D251" s="11" t="s">
        <v>16957</v>
      </c>
      <c r="E251" s="11" t="s">
        <v>16958</v>
      </c>
      <c r="F251" s="11" t="s">
        <v>20155</v>
      </c>
      <c r="G251" s="11" t="s">
        <v>20161</v>
      </c>
      <c r="H251" s="12">
        <v>44498</v>
      </c>
      <c r="I251" s="11">
        <v>60000</v>
      </c>
      <c r="J251" s="25">
        <v>1</v>
      </c>
      <c r="K251" s="11">
        <v>0</v>
      </c>
      <c r="L251" s="25"/>
      <c r="M251" s="11">
        <v>0</v>
      </c>
      <c r="N251" s="15"/>
      <c r="O251" s="11">
        <v>0</v>
      </c>
      <c r="P251" s="25"/>
      <c r="Q251" s="11">
        <v>60000</v>
      </c>
    </row>
    <row r="252" spans="1:17" s="1" customFormat="1" ht="11.45">
      <c r="A252" s="11" t="s">
        <v>18592</v>
      </c>
      <c r="B252" s="12">
        <v>44488</v>
      </c>
      <c r="C252" s="11">
        <v>2021</v>
      </c>
      <c r="D252" s="11" t="s">
        <v>16470</v>
      </c>
      <c r="E252" s="11" t="s">
        <v>16471</v>
      </c>
      <c r="F252" s="11" t="s">
        <v>20155</v>
      </c>
      <c r="G252" s="11" t="s">
        <v>20159</v>
      </c>
      <c r="H252" s="12">
        <v>44517</v>
      </c>
      <c r="I252" s="11">
        <v>14400</v>
      </c>
      <c r="J252" s="25">
        <v>1</v>
      </c>
      <c r="K252" s="11">
        <v>144396</v>
      </c>
      <c r="L252" s="295" t="s">
        <v>20320</v>
      </c>
      <c r="M252" s="11">
        <v>0</v>
      </c>
      <c r="N252" s="15"/>
      <c r="O252" s="11">
        <v>0</v>
      </c>
      <c r="P252" s="25"/>
      <c r="Q252" s="11">
        <v>158796</v>
      </c>
    </row>
    <row r="253" spans="1:17" s="1" customFormat="1" ht="11.45">
      <c r="A253" s="11" t="s">
        <v>18593</v>
      </c>
      <c r="B253" s="12">
        <v>44488</v>
      </c>
      <c r="C253" s="11">
        <v>2021</v>
      </c>
      <c r="D253" s="11" t="s">
        <v>16838</v>
      </c>
      <c r="E253" s="11" t="s">
        <v>16839</v>
      </c>
      <c r="F253" s="11" t="s">
        <v>20155</v>
      </c>
      <c r="G253" s="11" t="s">
        <v>20321</v>
      </c>
      <c r="H253" s="12">
        <v>44497</v>
      </c>
      <c r="I253" s="11">
        <v>0</v>
      </c>
      <c r="J253" s="25"/>
      <c r="K253" s="11">
        <v>66024</v>
      </c>
      <c r="L253" s="295" t="s">
        <v>20320</v>
      </c>
      <c r="M253" s="11">
        <v>0</v>
      </c>
      <c r="N253" s="15"/>
      <c r="O253" s="11">
        <v>0</v>
      </c>
      <c r="P253" s="25"/>
      <c r="Q253" s="11">
        <v>66024</v>
      </c>
    </row>
    <row r="254" spans="1:17" s="1" customFormat="1" ht="11.45">
      <c r="A254" s="11" t="s">
        <v>18594</v>
      </c>
      <c r="B254" s="12">
        <v>44488</v>
      </c>
      <c r="C254" s="11">
        <v>2021</v>
      </c>
      <c r="D254" s="11" t="s">
        <v>17278</v>
      </c>
      <c r="E254" s="11" t="s">
        <v>17279</v>
      </c>
      <c r="F254" s="11" t="s">
        <v>20155</v>
      </c>
      <c r="G254" s="11" t="s">
        <v>20173</v>
      </c>
      <c r="H254" s="12">
        <v>44497</v>
      </c>
      <c r="I254" s="11">
        <v>0</v>
      </c>
      <c r="J254" s="25"/>
      <c r="K254" s="11">
        <v>0</v>
      </c>
      <c r="L254" s="25"/>
      <c r="M254" s="11">
        <v>140000</v>
      </c>
      <c r="N254" s="295" t="s">
        <v>20320</v>
      </c>
      <c r="O254" s="11">
        <v>0</v>
      </c>
      <c r="P254" s="25"/>
      <c r="Q254" s="11">
        <v>140000</v>
      </c>
    </row>
    <row r="255" spans="1:17" s="1" customFormat="1" ht="11.45">
      <c r="A255" s="11" t="s">
        <v>18595</v>
      </c>
      <c r="B255" s="12">
        <v>44489</v>
      </c>
      <c r="C255" s="11">
        <v>2021</v>
      </c>
      <c r="D255" s="11" t="s">
        <v>17017</v>
      </c>
      <c r="E255" s="11" t="s">
        <v>17018</v>
      </c>
      <c r="F255" s="11" t="s">
        <v>20155</v>
      </c>
      <c r="G255" s="11" t="s">
        <v>17954</v>
      </c>
      <c r="H255" s="12">
        <v>44495</v>
      </c>
      <c r="I255" s="11">
        <v>0</v>
      </c>
      <c r="J255" s="25"/>
      <c r="K255" s="11">
        <v>17500.64</v>
      </c>
      <c r="L255" s="25">
        <v>1</v>
      </c>
      <c r="M255" s="11">
        <v>6356</v>
      </c>
      <c r="N255" s="15"/>
      <c r="O255" s="11">
        <v>2000</v>
      </c>
      <c r="P255" s="25"/>
      <c r="Q255" s="11">
        <v>25856.639999999999</v>
      </c>
    </row>
    <row r="256" spans="1:17" s="1" customFormat="1" ht="11.45">
      <c r="A256" s="11" t="s">
        <v>18596</v>
      </c>
      <c r="B256" s="12">
        <v>44490</v>
      </c>
      <c r="C256" s="11">
        <v>2021</v>
      </c>
      <c r="D256" s="11" t="s">
        <v>16444</v>
      </c>
      <c r="E256" s="11" t="s">
        <v>16445</v>
      </c>
      <c r="F256" s="11" t="s">
        <v>20155</v>
      </c>
      <c r="G256" s="11" t="s">
        <v>17693</v>
      </c>
      <c r="H256" s="12">
        <v>44557</v>
      </c>
      <c r="I256" s="11">
        <v>41500</v>
      </c>
      <c r="J256" s="25">
        <v>1</v>
      </c>
      <c r="K256" s="11">
        <v>0</v>
      </c>
      <c r="L256" s="25"/>
      <c r="M256" s="11">
        <v>0</v>
      </c>
      <c r="N256" s="15"/>
      <c r="O256" s="11">
        <v>0</v>
      </c>
      <c r="P256" s="25"/>
      <c r="Q256" s="11">
        <v>41500</v>
      </c>
    </row>
    <row r="257" spans="1:17" s="1" customFormat="1" ht="11.45">
      <c r="A257" s="11" t="s">
        <v>20322</v>
      </c>
      <c r="B257" s="12">
        <v>44490</v>
      </c>
      <c r="C257" s="11">
        <v>2021</v>
      </c>
      <c r="D257" s="11" t="s">
        <v>16444</v>
      </c>
      <c r="E257" s="11" t="s">
        <v>16445</v>
      </c>
      <c r="F257" s="11" t="s">
        <v>20164</v>
      </c>
      <c r="G257" s="11" t="s">
        <v>20164</v>
      </c>
      <c r="H257" s="12" t="s">
        <v>20164</v>
      </c>
      <c r="I257" s="11">
        <v>0</v>
      </c>
      <c r="J257" s="25">
        <v>1</v>
      </c>
      <c r="K257" s="11">
        <v>0</v>
      </c>
      <c r="L257" s="25"/>
      <c r="M257" s="11">
        <v>0</v>
      </c>
      <c r="N257" s="15"/>
      <c r="O257" s="11">
        <v>0</v>
      </c>
      <c r="P257" s="25"/>
      <c r="Q257" s="11">
        <v>0</v>
      </c>
    </row>
    <row r="258" spans="1:17" s="1" customFormat="1" ht="11.45">
      <c r="A258" s="11" t="s">
        <v>18597</v>
      </c>
      <c r="B258" s="12">
        <v>44492</v>
      </c>
      <c r="C258" s="11">
        <v>2021</v>
      </c>
      <c r="D258" s="11" t="s">
        <v>16444</v>
      </c>
      <c r="E258" s="11" t="s">
        <v>16445</v>
      </c>
      <c r="F258" s="11" t="s">
        <v>20155</v>
      </c>
      <c r="G258" s="11" t="s">
        <v>17854</v>
      </c>
      <c r="H258" s="12">
        <v>44506</v>
      </c>
      <c r="I258" s="11">
        <v>54000</v>
      </c>
      <c r="J258" s="25">
        <v>1</v>
      </c>
      <c r="K258" s="11">
        <v>0</v>
      </c>
      <c r="L258" s="25"/>
      <c r="M258" s="11">
        <v>0</v>
      </c>
      <c r="N258" s="15"/>
      <c r="O258" s="11">
        <v>0</v>
      </c>
      <c r="P258" s="25"/>
      <c r="Q258" s="11">
        <v>54000</v>
      </c>
    </row>
    <row r="259" spans="1:17" s="1" customFormat="1" ht="11.45">
      <c r="A259" s="11" t="s">
        <v>18598</v>
      </c>
      <c r="B259" s="12">
        <v>44498</v>
      </c>
      <c r="C259" s="11">
        <v>2021</v>
      </c>
      <c r="D259" s="11" t="s">
        <v>16880</v>
      </c>
      <c r="E259" s="11" t="s">
        <v>16881</v>
      </c>
      <c r="F259" s="11" t="s">
        <v>20155</v>
      </c>
      <c r="G259" s="11" t="s">
        <v>20156</v>
      </c>
      <c r="H259" s="12">
        <v>44511</v>
      </c>
      <c r="I259" s="11">
        <v>0</v>
      </c>
      <c r="J259" s="25"/>
      <c r="K259" s="11">
        <v>20160</v>
      </c>
      <c r="L259" s="25">
        <v>1</v>
      </c>
      <c r="M259" s="11">
        <v>0</v>
      </c>
      <c r="N259" s="15"/>
      <c r="O259" s="11">
        <v>0</v>
      </c>
      <c r="P259" s="25"/>
      <c r="Q259" s="11">
        <v>20160</v>
      </c>
    </row>
    <row r="260" spans="1:17" s="1" customFormat="1" ht="11.45">
      <c r="A260" s="11" t="s">
        <v>18599</v>
      </c>
      <c r="B260" s="12">
        <v>44498</v>
      </c>
      <c r="C260" s="11">
        <v>2021</v>
      </c>
      <c r="D260" s="11" t="s">
        <v>16904</v>
      </c>
      <c r="E260" s="11" t="s">
        <v>16905</v>
      </c>
      <c r="F260" s="11" t="s">
        <v>20302</v>
      </c>
      <c r="G260" s="11" t="s">
        <v>20160</v>
      </c>
      <c r="H260" s="12">
        <v>44504</v>
      </c>
      <c r="I260" s="11">
        <v>0</v>
      </c>
      <c r="J260" s="25"/>
      <c r="K260" s="11">
        <v>18936</v>
      </c>
      <c r="L260" s="25">
        <v>1</v>
      </c>
      <c r="M260" s="11">
        <v>8400</v>
      </c>
      <c r="N260" s="25">
        <v>1</v>
      </c>
      <c r="O260" s="11">
        <v>0</v>
      </c>
      <c r="P260" s="25"/>
      <c r="Q260" s="11">
        <v>27336</v>
      </c>
    </row>
    <row r="261" spans="1:17" s="1" customFormat="1" ht="11.45">
      <c r="A261" s="11" t="s">
        <v>18600</v>
      </c>
      <c r="B261" s="12">
        <v>44502</v>
      </c>
      <c r="C261" s="11">
        <v>2021</v>
      </c>
      <c r="D261" s="11" t="s">
        <v>17281</v>
      </c>
      <c r="E261" s="11" t="s">
        <v>17282</v>
      </c>
      <c r="F261" s="11" t="s">
        <v>20155</v>
      </c>
      <c r="G261" s="11" t="s">
        <v>16394</v>
      </c>
      <c r="H261" s="12">
        <v>44508</v>
      </c>
      <c r="I261" s="11">
        <v>0</v>
      </c>
      <c r="J261" s="25"/>
      <c r="K261" s="11">
        <v>0</v>
      </c>
      <c r="L261" s="25"/>
      <c r="M261" s="11">
        <v>0</v>
      </c>
      <c r="N261" s="15"/>
      <c r="O261" s="11">
        <v>11200</v>
      </c>
      <c r="P261" s="25">
        <v>1</v>
      </c>
      <c r="Q261" s="11">
        <v>11200</v>
      </c>
    </row>
    <row r="262" spans="1:17" s="1" customFormat="1" ht="11.45">
      <c r="A262" s="11" t="s">
        <v>18601</v>
      </c>
      <c r="B262" s="12">
        <v>44502</v>
      </c>
      <c r="C262" s="11">
        <v>2021</v>
      </c>
      <c r="D262" s="11" t="s">
        <v>17284</v>
      </c>
      <c r="E262" s="11" t="s">
        <v>17285</v>
      </c>
      <c r="F262" s="11" t="s">
        <v>20155</v>
      </c>
      <c r="G262" s="11" t="s">
        <v>20306</v>
      </c>
      <c r="H262" s="12">
        <v>44557</v>
      </c>
      <c r="I262" s="11">
        <v>1920</v>
      </c>
      <c r="J262" s="25">
        <v>1</v>
      </c>
      <c r="K262" s="11">
        <v>6840</v>
      </c>
      <c r="L262" s="25">
        <v>1</v>
      </c>
      <c r="M262" s="11">
        <v>0</v>
      </c>
      <c r="N262" s="15"/>
      <c r="O262" s="11">
        <v>2240</v>
      </c>
      <c r="P262" s="25">
        <v>1</v>
      </c>
      <c r="Q262" s="11">
        <v>11000</v>
      </c>
    </row>
    <row r="263" spans="1:17" s="1" customFormat="1" ht="11.45">
      <c r="A263" s="11" t="s">
        <v>18602</v>
      </c>
      <c r="B263" s="12">
        <v>44509</v>
      </c>
      <c r="C263" s="11">
        <v>2021</v>
      </c>
      <c r="D263" s="11" t="s">
        <v>16384</v>
      </c>
      <c r="E263" s="11" t="s">
        <v>16385</v>
      </c>
      <c r="F263" s="11" t="s">
        <v>20155</v>
      </c>
      <c r="G263" s="11" t="s">
        <v>17261</v>
      </c>
      <c r="H263" s="12">
        <v>44515</v>
      </c>
      <c r="I263" s="11">
        <v>0</v>
      </c>
      <c r="J263" s="25"/>
      <c r="K263" s="11">
        <v>0</v>
      </c>
      <c r="L263" s="25"/>
      <c r="M263" s="11">
        <v>280000</v>
      </c>
      <c r="N263" s="27" t="s">
        <v>20300</v>
      </c>
      <c r="O263" s="11">
        <v>0</v>
      </c>
      <c r="P263" s="25"/>
      <c r="Q263" s="11">
        <v>280000</v>
      </c>
    </row>
    <row r="264" spans="1:17" s="1" customFormat="1" ht="11.45">
      <c r="A264" s="11" t="s">
        <v>18603</v>
      </c>
      <c r="B264" s="12">
        <v>44509</v>
      </c>
      <c r="C264" s="11">
        <v>2021</v>
      </c>
      <c r="D264" s="11" t="s">
        <v>16838</v>
      </c>
      <c r="E264" s="11" t="s">
        <v>16839</v>
      </c>
      <c r="F264" s="11" t="s">
        <v>20155</v>
      </c>
      <c r="G264" s="11" t="s">
        <v>17949</v>
      </c>
      <c r="H264" s="12">
        <v>44518</v>
      </c>
      <c r="I264" s="11">
        <v>129224</v>
      </c>
      <c r="J264" s="25">
        <v>1</v>
      </c>
      <c r="K264" s="11">
        <v>10200</v>
      </c>
      <c r="L264" s="295" t="s">
        <v>20320</v>
      </c>
      <c r="M264" s="11">
        <v>28000</v>
      </c>
      <c r="N264" s="295" t="s">
        <v>20320</v>
      </c>
      <c r="O264" s="11">
        <v>0</v>
      </c>
      <c r="P264" s="25"/>
      <c r="Q264" s="11">
        <v>167424</v>
      </c>
    </row>
    <row r="265" spans="1:17" s="1" customFormat="1" ht="11.45">
      <c r="A265" s="11" t="s">
        <v>18604</v>
      </c>
      <c r="B265" s="12">
        <v>44509</v>
      </c>
      <c r="C265" s="11">
        <v>2021</v>
      </c>
      <c r="D265" s="11" t="s">
        <v>16643</v>
      </c>
      <c r="E265" s="11" t="s">
        <v>16644</v>
      </c>
      <c r="F265" s="11" t="s">
        <v>20155</v>
      </c>
      <c r="G265" s="11" t="s">
        <v>20159</v>
      </c>
      <c r="H265" s="12">
        <v>44516</v>
      </c>
      <c r="I265" s="11">
        <v>0</v>
      </c>
      <c r="J265" s="25"/>
      <c r="K265" s="11">
        <v>25200</v>
      </c>
      <c r="L265" s="295" t="s">
        <v>20320</v>
      </c>
      <c r="M265" s="11">
        <v>0</v>
      </c>
      <c r="N265" s="15"/>
      <c r="O265" s="11">
        <v>0</v>
      </c>
      <c r="P265" s="25"/>
      <c r="Q265" s="11">
        <v>25200</v>
      </c>
    </row>
    <row r="266" spans="1:17" s="1" customFormat="1" ht="11.45">
      <c r="A266" s="11" t="s">
        <v>18605</v>
      </c>
      <c r="B266" s="12">
        <v>44509</v>
      </c>
      <c r="C266" s="11">
        <v>2021</v>
      </c>
      <c r="D266" s="11" t="s">
        <v>17017</v>
      </c>
      <c r="E266" s="11" t="s">
        <v>17018</v>
      </c>
      <c r="F266" s="11" t="s">
        <v>20155</v>
      </c>
      <c r="G266" s="11" t="s">
        <v>18064</v>
      </c>
      <c r="H266" s="12">
        <v>44517</v>
      </c>
      <c r="I266" s="11">
        <v>0</v>
      </c>
      <c r="J266" s="25"/>
      <c r="K266" s="11">
        <v>20000</v>
      </c>
      <c r="L266" s="25">
        <v>1</v>
      </c>
      <c r="M266" s="11">
        <v>0</v>
      </c>
      <c r="N266" s="15"/>
      <c r="O266" s="11">
        <v>0</v>
      </c>
      <c r="P266" s="25"/>
      <c r="Q266" s="11">
        <v>20000</v>
      </c>
    </row>
    <row r="267" spans="1:17" s="1" customFormat="1" ht="11.45">
      <c r="A267" s="11" t="s">
        <v>18606</v>
      </c>
      <c r="B267" s="12">
        <v>44512</v>
      </c>
      <c r="C267" s="11">
        <v>2021</v>
      </c>
      <c r="D267" s="11" t="s">
        <v>17278</v>
      </c>
      <c r="E267" s="11" t="s">
        <v>17279</v>
      </c>
      <c r="F267" s="11" t="s">
        <v>20155</v>
      </c>
      <c r="G267" s="11" t="s">
        <v>20173</v>
      </c>
      <c r="H267" s="12">
        <v>44530</v>
      </c>
      <c r="I267" s="11">
        <v>0</v>
      </c>
      <c r="J267" s="25"/>
      <c r="K267" s="11">
        <v>0</v>
      </c>
      <c r="L267" s="25"/>
      <c r="M267" s="11">
        <v>139200</v>
      </c>
      <c r="N267" s="295" t="s">
        <v>20316</v>
      </c>
      <c r="O267" s="11">
        <v>0</v>
      </c>
      <c r="P267" s="25"/>
      <c r="Q267" s="11">
        <v>139200</v>
      </c>
    </row>
    <row r="268" spans="1:17" s="1" customFormat="1" ht="11.45">
      <c r="A268" s="11" t="s">
        <v>18607</v>
      </c>
      <c r="B268" s="12">
        <v>44515</v>
      </c>
      <c r="C268" s="11">
        <v>2021</v>
      </c>
      <c r="D268" s="11" t="s">
        <v>16444</v>
      </c>
      <c r="E268" s="11" t="s">
        <v>16445</v>
      </c>
      <c r="F268" s="11" t="s">
        <v>20155</v>
      </c>
      <c r="G268" s="11" t="s">
        <v>17965</v>
      </c>
      <c r="H268" s="12">
        <v>44522</v>
      </c>
      <c r="I268" s="11">
        <v>38400</v>
      </c>
      <c r="J268" s="25">
        <v>1</v>
      </c>
      <c r="K268" s="11">
        <v>0</v>
      </c>
      <c r="L268" s="25"/>
      <c r="M268" s="11">
        <v>0</v>
      </c>
      <c r="N268" s="15"/>
      <c r="O268" s="11">
        <v>0</v>
      </c>
      <c r="P268" s="25"/>
      <c r="Q268" s="11">
        <v>38400</v>
      </c>
    </row>
    <row r="269" spans="1:17" s="1" customFormat="1" ht="11.45">
      <c r="A269" s="11" t="s">
        <v>18608</v>
      </c>
      <c r="B269" s="12">
        <v>44515</v>
      </c>
      <c r="C269" s="11">
        <v>2021</v>
      </c>
      <c r="D269" s="11" t="s">
        <v>17017</v>
      </c>
      <c r="E269" s="11" t="s">
        <v>17018</v>
      </c>
      <c r="F269" s="11" t="s">
        <v>20155</v>
      </c>
      <c r="G269" s="11" t="s">
        <v>20307</v>
      </c>
      <c r="H269" s="12">
        <v>44527</v>
      </c>
      <c r="I269" s="11">
        <v>60000</v>
      </c>
      <c r="J269" s="25">
        <v>1</v>
      </c>
      <c r="K269" s="11">
        <v>0</v>
      </c>
      <c r="L269" s="25"/>
      <c r="M269" s="11">
        <v>0</v>
      </c>
      <c r="N269" s="15"/>
      <c r="O269" s="11">
        <v>0</v>
      </c>
      <c r="P269" s="25"/>
      <c r="Q269" s="11">
        <v>60000</v>
      </c>
    </row>
    <row r="270" spans="1:17" s="1" customFormat="1" ht="11.45">
      <c r="A270" s="11" t="s">
        <v>18609</v>
      </c>
      <c r="B270" s="12">
        <v>44515</v>
      </c>
      <c r="C270" s="11">
        <v>2021</v>
      </c>
      <c r="D270" s="11" t="s">
        <v>17284</v>
      </c>
      <c r="E270" s="11" t="s">
        <v>17285</v>
      </c>
      <c r="F270" s="11" t="s">
        <v>20155</v>
      </c>
      <c r="G270" s="11" t="s">
        <v>16394</v>
      </c>
      <c r="H270" s="12">
        <v>44537</v>
      </c>
      <c r="I270" s="11">
        <v>0</v>
      </c>
      <c r="J270" s="25"/>
      <c r="K270" s="11">
        <v>0</v>
      </c>
      <c r="L270" s="25"/>
      <c r="M270" s="11">
        <v>0</v>
      </c>
      <c r="N270" s="15"/>
      <c r="O270" s="11">
        <v>5600</v>
      </c>
      <c r="P270" s="25">
        <v>1</v>
      </c>
      <c r="Q270" s="11">
        <v>5600</v>
      </c>
    </row>
    <row r="271" spans="1:17" s="1" customFormat="1" ht="11.45">
      <c r="A271" s="11" t="s">
        <v>18610</v>
      </c>
      <c r="B271" s="12">
        <v>44519</v>
      </c>
      <c r="C271" s="11">
        <v>2021</v>
      </c>
      <c r="D271" s="11" t="s">
        <v>17017</v>
      </c>
      <c r="E271" s="11" t="s">
        <v>17018</v>
      </c>
      <c r="F271" s="11" t="s">
        <v>20155</v>
      </c>
      <c r="G271" s="11" t="s">
        <v>17238</v>
      </c>
      <c r="H271" s="12">
        <v>44550</v>
      </c>
      <c r="I271" s="11">
        <v>0</v>
      </c>
      <c r="J271" s="25"/>
      <c r="K271" s="11">
        <v>0</v>
      </c>
      <c r="L271" s="25"/>
      <c r="M271" s="11">
        <v>0</v>
      </c>
      <c r="N271" s="15"/>
      <c r="O271" s="11">
        <v>5600</v>
      </c>
      <c r="P271" s="25">
        <v>1</v>
      </c>
      <c r="Q271" s="11">
        <v>5600</v>
      </c>
    </row>
    <row r="272" spans="1:17" s="1" customFormat="1" ht="11.45">
      <c r="A272" s="11" t="s">
        <v>18611</v>
      </c>
      <c r="B272" s="12">
        <v>44523</v>
      </c>
      <c r="C272" s="11">
        <v>2021</v>
      </c>
      <c r="D272" s="11" t="s">
        <v>16904</v>
      </c>
      <c r="E272" s="11" t="s">
        <v>16905</v>
      </c>
      <c r="F272" s="11" t="s">
        <v>20155</v>
      </c>
      <c r="G272" s="11" t="s">
        <v>20160</v>
      </c>
      <c r="H272" s="12">
        <v>44530</v>
      </c>
      <c r="I272" s="11">
        <v>0</v>
      </c>
      <c r="J272" s="25"/>
      <c r="K272" s="11">
        <v>21600</v>
      </c>
      <c r="L272" s="25">
        <v>1</v>
      </c>
      <c r="M272" s="11">
        <v>0</v>
      </c>
      <c r="N272" s="15"/>
      <c r="O272" s="11">
        <v>0</v>
      </c>
      <c r="P272" s="25"/>
      <c r="Q272" s="11">
        <v>21600</v>
      </c>
    </row>
    <row r="273" spans="1:17" s="1" customFormat="1" ht="11.45">
      <c r="A273" s="11" t="s">
        <v>18612</v>
      </c>
      <c r="B273" s="12">
        <v>44524</v>
      </c>
      <c r="C273" s="11">
        <v>2021</v>
      </c>
      <c r="D273" s="11" t="s">
        <v>16904</v>
      </c>
      <c r="E273" s="11" t="s">
        <v>16905</v>
      </c>
      <c r="F273" s="11" t="s">
        <v>20155</v>
      </c>
      <c r="G273" s="11" t="s">
        <v>20160</v>
      </c>
      <c r="H273" s="12">
        <v>44530</v>
      </c>
      <c r="I273" s="11">
        <v>0</v>
      </c>
      <c r="J273" s="25"/>
      <c r="K273" s="11">
        <v>21600</v>
      </c>
      <c r="L273" s="25">
        <v>1</v>
      </c>
      <c r="M273" s="11">
        <v>0</v>
      </c>
      <c r="N273" s="15"/>
      <c r="O273" s="11">
        <v>0</v>
      </c>
      <c r="P273" s="25"/>
      <c r="Q273" s="11">
        <v>21600</v>
      </c>
    </row>
    <row r="274" spans="1:17" s="1" customFormat="1" ht="11.45">
      <c r="A274" s="11" t="s">
        <v>18613</v>
      </c>
      <c r="B274" s="12">
        <v>44525</v>
      </c>
      <c r="C274" s="11">
        <v>2021</v>
      </c>
      <c r="D274" s="11" t="s">
        <v>16904</v>
      </c>
      <c r="E274" s="11" t="s">
        <v>16905</v>
      </c>
      <c r="F274" s="11" t="s">
        <v>20155</v>
      </c>
      <c r="G274" s="11" t="s">
        <v>20160</v>
      </c>
      <c r="H274" s="12">
        <v>44530</v>
      </c>
      <c r="I274" s="11">
        <v>0</v>
      </c>
      <c r="J274" s="25"/>
      <c r="K274" s="11">
        <v>10800</v>
      </c>
      <c r="L274" s="25">
        <v>1</v>
      </c>
      <c r="M274" s="11">
        <v>0</v>
      </c>
      <c r="N274" s="15"/>
      <c r="O274" s="11">
        <v>0</v>
      </c>
      <c r="P274" s="25"/>
      <c r="Q274" s="11">
        <v>10800</v>
      </c>
    </row>
    <row r="275" spans="1:17" s="1" customFormat="1" ht="11.45">
      <c r="A275" s="11" t="s">
        <v>18614</v>
      </c>
      <c r="B275" s="12">
        <v>44524</v>
      </c>
      <c r="C275" s="11">
        <v>2021</v>
      </c>
      <c r="D275" s="11" t="s">
        <v>16838</v>
      </c>
      <c r="E275" s="11" t="s">
        <v>16839</v>
      </c>
      <c r="F275" s="11" t="s">
        <v>20155</v>
      </c>
      <c r="G275" s="11" t="s">
        <v>20321</v>
      </c>
      <c r="H275" s="12">
        <v>44529</v>
      </c>
      <c r="I275" s="11">
        <v>0</v>
      </c>
      <c r="J275" s="25"/>
      <c r="K275" s="11">
        <v>110040</v>
      </c>
      <c r="L275" s="27" t="s">
        <v>20300</v>
      </c>
      <c r="M275" s="11">
        <v>0</v>
      </c>
      <c r="N275" s="25"/>
      <c r="O275" s="11">
        <v>0</v>
      </c>
      <c r="P275" s="25"/>
      <c r="Q275" s="11">
        <v>110040</v>
      </c>
    </row>
    <row r="276" spans="1:17" s="1" customFormat="1" ht="11.45">
      <c r="A276" s="11" t="s">
        <v>18615</v>
      </c>
      <c r="B276" s="12">
        <v>44525</v>
      </c>
      <c r="C276" s="11">
        <v>2021</v>
      </c>
      <c r="D276" s="11" t="s">
        <v>16880</v>
      </c>
      <c r="E276" s="11" t="s">
        <v>16881</v>
      </c>
      <c r="F276" s="11" t="s">
        <v>20155</v>
      </c>
      <c r="G276" s="11" t="s">
        <v>20156</v>
      </c>
      <c r="H276" s="12">
        <v>44537</v>
      </c>
      <c r="I276" s="11">
        <v>0</v>
      </c>
      <c r="J276" s="25"/>
      <c r="K276" s="11">
        <v>19500</v>
      </c>
      <c r="L276" s="25">
        <v>1</v>
      </c>
      <c r="M276" s="11">
        <v>0</v>
      </c>
      <c r="N276" s="25"/>
      <c r="O276" s="11">
        <v>0</v>
      </c>
      <c r="P276" s="25"/>
      <c r="Q276" s="11">
        <v>19500</v>
      </c>
    </row>
    <row r="277" spans="1:17" s="1" customFormat="1" ht="11.45">
      <c r="A277" s="11" t="s">
        <v>18616</v>
      </c>
      <c r="B277" s="12">
        <v>44525</v>
      </c>
      <c r="C277" s="11">
        <v>2021</v>
      </c>
      <c r="D277" s="11" t="s">
        <v>17017</v>
      </c>
      <c r="E277" s="11" t="s">
        <v>17018</v>
      </c>
      <c r="F277" s="11" t="s">
        <v>20155</v>
      </c>
      <c r="G277" s="11" t="s">
        <v>17954</v>
      </c>
      <c r="H277" s="12">
        <v>44539</v>
      </c>
      <c r="I277" s="11">
        <v>0</v>
      </c>
      <c r="J277" s="25"/>
      <c r="K277" s="11">
        <v>12367.88</v>
      </c>
      <c r="L277" s="25">
        <v>1</v>
      </c>
      <c r="M277" s="11">
        <v>1800</v>
      </c>
      <c r="N277" s="25">
        <v>1</v>
      </c>
      <c r="O277" s="11">
        <v>9227.9599999999991</v>
      </c>
      <c r="P277" s="25">
        <v>1</v>
      </c>
      <c r="Q277" s="11">
        <v>23395.84</v>
      </c>
    </row>
    <row r="278" spans="1:17" s="1" customFormat="1" ht="11.45">
      <c r="A278" s="11" t="s">
        <v>18617</v>
      </c>
      <c r="B278" s="12">
        <v>44525</v>
      </c>
      <c r="C278" s="11">
        <v>2021</v>
      </c>
      <c r="D278" s="11" t="s">
        <v>16470</v>
      </c>
      <c r="E278" s="11" t="s">
        <v>16471</v>
      </c>
      <c r="F278" s="11" t="s">
        <v>20155</v>
      </c>
      <c r="G278" s="11" t="s">
        <v>18227</v>
      </c>
      <c r="H278" s="12">
        <v>44539</v>
      </c>
      <c r="I278" s="11">
        <v>14400</v>
      </c>
      <c r="J278" s="25">
        <v>1</v>
      </c>
      <c r="K278" s="11">
        <v>144396</v>
      </c>
      <c r="L278" s="295" t="s">
        <v>20320</v>
      </c>
      <c r="M278" s="11">
        <v>0</v>
      </c>
      <c r="N278" s="25"/>
      <c r="O278" s="11">
        <v>0</v>
      </c>
      <c r="P278" s="25"/>
      <c r="Q278" s="11">
        <v>158796</v>
      </c>
    </row>
    <row r="279" spans="1:17" s="1" customFormat="1" ht="11.45">
      <c r="A279" s="11" t="s">
        <v>18618</v>
      </c>
      <c r="B279" s="12">
        <v>44531</v>
      </c>
      <c r="C279" s="11">
        <v>2021</v>
      </c>
      <c r="D279" s="11" t="s">
        <v>16838</v>
      </c>
      <c r="E279" s="11" t="s">
        <v>16839</v>
      </c>
      <c r="F279" s="11" t="s">
        <v>20155</v>
      </c>
      <c r="G279" s="11" t="s">
        <v>17771</v>
      </c>
      <c r="H279" s="12">
        <v>44546</v>
      </c>
      <c r="I279" s="11">
        <v>0</v>
      </c>
      <c r="J279" s="25"/>
      <c r="K279" s="11">
        <v>0</v>
      </c>
      <c r="L279" s="26"/>
      <c r="M279" s="11">
        <v>56000</v>
      </c>
      <c r="N279" s="27" t="s">
        <v>20300</v>
      </c>
      <c r="O279" s="11">
        <v>0</v>
      </c>
      <c r="P279" s="25"/>
      <c r="Q279" s="11">
        <v>56000</v>
      </c>
    </row>
    <row r="280" spans="1:17" s="1" customFormat="1" ht="11.45">
      <c r="A280" s="11" t="s">
        <v>18619</v>
      </c>
      <c r="B280" s="12">
        <v>44531</v>
      </c>
      <c r="C280" s="11">
        <v>2021</v>
      </c>
      <c r="D280" s="11" t="s">
        <v>16838</v>
      </c>
      <c r="E280" s="11" t="s">
        <v>16839</v>
      </c>
      <c r="F280" s="11" t="s">
        <v>20155</v>
      </c>
      <c r="G280" s="11" t="s">
        <v>17949</v>
      </c>
      <c r="H280" s="12">
        <v>44555</v>
      </c>
      <c r="I280" s="11">
        <v>44016</v>
      </c>
      <c r="J280" s="25">
        <v>1</v>
      </c>
      <c r="K280" s="11">
        <v>56160</v>
      </c>
      <c r="L280" s="295" t="s">
        <v>20320</v>
      </c>
      <c r="M280" s="11">
        <v>0</v>
      </c>
      <c r="N280" s="25"/>
      <c r="O280" s="11">
        <v>0</v>
      </c>
      <c r="P280" s="25"/>
      <c r="Q280" s="11">
        <v>100176</v>
      </c>
    </row>
    <row r="281" spans="1:17" s="1" customFormat="1" ht="11.45">
      <c r="A281" s="11" t="s">
        <v>18620</v>
      </c>
      <c r="B281" s="12">
        <v>44531</v>
      </c>
      <c r="C281" s="11">
        <v>2021</v>
      </c>
      <c r="D281" s="11" t="s">
        <v>17302</v>
      </c>
      <c r="E281" s="11" t="s">
        <v>17303</v>
      </c>
      <c r="F281" s="11" t="s">
        <v>20155</v>
      </c>
      <c r="G281" s="11" t="s">
        <v>16394</v>
      </c>
      <c r="H281" s="12">
        <v>44543</v>
      </c>
      <c r="I281" s="11">
        <v>0</v>
      </c>
      <c r="J281" s="25"/>
      <c r="K281" s="11">
        <v>27664</v>
      </c>
      <c r="L281" s="25">
        <v>1</v>
      </c>
      <c r="M281" s="11">
        <v>6000</v>
      </c>
      <c r="N281" s="25">
        <v>1</v>
      </c>
      <c r="O281" s="11">
        <v>6800</v>
      </c>
      <c r="P281" s="25">
        <v>1</v>
      </c>
      <c r="Q281" s="11">
        <v>40464</v>
      </c>
    </row>
    <row r="282" spans="1:17" s="1" customFormat="1" ht="11.45">
      <c r="A282" s="11" t="s">
        <v>18622</v>
      </c>
      <c r="B282" s="12">
        <v>44533</v>
      </c>
      <c r="C282" s="11">
        <v>2021</v>
      </c>
      <c r="D282" s="11" t="s">
        <v>16444</v>
      </c>
      <c r="E282" s="11" t="s">
        <v>16445</v>
      </c>
      <c r="F282" s="11" t="s">
        <v>20155</v>
      </c>
      <c r="G282" s="11" t="s">
        <v>20321</v>
      </c>
      <c r="H282" s="12">
        <v>44545</v>
      </c>
      <c r="I282" s="11">
        <v>19200</v>
      </c>
      <c r="J282" s="25">
        <v>1</v>
      </c>
      <c r="K282" s="11">
        <v>0</v>
      </c>
      <c r="L282" s="26"/>
      <c r="M282" s="11">
        <v>0</v>
      </c>
      <c r="N282" s="25"/>
      <c r="O282" s="11">
        <v>0</v>
      </c>
      <c r="P282" s="25"/>
      <c r="Q282" s="11">
        <v>19200</v>
      </c>
    </row>
    <row r="283" spans="1:17" s="1" customFormat="1" ht="11.45">
      <c r="A283" s="11" t="s">
        <v>18623</v>
      </c>
      <c r="B283" s="12">
        <v>44534</v>
      </c>
      <c r="C283" s="11">
        <v>2021</v>
      </c>
      <c r="D283" s="11" t="s">
        <v>16444</v>
      </c>
      <c r="E283" s="11" t="s">
        <v>16445</v>
      </c>
      <c r="F283" s="11" t="s">
        <v>20155</v>
      </c>
      <c r="G283" s="11" t="s">
        <v>20321</v>
      </c>
      <c r="H283" s="12">
        <v>44545</v>
      </c>
      <c r="I283" s="11">
        <v>19200</v>
      </c>
      <c r="J283" s="25">
        <v>1</v>
      </c>
      <c r="K283" s="11">
        <v>0</v>
      </c>
      <c r="L283" s="26"/>
      <c r="M283" s="11">
        <v>0</v>
      </c>
      <c r="N283" s="25"/>
      <c r="O283" s="11">
        <v>0</v>
      </c>
      <c r="P283" s="25"/>
      <c r="Q283" s="11">
        <v>19200</v>
      </c>
    </row>
    <row r="284" spans="1:17" s="1" customFormat="1" ht="11.45">
      <c r="A284" s="11" t="s">
        <v>18624</v>
      </c>
      <c r="B284" s="12">
        <v>44537</v>
      </c>
      <c r="C284" s="11">
        <v>2021</v>
      </c>
      <c r="D284" s="11" t="s">
        <v>16904</v>
      </c>
      <c r="E284" s="11" t="s">
        <v>16905</v>
      </c>
      <c r="F284" s="11" t="s">
        <v>20155</v>
      </c>
      <c r="G284" s="11" t="s">
        <v>20160</v>
      </c>
      <c r="H284" s="12">
        <v>44551</v>
      </c>
      <c r="I284" s="11">
        <v>0</v>
      </c>
      <c r="J284" s="25"/>
      <c r="K284" s="11">
        <v>16236</v>
      </c>
      <c r="L284" s="25">
        <v>1</v>
      </c>
      <c r="M284" s="11">
        <v>11100</v>
      </c>
      <c r="N284" s="25">
        <v>1</v>
      </c>
      <c r="O284" s="11">
        <v>0</v>
      </c>
      <c r="P284" s="25"/>
      <c r="Q284" s="11">
        <v>27336</v>
      </c>
    </row>
    <row r="285" spans="1:17" s="1" customFormat="1" ht="11.45">
      <c r="A285" s="11" t="s">
        <v>18625</v>
      </c>
      <c r="B285" s="12">
        <v>44537</v>
      </c>
      <c r="C285" s="11">
        <v>2021</v>
      </c>
      <c r="D285" s="11" t="s">
        <v>16838</v>
      </c>
      <c r="E285" s="11" t="s">
        <v>16839</v>
      </c>
      <c r="F285" s="11" t="s">
        <v>20155</v>
      </c>
      <c r="G285" s="11" t="s">
        <v>20321</v>
      </c>
      <c r="H285" s="12">
        <v>44559</v>
      </c>
      <c r="I285" s="11">
        <v>0</v>
      </c>
      <c r="J285" s="25"/>
      <c r="K285" s="11">
        <v>154056</v>
      </c>
      <c r="L285" s="295" t="s">
        <v>20323</v>
      </c>
      <c r="M285" s="11">
        <v>0</v>
      </c>
      <c r="N285" s="25"/>
      <c r="O285" s="11">
        <v>0</v>
      </c>
      <c r="P285" s="25"/>
      <c r="Q285" s="11">
        <v>154056</v>
      </c>
    </row>
    <row r="286" spans="1:17" s="1" customFormat="1" ht="11.45">
      <c r="A286" s="11" t="s">
        <v>18626</v>
      </c>
      <c r="B286" s="12">
        <v>44537</v>
      </c>
      <c r="C286" s="11">
        <v>2021</v>
      </c>
      <c r="D286" s="11" t="s">
        <v>16444</v>
      </c>
      <c r="E286" s="11" t="s">
        <v>16445</v>
      </c>
      <c r="F286" s="11" t="s">
        <v>20155</v>
      </c>
      <c r="G286" s="11" t="s">
        <v>18248</v>
      </c>
      <c r="H286" s="12">
        <v>44543</v>
      </c>
      <c r="I286" s="11">
        <v>19200</v>
      </c>
      <c r="J286" s="25">
        <v>1</v>
      </c>
      <c r="K286" s="11">
        <v>0</v>
      </c>
      <c r="L286" s="26"/>
      <c r="M286" s="11">
        <v>0</v>
      </c>
      <c r="N286" s="25"/>
      <c r="O286" s="11">
        <v>0</v>
      </c>
      <c r="P286" s="25"/>
      <c r="Q286" s="11">
        <v>19200</v>
      </c>
    </row>
    <row r="287" spans="1:17" s="1" customFormat="1" ht="11.45">
      <c r="A287" s="11" t="s">
        <v>18627</v>
      </c>
      <c r="B287" s="12">
        <v>44543</v>
      </c>
      <c r="C287" s="11">
        <v>2021</v>
      </c>
      <c r="D287" s="11" t="s">
        <v>16783</v>
      </c>
      <c r="E287" s="11" t="s">
        <v>16784</v>
      </c>
      <c r="F287" s="11" t="s">
        <v>20155</v>
      </c>
      <c r="G287" s="11" t="s">
        <v>17939</v>
      </c>
      <c r="H287" s="12">
        <v>44552</v>
      </c>
      <c r="I287" s="11">
        <v>0</v>
      </c>
      <c r="J287" s="25"/>
      <c r="K287" s="11">
        <v>0</v>
      </c>
      <c r="L287" s="26"/>
      <c r="M287" s="11">
        <v>0</v>
      </c>
      <c r="N287" s="25"/>
      <c r="O287" s="11">
        <v>61000</v>
      </c>
      <c r="P287" s="25">
        <v>1</v>
      </c>
      <c r="Q287" s="11">
        <v>61000</v>
      </c>
    </row>
    <row r="288" spans="1:17" s="1" customFormat="1" ht="11.45">
      <c r="A288" s="11" t="s">
        <v>18628</v>
      </c>
      <c r="B288" s="12">
        <v>44543</v>
      </c>
      <c r="C288" s="11">
        <v>2021</v>
      </c>
      <c r="D288" s="11" t="s">
        <v>17259</v>
      </c>
      <c r="E288" s="11" t="s">
        <v>17260</v>
      </c>
      <c r="F288" s="11" t="s">
        <v>20155</v>
      </c>
      <c r="G288" s="11" t="s">
        <v>17261</v>
      </c>
      <c r="H288" s="12">
        <v>44551</v>
      </c>
      <c r="I288" s="11">
        <v>0</v>
      </c>
      <c r="J288" s="25"/>
      <c r="K288" s="11">
        <v>47600</v>
      </c>
      <c r="L288" s="27" t="s">
        <v>20300</v>
      </c>
      <c r="M288" s="11">
        <v>0</v>
      </c>
      <c r="N288" s="25"/>
      <c r="O288" s="11">
        <v>1000</v>
      </c>
      <c r="P288" s="25">
        <v>1</v>
      </c>
      <c r="Q288" s="11">
        <v>48600</v>
      </c>
    </row>
    <row r="289" spans="1:17" s="1" customFormat="1" ht="11.45">
      <c r="A289" s="11" t="s">
        <v>18629</v>
      </c>
      <c r="B289" s="12">
        <v>44543</v>
      </c>
      <c r="C289" s="11">
        <v>2021</v>
      </c>
      <c r="D289" s="11" t="s">
        <v>16972</v>
      </c>
      <c r="E289" s="11" t="s">
        <v>16973</v>
      </c>
      <c r="F289" s="11" t="s">
        <v>20155</v>
      </c>
      <c r="G289" s="11" t="s">
        <v>17801</v>
      </c>
      <c r="H289" s="12">
        <v>44553</v>
      </c>
      <c r="I289" s="11">
        <v>0</v>
      </c>
      <c r="J289" s="25"/>
      <c r="K289" s="11">
        <v>0</v>
      </c>
      <c r="L289" s="26"/>
      <c r="M289" s="11">
        <v>280000</v>
      </c>
      <c r="N289" s="27" t="s">
        <v>20300</v>
      </c>
      <c r="O289" s="11">
        <v>0</v>
      </c>
      <c r="P289" s="25"/>
      <c r="Q289" s="11">
        <v>280000</v>
      </c>
    </row>
    <row r="290" spans="1:17" s="1" customFormat="1" ht="11.45">
      <c r="A290" s="11" t="s">
        <v>18630</v>
      </c>
      <c r="B290" s="12">
        <v>44544</v>
      </c>
      <c r="C290" s="11">
        <v>2021</v>
      </c>
      <c r="D290" s="11" t="s">
        <v>17299</v>
      </c>
      <c r="E290" s="11" t="s">
        <v>17300</v>
      </c>
      <c r="F290" s="11" t="s">
        <v>20155</v>
      </c>
      <c r="G290" s="11" t="s">
        <v>20321</v>
      </c>
      <c r="H290" s="12">
        <v>44559</v>
      </c>
      <c r="I290" s="11">
        <v>96000</v>
      </c>
      <c r="J290" s="295" t="s">
        <v>20324</v>
      </c>
      <c r="K290" s="11">
        <v>0</v>
      </c>
      <c r="L290" s="26"/>
      <c r="M290" s="11">
        <v>0</v>
      </c>
      <c r="N290" s="25"/>
      <c r="O290" s="11">
        <v>0</v>
      </c>
      <c r="P290" s="25"/>
      <c r="Q290" s="11">
        <v>96000</v>
      </c>
    </row>
    <row r="291" spans="1:17" s="1" customFormat="1" ht="11.45">
      <c r="A291" s="11" t="s">
        <v>18632</v>
      </c>
      <c r="B291" s="12">
        <v>44545</v>
      </c>
      <c r="C291" s="11">
        <v>2021</v>
      </c>
      <c r="D291" s="11" t="s">
        <v>16972</v>
      </c>
      <c r="E291" s="11" t="s">
        <v>16973</v>
      </c>
      <c r="F291" s="11" t="s">
        <v>20155</v>
      </c>
      <c r="G291" s="11" t="s">
        <v>17801</v>
      </c>
      <c r="H291" s="12">
        <v>44555</v>
      </c>
      <c r="I291" s="11">
        <v>0</v>
      </c>
      <c r="J291" s="25"/>
      <c r="K291" s="11">
        <v>0</v>
      </c>
      <c r="L291" s="26"/>
      <c r="M291" s="11">
        <v>280000</v>
      </c>
      <c r="N291" s="27" t="s">
        <v>20300</v>
      </c>
      <c r="O291" s="11">
        <v>0</v>
      </c>
      <c r="P291" s="25"/>
      <c r="Q291" s="11">
        <v>280000</v>
      </c>
    </row>
    <row r="292" spans="1:17" s="1" customFormat="1" ht="11.45">
      <c r="A292" s="11" t="s">
        <v>18633</v>
      </c>
      <c r="B292" s="12">
        <v>44545</v>
      </c>
      <c r="C292" s="11">
        <v>2021</v>
      </c>
      <c r="D292" s="11" t="s">
        <v>16972</v>
      </c>
      <c r="E292" s="11" t="s">
        <v>16973</v>
      </c>
      <c r="F292" s="11" t="s">
        <v>20155</v>
      </c>
      <c r="G292" s="11" t="s">
        <v>17801</v>
      </c>
      <c r="H292" s="12">
        <v>44557</v>
      </c>
      <c r="I292" s="11">
        <v>0</v>
      </c>
      <c r="J292" s="25"/>
      <c r="K292" s="11">
        <v>0</v>
      </c>
      <c r="L292" s="26"/>
      <c r="M292" s="11">
        <v>280000</v>
      </c>
      <c r="N292" s="27" t="s">
        <v>20300</v>
      </c>
      <c r="O292" s="11">
        <v>0</v>
      </c>
      <c r="P292" s="25"/>
      <c r="Q292" s="11">
        <v>280000</v>
      </c>
    </row>
    <row r="293" spans="1:17" s="1" customFormat="1" ht="11.45">
      <c r="A293" s="11" t="s">
        <v>19828</v>
      </c>
      <c r="B293" s="12">
        <v>44546</v>
      </c>
      <c r="C293" s="11">
        <v>2021</v>
      </c>
      <c r="D293" s="11" t="s">
        <v>17156</v>
      </c>
      <c r="E293" s="11" t="s">
        <v>17157</v>
      </c>
      <c r="F293" s="11" t="s">
        <v>20231</v>
      </c>
      <c r="G293" s="11" t="s">
        <v>20161</v>
      </c>
      <c r="H293" s="12">
        <v>0</v>
      </c>
      <c r="I293" s="11">
        <v>0</v>
      </c>
      <c r="J293" s="25"/>
      <c r="K293" s="11">
        <v>41000</v>
      </c>
      <c r="L293" s="25">
        <v>1</v>
      </c>
      <c r="M293" s="11">
        <v>0</v>
      </c>
      <c r="N293" s="25"/>
      <c r="O293" s="11">
        <v>0</v>
      </c>
      <c r="P293" s="25"/>
      <c r="Q293" s="11">
        <v>41000</v>
      </c>
    </row>
    <row r="294" spans="1:17" s="1" customFormat="1" ht="11.45">
      <c r="A294" s="11" t="s">
        <v>18634</v>
      </c>
      <c r="B294" s="12">
        <v>44546</v>
      </c>
      <c r="C294" s="11">
        <v>2021</v>
      </c>
      <c r="D294" s="11" t="s">
        <v>17209</v>
      </c>
      <c r="E294" s="11" t="s">
        <v>17210</v>
      </c>
      <c r="F294" s="11" t="s">
        <v>20155</v>
      </c>
      <c r="G294" s="11" t="s">
        <v>20168</v>
      </c>
      <c r="H294" s="12">
        <v>44555</v>
      </c>
      <c r="I294" s="11">
        <v>9732</v>
      </c>
      <c r="J294" s="25">
        <v>1</v>
      </c>
      <c r="K294" s="11">
        <v>0</v>
      </c>
      <c r="L294" s="26"/>
      <c r="M294" s="11">
        <v>0</v>
      </c>
      <c r="N294" s="25"/>
      <c r="O294" s="11">
        <v>0</v>
      </c>
      <c r="P294" s="25"/>
      <c r="Q294" s="11">
        <v>9732</v>
      </c>
    </row>
    <row r="295" spans="1:17" s="1" customFormat="1" ht="11.45">
      <c r="A295" s="11" t="s">
        <v>18635</v>
      </c>
      <c r="B295" s="12">
        <v>44565</v>
      </c>
      <c r="C295" s="11">
        <v>2022</v>
      </c>
      <c r="D295" s="11" t="s">
        <v>17017</v>
      </c>
      <c r="E295" s="11" t="s">
        <v>17018</v>
      </c>
      <c r="F295" s="11" t="s">
        <v>20155</v>
      </c>
      <c r="G295" s="11" t="s">
        <v>20308</v>
      </c>
      <c r="H295" s="12">
        <v>44569</v>
      </c>
      <c r="I295" s="11">
        <v>0</v>
      </c>
      <c r="J295" s="16"/>
      <c r="K295" s="11">
        <v>1944</v>
      </c>
      <c r="L295" s="16">
        <v>1</v>
      </c>
      <c r="M295" s="11">
        <v>0</v>
      </c>
      <c r="N295" s="16"/>
      <c r="O295" s="11">
        <v>560</v>
      </c>
      <c r="P295" s="16"/>
      <c r="Q295" s="11">
        <v>2504</v>
      </c>
    </row>
    <row r="296" spans="1:17" s="1" customFormat="1" ht="11.45">
      <c r="A296" s="11" t="s">
        <v>18636</v>
      </c>
      <c r="B296" s="12">
        <v>44565</v>
      </c>
      <c r="C296" s="11">
        <v>2022</v>
      </c>
      <c r="D296" s="11" t="s">
        <v>17281</v>
      </c>
      <c r="E296" s="11" t="s">
        <v>17282</v>
      </c>
      <c r="F296" s="11" t="s">
        <v>20155</v>
      </c>
      <c r="G296" s="11" t="s">
        <v>20306</v>
      </c>
      <c r="H296" s="12">
        <v>44570</v>
      </c>
      <c r="I296" s="11">
        <v>0</v>
      </c>
      <c r="J296" s="16"/>
      <c r="K296" s="11">
        <v>0</v>
      </c>
      <c r="L296" s="26"/>
      <c r="M296" s="11">
        <v>0</v>
      </c>
      <c r="N296" s="16"/>
      <c r="O296" s="11">
        <v>13440</v>
      </c>
      <c r="P296" s="16">
        <v>1</v>
      </c>
      <c r="Q296" s="11">
        <v>13440</v>
      </c>
    </row>
    <row r="297" spans="1:17" s="1" customFormat="1" ht="11.45">
      <c r="A297" s="11" t="s">
        <v>18637</v>
      </c>
      <c r="B297" s="12">
        <v>44566</v>
      </c>
      <c r="C297" s="11">
        <v>2022</v>
      </c>
      <c r="D297" s="11" t="s">
        <v>16444</v>
      </c>
      <c r="E297" s="11" t="s">
        <v>16445</v>
      </c>
      <c r="F297" s="11" t="s">
        <v>20155</v>
      </c>
      <c r="G297" s="11" t="s">
        <v>17693</v>
      </c>
      <c r="H297" s="12">
        <v>44579</v>
      </c>
      <c r="I297" s="11">
        <v>20750</v>
      </c>
      <c r="J297" s="16">
        <v>1</v>
      </c>
      <c r="K297" s="11">
        <v>0</v>
      </c>
      <c r="L297" s="26"/>
      <c r="M297" s="11">
        <v>0</v>
      </c>
      <c r="N297" s="16"/>
      <c r="O297" s="11">
        <v>0</v>
      </c>
      <c r="P297" s="16"/>
      <c r="Q297" s="11">
        <v>20750</v>
      </c>
    </row>
    <row r="298" spans="1:17" s="1" customFormat="1" ht="11.45">
      <c r="A298" s="11" t="s">
        <v>18638</v>
      </c>
      <c r="B298" s="12">
        <v>44568</v>
      </c>
      <c r="C298" s="11">
        <v>2022</v>
      </c>
      <c r="D298" s="11" t="s">
        <v>16444</v>
      </c>
      <c r="E298" s="11" t="s">
        <v>16445</v>
      </c>
      <c r="F298" s="11" t="s">
        <v>20155</v>
      </c>
      <c r="G298" s="11" t="s">
        <v>17693</v>
      </c>
      <c r="H298" s="12">
        <v>44579</v>
      </c>
      <c r="I298" s="11">
        <v>43608</v>
      </c>
      <c r="J298" s="16">
        <v>1</v>
      </c>
      <c r="K298" s="11">
        <v>0</v>
      </c>
      <c r="L298" s="26"/>
      <c r="M298" s="11">
        <v>0</v>
      </c>
      <c r="N298" s="16"/>
      <c r="O298" s="11">
        <v>0</v>
      </c>
      <c r="P298" s="16"/>
      <c r="Q298" s="11">
        <v>43608</v>
      </c>
    </row>
    <row r="299" spans="1:17" s="1" customFormat="1" ht="11.45">
      <c r="A299" s="11" t="s">
        <v>18639</v>
      </c>
      <c r="B299" s="12">
        <v>44571</v>
      </c>
      <c r="C299" s="11">
        <v>2022</v>
      </c>
      <c r="D299" s="11" t="s">
        <v>17119</v>
      </c>
      <c r="E299" s="11" t="s">
        <v>17120</v>
      </c>
      <c r="F299" s="11" t="s">
        <v>20155</v>
      </c>
      <c r="G299" s="11" t="s">
        <v>17965</v>
      </c>
      <c r="H299" s="12">
        <v>44592</v>
      </c>
      <c r="I299" s="11">
        <v>38400</v>
      </c>
      <c r="J299" s="16">
        <v>1</v>
      </c>
      <c r="K299" s="11">
        <v>72140</v>
      </c>
      <c r="L299" s="295" t="s">
        <v>20316</v>
      </c>
      <c r="M299" s="11">
        <v>0</v>
      </c>
      <c r="N299" s="16"/>
      <c r="O299" s="11">
        <v>0</v>
      </c>
      <c r="P299" s="16"/>
      <c r="Q299" s="11">
        <v>110540</v>
      </c>
    </row>
    <row r="300" spans="1:17" s="1" customFormat="1" ht="11.45">
      <c r="A300" s="11" t="s">
        <v>18640</v>
      </c>
      <c r="B300" s="12">
        <v>44572</v>
      </c>
      <c r="C300" s="11">
        <v>2022</v>
      </c>
      <c r="D300" s="11" t="s">
        <v>16384</v>
      </c>
      <c r="E300" s="11" t="s">
        <v>16385</v>
      </c>
      <c r="F300" s="11" t="s">
        <v>20155</v>
      </c>
      <c r="G300" s="11" t="s">
        <v>18094</v>
      </c>
      <c r="H300" s="12">
        <v>44588</v>
      </c>
      <c r="I300" s="11">
        <v>0</v>
      </c>
      <c r="J300" s="16"/>
      <c r="K300" s="11">
        <v>20400</v>
      </c>
      <c r="L300" s="16">
        <v>1</v>
      </c>
      <c r="M300" s="11">
        <v>0</v>
      </c>
      <c r="N300" s="16"/>
      <c r="O300" s="11">
        <v>0</v>
      </c>
      <c r="P300" s="16"/>
      <c r="Q300" s="11">
        <v>20400</v>
      </c>
    </row>
    <row r="301" spans="1:17" s="1" customFormat="1" ht="11.45">
      <c r="A301" s="11" t="s">
        <v>18641</v>
      </c>
      <c r="B301" s="12">
        <v>44573</v>
      </c>
      <c r="C301" s="11">
        <v>2022</v>
      </c>
      <c r="D301" s="11" t="s">
        <v>17017</v>
      </c>
      <c r="E301" s="11" t="s">
        <v>17018</v>
      </c>
      <c r="F301" s="11" t="s">
        <v>20155</v>
      </c>
      <c r="G301" s="11" t="s">
        <v>18064</v>
      </c>
      <c r="H301" s="12">
        <v>44585</v>
      </c>
      <c r="I301" s="11">
        <v>0</v>
      </c>
      <c r="J301" s="16"/>
      <c r="K301" s="11">
        <v>20000</v>
      </c>
      <c r="L301" s="16">
        <v>1</v>
      </c>
      <c r="M301" s="11">
        <v>0</v>
      </c>
      <c r="N301" s="16"/>
      <c r="O301" s="11">
        <v>0</v>
      </c>
      <c r="P301" s="16"/>
      <c r="Q301" s="11">
        <v>20000</v>
      </c>
    </row>
    <row r="302" spans="1:17" s="1" customFormat="1" ht="11.45">
      <c r="A302" s="11" t="s">
        <v>18642</v>
      </c>
      <c r="B302" s="12">
        <v>44574</v>
      </c>
      <c r="C302" s="11">
        <v>2022</v>
      </c>
      <c r="D302" s="11" t="s">
        <v>16972</v>
      </c>
      <c r="E302" s="11" t="s">
        <v>16973</v>
      </c>
      <c r="F302" s="11" t="s">
        <v>20155</v>
      </c>
      <c r="G302" s="11" t="s">
        <v>17801</v>
      </c>
      <c r="H302" s="12">
        <v>44590</v>
      </c>
      <c r="I302" s="11">
        <v>0</v>
      </c>
      <c r="J302" s="16"/>
      <c r="K302" s="11">
        <v>0</v>
      </c>
      <c r="L302" s="26"/>
      <c r="M302" s="11">
        <v>280000</v>
      </c>
      <c r="N302" s="295" t="s">
        <v>20323</v>
      </c>
      <c r="O302" s="11">
        <v>0</v>
      </c>
      <c r="P302" s="16"/>
      <c r="Q302" s="11">
        <v>280000</v>
      </c>
    </row>
    <row r="303" spans="1:17" s="1" customFormat="1" ht="11.45">
      <c r="A303" s="11" t="s">
        <v>18643</v>
      </c>
      <c r="B303" s="12">
        <v>44574</v>
      </c>
      <c r="C303" s="11">
        <v>2022</v>
      </c>
      <c r="D303" s="11" t="s">
        <v>16972</v>
      </c>
      <c r="E303" s="11" t="s">
        <v>16973</v>
      </c>
      <c r="F303" s="11" t="s">
        <v>20325</v>
      </c>
      <c r="G303" s="11" t="s">
        <v>17801</v>
      </c>
      <c r="H303" s="12" t="s">
        <v>20326</v>
      </c>
      <c r="I303" s="11">
        <v>0</v>
      </c>
      <c r="J303" s="16"/>
      <c r="K303" s="11">
        <v>0</v>
      </c>
      <c r="L303" s="26"/>
      <c r="M303" s="11">
        <v>280000</v>
      </c>
      <c r="N303" s="295" t="s">
        <v>20323</v>
      </c>
      <c r="O303" s="11">
        <v>0</v>
      </c>
      <c r="P303" s="16"/>
      <c r="Q303" s="11">
        <v>280000</v>
      </c>
    </row>
    <row r="304" spans="1:17" s="1" customFormat="1" ht="11.45">
      <c r="A304" s="11" t="s">
        <v>18644</v>
      </c>
      <c r="B304" s="12">
        <v>44574</v>
      </c>
      <c r="C304" s="11">
        <v>2022</v>
      </c>
      <c r="D304" s="11" t="s">
        <v>17233</v>
      </c>
      <c r="E304" s="11" t="s">
        <v>17234</v>
      </c>
      <c r="F304" s="11" t="s">
        <v>20155</v>
      </c>
      <c r="G304" s="11" t="s">
        <v>17939</v>
      </c>
      <c r="H304" s="12">
        <v>44585</v>
      </c>
      <c r="I304" s="11">
        <v>0</v>
      </c>
      <c r="J304" s="16"/>
      <c r="K304" s="11">
        <v>147014.39999999999</v>
      </c>
      <c r="L304" s="295" t="s">
        <v>20324</v>
      </c>
      <c r="M304" s="11">
        <v>62985.599999999999</v>
      </c>
      <c r="N304" s="295" t="s">
        <v>20324</v>
      </c>
      <c r="O304" s="11">
        <v>0</v>
      </c>
      <c r="P304" s="16"/>
      <c r="Q304" s="11">
        <v>210000</v>
      </c>
    </row>
    <row r="305" spans="1:17" s="1" customFormat="1" ht="11.45">
      <c r="A305" s="11" t="s">
        <v>18645</v>
      </c>
      <c r="B305" s="12">
        <v>44582</v>
      </c>
      <c r="C305" s="11">
        <v>2022</v>
      </c>
      <c r="D305" s="11" t="s">
        <v>16957</v>
      </c>
      <c r="E305" s="11" t="s">
        <v>16958</v>
      </c>
      <c r="F305" s="11" t="s">
        <v>20155</v>
      </c>
      <c r="G305" s="11" t="s">
        <v>20161</v>
      </c>
      <c r="H305" s="12">
        <v>44594</v>
      </c>
      <c r="I305" s="11">
        <v>40000</v>
      </c>
      <c r="J305" s="16">
        <v>1</v>
      </c>
      <c r="K305" s="11">
        <v>0</v>
      </c>
      <c r="L305" s="26"/>
      <c r="M305" s="11">
        <v>0</v>
      </c>
      <c r="N305" s="16"/>
      <c r="O305" s="11">
        <v>0</v>
      </c>
      <c r="P305" s="16"/>
      <c r="Q305" s="11">
        <v>40000</v>
      </c>
    </row>
    <row r="306" spans="1:17" s="1" customFormat="1" ht="11.45">
      <c r="A306" s="11" t="s">
        <v>18646</v>
      </c>
      <c r="B306" s="12">
        <v>44582</v>
      </c>
      <c r="C306" s="11">
        <v>2022</v>
      </c>
      <c r="D306" s="11" t="s">
        <v>16904</v>
      </c>
      <c r="E306" s="11" t="s">
        <v>16905</v>
      </c>
      <c r="F306" s="11" t="s">
        <v>20155</v>
      </c>
      <c r="G306" s="11" t="s">
        <v>20160</v>
      </c>
      <c r="H306" s="12">
        <v>44606</v>
      </c>
      <c r="I306" s="11">
        <v>0</v>
      </c>
      <c r="J306" s="16"/>
      <c r="K306" s="11">
        <v>25344</v>
      </c>
      <c r="L306" s="16">
        <v>1</v>
      </c>
      <c r="M306" s="11">
        <v>1992</v>
      </c>
      <c r="N306" s="16">
        <v>1</v>
      </c>
      <c r="O306" s="11">
        <v>0</v>
      </c>
      <c r="P306" s="16"/>
      <c r="Q306" s="11">
        <v>27336</v>
      </c>
    </row>
    <row r="307" spans="1:17" s="1" customFormat="1" ht="11.45">
      <c r="A307" s="11" t="s">
        <v>18647</v>
      </c>
      <c r="B307" s="12">
        <v>44582</v>
      </c>
      <c r="C307" s="11">
        <v>2022</v>
      </c>
      <c r="D307" s="11" t="s">
        <v>16838</v>
      </c>
      <c r="E307" s="11" t="s">
        <v>16839</v>
      </c>
      <c r="F307" s="11" t="s">
        <v>20155</v>
      </c>
      <c r="G307" s="11" t="s">
        <v>17771</v>
      </c>
      <c r="H307" s="12">
        <v>44617</v>
      </c>
      <c r="I307" s="11">
        <v>0</v>
      </c>
      <c r="J307" s="16"/>
      <c r="K307" s="11">
        <v>0</v>
      </c>
      <c r="L307" s="26"/>
      <c r="M307" s="11">
        <v>112000</v>
      </c>
      <c r="N307" s="295" t="s">
        <v>20323</v>
      </c>
      <c r="O307" s="11">
        <v>0</v>
      </c>
      <c r="P307" s="16"/>
      <c r="Q307" s="11">
        <v>112000</v>
      </c>
    </row>
    <row r="308" spans="1:17" s="1" customFormat="1" ht="11.45">
      <c r="A308" s="11" t="s">
        <v>18648</v>
      </c>
      <c r="B308" s="12">
        <v>44585</v>
      </c>
      <c r="C308" s="11">
        <v>2022</v>
      </c>
      <c r="D308" s="11" t="s">
        <v>16838</v>
      </c>
      <c r="E308" s="11" t="s">
        <v>16839</v>
      </c>
      <c r="F308" s="11" t="s">
        <v>20155</v>
      </c>
      <c r="G308" s="11" t="s">
        <v>20321</v>
      </c>
      <c r="H308" s="12">
        <v>44593</v>
      </c>
      <c r="I308" s="11">
        <v>0</v>
      </c>
      <c r="J308" s="16"/>
      <c r="K308" s="11">
        <v>110040</v>
      </c>
      <c r="L308" s="295" t="s">
        <v>20323</v>
      </c>
      <c r="M308" s="11">
        <v>0</v>
      </c>
      <c r="N308" s="16"/>
      <c r="O308" s="11">
        <v>0</v>
      </c>
      <c r="P308" s="16"/>
      <c r="Q308" s="11">
        <v>110040</v>
      </c>
    </row>
    <row r="309" spans="1:17" s="1" customFormat="1" ht="11.45">
      <c r="A309" s="11" t="s">
        <v>18649</v>
      </c>
      <c r="B309" s="12">
        <v>44585</v>
      </c>
      <c r="C309" s="11">
        <v>2022</v>
      </c>
      <c r="D309" s="11" t="s">
        <v>16838</v>
      </c>
      <c r="E309" s="11" t="s">
        <v>16839</v>
      </c>
      <c r="F309" s="11" t="s">
        <v>20155</v>
      </c>
      <c r="G309" s="11" t="s">
        <v>17771</v>
      </c>
      <c r="H309" s="12">
        <v>44602</v>
      </c>
      <c r="I309" s="11">
        <v>0</v>
      </c>
      <c r="J309" s="16"/>
      <c r="K309" s="11">
        <v>0</v>
      </c>
      <c r="L309" s="26"/>
      <c r="M309" s="11">
        <v>56000</v>
      </c>
      <c r="N309" s="295" t="s">
        <v>20323</v>
      </c>
      <c r="O309" s="11">
        <v>0</v>
      </c>
      <c r="P309" s="16"/>
      <c r="Q309" s="11">
        <v>56000</v>
      </c>
    </row>
    <row r="310" spans="1:17" s="1" customFormat="1" ht="11.45">
      <c r="A310" s="11" t="s">
        <v>18650</v>
      </c>
      <c r="B310" s="12">
        <v>44585</v>
      </c>
      <c r="C310" s="11">
        <v>2022</v>
      </c>
      <c r="D310" s="11" t="s">
        <v>16560</v>
      </c>
      <c r="E310" s="11" t="s">
        <v>16561</v>
      </c>
      <c r="F310" s="11" t="s">
        <v>20155</v>
      </c>
      <c r="G310" s="11" t="s">
        <v>17801</v>
      </c>
      <c r="H310" s="12">
        <v>44589</v>
      </c>
      <c r="I310" s="11">
        <v>0</v>
      </c>
      <c r="J310" s="16"/>
      <c r="K310" s="11">
        <v>0</v>
      </c>
      <c r="L310" s="26"/>
      <c r="M310" s="11">
        <v>108000</v>
      </c>
      <c r="N310" s="295" t="s">
        <v>20323</v>
      </c>
      <c r="O310" s="11">
        <v>0</v>
      </c>
      <c r="P310" s="16"/>
      <c r="Q310" s="11">
        <v>108000</v>
      </c>
    </row>
    <row r="311" spans="1:17" s="1" customFormat="1" ht="11.45">
      <c r="A311" s="11" t="s">
        <v>18651</v>
      </c>
      <c r="B311" s="12">
        <v>44585</v>
      </c>
      <c r="C311" s="11">
        <v>2022</v>
      </c>
      <c r="D311" s="11" t="s">
        <v>16560</v>
      </c>
      <c r="E311" s="11" t="s">
        <v>16561</v>
      </c>
      <c r="F311" s="11" t="s">
        <v>20155</v>
      </c>
      <c r="G311" s="11" t="s">
        <v>17801</v>
      </c>
      <c r="H311" s="12">
        <v>44590</v>
      </c>
      <c r="I311" s="11">
        <v>0</v>
      </c>
      <c r="J311" s="16"/>
      <c r="K311" s="11">
        <v>0</v>
      </c>
      <c r="L311" s="26"/>
      <c r="M311" s="11">
        <v>108000</v>
      </c>
      <c r="N311" s="295" t="s">
        <v>20323</v>
      </c>
      <c r="O311" s="11">
        <v>0</v>
      </c>
      <c r="P311" s="16"/>
      <c r="Q311" s="11">
        <v>108000</v>
      </c>
    </row>
    <row r="312" spans="1:17" s="1" customFormat="1" ht="11.45">
      <c r="A312" s="11" t="s">
        <v>18652</v>
      </c>
      <c r="B312" s="12">
        <v>44585</v>
      </c>
      <c r="C312" s="11">
        <v>2022</v>
      </c>
      <c r="D312" s="11" t="s">
        <v>16560</v>
      </c>
      <c r="E312" s="11" t="s">
        <v>16561</v>
      </c>
      <c r="F312" s="11" t="s">
        <v>20155</v>
      </c>
      <c r="G312" s="11" t="s">
        <v>17801</v>
      </c>
      <c r="H312" s="12">
        <v>44590</v>
      </c>
      <c r="I312" s="11">
        <v>0</v>
      </c>
      <c r="J312" s="16"/>
      <c r="K312" s="11">
        <v>0</v>
      </c>
      <c r="L312" s="26"/>
      <c r="M312" s="11">
        <v>108000</v>
      </c>
      <c r="N312" s="295" t="s">
        <v>20323</v>
      </c>
      <c r="O312" s="11">
        <v>0</v>
      </c>
      <c r="P312" s="16"/>
      <c r="Q312" s="11">
        <v>108000</v>
      </c>
    </row>
    <row r="313" spans="1:17" s="1" customFormat="1" ht="11.45">
      <c r="A313" s="11" t="s">
        <v>18653</v>
      </c>
      <c r="B313" s="12">
        <v>44585</v>
      </c>
      <c r="C313" s="11">
        <v>2022</v>
      </c>
      <c r="D313" s="11" t="s">
        <v>16560</v>
      </c>
      <c r="E313" s="11" t="s">
        <v>16561</v>
      </c>
      <c r="F313" s="11" t="s">
        <v>20155</v>
      </c>
      <c r="G313" s="11" t="s">
        <v>17801</v>
      </c>
      <c r="H313" s="12">
        <v>44592</v>
      </c>
      <c r="I313" s="11">
        <v>0</v>
      </c>
      <c r="J313" s="16"/>
      <c r="K313" s="11">
        <v>0</v>
      </c>
      <c r="L313" s="26"/>
      <c r="M313" s="11">
        <v>108000</v>
      </c>
      <c r="N313" s="295" t="s">
        <v>20323</v>
      </c>
      <c r="O313" s="11">
        <v>0</v>
      </c>
      <c r="P313" s="16"/>
      <c r="Q313" s="11">
        <v>108000</v>
      </c>
    </row>
    <row r="314" spans="1:17" s="1" customFormat="1" ht="11.45">
      <c r="A314" s="11" t="s">
        <v>18654</v>
      </c>
      <c r="B314" s="12">
        <v>44586</v>
      </c>
      <c r="C314" s="11">
        <v>2022</v>
      </c>
      <c r="D314" s="11" t="s">
        <v>17307</v>
      </c>
      <c r="E314" s="11" t="s">
        <v>17308</v>
      </c>
      <c r="F314" s="11" t="s">
        <v>20155</v>
      </c>
      <c r="G314" s="11" t="s">
        <v>17939</v>
      </c>
      <c r="H314" s="12">
        <v>44592</v>
      </c>
      <c r="I314" s="11">
        <v>0</v>
      </c>
      <c r="J314" s="16"/>
      <c r="K314" s="11">
        <v>360192</v>
      </c>
      <c r="L314" s="295" t="s">
        <v>20324</v>
      </c>
      <c r="M314" s="11">
        <v>100608</v>
      </c>
      <c r="N314" s="295" t="s">
        <v>20324</v>
      </c>
      <c r="O314" s="11">
        <v>0</v>
      </c>
      <c r="P314" s="16"/>
      <c r="Q314" s="11">
        <v>460800</v>
      </c>
    </row>
    <row r="315" spans="1:17" s="1" customFormat="1" ht="11.45">
      <c r="A315" s="11" t="s">
        <v>18655</v>
      </c>
      <c r="B315" s="12">
        <v>44586</v>
      </c>
      <c r="C315" s="11">
        <v>2022</v>
      </c>
      <c r="D315" s="11" t="s">
        <v>17017</v>
      </c>
      <c r="E315" s="11" t="s">
        <v>17018</v>
      </c>
      <c r="F315" s="11" t="s">
        <v>20155</v>
      </c>
      <c r="G315" s="11" t="s">
        <v>18064</v>
      </c>
      <c r="H315" s="12">
        <v>44601</v>
      </c>
      <c r="I315" s="11">
        <v>0</v>
      </c>
      <c r="J315" s="16"/>
      <c r="K315" s="11">
        <v>20000</v>
      </c>
      <c r="L315" s="16">
        <v>1</v>
      </c>
      <c r="M315" s="11">
        <v>0</v>
      </c>
      <c r="N315" s="16"/>
      <c r="O315" s="11">
        <v>0</v>
      </c>
      <c r="P315" s="16"/>
      <c r="Q315" s="11">
        <v>20000</v>
      </c>
    </row>
    <row r="316" spans="1:17" s="1" customFormat="1" ht="10.5" customHeight="1">
      <c r="A316" s="11" t="s">
        <v>18656</v>
      </c>
      <c r="B316" s="12">
        <v>44595</v>
      </c>
      <c r="C316" s="11">
        <v>2022</v>
      </c>
      <c r="D316" s="11" t="s">
        <v>16779</v>
      </c>
      <c r="E316" s="11" t="s">
        <v>16780</v>
      </c>
      <c r="F316" s="11" t="s">
        <v>20155</v>
      </c>
      <c r="G316" s="11" t="s">
        <v>16394</v>
      </c>
      <c r="H316" s="12">
        <v>44635</v>
      </c>
      <c r="I316" s="11">
        <v>0</v>
      </c>
      <c r="J316" s="16"/>
      <c r="K316" s="11">
        <v>18164</v>
      </c>
      <c r="L316" s="16">
        <v>1</v>
      </c>
      <c r="M316" s="11">
        <v>4560</v>
      </c>
      <c r="N316" s="16">
        <v>1</v>
      </c>
      <c r="O316" s="11">
        <v>2950</v>
      </c>
      <c r="P316" s="16">
        <v>1</v>
      </c>
      <c r="Q316" s="11">
        <v>25674</v>
      </c>
    </row>
    <row r="317" spans="1:17" s="1" customFormat="1" ht="11.45">
      <c r="A317" s="11" t="s">
        <v>18657</v>
      </c>
      <c r="B317" s="12">
        <v>44595</v>
      </c>
      <c r="C317" s="11">
        <v>2022</v>
      </c>
      <c r="D317" s="11" t="s">
        <v>17156</v>
      </c>
      <c r="E317" s="11" t="s">
        <v>17157</v>
      </c>
      <c r="F317" s="11" t="s">
        <v>20155</v>
      </c>
      <c r="G317" s="11" t="s">
        <v>20161</v>
      </c>
      <c r="H317" s="12">
        <v>44600</v>
      </c>
      <c r="I317" s="11">
        <v>0</v>
      </c>
      <c r="J317" s="16"/>
      <c r="K317" s="11">
        <v>41000</v>
      </c>
      <c r="L317" s="16">
        <v>1</v>
      </c>
      <c r="M317" s="11">
        <v>0</v>
      </c>
      <c r="N317" s="16"/>
      <c r="O317" s="11">
        <v>0</v>
      </c>
      <c r="P317" s="16"/>
      <c r="Q317" s="11">
        <v>41000</v>
      </c>
    </row>
    <row r="318" spans="1:17" s="1" customFormat="1" ht="11.45">
      <c r="A318" s="11" t="s">
        <v>18658</v>
      </c>
      <c r="B318" s="12">
        <v>44597</v>
      </c>
      <c r="C318" s="11">
        <v>2022</v>
      </c>
      <c r="D318" s="11" t="s">
        <v>17017</v>
      </c>
      <c r="E318" s="11" t="s">
        <v>17018</v>
      </c>
      <c r="F318" s="11" t="s">
        <v>20155</v>
      </c>
      <c r="G318" s="11" t="s">
        <v>17238</v>
      </c>
      <c r="H318" s="12">
        <v>44609</v>
      </c>
      <c r="I318" s="11">
        <v>0</v>
      </c>
      <c r="J318" s="16"/>
      <c r="K318" s="11">
        <v>3813.6</v>
      </c>
      <c r="L318" s="16">
        <v>1</v>
      </c>
      <c r="M318" s="11">
        <v>0</v>
      </c>
      <c r="N318" s="16"/>
      <c r="O318" s="11">
        <v>0</v>
      </c>
      <c r="P318" s="16"/>
      <c r="Q318" s="11">
        <v>3813.6</v>
      </c>
    </row>
    <row r="319" spans="1:17" s="1" customFormat="1" ht="11.45">
      <c r="A319" s="11" t="s">
        <v>18659</v>
      </c>
      <c r="B319" s="12">
        <v>44600</v>
      </c>
      <c r="C319" s="11">
        <v>2022</v>
      </c>
      <c r="D319" s="11" t="s">
        <v>16444</v>
      </c>
      <c r="E319" s="11" t="s">
        <v>16445</v>
      </c>
      <c r="F319" s="11" t="s">
        <v>20155</v>
      </c>
      <c r="G319" s="11" t="s">
        <v>17693</v>
      </c>
      <c r="H319" s="12">
        <v>44606</v>
      </c>
      <c r="I319" s="11">
        <v>43200</v>
      </c>
      <c r="J319" s="295" t="s">
        <v>20324</v>
      </c>
      <c r="K319" s="11">
        <v>0</v>
      </c>
      <c r="L319" s="16"/>
      <c r="M319" s="11">
        <v>0</v>
      </c>
      <c r="N319" s="16"/>
      <c r="O319" s="11">
        <v>0</v>
      </c>
      <c r="P319" s="16"/>
      <c r="Q319" s="11">
        <v>43200</v>
      </c>
    </row>
    <row r="320" spans="1:17" s="1" customFormat="1" ht="11.45">
      <c r="A320" s="11" t="s">
        <v>18660</v>
      </c>
      <c r="B320" s="12">
        <v>44602</v>
      </c>
      <c r="C320" s="11">
        <v>2022</v>
      </c>
      <c r="D320" s="11" t="s">
        <v>16957</v>
      </c>
      <c r="E320" s="11" t="s">
        <v>16958</v>
      </c>
      <c r="F320" s="11" t="s">
        <v>20155</v>
      </c>
      <c r="G320" s="11" t="s">
        <v>20161</v>
      </c>
      <c r="H320" s="12">
        <v>44608</v>
      </c>
      <c r="I320" s="11">
        <v>40000</v>
      </c>
      <c r="J320" s="16">
        <v>1</v>
      </c>
      <c r="K320" s="11">
        <v>0</v>
      </c>
      <c r="L320" s="16"/>
      <c r="M320" s="11">
        <v>0</v>
      </c>
      <c r="N320" s="16"/>
      <c r="O320" s="11">
        <v>0</v>
      </c>
      <c r="P320" s="16"/>
      <c r="Q320" s="11">
        <v>40000</v>
      </c>
    </row>
    <row r="321" spans="1:17" s="1" customFormat="1" ht="11.45">
      <c r="A321" s="11" t="s">
        <v>18661</v>
      </c>
      <c r="B321" s="12">
        <v>44602</v>
      </c>
      <c r="C321" s="11">
        <v>2022</v>
      </c>
      <c r="D321" s="11" t="s">
        <v>16779</v>
      </c>
      <c r="E321" s="11" t="s">
        <v>16780</v>
      </c>
      <c r="F321" s="11" t="s">
        <v>20155</v>
      </c>
      <c r="G321" s="11" t="s">
        <v>16394</v>
      </c>
      <c r="H321" s="12">
        <v>44677</v>
      </c>
      <c r="I321" s="11">
        <v>960</v>
      </c>
      <c r="J321" s="16">
        <v>1</v>
      </c>
      <c r="K321" s="11">
        <v>10608</v>
      </c>
      <c r="L321" s="16">
        <v>1</v>
      </c>
      <c r="M321" s="11">
        <v>3000</v>
      </c>
      <c r="N321" s="16">
        <v>1</v>
      </c>
      <c r="O321" s="11">
        <v>2800</v>
      </c>
      <c r="P321" s="16">
        <v>1</v>
      </c>
      <c r="Q321" s="11">
        <v>17368</v>
      </c>
    </row>
    <row r="322" spans="1:17" s="1" customFormat="1" ht="11.45">
      <c r="A322" s="11" t="s">
        <v>18662</v>
      </c>
      <c r="B322" s="12">
        <v>44608</v>
      </c>
      <c r="C322" s="11">
        <v>2022</v>
      </c>
      <c r="D322" s="11" t="s">
        <v>17307</v>
      </c>
      <c r="E322" s="11" t="s">
        <v>17308</v>
      </c>
      <c r="F322" s="11" t="s">
        <v>20155</v>
      </c>
      <c r="G322" s="11" t="s">
        <v>17939</v>
      </c>
      <c r="H322" s="12">
        <v>44616</v>
      </c>
      <c r="I322" s="11">
        <v>0</v>
      </c>
      <c r="J322" s="16"/>
      <c r="K322" s="11">
        <v>0</v>
      </c>
      <c r="L322" s="26"/>
      <c r="M322" s="11">
        <v>0</v>
      </c>
      <c r="N322" s="16"/>
      <c r="O322" s="11">
        <v>25000</v>
      </c>
      <c r="P322" s="16">
        <v>1</v>
      </c>
      <c r="Q322" s="11">
        <v>25000</v>
      </c>
    </row>
    <row r="323" spans="1:17" s="1" customFormat="1" ht="11.45">
      <c r="A323" s="11" t="s">
        <v>18663</v>
      </c>
      <c r="B323" s="12">
        <v>44610</v>
      </c>
      <c r="C323" s="11">
        <v>2022</v>
      </c>
      <c r="D323" s="11" t="s">
        <v>17119</v>
      </c>
      <c r="E323" s="11" t="s">
        <v>17120</v>
      </c>
      <c r="F323" s="11" t="s">
        <v>20155</v>
      </c>
      <c r="G323" s="11" t="s">
        <v>17965</v>
      </c>
      <c r="H323" s="12">
        <v>44615</v>
      </c>
      <c r="I323" s="11">
        <v>0</v>
      </c>
      <c r="J323" s="16"/>
      <c r="K323" s="11">
        <v>23430</v>
      </c>
      <c r="L323" s="295" t="s">
        <v>20316</v>
      </c>
      <c r="M323" s="11">
        <v>0</v>
      </c>
      <c r="N323" s="16"/>
      <c r="O323" s="11">
        <v>0</v>
      </c>
      <c r="P323" s="16"/>
      <c r="Q323" s="11">
        <v>23430</v>
      </c>
    </row>
    <row r="324" spans="1:17" s="1" customFormat="1" ht="11.45">
      <c r="A324" s="11" t="s">
        <v>18664</v>
      </c>
      <c r="B324" s="12">
        <v>44610</v>
      </c>
      <c r="C324" s="11">
        <v>2022</v>
      </c>
      <c r="D324" s="11" t="s">
        <v>16470</v>
      </c>
      <c r="E324" s="11" t="s">
        <v>16471</v>
      </c>
      <c r="F324" s="11" t="s">
        <v>20155</v>
      </c>
      <c r="G324" s="11" t="s">
        <v>18227</v>
      </c>
      <c r="H324" s="12">
        <v>44620</v>
      </c>
      <c r="I324" s="11">
        <v>2880</v>
      </c>
      <c r="J324" s="16">
        <v>1</v>
      </c>
      <c r="K324" s="11">
        <v>311280</v>
      </c>
      <c r="L324" s="295" t="s">
        <v>20316</v>
      </c>
      <c r="M324" s="11">
        <v>0</v>
      </c>
      <c r="N324" s="16"/>
      <c r="O324" s="11">
        <v>0</v>
      </c>
      <c r="P324" s="16"/>
      <c r="Q324" s="11">
        <v>314160</v>
      </c>
    </row>
    <row r="325" spans="1:17" s="1" customFormat="1" ht="11.45">
      <c r="A325" s="11" t="s">
        <v>18665</v>
      </c>
      <c r="B325" s="12">
        <v>44610</v>
      </c>
      <c r="C325" s="11">
        <v>2022</v>
      </c>
      <c r="D325" s="11" t="s">
        <v>16643</v>
      </c>
      <c r="E325" s="11" t="s">
        <v>16644</v>
      </c>
      <c r="F325" s="11" t="s">
        <v>20155</v>
      </c>
      <c r="G325" s="11" t="s">
        <v>18227</v>
      </c>
      <c r="H325" s="12">
        <v>44620</v>
      </c>
      <c r="I325" s="11">
        <v>0</v>
      </c>
      <c r="J325" s="16"/>
      <c r="K325" s="11">
        <v>64800</v>
      </c>
      <c r="L325" s="295" t="s">
        <v>20316</v>
      </c>
      <c r="M325" s="11">
        <v>0</v>
      </c>
      <c r="N325" s="16"/>
      <c r="O325" s="11">
        <v>0</v>
      </c>
      <c r="P325" s="16"/>
      <c r="Q325" s="11">
        <v>64800</v>
      </c>
    </row>
    <row r="326" spans="1:17" s="1" customFormat="1" ht="11.45">
      <c r="A326" s="11" t="s">
        <v>18666</v>
      </c>
      <c r="B326" s="12">
        <v>44610</v>
      </c>
      <c r="C326" s="11">
        <v>2022</v>
      </c>
      <c r="D326" s="11" t="s">
        <v>16904</v>
      </c>
      <c r="E326" s="11" t="s">
        <v>16905</v>
      </c>
      <c r="F326" s="11" t="s">
        <v>20155</v>
      </c>
      <c r="G326" s="11" t="s">
        <v>20160</v>
      </c>
      <c r="H326" s="12">
        <v>44615</v>
      </c>
      <c r="I326" s="11">
        <v>0</v>
      </c>
      <c r="J326" s="16"/>
      <c r="K326" s="11">
        <v>20580</v>
      </c>
      <c r="L326" s="16">
        <v>1</v>
      </c>
      <c r="M326" s="11">
        <v>6756</v>
      </c>
      <c r="N326" s="16">
        <v>1</v>
      </c>
      <c r="O326" s="11">
        <v>0</v>
      </c>
      <c r="P326" s="16"/>
      <c r="Q326" s="11">
        <v>27336</v>
      </c>
    </row>
    <row r="327" spans="1:17" s="1" customFormat="1" ht="11.45">
      <c r="A327" s="11" t="s">
        <v>18667</v>
      </c>
      <c r="B327" s="12">
        <v>44610</v>
      </c>
      <c r="C327" s="11">
        <v>2022</v>
      </c>
      <c r="D327" s="11" t="s">
        <v>16444</v>
      </c>
      <c r="E327" s="11" t="s">
        <v>16445</v>
      </c>
      <c r="F327" s="11" t="s">
        <v>20155</v>
      </c>
      <c r="G327" s="11" t="s">
        <v>18248</v>
      </c>
      <c r="H327" s="12">
        <v>44616</v>
      </c>
      <c r="I327" s="11">
        <v>30000</v>
      </c>
      <c r="J327" s="295" t="s">
        <v>20324</v>
      </c>
      <c r="K327" s="11">
        <v>76800</v>
      </c>
      <c r="L327" s="295" t="s">
        <v>20316</v>
      </c>
      <c r="M327" s="11">
        <v>6000</v>
      </c>
      <c r="N327" s="295" t="s">
        <v>20316</v>
      </c>
      <c r="O327" s="11">
        <v>0</v>
      </c>
      <c r="P327" s="16"/>
      <c r="Q327" s="11">
        <v>112800</v>
      </c>
    </row>
    <row r="328" spans="1:17" s="1" customFormat="1" ht="11.45">
      <c r="A328" s="11" t="s">
        <v>18668</v>
      </c>
      <c r="B328" s="12">
        <v>44613</v>
      </c>
      <c r="C328" s="11">
        <v>2022</v>
      </c>
      <c r="D328" s="11" t="s">
        <v>16972</v>
      </c>
      <c r="E328" s="11" t="s">
        <v>16973</v>
      </c>
      <c r="F328" s="11" t="s">
        <v>20155</v>
      </c>
      <c r="G328" s="11" t="s">
        <v>17801</v>
      </c>
      <c r="H328" s="12">
        <v>44618</v>
      </c>
      <c r="I328" s="11">
        <v>0</v>
      </c>
      <c r="J328" s="16"/>
      <c r="K328" s="11">
        <v>0</v>
      </c>
      <c r="L328" s="26"/>
      <c r="M328" s="11">
        <v>280000</v>
      </c>
      <c r="N328" s="295" t="s">
        <v>20323</v>
      </c>
      <c r="O328" s="11">
        <v>0</v>
      </c>
      <c r="P328" s="16"/>
      <c r="Q328" s="11">
        <v>280000</v>
      </c>
    </row>
    <row r="329" spans="1:17" s="1" customFormat="1" ht="11.45">
      <c r="A329" s="11" t="s">
        <v>18669</v>
      </c>
      <c r="B329" s="12">
        <v>44613</v>
      </c>
      <c r="C329" s="11">
        <v>2022</v>
      </c>
      <c r="D329" s="11" t="s">
        <v>16972</v>
      </c>
      <c r="E329" s="11" t="s">
        <v>16973</v>
      </c>
      <c r="F329" s="11" t="s">
        <v>20155</v>
      </c>
      <c r="G329" s="11" t="s">
        <v>17801</v>
      </c>
      <c r="H329" s="12">
        <v>44636</v>
      </c>
      <c r="I329" s="11">
        <v>0</v>
      </c>
      <c r="J329" s="16"/>
      <c r="K329" s="11">
        <v>0</v>
      </c>
      <c r="L329" s="26"/>
      <c r="M329" s="11">
        <v>280000</v>
      </c>
      <c r="N329" s="295" t="s">
        <v>20323</v>
      </c>
      <c r="O329" s="11">
        <v>0</v>
      </c>
      <c r="P329" s="16"/>
      <c r="Q329" s="11">
        <v>280000</v>
      </c>
    </row>
    <row r="330" spans="1:17" s="1" customFormat="1" ht="11.45">
      <c r="A330" s="11" t="s">
        <v>18670</v>
      </c>
      <c r="B330" s="12">
        <v>44613</v>
      </c>
      <c r="C330" s="11">
        <v>2022</v>
      </c>
      <c r="D330" s="11" t="s">
        <v>17017</v>
      </c>
      <c r="E330" s="11" t="s">
        <v>17018</v>
      </c>
      <c r="F330" s="11" t="s">
        <v>20155</v>
      </c>
      <c r="G330" s="11" t="s">
        <v>17954</v>
      </c>
      <c r="H330" s="12">
        <v>44672</v>
      </c>
      <c r="I330" s="11">
        <v>3600</v>
      </c>
      <c r="J330" s="16">
        <v>1</v>
      </c>
      <c r="K330" s="11">
        <v>1800</v>
      </c>
      <c r="L330" s="16">
        <v>1</v>
      </c>
      <c r="M330" s="11">
        <v>1250</v>
      </c>
      <c r="N330" s="16">
        <v>1</v>
      </c>
      <c r="O330" s="11">
        <v>5280</v>
      </c>
      <c r="P330" s="16">
        <v>1</v>
      </c>
      <c r="Q330" s="11">
        <v>11930</v>
      </c>
    </row>
    <row r="331" spans="1:17" s="1" customFormat="1" ht="11.45">
      <c r="A331" s="11" t="s">
        <v>18671</v>
      </c>
      <c r="B331" s="12">
        <v>44613</v>
      </c>
      <c r="C331" s="11">
        <v>2022</v>
      </c>
      <c r="D331" s="11" t="s">
        <v>16838</v>
      </c>
      <c r="E331" s="11" t="s">
        <v>16839</v>
      </c>
      <c r="F331" s="11" t="s">
        <v>20325</v>
      </c>
      <c r="G331" s="11" t="s">
        <v>20321</v>
      </c>
      <c r="H331" s="12" t="s">
        <v>20327</v>
      </c>
      <c r="I331" s="11">
        <v>0</v>
      </c>
      <c r="J331" s="16"/>
      <c r="K331" s="11">
        <v>176064</v>
      </c>
      <c r="L331" s="295" t="s">
        <v>20323</v>
      </c>
      <c r="M331" s="11">
        <v>0</v>
      </c>
      <c r="N331" s="16"/>
      <c r="O331" s="11">
        <v>0</v>
      </c>
      <c r="P331" s="16"/>
      <c r="Q331" s="11">
        <v>176064</v>
      </c>
    </row>
    <row r="332" spans="1:17" s="1" customFormat="1" ht="11.45">
      <c r="A332" s="11" t="s">
        <v>18672</v>
      </c>
      <c r="B332" s="12">
        <v>44613</v>
      </c>
      <c r="C332" s="11">
        <v>2022</v>
      </c>
      <c r="D332" s="11" t="s">
        <v>16957</v>
      </c>
      <c r="E332" s="11" t="s">
        <v>16958</v>
      </c>
      <c r="F332" s="11" t="s">
        <v>20155</v>
      </c>
      <c r="G332" s="11" t="s">
        <v>20161</v>
      </c>
      <c r="H332" s="12">
        <v>44658</v>
      </c>
      <c r="I332" s="11">
        <v>20000</v>
      </c>
      <c r="J332" s="16">
        <v>1</v>
      </c>
      <c r="K332" s="11">
        <v>0</v>
      </c>
      <c r="L332" s="26"/>
      <c r="M332" s="11">
        <v>0</v>
      </c>
      <c r="N332" s="16"/>
      <c r="O332" s="11">
        <v>0</v>
      </c>
      <c r="P332" s="16"/>
      <c r="Q332" s="11">
        <v>20000</v>
      </c>
    </row>
    <row r="333" spans="1:17" s="1" customFormat="1" ht="11.45">
      <c r="A333" s="11" t="s">
        <v>18673</v>
      </c>
      <c r="B333" s="12">
        <v>44613</v>
      </c>
      <c r="C333" s="11">
        <v>2022</v>
      </c>
      <c r="D333" s="11" t="s">
        <v>16838</v>
      </c>
      <c r="E333" s="11" t="s">
        <v>16839</v>
      </c>
      <c r="F333" s="11" t="s">
        <v>20155</v>
      </c>
      <c r="G333" s="11" t="s">
        <v>17949</v>
      </c>
      <c r="H333" s="12">
        <v>44634</v>
      </c>
      <c r="I333" s="11">
        <v>88032</v>
      </c>
      <c r="J333" s="295" t="s">
        <v>20324</v>
      </c>
      <c r="K333" s="11">
        <v>25200</v>
      </c>
      <c r="L333" s="295" t="s">
        <v>20316</v>
      </c>
      <c r="M333" s="11">
        <v>0</v>
      </c>
      <c r="N333" s="16"/>
      <c r="O333" s="11">
        <v>0</v>
      </c>
      <c r="P333" s="16"/>
      <c r="Q333" s="11">
        <v>113232</v>
      </c>
    </row>
    <row r="334" spans="1:17" s="1" customFormat="1" ht="11.45">
      <c r="A334" s="11" t="s">
        <v>18674</v>
      </c>
      <c r="B334" s="12">
        <v>44613</v>
      </c>
      <c r="C334" s="11">
        <v>2022</v>
      </c>
      <c r="D334" s="11" t="s">
        <v>17248</v>
      </c>
      <c r="E334" s="11" t="s">
        <v>17249</v>
      </c>
      <c r="F334" s="11" t="s">
        <v>20155</v>
      </c>
      <c r="G334" s="11" t="s">
        <v>17954</v>
      </c>
      <c r="H334" s="12">
        <v>44615</v>
      </c>
      <c r="I334" s="11">
        <v>0</v>
      </c>
      <c r="J334" s="16"/>
      <c r="K334" s="11">
        <v>23426.400000000001</v>
      </c>
      <c r="L334" s="295" t="s">
        <v>20328</v>
      </c>
      <c r="M334" s="11">
        <v>0</v>
      </c>
      <c r="N334" s="16"/>
      <c r="O334" s="11">
        <v>0</v>
      </c>
      <c r="P334" s="16"/>
      <c r="Q334" s="11">
        <v>23426.400000000001</v>
      </c>
    </row>
    <row r="335" spans="1:17" s="1" customFormat="1" ht="11.45">
      <c r="A335" s="11" t="s">
        <v>18675</v>
      </c>
      <c r="B335" s="12">
        <v>44613</v>
      </c>
      <c r="C335" s="11">
        <v>2022</v>
      </c>
      <c r="D335" s="11" t="s">
        <v>17299</v>
      </c>
      <c r="E335" s="11" t="s">
        <v>17300</v>
      </c>
      <c r="F335" s="11" t="s">
        <v>20155</v>
      </c>
      <c r="G335" s="11" t="s">
        <v>20321</v>
      </c>
      <c r="H335" s="12">
        <v>44617</v>
      </c>
      <c r="I335" s="11">
        <v>115200</v>
      </c>
      <c r="J335" s="295" t="s">
        <v>20324</v>
      </c>
      <c r="K335" s="11">
        <v>0</v>
      </c>
      <c r="L335" s="26"/>
      <c r="M335" s="11">
        <v>0</v>
      </c>
      <c r="N335" s="16"/>
      <c r="O335" s="11">
        <v>0</v>
      </c>
      <c r="P335" s="16"/>
      <c r="Q335" s="11">
        <v>115200</v>
      </c>
    </row>
    <row r="336" spans="1:17" s="1" customFormat="1" ht="11.45">
      <c r="A336" s="11" t="s">
        <v>18676</v>
      </c>
      <c r="B336" s="12">
        <v>44615</v>
      </c>
      <c r="C336" s="11">
        <v>2022</v>
      </c>
      <c r="D336" s="11" t="s">
        <v>16880</v>
      </c>
      <c r="E336" s="11" t="s">
        <v>16881</v>
      </c>
      <c r="F336" s="11" t="s">
        <v>20155</v>
      </c>
      <c r="G336" s="11" t="s">
        <v>20329</v>
      </c>
      <c r="H336" s="12">
        <v>44627</v>
      </c>
      <c r="I336" s="11">
        <v>0</v>
      </c>
      <c r="J336" s="16"/>
      <c r="K336" s="11">
        <v>19800</v>
      </c>
      <c r="L336" s="16">
        <v>1</v>
      </c>
      <c r="M336" s="11">
        <v>0</v>
      </c>
      <c r="N336" s="16"/>
      <c r="O336" s="11">
        <v>0</v>
      </c>
      <c r="P336" s="16"/>
      <c r="Q336" s="11">
        <v>19800</v>
      </c>
    </row>
    <row r="337" spans="1:17" s="1" customFormat="1" ht="11.45">
      <c r="A337" s="11" t="s">
        <v>18677</v>
      </c>
      <c r="B337" s="12">
        <v>44621</v>
      </c>
      <c r="C337" s="11">
        <v>2022</v>
      </c>
      <c r="D337" s="11" t="s">
        <v>17311</v>
      </c>
      <c r="E337" s="11" t="s">
        <v>17312</v>
      </c>
      <c r="F337" s="11" t="s">
        <v>20155</v>
      </c>
      <c r="G337" s="11" t="s">
        <v>17689</v>
      </c>
      <c r="H337" s="12">
        <v>44634</v>
      </c>
      <c r="I337" s="11">
        <v>5389</v>
      </c>
      <c r="J337" s="16">
        <v>1</v>
      </c>
      <c r="K337" s="11">
        <v>39960</v>
      </c>
      <c r="L337" s="16">
        <v>1</v>
      </c>
      <c r="M337" s="11">
        <v>0</v>
      </c>
      <c r="N337" s="16"/>
      <c r="O337" s="11">
        <v>1560</v>
      </c>
      <c r="P337" s="16">
        <v>1</v>
      </c>
      <c r="Q337" s="11">
        <v>46909</v>
      </c>
    </row>
    <row r="338" spans="1:17" s="1" customFormat="1" ht="11.45">
      <c r="A338" s="11" t="s">
        <v>18678</v>
      </c>
      <c r="B338" s="12">
        <v>44627</v>
      </c>
      <c r="C338" s="11">
        <v>2022</v>
      </c>
      <c r="D338" s="11" t="s">
        <v>16904</v>
      </c>
      <c r="E338" s="11" t="s">
        <v>16905</v>
      </c>
      <c r="F338" s="11" t="s">
        <v>20155</v>
      </c>
      <c r="G338" s="11" t="s">
        <v>20160</v>
      </c>
      <c r="H338" s="12">
        <v>44641</v>
      </c>
      <c r="I338" s="11">
        <v>0</v>
      </c>
      <c r="J338" s="16"/>
      <c r="K338" s="11">
        <v>21600</v>
      </c>
      <c r="L338" s="16">
        <v>1</v>
      </c>
      <c r="M338" s="11">
        <v>0</v>
      </c>
      <c r="N338" s="16"/>
      <c r="O338" s="11">
        <v>0</v>
      </c>
      <c r="P338" s="16"/>
      <c r="Q338" s="11">
        <v>21600</v>
      </c>
    </row>
    <row r="339" spans="1:17" s="1" customFormat="1" ht="11.45">
      <c r="A339" s="11" t="s">
        <v>18679</v>
      </c>
      <c r="B339" s="12">
        <v>44628</v>
      </c>
      <c r="C339" s="11">
        <v>2022</v>
      </c>
      <c r="D339" s="11" t="s">
        <v>16560</v>
      </c>
      <c r="E339" s="11" t="s">
        <v>16561</v>
      </c>
      <c r="F339" s="11" t="s">
        <v>20155</v>
      </c>
      <c r="G339" s="11" t="s">
        <v>17801</v>
      </c>
      <c r="H339" s="12">
        <v>44632</v>
      </c>
      <c r="I339" s="11">
        <v>0</v>
      </c>
      <c r="J339" s="16"/>
      <c r="K339" s="11">
        <v>0</v>
      </c>
      <c r="L339" s="26"/>
      <c r="M339" s="11">
        <v>108000</v>
      </c>
      <c r="N339" s="295" t="s">
        <v>20323</v>
      </c>
      <c r="O339" s="11">
        <v>0</v>
      </c>
      <c r="P339" s="16"/>
      <c r="Q339" s="11">
        <v>108000</v>
      </c>
    </row>
    <row r="340" spans="1:17" s="1" customFormat="1" ht="11.45">
      <c r="A340" s="11" t="s">
        <v>18680</v>
      </c>
      <c r="B340" s="12">
        <v>44628</v>
      </c>
      <c r="C340" s="11">
        <v>2022</v>
      </c>
      <c r="D340" s="11" t="s">
        <v>16560</v>
      </c>
      <c r="E340" s="11" t="s">
        <v>16561</v>
      </c>
      <c r="F340" s="11" t="s">
        <v>20155</v>
      </c>
      <c r="G340" s="11" t="s">
        <v>17801</v>
      </c>
      <c r="H340" s="12">
        <v>44635</v>
      </c>
      <c r="I340" s="11">
        <v>0</v>
      </c>
      <c r="J340" s="16"/>
      <c r="K340" s="11">
        <v>0</v>
      </c>
      <c r="L340" s="26"/>
      <c r="M340" s="11">
        <v>108000</v>
      </c>
      <c r="N340" s="295" t="s">
        <v>20323</v>
      </c>
      <c r="O340" s="11">
        <v>0</v>
      </c>
      <c r="P340" s="16"/>
      <c r="Q340" s="11">
        <v>108000</v>
      </c>
    </row>
    <row r="341" spans="1:17" s="1" customFormat="1" ht="11.45">
      <c r="A341" s="11" t="s">
        <v>18681</v>
      </c>
      <c r="B341" s="12">
        <v>44628</v>
      </c>
      <c r="C341" s="11">
        <v>2022</v>
      </c>
      <c r="D341" s="11" t="s">
        <v>16560</v>
      </c>
      <c r="E341" s="11" t="s">
        <v>16561</v>
      </c>
      <c r="F341" s="11" t="s">
        <v>20155</v>
      </c>
      <c r="G341" s="11" t="s">
        <v>17801</v>
      </c>
      <c r="H341" s="12">
        <v>44636</v>
      </c>
      <c r="I341" s="11">
        <v>0</v>
      </c>
      <c r="J341" s="16"/>
      <c r="K341" s="11">
        <v>0</v>
      </c>
      <c r="L341" s="26"/>
      <c r="M341" s="11">
        <v>108000</v>
      </c>
      <c r="N341" s="295" t="s">
        <v>20323</v>
      </c>
      <c r="O341" s="11">
        <v>0</v>
      </c>
      <c r="P341" s="16"/>
      <c r="Q341" s="11">
        <v>108000</v>
      </c>
    </row>
    <row r="342" spans="1:17" s="1" customFormat="1" ht="11.45">
      <c r="A342" s="11" t="s">
        <v>18682</v>
      </c>
      <c r="B342" s="12">
        <v>44628</v>
      </c>
      <c r="C342" s="11">
        <v>2022</v>
      </c>
      <c r="D342" s="11" t="s">
        <v>16560</v>
      </c>
      <c r="E342" s="11" t="s">
        <v>16561</v>
      </c>
      <c r="F342" s="11" t="s">
        <v>20155</v>
      </c>
      <c r="G342" s="11" t="s">
        <v>17801</v>
      </c>
      <c r="H342" s="12">
        <v>44637</v>
      </c>
      <c r="I342" s="11">
        <v>0</v>
      </c>
      <c r="J342" s="16"/>
      <c r="K342" s="11">
        <v>0</v>
      </c>
      <c r="L342" s="26"/>
      <c r="M342" s="11">
        <v>108000</v>
      </c>
      <c r="N342" s="295" t="s">
        <v>20323</v>
      </c>
      <c r="O342" s="11">
        <v>0</v>
      </c>
      <c r="P342" s="16"/>
      <c r="Q342" s="11">
        <v>108000</v>
      </c>
    </row>
    <row r="343" spans="1:17" s="1" customFormat="1" ht="11.45">
      <c r="A343" s="11" t="s">
        <v>18683</v>
      </c>
      <c r="B343" s="12">
        <v>44628</v>
      </c>
      <c r="C343" s="11">
        <v>2022</v>
      </c>
      <c r="D343" s="11" t="s">
        <v>16560</v>
      </c>
      <c r="E343" s="11" t="s">
        <v>16561</v>
      </c>
      <c r="F343" s="11" t="s">
        <v>20155</v>
      </c>
      <c r="G343" s="11" t="s">
        <v>17801</v>
      </c>
      <c r="H343" s="12">
        <v>44637</v>
      </c>
      <c r="I343" s="11">
        <v>0</v>
      </c>
      <c r="J343" s="16"/>
      <c r="K343" s="11">
        <v>0</v>
      </c>
      <c r="L343" s="26"/>
      <c r="M343" s="11">
        <v>108000</v>
      </c>
      <c r="N343" s="295" t="s">
        <v>20323</v>
      </c>
      <c r="O343" s="11">
        <v>0</v>
      </c>
      <c r="P343" s="16"/>
      <c r="Q343" s="11">
        <v>108000</v>
      </c>
    </row>
    <row r="344" spans="1:17" s="1" customFormat="1" ht="11.45">
      <c r="A344" s="11" t="s">
        <v>18684</v>
      </c>
      <c r="B344" s="12">
        <v>44630</v>
      </c>
      <c r="C344" s="11">
        <v>2022</v>
      </c>
      <c r="D344" s="11" t="s">
        <v>17017</v>
      </c>
      <c r="E344" s="11" t="s">
        <v>17018</v>
      </c>
      <c r="F344" s="11" t="s">
        <v>20155</v>
      </c>
      <c r="G344" s="11" t="s">
        <v>18283</v>
      </c>
      <c r="H344" s="12">
        <v>44637</v>
      </c>
      <c r="I344" s="11">
        <v>0</v>
      </c>
      <c r="J344" s="16"/>
      <c r="K344" s="11">
        <v>20500</v>
      </c>
      <c r="L344" s="16">
        <v>1</v>
      </c>
      <c r="M344" s="11">
        <v>0</v>
      </c>
      <c r="N344" s="26"/>
      <c r="O344" s="11">
        <v>0</v>
      </c>
      <c r="P344" s="16"/>
      <c r="Q344" s="11">
        <v>20500</v>
      </c>
    </row>
    <row r="345" spans="1:17" s="1" customFormat="1" ht="11.45">
      <c r="A345" s="11" t="s">
        <v>18685</v>
      </c>
      <c r="B345" s="12">
        <v>44630</v>
      </c>
      <c r="C345" s="11">
        <v>2022</v>
      </c>
      <c r="D345" s="11" t="s">
        <v>17314</v>
      </c>
      <c r="E345" s="11" t="s">
        <v>17315</v>
      </c>
      <c r="F345" s="11" t="s">
        <v>20155</v>
      </c>
      <c r="G345" s="11" t="s">
        <v>20171</v>
      </c>
      <c r="H345" s="12">
        <v>44672</v>
      </c>
      <c r="I345" s="11">
        <v>19200</v>
      </c>
      <c r="J345" s="16">
        <v>1</v>
      </c>
      <c r="K345" s="11">
        <v>0</v>
      </c>
      <c r="L345" s="26"/>
      <c r="M345" s="11">
        <v>0</v>
      </c>
      <c r="N345" s="26"/>
      <c r="O345" s="11">
        <v>0</v>
      </c>
      <c r="P345" s="16"/>
      <c r="Q345" s="11">
        <v>19200</v>
      </c>
    </row>
    <row r="346" spans="1:17" s="1" customFormat="1" ht="11.45">
      <c r="A346" s="11" t="s">
        <v>18687</v>
      </c>
      <c r="B346" s="12">
        <v>44630</v>
      </c>
      <c r="C346" s="11">
        <v>2022</v>
      </c>
      <c r="D346" s="11" t="s">
        <v>17274</v>
      </c>
      <c r="E346" s="11" t="s">
        <v>17275</v>
      </c>
      <c r="F346" s="11" t="s">
        <v>20155</v>
      </c>
      <c r="G346" s="11" t="s">
        <v>16394</v>
      </c>
      <c r="H346" s="12">
        <v>44643</v>
      </c>
      <c r="I346" s="11">
        <v>0</v>
      </c>
      <c r="J346" s="16"/>
      <c r="K346" s="11">
        <v>14152</v>
      </c>
      <c r="L346" s="16">
        <v>1</v>
      </c>
      <c r="M346" s="11">
        <v>1500</v>
      </c>
      <c r="N346" s="16">
        <v>1</v>
      </c>
      <c r="O346" s="11">
        <v>2300</v>
      </c>
      <c r="P346" s="16">
        <v>1</v>
      </c>
      <c r="Q346" s="11">
        <v>17952</v>
      </c>
    </row>
    <row r="347" spans="1:17" s="1" customFormat="1" ht="11.45">
      <c r="A347" s="11" t="s">
        <v>18688</v>
      </c>
      <c r="B347" s="12">
        <v>44630</v>
      </c>
      <c r="C347" s="11">
        <v>2022</v>
      </c>
      <c r="D347" s="11" t="s">
        <v>16904</v>
      </c>
      <c r="E347" s="11" t="s">
        <v>16905</v>
      </c>
      <c r="F347" s="11" t="s">
        <v>20155</v>
      </c>
      <c r="G347" s="11" t="s">
        <v>20160</v>
      </c>
      <c r="H347" s="12">
        <v>44644</v>
      </c>
      <c r="I347" s="11">
        <v>0</v>
      </c>
      <c r="J347" s="16"/>
      <c r="K347" s="11">
        <v>12144</v>
      </c>
      <c r="L347" s="16">
        <v>1</v>
      </c>
      <c r="M347" s="11">
        <v>15192</v>
      </c>
      <c r="N347" s="16">
        <v>1</v>
      </c>
      <c r="O347" s="11">
        <v>0</v>
      </c>
      <c r="P347" s="16"/>
      <c r="Q347" s="11">
        <v>27336</v>
      </c>
    </row>
    <row r="348" spans="1:17" s="1" customFormat="1" ht="11.45">
      <c r="A348" s="11" t="s">
        <v>18689</v>
      </c>
      <c r="B348" s="12">
        <v>44635</v>
      </c>
      <c r="C348" s="11">
        <v>2022</v>
      </c>
      <c r="D348" s="11" t="s">
        <v>17287</v>
      </c>
      <c r="E348" s="11" t="s">
        <v>17288</v>
      </c>
      <c r="F348" s="11" t="s">
        <v>20155</v>
      </c>
      <c r="G348" s="11" t="s">
        <v>17949</v>
      </c>
      <c r="H348" s="12">
        <v>44643</v>
      </c>
      <c r="I348" s="11">
        <v>110040</v>
      </c>
      <c r="J348" s="16">
        <v>1</v>
      </c>
      <c r="K348" s="11">
        <v>0</v>
      </c>
      <c r="L348" s="26"/>
      <c r="M348" s="11">
        <v>0</v>
      </c>
      <c r="N348" s="26"/>
      <c r="O348" s="11">
        <v>0</v>
      </c>
      <c r="P348" s="16"/>
      <c r="Q348" s="11">
        <v>110040</v>
      </c>
    </row>
    <row r="349" spans="1:17" s="1" customFormat="1" ht="11.45">
      <c r="A349" s="11" t="s">
        <v>18690</v>
      </c>
      <c r="B349" s="12">
        <v>44635</v>
      </c>
      <c r="C349" s="11">
        <v>2022</v>
      </c>
      <c r="D349" s="11" t="s">
        <v>17284</v>
      </c>
      <c r="E349" s="11" t="s">
        <v>17285</v>
      </c>
      <c r="F349" s="11" t="s">
        <v>20155</v>
      </c>
      <c r="G349" s="11" t="s">
        <v>20306</v>
      </c>
      <c r="H349" s="12">
        <v>44648</v>
      </c>
      <c r="I349" s="11">
        <v>0</v>
      </c>
      <c r="J349" s="16">
        <v>1</v>
      </c>
      <c r="K349" s="11">
        <v>0</v>
      </c>
      <c r="L349" s="26"/>
      <c r="M349" s="11">
        <v>0</v>
      </c>
      <c r="N349" s="26"/>
      <c r="O349" s="11">
        <v>1120</v>
      </c>
      <c r="P349" s="16"/>
      <c r="Q349" s="11">
        <v>1120</v>
      </c>
    </row>
    <row r="350" spans="1:17" s="1" customFormat="1" ht="11.45">
      <c r="A350" s="11" t="s">
        <v>18691</v>
      </c>
      <c r="B350" s="12">
        <v>44635</v>
      </c>
      <c r="C350" s="11">
        <v>2022</v>
      </c>
      <c r="D350" s="11" t="s">
        <v>16838</v>
      </c>
      <c r="E350" s="11" t="s">
        <v>16839</v>
      </c>
      <c r="F350" s="11" t="s">
        <v>20155</v>
      </c>
      <c r="G350" s="11" t="s">
        <v>17771</v>
      </c>
      <c r="H350" s="12">
        <v>44659</v>
      </c>
      <c r="I350" s="11">
        <v>3360</v>
      </c>
      <c r="J350" s="16">
        <v>1</v>
      </c>
      <c r="K350" s="11">
        <v>20280</v>
      </c>
      <c r="L350" s="295" t="s">
        <v>20323</v>
      </c>
      <c r="M350" s="11">
        <v>84000</v>
      </c>
      <c r="N350" s="295" t="s">
        <v>20323</v>
      </c>
      <c r="O350" s="11">
        <v>0</v>
      </c>
      <c r="P350" s="16"/>
      <c r="Q350" s="11">
        <v>107640</v>
      </c>
    </row>
    <row r="351" spans="1:17" s="1" customFormat="1" ht="11.45">
      <c r="A351" s="11" t="s">
        <v>18692</v>
      </c>
      <c r="B351" s="12">
        <v>44635</v>
      </c>
      <c r="C351" s="11">
        <v>2022</v>
      </c>
      <c r="D351" s="11" t="s">
        <v>16838</v>
      </c>
      <c r="E351" s="11" t="s">
        <v>16839</v>
      </c>
      <c r="F351" s="11" t="s">
        <v>20155</v>
      </c>
      <c r="G351" s="11" t="s">
        <v>17949</v>
      </c>
      <c r="H351" s="12">
        <v>44651</v>
      </c>
      <c r="I351" s="11">
        <v>215656</v>
      </c>
      <c r="J351" s="16"/>
      <c r="K351" s="11">
        <v>24000</v>
      </c>
      <c r="L351" s="26"/>
      <c r="M351" s="11">
        <v>0</v>
      </c>
      <c r="N351" s="26"/>
      <c r="O351" s="11">
        <v>0</v>
      </c>
      <c r="P351" s="16"/>
      <c r="Q351" s="11">
        <v>239656</v>
      </c>
    </row>
    <row r="352" spans="1:17" s="1" customFormat="1" ht="11.45">
      <c r="A352" s="11" t="s">
        <v>18693</v>
      </c>
      <c r="B352" s="12">
        <v>44638</v>
      </c>
      <c r="C352" s="11">
        <v>2022</v>
      </c>
      <c r="D352" s="11" t="s">
        <v>17272</v>
      </c>
      <c r="E352" s="11" t="s">
        <v>17273</v>
      </c>
      <c r="F352" s="11" t="s">
        <v>20155</v>
      </c>
      <c r="G352" s="11" t="s">
        <v>16394</v>
      </c>
      <c r="H352" s="12">
        <v>44645</v>
      </c>
      <c r="I352" s="11">
        <v>0</v>
      </c>
      <c r="J352" s="16"/>
      <c r="K352" s="11">
        <v>5796</v>
      </c>
      <c r="L352" s="16">
        <v>1</v>
      </c>
      <c r="M352" s="11">
        <v>1500</v>
      </c>
      <c r="N352" s="16">
        <v>1</v>
      </c>
      <c r="O352" s="11">
        <v>780</v>
      </c>
      <c r="P352" s="16">
        <v>1</v>
      </c>
      <c r="Q352" s="11">
        <v>8076</v>
      </c>
    </row>
    <row r="353" spans="1:17" s="1" customFormat="1" ht="11.45">
      <c r="A353" s="11" t="s">
        <v>18694</v>
      </c>
      <c r="B353" s="12">
        <v>44638</v>
      </c>
      <c r="C353" s="11">
        <v>2022</v>
      </c>
      <c r="D353" s="11" t="s">
        <v>16444</v>
      </c>
      <c r="E353" s="11" t="s">
        <v>16445</v>
      </c>
      <c r="F353" s="11" t="s">
        <v>20155</v>
      </c>
      <c r="G353" s="11" t="s">
        <v>17949</v>
      </c>
      <c r="H353" s="12">
        <v>44648</v>
      </c>
      <c r="I353" s="11">
        <v>65616</v>
      </c>
      <c r="J353" s="295" t="s">
        <v>20324</v>
      </c>
      <c r="K353" s="11">
        <v>0</v>
      </c>
      <c r="L353" s="26"/>
      <c r="M353" s="11">
        <v>0</v>
      </c>
      <c r="N353" s="26"/>
      <c r="O353" s="11">
        <v>0</v>
      </c>
      <c r="P353" s="16"/>
      <c r="Q353" s="11">
        <v>65616</v>
      </c>
    </row>
    <row r="354" spans="1:17" s="1" customFormat="1" ht="11.45">
      <c r="A354" s="11" t="s">
        <v>18695</v>
      </c>
      <c r="B354" s="12">
        <v>44638</v>
      </c>
      <c r="C354" s="11">
        <v>2022</v>
      </c>
      <c r="D354" s="11" t="s">
        <v>17233</v>
      </c>
      <c r="E354" s="11" t="s">
        <v>17234</v>
      </c>
      <c r="F354" s="11" t="s">
        <v>20155</v>
      </c>
      <c r="G354" s="11" t="s">
        <v>17939</v>
      </c>
      <c r="H354" s="12">
        <v>44648</v>
      </c>
      <c r="I354" s="11">
        <v>0</v>
      </c>
      <c r="J354" s="16"/>
      <c r="K354" s="11">
        <v>220752</v>
      </c>
      <c r="L354" s="295" t="s">
        <v>20324</v>
      </c>
      <c r="M354" s="11">
        <v>94608</v>
      </c>
      <c r="N354" s="295" t="s">
        <v>20324</v>
      </c>
      <c r="O354" s="11">
        <v>0</v>
      </c>
      <c r="P354" s="16"/>
      <c r="Q354" s="11">
        <v>315360</v>
      </c>
    </row>
    <row r="355" spans="1:17" s="1" customFormat="1" ht="11.45">
      <c r="A355" s="11" t="s">
        <v>18696</v>
      </c>
      <c r="B355" s="12">
        <v>44639</v>
      </c>
      <c r="C355" s="11">
        <v>2022</v>
      </c>
      <c r="D355" s="11" t="s">
        <v>16783</v>
      </c>
      <c r="E355" s="11" t="s">
        <v>16784</v>
      </c>
      <c r="F355" s="11" t="s">
        <v>20155</v>
      </c>
      <c r="G355" s="11" t="s">
        <v>17939</v>
      </c>
      <c r="H355" s="12">
        <v>44648</v>
      </c>
      <c r="I355" s="11">
        <v>0</v>
      </c>
      <c r="J355" s="16"/>
      <c r="K355" s="11">
        <v>412800</v>
      </c>
      <c r="L355" s="295" t="s">
        <v>20324</v>
      </c>
      <c r="M355" s="11">
        <v>48000</v>
      </c>
      <c r="N355" s="295" t="s">
        <v>20324</v>
      </c>
      <c r="O355" s="11">
        <v>0</v>
      </c>
      <c r="P355" s="16"/>
      <c r="Q355" s="11">
        <v>460800</v>
      </c>
    </row>
    <row r="356" spans="1:17" s="1" customFormat="1" ht="11.45">
      <c r="A356" s="11" t="s">
        <v>18697</v>
      </c>
      <c r="B356" s="12">
        <v>44639</v>
      </c>
      <c r="C356" s="11">
        <v>2022</v>
      </c>
      <c r="D356" s="11" t="s">
        <v>17017</v>
      </c>
      <c r="E356" s="11" t="s">
        <v>17018</v>
      </c>
      <c r="F356" s="11" t="s">
        <v>20155</v>
      </c>
      <c r="G356" s="11" t="s">
        <v>18064</v>
      </c>
      <c r="H356" s="12">
        <v>44648</v>
      </c>
      <c r="I356" s="11">
        <v>0</v>
      </c>
      <c r="J356" s="16"/>
      <c r="K356" s="11">
        <v>20000</v>
      </c>
      <c r="L356" s="16">
        <v>1</v>
      </c>
      <c r="M356" s="11">
        <v>0</v>
      </c>
      <c r="N356" s="26"/>
      <c r="O356" s="11">
        <v>0</v>
      </c>
      <c r="P356" s="16"/>
      <c r="Q356" s="11">
        <v>20000</v>
      </c>
    </row>
    <row r="357" spans="1:17" s="1" customFormat="1" ht="11.45">
      <c r="A357" s="11" t="s">
        <v>18698</v>
      </c>
      <c r="B357" s="12">
        <v>44643</v>
      </c>
      <c r="C357" s="11">
        <v>2022</v>
      </c>
      <c r="D357" s="11" t="s">
        <v>17299</v>
      </c>
      <c r="E357" s="11" t="s">
        <v>17300</v>
      </c>
      <c r="F357" s="11" t="s">
        <v>20155</v>
      </c>
      <c r="G357" s="11" t="s">
        <v>20321</v>
      </c>
      <c r="H357" s="12">
        <v>44649</v>
      </c>
      <c r="I357" s="11">
        <v>76800</v>
      </c>
      <c r="J357" s="295" t="s">
        <v>20324</v>
      </c>
      <c r="K357" s="11">
        <v>0</v>
      </c>
      <c r="L357" s="26"/>
      <c r="M357" s="11">
        <v>0</v>
      </c>
      <c r="N357" s="26"/>
      <c r="O357" s="11">
        <v>0</v>
      </c>
      <c r="P357" s="16"/>
      <c r="Q357" s="11">
        <v>76800</v>
      </c>
    </row>
    <row r="358" spans="1:17" s="1" customFormat="1" ht="11.45">
      <c r="A358" s="11" t="s">
        <v>18699</v>
      </c>
      <c r="B358" s="12">
        <v>44644</v>
      </c>
      <c r="C358" s="11">
        <v>2022</v>
      </c>
      <c r="D358" s="11" t="s">
        <v>17319</v>
      </c>
      <c r="E358" s="11" t="s">
        <v>17320</v>
      </c>
      <c r="F358" s="11" t="s">
        <v>20155</v>
      </c>
      <c r="G358" s="11" t="s">
        <v>17939</v>
      </c>
      <c r="H358" s="12">
        <v>44649</v>
      </c>
      <c r="I358" s="11">
        <v>0</v>
      </c>
      <c r="J358" s="16"/>
      <c r="K358" s="11">
        <v>96000</v>
      </c>
      <c r="L358" s="295" t="s">
        <v>20324</v>
      </c>
      <c r="M358" s="11">
        <v>24960</v>
      </c>
      <c r="N358" s="295" t="s">
        <v>20324</v>
      </c>
      <c r="O358" s="11">
        <v>0</v>
      </c>
      <c r="P358" s="16"/>
      <c r="Q358" s="11">
        <v>120960</v>
      </c>
    </row>
    <row r="359" spans="1:17" s="1" customFormat="1" ht="11.45">
      <c r="A359" s="11" t="s">
        <v>18701</v>
      </c>
      <c r="B359" s="12">
        <v>44648</v>
      </c>
      <c r="C359" s="11">
        <v>2022</v>
      </c>
      <c r="D359" s="11" t="s">
        <v>17317</v>
      </c>
      <c r="E359" s="11" t="s">
        <v>17318</v>
      </c>
      <c r="F359" s="11" t="s">
        <v>20155</v>
      </c>
      <c r="G359" s="11" t="s">
        <v>17238</v>
      </c>
      <c r="H359" s="12">
        <v>44698</v>
      </c>
      <c r="I359" s="11">
        <v>960</v>
      </c>
      <c r="J359" s="16">
        <v>1</v>
      </c>
      <c r="K359" s="11">
        <v>2436</v>
      </c>
      <c r="L359" s="16">
        <v>1</v>
      </c>
      <c r="M359" s="11">
        <v>3000</v>
      </c>
      <c r="N359" s="26"/>
      <c r="O359" s="11">
        <v>940</v>
      </c>
      <c r="P359" s="16">
        <v>1</v>
      </c>
      <c r="Q359" s="11">
        <v>7336</v>
      </c>
    </row>
    <row r="360" spans="1:17" s="1" customFormat="1" ht="11.45">
      <c r="A360" s="11" t="s">
        <v>18702</v>
      </c>
      <c r="B360" s="12">
        <v>44649</v>
      </c>
      <c r="C360" s="11">
        <v>2022</v>
      </c>
      <c r="D360" s="11" t="s">
        <v>16838</v>
      </c>
      <c r="E360" s="11" t="s">
        <v>16839</v>
      </c>
      <c r="F360" s="11" t="s">
        <v>20155</v>
      </c>
      <c r="G360" s="11" t="s">
        <v>20321</v>
      </c>
      <c r="H360" s="12">
        <v>44655</v>
      </c>
      <c r="I360" s="11">
        <v>0</v>
      </c>
      <c r="J360" s="16"/>
      <c r="K360" s="11">
        <v>110040</v>
      </c>
      <c r="L360" s="295" t="s">
        <v>20323</v>
      </c>
      <c r="M360" s="11">
        <v>0</v>
      </c>
      <c r="N360" s="26"/>
      <c r="O360" s="11">
        <v>0</v>
      </c>
      <c r="P360" s="16"/>
      <c r="Q360" s="11">
        <v>110040</v>
      </c>
    </row>
    <row r="361" spans="1:17" s="1" customFormat="1" ht="11.45">
      <c r="A361" s="11" t="s">
        <v>18703</v>
      </c>
      <c r="B361" s="12">
        <v>44649</v>
      </c>
      <c r="C361" s="11">
        <v>2022</v>
      </c>
      <c r="D361" s="11" t="s">
        <v>17309</v>
      </c>
      <c r="E361" s="11" t="s">
        <v>17310</v>
      </c>
      <c r="F361" s="11" t="s">
        <v>20155</v>
      </c>
      <c r="G361" s="11" t="s">
        <v>20321</v>
      </c>
      <c r="H361" s="12">
        <v>44664</v>
      </c>
      <c r="I361" s="11">
        <v>0</v>
      </c>
      <c r="J361" s="16"/>
      <c r="K361" s="11">
        <v>275088</v>
      </c>
      <c r="L361" s="295" t="s">
        <v>20323</v>
      </c>
      <c r="M361" s="11">
        <v>0</v>
      </c>
      <c r="N361" s="26"/>
      <c r="O361" s="11">
        <v>0</v>
      </c>
      <c r="P361" s="16"/>
      <c r="Q361" s="11">
        <v>275088</v>
      </c>
    </row>
    <row r="362" spans="1:17" s="1" customFormat="1" ht="11.45">
      <c r="A362" s="11" t="s">
        <v>18705</v>
      </c>
      <c r="B362" s="12">
        <v>44658</v>
      </c>
      <c r="C362" s="11">
        <v>2022</v>
      </c>
      <c r="D362" s="11" t="s">
        <v>16880</v>
      </c>
      <c r="E362" s="11" t="s">
        <v>16881</v>
      </c>
      <c r="F362" s="11" t="s">
        <v>20155</v>
      </c>
      <c r="G362" s="11" t="s">
        <v>20329</v>
      </c>
      <c r="H362" s="12">
        <v>44669</v>
      </c>
      <c r="I362" s="11">
        <v>0</v>
      </c>
      <c r="J362" s="16"/>
      <c r="K362" s="11">
        <v>20480</v>
      </c>
      <c r="L362" s="16">
        <v>1</v>
      </c>
      <c r="M362" s="11">
        <v>0</v>
      </c>
      <c r="N362" s="26"/>
      <c r="O362" s="11">
        <v>0</v>
      </c>
      <c r="P362" s="16"/>
      <c r="Q362" s="11">
        <v>20480</v>
      </c>
    </row>
    <row r="363" spans="1:17" s="1" customFormat="1" ht="11.45">
      <c r="A363" s="11" t="s">
        <v>18706</v>
      </c>
      <c r="B363" s="12">
        <v>44658</v>
      </c>
      <c r="C363" s="11">
        <v>2022</v>
      </c>
      <c r="D363" s="11" t="s">
        <v>17017</v>
      </c>
      <c r="E363" s="11" t="s">
        <v>17018</v>
      </c>
      <c r="F363" s="11" t="s">
        <v>20155</v>
      </c>
      <c r="G363" s="11" t="s">
        <v>20162</v>
      </c>
      <c r="H363" s="12">
        <v>44672</v>
      </c>
      <c r="I363" s="11">
        <v>0</v>
      </c>
      <c r="J363" s="16"/>
      <c r="K363" s="11">
        <v>15845</v>
      </c>
      <c r="L363" s="16">
        <v>1</v>
      </c>
      <c r="M363" s="11">
        <v>8400</v>
      </c>
      <c r="N363" s="16">
        <v>1</v>
      </c>
      <c r="O363" s="11">
        <v>0</v>
      </c>
      <c r="P363" s="16"/>
      <c r="Q363" s="11">
        <v>24245</v>
      </c>
    </row>
    <row r="364" spans="1:17" s="1" customFormat="1" ht="11.45">
      <c r="A364" s="11" t="s">
        <v>18707</v>
      </c>
      <c r="B364" s="12">
        <v>44658</v>
      </c>
      <c r="C364" s="11">
        <v>2022</v>
      </c>
      <c r="D364" s="11" t="s">
        <v>16779</v>
      </c>
      <c r="E364" s="11" t="s">
        <v>16780</v>
      </c>
      <c r="F364" s="11" t="s">
        <v>20155</v>
      </c>
      <c r="G364" s="11" t="s">
        <v>16394</v>
      </c>
      <c r="H364" s="12">
        <v>44677</v>
      </c>
      <c r="I364" s="11">
        <v>0</v>
      </c>
      <c r="J364" s="16"/>
      <c r="K364" s="11">
        <v>14368</v>
      </c>
      <c r="L364" s="16">
        <v>1</v>
      </c>
      <c r="M364" s="11">
        <v>10296</v>
      </c>
      <c r="N364" s="16">
        <v>1</v>
      </c>
      <c r="O364" s="11">
        <v>1980</v>
      </c>
      <c r="P364" s="16">
        <v>1</v>
      </c>
      <c r="Q364" s="11">
        <v>26644</v>
      </c>
    </row>
    <row r="365" spans="1:17" s="1" customFormat="1" ht="11.45">
      <c r="A365" s="11" t="s">
        <v>18708</v>
      </c>
      <c r="B365" s="12">
        <v>44658</v>
      </c>
      <c r="C365" s="11">
        <v>2022</v>
      </c>
      <c r="D365" s="11" t="s">
        <v>16904</v>
      </c>
      <c r="E365" s="11" t="s">
        <v>16905</v>
      </c>
      <c r="F365" s="11" t="s">
        <v>20155</v>
      </c>
      <c r="G365" s="11" t="s">
        <v>20160</v>
      </c>
      <c r="H365" s="12">
        <v>44676</v>
      </c>
      <c r="I365" s="11">
        <v>0</v>
      </c>
      <c r="J365" s="16"/>
      <c r="K365" s="11">
        <v>18684</v>
      </c>
      <c r="L365" s="16">
        <v>1</v>
      </c>
      <c r="M365" s="11">
        <v>8652</v>
      </c>
      <c r="N365" s="16">
        <v>1</v>
      </c>
      <c r="O365" s="11">
        <v>0</v>
      </c>
      <c r="P365" s="16"/>
      <c r="Q365" s="11">
        <v>27336</v>
      </c>
    </row>
    <row r="366" spans="1:17" s="1" customFormat="1" ht="11.45">
      <c r="A366" s="11" t="s">
        <v>18709</v>
      </c>
      <c r="B366" s="12">
        <v>44658</v>
      </c>
      <c r="C366" s="11">
        <v>2022</v>
      </c>
      <c r="D366" s="11" t="s">
        <v>16904</v>
      </c>
      <c r="E366" s="11" t="s">
        <v>16905</v>
      </c>
      <c r="F366" s="11" t="s">
        <v>20155</v>
      </c>
      <c r="G366" s="11" t="s">
        <v>20160</v>
      </c>
      <c r="H366" s="12">
        <v>44676</v>
      </c>
      <c r="I366" s="11">
        <v>0</v>
      </c>
      <c r="J366" s="16"/>
      <c r="K366" s="11">
        <v>19368</v>
      </c>
      <c r="L366" s="16">
        <v>1</v>
      </c>
      <c r="M366" s="11">
        <v>7968</v>
      </c>
      <c r="N366" s="16">
        <v>1</v>
      </c>
      <c r="O366" s="11">
        <v>0</v>
      </c>
      <c r="P366" s="16"/>
      <c r="Q366" s="11">
        <v>27336</v>
      </c>
    </row>
    <row r="367" spans="1:17" s="1" customFormat="1" ht="11.45">
      <c r="A367" s="11" t="s">
        <v>18710</v>
      </c>
      <c r="B367" s="12">
        <v>44658</v>
      </c>
      <c r="C367" s="11">
        <v>2022</v>
      </c>
      <c r="D367" s="11" t="s">
        <v>16904</v>
      </c>
      <c r="E367" s="11" t="s">
        <v>16905</v>
      </c>
      <c r="F367" s="11" t="s">
        <v>20155</v>
      </c>
      <c r="G367" s="11" t="s">
        <v>20160</v>
      </c>
      <c r="H367" s="12">
        <v>44676</v>
      </c>
      <c r="I367" s="11">
        <v>0</v>
      </c>
      <c r="J367" s="16"/>
      <c r="K367" s="11">
        <v>16776</v>
      </c>
      <c r="L367" s="16">
        <v>1</v>
      </c>
      <c r="M367" s="11">
        <v>10560</v>
      </c>
      <c r="N367" s="16">
        <v>1</v>
      </c>
      <c r="O367" s="11">
        <v>0</v>
      </c>
      <c r="P367" s="16"/>
      <c r="Q367" s="11">
        <v>27336</v>
      </c>
    </row>
    <row r="368" spans="1:17" s="1" customFormat="1" ht="11.45">
      <c r="A368" s="11" t="s">
        <v>18711</v>
      </c>
      <c r="B368" s="12">
        <v>44658</v>
      </c>
      <c r="C368" s="11">
        <v>2022</v>
      </c>
      <c r="D368" s="11" t="s">
        <v>16444</v>
      </c>
      <c r="E368" s="11" t="s">
        <v>16445</v>
      </c>
      <c r="F368" s="11" t="s">
        <v>20155</v>
      </c>
      <c r="G368" s="11" t="s">
        <v>17949</v>
      </c>
      <c r="H368" s="12">
        <v>44669</v>
      </c>
      <c r="I368" s="11">
        <v>44016</v>
      </c>
      <c r="J368" s="295" t="s">
        <v>20324</v>
      </c>
      <c r="K368" s="11">
        <v>0</v>
      </c>
      <c r="L368" s="26"/>
      <c r="M368" s="11">
        <v>0</v>
      </c>
      <c r="N368" s="26"/>
      <c r="O368" s="11">
        <v>0</v>
      </c>
      <c r="P368" s="16"/>
      <c r="Q368" s="11">
        <v>44016</v>
      </c>
    </row>
    <row r="369" spans="1:17" s="1" customFormat="1" ht="11.45">
      <c r="A369" s="11" t="s">
        <v>18712</v>
      </c>
      <c r="B369" s="12">
        <v>44658</v>
      </c>
      <c r="C369" s="11">
        <v>2022</v>
      </c>
      <c r="D369" s="11" t="s">
        <v>16972</v>
      </c>
      <c r="E369" s="11" t="s">
        <v>16973</v>
      </c>
      <c r="F369" s="11" t="s">
        <v>20155</v>
      </c>
      <c r="G369" s="11" t="s">
        <v>17801</v>
      </c>
      <c r="H369" s="12">
        <v>44672</v>
      </c>
      <c r="I369" s="11">
        <v>0</v>
      </c>
      <c r="J369" s="16"/>
      <c r="K369" s="11">
        <v>0</v>
      </c>
      <c r="L369" s="26"/>
      <c r="M369" s="11">
        <v>280000</v>
      </c>
      <c r="N369" s="295" t="s">
        <v>20323</v>
      </c>
      <c r="O369" s="11">
        <v>0</v>
      </c>
      <c r="P369" s="16"/>
      <c r="Q369" s="11">
        <v>280000</v>
      </c>
    </row>
    <row r="370" spans="1:17" s="1" customFormat="1" ht="11.45">
      <c r="A370" s="11" t="s">
        <v>18713</v>
      </c>
      <c r="B370" s="12">
        <v>44658</v>
      </c>
      <c r="C370" s="11">
        <v>2022</v>
      </c>
      <c r="D370" s="11" t="s">
        <v>16972</v>
      </c>
      <c r="E370" s="11" t="s">
        <v>16973</v>
      </c>
      <c r="F370" s="11" t="s">
        <v>20155</v>
      </c>
      <c r="G370" s="11" t="s">
        <v>17801</v>
      </c>
      <c r="H370" s="12">
        <v>44674</v>
      </c>
      <c r="I370" s="11">
        <v>0</v>
      </c>
      <c r="J370" s="16"/>
      <c r="K370" s="11">
        <v>0</v>
      </c>
      <c r="L370" s="26"/>
      <c r="M370" s="11">
        <v>140000</v>
      </c>
      <c r="N370" s="295" t="s">
        <v>20323</v>
      </c>
      <c r="O370" s="11">
        <v>0</v>
      </c>
      <c r="P370" s="16"/>
      <c r="Q370" s="11">
        <v>140000</v>
      </c>
    </row>
    <row r="371" spans="1:17" s="1" customFormat="1" ht="11.45">
      <c r="A371" s="11" t="s">
        <v>18714</v>
      </c>
      <c r="B371" s="12">
        <v>44658</v>
      </c>
      <c r="C371" s="11">
        <v>2022</v>
      </c>
      <c r="D371" s="11" t="s">
        <v>17209</v>
      </c>
      <c r="E371" s="11" t="s">
        <v>17210</v>
      </c>
      <c r="F371" s="11" t="s">
        <v>20155</v>
      </c>
      <c r="G371" s="11" t="s">
        <v>20168</v>
      </c>
      <c r="H371" s="12">
        <v>44669</v>
      </c>
      <c r="I371" s="11">
        <v>12000</v>
      </c>
      <c r="J371" s="16">
        <v>1</v>
      </c>
      <c r="K371" s="11">
        <v>0</v>
      </c>
      <c r="L371" s="26"/>
      <c r="M371" s="11">
        <v>0</v>
      </c>
      <c r="N371" s="26"/>
      <c r="O371" s="11">
        <v>0</v>
      </c>
      <c r="P371" s="16"/>
      <c r="Q371" s="11">
        <v>12000</v>
      </c>
    </row>
    <row r="372" spans="1:17" s="1" customFormat="1" ht="11.45">
      <c r="A372" s="11" t="s">
        <v>18715</v>
      </c>
      <c r="B372" s="12">
        <v>44658</v>
      </c>
      <c r="C372" s="11">
        <v>2022</v>
      </c>
      <c r="D372" s="11" t="s">
        <v>17017</v>
      </c>
      <c r="E372" s="11" t="s">
        <v>17018</v>
      </c>
      <c r="F372" s="11" t="s">
        <v>20155</v>
      </c>
      <c r="G372" s="11" t="s">
        <v>18283</v>
      </c>
      <c r="H372" s="12">
        <v>44671</v>
      </c>
      <c r="I372" s="11">
        <v>0</v>
      </c>
      <c r="J372" s="16"/>
      <c r="K372" s="11">
        <v>41000</v>
      </c>
      <c r="L372" s="16">
        <v>1</v>
      </c>
      <c r="M372" s="11">
        <v>0</v>
      </c>
      <c r="N372" s="16"/>
      <c r="O372" s="11">
        <v>0</v>
      </c>
      <c r="P372" s="16"/>
      <c r="Q372" s="11">
        <v>41000</v>
      </c>
    </row>
    <row r="373" spans="1:17" s="1" customFormat="1" ht="11.45">
      <c r="A373" s="11" t="s">
        <v>18716</v>
      </c>
      <c r="B373" s="12">
        <v>44658</v>
      </c>
      <c r="C373" s="11">
        <v>2022</v>
      </c>
      <c r="D373" s="11" t="s">
        <v>17017</v>
      </c>
      <c r="E373" s="11" t="s">
        <v>17018</v>
      </c>
      <c r="F373" s="11" t="s">
        <v>20155</v>
      </c>
      <c r="G373" s="11" t="s">
        <v>18064</v>
      </c>
      <c r="H373" s="12">
        <v>44690</v>
      </c>
      <c r="I373" s="11">
        <v>0</v>
      </c>
      <c r="J373" s="16"/>
      <c r="K373" s="11">
        <v>20000</v>
      </c>
      <c r="L373" s="16">
        <v>1</v>
      </c>
      <c r="M373" s="11">
        <v>0</v>
      </c>
      <c r="N373" s="16"/>
      <c r="O373" s="11">
        <v>0</v>
      </c>
      <c r="P373" s="16"/>
      <c r="Q373" s="11">
        <v>20000</v>
      </c>
    </row>
    <row r="374" spans="1:17" s="1" customFormat="1" ht="11.45">
      <c r="A374" s="11" t="s">
        <v>18717</v>
      </c>
      <c r="B374" s="12">
        <v>44658</v>
      </c>
      <c r="C374" s="11">
        <v>2022</v>
      </c>
      <c r="D374" s="11" t="s">
        <v>16444</v>
      </c>
      <c r="E374" s="11" t="s">
        <v>16445</v>
      </c>
      <c r="F374" s="11" t="s">
        <v>20155</v>
      </c>
      <c r="G374" s="11" t="s">
        <v>17693</v>
      </c>
      <c r="H374" s="12">
        <v>44665</v>
      </c>
      <c r="I374" s="11">
        <v>42350</v>
      </c>
      <c r="J374" s="295" t="s">
        <v>20324</v>
      </c>
      <c r="K374" s="11">
        <v>0</v>
      </c>
      <c r="L374" s="26"/>
      <c r="M374" s="11">
        <v>0</v>
      </c>
      <c r="N374" s="26"/>
      <c r="O374" s="11">
        <v>0</v>
      </c>
      <c r="P374" s="16"/>
      <c r="Q374" s="11">
        <v>42350</v>
      </c>
    </row>
    <row r="375" spans="1:17" s="1" customFormat="1" ht="11.45">
      <c r="A375" s="11" t="s">
        <v>18718</v>
      </c>
      <c r="B375" s="12">
        <v>44660</v>
      </c>
      <c r="C375" s="11">
        <v>2022</v>
      </c>
      <c r="D375" s="11" t="s">
        <v>17321</v>
      </c>
      <c r="E375" s="11" t="s">
        <v>17322</v>
      </c>
      <c r="F375" s="11" t="s">
        <v>20155</v>
      </c>
      <c r="G375" s="11" t="s">
        <v>17939</v>
      </c>
      <c r="H375" s="12">
        <v>44667</v>
      </c>
      <c r="I375" s="11">
        <v>0</v>
      </c>
      <c r="J375" s="16"/>
      <c r="K375" s="11">
        <v>0</v>
      </c>
      <c r="L375" s="26"/>
      <c r="M375" s="11">
        <v>0</v>
      </c>
      <c r="N375" s="26"/>
      <c r="O375" s="11">
        <v>12750</v>
      </c>
      <c r="P375" s="16">
        <v>1</v>
      </c>
      <c r="Q375" s="11">
        <v>12750</v>
      </c>
    </row>
    <row r="376" spans="1:17" s="1" customFormat="1" ht="11.45">
      <c r="A376" s="11" t="s">
        <v>18720</v>
      </c>
      <c r="B376" s="12">
        <v>44663</v>
      </c>
      <c r="C376" s="11">
        <v>2022</v>
      </c>
      <c r="D376" s="11" t="s">
        <v>16838</v>
      </c>
      <c r="E376" s="11" t="s">
        <v>16839</v>
      </c>
      <c r="F376" s="11" t="s">
        <v>20155</v>
      </c>
      <c r="G376" s="11" t="s">
        <v>17771</v>
      </c>
      <c r="H376" s="12">
        <v>44672</v>
      </c>
      <c r="I376" s="11">
        <v>0</v>
      </c>
      <c r="J376" s="16"/>
      <c r="K376" s="11">
        <v>112000</v>
      </c>
      <c r="L376" s="295" t="s">
        <v>20323</v>
      </c>
      <c r="M376" s="11">
        <v>0</v>
      </c>
      <c r="N376" s="26"/>
      <c r="O376" s="11">
        <v>0</v>
      </c>
      <c r="P376" s="16"/>
      <c r="Q376" s="11">
        <v>112000</v>
      </c>
    </row>
    <row r="377" spans="1:17" s="1" customFormat="1" ht="11.45">
      <c r="A377" s="11" t="s">
        <v>18721</v>
      </c>
      <c r="B377" s="12">
        <v>44665</v>
      </c>
      <c r="C377" s="11">
        <v>2022</v>
      </c>
      <c r="D377" s="11" t="s">
        <v>17323</v>
      </c>
      <c r="E377" s="11" t="s">
        <v>17324</v>
      </c>
      <c r="F377" s="11" t="s">
        <v>20155</v>
      </c>
      <c r="G377" s="11" t="s">
        <v>20319</v>
      </c>
      <c r="H377" s="12">
        <v>44688</v>
      </c>
      <c r="I377" s="11">
        <v>21600</v>
      </c>
      <c r="J377" s="295" t="s">
        <v>20324</v>
      </c>
      <c r="K377" s="11">
        <v>0</v>
      </c>
      <c r="L377" s="26"/>
      <c r="M377" s="11">
        <v>0</v>
      </c>
      <c r="N377" s="26"/>
      <c r="O377" s="11">
        <v>0</v>
      </c>
      <c r="P377" s="16"/>
      <c r="Q377" s="11">
        <v>21600</v>
      </c>
    </row>
    <row r="378" spans="1:17" s="1" customFormat="1" ht="11.45">
      <c r="A378" s="11" t="s">
        <v>18723</v>
      </c>
      <c r="B378" s="12">
        <v>44669</v>
      </c>
      <c r="C378" s="11">
        <v>2022</v>
      </c>
      <c r="D378" s="11" t="s">
        <v>16779</v>
      </c>
      <c r="E378" s="11" t="s">
        <v>16780</v>
      </c>
      <c r="F378" s="11" t="s">
        <v>20155</v>
      </c>
      <c r="G378" s="11" t="s">
        <v>16394</v>
      </c>
      <c r="H378" s="12">
        <v>44676</v>
      </c>
      <c r="I378" s="11">
        <v>0</v>
      </c>
      <c r="J378" s="16"/>
      <c r="K378" s="11">
        <v>17424</v>
      </c>
      <c r="L378" s="16">
        <v>1</v>
      </c>
      <c r="M378" s="11">
        <v>1500</v>
      </c>
      <c r="N378" s="26"/>
      <c r="O378" s="11">
        <v>0</v>
      </c>
      <c r="P378" s="16"/>
      <c r="Q378" s="11">
        <v>18924</v>
      </c>
    </row>
    <row r="379" spans="1:17" s="1" customFormat="1" ht="11.45">
      <c r="A379" s="11" t="s">
        <v>18724</v>
      </c>
      <c r="B379" s="12">
        <v>44669</v>
      </c>
      <c r="C379" s="11">
        <v>2022</v>
      </c>
      <c r="D379" s="11" t="s">
        <v>16904</v>
      </c>
      <c r="E379" s="11" t="s">
        <v>16905</v>
      </c>
      <c r="F379" s="11" t="s">
        <v>20155</v>
      </c>
      <c r="G379" s="11" t="s">
        <v>20160</v>
      </c>
      <c r="H379" s="12">
        <v>44676</v>
      </c>
      <c r="I379" s="11">
        <v>0</v>
      </c>
      <c r="J379" s="16"/>
      <c r="K379" s="11">
        <v>18684</v>
      </c>
      <c r="L379" s="16">
        <v>1</v>
      </c>
      <c r="M379" s="11">
        <v>8652</v>
      </c>
      <c r="N379" s="26"/>
      <c r="O379" s="11">
        <v>0</v>
      </c>
      <c r="P379" s="16"/>
      <c r="Q379" s="11">
        <v>27336</v>
      </c>
    </row>
    <row r="380" spans="1:17" s="1" customFormat="1" ht="11.45">
      <c r="A380" s="11" t="s">
        <v>18725</v>
      </c>
      <c r="B380" s="12">
        <v>44669</v>
      </c>
      <c r="C380" s="11">
        <v>2022</v>
      </c>
      <c r="D380" s="11" t="s">
        <v>16904</v>
      </c>
      <c r="E380" s="11" t="s">
        <v>16905</v>
      </c>
      <c r="F380" s="11" t="s">
        <v>20155</v>
      </c>
      <c r="G380" s="11" t="s">
        <v>20160</v>
      </c>
      <c r="H380" s="12">
        <v>44676</v>
      </c>
      <c r="I380" s="11">
        <v>0</v>
      </c>
      <c r="J380" s="16"/>
      <c r="K380" s="11">
        <v>19368</v>
      </c>
      <c r="L380" s="16">
        <v>1</v>
      </c>
      <c r="M380" s="11">
        <v>7968</v>
      </c>
      <c r="N380" s="26"/>
      <c r="O380" s="11">
        <v>0</v>
      </c>
      <c r="P380" s="16"/>
      <c r="Q380" s="11">
        <v>27336</v>
      </c>
    </row>
    <row r="381" spans="1:17" s="1" customFormat="1" ht="11.45">
      <c r="A381" s="11" t="s">
        <v>18726</v>
      </c>
      <c r="B381" s="12">
        <v>44669</v>
      </c>
      <c r="C381" s="11">
        <v>2022</v>
      </c>
      <c r="D381" s="11" t="s">
        <v>16904</v>
      </c>
      <c r="E381" s="11" t="s">
        <v>16905</v>
      </c>
      <c r="F381" s="11" t="s">
        <v>20155</v>
      </c>
      <c r="G381" s="11" t="s">
        <v>20160</v>
      </c>
      <c r="H381" s="12">
        <v>44676</v>
      </c>
      <c r="I381" s="11">
        <v>0</v>
      </c>
      <c r="J381" s="16"/>
      <c r="K381" s="11">
        <v>16776</v>
      </c>
      <c r="L381" s="16">
        <v>1</v>
      </c>
      <c r="M381" s="11">
        <v>10560</v>
      </c>
      <c r="N381" s="26"/>
      <c r="O381" s="11">
        <v>0</v>
      </c>
      <c r="P381" s="16"/>
      <c r="Q381" s="11">
        <v>27336</v>
      </c>
    </row>
    <row r="382" spans="1:17" s="1" customFormat="1" ht="11.45">
      <c r="A382" s="11" t="s">
        <v>18727</v>
      </c>
      <c r="B382" s="12">
        <v>44669</v>
      </c>
      <c r="C382" s="11">
        <v>2022</v>
      </c>
      <c r="D382" s="11" t="s">
        <v>17017</v>
      </c>
      <c r="E382" s="11" t="s">
        <v>17018</v>
      </c>
      <c r="F382" s="11" t="s">
        <v>20155</v>
      </c>
      <c r="G382" s="11" t="s">
        <v>20307</v>
      </c>
      <c r="H382" s="12">
        <v>44677</v>
      </c>
      <c r="I382" s="11">
        <v>0</v>
      </c>
      <c r="J382" s="16"/>
      <c r="K382" s="11">
        <v>20000</v>
      </c>
      <c r="L382" s="295" t="s">
        <v>20328</v>
      </c>
      <c r="M382" s="11">
        <v>0</v>
      </c>
      <c r="N382" s="26"/>
      <c r="O382" s="11">
        <v>0</v>
      </c>
      <c r="P382" s="16"/>
      <c r="Q382" s="11">
        <v>20000</v>
      </c>
    </row>
    <row r="383" spans="1:17" s="1" customFormat="1" ht="11.45">
      <c r="A383" s="11" t="s">
        <v>18728</v>
      </c>
      <c r="B383" s="12">
        <v>44669</v>
      </c>
      <c r="C383" s="11">
        <v>2022</v>
      </c>
      <c r="D383" s="11" t="s">
        <v>17017</v>
      </c>
      <c r="E383" s="11" t="s">
        <v>17018</v>
      </c>
      <c r="F383" s="11" t="s">
        <v>20155</v>
      </c>
      <c r="G383" s="11" t="s">
        <v>20307</v>
      </c>
      <c r="H383" s="12">
        <v>44676</v>
      </c>
      <c r="I383" s="11">
        <v>40000</v>
      </c>
      <c r="J383" s="16">
        <v>1</v>
      </c>
      <c r="K383" s="11">
        <v>0</v>
      </c>
      <c r="L383" s="26"/>
      <c r="M383" s="11">
        <v>0</v>
      </c>
      <c r="N383" s="26"/>
      <c r="O383" s="11">
        <v>0</v>
      </c>
      <c r="P383" s="16"/>
      <c r="Q383" s="11">
        <v>40000</v>
      </c>
    </row>
    <row r="384" spans="1:17" s="1" customFormat="1" ht="11.45">
      <c r="A384" s="11" t="s">
        <v>18729</v>
      </c>
      <c r="B384" s="12">
        <v>44669</v>
      </c>
      <c r="C384" s="11">
        <v>2022</v>
      </c>
      <c r="D384" s="11" t="s">
        <v>16384</v>
      </c>
      <c r="E384" s="11" t="s">
        <v>16385</v>
      </c>
      <c r="F384" s="11" t="s">
        <v>20155</v>
      </c>
      <c r="G384" s="11" t="s">
        <v>18094</v>
      </c>
      <c r="H384" s="12">
        <v>44680</v>
      </c>
      <c r="I384" s="11">
        <v>0</v>
      </c>
      <c r="J384" s="16"/>
      <c r="K384" s="11">
        <v>0</v>
      </c>
      <c r="L384" s="26"/>
      <c r="M384" s="11">
        <v>39000</v>
      </c>
      <c r="N384" s="295" t="s">
        <v>20316</v>
      </c>
      <c r="O384" s="11">
        <v>0</v>
      </c>
      <c r="P384" s="16"/>
      <c r="Q384" s="11">
        <v>39000</v>
      </c>
    </row>
    <row r="385" spans="1:17" s="1" customFormat="1" ht="11.45">
      <c r="A385" s="11" t="s">
        <v>18730</v>
      </c>
      <c r="B385" s="12">
        <v>44669</v>
      </c>
      <c r="C385" s="11">
        <v>2022</v>
      </c>
      <c r="D385" s="11" t="s">
        <v>16643</v>
      </c>
      <c r="E385" s="11" t="s">
        <v>16644</v>
      </c>
      <c r="F385" s="11" t="s">
        <v>20155</v>
      </c>
      <c r="G385" s="11" t="s">
        <v>18227</v>
      </c>
      <c r="H385" s="12">
        <v>44680</v>
      </c>
      <c r="I385" s="11">
        <v>5004</v>
      </c>
      <c r="J385" s="16">
        <v>1</v>
      </c>
      <c r="K385" s="11">
        <v>36000</v>
      </c>
      <c r="L385" s="295" t="s">
        <v>20316</v>
      </c>
      <c r="M385" s="11">
        <v>26000</v>
      </c>
      <c r="N385" s="295" t="s">
        <v>20316</v>
      </c>
      <c r="O385" s="11">
        <v>0</v>
      </c>
      <c r="P385" s="16"/>
      <c r="Q385" s="11">
        <v>67004</v>
      </c>
    </row>
    <row r="386" spans="1:17" s="1" customFormat="1" ht="11.45">
      <c r="A386" s="11" t="s">
        <v>18731</v>
      </c>
      <c r="B386" s="12">
        <v>44670</v>
      </c>
      <c r="C386" s="11">
        <v>2022</v>
      </c>
      <c r="D386" s="11" t="s">
        <v>16470</v>
      </c>
      <c r="E386" s="11" t="s">
        <v>16471</v>
      </c>
      <c r="F386" s="11" t="s">
        <v>20155</v>
      </c>
      <c r="G386" s="11" t="s">
        <v>18227</v>
      </c>
      <c r="H386" s="12">
        <v>44678</v>
      </c>
      <c r="I386" s="11">
        <v>28800</v>
      </c>
      <c r="J386" s="16"/>
      <c r="K386" s="11">
        <v>294552</v>
      </c>
      <c r="L386" s="295" t="s">
        <v>20316</v>
      </c>
      <c r="M386" s="11">
        <v>0</v>
      </c>
      <c r="N386" s="26"/>
      <c r="O386" s="11">
        <v>0</v>
      </c>
      <c r="P386" s="16"/>
      <c r="Q386" s="11">
        <v>323352</v>
      </c>
    </row>
    <row r="387" spans="1:17" s="1" customFormat="1" ht="11.45">
      <c r="A387" s="11" t="s">
        <v>18732</v>
      </c>
      <c r="B387" s="12">
        <v>44670</v>
      </c>
      <c r="C387" s="11">
        <v>2022</v>
      </c>
      <c r="D387" s="11" t="s">
        <v>16838</v>
      </c>
      <c r="E387" s="11" t="s">
        <v>16839</v>
      </c>
      <c r="F387" s="11" t="s">
        <v>20155</v>
      </c>
      <c r="G387" s="11" t="s">
        <v>20321</v>
      </c>
      <c r="H387" s="12">
        <v>44679</v>
      </c>
      <c r="I387" s="11">
        <v>0</v>
      </c>
      <c r="J387" s="16"/>
      <c r="K387" s="11">
        <v>176064</v>
      </c>
      <c r="L387" s="295" t="s">
        <v>20323</v>
      </c>
      <c r="M387" s="11">
        <v>0</v>
      </c>
      <c r="N387" s="26"/>
      <c r="O387" s="11">
        <v>0</v>
      </c>
      <c r="P387" s="16"/>
      <c r="Q387" s="11">
        <v>176064</v>
      </c>
    </row>
    <row r="388" spans="1:17" s="1" customFormat="1" ht="11.45">
      <c r="A388" s="11" t="s">
        <v>18733</v>
      </c>
      <c r="B388" s="12">
        <v>44670</v>
      </c>
      <c r="C388" s="11">
        <v>2022</v>
      </c>
      <c r="D388" s="11" t="s">
        <v>17278</v>
      </c>
      <c r="E388" s="11" t="s">
        <v>17279</v>
      </c>
      <c r="F388" s="11" t="s">
        <v>20155</v>
      </c>
      <c r="G388" s="11" t="s">
        <v>20173</v>
      </c>
      <c r="H388" s="12">
        <v>44680</v>
      </c>
      <c r="I388" s="11">
        <v>0</v>
      </c>
      <c r="J388" s="16"/>
      <c r="K388" s="11">
        <v>136560</v>
      </c>
      <c r="L388" s="295" t="s">
        <v>20316</v>
      </c>
      <c r="M388" s="11">
        <v>0</v>
      </c>
      <c r="N388" s="26"/>
      <c r="O388" s="11">
        <v>0</v>
      </c>
      <c r="P388" s="16"/>
      <c r="Q388" s="11">
        <v>136560</v>
      </c>
    </row>
    <row r="389" spans="1:17" s="1" customFormat="1" ht="11.45">
      <c r="A389" s="11" t="s">
        <v>18734</v>
      </c>
      <c r="B389" s="12">
        <v>44671</v>
      </c>
      <c r="C389" s="11">
        <v>2022</v>
      </c>
      <c r="D389" s="11" t="s">
        <v>16957</v>
      </c>
      <c r="E389" s="11" t="s">
        <v>16958</v>
      </c>
      <c r="F389" s="11" t="s">
        <v>20155</v>
      </c>
      <c r="G389" s="11" t="s">
        <v>20161</v>
      </c>
      <c r="H389" s="12">
        <v>44678</v>
      </c>
      <c r="I389" s="11">
        <v>40000</v>
      </c>
      <c r="J389" s="16">
        <v>1</v>
      </c>
      <c r="K389" s="11">
        <v>0</v>
      </c>
      <c r="L389" s="26"/>
      <c r="M389" s="11">
        <v>0</v>
      </c>
      <c r="N389" s="26"/>
      <c r="O389" s="11">
        <v>0</v>
      </c>
      <c r="P389" s="16"/>
      <c r="Q389" s="11">
        <v>40000</v>
      </c>
    </row>
    <row r="390" spans="1:17" s="1" customFormat="1" ht="11.45">
      <c r="A390" s="11" t="s">
        <v>18735</v>
      </c>
      <c r="B390" s="12">
        <v>44674</v>
      </c>
      <c r="C390" s="11">
        <v>2022</v>
      </c>
      <c r="D390" s="11" t="s">
        <v>17233</v>
      </c>
      <c r="E390" s="11" t="s">
        <v>17234</v>
      </c>
      <c r="F390" s="11" t="s">
        <v>20155</v>
      </c>
      <c r="G390" s="11" t="s">
        <v>17939</v>
      </c>
      <c r="H390" s="12">
        <v>44680</v>
      </c>
      <c r="I390" s="11">
        <v>0</v>
      </c>
      <c r="J390" s="16"/>
      <c r="K390" s="11">
        <v>311040</v>
      </c>
      <c r="L390" s="295" t="s">
        <v>20324</v>
      </c>
      <c r="M390" s="11">
        <v>207360</v>
      </c>
      <c r="N390" s="295" t="s">
        <v>20324</v>
      </c>
      <c r="O390" s="11">
        <v>0</v>
      </c>
      <c r="P390" s="16"/>
      <c r="Q390" s="11">
        <v>518400</v>
      </c>
    </row>
    <row r="391" spans="1:17" s="1" customFormat="1" ht="11.45">
      <c r="A391" s="11" t="s">
        <v>18736</v>
      </c>
      <c r="B391" s="12">
        <v>44674</v>
      </c>
      <c r="C391" s="11">
        <v>2022</v>
      </c>
      <c r="D391" s="11" t="s">
        <v>17233</v>
      </c>
      <c r="E391" s="11" t="s">
        <v>17234</v>
      </c>
      <c r="F391" s="11" t="s">
        <v>20155</v>
      </c>
      <c r="G391" s="11" t="s">
        <v>17939</v>
      </c>
      <c r="H391" s="12">
        <v>44693</v>
      </c>
      <c r="I391" s="11">
        <v>0</v>
      </c>
      <c r="J391" s="16"/>
      <c r="K391" s="11">
        <v>228960</v>
      </c>
      <c r="L391" s="295" t="s">
        <v>20324</v>
      </c>
      <c r="M391" s="11">
        <v>152640</v>
      </c>
      <c r="N391" s="295" t="s">
        <v>20324</v>
      </c>
      <c r="O391" s="11">
        <v>0</v>
      </c>
      <c r="P391" s="16"/>
      <c r="Q391" s="11">
        <v>381600</v>
      </c>
    </row>
    <row r="392" spans="1:17" s="1" customFormat="1" ht="11.45">
      <c r="A392" s="11" t="s">
        <v>18737</v>
      </c>
      <c r="B392" s="12">
        <v>44674</v>
      </c>
      <c r="C392" s="11">
        <v>2022</v>
      </c>
      <c r="D392" s="11" t="s">
        <v>17017</v>
      </c>
      <c r="E392" s="11" t="s">
        <v>17018</v>
      </c>
      <c r="F392" s="11" t="s">
        <v>20155</v>
      </c>
      <c r="G392" s="11" t="s">
        <v>20175</v>
      </c>
      <c r="H392" s="12">
        <v>44679</v>
      </c>
      <c r="I392" s="11">
        <v>17500</v>
      </c>
      <c r="J392" s="16">
        <v>1</v>
      </c>
      <c r="K392" s="11">
        <v>0</v>
      </c>
      <c r="L392" s="26"/>
      <c r="M392" s="11">
        <v>0</v>
      </c>
      <c r="N392" s="26"/>
      <c r="O392" s="11">
        <v>0</v>
      </c>
      <c r="P392" s="16"/>
      <c r="Q392" s="11">
        <v>17500</v>
      </c>
    </row>
    <row r="393" spans="1:17" s="1" customFormat="1" ht="11.45">
      <c r="A393" s="11" t="s">
        <v>18738</v>
      </c>
      <c r="B393" s="12">
        <v>44685</v>
      </c>
      <c r="C393" s="11">
        <v>2022</v>
      </c>
      <c r="D393" s="11" t="s">
        <v>16880</v>
      </c>
      <c r="E393" s="11" t="s">
        <v>16881</v>
      </c>
      <c r="F393" s="11" t="s">
        <v>20155</v>
      </c>
      <c r="G393" s="11" t="s">
        <v>20329</v>
      </c>
      <c r="H393" s="12">
        <v>44699</v>
      </c>
      <c r="I393" s="11">
        <v>0</v>
      </c>
      <c r="J393" s="16"/>
      <c r="K393" s="11">
        <v>20480</v>
      </c>
      <c r="L393" s="16">
        <v>1</v>
      </c>
      <c r="M393" s="11">
        <v>0</v>
      </c>
      <c r="N393" s="26"/>
      <c r="O393" s="11">
        <v>0</v>
      </c>
      <c r="P393" s="16"/>
      <c r="Q393" s="11">
        <v>20480</v>
      </c>
    </row>
    <row r="394" spans="1:17" s="1" customFormat="1" ht="11.45">
      <c r="A394" s="11" t="s">
        <v>18739</v>
      </c>
      <c r="B394" s="12">
        <v>44686</v>
      </c>
      <c r="C394" s="11">
        <v>2022</v>
      </c>
      <c r="D394" s="11" t="s">
        <v>16783</v>
      </c>
      <c r="E394" s="11" t="s">
        <v>16784</v>
      </c>
      <c r="F394" s="11" t="s">
        <v>20155</v>
      </c>
      <c r="G394" s="11" t="s">
        <v>17939</v>
      </c>
      <c r="H394" s="12">
        <v>44692</v>
      </c>
      <c r="I394" s="11">
        <v>105120</v>
      </c>
      <c r="J394" s="295" t="s">
        <v>20324</v>
      </c>
      <c r="K394" s="11">
        <v>0</v>
      </c>
      <c r="L394" s="16"/>
      <c r="M394" s="11">
        <v>0</v>
      </c>
      <c r="N394" s="26"/>
      <c r="O394" s="11">
        <v>0</v>
      </c>
      <c r="P394" s="16"/>
      <c r="Q394" s="11">
        <v>105120</v>
      </c>
    </row>
    <row r="395" spans="1:17" s="1" customFormat="1" ht="11.45">
      <c r="A395" s="11" t="s">
        <v>18740</v>
      </c>
      <c r="B395" s="12">
        <v>44691</v>
      </c>
      <c r="C395" s="11">
        <v>2022</v>
      </c>
      <c r="D395" s="11" t="s">
        <v>17278</v>
      </c>
      <c r="E395" s="11" t="s">
        <v>17279</v>
      </c>
      <c r="F395" s="11" t="s">
        <v>20155</v>
      </c>
      <c r="G395" s="11" t="s">
        <v>20173</v>
      </c>
      <c r="H395" s="12">
        <v>44699</v>
      </c>
      <c r="I395" s="11">
        <v>0</v>
      </c>
      <c r="J395" s="26"/>
      <c r="K395" s="11">
        <v>0</v>
      </c>
      <c r="L395" s="16"/>
      <c r="M395" s="11">
        <v>278400</v>
      </c>
      <c r="N395" s="295" t="s">
        <v>20323</v>
      </c>
      <c r="O395" s="11">
        <v>0</v>
      </c>
      <c r="P395" s="16"/>
      <c r="Q395" s="11">
        <v>278400</v>
      </c>
    </row>
    <row r="396" spans="1:17" s="1" customFormat="1" ht="11.45">
      <c r="A396" s="11" t="s">
        <v>18741</v>
      </c>
      <c r="B396" s="12">
        <v>44691</v>
      </c>
      <c r="C396" s="11">
        <v>2022</v>
      </c>
      <c r="D396" s="11" t="s">
        <v>16904</v>
      </c>
      <c r="E396" s="11" t="s">
        <v>16905</v>
      </c>
      <c r="F396" s="11" t="s">
        <v>20155</v>
      </c>
      <c r="G396" s="11" t="s">
        <v>20160</v>
      </c>
      <c r="H396" s="12">
        <v>44700</v>
      </c>
      <c r="I396" s="11">
        <v>0</v>
      </c>
      <c r="J396" s="26"/>
      <c r="K396" s="11">
        <v>17784</v>
      </c>
      <c r="L396" s="16">
        <v>1</v>
      </c>
      <c r="M396" s="11">
        <v>9552</v>
      </c>
      <c r="N396" s="16">
        <v>1</v>
      </c>
      <c r="O396" s="11">
        <v>0</v>
      </c>
      <c r="P396" s="16"/>
      <c r="Q396" s="11">
        <v>27336</v>
      </c>
    </row>
    <row r="397" spans="1:17" s="1" customFormat="1" ht="11.45">
      <c r="A397" s="11" t="s">
        <v>18742</v>
      </c>
      <c r="B397" s="12">
        <v>44691</v>
      </c>
      <c r="C397" s="11">
        <v>2022</v>
      </c>
      <c r="D397" s="11" t="s">
        <v>16904</v>
      </c>
      <c r="E397" s="11" t="s">
        <v>16905</v>
      </c>
      <c r="F397" s="11" t="s">
        <v>20155</v>
      </c>
      <c r="G397" s="11" t="s">
        <v>20160</v>
      </c>
      <c r="H397" s="12">
        <v>44700</v>
      </c>
      <c r="I397" s="11">
        <v>0</v>
      </c>
      <c r="J397" s="26"/>
      <c r="K397" s="11">
        <v>19416</v>
      </c>
      <c r="L397" s="16">
        <v>1</v>
      </c>
      <c r="M397" s="11">
        <v>7920</v>
      </c>
      <c r="N397" s="16">
        <v>1</v>
      </c>
      <c r="O397" s="11">
        <v>0</v>
      </c>
      <c r="P397" s="16"/>
      <c r="Q397" s="11">
        <v>27336</v>
      </c>
    </row>
    <row r="398" spans="1:17" s="1" customFormat="1" ht="11.45">
      <c r="A398" s="11" t="s">
        <v>18743</v>
      </c>
      <c r="B398" s="12">
        <v>44691</v>
      </c>
      <c r="C398" s="11">
        <v>2022</v>
      </c>
      <c r="D398" s="11" t="s">
        <v>16444</v>
      </c>
      <c r="E398" s="11" t="s">
        <v>16445</v>
      </c>
      <c r="F398" s="11" t="s">
        <v>20155</v>
      </c>
      <c r="G398" s="11" t="s">
        <v>18248</v>
      </c>
      <c r="H398" s="12">
        <v>44701</v>
      </c>
      <c r="I398" s="11">
        <v>44016</v>
      </c>
      <c r="J398" s="295" t="s">
        <v>20324</v>
      </c>
      <c r="K398" s="11">
        <v>0</v>
      </c>
      <c r="L398" s="16"/>
      <c r="M398" s="11">
        <v>0</v>
      </c>
      <c r="N398" s="26"/>
      <c r="O398" s="11">
        <v>0</v>
      </c>
      <c r="P398" s="16"/>
      <c r="Q398" s="11">
        <v>44016</v>
      </c>
    </row>
    <row r="399" spans="1:17" s="1" customFormat="1" ht="11.45">
      <c r="A399" s="11" t="s">
        <v>18744</v>
      </c>
      <c r="B399" s="12">
        <v>44691</v>
      </c>
      <c r="C399" s="11">
        <v>2022</v>
      </c>
      <c r="D399" s="11" t="s">
        <v>16838</v>
      </c>
      <c r="E399" s="11" t="s">
        <v>16839</v>
      </c>
      <c r="F399" s="11" t="s">
        <v>20155</v>
      </c>
      <c r="G399" s="11" t="s">
        <v>20321</v>
      </c>
      <c r="H399" s="12">
        <v>44695</v>
      </c>
      <c r="I399" s="11">
        <v>0</v>
      </c>
      <c r="J399" s="26"/>
      <c r="K399" s="11">
        <v>66024</v>
      </c>
      <c r="L399" s="295" t="s">
        <v>20323</v>
      </c>
      <c r="M399" s="11">
        <v>0</v>
      </c>
      <c r="N399" s="26"/>
      <c r="O399" s="11">
        <v>0</v>
      </c>
      <c r="P399" s="16"/>
      <c r="Q399" s="11">
        <v>66024</v>
      </c>
    </row>
    <row r="400" spans="1:17" s="1" customFormat="1" ht="11.45">
      <c r="A400" s="11" t="s">
        <v>18745</v>
      </c>
      <c r="B400" s="12">
        <v>44693</v>
      </c>
      <c r="C400" s="11">
        <v>2022</v>
      </c>
      <c r="D400" s="11" t="s">
        <v>17259</v>
      </c>
      <c r="E400" s="11" t="s">
        <v>17260</v>
      </c>
      <c r="F400" s="11" t="s">
        <v>20155</v>
      </c>
      <c r="G400" s="11" t="s">
        <v>17261</v>
      </c>
      <c r="H400" s="12">
        <v>44699</v>
      </c>
      <c r="I400" s="11">
        <v>0</v>
      </c>
      <c r="J400" s="26"/>
      <c r="K400" s="11">
        <v>41400</v>
      </c>
      <c r="L400" s="295" t="s">
        <v>20300</v>
      </c>
      <c r="M400" s="11">
        <v>0</v>
      </c>
      <c r="N400" s="26"/>
      <c r="O400" s="11">
        <v>0</v>
      </c>
      <c r="P400" s="16"/>
      <c r="Q400" s="11">
        <v>41400</v>
      </c>
    </row>
    <row r="401" spans="1:17" s="1" customFormat="1" ht="11.45">
      <c r="A401" s="11" t="s">
        <v>18746</v>
      </c>
      <c r="B401" s="12">
        <v>44693</v>
      </c>
      <c r="C401" s="11">
        <v>2022</v>
      </c>
      <c r="D401" s="11" t="s">
        <v>17326</v>
      </c>
      <c r="E401" s="11" t="s">
        <v>17327</v>
      </c>
      <c r="F401" s="11" t="s">
        <v>20155</v>
      </c>
      <c r="G401" s="11" t="s">
        <v>20195</v>
      </c>
      <c r="H401" s="12">
        <v>44704</v>
      </c>
      <c r="I401" s="11">
        <v>2400</v>
      </c>
      <c r="J401" s="295" t="s">
        <v>20324</v>
      </c>
      <c r="K401" s="11">
        <v>4200</v>
      </c>
      <c r="L401" s="295" t="s">
        <v>20300</v>
      </c>
      <c r="M401" s="11">
        <v>12000</v>
      </c>
      <c r="N401" s="295" t="s">
        <v>20300</v>
      </c>
      <c r="O401" s="11">
        <v>0</v>
      </c>
      <c r="P401" s="16"/>
      <c r="Q401" s="11">
        <v>18600</v>
      </c>
    </row>
    <row r="402" spans="1:17" s="1" customFormat="1" ht="11.45">
      <c r="A402" s="11" t="s">
        <v>18748</v>
      </c>
      <c r="B402" s="12">
        <v>44693</v>
      </c>
      <c r="C402" s="11">
        <v>2022</v>
      </c>
      <c r="D402" s="11" t="s">
        <v>16838</v>
      </c>
      <c r="E402" s="11" t="s">
        <v>16839</v>
      </c>
      <c r="F402" s="11" t="s">
        <v>20330</v>
      </c>
      <c r="G402" s="11" t="s">
        <v>20321</v>
      </c>
      <c r="H402" s="12">
        <v>44701</v>
      </c>
      <c r="I402" s="11">
        <v>0</v>
      </c>
      <c r="J402" s="26"/>
      <c r="K402" s="11">
        <v>88032</v>
      </c>
      <c r="L402" s="295" t="s">
        <v>20323</v>
      </c>
      <c r="M402" s="11">
        <v>0</v>
      </c>
      <c r="N402" s="26"/>
      <c r="O402" s="11">
        <v>0</v>
      </c>
      <c r="P402" s="16"/>
      <c r="Q402" s="11">
        <v>88032</v>
      </c>
    </row>
    <row r="403" spans="1:17" s="1" customFormat="1" ht="11.45">
      <c r="A403" s="11" t="s">
        <v>18749</v>
      </c>
      <c r="B403" s="12">
        <v>44694</v>
      </c>
      <c r="C403" s="11">
        <v>2022</v>
      </c>
      <c r="D403" s="11" t="s">
        <v>17226</v>
      </c>
      <c r="E403" s="11" t="s">
        <v>17227</v>
      </c>
      <c r="F403" s="11" t="s">
        <v>20155</v>
      </c>
      <c r="G403" s="11" t="s">
        <v>17689</v>
      </c>
      <c r="H403" s="12">
        <v>44707</v>
      </c>
      <c r="I403" s="11">
        <v>38400</v>
      </c>
      <c r="J403" s="16">
        <v>1</v>
      </c>
      <c r="K403" s="11">
        <v>147600</v>
      </c>
      <c r="L403" s="16">
        <v>1</v>
      </c>
      <c r="M403" s="11">
        <v>0</v>
      </c>
      <c r="N403" s="26"/>
      <c r="O403" s="11">
        <v>2900</v>
      </c>
      <c r="P403" s="16">
        <v>1</v>
      </c>
      <c r="Q403" s="11">
        <v>188900</v>
      </c>
    </row>
    <row r="404" spans="1:17" s="1" customFormat="1" ht="11.45">
      <c r="A404" s="11" t="s">
        <v>18750</v>
      </c>
      <c r="B404" s="12">
        <v>44695</v>
      </c>
      <c r="C404" s="11">
        <v>2022</v>
      </c>
      <c r="D404" s="11" t="s">
        <v>16444</v>
      </c>
      <c r="E404" s="11" t="s">
        <v>16445</v>
      </c>
      <c r="F404" s="11" t="s">
        <v>20155</v>
      </c>
      <c r="G404" s="11" t="s">
        <v>18248</v>
      </c>
      <c r="H404" s="12">
        <v>44700</v>
      </c>
      <c r="I404" s="11">
        <v>12000</v>
      </c>
      <c r="J404" s="295" t="s">
        <v>20324</v>
      </c>
      <c r="K404" s="11">
        <v>40200</v>
      </c>
      <c r="L404" s="295" t="s">
        <v>20323</v>
      </c>
      <c r="M404" s="11">
        <v>1200</v>
      </c>
      <c r="N404" s="295" t="s">
        <v>20323</v>
      </c>
      <c r="O404" s="11">
        <v>0</v>
      </c>
      <c r="P404" s="16"/>
      <c r="Q404" s="11">
        <v>53400</v>
      </c>
    </row>
    <row r="405" spans="1:17" s="1" customFormat="1" ht="11.45">
      <c r="A405" s="11" t="s">
        <v>18751</v>
      </c>
      <c r="B405" s="12">
        <v>44695</v>
      </c>
      <c r="C405" s="11">
        <v>2022</v>
      </c>
      <c r="D405" s="11" t="s">
        <v>16783</v>
      </c>
      <c r="E405" s="11" t="s">
        <v>16784</v>
      </c>
      <c r="F405" s="11" t="s">
        <v>20155</v>
      </c>
      <c r="G405" s="11" t="s">
        <v>17939</v>
      </c>
      <c r="H405" s="12">
        <v>44701</v>
      </c>
      <c r="I405" s="11">
        <v>0</v>
      </c>
      <c r="J405" s="26"/>
      <c r="K405" s="11">
        <v>403200</v>
      </c>
      <c r="L405" s="295" t="s">
        <v>20324</v>
      </c>
      <c r="M405" s="11">
        <v>57600</v>
      </c>
      <c r="N405" s="295" t="s">
        <v>20324</v>
      </c>
      <c r="O405" s="11">
        <v>0</v>
      </c>
      <c r="P405" s="16"/>
      <c r="Q405" s="11">
        <v>460800</v>
      </c>
    </row>
    <row r="406" spans="1:17" s="1" customFormat="1" ht="11.45">
      <c r="A406" s="11" t="s">
        <v>18752</v>
      </c>
      <c r="B406" s="12">
        <v>44697</v>
      </c>
      <c r="C406" s="11">
        <v>2022</v>
      </c>
      <c r="D406" s="11" t="s">
        <v>16823</v>
      </c>
      <c r="E406" s="11" t="s">
        <v>16824</v>
      </c>
      <c r="F406" s="11" t="s">
        <v>20302</v>
      </c>
      <c r="G406" s="11" t="s">
        <v>17965</v>
      </c>
      <c r="H406" s="12">
        <v>44705</v>
      </c>
      <c r="I406" s="11">
        <v>0</v>
      </c>
      <c r="J406" s="26"/>
      <c r="K406" s="11">
        <v>55700</v>
      </c>
      <c r="L406" s="295" t="s">
        <v>20300</v>
      </c>
      <c r="M406" s="11">
        <v>0</v>
      </c>
      <c r="N406" s="26"/>
      <c r="O406" s="11">
        <v>0</v>
      </c>
      <c r="P406" s="16"/>
      <c r="Q406" s="11">
        <v>55700</v>
      </c>
    </row>
    <row r="407" spans="1:17" s="1" customFormat="1" ht="11.45">
      <c r="A407" s="11" t="s">
        <v>18753</v>
      </c>
      <c r="B407" s="12">
        <v>44698</v>
      </c>
      <c r="C407" s="11">
        <v>2022</v>
      </c>
      <c r="D407" s="11" t="s">
        <v>17017</v>
      </c>
      <c r="E407" s="11" t="s">
        <v>17018</v>
      </c>
      <c r="F407" s="11" t="s">
        <v>20330</v>
      </c>
      <c r="G407" s="11" t="s">
        <v>18064</v>
      </c>
      <c r="H407" s="12">
        <v>44704</v>
      </c>
      <c r="I407" s="11">
        <v>0</v>
      </c>
      <c r="J407" s="26"/>
      <c r="K407" s="11">
        <v>20000</v>
      </c>
      <c r="L407" s="16">
        <v>1</v>
      </c>
      <c r="M407" s="11">
        <v>0</v>
      </c>
      <c r="N407" s="26"/>
      <c r="O407" s="11">
        <v>0</v>
      </c>
      <c r="P407" s="16"/>
      <c r="Q407" s="11">
        <v>20000</v>
      </c>
    </row>
    <row r="408" spans="1:17" s="1" customFormat="1" ht="11.45">
      <c r="A408" s="11" t="s">
        <v>18754</v>
      </c>
      <c r="B408" s="12">
        <v>44699</v>
      </c>
      <c r="C408" s="11">
        <v>2022</v>
      </c>
      <c r="D408" s="11" t="s">
        <v>16972</v>
      </c>
      <c r="E408" s="11" t="s">
        <v>16973</v>
      </c>
      <c r="F408" s="11" t="s">
        <v>20325</v>
      </c>
      <c r="G408" s="11" t="s">
        <v>17801</v>
      </c>
      <c r="H408" s="12" t="s">
        <v>20331</v>
      </c>
      <c r="I408" s="11">
        <v>0</v>
      </c>
      <c r="J408" s="26"/>
      <c r="K408" s="11">
        <v>0</v>
      </c>
      <c r="L408" s="16"/>
      <c r="M408" s="11">
        <v>420000</v>
      </c>
      <c r="N408" s="295" t="s">
        <v>20323</v>
      </c>
      <c r="O408" s="11">
        <v>0</v>
      </c>
      <c r="P408" s="16"/>
      <c r="Q408" s="11">
        <v>420000</v>
      </c>
    </row>
    <row r="409" spans="1:17" s="1" customFormat="1" ht="11.45">
      <c r="A409" s="11" t="s">
        <v>18755</v>
      </c>
      <c r="B409" s="12">
        <v>44699</v>
      </c>
      <c r="C409" s="11">
        <v>2022</v>
      </c>
      <c r="D409" s="11" t="s">
        <v>16470</v>
      </c>
      <c r="E409" s="11" t="s">
        <v>16471</v>
      </c>
      <c r="F409" s="11" t="s">
        <v>20155</v>
      </c>
      <c r="G409" s="11" t="s">
        <v>18227</v>
      </c>
      <c r="H409" s="12">
        <v>44712</v>
      </c>
      <c r="I409" s="11">
        <v>38400</v>
      </c>
      <c r="J409" s="295" t="s">
        <v>20324</v>
      </c>
      <c r="K409" s="11">
        <v>406944</v>
      </c>
      <c r="L409" s="295" t="s">
        <v>20300</v>
      </c>
      <c r="M409" s="11">
        <v>0</v>
      </c>
      <c r="N409" s="26"/>
      <c r="O409" s="11">
        <v>0</v>
      </c>
      <c r="P409" s="16"/>
      <c r="Q409" s="11">
        <v>445344</v>
      </c>
    </row>
    <row r="410" spans="1:17" s="1" customFormat="1" ht="11.45">
      <c r="A410" s="11" t="s">
        <v>18756</v>
      </c>
      <c r="B410" s="12">
        <v>44699</v>
      </c>
      <c r="C410" s="11">
        <v>2022</v>
      </c>
      <c r="D410" s="11" t="s">
        <v>17119</v>
      </c>
      <c r="E410" s="11" t="s">
        <v>17120</v>
      </c>
      <c r="F410" s="11" t="s">
        <v>20302</v>
      </c>
      <c r="G410" s="11" t="s">
        <v>17965</v>
      </c>
      <c r="H410" s="12">
        <v>44705</v>
      </c>
      <c r="I410" s="11">
        <v>38400</v>
      </c>
      <c r="J410" s="295" t="s">
        <v>20324</v>
      </c>
      <c r="K410" s="11">
        <v>45600</v>
      </c>
      <c r="L410" s="295" t="s">
        <v>20300</v>
      </c>
      <c r="M410" s="11">
        <v>0</v>
      </c>
      <c r="N410" s="26"/>
      <c r="O410" s="11">
        <v>0</v>
      </c>
      <c r="P410" s="16"/>
      <c r="Q410" s="11">
        <v>84000</v>
      </c>
    </row>
    <row r="411" spans="1:17" s="1" customFormat="1" ht="11.45">
      <c r="A411" s="11" t="s">
        <v>18757</v>
      </c>
      <c r="B411" s="12">
        <v>44700</v>
      </c>
      <c r="C411" s="11">
        <v>2022</v>
      </c>
      <c r="D411" s="11" t="s">
        <v>16444</v>
      </c>
      <c r="E411" s="11" t="s">
        <v>16445</v>
      </c>
      <c r="F411" s="11" t="s">
        <v>20155</v>
      </c>
      <c r="G411" s="11" t="s">
        <v>18248</v>
      </c>
      <c r="H411" s="12">
        <v>44704</v>
      </c>
      <c r="I411" s="11">
        <v>19200</v>
      </c>
      <c r="J411" s="295" t="s">
        <v>20324</v>
      </c>
      <c r="K411" s="11">
        <v>0</v>
      </c>
      <c r="L411" s="16"/>
      <c r="M411" s="11">
        <v>0</v>
      </c>
      <c r="N411" s="26"/>
      <c r="O411" s="11">
        <v>0</v>
      </c>
      <c r="P411" s="16"/>
      <c r="Q411" s="11">
        <v>19200</v>
      </c>
    </row>
    <row r="412" spans="1:17" s="1" customFormat="1" ht="11.45">
      <c r="A412" s="11" t="s">
        <v>20332</v>
      </c>
      <c r="B412" s="12">
        <v>44700</v>
      </c>
      <c r="C412" s="11">
        <v>2022</v>
      </c>
      <c r="D412" s="11" t="s">
        <v>17287</v>
      </c>
      <c r="E412" s="11" t="s">
        <v>17288</v>
      </c>
      <c r="F412" s="11" t="s">
        <v>20164</v>
      </c>
      <c r="G412" s="11" t="s">
        <v>17949</v>
      </c>
      <c r="H412" s="12">
        <v>0</v>
      </c>
      <c r="I412" s="11">
        <v>0</v>
      </c>
      <c r="J412" s="295" t="s">
        <v>20324</v>
      </c>
      <c r="K412" s="11">
        <v>0</v>
      </c>
      <c r="L412" s="16"/>
      <c r="M412" s="11">
        <v>0</v>
      </c>
      <c r="N412" s="26"/>
      <c r="O412" s="11">
        <v>0</v>
      </c>
      <c r="P412" s="16"/>
      <c r="Q412" s="11">
        <v>110040</v>
      </c>
    </row>
    <row r="413" spans="1:17" s="1" customFormat="1" ht="11.45">
      <c r="A413" s="11" t="s">
        <v>18758</v>
      </c>
      <c r="B413" s="12">
        <v>44707</v>
      </c>
      <c r="C413" s="11">
        <v>2022</v>
      </c>
      <c r="D413" s="11" t="s">
        <v>17017</v>
      </c>
      <c r="E413" s="11" t="s">
        <v>17018</v>
      </c>
      <c r="F413" s="11" t="s">
        <v>20155</v>
      </c>
      <c r="G413" s="11" t="s">
        <v>18064</v>
      </c>
      <c r="H413" s="12">
        <v>44711</v>
      </c>
      <c r="I413" s="11">
        <v>0</v>
      </c>
      <c r="J413" s="26"/>
      <c r="K413" s="11">
        <v>20000</v>
      </c>
      <c r="L413" s="16">
        <v>1</v>
      </c>
      <c r="M413" s="11">
        <v>0</v>
      </c>
      <c r="N413" s="26"/>
      <c r="O413" s="11">
        <v>0</v>
      </c>
      <c r="P413" s="16"/>
      <c r="Q413" s="11">
        <v>20000</v>
      </c>
    </row>
    <row r="414" spans="1:17" s="1" customFormat="1" ht="11.45">
      <c r="A414" s="11" t="s">
        <v>18759</v>
      </c>
      <c r="B414" s="12">
        <v>44718</v>
      </c>
      <c r="C414" s="11">
        <v>2022</v>
      </c>
      <c r="D414" s="11" t="s">
        <v>17278</v>
      </c>
      <c r="E414" s="11" t="s">
        <v>17279</v>
      </c>
      <c r="F414" s="11" t="s">
        <v>20155</v>
      </c>
      <c r="G414" s="11" t="s">
        <v>20173</v>
      </c>
      <c r="H414" s="12">
        <v>44727</v>
      </c>
      <c r="I414" s="11">
        <v>0</v>
      </c>
      <c r="J414" s="26"/>
      <c r="K414" s="11">
        <v>195686</v>
      </c>
      <c r="L414" s="295" t="s">
        <v>20300</v>
      </c>
      <c r="M414" s="11">
        <v>0</v>
      </c>
      <c r="N414" s="26"/>
      <c r="O414" s="11">
        <v>0</v>
      </c>
      <c r="P414" s="16"/>
      <c r="Q414" s="11">
        <v>195686</v>
      </c>
    </row>
    <row r="415" spans="1:17" s="1" customFormat="1" ht="11.45">
      <c r="A415" s="11" t="s">
        <v>18760</v>
      </c>
      <c r="B415" s="12">
        <v>44718</v>
      </c>
      <c r="C415" s="11">
        <v>2022</v>
      </c>
      <c r="D415" s="11" t="s">
        <v>16470</v>
      </c>
      <c r="E415" s="11" t="s">
        <v>16471</v>
      </c>
      <c r="F415" s="11" t="s">
        <v>20302</v>
      </c>
      <c r="G415" s="11" t="s">
        <v>18227</v>
      </c>
      <c r="H415" s="12">
        <v>44730</v>
      </c>
      <c r="I415" s="11">
        <v>38400</v>
      </c>
      <c r="J415" s="295" t="s">
        <v>20324</v>
      </c>
      <c r="K415" s="11">
        <v>406944</v>
      </c>
      <c r="L415" s="295" t="s">
        <v>20300</v>
      </c>
      <c r="M415" s="11">
        <v>0</v>
      </c>
      <c r="N415" s="26"/>
      <c r="O415" s="11">
        <v>0</v>
      </c>
      <c r="P415" s="16"/>
      <c r="Q415" s="11">
        <v>445344</v>
      </c>
    </row>
    <row r="416" spans="1:17" s="1" customFormat="1" ht="11.45">
      <c r="A416" s="11" t="s">
        <v>18761</v>
      </c>
      <c r="B416" s="12">
        <v>44718</v>
      </c>
      <c r="C416" s="11">
        <v>2022</v>
      </c>
      <c r="D416" s="11" t="s">
        <v>17259</v>
      </c>
      <c r="E416" s="11" t="s">
        <v>17260</v>
      </c>
      <c r="F416" s="11" t="s">
        <v>20302</v>
      </c>
      <c r="G416" s="11" t="s">
        <v>17261</v>
      </c>
      <c r="H416" s="12">
        <v>44728</v>
      </c>
      <c r="I416" s="11">
        <v>0</v>
      </c>
      <c r="J416" s="26"/>
      <c r="K416" s="11">
        <v>48000</v>
      </c>
      <c r="L416" s="16"/>
      <c r="M416" s="11">
        <v>0</v>
      </c>
      <c r="N416" s="26"/>
      <c r="O416" s="11">
        <v>0</v>
      </c>
      <c r="P416" s="16"/>
      <c r="Q416" s="11">
        <v>48000</v>
      </c>
    </row>
    <row r="417" spans="1:17" s="1" customFormat="1" ht="11.45">
      <c r="A417" s="11" t="s">
        <v>18762</v>
      </c>
      <c r="B417" s="12">
        <v>44718</v>
      </c>
      <c r="C417" s="11">
        <v>2022</v>
      </c>
      <c r="D417" s="11" t="s">
        <v>16972</v>
      </c>
      <c r="E417" s="11" t="s">
        <v>16973</v>
      </c>
      <c r="F417" s="11" t="s">
        <v>20155</v>
      </c>
      <c r="G417" s="11" t="s">
        <v>17801</v>
      </c>
      <c r="H417" s="12">
        <v>44737</v>
      </c>
      <c r="I417" s="11">
        <v>0</v>
      </c>
      <c r="J417" s="26"/>
      <c r="K417" s="11">
        <v>0</v>
      </c>
      <c r="L417" s="16"/>
      <c r="M417" s="11">
        <v>280000</v>
      </c>
      <c r="N417" s="295" t="s">
        <v>20323</v>
      </c>
      <c r="O417" s="11">
        <v>0</v>
      </c>
      <c r="P417" s="16"/>
      <c r="Q417" s="11">
        <v>280000</v>
      </c>
    </row>
    <row r="418" spans="1:17" s="1" customFormat="1" ht="11.45">
      <c r="A418" s="11" t="s">
        <v>18763</v>
      </c>
      <c r="B418" s="12">
        <v>44718</v>
      </c>
      <c r="C418" s="11">
        <v>2022</v>
      </c>
      <c r="D418" s="11" t="s">
        <v>17017</v>
      </c>
      <c r="E418" s="11" t="s">
        <v>17018</v>
      </c>
      <c r="F418" s="11" t="s">
        <v>20155</v>
      </c>
      <c r="G418" s="11" t="s">
        <v>17954</v>
      </c>
      <c r="H418" s="12">
        <v>44741</v>
      </c>
      <c r="I418" s="11">
        <v>0</v>
      </c>
      <c r="J418" s="26"/>
      <c r="K418" s="11">
        <v>0</v>
      </c>
      <c r="L418" s="16"/>
      <c r="M418" s="11">
        <v>0</v>
      </c>
      <c r="N418" s="26"/>
      <c r="O418" s="11">
        <v>4400</v>
      </c>
      <c r="P418" s="16">
        <v>1</v>
      </c>
      <c r="Q418" s="11">
        <v>4400</v>
      </c>
    </row>
    <row r="419" spans="1:17" s="1" customFormat="1" ht="11.45">
      <c r="A419" s="11" t="s">
        <v>18764</v>
      </c>
      <c r="B419" s="12">
        <v>44718</v>
      </c>
      <c r="C419" s="11">
        <v>2022</v>
      </c>
      <c r="D419" s="11" t="s">
        <v>17017</v>
      </c>
      <c r="E419" s="11" t="s">
        <v>17018</v>
      </c>
      <c r="F419" s="11" t="s">
        <v>20155</v>
      </c>
      <c r="G419" s="11" t="s">
        <v>17238</v>
      </c>
      <c r="H419" s="12">
        <v>44727</v>
      </c>
      <c r="I419" s="11">
        <v>0</v>
      </c>
      <c r="J419" s="26"/>
      <c r="K419" s="11">
        <v>0</v>
      </c>
      <c r="L419" s="16"/>
      <c r="M419" s="11">
        <v>0</v>
      </c>
      <c r="N419" s="26"/>
      <c r="O419" s="11">
        <v>3520</v>
      </c>
      <c r="P419" s="16">
        <v>1</v>
      </c>
      <c r="Q419" s="11">
        <v>3520</v>
      </c>
    </row>
    <row r="420" spans="1:17" s="1" customFormat="1" ht="11.45">
      <c r="A420" s="11" t="s">
        <v>18765</v>
      </c>
      <c r="B420" s="12">
        <v>44718</v>
      </c>
      <c r="C420" s="11">
        <v>2022</v>
      </c>
      <c r="D420" s="11" t="s">
        <v>16444</v>
      </c>
      <c r="E420" s="11" t="s">
        <v>16445</v>
      </c>
      <c r="F420" s="11" t="s">
        <v>20155</v>
      </c>
      <c r="G420" s="11" t="s">
        <v>18248</v>
      </c>
      <c r="H420" s="12">
        <v>44723</v>
      </c>
      <c r="I420" s="11">
        <v>44016</v>
      </c>
      <c r="J420" s="295" t="s">
        <v>20324</v>
      </c>
      <c r="K420" s="11">
        <v>0</v>
      </c>
      <c r="L420" s="16"/>
      <c r="M420" s="11">
        <v>0</v>
      </c>
      <c r="N420" s="26"/>
      <c r="O420" s="11">
        <v>0</v>
      </c>
      <c r="P420" s="16"/>
      <c r="Q420" s="11">
        <v>44016</v>
      </c>
    </row>
    <row r="421" spans="1:17" s="1" customFormat="1" ht="11.45">
      <c r="A421" s="11" t="s">
        <v>18766</v>
      </c>
      <c r="B421" s="12">
        <v>44718</v>
      </c>
      <c r="C421" s="11">
        <v>2022</v>
      </c>
      <c r="D421" s="11" t="s">
        <v>16444</v>
      </c>
      <c r="E421" s="11" t="s">
        <v>16445</v>
      </c>
      <c r="F421" s="11" t="s">
        <v>20155</v>
      </c>
      <c r="G421" s="11" t="s">
        <v>17949</v>
      </c>
      <c r="H421" s="12">
        <v>44723</v>
      </c>
      <c r="I421" s="11">
        <v>44016</v>
      </c>
      <c r="J421" s="295" t="s">
        <v>20324</v>
      </c>
      <c r="K421" s="11">
        <v>0</v>
      </c>
      <c r="L421" s="16"/>
      <c r="M421" s="11">
        <v>0</v>
      </c>
      <c r="N421" s="26"/>
      <c r="O421" s="11">
        <v>0</v>
      </c>
      <c r="P421" s="16"/>
      <c r="Q421" s="11">
        <v>44016</v>
      </c>
    </row>
    <row r="422" spans="1:17" s="1" customFormat="1" ht="11.45">
      <c r="A422" s="11" t="s">
        <v>18767</v>
      </c>
      <c r="B422" s="12">
        <v>44719</v>
      </c>
      <c r="C422" s="11">
        <v>2022</v>
      </c>
      <c r="D422" s="11" t="s">
        <v>16838</v>
      </c>
      <c r="E422" s="11" t="s">
        <v>16839</v>
      </c>
      <c r="F422" s="11" t="s">
        <v>20155</v>
      </c>
      <c r="G422" s="11" t="s">
        <v>17771</v>
      </c>
      <c r="H422" s="12">
        <v>44736</v>
      </c>
      <c r="I422" s="11">
        <v>3600</v>
      </c>
      <c r="J422" s="295" t="s">
        <v>20324</v>
      </c>
      <c r="K422" s="11">
        <v>22200</v>
      </c>
      <c r="L422" s="295" t="s">
        <v>20300</v>
      </c>
      <c r="M422" s="11">
        <v>84000</v>
      </c>
      <c r="N422" s="295" t="s">
        <v>20323</v>
      </c>
      <c r="O422" s="11">
        <v>0</v>
      </c>
      <c r="P422" s="16"/>
      <c r="Q422" s="11">
        <v>109800</v>
      </c>
    </row>
    <row r="423" spans="1:17" s="1" customFormat="1" ht="11.45">
      <c r="A423" s="11" t="s">
        <v>18768</v>
      </c>
      <c r="B423" s="12">
        <v>44719</v>
      </c>
      <c r="C423" s="11">
        <v>2022</v>
      </c>
      <c r="D423" s="11" t="s">
        <v>16643</v>
      </c>
      <c r="E423" s="11" t="s">
        <v>16644</v>
      </c>
      <c r="F423" s="11" t="s">
        <v>20155</v>
      </c>
      <c r="G423" s="11" t="s">
        <v>18227</v>
      </c>
      <c r="H423" s="12">
        <v>44729</v>
      </c>
      <c r="I423" s="11">
        <v>0</v>
      </c>
      <c r="J423" s="26"/>
      <c r="K423" s="11">
        <v>67608</v>
      </c>
      <c r="L423" s="295" t="s">
        <v>20300</v>
      </c>
      <c r="M423" s="11">
        <v>0</v>
      </c>
      <c r="N423" s="26"/>
      <c r="O423" s="11">
        <v>0</v>
      </c>
      <c r="P423" s="16"/>
      <c r="Q423" s="11">
        <v>67608</v>
      </c>
    </row>
    <row r="424" spans="1:17" s="1" customFormat="1" ht="11.45">
      <c r="A424" s="11" t="s">
        <v>18769</v>
      </c>
      <c r="B424" s="12">
        <v>44721</v>
      </c>
      <c r="C424" s="11">
        <v>2022</v>
      </c>
      <c r="D424" s="11" t="s">
        <v>16880</v>
      </c>
      <c r="E424" s="11" t="s">
        <v>16881</v>
      </c>
      <c r="F424" s="11" t="s">
        <v>20155</v>
      </c>
      <c r="G424" s="11" t="s">
        <v>20329</v>
      </c>
      <c r="H424" s="12">
        <v>44727</v>
      </c>
      <c r="I424" s="11">
        <v>0</v>
      </c>
      <c r="J424" s="26"/>
      <c r="K424" s="11">
        <v>19900</v>
      </c>
      <c r="L424" s="16">
        <v>1</v>
      </c>
      <c r="M424" s="11">
        <v>0</v>
      </c>
      <c r="N424" s="26"/>
      <c r="O424" s="11">
        <v>0</v>
      </c>
      <c r="P424" s="16"/>
      <c r="Q424" s="11">
        <v>19900</v>
      </c>
    </row>
    <row r="425" spans="1:17" s="1" customFormat="1" ht="11.45">
      <c r="A425" s="11" t="s">
        <v>18770</v>
      </c>
      <c r="B425" s="12">
        <v>44721</v>
      </c>
      <c r="C425" s="11">
        <v>2022</v>
      </c>
      <c r="D425" s="11" t="s">
        <v>17287</v>
      </c>
      <c r="E425" s="11" t="s">
        <v>17288</v>
      </c>
      <c r="F425" s="11" t="s">
        <v>20155</v>
      </c>
      <c r="G425" s="11" t="s">
        <v>20333</v>
      </c>
      <c r="H425" s="12">
        <v>44732</v>
      </c>
      <c r="I425" s="11">
        <v>20000</v>
      </c>
      <c r="J425" s="295" t="s">
        <v>20324</v>
      </c>
      <c r="K425" s="11">
        <v>0</v>
      </c>
      <c r="L425" s="16"/>
      <c r="M425" s="11">
        <v>0</v>
      </c>
      <c r="N425" s="26"/>
      <c r="O425" s="11">
        <v>0</v>
      </c>
      <c r="P425" s="16"/>
      <c r="Q425" s="11">
        <v>20000</v>
      </c>
    </row>
    <row r="426" spans="1:17" s="1" customFormat="1" ht="11.45">
      <c r="A426" s="11" t="s">
        <v>18771</v>
      </c>
      <c r="B426" s="12">
        <v>44721</v>
      </c>
      <c r="C426" s="11">
        <v>2022</v>
      </c>
      <c r="D426" s="11" t="s">
        <v>17156</v>
      </c>
      <c r="E426" s="11" t="s">
        <v>17157</v>
      </c>
      <c r="F426" s="11" t="s">
        <v>20155</v>
      </c>
      <c r="G426" s="11" t="s">
        <v>20161</v>
      </c>
      <c r="H426" s="12">
        <v>44725</v>
      </c>
      <c r="I426" s="11">
        <v>0</v>
      </c>
      <c r="J426" s="26"/>
      <c r="K426" s="11">
        <v>61500</v>
      </c>
      <c r="L426" s="16">
        <v>1</v>
      </c>
      <c r="M426" s="11">
        <v>0</v>
      </c>
      <c r="N426" s="26"/>
      <c r="O426" s="11">
        <v>0</v>
      </c>
      <c r="P426" s="16"/>
      <c r="Q426" s="11">
        <v>61500</v>
      </c>
    </row>
    <row r="427" spans="1:17" s="1" customFormat="1" ht="11.45">
      <c r="A427" s="11" t="s">
        <v>18772</v>
      </c>
      <c r="B427" s="12">
        <v>44722</v>
      </c>
      <c r="C427" s="11">
        <v>2022</v>
      </c>
      <c r="D427" s="11" t="s">
        <v>16838</v>
      </c>
      <c r="E427" s="11" t="s">
        <v>16839</v>
      </c>
      <c r="F427" s="11" t="s">
        <v>20155</v>
      </c>
      <c r="G427" s="11" t="s">
        <v>20321</v>
      </c>
      <c r="H427" s="12">
        <v>44732</v>
      </c>
      <c r="I427" s="11">
        <v>0</v>
      </c>
      <c r="J427" s="26"/>
      <c r="K427" s="11">
        <v>242088</v>
      </c>
      <c r="L427" s="295" t="s">
        <v>20323</v>
      </c>
      <c r="M427" s="11">
        <v>0</v>
      </c>
      <c r="N427" s="26"/>
      <c r="O427" s="11">
        <v>0</v>
      </c>
      <c r="P427" s="16"/>
      <c r="Q427" s="11">
        <v>242088</v>
      </c>
    </row>
    <row r="428" spans="1:17" s="1" customFormat="1" ht="11.45">
      <c r="A428" s="11" t="s">
        <v>18773</v>
      </c>
      <c r="B428" s="12">
        <v>44725</v>
      </c>
      <c r="C428" s="11">
        <v>2022</v>
      </c>
      <c r="D428" s="11" t="s">
        <v>16783</v>
      </c>
      <c r="E428" s="11" t="s">
        <v>16784</v>
      </c>
      <c r="F428" s="11" t="s">
        <v>20155</v>
      </c>
      <c r="G428" s="11" t="s">
        <v>17939</v>
      </c>
      <c r="H428" s="12">
        <v>44733</v>
      </c>
      <c r="I428" s="11">
        <v>0</v>
      </c>
      <c r="J428" s="26"/>
      <c r="K428" s="11">
        <v>403200</v>
      </c>
      <c r="L428" s="295" t="s">
        <v>20324</v>
      </c>
      <c r="M428" s="11">
        <v>96000</v>
      </c>
      <c r="N428" s="295" t="s">
        <v>20324</v>
      </c>
      <c r="O428" s="11">
        <v>0</v>
      </c>
      <c r="P428" s="16"/>
      <c r="Q428" s="11">
        <v>499200</v>
      </c>
    </row>
    <row r="429" spans="1:17" s="1" customFormat="1" ht="11.45">
      <c r="A429" s="11" t="s">
        <v>18774</v>
      </c>
      <c r="B429" s="12">
        <v>44726</v>
      </c>
      <c r="C429" s="11">
        <v>2022</v>
      </c>
      <c r="D429" s="11" t="s">
        <v>16957</v>
      </c>
      <c r="E429" s="11" t="s">
        <v>16958</v>
      </c>
      <c r="F429" s="11" t="s">
        <v>20155</v>
      </c>
      <c r="G429" s="11" t="s">
        <v>20161</v>
      </c>
      <c r="H429" s="12">
        <v>44737</v>
      </c>
      <c r="I429" s="11">
        <v>40000</v>
      </c>
      <c r="J429" s="16">
        <v>1</v>
      </c>
      <c r="K429" s="11">
        <v>0</v>
      </c>
      <c r="L429" s="16"/>
      <c r="M429" s="11">
        <v>0</v>
      </c>
      <c r="N429" s="26"/>
      <c r="O429" s="11">
        <v>0</v>
      </c>
      <c r="P429" s="16"/>
      <c r="Q429" s="11">
        <v>40000</v>
      </c>
    </row>
    <row r="430" spans="1:17" s="1" customFormat="1" ht="11.45">
      <c r="A430" s="11" t="s">
        <v>18775</v>
      </c>
      <c r="B430" s="12">
        <v>44726</v>
      </c>
      <c r="C430" s="11">
        <v>2022</v>
      </c>
      <c r="D430" s="11" t="s">
        <v>16444</v>
      </c>
      <c r="E430" s="11" t="s">
        <v>16445</v>
      </c>
      <c r="F430" s="11" t="s">
        <v>20155</v>
      </c>
      <c r="G430" s="11" t="s">
        <v>18248</v>
      </c>
      <c r="H430" s="12">
        <v>44732</v>
      </c>
      <c r="I430" s="11">
        <v>11040</v>
      </c>
      <c r="J430" s="295" t="s">
        <v>20324</v>
      </c>
      <c r="K430" s="11">
        <v>40200</v>
      </c>
      <c r="L430" s="295" t="s">
        <v>20316</v>
      </c>
      <c r="M430" s="11">
        <v>2400</v>
      </c>
      <c r="N430" s="295" t="s">
        <v>20316</v>
      </c>
      <c r="O430" s="11">
        <v>0</v>
      </c>
      <c r="P430" s="16"/>
      <c r="Q430" s="11">
        <v>53640</v>
      </c>
    </row>
    <row r="431" spans="1:17" s="1" customFormat="1" ht="11.45">
      <c r="A431" s="11" t="s">
        <v>18776</v>
      </c>
      <c r="B431" s="12">
        <v>44726</v>
      </c>
      <c r="C431" s="11">
        <v>2022</v>
      </c>
      <c r="D431" s="11" t="s">
        <v>16444</v>
      </c>
      <c r="E431" s="11" t="s">
        <v>16445</v>
      </c>
      <c r="F431" s="11" t="s">
        <v>20155</v>
      </c>
      <c r="G431" s="11" t="s">
        <v>18248</v>
      </c>
      <c r="H431" s="12">
        <v>44732</v>
      </c>
      <c r="I431" s="11">
        <v>8400</v>
      </c>
      <c r="J431" s="295" t="s">
        <v>20324</v>
      </c>
      <c r="K431" s="11">
        <v>19800</v>
      </c>
      <c r="L431" s="295" t="s">
        <v>20316</v>
      </c>
      <c r="M431" s="11">
        <v>0</v>
      </c>
      <c r="N431" s="26"/>
      <c r="O431" s="11">
        <v>0</v>
      </c>
      <c r="P431" s="16"/>
      <c r="Q431" s="11">
        <v>28200</v>
      </c>
    </row>
    <row r="432" spans="1:17" s="1" customFormat="1" ht="11.45">
      <c r="A432" s="11" t="s">
        <v>20334</v>
      </c>
      <c r="B432" s="12">
        <v>44726</v>
      </c>
      <c r="C432" s="11">
        <v>2022</v>
      </c>
      <c r="D432" s="11" t="s">
        <v>17203</v>
      </c>
      <c r="E432" s="11" t="s">
        <v>17205</v>
      </c>
      <c r="F432" s="11" t="s">
        <v>20164</v>
      </c>
      <c r="G432" s="11" t="s">
        <v>17939</v>
      </c>
      <c r="H432" s="12">
        <v>0</v>
      </c>
      <c r="I432" s="11">
        <v>0</v>
      </c>
      <c r="J432" s="26"/>
      <c r="K432" s="11">
        <v>0</v>
      </c>
      <c r="L432" s="295" t="s">
        <v>20324</v>
      </c>
      <c r="M432" s="11">
        <v>0</v>
      </c>
      <c r="N432" s="295" t="s">
        <v>20324</v>
      </c>
      <c r="O432" s="11">
        <v>0</v>
      </c>
      <c r="P432" s="16"/>
      <c r="Q432" s="11">
        <v>0</v>
      </c>
    </row>
    <row r="433" spans="1:17" s="1" customFormat="1" ht="11.45">
      <c r="A433" s="11" t="s">
        <v>18777</v>
      </c>
      <c r="B433" s="12">
        <v>44727</v>
      </c>
      <c r="C433" s="11">
        <v>2022</v>
      </c>
      <c r="D433" s="11" t="s">
        <v>17278</v>
      </c>
      <c r="E433" s="11" t="s">
        <v>17279</v>
      </c>
      <c r="F433" s="11" t="s">
        <v>20155</v>
      </c>
      <c r="G433" s="11" t="s">
        <v>20173</v>
      </c>
      <c r="H433" s="12">
        <v>44734</v>
      </c>
      <c r="I433" s="11">
        <v>21600</v>
      </c>
      <c r="J433" s="295" t="s">
        <v>20324</v>
      </c>
      <c r="K433" s="11">
        <v>0</v>
      </c>
      <c r="L433" s="295" t="s">
        <v>20300</v>
      </c>
      <c r="M433" s="11">
        <v>278400</v>
      </c>
      <c r="N433" s="26"/>
      <c r="O433" s="11">
        <v>0</v>
      </c>
      <c r="P433" s="16"/>
      <c r="Q433" s="11">
        <v>300000</v>
      </c>
    </row>
    <row r="434" spans="1:17" s="1" customFormat="1" ht="11.45">
      <c r="A434" s="11" t="s">
        <v>18778</v>
      </c>
      <c r="B434" s="12">
        <v>44729</v>
      </c>
      <c r="C434" s="11">
        <v>2022</v>
      </c>
      <c r="D434" s="11" t="s">
        <v>17203</v>
      </c>
      <c r="E434" s="11" t="s">
        <v>17205</v>
      </c>
      <c r="F434" s="11" t="s">
        <v>20155</v>
      </c>
      <c r="G434" s="11" t="s">
        <v>17939</v>
      </c>
      <c r="H434" s="12">
        <v>44732</v>
      </c>
      <c r="I434" s="11">
        <v>0</v>
      </c>
      <c r="J434" s="26"/>
      <c r="K434" s="11">
        <v>28915.200000000001</v>
      </c>
      <c r="L434" s="295" t="s">
        <v>20324</v>
      </c>
      <c r="M434" s="11">
        <v>1996.8</v>
      </c>
      <c r="N434" s="295" t="s">
        <v>20324</v>
      </c>
      <c r="O434" s="11">
        <v>0</v>
      </c>
      <c r="P434" s="16"/>
      <c r="Q434" s="11">
        <v>30912</v>
      </c>
    </row>
    <row r="435" spans="1:17" s="1" customFormat="1" ht="11.45">
      <c r="A435" s="11" t="s">
        <v>18779</v>
      </c>
      <c r="B435" s="12">
        <v>44732</v>
      </c>
      <c r="C435" s="11">
        <v>2022</v>
      </c>
      <c r="D435" s="11" t="s">
        <v>17209</v>
      </c>
      <c r="E435" s="11" t="s">
        <v>17210</v>
      </c>
      <c r="F435" s="11" t="s">
        <v>20155</v>
      </c>
      <c r="G435" s="11" t="s">
        <v>20168</v>
      </c>
      <c r="H435" s="12">
        <v>44742</v>
      </c>
      <c r="I435" s="11">
        <v>0</v>
      </c>
      <c r="J435" s="26"/>
      <c r="K435" s="11">
        <v>5760</v>
      </c>
      <c r="L435" s="16">
        <v>1</v>
      </c>
      <c r="M435" s="11">
        <v>1920</v>
      </c>
      <c r="N435" s="16">
        <v>1</v>
      </c>
      <c r="O435" s="11">
        <v>1250</v>
      </c>
      <c r="P435" s="16">
        <v>1</v>
      </c>
      <c r="Q435" s="11">
        <v>8930</v>
      </c>
    </row>
    <row r="436" spans="1:17" s="1" customFormat="1" ht="11.45">
      <c r="A436" s="11" t="s">
        <v>18780</v>
      </c>
      <c r="B436" s="12">
        <v>44733</v>
      </c>
      <c r="C436" s="11">
        <v>2022</v>
      </c>
      <c r="D436" s="11" t="s">
        <v>16838</v>
      </c>
      <c r="E436" s="11" t="s">
        <v>16839</v>
      </c>
      <c r="F436" s="11" t="s">
        <v>20155</v>
      </c>
      <c r="G436" s="11" t="s">
        <v>17949</v>
      </c>
      <c r="H436" s="12">
        <v>44765</v>
      </c>
      <c r="I436" s="11">
        <v>131640</v>
      </c>
      <c r="J436" s="295" t="s">
        <v>20324</v>
      </c>
      <c r="K436" s="11">
        <v>22800</v>
      </c>
      <c r="L436" s="295" t="s">
        <v>20316</v>
      </c>
      <c r="M436" s="11">
        <v>0</v>
      </c>
      <c r="N436" s="26"/>
      <c r="O436" s="11">
        <v>0</v>
      </c>
      <c r="P436" s="16"/>
      <c r="Q436" s="11">
        <v>154440</v>
      </c>
    </row>
    <row r="437" spans="1:17" s="1" customFormat="1" ht="11.45">
      <c r="A437" s="11" t="s">
        <v>18781</v>
      </c>
      <c r="B437" s="12">
        <v>44737</v>
      </c>
      <c r="C437" s="11">
        <v>2022</v>
      </c>
      <c r="D437" s="11" t="s">
        <v>17329</v>
      </c>
      <c r="E437" s="11" t="s">
        <v>17330</v>
      </c>
      <c r="F437" s="11" t="s">
        <v>20155</v>
      </c>
      <c r="G437" s="11" t="s">
        <v>20335</v>
      </c>
      <c r="H437" s="12">
        <v>44749</v>
      </c>
      <c r="I437" s="11">
        <v>3600</v>
      </c>
      <c r="J437" s="16">
        <v>1</v>
      </c>
      <c r="K437" s="11">
        <v>6000</v>
      </c>
      <c r="L437" s="16">
        <v>1</v>
      </c>
      <c r="M437" s="11">
        <v>1000</v>
      </c>
      <c r="N437" s="16">
        <v>1</v>
      </c>
      <c r="O437" s="11">
        <v>9215</v>
      </c>
      <c r="P437" s="16">
        <v>1</v>
      </c>
      <c r="Q437" s="11">
        <v>19815</v>
      </c>
    </row>
    <row r="438" spans="1:17" s="1" customFormat="1" ht="11.45">
      <c r="A438" s="11" t="s">
        <v>18783</v>
      </c>
      <c r="B438" s="12">
        <v>44740</v>
      </c>
      <c r="C438" s="11">
        <v>2022</v>
      </c>
      <c r="D438" s="11" t="s">
        <v>16444</v>
      </c>
      <c r="E438" s="11" t="s">
        <v>16445</v>
      </c>
      <c r="F438" s="11" t="s">
        <v>20155</v>
      </c>
      <c r="G438" s="11" t="s">
        <v>20173</v>
      </c>
      <c r="H438" s="12">
        <v>44746</v>
      </c>
      <c r="I438" s="11">
        <v>0</v>
      </c>
      <c r="J438" s="26"/>
      <c r="K438" s="11">
        <v>136000</v>
      </c>
      <c r="L438" s="295" t="s">
        <v>20300</v>
      </c>
      <c r="M438" s="11">
        <v>0</v>
      </c>
      <c r="N438" s="26"/>
      <c r="O438" s="11">
        <v>0</v>
      </c>
      <c r="P438" s="16"/>
      <c r="Q438" s="11">
        <v>136000</v>
      </c>
    </row>
    <row r="439" spans="1:17" s="1" customFormat="1" ht="11.45">
      <c r="A439" s="11" t="s">
        <v>18784</v>
      </c>
      <c r="B439" s="12">
        <v>44746</v>
      </c>
      <c r="C439" s="11">
        <v>2022</v>
      </c>
      <c r="D439" s="11" t="s">
        <v>16972</v>
      </c>
      <c r="E439" s="11" t="s">
        <v>16973</v>
      </c>
      <c r="F439" s="11" t="s">
        <v>20155</v>
      </c>
      <c r="G439" s="11" t="s">
        <v>17801</v>
      </c>
      <c r="H439" s="12">
        <v>44756</v>
      </c>
      <c r="I439" s="11">
        <v>0</v>
      </c>
      <c r="J439" s="26"/>
      <c r="K439" s="11">
        <v>0</v>
      </c>
      <c r="L439" s="16"/>
      <c r="M439" s="11">
        <v>280000</v>
      </c>
      <c r="N439" s="295" t="s">
        <v>20323</v>
      </c>
      <c r="O439" s="11">
        <v>0</v>
      </c>
      <c r="P439" s="16"/>
      <c r="Q439" s="11">
        <v>280000</v>
      </c>
    </row>
    <row r="440" spans="1:17" s="1" customFormat="1" ht="11.45">
      <c r="A440" s="11" t="s">
        <v>18785</v>
      </c>
      <c r="B440" s="12">
        <v>44746</v>
      </c>
      <c r="C440" s="11">
        <v>2022</v>
      </c>
      <c r="D440" s="11" t="s">
        <v>16957</v>
      </c>
      <c r="E440" s="11" t="s">
        <v>16958</v>
      </c>
      <c r="F440" s="11" t="s">
        <v>20155</v>
      </c>
      <c r="G440" s="11" t="s">
        <v>20161</v>
      </c>
      <c r="H440" s="12">
        <v>44749</v>
      </c>
      <c r="I440" s="11">
        <v>40000</v>
      </c>
      <c r="J440" s="16">
        <v>1</v>
      </c>
      <c r="K440" s="11">
        <v>0</v>
      </c>
      <c r="L440" s="16"/>
      <c r="M440" s="11">
        <v>0</v>
      </c>
      <c r="N440" s="26"/>
      <c r="O440" s="11">
        <v>0</v>
      </c>
      <c r="P440" s="16"/>
      <c r="Q440" s="11">
        <v>40000</v>
      </c>
    </row>
    <row r="441" spans="1:17" s="1" customFormat="1" ht="11.45">
      <c r="A441" s="11" t="s">
        <v>18786</v>
      </c>
      <c r="B441" s="12">
        <v>44746</v>
      </c>
      <c r="C441" s="11">
        <v>2022</v>
      </c>
      <c r="D441" s="11" t="s">
        <v>16754</v>
      </c>
      <c r="E441" s="11" t="s">
        <v>16755</v>
      </c>
      <c r="F441" s="11" t="s">
        <v>20155</v>
      </c>
      <c r="G441" s="11" t="s">
        <v>20336</v>
      </c>
      <c r="H441" s="12">
        <v>44756</v>
      </c>
      <c r="I441" s="11">
        <v>0</v>
      </c>
      <c r="J441" s="26"/>
      <c r="K441" s="11">
        <v>0</v>
      </c>
      <c r="L441" s="16"/>
      <c r="M441" s="11">
        <v>130000</v>
      </c>
      <c r="N441" s="295" t="s">
        <v>20300</v>
      </c>
      <c r="O441" s="11">
        <v>0</v>
      </c>
      <c r="P441" s="16"/>
      <c r="Q441" s="11">
        <v>130000</v>
      </c>
    </row>
    <row r="442" spans="1:17" s="1" customFormat="1" ht="11.45">
      <c r="A442" s="11" t="s">
        <v>18787</v>
      </c>
      <c r="B442" s="12">
        <v>44754</v>
      </c>
      <c r="C442" s="11">
        <v>2022</v>
      </c>
      <c r="D442" s="11" t="s">
        <v>17156</v>
      </c>
      <c r="E442" s="11" t="s">
        <v>17157</v>
      </c>
      <c r="F442" s="11" t="s">
        <v>20155</v>
      </c>
      <c r="G442" s="11" t="s">
        <v>20161</v>
      </c>
      <c r="H442" s="12">
        <v>44762</v>
      </c>
      <c r="I442" s="11">
        <v>0</v>
      </c>
      <c r="J442" s="26"/>
      <c r="K442" s="11">
        <v>41000</v>
      </c>
      <c r="L442" s="16">
        <v>1</v>
      </c>
      <c r="M442" s="11">
        <v>0</v>
      </c>
      <c r="N442" s="26"/>
      <c r="O442" s="11">
        <v>0</v>
      </c>
      <c r="P442" s="16"/>
      <c r="Q442" s="11">
        <v>41000</v>
      </c>
    </row>
    <row r="443" spans="1:17" s="1" customFormat="1" ht="11.45">
      <c r="A443" s="11" t="s">
        <v>18788</v>
      </c>
      <c r="B443" s="12">
        <v>44754</v>
      </c>
      <c r="C443" s="11">
        <v>2022</v>
      </c>
      <c r="D443" s="11" t="s">
        <v>17017</v>
      </c>
      <c r="E443" s="11" t="s">
        <v>17018</v>
      </c>
      <c r="F443" s="11" t="s">
        <v>20155</v>
      </c>
      <c r="G443" s="11" t="s">
        <v>18064</v>
      </c>
      <c r="H443" s="12">
        <v>44762</v>
      </c>
      <c r="I443" s="11">
        <v>0</v>
      </c>
      <c r="J443" s="26"/>
      <c r="K443" s="11">
        <v>20000</v>
      </c>
      <c r="L443" s="16">
        <v>1</v>
      </c>
      <c r="M443" s="11">
        <v>0</v>
      </c>
      <c r="N443" s="26"/>
      <c r="O443" s="11">
        <v>0</v>
      </c>
      <c r="P443" s="16"/>
      <c r="Q443" s="11">
        <v>20000</v>
      </c>
    </row>
    <row r="444" spans="1:17" s="1" customFormat="1" ht="11.45">
      <c r="A444" s="11" t="s">
        <v>18789</v>
      </c>
      <c r="B444" s="12">
        <v>44754</v>
      </c>
      <c r="C444" s="11">
        <v>2022</v>
      </c>
      <c r="D444" s="11" t="s">
        <v>17017</v>
      </c>
      <c r="E444" s="11" t="s">
        <v>17018</v>
      </c>
      <c r="F444" s="11" t="s">
        <v>20155</v>
      </c>
      <c r="G444" s="11" t="s">
        <v>18064</v>
      </c>
      <c r="H444" s="12">
        <v>44768</v>
      </c>
      <c r="I444" s="11">
        <v>0</v>
      </c>
      <c r="J444" s="26"/>
      <c r="K444" s="11">
        <v>20000</v>
      </c>
      <c r="L444" s="16">
        <v>1</v>
      </c>
      <c r="M444" s="11">
        <v>0</v>
      </c>
      <c r="N444" s="26"/>
      <c r="O444" s="11">
        <v>0</v>
      </c>
      <c r="P444" s="16"/>
      <c r="Q444" s="11">
        <v>20000</v>
      </c>
    </row>
    <row r="445" spans="1:17" s="1" customFormat="1" ht="11.45">
      <c r="A445" s="11" t="s">
        <v>18790</v>
      </c>
      <c r="B445" s="12">
        <v>44755</v>
      </c>
      <c r="C445" s="11">
        <v>2022</v>
      </c>
      <c r="D445" s="11" t="s">
        <v>17278</v>
      </c>
      <c r="E445" s="11" t="s">
        <v>17279</v>
      </c>
      <c r="F445" s="11" t="s">
        <v>20302</v>
      </c>
      <c r="G445" s="11" t="s">
        <v>20173</v>
      </c>
      <c r="H445" s="12">
        <v>44788</v>
      </c>
      <c r="I445" s="11">
        <v>0</v>
      </c>
      <c r="J445" s="26"/>
      <c r="K445" s="11">
        <v>195686</v>
      </c>
      <c r="L445" s="295" t="s">
        <v>20300</v>
      </c>
      <c r="M445" s="11">
        <v>0</v>
      </c>
      <c r="N445" s="26"/>
      <c r="O445" s="11">
        <v>0</v>
      </c>
      <c r="P445" s="16"/>
      <c r="Q445" s="11">
        <v>195686</v>
      </c>
    </row>
    <row r="446" spans="1:17" s="1" customFormat="1" ht="11.45">
      <c r="A446" s="11" t="s">
        <v>18791</v>
      </c>
      <c r="B446" s="12">
        <v>44755</v>
      </c>
      <c r="C446" s="11">
        <v>2022</v>
      </c>
      <c r="D446" s="11" t="s">
        <v>16957</v>
      </c>
      <c r="E446" s="11" t="s">
        <v>16958</v>
      </c>
      <c r="F446" s="11" t="s">
        <v>20155</v>
      </c>
      <c r="G446" s="11" t="s">
        <v>20161</v>
      </c>
      <c r="H446" s="12">
        <v>44771</v>
      </c>
      <c r="I446" s="11">
        <v>40000</v>
      </c>
      <c r="J446" s="16">
        <v>1</v>
      </c>
      <c r="K446" s="11">
        <v>0</v>
      </c>
      <c r="L446" s="16"/>
      <c r="M446" s="11">
        <v>0</v>
      </c>
      <c r="N446" s="26"/>
      <c r="O446" s="11">
        <v>0</v>
      </c>
      <c r="P446" s="16"/>
      <c r="Q446" s="11">
        <v>40000</v>
      </c>
    </row>
    <row r="447" spans="1:17" s="1" customFormat="1" ht="11.45">
      <c r="A447" s="11" t="s">
        <v>18792</v>
      </c>
      <c r="B447" s="12">
        <v>44755</v>
      </c>
      <c r="C447" s="11">
        <v>2022</v>
      </c>
      <c r="D447" s="11" t="s">
        <v>16444</v>
      </c>
      <c r="E447" s="11" t="s">
        <v>16445</v>
      </c>
      <c r="F447" s="11" t="s">
        <v>20155</v>
      </c>
      <c r="G447" s="11" t="s">
        <v>20173</v>
      </c>
      <c r="H447" s="12">
        <v>44775</v>
      </c>
      <c r="I447" s="11">
        <v>33600</v>
      </c>
      <c r="J447" s="295" t="s">
        <v>20324</v>
      </c>
      <c r="K447" s="11">
        <v>22400</v>
      </c>
      <c r="L447" s="295" t="s">
        <v>20300</v>
      </c>
      <c r="M447" s="11">
        <v>0</v>
      </c>
      <c r="N447" s="26"/>
      <c r="O447" s="11">
        <v>0</v>
      </c>
      <c r="P447" s="16"/>
      <c r="Q447" s="11">
        <v>56000</v>
      </c>
    </row>
    <row r="448" spans="1:17" s="1" customFormat="1" ht="11.45">
      <c r="A448" s="11" t="s">
        <v>18793</v>
      </c>
      <c r="B448" s="12">
        <v>44761</v>
      </c>
      <c r="C448" s="11">
        <v>2022</v>
      </c>
      <c r="D448" s="11" t="s">
        <v>17332</v>
      </c>
      <c r="E448" s="11" t="s">
        <v>17333</v>
      </c>
      <c r="F448" s="11" t="s">
        <v>20155</v>
      </c>
      <c r="G448" s="11" t="s">
        <v>17939</v>
      </c>
      <c r="H448" s="12">
        <v>44770</v>
      </c>
      <c r="I448" s="11">
        <v>0</v>
      </c>
      <c r="J448" s="26"/>
      <c r="K448" s="11">
        <v>100003</v>
      </c>
      <c r="L448" s="353" t="s">
        <v>20323</v>
      </c>
      <c r="M448" s="11">
        <v>0</v>
      </c>
      <c r="N448" s="26"/>
      <c r="O448" s="11">
        <v>0</v>
      </c>
      <c r="P448" s="16"/>
      <c r="Q448" s="11">
        <v>100003</v>
      </c>
    </row>
    <row r="449" spans="1:17" s="1" customFormat="1" ht="11.45">
      <c r="A449" s="11" t="s">
        <v>18795</v>
      </c>
      <c r="B449" s="12">
        <v>44761</v>
      </c>
      <c r="C449" s="11">
        <v>2022</v>
      </c>
      <c r="D449" s="11" t="s">
        <v>17278</v>
      </c>
      <c r="E449" s="11" t="s">
        <v>17279</v>
      </c>
      <c r="F449" s="11" t="s">
        <v>20302</v>
      </c>
      <c r="G449" s="11" t="s">
        <v>20173</v>
      </c>
      <c r="H449" s="12">
        <v>44771</v>
      </c>
      <c r="I449" s="11">
        <v>0</v>
      </c>
      <c r="J449" s="26"/>
      <c r="K449" s="11">
        <v>195686</v>
      </c>
      <c r="L449" s="295" t="s">
        <v>20300</v>
      </c>
      <c r="M449" s="11">
        <v>83400</v>
      </c>
      <c r="N449" s="295" t="s">
        <v>20323</v>
      </c>
      <c r="O449" s="11">
        <v>0</v>
      </c>
      <c r="P449" s="16"/>
      <c r="Q449" s="11">
        <v>279086</v>
      </c>
    </row>
    <row r="450" spans="1:17" s="1" customFormat="1" ht="11.45">
      <c r="A450" s="11" t="s">
        <v>18796</v>
      </c>
      <c r="B450" s="12">
        <v>44761</v>
      </c>
      <c r="C450" s="11">
        <v>2022</v>
      </c>
      <c r="D450" s="11" t="s">
        <v>17119</v>
      </c>
      <c r="E450" s="11" t="s">
        <v>17120</v>
      </c>
      <c r="F450" s="11" t="s">
        <v>20155</v>
      </c>
      <c r="G450" s="11" t="s">
        <v>20321</v>
      </c>
      <c r="H450" s="12">
        <v>44770</v>
      </c>
      <c r="I450" s="11">
        <v>16800</v>
      </c>
      <c r="J450" s="295" t="s">
        <v>20324</v>
      </c>
      <c r="K450" s="11">
        <v>61250</v>
      </c>
      <c r="L450" s="295" t="s">
        <v>20316</v>
      </c>
      <c r="M450" s="11">
        <v>0</v>
      </c>
      <c r="N450" s="26"/>
      <c r="O450" s="11">
        <v>0</v>
      </c>
      <c r="P450" s="16"/>
      <c r="Q450" s="11">
        <v>78050</v>
      </c>
    </row>
    <row r="451" spans="1:17" s="1" customFormat="1" ht="11.45">
      <c r="A451" s="11" t="s">
        <v>18797</v>
      </c>
      <c r="B451" s="12">
        <v>44761</v>
      </c>
      <c r="C451" s="11">
        <v>2022</v>
      </c>
      <c r="D451" s="11" t="s">
        <v>17119</v>
      </c>
      <c r="E451" s="11" t="s">
        <v>17120</v>
      </c>
      <c r="F451" s="11" t="s">
        <v>20155</v>
      </c>
      <c r="G451" s="11" t="s">
        <v>17965</v>
      </c>
      <c r="H451" s="12">
        <v>44776</v>
      </c>
      <c r="I451" s="11">
        <v>55200</v>
      </c>
      <c r="J451" s="295" t="s">
        <v>20324</v>
      </c>
      <c r="K451" s="11">
        <v>86200</v>
      </c>
      <c r="L451" s="295" t="s">
        <v>20316</v>
      </c>
      <c r="M451" s="11">
        <v>0</v>
      </c>
      <c r="N451" s="26"/>
      <c r="O451" s="11">
        <v>0</v>
      </c>
      <c r="P451" s="16"/>
      <c r="Q451" s="11">
        <v>141400</v>
      </c>
    </row>
    <row r="452" spans="1:17" s="1" customFormat="1" ht="11.45">
      <c r="A452" s="11" t="s">
        <v>18798</v>
      </c>
      <c r="B452" s="12">
        <v>44763</v>
      </c>
      <c r="C452" s="11">
        <v>2022</v>
      </c>
      <c r="D452" s="11" t="s">
        <v>16972</v>
      </c>
      <c r="E452" s="11" t="s">
        <v>16973</v>
      </c>
      <c r="F452" s="11" t="s">
        <v>20155</v>
      </c>
      <c r="G452" s="11" t="s">
        <v>17801</v>
      </c>
      <c r="H452" s="12">
        <v>44785</v>
      </c>
      <c r="I452" s="11">
        <v>0</v>
      </c>
      <c r="J452" s="26"/>
      <c r="K452" s="11">
        <v>0</v>
      </c>
      <c r="L452" s="16"/>
      <c r="M452" s="11">
        <v>280000</v>
      </c>
      <c r="N452" s="295" t="s">
        <v>20323</v>
      </c>
      <c r="O452" s="11">
        <v>0</v>
      </c>
      <c r="P452" s="16"/>
      <c r="Q452" s="11">
        <v>280000</v>
      </c>
    </row>
    <row r="453" spans="1:17" s="1" customFormat="1" ht="11.45">
      <c r="A453" s="11" t="s">
        <v>18799</v>
      </c>
      <c r="B453" s="12">
        <v>44764</v>
      </c>
      <c r="C453" s="11">
        <v>2022</v>
      </c>
      <c r="D453" s="11" t="s">
        <v>17278</v>
      </c>
      <c r="E453" s="11" t="s">
        <v>17279</v>
      </c>
      <c r="F453" s="11" t="s">
        <v>20155</v>
      </c>
      <c r="G453" s="11" t="s">
        <v>20173</v>
      </c>
      <c r="H453" s="12">
        <v>44774</v>
      </c>
      <c r="I453" s="11">
        <v>0</v>
      </c>
      <c r="J453" s="26"/>
      <c r="K453" s="11">
        <v>0</v>
      </c>
      <c r="L453" s="16"/>
      <c r="M453" s="11">
        <v>83520</v>
      </c>
      <c r="N453" s="295" t="s">
        <v>20323</v>
      </c>
      <c r="O453" s="11">
        <v>0</v>
      </c>
      <c r="P453" s="16"/>
      <c r="Q453" s="11">
        <v>83520</v>
      </c>
    </row>
    <row r="454" spans="1:17" s="1" customFormat="1" ht="11.45">
      <c r="A454" s="11" t="s">
        <v>18800</v>
      </c>
      <c r="B454" s="12">
        <v>44769</v>
      </c>
      <c r="C454" s="11">
        <v>2022</v>
      </c>
      <c r="D454" s="11" t="s">
        <v>17304</v>
      </c>
      <c r="E454" s="11" t="s">
        <v>17305</v>
      </c>
      <c r="F454" s="11" t="s">
        <v>20155</v>
      </c>
      <c r="G454" s="11" t="s">
        <v>17954</v>
      </c>
      <c r="H454" s="12">
        <v>44788</v>
      </c>
      <c r="I454" s="11">
        <v>0</v>
      </c>
      <c r="J454" s="26"/>
      <c r="K454" s="11">
        <v>16146.88</v>
      </c>
      <c r="L454" s="295" t="s">
        <v>20324</v>
      </c>
      <c r="M454" s="11">
        <v>34816</v>
      </c>
      <c r="N454" s="16">
        <v>1</v>
      </c>
      <c r="O454" s="11">
        <v>0</v>
      </c>
      <c r="P454" s="16"/>
      <c r="Q454" s="11">
        <v>50962.879999999997</v>
      </c>
    </row>
    <row r="455" spans="1:17" s="1" customFormat="1" ht="11.45">
      <c r="A455" s="11" t="s">
        <v>18801</v>
      </c>
      <c r="B455" s="12">
        <v>44774</v>
      </c>
      <c r="C455" s="11">
        <v>2022</v>
      </c>
      <c r="D455" s="11" t="s">
        <v>16384</v>
      </c>
      <c r="E455" s="11" t="s">
        <v>16385</v>
      </c>
      <c r="F455" s="11" t="s">
        <v>20155</v>
      </c>
      <c r="G455" s="11" t="s">
        <v>17261</v>
      </c>
      <c r="H455" s="12">
        <v>44783</v>
      </c>
      <c r="I455" s="11">
        <v>0</v>
      </c>
      <c r="J455" s="26"/>
      <c r="K455" s="11">
        <v>0</v>
      </c>
      <c r="L455" s="16"/>
      <c r="M455" s="11">
        <v>140000</v>
      </c>
      <c r="N455" s="295" t="s">
        <v>20323</v>
      </c>
      <c r="O455" s="11">
        <v>0</v>
      </c>
      <c r="P455" s="16"/>
      <c r="Q455" s="11">
        <v>140000</v>
      </c>
    </row>
    <row r="456" spans="1:17" s="1" customFormat="1" ht="11.45">
      <c r="A456" s="11" t="s">
        <v>18802</v>
      </c>
      <c r="B456" s="12">
        <v>44778</v>
      </c>
      <c r="C456" s="11">
        <v>2022</v>
      </c>
      <c r="D456" s="11" t="s">
        <v>16444</v>
      </c>
      <c r="E456" s="11" t="s">
        <v>16445</v>
      </c>
      <c r="F456" s="11" t="s">
        <v>20155</v>
      </c>
      <c r="G456" s="11" t="s">
        <v>18248</v>
      </c>
      <c r="H456" s="12">
        <v>44790</v>
      </c>
      <c r="I456" s="11">
        <v>19200</v>
      </c>
      <c r="J456" s="295" t="s">
        <v>20324</v>
      </c>
      <c r="K456" s="11">
        <v>0</v>
      </c>
      <c r="L456" s="16"/>
      <c r="M456" s="11">
        <v>0</v>
      </c>
      <c r="N456" s="26"/>
      <c r="O456" s="11">
        <v>0</v>
      </c>
      <c r="P456" s="16"/>
      <c r="Q456" s="11">
        <v>19200</v>
      </c>
    </row>
    <row r="457" spans="1:17" s="1" customFormat="1" ht="11.45">
      <c r="A457" s="11" t="s">
        <v>18803</v>
      </c>
      <c r="B457" s="12">
        <v>44782</v>
      </c>
      <c r="C457" s="11">
        <v>2022</v>
      </c>
      <c r="D457" s="11" t="s">
        <v>17017</v>
      </c>
      <c r="E457" s="11" t="s">
        <v>17018</v>
      </c>
      <c r="F457" s="11" t="s">
        <v>20155</v>
      </c>
      <c r="G457" s="11" t="s">
        <v>18064</v>
      </c>
      <c r="H457" s="12">
        <v>44788</v>
      </c>
      <c r="I457" s="11">
        <v>0</v>
      </c>
      <c r="J457" s="26"/>
      <c r="K457" s="11">
        <v>20000</v>
      </c>
      <c r="L457" s="16">
        <v>1</v>
      </c>
      <c r="M457" s="11">
        <v>0</v>
      </c>
      <c r="N457" s="26"/>
      <c r="O457" s="11">
        <v>0</v>
      </c>
      <c r="P457" s="16"/>
      <c r="Q457" s="11">
        <v>20000</v>
      </c>
    </row>
    <row r="458" spans="1:17" s="1" customFormat="1" ht="11.45">
      <c r="A458" s="11" t="s">
        <v>18804</v>
      </c>
      <c r="B458" s="12">
        <v>44782</v>
      </c>
      <c r="C458" s="11">
        <v>2022</v>
      </c>
      <c r="D458" s="11" t="s">
        <v>16880</v>
      </c>
      <c r="E458" s="11" t="s">
        <v>16881</v>
      </c>
      <c r="F458" s="11" t="s">
        <v>20155</v>
      </c>
      <c r="G458" s="11" t="s">
        <v>20329</v>
      </c>
      <c r="H458" s="12">
        <v>44795</v>
      </c>
      <c r="I458" s="11">
        <v>0</v>
      </c>
      <c r="J458" s="26"/>
      <c r="K458" s="11">
        <v>20800</v>
      </c>
      <c r="L458" s="16">
        <v>1</v>
      </c>
      <c r="M458" s="11">
        <v>0</v>
      </c>
      <c r="N458" s="26"/>
      <c r="O458" s="11">
        <v>0</v>
      </c>
      <c r="P458" s="16"/>
      <c r="Q458" s="11">
        <v>20800</v>
      </c>
    </row>
    <row r="459" spans="1:17" s="1" customFormat="1" ht="11.45">
      <c r="A459" s="11" t="s">
        <v>18805</v>
      </c>
      <c r="B459" s="12">
        <v>44784</v>
      </c>
      <c r="C459" s="11">
        <v>2022</v>
      </c>
      <c r="D459" s="11" t="s">
        <v>16444</v>
      </c>
      <c r="E459" s="11" t="s">
        <v>16445</v>
      </c>
      <c r="F459" s="11" t="s">
        <v>20155</v>
      </c>
      <c r="G459" s="11" t="s">
        <v>18248</v>
      </c>
      <c r="H459" s="12">
        <v>44797</v>
      </c>
      <c r="I459" s="11">
        <v>66024</v>
      </c>
      <c r="J459" s="295" t="s">
        <v>20324</v>
      </c>
      <c r="K459" s="11">
        <v>0</v>
      </c>
      <c r="L459" s="16"/>
      <c r="M459" s="11">
        <v>0</v>
      </c>
      <c r="N459" s="26"/>
      <c r="O459" s="11">
        <v>0</v>
      </c>
      <c r="P459" s="16"/>
      <c r="Q459" s="11">
        <v>66024</v>
      </c>
    </row>
    <row r="460" spans="1:17" s="1" customFormat="1" ht="11.45">
      <c r="A460" s="11" t="s">
        <v>18806</v>
      </c>
      <c r="B460" s="12">
        <v>44791</v>
      </c>
      <c r="C460" s="11">
        <v>2022</v>
      </c>
      <c r="D460" s="11" t="s">
        <v>17304</v>
      </c>
      <c r="E460" s="11" t="s">
        <v>17305</v>
      </c>
      <c r="F460" s="11" t="s">
        <v>20155</v>
      </c>
      <c r="G460" s="11" t="s">
        <v>17954</v>
      </c>
      <c r="H460" s="12">
        <v>44799</v>
      </c>
      <c r="I460" s="11">
        <v>0</v>
      </c>
      <c r="J460" s="26"/>
      <c r="K460" s="11">
        <v>21436.48</v>
      </c>
      <c r="L460" s="16">
        <v>1</v>
      </c>
      <c r="M460" s="11">
        <v>2400</v>
      </c>
      <c r="N460" s="26"/>
      <c r="O460" s="11">
        <v>2400</v>
      </c>
      <c r="P460" s="16">
        <v>1</v>
      </c>
      <c r="Q460" s="11">
        <v>26236.48</v>
      </c>
    </row>
    <row r="461" spans="1:17" s="1" customFormat="1" ht="11.45">
      <c r="A461" s="11" t="s">
        <v>18807</v>
      </c>
      <c r="B461" s="12">
        <v>44792</v>
      </c>
      <c r="C461" s="11">
        <v>2022</v>
      </c>
      <c r="D461" s="11" t="s">
        <v>17017</v>
      </c>
      <c r="E461" s="11" t="s">
        <v>17018</v>
      </c>
      <c r="F461" s="11" t="s">
        <v>20155</v>
      </c>
      <c r="G461" s="11" t="s">
        <v>18064</v>
      </c>
      <c r="H461" s="12">
        <v>44795</v>
      </c>
      <c r="I461" s="11">
        <v>0</v>
      </c>
      <c r="J461" s="26"/>
      <c r="K461" s="11">
        <v>20000</v>
      </c>
      <c r="L461" s="16">
        <v>1</v>
      </c>
      <c r="M461" s="11">
        <v>0</v>
      </c>
      <c r="N461" s="26"/>
      <c r="O461" s="11">
        <v>0</v>
      </c>
      <c r="P461" s="16"/>
      <c r="Q461" s="11">
        <v>20000</v>
      </c>
    </row>
    <row r="462" spans="1:17" s="1" customFormat="1" ht="11.45">
      <c r="A462" s="11" t="s">
        <v>18808</v>
      </c>
      <c r="B462" s="12">
        <v>44792</v>
      </c>
      <c r="C462" s="11">
        <v>2022</v>
      </c>
      <c r="D462" s="11" t="s">
        <v>17017</v>
      </c>
      <c r="E462" s="11" t="s">
        <v>17018</v>
      </c>
      <c r="F462" s="11" t="s">
        <v>20155</v>
      </c>
      <c r="G462" s="11" t="s">
        <v>18283</v>
      </c>
      <c r="H462" s="12">
        <v>44803</v>
      </c>
      <c r="I462" s="11">
        <v>0</v>
      </c>
      <c r="J462" s="26"/>
      <c r="K462" s="11">
        <v>41000</v>
      </c>
      <c r="L462" s="16">
        <v>1</v>
      </c>
      <c r="M462" s="11">
        <v>0</v>
      </c>
      <c r="N462" s="26"/>
      <c r="O462" s="11">
        <v>0</v>
      </c>
      <c r="P462" s="16"/>
      <c r="Q462" s="11">
        <v>41000</v>
      </c>
    </row>
    <row r="463" spans="1:17" s="1" customFormat="1" ht="11.45">
      <c r="A463" s="11" t="s">
        <v>18809</v>
      </c>
      <c r="B463" s="12">
        <v>44792</v>
      </c>
      <c r="C463" s="11">
        <v>2022</v>
      </c>
      <c r="D463" s="11" t="s">
        <v>16838</v>
      </c>
      <c r="E463" s="11" t="s">
        <v>16839</v>
      </c>
      <c r="F463" s="11" t="s">
        <v>20155</v>
      </c>
      <c r="G463" s="11" t="s">
        <v>17771</v>
      </c>
      <c r="H463" s="12">
        <v>44809</v>
      </c>
      <c r="I463" s="11">
        <v>3600</v>
      </c>
      <c r="J463" s="295" t="s">
        <v>20324</v>
      </c>
      <c r="K463" s="11">
        <v>22440</v>
      </c>
      <c r="L463" s="295" t="s">
        <v>20300</v>
      </c>
      <c r="M463" s="11">
        <v>56000</v>
      </c>
      <c r="N463" s="295" t="s">
        <v>20323</v>
      </c>
      <c r="O463" s="11">
        <v>0</v>
      </c>
      <c r="P463" s="16"/>
      <c r="Q463" s="11">
        <v>82040</v>
      </c>
    </row>
    <row r="464" spans="1:17" s="1" customFormat="1" ht="11.45">
      <c r="A464" s="11" t="s">
        <v>18810</v>
      </c>
      <c r="B464" s="12">
        <v>44795</v>
      </c>
      <c r="C464" s="11">
        <v>2022</v>
      </c>
      <c r="D464" s="11" t="s">
        <v>16444</v>
      </c>
      <c r="E464" s="11" t="s">
        <v>16445</v>
      </c>
      <c r="F464" s="11" t="s">
        <v>20155</v>
      </c>
      <c r="G464" s="11" t="s">
        <v>18248</v>
      </c>
      <c r="H464" s="12">
        <v>44804</v>
      </c>
      <c r="I464" s="11">
        <v>11040</v>
      </c>
      <c r="J464" s="295" t="s">
        <v>20324</v>
      </c>
      <c r="K464" s="11">
        <v>40200</v>
      </c>
      <c r="L464" s="295" t="s">
        <v>20316</v>
      </c>
      <c r="M464" s="11">
        <v>2400</v>
      </c>
      <c r="N464" s="295" t="s">
        <v>20323</v>
      </c>
      <c r="O464" s="11">
        <v>0</v>
      </c>
      <c r="P464" s="16"/>
      <c r="Q464" s="11">
        <v>53640</v>
      </c>
    </row>
    <row r="465" spans="1:17" s="1" customFormat="1" ht="11.45">
      <c r="A465" s="11" t="s">
        <v>18811</v>
      </c>
      <c r="B465" s="12">
        <v>44796</v>
      </c>
      <c r="C465" s="11">
        <v>2022</v>
      </c>
      <c r="D465" s="11" t="s">
        <v>17191</v>
      </c>
      <c r="E465" s="11" t="s">
        <v>17192</v>
      </c>
      <c r="F465" s="11" t="s">
        <v>20155</v>
      </c>
      <c r="G465" s="11" t="s">
        <v>20337</v>
      </c>
      <c r="H465" s="12">
        <v>44816</v>
      </c>
      <c r="I465" s="11">
        <v>0</v>
      </c>
      <c r="J465" s="26"/>
      <c r="K465" s="11">
        <v>12000</v>
      </c>
      <c r="L465" s="16">
        <v>1</v>
      </c>
      <c r="M465" s="11">
        <v>0</v>
      </c>
      <c r="N465" s="26"/>
      <c r="O465" s="11">
        <v>0</v>
      </c>
      <c r="P465" s="16"/>
      <c r="Q465" s="11">
        <v>12000</v>
      </c>
    </row>
    <row r="466" spans="1:17" s="1" customFormat="1" ht="11.45">
      <c r="A466" s="11" t="s">
        <v>18812</v>
      </c>
      <c r="B466" s="12">
        <v>44796</v>
      </c>
      <c r="C466" s="11">
        <v>2022</v>
      </c>
      <c r="D466" s="11" t="s">
        <v>16823</v>
      </c>
      <c r="E466" s="11" t="s">
        <v>16824</v>
      </c>
      <c r="F466" s="11" t="s">
        <v>20155</v>
      </c>
      <c r="G466" s="11" t="s">
        <v>17965</v>
      </c>
      <c r="H466" s="12">
        <v>44800</v>
      </c>
      <c r="I466" s="11">
        <v>30600</v>
      </c>
      <c r="J466" s="295" t="s">
        <v>20324</v>
      </c>
      <c r="K466" s="11">
        <v>9936</v>
      </c>
      <c r="L466" s="295" t="s">
        <v>20316</v>
      </c>
      <c r="M466" s="11">
        <v>0</v>
      </c>
      <c r="N466" s="26"/>
      <c r="O466" s="11">
        <v>0</v>
      </c>
      <c r="P466" s="16"/>
      <c r="Q466" s="11">
        <v>40536</v>
      </c>
    </row>
    <row r="467" spans="1:17" s="1" customFormat="1" ht="11.45">
      <c r="A467" s="11" t="s">
        <v>18813</v>
      </c>
      <c r="B467" s="12">
        <v>44796</v>
      </c>
      <c r="C467" s="11">
        <v>2022</v>
      </c>
      <c r="D467" s="11" t="s">
        <v>16384</v>
      </c>
      <c r="E467" s="11" t="s">
        <v>16385</v>
      </c>
      <c r="F467" s="11" t="s">
        <v>20155</v>
      </c>
      <c r="G467" s="11" t="s">
        <v>17261</v>
      </c>
      <c r="H467" s="12">
        <v>44802</v>
      </c>
      <c r="I467" s="11">
        <v>0</v>
      </c>
      <c r="J467" s="26"/>
      <c r="K467" s="11">
        <v>0</v>
      </c>
      <c r="L467" s="16"/>
      <c r="M467" s="11">
        <v>140000</v>
      </c>
      <c r="N467" s="295" t="s">
        <v>20323</v>
      </c>
      <c r="O467" s="11">
        <v>0</v>
      </c>
      <c r="P467" s="16"/>
      <c r="Q467" s="11">
        <v>140000</v>
      </c>
    </row>
    <row r="468" spans="1:17" s="1" customFormat="1" ht="11.45">
      <c r="A468" s="11" t="s">
        <v>18814</v>
      </c>
      <c r="B468" s="12">
        <v>44796</v>
      </c>
      <c r="C468" s="11">
        <v>2022</v>
      </c>
      <c r="D468" s="11" t="s">
        <v>16384</v>
      </c>
      <c r="E468" s="11" t="s">
        <v>16385</v>
      </c>
      <c r="F468" s="11" t="s">
        <v>20155</v>
      </c>
      <c r="G468" s="11" t="s">
        <v>17771</v>
      </c>
      <c r="H468" s="12">
        <v>44834</v>
      </c>
      <c r="I468" s="11">
        <v>20750</v>
      </c>
      <c r="J468" s="295" t="s">
        <v>20324</v>
      </c>
      <c r="K468" s="11">
        <v>0</v>
      </c>
      <c r="L468" s="16"/>
      <c r="M468" s="11">
        <v>0</v>
      </c>
      <c r="N468" s="26"/>
      <c r="O468" s="11">
        <v>0</v>
      </c>
      <c r="P468" s="16"/>
      <c r="Q468" s="11">
        <v>20750</v>
      </c>
    </row>
    <row r="469" spans="1:17" s="1" customFormat="1" ht="11.45">
      <c r="A469" s="11" t="s">
        <v>18815</v>
      </c>
      <c r="B469" s="12">
        <v>44796</v>
      </c>
      <c r="C469" s="11">
        <v>2022</v>
      </c>
      <c r="D469" s="11" t="s">
        <v>17332</v>
      </c>
      <c r="E469" s="11" t="s">
        <v>17333</v>
      </c>
      <c r="F469" s="11" t="s">
        <v>20155</v>
      </c>
      <c r="G469" s="11" t="s">
        <v>17939</v>
      </c>
      <c r="H469" s="12">
        <v>44851</v>
      </c>
      <c r="I469" s="11">
        <v>0</v>
      </c>
      <c r="J469" s="26"/>
      <c r="K469" s="11">
        <v>120067</v>
      </c>
      <c r="L469" s="353" t="s">
        <v>20323</v>
      </c>
      <c r="M469" s="11">
        <v>0</v>
      </c>
      <c r="N469" s="26"/>
      <c r="O469" s="11">
        <v>0</v>
      </c>
      <c r="P469" s="16"/>
      <c r="Q469" s="11">
        <v>120067</v>
      </c>
    </row>
    <row r="470" spans="1:17" s="1" customFormat="1" ht="11.45">
      <c r="A470" s="11" t="s">
        <v>18816</v>
      </c>
      <c r="B470" s="12">
        <v>44796</v>
      </c>
      <c r="C470" s="11">
        <v>2022</v>
      </c>
      <c r="D470" s="11" t="s">
        <v>16783</v>
      </c>
      <c r="E470" s="11" t="s">
        <v>16784</v>
      </c>
      <c r="F470" s="11" t="s">
        <v>20155</v>
      </c>
      <c r="G470" s="11" t="s">
        <v>17939</v>
      </c>
      <c r="H470" s="12">
        <v>44803</v>
      </c>
      <c r="I470" s="11">
        <v>0</v>
      </c>
      <c r="J470" s="26"/>
      <c r="K470" s="11">
        <v>0</v>
      </c>
      <c r="L470" s="16"/>
      <c r="M470" s="11">
        <v>0</v>
      </c>
      <c r="N470" s="26"/>
      <c r="O470" s="11">
        <v>27000</v>
      </c>
      <c r="P470" s="16">
        <v>1</v>
      </c>
      <c r="Q470" s="11">
        <v>27000</v>
      </c>
    </row>
    <row r="471" spans="1:17" s="1" customFormat="1" ht="11.45">
      <c r="A471" s="11" t="s">
        <v>18817</v>
      </c>
      <c r="B471" s="12">
        <v>44805</v>
      </c>
      <c r="C471" s="11">
        <v>2022</v>
      </c>
      <c r="D471" s="11" t="s">
        <v>17017</v>
      </c>
      <c r="E471" s="11" t="s">
        <v>17018</v>
      </c>
      <c r="F471" s="11" t="s">
        <v>20155</v>
      </c>
      <c r="G471" s="11" t="s">
        <v>20307</v>
      </c>
      <c r="H471" s="12">
        <v>44823</v>
      </c>
      <c r="I471" s="11">
        <v>41000</v>
      </c>
      <c r="J471" s="16">
        <v>1</v>
      </c>
      <c r="K471" s="11">
        <v>20500</v>
      </c>
      <c r="L471" s="16" t="s">
        <v>20338</v>
      </c>
      <c r="M471" s="11">
        <v>0</v>
      </c>
      <c r="N471" s="26"/>
      <c r="O471" s="11">
        <v>0</v>
      </c>
      <c r="P471" s="16"/>
      <c r="Q471" s="11">
        <v>61500</v>
      </c>
    </row>
    <row r="472" spans="1:17" s="1" customFormat="1" ht="11.45">
      <c r="A472" s="11" t="s">
        <v>18818</v>
      </c>
      <c r="B472" s="12">
        <v>44809</v>
      </c>
      <c r="C472" s="11">
        <v>2022</v>
      </c>
      <c r="D472" s="11" t="s">
        <v>16444</v>
      </c>
      <c r="E472" s="11" t="s">
        <v>16445</v>
      </c>
      <c r="F472" s="11" t="s">
        <v>20155</v>
      </c>
      <c r="G472" s="11" t="s">
        <v>18248</v>
      </c>
      <c r="H472" s="12">
        <v>44816</v>
      </c>
      <c r="I472" s="11">
        <v>13440</v>
      </c>
      <c r="J472" s="295" t="s">
        <v>20324</v>
      </c>
      <c r="K472" s="11">
        <v>41400</v>
      </c>
      <c r="L472" s="295" t="s">
        <v>20316</v>
      </c>
      <c r="M472" s="11">
        <v>0</v>
      </c>
      <c r="N472" s="26"/>
      <c r="O472" s="11">
        <v>0</v>
      </c>
      <c r="P472" s="16"/>
      <c r="Q472" s="11">
        <v>54840</v>
      </c>
    </row>
    <row r="473" spans="1:17" s="1" customFormat="1" ht="11.45">
      <c r="A473" s="11" t="s">
        <v>18819</v>
      </c>
      <c r="B473" s="12">
        <v>44812</v>
      </c>
      <c r="C473" s="11">
        <v>2022</v>
      </c>
      <c r="D473" s="11" t="s">
        <v>17017</v>
      </c>
      <c r="E473" s="11" t="s">
        <v>17018</v>
      </c>
      <c r="F473" s="11" t="s">
        <v>20155</v>
      </c>
      <c r="G473" s="11" t="s">
        <v>18064</v>
      </c>
      <c r="H473" s="12">
        <v>44818</v>
      </c>
      <c r="I473" s="11">
        <v>0</v>
      </c>
      <c r="J473" s="26"/>
      <c r="K473" s="11">
        <v>20000</v>
      </c>
      <c r="L473" s="16">
        <v>1</v>
      </c>
      <c r="M473" s="11">
        <v>0</v>
      </c>
      <c r="N473" s="26"/>
      <c r="O473" s="11">
        <v>0</v>
      </c>
      <c r="P473" s="16"/>
      <c r="Q473" s="11">
        <v>20000</v>
      </c>
    </row>
    <row r="474" spans="1:17" s="1" customFormat="1" ht="11.45">
      <c r="A474" s="11" t="s">
        <v>18820</v>
      </c>
      <c r="B474" s="12">
        <v>44816</v>
      </c>
      <c r="C474" s="11">
        <v>2022</v>
      </c>
      <c r="D474" s="11" t="s">
        <v>16957</v>
      </c>
      <c r="E474" s="11" t="s">
        <v>16958</v>
      </c>
      <c r="F474" s="11" t="s">
        <v>20155</v>
      </c>
      <c r="G474" s="11" t="s">
        <v>20161</v>
      </c>
      <c r="H474" s="12">
        <v>44823</v>
      </c>
      <c r="I474" s="11">
        <v>20500</v>
      </c>
      <c r="J474" s="16">
        <v>1</v>
      </c>
      <c r="K474" s="11">
        <v>0</v>
      </c>
      <c r="L474" s="16"/>
      <c r="M474" s="11">
        <v>0</v>
      </c>
      <c r="N474" s="26"/>
      <c r="O474" s="11">
        <v>0</v>
      </c>
      <c r="P474" s="16"/>
      <c r="Q474" s="11">
        <v>20500</v>
      </c>
    </row>
    <row r="475" spans="1:17" s="1" customFormat="1" ht="11.45">
      <c r="A475" s="11" t="s">
        <v>18821</v>
      </c>
      <c r="B475" s="12">
        <v>44816</v>
      </c>
      <c r="C475" s="11">
        <v>2022</v>
      </c>
      <c r="D475" s="11" t="s">
        <v>16838</v>
      </c>
      <c r="E475" s="11" t="s">
        <v>16839</v>
      </c>
      <c r="F475" s="11" t="s">
        <v>20155</v>
      </c>
      <c r="G475" s="11" t="s">
        <v>20321</v>
      </c>
      <c r="H475" s="12">
        <v>44827</v>
      </c>
      <c r="I475" s="11">
        <v>0</v>
      </c>
      <c r="J475" s="315"/>
      <c r="K475" s="11">
        <v>352128</v>
      </c>
      <c r="L475" s="316" t="s">
        <v>20323</v>
      </c>
      <c r="M475" s="11">
        <v>0</v>
      </c>
      <c r="N475" s="315"/>
      <c r="O475" s="11">
        <v>0</v>
      </c>
      <c r="P475" s="25"/>
      <c r="Q475" s="11">
        <v>352128</v>
      </c>
    </row>
    <row r="476" spans="1:17" s="1" customFormat="1" ht="11.45">
      <c r="A476" s="11" t="s">
        <v>18822</v>
      </c>
      <c r="B476" s="12">
        <v>44816</v>
      </c>
      <c r="C476" s="11">
        <v>2022</v>
      </c>
      <c r="D476" s="11" t="s">
        <v>16838</v>
      </c>
      <c r="E476" s="11" t="s">
        <v>16839</v>
      </c>
      <c r="F476" s="11" t="s">
        <v>20155</v>
      </c>
      <c r="G476" s="11" t="s">
        <v>18248</v>
      </c>
      <c r="H476" s="12">
        <v>44824</v>
      </c>
      <c r="I476" s="11">
        <v>57600</v>
      </c>
      <c r="J476" s="316" t="s">
        <v>20324</v>
      </c>
      <c r="K476" s="11">
        <v>0</v>
      </c>
      <c r="L476" s="25"/>
      <c r="M476" s="11">
        <v>0</v>
      </c>
      <c r="N476" s="315"/>
      <c r="O476" s="11">
        <v>0</v>
      </c>
      <c r="P476" s="25"/>
      <c r="Q476" s="11">
        <v>57600</v>
      </c>
    </row>
    <row r="477" spans="1:17" s="1" customFormat="1" ht="11.45">
      <c r="A477" s="11" t="s">
        <v>18823</v>
      </c>
      <c r="B477" s="12">
        <v>44816</v>
      </c>
      <c r="C477" s="11">
        <v>2022</v>
      </c>
      <c r="D477" s="11" t="s">
        <v>17332</v>
      </c>
      <c r="E477" s="11" t="s">
        <v>17333</v>
      </c>
      <c r="F477" s="11" t="s">
        <v>20155</v>
      </c>
      <c r="G477" s="11" t="s">
        <v>17939</v>
      </c>
      <c r="H477" s="12">
        <v>44834</v>
      </c>
      <c r="I477" s="11">
        <v>150000</v>
      </c>
      <c r="J477" s="316" t="s">
        <v>20324</v>
      </c>
      <c r="K477" s="11">
        <v>0</v>
      </c>
      <c r="L477" s="25"/>
      <c r="M477" s="11">
        <v>0</v>
      </c>
      <c r="N477" s="315"/>
      <c r="O477" s="11">
        <v>0</v>
      </c>
      <c r="P477" s="25"/>
      <c r="Q477" s="11">
        <v>150000</v>
      </c>
    </row>
    <row r="478" spans="1:17" s="1" customFormat="1" ht="11.45">
      <c r="A478" s="11" t="s">
        <v>18824</v>
      </c>
      <c r="B478" s="12">
        <v>44819</v>
      </c>
      <c r="C478" s="11">
        <v>2022</v>
      </c>
      <c r="D478" s="11" t="s">
        <v>16957</v>
      </c>
      <c r="E478" s="11" t="s">
        <v>16958</v>
      </c>
      <c r="F478" s="11" t="s">
        <v>20155</v>
      </c>
      <c r="G478" s="11" t="s">
        <v>20161</v>
      </c>
      <c r="H478" s="12">
        <v>44827</v>
      </c>
      <c r="I478" s="11">
        <v>20500</v>
      </c>
      <c r="J478" s="25">
        <v>1</v>
      </c>
      <c r="K478" s="11">
        <v>0</v>
      </c>
      <c r="L478" s="25"/>
      <c r="M478" s="11">
        <v>0</v>
      </c>
      <c r="N478" s="315"/>
      <c r="O478" s="11">
        <v>0</v>
      </c>
      <c r="P478" s="25"/>
      <c r="Q478" s="11">
        <v>20500</v>
      </c>
    </row>
    <row r="479" spans="1:17" s="1" customFormat="1" ht="11.45">
      <c r="A479" s="11" t="s">
        <v>18825</v>
      </c>
      <c r="B479" s="12">
        <v>44826</v>
      </c>
      <c r="C479" s="11">
        <v>2022</v>
      </c>
      <c r="D479" s="11" t="s">
        <v>17017</v>
      </c>
      <c r="E479" s="11" t="s">
        <v>17018</v>
      </c>
      <c r="F479" s="11" t="s">
        <v>20155</v>
      </c>
      <c r="G479" s="11" t="s">
        <v>18064</v>
      </c>
      <c r="H479" s="12">
        <v>44832</v>
      </c>
      <c r="I479" s="11">
        <v>0</v>
      </c>
      <c r="J479" s="315"/>
      <c r="K479" s="11">
        <v>20000</v>
      </c>
      <c r="L479" s="25">
        <v>1</v>
      </c>
      <c r="M479" s="11">
        <v>0</v>
      </c>
      <c r="N479" s="315"/>
      <c r="O479" s="11">
        <v>0</v>
      </c>
      <c r="P479" s="25"/>
      <c r="Q479" s="11">
        <v>20000</v>
      </c>
    </row>
    <row r="480" spans="1:17" s="1" customFormat="1" ht="11.45">
      <c r="A480" s="11" t="s">
        <v>18826</v>
      </c>
      <c r="B480" s="12">
        <v>44826</v>
      </c>
      <c r="C480" s="11">
        <v>2022</v>
      </c>
      <c r="D480" s="11" t="s">
        <v>17332</v>
      </c>
      <c r="E480" s="11" t="s">
        <v>17333</v>
      </c>
      <c r="F480" s="11" t="s">
        <v>20155</v>
      </c>
      <c r="G480" s="11" t="s">
        <v>18248</v>
      </c>
      <c r="H480" s="12">
        <v>44833</v>
      </c>
      <c r="I480" s="11">
        <v>27960</v>
      </c>
      <c r="J480" s="316" t="s">
        <v>20324</v>
      </c>
      <c r="K480" s="11">
        <v>0</v>
      </c>
      <c r="L480" s="25"/>
      <c r="M480" s="11">
        <v>0</v>
      </c>
      <c r="N480" s="315"/>
      <c r="O480" s="11">
        <v>0</v>
      </c>
      <c r="P480" s="25"/>
      <c r="Q480" s="11">
        <v>27960</v>
      </c>
    </row>
    <row r="481" spans="1:17" s="1" customFormat="1" ht="11.45">
      <c r="A481" s="11" t="s">
        <v>18827</v>
      </c>
      <c r="B481" s="12">
        <v>44826</v>
      </c>
      <c r="C481" s="11">
        <v>2022</v>
      </c>
      <c r="D481" s="11" t="s">
        <v>16783</v>
      </c>
      <c r="E481" s="11" t="s">
        <v>16784</v>
      </c>
      <c r="F481" s="11" t="s">
        <v>20155</v>
      </c>
      <c r="G481" s="11" t="s">
        <v>17939</v>
      </c>
      <c r="H481" s="12">
        <v>44834</v>
      </c>
      <c r="I481" s="11">
        <v>10512</v>
      </c>
      <c r="J481" s="316" t="s">
        <v>20324</v>
      </c>
      <c r="K481" s="11">
        <v>195226</v>
      </c>
      <c r="L481" s="316" t="s">
        <v>20324</v>
      </c>
      <c r="M481" s="11">
        <v>96662</v>
      </c>
      <c r="N481" s="316" t="s">
        <v>20324</v>
      </c>
      <c r="O481" s="11">
        <v>0</v>
      </c>
      <c r="P481" s="25"/>
      <c r="Q481" s="11">
        <v>302400</v>
      </c>
    </row>
    <row r="482" spans="1:17" s="1" customFormat="1" ht="11.45">
      <c r="A482" s="11" t="s">
        <v>18828</v>
      </c>
      <c r="B482" s="12">
        <v>44830</v>
      </c>
      <c r="C482" s="11">
        <v>2022</v>
      </c>
      <c r="D482" s="11" t="s">
        <v>16560</v>
      </c>
      <c r="E482" s="11" t="s">
        <v>16561</v>
      </c>
      <c r="F482" s="11" t="s">
        <v>20155</v>
      </c>
      <c r="G482" s="11" t="s">
        <v>17801</v>
      </c>
      <c r="H482" s="12">
        <v>44832</v>
      </c>
      <c r="I482" s="11">
        <v>0</v>
      </c>
      <c r="J482" s="315"/>
      <c r="K482" s="11">
        <v>0</v>
      </c>
      <c r="L482" s="25"/>
      <c r="M482" s="11">
        <v>108000</v>
      </c>
      <c r="N482" s="316" t="s">
        <v>20323</v>
      </c>
      <c r="O482" s="11">
        <v>0</v>
      </c>
      <c r="P482" s="25"/>
      <c r="Q482" s="11">
        <v>108000</v>
      </c>
    </row>
    <row r="483" spans="1:17" s="1" customFormat="1" ht="11.45">
      <c r="A483" s="11" t="s">
        <v>18829</v>
      </c>
      <c r="B483" s="12">
        <v>44830</v>
      </c>
      <c r="C483" s="11">
        <v>2022</v>
      </c>
      <c r="D483" s="11" t="s">
        <v>16560</v>
      </c>
      <c r="E483" s="11" t="s">
        <v>16561</v>
      </c>
      <c r="F483" s="11" t="s">
        <v>20155</v>
      </c>
      <c r="G483" s="11" t="s">
        <v>17801</v>
      </c>
      <c r="H483" s="12">
        <v>44833</v>
      </c>
      <c r="I483" s="11">
        <v>0</v>
      </c>
      <c r="J483" s="315"/>
      <c r="K483" s="11">
        <v>0</v>
      </c>
      <c r="L483" s="25"/>
      <c r="M483" s="11">
        <v>108000</v>
      </c>
      <c r="N483" s="316" t="s">
        <v>20323</v>
      </c>
      <c r="O483" s="11">
        <v>0</v>
      </c>
      <c r="P483" s="25"/>
      <c r="Q483" s="11">
        <v>108000</v>
      </c>
    </row>
    <row r="484" spans="1:17" s="1" customFormat="1" ht="11.45">
      <c r="A484" s="11" t="s">
        <v>18830</v>
      </c>
      <c r="B484" s="12">
        <v>44830</v>
      </c>
      <c r="C484" s="11">
        <v>2022</v>
      </c>
      <c r="D484" s="11" t="s">
        <v>16560</v>
      </c>
      <c r="E484" s="11" t="s">
        <v>16561</v>
      </c>
      <c r="F484" s="11" t="s">
        <v>20155</v>
      </c>
      <c r="G484" s="11" t="s">
        <v>17801</v>
      </c>
      <c r="H484" s="12">
        <v>44834</v>
      </c>
      <c r="I484" s="11">
        <v>0</v>
      </c>
      <c r="J484" s="315"/>
      <c r="K484" s="11">
        <v>0</v>
      </c>
      <c r="L484" s="25"/>
      <c r="M484" s="11">
        <v>108000</v>
      </c>
      <c r="N484" s="316" t="s">
        <v>20323</v>
      </c>
      <c r="O484" s="11">
        <v>0</v>
      </c>
      <c r="P484" s="25"/>
      <c r="Q484" s="11">
        <v>108000</v>
      </c>
    </row>
    <row r="485" spans="1:17" s="1" customFormat="1" ht="11.45">
      <c r="A485" s="11" t="s">
        <v>18831</v>
      </c>
      <c r="B485" s="12">
        <v>44830</v>
      </c>
      <c r="C485" s="11">
        <v>2022</v>
      </c>
      <c r="D485" s="11" t="s">
        <v>17226</v>
      </c>
      <c r="E485" s="11" t="s">
        <v>17227</v>
      </c>
      <c r="F485" s="11" t="s">
        <v>20155</v>
      </c>
      <c r="G485" s="11" t="s">
        <v>17689</v>
      </c>
      <c r="H485" s="12">
        <v>44838</v>
      </c>
      <c r="I485" s="11">
        <v>0</v>
      </c>
      <c r="J485" s="315"/>
      <c r="K485" s="11">
        <v>0</v>
      </c>
      <c r="L485" s="25"/>
      <c r="M485" s="11">
        <v>55987</v>
      </c>
      <c r="N485" s="25">
        <v>1</v>
      </c>
      <c r="O485" s="11">
        <v>0</v>
      </c>
      <c r="P485" s="25"/>
      <c r="Q485" s="11">
        <v>55987</v>
      </c>
    </row>
    <row r="486" spans="1:17" s="1" customFormat="1" ht="11.45">
      <c r="A486" s="11" t="s">
        <v>18832</v>
      </c>
      <c r="B486" s="12">
        <v>44834</v>
      </c>
      <c r="C486" s="11">
        <v>2022</v>
      </c>
      <c r="D486" s="11" t="s">
        <v>17334</v>
      </c>
      <c r="E486" s="11" t="s">
        <v>17335</v>
      </c>
      <c r="F486" s="11" t="s">
        <v>20155</v>
      </c>
      <c r="G486" s="11" t="s">
        <v>16394</v>
      </c>
      <c r="H486" s="12">
        <v>44879</v>
      </c>
      <c r="I486" s="11">
        <v>3840</v>
      </c>
      <c r="J486" s="25">
        <v>1</v>
      </c>
      <c r="K486" s="11">
        <v>7704</v>
      </c>
      <c r="L486" s="25">
        <v>1</v>
      </c>
      <c r="M486" s="11">
        <v>7500</v>
      </c>
      <c r="N486" s="25">
        <v>1</v>
      </c>
      <c r="O486" s="11">
        <v>1680</v>
      </c>
      <c r="P486" s="25">
        <v>1</v>
      </c>
      <c r="Q486" s="11">
        <v>20724</v>
      </c>
    </row>
    <row r="487" spans="1:17" s="1" customFormat="1" ht="11.45">
      <c r="A487" s="11" t="s">
        <v>18834</v>
      </c>
      <c r="B487" s="12">
        <v>44839</v>
      </c>
      <c r="C487" s="11">
        <v>2022</v>
      </c>
      <c r="D487" s="11" t="s">
        <v>17336</v>
      </c>
      <c r="E487" s="11" t="s">
        <v>17337</v>
      </c>
      <c r="F487" s="11" t="s">
        <v>20155</v>
      </c>
      <c r="G487" s="11" t="s">
        <v>17939</v>
      </c>
      <c r="H487" s="12">
        <v>44839</v>
      </c>
      <c r="I487" s="11">
        <v>35004</v>
      </c>
      <c r="J487" s="316" t="s">
        <v>20324</v>
      </c>
      <c r="K487" s="11">
        <v>0</v>
      </c>
      <c r="L487" s="25"/>
      <c r="M487" s="11">
        <v>0</v>
      </c>
      <c r="N487" s="315"/>
      <c r="O487" s="11">
        <v>0</v>
      </c>
      <c r="P487" s="25"/>
      <c r="Q487" s="11">
        <v>35004</v>
      </c>
    </row>
    <row r="488" spans="1:17" s="1" customFormat="1" ht="11.45">
      <c r="A488" s="11" t="s">
        <v>18836</v>
      </c>
      <c r="B488" s="12">
        <v>44840</v>
      </c>
      <c r="C488" s="11">
        <v>2022</v>
      </c>
      <c r="D488" s="11" t="s">
        <v>17329</v>
      </c>
      <c r="E488" s="11" t="s">
        <v>17330</v>
      </c>
      <c r="F488" s="11" t="s">
        <v>20155</v>
      </c>
      <c r="G488" s="11" t="s">
        <v>20335</v>
      </c>
      <c r="H488" s="12">
        <v>44847</v>
      </c>
      <c r="I488" s="11">
        <v>0</v>
      </c>
      <c r="J488" s="315"/>
      <c r="K488" s="11">
        <v>63360</v>
      </c>
      <c r="L488" s="353" t="s">
        <v>20300</v>
      </c>
      <c r="M488" s="11">
        <v>0</v>
      </c>
      <c r="N488" s="315"/>
      <c r="O488" s="11">
        <v>0</v>
      </c>
      <c r="P488" s="25"/>
      <c r="Q488" s="11">
        <v>63360</v>
      </c>
    </row>
    <row r="489" spans="1:17" s="1" customFormat="1" ht="11.45">
      <c r="A489" s="11" t="s">
        <v>18837</v>
      </c>
      <c r="B489" s="12">
        <v>44841</v>
      </c>
      <c r="C489" s="11">
        <v>2022</v>
      </c>
      <c r="D489" s="11" t="s">
        <v>16838</v>
      </c>
      <c r="E489" s="11" t="s">
        <v>16839</v>
      </c>
      <c r="F489" s="11" t="s">
        <v>20155</v>
      </c>
      <c r="G489" s="11" t="s">
        <v>20321</v>
      </c>
      <c r="H489" s="12">
        <v>44847</v>
      </c>
      <c r="I489" s="11">
        <v>0</v>
      </c>
      <c r="J489" s="315"/>
      <c r="K489" s="11">
        <v>308112</v>
      </c>
      <c r="L489" s="316" t="s">
        <v>20323</v>
      </c>
      <c r="M489" s="11">
        <v>0</v>
      </c>
      <c r="N489" s="315"/>
      <c r="O489" s="11">
        <v>0</v>
      </c>
      <c r="P489" s="25"/>
      <c r="Q489" s="11">
        <v>308112</v>
      </c>
    </row>
    <row r="490" spans="1:17" s="1" customFormat="1" ht="11.45">
      <c r="A490" s="11" t="s">
        <v>18838</v>
      </c>
      <c r="B490" s="12">
        <v>44844</v>
      </c>
      <c r="C490" s="11">
        <v>2022</v>
      </c>
      <c r="D490" s="11" t="s">
        <v>16838</v>
      </c>
      <c r="E490" s="11" t="s">
        <v>16839</v>
      </c>
      <c r="F490" s="11" t="s">
        <v>20155</v>
      </c>
      <c r="G490" s="11" t="s">
        <v>17949</v>
      </c>
      <c r="H490" s="12">
        <v>44867</v>
      </c>
      <c r="I490" s="11">
        <v>174840</v>
      </c>
      <c r="J490" s="295" t="s">
        <v>20324</v>
      </c>
      <c r="K490" s="11">
        <v>0</v>
      </c>
      <c r="L490" s="316"/>
      <c r="M490" s="11">
        <v>0</v>
      </c>
      <c r="N490" s="315"/>
      <c r="O490" s="11">
        <v>0</v>
      </c>
      <c r="P490" s="25"/>
      <c r="Q490" s="11">
        <v>174840</v>
      </c>
    </row>
    <row r="491" spans="1:17" s="1" customFormat="1" ht="11.45">
      <c r="A491" s="11" t="s">
        <v>18839</v>
      </c>
      <c r="B491" s="12">
        <v>44844</v>
      </c>
      <c r="C491" s="11">
        <v>2022</v>
      </c>
      <c r="D491" s="11" t="s">
        <v>16384</v>
      </c>
      <c r="E491" s="11" t="s">
        <v>16385</v>
      </c>
      <c r="F491" s="11" t="s">
        <v>20155</v>
      </c>
      <c r="G491" s="11" t="s">
        <v>18094</v>
      </c>
      <c r="H491" s="12">
        <v>44853</v>
      </c>
      <c r="I491" s="11">
        <v>19200</v>
      </c>
      <c r="J491" s="295" t="s">
        <v>20324</v>
      </c>
      <c r="K491" s="11">
        <v>0</v>
      </c>
      <c r="L491" s="316"/>
      <c r="M491" s="11">
        <v>0</v>
      </c>
      <c r="N491" s="315"/>
      <c r="O491" s="11">
        <v>0</v>
      </c>
      <c r="P491" s="25"/>
      <c r="Q491" s="11">
        <v>19200</v>
      </c>
    </row>
    <row r="492" spans="1:17" s="1" customFormat="1" ht="11.45">
      <c r="A492" s="11" t="s">
        <v>18840</v>
      </c>
      <c r="B492" s="12">
        <v>44845</v>
      </c>
      <c r="C492" s="11">
        <v>2022</v>
      </c>
      <c r="D492" s="11" t="s">
        <v>16444</v>
      </c>
      <c r="E492" s="11" t="s">
        <v>16445</v>
      </c>
      <c r="F492" s="11" t="s">
        <v>20155</v>
      </c>
      <c r="G492" s="11" t="s">
        <v>17693</v>
      </c>
      <c r="H492" s="12">
        <v>44851</v>
      </c>
      <c r="I492" s="11">
        <v>21600</v>
      </c>
      <c r="J492" s="295" t="s">
        <v>20324</v>
      </c>
      <c r="K492" s="11">
        <v>0</v>
      </c>
      <c r="L492" s="316"/>
      <c r="M492" s="11">
        <v>0</v>
      </c>
      <c r="N492" s="315"/>
      <c r="O492" s="11">
        <v>0</v>
      </c>
      <c r="P492" s="25"/>
      <c r="Q492" s="11">
        <v>21600</v>
      </c>
    </row>
    <row r="493" spans="1:17" s="1" customFormat="1" ht="11.45">
      <c r="A493" s="11" t="s">
        <v>18841</v>
      </c>
      <c r="B493" s="12">
        <v>44845</v>
      </c>
      <c r="C493" s="11">
        <v>2022</v>
      </c>
      <c r="D493" s="11" t="s">
        <v>16957</v>
      </c>
      <c r="E493" s="11" t="s">
        <v>16958</v>
      </c>
      <c r="F493" s="11" t="s">
        <v>20155</v>
      </c>
      <c r="G493" s="11" t="s">
        <v>20161</v>
      </c>
      <c r="H493" s="12">
        <v>44853</v>
      </c>
      <c r="I493" s="11">
        <v>20150</v>
      </c>
      <c r="J493" s="25">
        <v>1</v>
      </c>
      <c r="K493" s="11">
        <v>0</v>
      </c>
      <c r="L493" s="316"/>
      <c r="M493" s="11">
        <v>0</v>
      </c>
      <c r="N493" s="315"/>
      <c r="O493" s="11">
        <v>0</v>
      </c>
      <c r="P493" s="25"/>
      <c r="Q493" s="11">
        <v>20150</v>
      </c>
    </row>
    <row r="494" spans="1:17" s="1" customFormat="1" ht="11.45">
      <c r="A494" s="11" t="s">
        <v>18842</v>
      </c>
      <c r="B494" s="12">
        <v>44845</v>
      </c>
      <c r="C494" s="11">
        <v>2022</v>
      </c>
      <c r="D494" s="11" t="s">
        <v>17209</v>
      </c>
      <c r="E494" s="11" t="s">
        <v>17210</v>
      </c>
      <c r="F494" s="11" t="s">
        <v>20155</v>
      </c>
      <c r="G494" s="11" t="s">
        <v>20168</v>
      </c>
      <c r="H494" s="12">
        <v>44859</v>
      </c>
      <c r="I494" s="11">
        <v>0</v>
      </c>
      <c r="J494" s="315"/>
      <c r="K494" s="11">
        <v>6540</v>
      </c>
      <c r="L494" s="16">
        <v>1</v>
      </c>
      <c r="M494" s="11">
        <v>2400</v>
      </c>
      <c r="N494" s="16">
        <v>1</v>
      </c>
      <c r="O494" s="11">
        <v>500</v>
      </c>
      <c r="P494" s="16">
        <v>1</v>
      </c>
      <c r="Q494" s="11">
        <v>9440</v>
      </c>
    </row>
    <row r="495" spans="1:17" s="1" customFormat="1" ht="11.45">
      <c r="A495" s="11" t="s">
        <v>18843</v>
      </c>
      <c r="B495" s="12">
        <v>44846</v>
      </c>
      <c r="C495" s="11">
        <v>2022</v>
      </c>
      <c r="D495" s="11" t="s">
        <v>17226</v>
      </c>
      <c r="E495" s="11" t="s">
        <v>17227</v>
      </c>
      <c r="F495" s="11" t="s">
        <v>20155</v>
      </c>
      <c r="G495" s="11" t="s">
        <v>17689</v>
      </c>
      <c r="H495" s="12">
        <v>44858</v>
      </c>
      <c r="I495" s="11">
        <v>38400</v>
      </c>
      <c r="J495" s="16">
        <v>1</v>
      </c>
      <c r="K495" s="11">
        <v>0</v>
      </c>
      <c r="L495" s="316"/>
      <c r="M495" s="11">
        <v>0</v>
      </c>
      <c r="N495" s="315"/>
      <c r="O495" s="11">
        <v>0</v>
      </c>
      <c r="P495" s="25"/>
      <c r="Q495" s="11">
        <v>38400</v>
      </c>
    </row>
    <row r="496" spans="1:17" s="1" customFormat="1" ht="11.45">
      <c r="A496" s="11" t="s">
        <v>18844</v>
      </c>
      <c r="B496" s="12">
        <v>44847</v>
      </c>
      <c r="C496" s="11">
        <v>2022</v>
      </c>
      <c r="D496" s="11" t="s">
        <v>16444</v>
      </c>
      <c r="E496" s="11" t="s">
        <v>16445</v>
      </c>
      <c r="F496" s="11" t="s">
        <v>20155</v>
      </c>
      <c r="G496" s="11" t="s">
        <v>18248</v>
      </c>
      <c r="H496" s="12">
        <v>44858</v>
      </c>
      <c r="I496" s="11">
        <v>52200</v>
      </c>
      <c r="J496" s="295" t="s">
        <v>20324</v>
      </c>
      <c r="K496" s="11">
        <v>32400</v>
      </c>
      <c r="L496" s="295" t="s">
        <v>20316</v>
      </c>
      <c r="M496" s="11">
        <v>0</v>
      </c>
      <c r="N496" s="315"/>
      <c r="O496" s="11">
        <v>0</v>
      </c>
      <c r="P496" s="25"/>
      <c r="Q496" s="11">
        <v>84600</v>
      </c>
    </row>
    <row r="497" spans="1:17" s="1" customFormat="1" ht="11.45">
      <c r="A497" s="11" t="s">
        <v>18845</v>
      </c>
      <c r="B497" s="12">
        <v>44847</v>
      </c>
      <c r="C497" s="11">
        <v>2022</v>
      </c>
      <c r="D497" s="11" t="s">
        <v>16838</v>
      </c>
      <c r="E497" s="11" t="s">
        <v>16839</v>
      </c>
      <c r="F497" s="11" t="s">
        <v>20155</v>
      </c>
      <c r="G497" s="11" t="s">
        <v>17949</v>
      </c>
      <c r="H497" s="12">
        <v>44863</v>
      </c>
      <c r="I497" s="11">
        <v>66024</v>
      </c>
      <c r="J497" s="295" t="s">
        <v>20324</v>
      </c>
      <c r="K497" s="11">
        <v>22800</v>
      </c>
      <c r="L497" s="295" t="s">
        <v>20316</v>
      </c>
      <c r="M497" s="11">
        <v>1200</v>
      </c>
      <c r="N497" s="316" t="s">
        <v>20323</v>
      </c>
      <c r="O497" s="11">
        <v>0</v>
      </c>
      <c r="P497" s="25"/>
      <c r="Q497" s="11">
        <v>90024</v>
      </c>
    </row>
    <row r="498" spans="1:17" s="1" customFormat="1" ht="11.45">
      <c r="A498" s="11" t="s">
        <v>18846</v>
      </c>
      <c r="B498" s="12">
        <v>44848</v>
      </c>
      <c r="C498" s="11">
        <v>2022</v>
      </c>
      <c r="D498" s="11" t="s">
        <v>16444</v>
      </c>
      <c r="E498" s="11" t="s">
        <v>16445</v>
      </c>
      <c r="F498" s="11" t="s">
        <v>20155</v>
      </c>
      <c r="G498" s="11" t="s">
        <v>17854</v>
      </c>
      <c r="H498" s="12">
        <v>44854</v>
      </c>
      <c r="I498" s="11">
        <v>54000</v>
      </c>
      <c r="J498" s="295" t="s">
        <v>20324</v>
      </c>
      <c r="K498" s="11">
        <v>0</v>
      </c>
      <c r="L498" s="316"/>
      <c r="M498" s="11">
        <v>0</v>
      </c>
      <c r="N498" s="315"/>
      <c r="O498" s="11">
        <v>0</v>
      </c>
      <c r="P498" s="25"/>
      <c r="Q498" s="11">
        <v>54000</v>
      </c>
    </row>
    <row r="499" spans="1:17" s="1" customFormat="1" ht="11.45">
      <c r="A499" s="11" t="s">
        <v>18847</v>
      </c>
      <c r="B499" s="12">
        <v>44848</v>
      </c>
      <c r="C499" s="11">
        <v>2022</v>
      </c>
      <c r="D499" s="11" t="s">
        <v>16384</v>
      </c>
      <c r="E499" s="11" t="s">
        <v>16385</v>
      </c>
      <c r="F499" s="11" t="s">
        <v>20155</v>
      </c>
      <c r="G499" s="11" t="s">
        <v>20319</v>
      </c>
      <c r="H499" s="12">
        <v>44853</v>
      </c>
      <c r="I499" s="11">
        <v>0</v>
      </c>
      <c r="J499" s="315"/>
      <c r="K499" s="11">
        <v>0</v>
      </c>
      <c r="L499" s="316"/>
      <c r="M499" s="11">
        <v>26000</v>
      </c>
      <c r="N499" s="316" t="s">
        <v>20323</v>
      </c>
      <c r="O499" s="11">
        <v>0</v>
      </c>
      <c r="P499" s="25"/>
      <c r="Q499" s="11">
        <v>26000</v>
      </c>
    </row>
    <row r="500" spans="1:17" s="1" customFormat="1" ht="11.45">
      <c r="A500" s="11" t="s">
        <v>18848</v>
      </c>
      <c r="B500" s="12">
        <v>44848</v>
      </c>
      <c r="C500" s="11">
        <v>2022</v>
      </c>
      <c r="D500" s="11" t="s">
        <v>17156</v>
      </c>
      <c r="E500" s="11" t="s">
        <v>17157</v>
      </c>
      <c r="F500" s="11" t="s">
        <v>20155</v>
      </c>
      <c r="G500" s="11" t="s">
        <v>20161</v>
      </c>
      <c r="H500" s="12">
        <v>44869</v>
      </c>
      <c r="I500" s="11">
        <v>0</v>
      </c>
      <c r="J500" s="315"/>
      <c r="K500" s="11">
        <v>61500</v>
      </c>
      <c r="L500" s="16">
        <v>1</v>
      </c>
      <c r="M500" s="11">
        <v>0</v>
      </c>
      <c r="N500" s="315"/>
      <c r="O500" s="11">
        <v>0</v>
      </c>
      <c r="P500" s="25"/>
      <c r="Q500" s="11">
        <v>61500</v>
      </c>
    </row>
    <row r="501" spans="1:17" s="496" customFormat="1" ht="11.45">
      <c r="A501" s="354" t="s">
        <v>18849</v>
      </c>
      <c r="B501" s="355">
        <v>44853</v>
      </c>
      <c r="C501" s="354">
        <v>2022</v>
      </c>
      <c r="D501" s="354" t="s">
        <v>16957</v>
      </c>
      <c r="E501" s="354" t="s">
        <v>16958</v>
      </c>
      <c r="F501" s="354" t="s">
        <v>20155</v>
      </c>
      <c r="G501" s="354" t="s">
        <v>20161</v>
      </c>
      <c r="H501" s="355">
        <v>44854</v>
      </c>
      <c r="I501" s="354">
        <v>20150</v>
      </c>
      <c r="J501" s="353" t="s">
        <v>20324</v>
      </c>
      <c r="K501" s="354">
        <v>0</v>
      </c>
      <c r="L501" s="353"/>
      <c r="M501" s="354">
        <v>0</v>
      </c>
      <c r="N501" s="356"/>
      <c r="O501" s="354">
        <v>0</v>
      </c>
      <c r="P501" s="357"/>
      <c r="Q501" s="354">
        <v>20150</v>
      </c>
    </row>
    <row r="502" spans="1:17" s="1" customFormat="1" ht="11.45">
      <c r="A502" s="11" t="s">
        <v>18850</v>
      </c>
      <c r="B502" s="12">
        <v>44853</v>
      </c>
      <c r="C502" s="11">
        <v>2022</v>
      </c>
      <c r="D502" s="11" t="s">
        <v>16838</v>
      </c>
      <c r="E502" s="11" t="s">
        <v>16839</v>
      </c>
      <c r="F502" s="11" t="s">
        <v>20155</v>
      </c>
      <c r="G502" s="11" t="s">
        <v>20321</v>
      </c>
      <c r="H502" s="12">
        <v>44862</v>
      </c>
      <c r="I502" s="11">
        <v>0</v>
      </c>
      <c r="J502" s="315"/>
      <c r="K502" s="11">
        <v>330120</v>
      </c>
      <c r="L502" s="316" t="s">
        <v>20323</v>
      </c>
      <c r="M502" s="11">
        <v>0</v>
      </c>
      <c r="N502" s="315"/>
      <c r="O502" s="11">
        <v>0</v>
      </c>
      <c r="P502" s="25"/>
      <c r="Q502" s="11">
        <v>330120</v>
      </c>
    </row>
    <row r="503" spans="1:17" s="1" customFormat="1" ht="11.45">
      <c r="A503" s="11" t="s">
        <v>18851</v>
      </c>
      <c r="B503" s="12">
        <v>44859</v>
      </c>
      <c r="C503" s="11">
        <v>2022</v>
      </c>
      <c r="D503" s="11" t="s">
        <v>17017</v>
      </c>
      <c r="E503" s="11" t="s">
        <v>17018</v>
      </c>
      <c r="F503" s="11" t="s">
        <v>20155</v>
      </c>
      <c r="G503" s="11" t="s">
        <v>18283</v>
      </c>
      <c r="H503" s="12">
        <v>44861</v>
      </c>
      <c r="I503" s="11">
        <v>0</v>
      </c>
      <c r="J503" s="315"/>
      <c r="K503" s="11">
        <v>41000</v>
      </c>
      <c r="L503" s="316" t="s">
        <v>20323</v>
      </c>
      <c r="M503" s="11">
        <v>0</v>
      </c>
      <c r="N503" s="315"/>
      <c r="O503" s="11">
        <v>0</v>
      </c>
      <c r="P503" s="25"/>
      <c r="Q503" s="11">
        <v>41000</v>
      </c>
    </row>
    <row r="504" spans="1:17" s="1" customFormat="1" ht="11.45">
      <c r="A504" s="11" t="s">
        <v>18852</v>
      </c>
      <c r="B504" s="12">
        <v>44859</v>
      </c>
      <c r="C504" s="11">
        <v>2022</v>
      </c>
      <c r="D504" s="11" t="s">
        <v>16444</v>
      </c>
      <c r="E504" s="11" t="s">
        <v>16445</v>
      </c>
      <c r="F504" s="11" t="s">
        <v>20155</v>
      </c>
      <c r="G504" s="11" t="s">
        <v>18248</v>
      </c>
      <c r="H504" s="12">
        <v>44865</v>
      </c>
      <c r="I504" s="11">
        <v>19200</v>
      </c>
      <c r="J504" s="295" t="s">
        <v>20324</v>
      </c>
      <c r="K504" s="11">
        <v>0</v>
      </c>
      <c r="L504" s="316"/>
      <c r="M504" s="11">
        <v>0</v>
      </c>
      <c r="N504" s="315"/>
      <c r="O504" s="11">
        <v>0</v>
      </c>
      <c r="P504" s="25"/>
      <c r="Q504" s="11">
        <v>19200</v>
      </c>
    </row>
    <row r="505" spans="1:17" s="1" customFormat="1" ht="11.45">
      <c r="A505" s="11" t="s">
        <v>18853</v>
      </c>
      <c r="B505" s="12">
        <v>44860</v>
      </c>
      <c r="C505" s="11">
        <v>2022</v>
      </c>
      <c r="D505" s="11" t="s">
        <v>16384</v>
      </c>
      <c r="E505" s="11" t="s">
        <v>16385</v>
      </c>
      <c r="F505" s="11" t="s">
        <v>20155</v>
      </c>
      <c r="G505" s="11" t="s">
        <v>17965</v>
      </c>
      <c r="H505" s="12">
        <v>44865</v>
      </c>
      <c r="I505" s="11">
        <v>76800</v>
      </c>
      <c r="J505" s="295" t="s">
        <v>20324</v>
      </c>
      <c r="K505" s="11">
        <v>0</v>
      </c>
      <c r="L505" s="316"/>
      <c r="M505" s="11">
        <v>0</v>
      </c>
      <c r="N505" s="315"/>
      <c r="O505" s="11">
        <v>0</v>
      </c>
      <c r="P505" s="25"/>
      <c r="Q505" s="11">
        <v>76800</v>
      </c>
    </row>
    <row r="506" spans="1:17" s="1" customFormat="1" ht="11.45">
      <c r="A506" s="11" t="s">
        <v>18854</v>
      </c>
      <c r="B506" s="12">
        <v>44861</v>
      </c>
      <c r="C506" s="11">
        <v>2022</v>
      </c>
      <c r="D506" s="11" t="s">
        <v>17297</v>
      </c>
      <c r="E506" s="11" t="s">
        <v>17298</v>
      </c>
      <c r="F506" s="11" t="s">
        <v>20155</v>
      </c>
      <c r="G506" s="11" t="s">
        <v>20319</v>
      </c>
      <c r="H506" s="12">
        <v>44867</v>
      </c>
      <c r="I506" s="11">
        <v>0</v>
      </c>
      <c r="J506" s="315"/>
      <c r="K506" s="11">
        <v>24240</v>
      </c>
      <c r="L506" s="295" t="s">
        <v>20316</v>
      </c>
      <c r="M506" s="11">
        <v>0</v>
      </c>
      <c r="N506" s="315"/>
      <c r="O506" s="11">
        <v>0</v>
      </c>
      <c r="P506" s="25"/>
      <c r="Q506" s="11">
        <v>24240</v>
      </c>
    </row>
    <row r="507" spans="1:17" s="1" customFormat="1" ht="11.45">
      <c r="A507" s="11" t="s">
        <v>18855</v>
      </c>
      <c r="B507" s="12">
        <v>44866</v>
      </c>
      <c r="C507" s="11">
        <v>2022</v>
      </c>
      <c r="D507" s="11" t="s">
        <v>17332</v>
      </c>
      <c r="E507" s="11" t="s">
        <v>17333</v>
      </c>
      <c r="F507" s="11" t="s">
        <v>20155</v>
      </c>
      <c r="G507" s="11" t="s">
        <v>20339</v>
      </c>
      <c r="H507" s="12">
        <v>44881</v>
      </c>
      <c r="I507" s="11">
        <v>54000</v>
      </c>
      <c r="J507" s="295" t="s">
        <v>20324</v>
      </c>
      <c r="K507" s="11">
        <v>0</v>
      </c>
      <c r="L507" s="316"/>
      <c r="M507" s="11">
        <v>0</v>
      </c>
      <c r="N507" s="315"/>
      <c r="O507" s="11">
        <v>0</v>
      </c>
      <c r="P507" s="25"/>
      <c r="Q507" s="11">
        <v>54000</v>
      </c>
    </row>
    <row r="508" spans="1:17" s="1" customFormat="1" ht="11.45">
      <c r="A508" s="11" t="s">
        <v>18856</v>
      </c>
      <c r="B508" s="12">
        <v>44872</v>
      </c>
      <c r="C508" s="11">
        <v>2022</v>
      </c>
      <c r="D508" s="11" t="s">
        <v>16470</v>
      </c>
      <c r="E508" s="11" t="s">
        <v>16471</v>
      </c>
      <c r="F508" s="11" t="s">
        <v>20155</v>
      </c>
      <c r="G508" s="11" t="s">
        <v>18227</v>
      </c>
      <c r="H508" s="12">
        <v>44882</v>
      </c>
      <c r="I508" s="11">
        <v>12000</v>
      </c>
      <c r="J508" s="295" t="s">
        <v>20324</v>
      </c>
      <c r="K508" s="11">
        <v>240120</v>
      </c>
      <c r="L508" s="353" t="s">
        <v>20300</v>
      </c>
      <c r="M508" s="11">
        <v>0</v>
      </c>
      <c r="N508" s="315"/>
      <c r="O508" s="11">
        <v>0</v>
      </c>
      <c r="P508" s="25"/>
      <c r="Q508" s="11">
        <v>252120</v>
      </c>
    </row>
    <row r="509" spans="1:17" s="1" customFormat="1" ht="11.45">
      <c r="A509" s="11" t="s">
        <v>18857</v>
      </c>
      <c r="B509" s="12">
        <v>44872</v>
      </c>
      <c r="C509" s="11">
        <v>2022</v>
      </c>
      <c r="D509" s="11" t="s">
        <v>16444</v>
      </c>
      <c r="E509" s="11" t="s">
        <v>16445</v>
      </c>
      <c r="F509" s="11" t="s">
        <v>20155</v>
      </c>
      <c r="G509" s="11" t="s">
        <v>20173</v>
      </c>
      <c r="H509" s="12">
        <v>44875</v>
      </c>
      <c r="I509" s="11">
        <v>43200</v>
      </c>
      <c r="J509" s="295" t="s">
        <v>20324</v>
      </c>
      <c r="K509" s="11">
        <v>0</v>
      </c>
      <c r="L509" s="316"/>
      <c r="M509" s="11">
        <v>0</v>
      </c>
      <c r="N509" s="315"/>
      <c r="O509" s="11">
        <v>0</v>
      </c>
      <c r="P509" s="25"/>
      <c r="Q509" s="11">
        <v>43200</v>
      </c>
    </row>
    <row r="510" spans="1:17" s="1" customFormat="1" ht="11.45">
      <c r="A510" s="11" t="s">
        <v>18858</v>
      </c>
      <c r="B510" s="12">
        <v>44872</v>
      </c>
      <c r="C510" s="11">
        <v>2022</v>
      </c>
      <c r="D510" s="11" t="s">
        <v>17332</v>
      </c>
      <c r="E510" s="11" t="s">
        <v>17333</v>
      </c>
      <c r="F510" s="11" t="s">
        <v>20155</v>
      </c>
      <c r="G510" s="11" t="s">
        <v>17939</v>
      </c>
      <c r="H510" s="12">
        <v>44876</v>
      </c>
      <c r="I510" s="11">
        <v>210000</v>
      </c>
      <c r="J510" s="295" t="s">
        <v>20324</v>
      </c>
      <c r="K510" s="11">
        <v>0</v>
      </c>
      <c r="L510" s="316"/>
      <c r="M510" s="11">
        <v>0</v>
      </c>
      <c r="N510" s="315"/>
      <c r="O510" s="11">
        <v>0</v>
      </c>
      <c r="P510" s="25"/>
      <c r="Q510" s="11">
        <v>210000</v>
      </c>
    </row>
    <row r="511" spans="1:17" s="1" customFormat="1" ht="11.45">
      <c r="A511" s="11" t="s">
        <v>18859</v>
      </c>
      <c r="B511" s="12">
        <v>44872</v>
      </c>
      <c r="C511" s="11">
        <v>2022</v>
      </c>
      <c r="D511" s="11" t="s">
        <v>16643</v>
      </c>
      <c r="E511" s="11" t="s">
        <v>16644</v>
      </c>
      <c r="F511" s="11" t="s">
        <v>20155</v>
      </c>
      <c r="G511" s="11" t="s">
        <v>18227</v>
      </c>
      <c r="H511" s="12">
        <v>44882</v>
      </c>
      <c r="I511" s="11">
        <v>0</v>
      </c>
      <c r="J511" s="295"/>
      <c r="K511" s="11">
        <v>42000</v>
      </c>
      <c r="L511" s="353" t="s">
        <v>20300</v>
      </c>
      <c r="M511" s="11">
        <v>0</v>
      </c>
      <c r="N511" s="315"/>
      <c r="O511" s="11">
        <v>0</v>
      </c>
      <c r="P511" s="25"/>
      <c r="Q511" s="11">
        <v>42000</v>
      </c>
    </row>
    <row r="512" spans="1:17" s="1" customFormat="1" ht="11.45">
      <c r="A512" s="11" t="s">
        <v>18860</v>
      </c>
      <c r="B512" s="12">
        <v>44872</v>
      </c>
      <c r="C512" s="11">
        <v>2022</v>
      </c>
      <c r="D512" s="11" t="s">
        <v>16957</v>
      </c>
      <c r="E512" s="11" t="s">
        <v>16958</v>
      </c>
      <c r="F512" s="11" t="s">
        <v>20155</v>
      </c>
      <c r="G512" s="11" t="s">
        <v>20161</v>
      </c>
      <c r="H512" s="12">
        <v>44882</v>
      </c>
      <c r="I512" s="11">
        <v>26000</v>
      </c>
      <c r="J512" s="25">
        <v>1</v>
      </c>
      <c r="K512" s="11">
        <v>0</v>
      </c>
      <c r="L512" s="316"/>
      <c r="M512" s="11">
        <v>0</v>
      </c>
      <c r="N512" s="315"/>
      <c r="O512" s="11">
        <v>0</v>
      </c>
      <c r="P512" s="25"/>
      <c r="Q512" s="11">
        <v>26000</v>
      </c>
    </row>
    <row r="513" spans="1:17" s="1" customFormat="1" ht="11.45">
      <c r="A513" s="11" t="s">
        <v>18861</v>
      </c>
      <c r="B513" s="12">
        <v>44872</v>
      </c>
      <c r="C513" s="11">
        <v>2022</v>
      </c>
      <c r="D513" s="11" t="s">
        <v>16957</v>
      </c>
      <c r="E513" s="11" t="s">
        <v>16958</v>
      </c>
      <c r="F513" s="11" t="s">
        <v>20155</v>
      </c>
      <c r="G513" s="11" t="s">
        <v>20161</v>
      </c>
      <c r="H513" s="12">
        <v>44879</v>
      </c>
      <c r="I513" s="11">
        <v>20150</v>
      </c>
      <c r="J513" s="295" t="s">
        <v>20324</v>
      </c>
      <c r="K513" s="11">
        <v>0</v>
      </c>
      <c r="L513" s="316"/>
      <c r="M513" s="11">
        <v>0</v>
      </c>
      <c r="N513" s="315"/>
      <c r="O513" s="11">
        <v>0</v>
      </c>
      <c r="P513" s="25"/>
      <c r="Q513" s="11">
        <v>20150</v>
      </c>
    </row>
    <row r="514" spans="1:17" s="1" customFormat="1" ht="11.45">
      <c r="A514" s="11" t="s">
        <v>18862</v>
      </c>
      <c r="B514" s="12">
        <v>44873</v>
      </c>
      <c r="C514" s="11">
        <v>2022</v>
      </c>
      <c r="D514" s="11" t="s">
        <v>16904</v>
      </c>
      <c r="E514" s="11" t="s">
        <v>16905</v>
      </c>
      <c r="F514" s="11" t="s">
        <v>20155</v>
      </c>
      <c r="G514" s="11" t="s">
        <v>20340</v>
      </c>
      <c r="H514" s="12">
        <v>44883</v>
      </c>
      <c r="I514" s="11">
        <v>0</v>
      </c>
      <c r="J514" s="295"/>
      <c r="K514" s="11">
        <v>21576</v>
      </c>
      <c r="L514" s="25">
        <v>1</v>
      </c>
      <c r="M514" s="11">
        <v>5760</v>
      </c>
      <c r="N514" s="25">
        <v>1</v>
      </c>
      <c r="O514" s="11">
        <v>0</v>
      </c>
      <c r="P514" s="25"/>
      <c r="Q514" s="11">
        <v>27336</v>
      </c>
    </row>
    <row r="515" spans="1:17" s="1" customFormat="1" ht="11.45">
      <c r="A515" s="11" t="s">
        <v>18863</v>
      </c>
      <c r="B515" s="12">
        <v>44873</v>
      </c>
      <c r="C515" s="11">
        <v>2022</v>
      </c>
      <c r="D515" s="11" t="s">
        <v>16904</v>
      </c>
      <c r="E515" s="11" t="s">
        <v>16905</v>
      </c>
      <c r="F515" s="11" t="s">
        <v>20155</v>
      </c>
      <c r="G515" s="11" t="s">
        <v>20160</v>
      </c>
      <c r="H515" s="12">
        <v>44889</v>
      </c>
      <c r="I515" s="11">
        <v>0</v>
      </c>
      <c r="J515" s="295"/>
      <c r="K515" s="11">
        <v>18936</v>
      </c>
      <c r="L515" s="25">
        <v>1</v>
      </c>
      <c r="M515" s="11">
        <v>8400</v>
      </c>
      <c r="N515" s="25">
        <v>1</v>
      </c>
      <c r="O515" s="11">
        <v>0</v>
      </c>
      <c r="P515" s="25"/>
      <c r="Q515" s="11">
        <v>27336</v>
      </c>
    </row>
    <row r="516" spans="1:17" s="1" customFormat="1" ht="11.45">
      <c r="A516" s="11" t="s">
        <v>18864</v>
      </c>
      <c r="B516" s="12">
        <v>44876</v>
      </c>
      <c r="C516" s="11">
        <v>2022</v>
      </c>
      <c r="D516" s="11" t="s">
        <v>17017</v>
      </c>
      <c r="E516" s="11" t="s">
        <v>17018</v>
      </c>
      <c r="F516" s="11" t="s">
        <v>20155</v>
      </c>
      <c r="G516" s="11" t="s">
        <v>18064</v>
      </c>
      <c r="H516" s="12">
        <v>44886</v>
      </c>
      <c r="I516" s="11">
        <v>0</v>
      </c>
      <c r="J516" s="295"/>
      <c r="K516" s="11">
        <v>20000</v>
      </c>
      <c r="L516" s="25">
        <v>1</v>
      </c>
      <c r="M516" s="11">
        <v>0</v>
      </c>
      <c r="N516" s="315"/>
      <c r="O516" s="11">
        <v>0</v>
      </c>
      <c r="P516" s="25"/>
      <c r="Q516" s="11">
        <v>20000</v>
      </c>
    </row>
    <row r="517" spans="1:17" s="1" customFormat="1" ht="11.45">
      <c r="A517" s="11" t="s">
        <v>18865</v>
      </c>
      <c r="B517" s="12">
        <v>44876</v>
      </c>
      <c r="C517" s="11">
        <v>2022</v>
      </c>
      <c r="D517" s="11" t="s">
        <v>16384</v>
      </c>
      <c r="E517" s="11" t="s">
        <v>16385</v>
      </c>
      <c r="F517" s="11" t="s">
        <v>20155</v>
      </c>
      <c r="G517" s="11" t="s">
        <v>18094</v>
      </c>
      <c r="H517" s="12">
        <v>44888</v>
      </c>
      <c r="I517" s="11">
        <v>12000</v>
      </c>
      <c r="J517" s="295" t="s">
        <v>20324</v>
      </c>
      <c r="K517" s="11">
        <v>15300</v>
      </c>
      <c r="L517" s="353" t="s">
        <v>20300</v>
      </c>
      <c r="M517" s="11">
        <v>0</v>
      </c>
      <c r="N517" s="315"/>
      <c r="O517" s="11">
        <v>0</v>
      </c>
      <c r="P517" s="25"/>
      <c r="Q517" s="11">
        <v>27300</v>
      </c>
    </row>
    <row r="518" spans="1:17" s="1" customFormat="1" ht="11.45">
      <c r="A518" s="11" t="s">
        <v>18866</v>
      </c>
      <c r="B518" s="12">
        <v>44877</v>
      </c>
      <c r="C518" s="11">
        <v>2022</v>
      </c>
      <c r="D518" s="11" t="s">
        <v>16823</v>
      </c>
      <c r="E518" s="11" t="s">
        <v>16824</v>
      </c>
      <c r="F518" s="11" t="s">
        <v>20155</v>
      </c>
      <c r="G518" s="11" t="s">
        <v>20336</v>
      </c>
      <c r="H518" s="12">
        <v>44890</v>
      </c>
      <c r="I518" s="11">
        <v>3600</v>
      </c>
      <c r="J518" s="295" t="s">
        <v>20324</v>
      </c>
      <c r="K518" s="11">
        <v>22080</v>
      </c>
      <c r="L518" s="353" t="s">
        <v>20300</v>
      </c>
      <c r="M518" s="11">
        <v>0</v>
      </c>
      <c r="N518" s="315"/>
      <c r="O518" s="11">
        <v>0</v>
      </c>
      <c r="P518" s="25"/>
      <c r="Q518" s="11">
        <v>25680</v>
      </c>
    </row>
    <row r="519" spans="1:17" s="1" customFormat="1" ht="11.45">
      <c r="A519" s="11" t="s">
        <v>18867</v>
      </c>
      <c r="B519" s="12">
        <v>44881</v>
      </c>
      <c r="C519" s="11">
        <v>2022</v>
      </c>
      <c r="D519" s="11" t="s">
        <v>17304</v>
      </c>
      <c r="E519" s="11" t="s">
        <v>17305</v>
      </c>
      <c r="F519" s="11" t="s">
        <v>20155</v>
      </c>
      <c r="G519" s="11" t="s">
        <v>17238</v>
      </c>
      <c r="H519" s="12">
        <v>44888</v>
      </c>
      <c r="I519" s="11">
        <v>0</v>
      </c>
      <c r="J519" s="295"/>
      <c r="K519" s="11">
        <v>25424</v>
      </c>
      <c r="L519" s="25">
        <v>1</v>
      </c>
      <c r="M519" s="11">
        <v>47216</v>
      </c>
      <c r="N519" s="25">
        <v>1</v>
      </c>
      <c r="O519" s="11">
        <v>0</v>
      </c>
      <c r="P519" s="25"/>
      <c r="Q519" s="11">
        <v>72640</v>
      </c>
    </row>
    <row r="520" spans="1:17" s="1" customFormat="1" ht="11.45">
      <c r="A520" s="11" t="s">
        <v>18868</v>
      </c>
      <c r="B520" s="12">
        <v>44881</v>
      </c>
      <c r="C520" s="11">
        <v>2022</v>
      </c>
      <c r="D520" s="11" t="s">
        <v>17332</v>
      </c>
      <c r="E520" s="11" t="s">
        <v>17333</v>
      </c>
      <c r="F520" s="11" t="s">
        <v>20155</v>
      </c>
      <c r="G520" s="11" t="s">
        <v>17939</v>
      </c>
      <c r="H520" s="12">
        <v>44904</v>
      </c>
      <c r="I520" s="11">
        <v>0</v>
      </c>
      <c r="J520" s="295"/>
      <c r="K520" s="11">
        <v>170007.8</v>
      </c>
      <c r="L520" s="353" t="s">
        <v>20323</v>
      </c>
      <c r="M520" s="11">
        <v>30005</v>
      </c>
      <c r="N520" s="353" t="s">
        <v>20323</v>
      </c>
      <c r="O520" s="11">
        <v>0</v>
      </c>
      <c r="P520" s="25"/>
      <c r="Q520" s="11">
        <v>200012.79999999999</v>
      </c>
    </row>
    <row r="521" spans="1:17" s="1" customFormat="1" ht="11.45">
      <c r="A521" s="11" t="s">
        <v>18869</v>
      </c>
      <c r="B521" s="12">
        <v>44884</v>
      </c>
      <c r="C521" s="11">
        <v>2022</v>
      </c>
      <c r="D521" s="11" t="s">
        <v>17284</v>
      </c>
      <c r="E521" s="11" t="s">
        <v>17285</v>
      </c>
      <c r="F521" s="11" t="s">
        <v>20155</v>
      </c>
      <c r="G521" s="11" t="s">
        <v>16394</v>
      </c>
      <c r="H521" s="12">
        <v>44889</v>
      </c>
      <c r="I521" s="11">
        <v>0</v>
      </c>
      <c r="J521" s="295"/>
      <c r="K521" s="11">
        <v>7488</v>
      </c>
      <c r="L521" s="25">
        <v>1</v>
      </c>
      <c r="M521" s="11">
        <v>6000</v>
      </c>
      <c r="N521" s="25">
        <v>1</v>
      </c>
      <c r="O521" s="11">
        <v>2240</v>
      </c>
      <c r="P521" s="25">
        <v>1</v>
      </c>
      <c r="Q521" s="11">
        <v>15728</v>
      </c>
    </row>
    <row r="522" spans="1:17" s="1" customFormat="1" ht="11.45">
      <c r="A522" s="11" t="s">
        <v>18870</v>
      </c>
      <c r="B522" s="12">
        <v>44884</v>
      </c>
      <c r="C522" s="11">
        <v>2022</v>
      </c>
      <c r="D522" s="11" t="s">
        <v>17329</v>
      </c>
      <c r="E522" s="11" t="s">
        <v>17330</v>
      </c>
      <c r="F522" s="11" t="s">
        <v>20155</v>
      </c>
      <c r="G522" s="11" t="s">
        <v>20335</v>
      </c>
      <c r="H522" s="12">
        <v>44900</v>
      </c>
      <c r="I522" s="11">
        <v>0</v>
      </c>
      <c r="J522" s="295"/>
      <c r="K522" s="11">
        <v>58704</v>
      </c>
      <c r="L522" s="295" t="s">
        <v>20316</v>
      </c>
      <c r="M522" s="11">
        <v>0</v>
      </c>
      <c r="N522" s="315"/>
      <c r="O522" s="11">
        <v>2000</v>
      </c>
      <c r="P522" s="25">
        <v>1</v>
      </c>
      <c r="Q522" s="11">
        <v>60704</v>
      </c>
    </row>
    <row r="523" spans="1:17" s="1" customFormat="1" ht="11.45">
      <c r="A523" s="11" t="s">
        <v>18871</v>
      </c>
      <c r="B523" s="12">
        <v>44884</v>
      </c>
      <c r="C523" s="11">
        <v>2022</v>
      </c>
      <c r="D523" s="11" t="s">
        <v>16783</v>
      </c>
      <c r="E523" s="11" t="s">
        <v>16784</v>
      </c>
      <c r="F523" s="11" t="s">
        <v>20155</v>
      </c>
      <c r="G523" s="11" t="s">
        <v>17939</v>
      </c>
      <c r="H523" s="12">
        <v>44893</v>
      </c>
      <c r="I523" s="11">
        <v>12000</v>
      </c>
      <c r="J523" s="295" t="s">
        <v>20324</v>
      </c>
      <c r="K523" s="11">
        <v>288000</v>
      </c>
      <c r="L523" s="295" t="s">
        <v>20324</v>
      </c>
      <c r="M523" s="11">
        <v>28800</v>
      </c>
      <c r="N523" s="295" t="s">
        <v>20324</v>
      </c>
      <c r="O523" s="11">
        <v>22000</v>
      </c>
      <c r="P523" s="25">
        <v>1</v>
      </c>
      <c r="Q523" s="11">
        <v>350800</v>
      </c>
    </row>
    <row r="524" spans="1:17" s="1" customFormat="1" ht="11.45">
      <c r="A524" s="11" t="s">
        <v>18872</v>
      </c>
      <c r="B524" s="12">
        <v>44886</v>
      </c>
      <c r="C524" s="11">
        <v>2022</v>
      </c>
      <c r="D524" s="11" t="s">
        <v>16783</v>
      </c>
      <c r="E524" s="11" t="s">
        <v>16784</v>
      </c>
      <c r="F524" s="11" t="s">
        <v>20155</v>
      </c>
      <c r="G524" s="11" t="s">
        <v>17939</v>
      </c>
      <c r="H524" s="12">
        <v>44894</v>
      </c>
      <c r="I524" s="11">
        <v>0</v>
      </c>
      <c r="J524" s="295"/>
      <c r="K524" s="11">
        <v>42000</v>
      </c>
      <c r="L524" s="295" t="s">
        <v>20324</v>
      </c>
      <c r="M524" s="11">
        <v>12000</v>
      </c>
      <c r="N524" s="295" t="s">
        <v>20324</v>
      </c>
      <c r="O524" s="11">
        <v>0</v>
      </c>
      <c r="P524" s="25"/>
      <c r="Q524" s="11">
        <v>54000</v>
      </c>
    </row>
    <row r="525" spans="1:17" s="1" customFormat="1" ht="11.45">
      <c r="A525" s="11" t="s">
        <v>18873</v>
      </c>
      <c r="B525" s="12">
        <v>44886</v>
      </c>
      <c r="C525" s="11">
        <v>2022</v>
      </c>
      <c r="D525" s="11" t="s">
        <v>17264</v>
      </c>
      <c r="E525" s="11" t="s">
        <v>17265</v>
      </c>
      <c r="F525" s="11" t="s">
        <v>20155</v>
      </c>
      <c r="G525" s="11" t="s">
        <v>20157</v>
      </c>
      <c r="H525" s="12">
        <v>44890</v>
      </c>
      <c r="I525" s="11">
        <v>0</v>
      </c>
      <c r="J525" s="295"/>
      <c r="K525" s="11">
        <v>0</v>
      </c>
      <c r="L525" s="316"/>
      <c r="M525" s="11">
        <v>0</v>
      </c>
      <c r="N525" s="315"/>
      <c r="O525" s="11">
        <v>27500</v>
      </c>
      <c r="P525" s="25">
        <v>1</v>
      </c>
      <c r="Q525" s="11">
        <v>27500</v>
      </c>
    </row>
    <row r="526" spans="1:17" s="1" customFormat="1" ht="11.45">
      <c r="A526" s="11" t="s">
        <v>18874</v>
      </c>
      <c r="B526" s="12">
        <v>44887</v>
      </c>
      <c r="C526" s="11">
        <v>2022</v>
      </c>
      <c r="D526" s="11" t="s">
        <v>17270</v>
      </c>
      <c r="E526" s="11" t="s">
        <v>17271</v>
      </c>
      <c r="F526" s="11" t="s">
        <v>20155</v>
      </c>
      <c r="G526" s="11" t="s">
        <v>16394</v>
      </c>
      <c r="H526" s="12">
        <v>44896</v>
      </c>
      <c r="I526" s="11">
        <v>0</v>
      </c>
      <c r="J526" s="295"/>
      <c r="K526" s="11">
        <v>12000</v>
      </c>
      <c r="L526" s="25">
        <v>1</v>
      </c>
      <c r="M526" s="11">
        <v>6000</v>
      </c>
      <c r="N526" s="25">
        <v>1</v>
      </c>
      <c r="O526" s="11">
        <v>0</v>
      </c>
      <c r="P526" s="25"/>
      <c r="Q526" s="11">
        <v>18000</v>
      </c>
    </row>
    <row r="527" spans="1:17" s="1" customFormat="1" ht="11.45">
      <c r="A527" s="11" t="s">
        <v>18875</v>
      </c>
      <c r="B527" s="12">
        <v>44888</v>
      </c>
      <c r="C527" s="11">
        <v>2022</v>
      </c>
      <c r="D527" s="11" t="s">
        <v>16560</v>
      </c>
      <c r="E527" s="11" t="s">
        <v>16561</v>
      </c>
      <c r="F527" s="11" t="s">
        <v>20155</v>
      </c>
      <c r="G527" s="11" t="s">
        <v>17801</v>
      </c>
      <c r="H527" s="12">
        <v>44923</v>
      </c>
      <c r="I527" s="11">
        <v>0</v>
      </c>
      <c r="J527" s="295"/>
      <c r="K527" s="11">
        <v>0</v>
      </c>
      <c r="L527" s="316"/>
      <c r="M527" s="11">
        <v>112000</v>
      </c>
      <c r="N527" s="316" t="s">
        <v>20323</v>
      </c>
      <c r="O527" s="11">
        <v>0</v>
      </c>
      <c r="P527" s="25"/>
      <c r="Q527" s="11">
        <v>112000</v>
      </c>
    </row>
    <row r="528" spans="1:17" s="1" customFormat="1" ht="11.45">
      <c r="A528" s="11" t="s">
        <v>18876</v>
      </c>
      <c r="B528" s="12">
        <v>44888</v>
      </c>
      <c r="C528" s="11">
        <v>2022</v>
      </c>
      <c r="D528" s="11" t="s">
        <v>16957</v>
      </c>
      <c r="E528" s="11" t="s">
        <v>16958</v>
      </c>
      <c r="F528" s="11" t="s">
        <v>20155</v>
      </c>
      <c r="G528" s="11" t="s">
        <v>20161</v>
      </c>
      <c r="H528" s="12">
        <v>44894</v>
      </c>
      <c r="I528" s="11">
        <v>20150</v>
      </c>
      <c r="J528" s="25">
        <v>1</v>
      </c>
      <c r="K528" s="11">
        <v>0</v>
      </c>
      <c r="L528" s="316"/>
      <c r="M528" s="11">
        <v>0</v>
      </c>
      <c r="N528" s="315"/>
      <c r="O528" s="11">
        <v>0</v>
      </c>
      <c r="P528" s="25"/>
      <c r="Q528" s="11">
        <v>20150</v>
      </c>
    </row>
    <row r="529" spans="1:17" s="1" customFormat="1" ht="11.45">
      <c r="A529" s="11" t="s">
        <v>18877</v>
      </c>
      <c r="B529" s="12">
        <v>44890</v>
      </c>
      <c r="C529" s="11">
        <v>2022</v>
      </c>
      <c r="D529" s="11" t="s">
        <v>17338</v>
      </c>
      <c r="E529" s="11" t="s">
        <v>17339</v>
      </c>
      <c r="F529" s="11" t="s">
        <v>20155</v>
      </c>
      <c r="G529" s="11" t="s">
        <v>17965</v>
      </c>
      <c r="H529" s="12">
        <v>44909</v>
      </c>
      <c r="I529" s="11">
        <v>38400</v>
      </c>
      <c r="J529" s="295" t="s">
        <v>20324</v>
      </c>
      <c r="K529" s="11">
        <v>0</v>
      </c>
      <c r="L529" s="316"/>
      <c r="M529" s="11">
        <v>0</v>
      </c>
      <c r="N529" s="315"/>
      <c r="O529" s="11">
        <v>0</v>
      </c>
      <c r="P529" s="25"/>
      <c r="Q529" s="11">
        <v>38400</v>
      </c>
    </row>
    <row r="530" spans="1:17" s="1" customFormat="1" ht="11.45">
      <c r="A530" s="11" t="s">
        <v>18878</v>
      </c>
      <c r="B530" s="12">
        <v>44896</v>
      </c>
      <c r="C530" s="11">
        <v>2022</v>
      </c>
      <c r="D530" s="11" t="s">
        <v>16444</v>
      </c>
      <c r="E530" s="11" t="s">
        <v>16445</v>
      </c>
      <c r="F530" s="11" t="s">
        <v>20155</v>
      </c>
      <c r="G530" s="11" t="s">
        <v>20341</v>
      </c>
      <c r="H530" s="12">
        <v>44902</v>
      </c>
      <c r="I530" s="11">
        <v>20750</v>
      </c>
      <c r="J530" s="295" t="s">
        <v>20324</v>
      </c>
      <c r="K530" s="11">
        <v>0</v>
      </c>
      <c r="L530" s="316"/>
      <c r="M530" s="11">
        <v>0</v>
      </c>
      <c r="N530" s="315"/>
      <c r="O530" s="11">
        <v>0</v>
      </c>
      <c r="P530" s="25"/>
      <c r="Q530" s="11">
        <v>20750</v>
      </c>
    </row>
    <row r="531" spans="1:17" s="1" customFormat="1" ht="11.45">
      <c r="A531" s="11" t="s">
        <v>18879</v>
      </c>
      <c r="B531" s="12">
        <v>44901</v>
      </c>
      <c r="C531" s="11">
        <v>2022</v>
      </c>
      <c r="D531" s="11" t="s">
        <v>17332</v>
      </c>
      <c r="E531" s="11" t="s">
        <v>17333</v>
      </c>
      <c r="F531" s="11" t="s">
        <v>20155</v>
      </c>
      <c r="G531" s="11" t="s">
        <v>17939</v>
      </c>
      <c r="H531" s="12">
        <v>44907</v>
      </c>
      <c r="I531" s="11">
        <v>0</v>
      </c>
      <c r="J531" s="295"/>
      <c r="K531" s="11">
        <v>128927.8</v>
      </c>
      <c r="L531" s="353" t="s">
        <v>20323</v>
      </c>
      <c r="M531" s="11">
        <v>7987.2</v>
      </c>
      <c r="N531" s="353" t="s">
        <v>20323</v>
      </c>
      <c r="O531" s="11">
        <v>0</v>
      </c>
      <c r="P531" s="25"/>
      <c r="Q531" s="11">
        <v>136915</v>
      </c>
    </row>
    <row r="532" spans="1:17" s="1" customFormat="1" ht="11.45">
      <c r="A532" s="11" t="s">
        <v>18880</v>
      </c>
      <c r="B532" s="12">
        <v>44904</v>
      </c>
      <c r="C532" s="11">
        <v>2022</v>
      </c>
      <c r="D532" s="11" t="s">
        <v>16384</v>
      </c>
      <c r="E532" s="11" t="s">
        <v>16385</v>
      </c>
      <c r="F532" s="11" t="s">
        <v>20155</v>
      </c>
      <c r="G532" s="11" t="s">
        <v>17965</v>
      </c>
      <c r="H532" s="12">
        <v>44915</v>
      </c>
      <c r="I532" s="11">
        <v>96000</v>
      </c>
      <c r="J532" s="295" t="s">
        <v>20324</v>
      </c>
      <c r="K532" s="11">
        <v>0</v>
      </c>
      <c r="L532" s="316"/>
      <c r="M532" s="11">
        <v>0</v>
      </c>
      <c r="N532" s="315"/>
      <c r="O532" s="11">
        <v>0</v>
      </c>
      <c r="P532" s="25"/>
      <c r="Q532" s="11">
        <v>96000</v>
      </c>
    </row>
    <row r="533" spans="1:17" s="1" customFormat="1" ht="11.45">
      <c r="A533" s="11" t="s">
        <v>18881</v>
      </c>
      <c r="B533" s="12">
        <v>44904</v>
      </c>
      <c r="C533" s="11">
        <v>2022</v>
      </c>
      <c r="D533" s="11" t="s">
        <v>16957</v>
      </c>
      <c r="E533" s="11" t="s">
        <v>16958</v>
      </c>
      <c r="F533" s="11" t="s">
        <v>20155</v>
      </c>
      <c r="G533" s="11" t="s">
        <v>20161</v>
      </c>
      <c r="H533" s="12">
        <v>44910</v>
      </c>
      <c r="I533" s="11">
        <v>20150</v>
      </c>
      <c r="J533" s="295" t="s">
        <v>20324</v>
      </c>
      <c r="K533" s="11">
        <v>0</v>
      </c>
      <c r="L533" s="316"/>
      <c r="M533" s="11">
        <v>0</v>
      </c>
      <c r="N533" s="315"/>
      <c r="O533" s="11">
        <v>0</v>
      </c>
      <c r="P533" s="25"/>
      <c r="Q533" s="11">
        <v>20150</v>
      </c>
    </row>
    <row r="534" spans="1:17" s="1" customFormat="1" ht="11.45">
      <c r="A534" s="11" t="s">
        <v>18882</v>
      </c>
      <c r="B534" s="12">
        <v>44905</v>
      </c>
      <c r="C534" s="11">
        <v>2022</v>
      </c>
      <c r="D534" s="11" t="s">
        <v>17332</v>
      </c>
      <c r="E534" s="11" t="s">
        <v>17333</v>
      </c>
      <c r="F534" s="11" t="s">
        <v>20155</v>
      </c>
      <c r="G534" s="11" t="s">
        <v>17939</v>
      </c>
      <c r="H534" s="12">
        <v>44912</v>
      </c>
      <c r="I534" s="11">
        <v>300000</v>
      </c>
      <c r="J534" s="295" t="s">
        <v>20324</v>
      </c>
      <c r="K534" s="11">
        <v>0</v>
      </c>
      <c r="L534" s="316"/>
      <c r="M534" s="11">
        <v>0</v>
      </c>
      <c r="N534" s="315"/>
      <c r="O534" s="11">
        <v>0</v>
      </c>
      <c r="P534" s="25"/>
      <c r="Q534" s="11">
        <v>300000</v>
      </c>
    </row>
    <row r="535" spans="1:17" s="1" customFormat="1" ht="11.45">
      <c r="A535" s="11" t="s">
        <v>18883</v>
      </c>
      <c r="B535" s="12">
        <v>44908</v>
      </c>
      <c r="C535" s="11">
        <v>2022</v>
      </c>
      <c r="D535" s="11" t="s">
        <v>16957</v>
      </c>
      <c r="E535" s="11" t="s">
        <v>16958</v>
      </c>
      <c r="F535" s="11" t="s">
        <v>20155</v>
      </c>
      <c r="G535" s="11" t="s">
        <v>20161</v>
      </c>
      <c r="H535" s="12">
        <v>44911</v>
      </c>
      <c r="I535" s="11">
        <v>20150</v>
      </c>
      <c r="J535" s="25">
        <v>1</v>
      </c>
      <c r="K535" s="11">
        <v>0</v>
      </c>
      <c r="L535" s="316"/>
      <c r="M535" s="11">
        <v>0</v>
      </c>
      <c r="N535" s="315"/>
      <c r="O535" s="11">
        <v>0</v>
      </c>
      <c r="P535" s="25"/>
      <c r="Q535" s="11">
        <v>20150</v>
      </c>
    </row>
    <row r="536" spans="1:17" s="1" customFormat="1" ht="11.45">
      <c r="A536" s="11" t="s">
        <v>18884</v>
      </c>
      <c r="B536" s="12">
        <v>44908</v>
      </c>
      <c r="C536" s="11">
        <v>2022</v>
      </c>
      <c r="D536" s="11" t="s">
        <v>17332</v>
      </c>
      <c r="E536" s="11" t="s">
        <v>17333</v>
      </c>
      <c r="F536" s="11" t="s">
        <v>20155</v>
      </c>
      <c r="G536" s="11" t="s">
        <v>17939</v>
      </c>
      <c r="H536" s="12">
        <v>44917</v>
      </c>
      <c r="I536" s="11">
        <v>96000</v>
      </c>
      <c r="J536" s="295" t="s">
        <v>20324</v>
      </c>
      <c r="K536" s="11">
        <v>144000</v>
      </c>
      <c r="L536" s="353" t="s">
        <v>20323</v>
      </c>
      <c r="M536" s="11">
        <v>12000</v>
      </c>
      <c r="N536" s="353" t="s">
        <v>20323</v>
      </c>
      <c r="O536" s="11">
        <v>0</v>
      </c>
      <c r="P536" s="25"/>
      <c r="Q536" s="11">
        <v>252000</v>
      </c>
    </row>
    <row r="537" spans="1:17" s="1" customFormat="1" ht="11.45">
      <c r="A537" s="11" t="s">
        <v>18885</v>
      </c>
      <c r="B537" s="12">
        <v>44908</v>
      </c>
      <c r="C537" s="11">
        <v>2022</v>
      </c>
      <c r="D537" s="11" t="s">
        <v>17017</v>
      </c>
      <c r="E537" s="11" t="s">
        <v>17018</v>
      </c>
      <c r="F537" s="11" t="s">
        <v>20155</v>
      </c>
      <c r="G537" s="11" t="s">
        <v>18064</v>
      </c>
      <c r="H537" s="12">
        <v>44914</v>
      </c>
      <c r="I537" s="11">
        <v>0</v>
      </c>
      <c r="J537" s="295"/>
      <c r="K537" s="11">
        <v>20000</v>
      </c>
      <c r="L537" s="25">
        <v>1</v>
      </c>
      <c r="M537" s="11">
        <v>0</v>
      </c>
      <c r="N537" s="315"/>
      <c r="O537" s="11">
        <v>0</v>
      </c>
      <c r="P537" s="25"/>
      <c r="Q537" s="11">
        <v>20000</v>
      </c>
    </row>
    <row r="538" spans="1:17" s="1" customFormat="1" ht="11.45">
      <c r="A538" s="11" t="s">
        <v>18886</v>
      </c>
      <c r="B538" s="12">
        <v>44908</v>
      </c>
      <c r="C538" s="11">
        <v>2022</v>
      </c>
      <c r="D538" s="11" t="s">
        <v>16560</v>
      </c>
      <c r="E538" s="11" t="s">
        <v>16561</v>
      </c>
      <c r="F538" s="11" t="s">
        <v>20155</v>
      </c>
      <c r="G538" s="11" t="s">
        <v>17801</v>
      </c>
      <c r="H538" s="12">
        <v>44922</v>
      </c>
      <c r="I538" s="11">
        <v>0</v>
      </c>
      <c r="J538" s="295"/>
      <c r="K538" s="11">
        <v>0</v>
      </c>
      <c r="L538" s="316"/>
      <c r="M538" s="11">
        <v>112000</v>
      </c>
      <c r="N538" s="316" t="s">
        <v>20323</v>
      </c>
      <c r="O538" s="11">
        <v>0</v>
      </c>
      <c r="P538" s="25"/>
      <c r="Q538" s="11">
        <v>112000</v>
      </c>
    </row>
    <row r="539" spans="1:17" s="1" customFormat="1" ht="11.45">
      <c r="A539" s="11" t="s">
        <v>18887</v>
      </c>
      <c r="B539" s="12">
        <v>44908</v>
      </c>
      <c r="C539" s="11">
        <v>2022</v>
      </c>
      <c r="D539" s="11" t="s">
        <v>16904</v>
      </c>
      <c r="E539" s="11" t="s">
        <v>16905</v>
      </c>
      <c r="F539" s="11" t="s">
        <v>20155</v>
      </c>
      <c r="G539" s="11" t="s">
        <v>20160</v>
      </c>
      <c r="H539" s="12">
        <v>44917</v>
      </c>
      <c r="I539" s="11">
        <v>0</v>
      </c>
      <c r="J539" s="295"/>
      <c r="K539" s="11">
        <v>20328</v>
      </c>
      <c r="L539" s="25">
        <v>1</v>
      </c>
      <c r="M539" s="11">
        <v>7500</v>
      </c>
      <c r="N539" s="25">
        <v>1</v>
      </c>
      <c r="O539" s="11">
        <v>0</v>
      </c>
      <c r="P539" s="25"/>
      <c r="Q539" s="11">
        <v>27828</v>
      </c>
    </row>
    <row r="540" spans="1:17" s="1" customFormat="1" ht="11.45">
      <c r="A540" s="11" t="s">
        <v>18888</v>
      </c>
      <c r="B540" s="12">
        <v>44908</v>
      </c>
      <c r="C540" s="11">
        <v>2022</v>
      </c>
      <c r="D540" s="11" t="s">
        <v>16904</v>
      </c>
      <c r="E540" s="11" t="s">
        <v>16905</v>
      </c>
      <c r="F540" s="11" t="s">
        <v>20155</v>
      </c>
      <c r="G540" s="11" t="s">
        <v>20160</v>
      </c>
      <c r="H540" s="12">
        <v>44917</v>
      </c>
      <c r="I540" s="11">
        <v>0</v>
      </c>
      <c r="J540" s="295"/>
      <c r="K540" s="11">
        <v>21600</v>
      </c>
      <c r="L540" s="25">
        <v>1</v>
      </c>
      <c r="M540" s="11">
        <v>0</v>
      </c>
      <c r="N540" s="315"/>
      <c r="O540" s="11">
        <v>0</v>
      </c>
      <c r="P540" s="25"/>
      <c r="Q540" s="11">
        <v>21600</v>
      </c>
    </row>
    <row r="541" spans="1:17" s="1" customFormat="1" ht="11.45">
      <c r="A541" s="11" t="s">
        <v>18889</v>
      </c>
      <c r="B541" s="12">
        <v>44908</v>
      </c>
      <c r="C541" s="11">
        <v>2022</v>
      </c>
      <c r="D541" s="11" t="s">
        <v>17209</v>
      </c>
      <c r="E541" s="11" t="s">
        <v>17210</v>
      </c>
      <c r="F541" s="11" t="s">
        <v>20155</v>
      </c>
      <c r="G541" s="11" t="s">
        <v>20168</v>
      </c>
      <c r="H541" s="12">
        <v>44922</v>
      </c>
      <c r="I541" s="11">
        <v>9000</v>
      </c>
      <c r="J541" s="25">
        <v>1</v>
      </c>
      <c r="K541" s="11">
        <v>8160</v>
      </c>
      <c r="L541" s="25">
        <v>1</v>
      </c>
      <c r="M541" s="11">
        <v>2880</v>
      </c>
      <c r="N541" s="25">
        <v>1</v>
      </c>
      <c r="O541" s="11">
        <v>1500</v>
      </c>
      <c r="P541" s="25">
        <v>1</v>
      </c>
      <c r="Q541" s="11">
        <v>21540</v>
      </c>
    </row>
    <row r="542" spans="1:17" s="1" customFormat="1" ht="11.45">
      <c r="A542" s="11" t="s">
        <v>20342</v>
      </c>
      <c r="B542" s="12">
        <v>44909</v>
      </c>
      <c r="C542" s="11">
        <v>2022</v>
      </c>
      <c r="D542" s="11" t="s">
        <v>16560</v>
      </c>
      <c r="E542" s="11" t="s">
        <v>16561</v>
      </c>
      <c r="F542" s="11" t="s">
        <v>20164</v>
      </c>
      <c r="G542" s="11" t="s">
        <v>17801</v>
      </c>
      <c r="H542" s="12">
        <v>0</v>
      </c>
      <c r="I542" s="11">
        <v>0</v>
      </c>
      <c r="J542" s="295"/>
      <c r="K542" s="11">
        <v>230000</v>
      </c>
      <c r="L542" s="316" t="s">
        <v>20323</v>
      </c>
      <c r="M542" s="11">
        <v>50000</v>
      </c>
      <c r="N542" s="316" t="s">
        <v>20323</v>
      </c>
      <c r="O542" s="11">
        <v>0</v>
      </c>
      <c r="P542" s="25"/>
      <c r="Q542" s="11">
        <v>280000</v>
      </c>
    </row>
    <row r="543" spans="1:17" s="1" customFormat="1" ht="11.45">
      <c r="A543" s="11" t="s">
        <v>18890</v>
      </c>
      <c r="B543" s="12">
        <v>44909</v>
      </c>
      <c r="C543" s="11">
        <v>2022</v>
      </c>
      <c r="D543" s="11" t="s">
        <v>16560</v>
      </c>
      <c r="E543" s="11" t="s">
        <v>16561</v>
      </c>
      <c r="F543" s="11" t="s">
        <v>20155</v>
      </c>
      <c r="G543" s="11" t="s">
        <v>20343</v>
      </c>
      <c r="H543" s="12">
        <v>44923</v>
      </c>
      <c r="I543" s="11">
        <v>0</v>
      </c>
      <c r="J543" s="295"/>
      <c r="K543" s="11">
        <v>0</v>
      </c>
      <c r="L543" s="316"/>
      <c r="M543" s="11">
        <v>112000</v>
      </c>
      <c r="N543" s="316" t="s">
        <v>20323</v>
      </c>
      <c r="O543" s="11">
        <v>0</v>
      </c>
      <c r="P543" s="25"/>
      <c r="Q543" s="11">
        <v>112000</v>
      </c>
    </row>
    <row r="544" spans="1:17" s="1" customFormat="1" ht="11.45">
      <c r="A544" s="11" t="s">
        <v>18891</v>
      </c>
      <c r="B544" s="12">
        <v>44909</v>
      </c>
      <c r="C544" s="11">
        <v>2022</v>
      </c>
      <c r="D544" s="11" t="s">
        <v>16444</v>
      </c>
      <c r="E544" s="11" t="s">
        <v>16445</v>
      </c>
      <c r="F544" s="11" t="s">
        <v>20155</v>
      </c>
      <c r="G544" s="11" t="s">
        <v>18248</v>
      </c>
      <c r="H544" s="12">
        <v>44921</v>
      </c>
      <c r="I544" s="11">
        <v>22008</v>
      </c>
      <c r="J544" s="295" t="s">
        <v>20324</v>
      </c>
      <c r="K544" s="11">
        <v>0</v>
      </c>
      <c r="L544" s="316"/>
      <c r="M544" s="11">
        <v>0</v>
      </c>
      <c r="N544" s="315"/>
      <c r="O544" s="11">
        <v>0</v>
      </c>
      <c r="P544" s="25"/>
      <c r="Q544" s="11">
        <v>22008</v>
      </c>
    </row>
    <row r="545" spans="1:17" s="1" customFormat="1" ht="11.45">
      <c r="A545" s="11" t="s">
        <v>18892</v>
      </c>
      <c r="B545" s="12">
        <v>44910</v>
      </c>
      <c r="C545" s="11">
        <v>2022</v>
      </c>
      <c r="D545" s="11" t="s">
        <v>16904</v>
      </c>
      <c r="E545" s="11" t="s">
        <v>16905</v>
      </c>
      <c r="F545" s="11" t="s">
        <v>20155</v>
      </c>
      <c r="G545" s="11" t="s">
        <v>20160</v>
      </c>
      <c r="H545" s="12">
        <v>44916</v>
      </c>
      <c r="I545" s="11">
        <v>0</v>
      </c>
      <c r="J545" s="295"/>
      <c r="K545" s="11">
        <v>11016</v>
      </c>
      <c r="L545" s="25">
        <v>1</v>
      </c>
      <c r="M545" s="11">
        <v>0</v>
      </c>
      <c r="N545" s="315"/>
      <c r="O545" s="11">
        <v>0</v>
      </c>
      <c r="P545" s="25"/>
      <c r="Q545" s="11">
        <v>11016</v>
      </c>
    </row>
    <row r="546" spans="1:17" s="1" customFormat="1" ht="11.45">
      <c r="A546" s="11" t="s">
        <v>18893</v>
      </c>
      <c r="B546" s="12">
        <v>44910</v>
      </c>
      <c r="C546" s="11">
        <v>2022</v>
      </c>
      <c r="D546" s="11" t="s">
        <v>17321</v>
      </c>
      <c r="E546" s="11" t="s">
        <v>17322</v>
      </c>
      <c r="F546" s="11" t="s">
        <v>20155</v>
      </c>
      <c r="G546" s="11" t="s">
        <v>17939</v>
      </c>
      <c r="H546" s="12">
        <v>44919</v>
      </c>
      <c r="I546" s="11">
        <v>0</v>
      </c>
      <c r="J546" s="295"/>
      <c r="K546" s="11">
        <v>0</v>
      </c>
      <c r="L546" s="316"/>
      <c r="M546" s="11">
        <v>0</v>
      </c>
      <c r="N546" s="315"/>
      <c r="O546" s="11">
        <v>25500</v>
      </c>
      <c r="P546" s="25">
        <v>1</v>
      </c>
      <c r="Q546" s="11">
        <v>25500</v>
      </c>
    </row>
    <row r="547" spans="1:17" s="1" customFormat="1" ht="11.45">
      <c r="A547" s="11" t="s">
        <v>18894</v>
      </c>
      <c r="B547" s="12">
        <v>44910</v>
      </c>
      <c r="C547" s="11">
        <v>2022</v>
      </c>
      <c r="D547" s="11" t="s">
        <v>17321</v>
      </c>
      <c r="E547" s="11" t="s">
        <v>17322</v>
      </c>
      <c r="F547" s="11" t="s">
        <v>20155</v>
      </c>
      <c r="G547" s="11" t="s">
        <v>17939</v>
      </c>
      <c r="H547" s="12">
        <v>44923</v>
      </c>
      <c r="I547" s="11">
        <v>0</v>
      </c>
      <c r="J547" s="295"/>
      <c r="K547" s="11">
        <v>90000</v>
      </c>
      <c r="L547" s="295" t="s">
        <v>20324</v>
      </c>
      <c r="M547" s="11">
        <v>0</v>
      </c>
      <c r="N547" s="315"/>
      <c r="O547" s="11">
        <v>0</v>
      </c>
      <c r="P547" s="25"/>
      <c r="Q547" s="11">
        <v>90000</v>
      </c>
    </row>
    <row r="548" spans="1:17" s="1" customFormat="1" ht="11.45">
      <c r="A548" s="11" t="s">
        <v>18895</v>
      </c>
      <c r="B548" s="12">
        <v>44910</v>
      </c>
      <c r="C548" s="11">
        <v>2022</v>
      </c>
      <c r="D548" s="11" t="s">
        <v>17336</v>
      </c>
      <c r="E548" s="11" t="s">
        <v>17337</v>
      </c>
      <c r="F548" s="11" t="s">
        <v>20155</v>
      </c>
      <c r="G548" s="11" t="s">
        <v>17939</v>
      </c>
      <c r="H548" s="12">
        <v>44925</v>
      </c>
      <c r="I548" s="11">
        <v>0</v>
      </c>
      <c r="J548" s="295"/>
      <c r="K548" s="11">
        <v>117600</v>
      </c>
      <c r="L548" s="353" t="s">
        <v>20323</v>
      </c>
      <c r="M548" s="11">
        <v>4800</v>
      </c>
      <c r="N548" s="353" t="s">
        <v>20323</v>
      </c>
      <c r="O548" s="11">
        <v>0</v>
      </c>
      <c r="P548" s="25"/>
      <c r="Q548" s="11">
        <v>122400</v>
      </c>
    </row>
    <row r="549" spans="1:17" s="1" customFormat="1" ht="11.45">
      <c r="A549" s="11" t="s">
        <v>18896</v>
      </c>
      <c r="B549" s="12">
        <v>44911</v>
      </c>
      <c r="C549" s="11">
        <v>2022</v>
      </c>
      <c r="D549" s="11" t="s">
        <v>17309</v>
      </c>
      <c r="E549" s="11" t="s">
        <v>17310</v>
      </c>
      <c r="F549" s="11" t="s">
        <v>20155</v>
      </c>
      <c r="G549" s="11" t="s">
        <v>20321</v>
      </c>
      <c r="H549" s="12">
        <v>44919</v>
      </c>
      <c r="I549" s="11">
        <v>0</v>
      </c>
      <c r="J549" s="295"/>
      <c r="K549" s="11">
        <v>165600</v>
      </c>
      <c r="L549" s="316" t="s">
        <v>20323</v>
      </c>
      <c r="M549" s="11">
        <v>0</v>
      </c>
      <c r="N549" s="315"/>
      <c r="O549" s="11">
        <v>0</v>
      </c>
      <c r="P549" s="25"/>
      <c r="Q549" s="11">
        <v>165600</v>
      </c>
    </row>
    <row r="550" spans="1:17" s="1" customFormat="1" ht="11.45">
      <c r="A550" s="11" t="s">
        <v>18897</v>
      </c>
      <c r="B550" s="12">
        <v>44915</v>
      </c>
      <c r="C550" s="11">
        <v>2022</v>
      </c>
      <c r="D550" s="11" t="s">
        <v>16444</v>
      </c>
      <c r="E550" s="11" t="s">
        <v>16445</v>
      </c>
      <c r="F550" s="11" t="s">
        <v>20155</v>
      </c>
      <c r="G550" s="11" t="s">
        <v>18248</v>
      </c>
      <c r="H550" s="12">
        <v>44921</v>
      </c>
      <c r="I550" s="11">
        <v>19200</v>
      </c>
      <c r="J550" s="295" t="s">
        <v>20324</v>
      </c>
      <c r="K550" s="11">
        <v>0</v>
      </c>
      <c r="L550" s="316"/>
      <c r="M550" s="11">
        <v>0</v>
      </c>
      <c r="N550" s="315"/>
      <c r="O550" s="11">
        <v>0</v>
      </c>
      <c r="P550" s="25"/>
      <c r="Q550" s="11">
        <v>19200</v>
      </c>
    </row>
    <row r="551" spans="1:17" s="1" customFormat="1" ht="11.45">
      <c r="A551" s="11" t="s">
        <v>18898</v>
      </c>
      <c r="B551" s="12">
        <v>44915</v>
      </c>
      <c r="C551" s="11">
        <v>2022</v>
      </c>
      <c r="D551" s="11" t="s">
        <v>17334</v>
      </c>
      <c r="E551" s="11" t="s">
        <v>17335</v>
      </c>
      <c r="F551" s="11" t="s">
        <v>20155</v>
      </c>
      <c r="G551" s="11" t="s">
        <v>16394</v>
      </c>
      <c r="H551" s="12">
        <v>44919</v>
      </c>
      <c r="I551" s="11">
        <v>7680</v>
      </c>
      <c r="J551" s="25">
        <v>1</v>
      </c>
      <c r="K551" s="11">
        <v>49248</v>
      </c>
      <c r="L551" s="25">
        <v>1</v>
      </c>
      <c r="M551" s="11">
        <v>36000</v>
      </c>
      <c r="N551" s="25">
        <v>1</v>
      </c>
      <c r="O551" s="11">
        <v>3920</v>
      </c>
      <c r="P551" s="25">
        <v>1</v>
      </c>
      <c r="Q551" s="11">
        <v>96848</v>
      </c>
    </row>
    <row r="552" spans="1:17" s="1" customFormat="1" ht="11.45">
      <c r="A552" s="11" t="s">
        <v>20344</v>
      </c>
      <c r="B552" s="12">
        <v>44915</v>
      </c>
      <c r="C552" s="11">
        <v>2022</v>
      </c>
      <c r="D552" s="11" t="s">
        <v>17304</v>
      </c>
      <c r="E552" s="11" t="s">
        <v>17305</v>
      </c>
      <c r="F552" s="11" t="s">
        <v>20164</v>
      </c>
      <c r="G552" s="11" t="s">
        <v>17954</v>
      </c>
      <c r="H552" s="12">
        <v>0</v>
      </c>
      <c r="I552" s="11">
        <v>0</v>
      </c>
      <c r="J552" s="295"/>
      <c r="K552" s="11">
        <v>13572</v>
      </c>
      <c r="L552" s="25">
        <v>1</v>
      </c>
      <c r="M552" s="11">
        <v>0</v>
      </c>
      <c r="N552" s="315"/>
      <c r="O552" s="11">
        <v>2700</v>
      </c>
      <c r="P552" s="25">
        <v>1</v>
      </c>
      <c r="Q552" s="11">
        <v>16272</v>
      </c>
    </row>
    <row r="553" spans="1:17" s="1" customFormat="1" ht="11.45">
      <c r="A553" s="11" t="s">
        <v>18899</v>
      </c>
      <c r="B553" s="12">
        <v>44916</v>
      </c>
      <c r="C553" s="11">
        <v>2022</v>
      </c>
      <c r="D553" s="11" t="s">
        <v>17248</v>
      </c>
      <c r="E553" s="11" t="s">
        <v>17249</v>
      </c>
      <c r="F553" s="11" t="s">
        <v>20155</v>
      </c>
      <c r="G553" s="11" t="s">
        <v>17954</v>
      </c>
      <c r="H553" s="12">
        <v>44925</v>
      </c>
      <c r="I553" s="11">
        <v>8000</v>
      </c>
      <c r="J553" s="25">
        <v>1</v>
      </c>
      <c r="K553" s="11">
        <v>43136</v>
      </c>
      <c r="L553" s="25">
        <v>1</v>
      </c>
      <c r="M553" s="11">
        <v>2400</v>
      </c>
      <c r="N553" s="25">
        <v>1</v>
      </c>
      <c r="O553" s="11">
        <v>0</v>
      </c>
      <c r="P553" s="25"/>
      <c r="Q553" s="11">
        <v>53536</v>
      </c>
    </row>
    <row r="554" spans="1:17" s="1" customFormat="1" ht="11.45">
      <c r="A554" s="11" t="s">
        <v>18900</v>
      </c>
      <c r="B554" s="12">
        <v>44918</v>
      </c>
      <c r="C554" s="11">
        <v>2022</v>
      </c>
      <c r="D554" s="11" t="s">
        <v>16470</v>
      </c>
      <c r="E554" s="11" t="s">
        <v>16471</v>
      </c>
      <c r="F554" s="11" t="s">
        <v>20155</v>
      </c>
      <c r="G554" s="11" t="s">
        <v>18227</v>
      </c>
      <c r="H554" s="12">
        <v>44924</v>
      </c>
      <c r="I554" s="11">
        <v>0</v>
      </c>
      <c r="J554" s="295"/>
      <c r="K554" s="11">
        <v>274572</v>
      </c>
      <c r="L554" s="353" t="s">
        <v>20300</v>
      </c>
      <c r="M554" s="11">
        <v>0</v>
      </c>
      <c r="N554" s="315"/>
      <c r="O554" s="11">
        <v>0</v>
      </c>
      <c r="P554" s="25"/>
      <c r="Q554" s="11">
        <v>274572</v>
      </c>
    </row>
    <row r="555" spans="1:17" s="1" customFormat="1" ht="11.45">
      <c r="A555" s="317" t="s">
        <v>18901</v>
      </c>
      <c r="B555" s="358">
        <v>44928</v>
      </c>
      <c r="C555" s="317">
        <v>2023</v>
      </c>
      <c r="D555" s="317" t="s">
        <v>16838</v>
      </c>
      <c r="E555" s="317" t="s">
        <v>16839</v>
      </c>
      <c r="F555" s="317" t="s">
        <v>20155</v>
      </c>
      <c r="G555" s="317" t="s">
        <v>17949</v>
      </c>
      <c r="H555" s="358">
        <v>44934</v>
      </c>
      <c r="I555" s="317">
        <v>57600</v>
      </c>
      <c r="J555" s="359" t="s">
        <v>20345</v>
      </c>
      <c r="K555" s="317">
        <v>25800</v>
      </c>
      <c r="L555" s="359" t="s">
        <v>20346</v>
      </c>
      <c r="M555" s="317">
        <v>0</v>
      </c>
      <c r="N555" s="359"/>
      <c r="O555" s="317">
        <v>0</v>
      </c>
      <c r="P555" s="360"/>
      <c r="Q555" s="317">
        <v>83400</v>
      </c>
    </row>
    <row r="556" spans="1:17" s="1" customFormat="1" ht="11.45">
      <c r="A556" s="317" t="s">
        <v>18902</v>
      </c>
      <c r="B556" s="358">
        <v>44929</v>
      </c>
      <c r="C556" s="317">
        <v>2023</v>
      </c>
      <c r="D556" s="317" t="s">
        <v>17304</v>
      </c>
      <c r="E556" s="317" t="s">
        <v>17305</v>
      </c>
      <c r="F556" s="317" t="s">
        <v>20155</v>
      </c>
      <c r="G556" s="317" t="s">
        <v>17954</v>
      </c>
      <c r="H556" s="358">
        <v>44935</v>
      </c>
      <c r="I556" s="317">
        <v>0</v>
      </c>
      <c r="J556" s="361"/>
      <c r="K556" s="317">
        <v>17803.28</v>
      </c>
      <c r="L556" s="361">
        <v>1</v>
      </c>
      <c r="M556" s="317">
        <v>0</v>
      </c>
      <c r="N556" s="359"/>
      <c r="O556" s="317">
        <v>2700</v>
      </c>
      <c r="P556" s="361">
        <v>1</v>
      </c>
      <c r="Q556" s="317">
        <v>20503.28</v>
      </c>
    </row>
    <row r="557" spans="1:17" s="1" customFormat="1" ht="11.45">
      <c r="A557" s="317" t="s">
        <v>18903</v>
      </c>
      <c r="B557" s="358">
        <v>44929</v>
      </c>
      <c r="C557" s="317">
        <v>2023</v>
      </c>
      <c r="D557" s="317" t="s">
        <v>16560</v>
      </c>
      <c r="E557" s="317" t="s">
        <v>16561</v>
      </c>
      <c r="F557" s="317" t="s">
        <v>20155</v>
      </c>
      <c r="G557" s="317" t="s">
        <v>17801</v>
      </c>
      <c r="H557" s="358">
        <v>44937</v>
      </c>
      <c r="I557" s="317">
        <v>0</v>
      </c>
      <c r="J557" s="359"/>
      <c r="K557" s="317">
        <v>230000</v>
      </c>
      <c r="L557" s="359" t="s">
        <v>20347</v>
      </c>
      <c r="M557" s="317">
        <v>50000</v>
      </c>
      <c r="N557" s="359" t="s">
        <v>20347</v>
      </c>
      <c r="O557" s="317">
        <v>0</v>
      </c>
      <c r="P557" s="360"/>
      <c r="Q557" s="317">
        <v>280000</v>
      </c>
    </row>
    <row r="558" spans="1:17" s="1" customFormat="1" ht="11.45">
      <c r="A558" s="317" t="s">
        <v>18904</v>
      </c>
      <c r="B558" s="358">
        <v>44930</v>
      </c>
      <c r="C558" s="317">
        <v>2023</v>
      </c>
      <c r="D558" s="317" t="s">
        <v>17297</v>
      </c>
      <c r="E558" s="317" t="s">
        <v>17298</v>
      </c>
      <c r="F558" s="317" t="s">
        <v>20155</v>
      </c>
      <c r="G558" s="317" t="s">
        <v>20319</v>
      </c>
      <c r="H558" s="358">
        <v>44946</v>
      </c>
      <c r="I558" s="317">
        <v>7200</v>
      </c>
      <c r="J558" s="359" t="s">
        <v>20345</v>
      </c>
      <c r="K558" s="317">
        <v>19200</v>
      </c>
      <c r="L558" s="359" t="s">
        <v>20348</v>
      </c>
      <c r="M558" s="317">
        <v>0</v>
      </c>
      <c r="N558" s="359"/>
      <c r="O558" s="317">
        <v>0</v>
      </c>
      <c r="P558" s="360"/>
      <c r="Q558" s="317">
        <v>26400</v>
      </c>
    </row>
    <row r="559" spans="1:17" s="1" customFormat="1" ht="11.45">
      <c r="A559" s="317" t="s">
        <v>18905</v>
      </c>
      <c r="B559" s="358">
        <v>44935</v>
      </c>
      <c r="C559" s="317">
        <v>2023</v>
      </c>
      <c r="D559" s="317" t="s">
        <v>17309</v>
      </c>
      <c r="E559" s="317" t="s">
        <v>17310</v>
      </c>
      <c r="F559" s="317" t="s">
        <v>20155</v>
      </c>
      <c r="G559" s="317" t="s">
        <v>20321</v>
      </c>
      <c r="H559" s="358">
        <v>44943</v>
      </c>
      <c r="I559" s="317">
        <v>0</v>
      </c>
      <c r="J559" s="359"/>
      <c r="K559" s="317">
        <v>110400</v>
      </c>
      <c r="L559" s="359" t="s">
        <v>20347</v>
      </c>
      <c r="M559" s="317">
        <v>0</v>
      </c>
      <c r="N559" s="359"/>
      <c r="O559" s="317">
        <v>0</v>
      </c>
      <c r="P559" s="360"/>
      <c r="Q559" s="317">
        <v>110400</v>
      </c>
    </row>
    <row r="560" spans="1:17" s="1" customFormat="1" ht="11.45">
      <c r="A560" s="317" t="s">
        <v>18906</v>
      </c>
      <c r="B560" s="358">
        <v>44936</v>
      </c>
      <c r="C560" s="317">
        <v>2023</v>
      </c>
      <c r="D560" s="317" t="s">
        <v>16904</v>
      </c>
      <c r="E560" s="317" t="s">
        <v>16905</v>
      </c>
      <c r="F560" s="317" t="s">
        <v>20155</v>
      </c>
      <c r="G560" s="317" t="s">
        <v>20160</v>
      </c>
      <c r="H560" s="358">
        <v>44942</v>
      </c>
      <c r="I560" s="317">
        <v>0</v>
      </c>
      <c r="J560" s="359"/>
      <c r="K560" s="317">
        <v>21600</v>
      </c>
      <c r="L560" s="16">
        <v>1</v>
      </c>
      <c r="M560" s="317">
        <v>0</v>
      </c>
      <c r="N560" s="359"/>
      <c r="O560" s="317">
        <v>0</v>
      </c>
      <c r="P560" s="360"/>
      <c r="Q560" s="317">
        <v>21600</v>
      </c>
    </row>
    <row r="561" spans="1:17" s="1" customFormat="1" ht="11.45">
      <c r="A561" s="317" t="s">
        <v>18907</v>
      </c>
      <c r="B561" s="358">
        <v>44942</v>
      </c>
      <c r="C561" s="317">
        <v>2023</v>
      </c>
      <c r="D561" s="317" t="s">
        <v>17340</v>
      </c>
      <c r="E561" s="317" t="s">
        <v>17341</v>
      </c>
      <c r="F561" s="317" t="s">
        <v>20155</v>
      </c>
      <c r="G561" s="317" t="s">
        <v>20195</v>
      </c>
      <c r="H561" s="358">
        <v>44951</v>
      </c>
      <c r="I561" s="317">
        <v>0</v>
      </c>
      <c r="J561" s="359"/>
      <c r="K561" s="317">
        <v>28020</v>
      </c>
      <c r="L561" s="359" t="s">
        <v>20347</v>
      </c>
      <c r="M561" s="317">
        <v>56000</v>
      </c>
      <c r="N561" s="359" t="s">
        <v>20347</v>
      </c>
      <c r="O561" s="317">
        <v>0</v>
      </c>
      <c r="P561" s="360"/>
      <c r="Q561" s="317">
        <v>84020</v>
      </c>
    </row>
    <row r="562" spans="1:17" s="1" customFormat="1" ht="11.45">
      <c r="A562" s="317" t="s">
        <v>18909</v>
      </c>
      <c r="B562" s="358">
        <v>44943</v>
      </c>
      <c r="C562" s="317">
        <v>2023</v>
      </c>
      <c r="D562" s="317" t="s">
        <v>17323</v>
      </c>
      <c r="E562" s="317" t="s">
        <v>17324</v>
      </c>
      <c r="F562" s="317" t="s">
        <v>20155</v>
      </c>
      <c r="G562" s="317" t="s">
        <v>20319</v>
      </c>
      <c r="H562" s="358">
        <v>44967</v>
      </c>
      <c r="I562" s="317">
        <v>21600</v>
      </c>
      <c r="J562" s="359" t="s">
        <v>20345</v>
      </c>
      <c r="K562" s="317">
        <v>0</v>
      </c>
      <c r="L562" s="359"/>
      <c r="M562" s="317">
        <v>0</v>
      </c>
      <c r="N562" s="359"/>
      <c r="O562" s="317">
        <v>0</v>
      </c>
      <c r="P562" s="360"/>
      <c r="Q562" s="317">
        <v>21600</v>
      </c>
    </row>
    <row r="563" spans="1:17" s="1" customFormat="1" ht="11.45">
      <c r="A563" s="317" t="s">
        <v>18910</v>
      </c>
      <c r="B563" s="358">
        <v>44943</v>
      </c>
      <c r="C563" s="317">
        <v>2023</v>
      </c>
      <c r="D563" s="317" t="s">
        <v>16444</v>
      </c>
      <c r="E563" s="317" t="s">
        <v>16445</v>
      </c>
      <c r="F563" s="317" t="s">
        <v>20155</v>
      </c>
      <c r="G563" s="317" t="s">
        <v>20173</v>
      </c>
      <c r="H563" s="358">
        <v>44950</v>
      </c>
      <c r="I563" s="317">
        <v>0</v>
      </c>
      <c r="J563" s="359"/>
      <c r="K563" s="317">
        <v>50000</v>
      </c>
      <c r="L563" s="359" t="s">
        <v>20347</v>
      </c>
      <c r="M563" s="317">
        <v>0</v>
      </c>
      <c r="N563" s="359"/>
      <c r="O563" s="317">
        <v>0</v>
      </c>
      <c r="P563" s="360"/>
      <c r="Q563" s="317">
        <v>50000</v>
      </c>
    </row>
    <row r="564" spans="1:17" s="1" customFormat="1" ht="11.45">
      <c r="A564" s="317" t="s">
        <v>18911</v>
      </c>
      <c r="B564" s="358">
        <v>44943</v>
      </c>
      <c r="C564" s="317">
        <v>2023</v>
      </c>
      <c r="D564" s="317" t="s">
        <v>16444</v>
      </c>
      <c r="E564" s="317" t="s">
        <v>16445</v>
      </c>
      <c r="F564" s="317" t="s">
        <v>20155</v>
      </c>
      <c r="G564" s="317" t="s">
        <v>17949</v>
      </c>
      <c r="H564" s="358">
        <v>44951</v>
      </c>
      <c r="I564" s="317">
        <v>21600</v>
      </c>
      <c r="J564" s="359" t="s">
        <v>20345</v>
      </c>
      <c r="K564" s="317">
        <v>0</v>
      </c>
      <c r="L564" s="359"/>
      <c r="M564" s="317">
        <v>0</v>
      </c>
      <c r="N564" s="359"/>
      <c r="O564" s="317">
        <v>0</v>
      </c>
      <c r="P564" s="360"/>
      <c r="Q564" s="317">
        <v>21600</v>
      </c>
    </row>
    <row r="565" spans="1:17" s="1" customFormat="1" ht="11.45">
      <c r="A565" s="317" t="s">
        <v>18912</v>
      </c>
      <c r="B565" s="358">
        <v>44943</v>
      </c>
      <c r="C565" s="317">
        <v>2023</v>
      </c>
      <c r="D565" s="317" t="s">
        <v>16444</v>
      </c>
      <c r="E565" s="317" t="s">
        <v>16445</v>
      </c>
      <c r="F565" s="317" t="s">
        <v>20155</v>
      </c>
      <c r="G565" s="317" t="s">
        <v>17949</v>
      </c>
      <c r="H565" s="358">
        <v>44951</v>
      </c>
      <c r="I565" s="317">
        <v>22008</v>
      </c>
      <c r="J565" s="359" t="s">
        <v>20345</v>
      </c>
      <c r="K565" s="317">
        <v>0</v>
      </c>
      <c r="L565" s="359"/>
      <c r="M565" s="317">
        <v>0</v>
      </c>
      <c r="N565" s="359"/>
      <c r="O565" s="317">
        <v>0</v>
      </c>
      <c r="P565" s="360"/>
      <c r="Q565" s="317">
        <v>22008</v>
      </c>
    </row>
    <row r="566" spans="1:17" s="1" customFormat="1" ht="11.45">
      <c r="A566" s="317" t="s">
        <v>18913</v>
      </c>
      <c r="B566" s="358">
        <v>44943</v>
      </c>
      <c r="C566" s="317">
        <v>2023</v>
      </c>
      <c r="D566" s="317" t="s">
        <v>16904</v>
      </c>
      <c r="E566" s="317" t="s">
        <v>16905</v>
      </c>
      <c r="F566" s="317" t="s">
        <v>20155</v>
      </c>
      <c r="G566" s="317" t="s">
        <v>20160</v>
      </c>
      <c r="H566" s="358">
        <v>44952</v>
      </c>
      <c r="I566" s="317">
        <v>0</v>
      </c>
      <c r="J566" s="359"/>
      <c r="K566" s="317">
        <v>20256</v>
      </c>
      <c r="L566" s="16">
        <v>1</v>
      </c>
      <c r="M566" s="317">
        <v>7500</v>
      </c>
      <c r="N566" s="16">
        <v>1</v>
      </c>
      <c r="O566" s="317">
        <v>0</v>
      </c>
      <c r="P566" s="360"/>
      <c r="Q566" s="317">
        <v>27756</v>
      </c>
    </row>
    <row r="567" spans="1:17" s="1" customFormat="1" ht="11.45">
      <c r="A567" s="317" t="s">
        <v>18914</v>
      </c>
      <c r="B567" s="358">
        <v>44944</v>
      </c>
      <c r="C567" s="317">
        <v>2023</v>
      </c>
      <c r="D567" s="317" t="s">
        <v>16444</v>
      </c>
      <c r="E567" s="317" t="s">
        <v>16445</v>
      </c>
      <c r="F567" s="317" t="s">
        <v>20155</v>
      </c>
      <c r="G567" s="317" t="s">
        <v>20173</v>
      </c>
      <c r="H567" s="358">
        <v>44951</v>
      </c>
      <c r="I567" s="317">
        <v>43200</v>
      </c>
      <c r="J567" s="359" t="s">
        <v>20345</v>
      </c>
      <c r="K567" s="317">
        <v>0</v>
      </c>
      <c r="L567" s="359"/>
      <c r="M567" s="317">
        <v>0</v>
      </c>
      <c r="N567" s="359"/>
      <c r="O567" s="317">
        <v>0</v>
      </c>
      <c r="P567" s="360"/>
      <c r="Q567" s="317">
        <v>43200</v>
      </c>
    </row>
    <row r="568" spans="1:17" s="1" customFormat="1" ht="11.45">
      <c r="A568" s="317" t="s">
        <v>18915</v>
      </c>
      <c r="B568" s="358">
        <v>44944</v>
      </c>
      <c r="C568" s="317">
        <v>2023</v>
      </c>
      <c r="D568" s="317" t="s">
        <v>16560</v>
      </c>
      <c r="E568" s="317" t="s">
        <v>16561</v>
      </c>
      <c r="F568" s="317" t="s">
        <v>20155</v>
      </c>
      <c r="G568" s="317" t="s">
        <v>17801</v>
      </c>
      <c r="H568" s="358">
        <v>44956</v>
      </c>
      <c r="I568" s="317">
        <v>0</v>
      </c>
      <c r="J568" s="359"/>
      <c r="K568" s="317">
        <v>0</v>
      </c>
      <c r="L568" s="359"/>
      <c r="M568" s="317">
        <v>112000</v>
      </c>
      <c r="N568" s="359" t="s">
        <v>20347</v>
      </c>
      <c r="O568" s="317">
        <v>0</v>
      </c>
      <c r="P568" s="360"/>
      <c r="Q568" s="317">
        <v>112000</v>
      </c>
    </row>
    <row r="569" spans="1:17" s="1" customFormat="1" ht="11.45">
      <c r="A569" s="317" t="s">
        <v>18916</v>
      </c>
      <c r="B569" s="358">
        <v>44950</v>
      </c>
      <c r="C569" s="317">
        <v>2023</v>
      </c>
      <c r="D569" s="317" t="s">
        <v>17332</v>
      </c>
      <c r="E569" s="317" t="s">
        <v>17333</v>
      </c>
      <c r="F569" s="317" t="s">
        <v>20155</v>
      </c>
      <c r="G569" s="317" t="s">
        <v>17939</v>
      </c>
      <c r="H569" s="358">
        <v>44974</v>
      </c>
      <c r="I569" s="317">
        <v>0</v>
      </c>
      <c r="J569" s="359"/>
      <c r="K569" s="317">
        <v>242438.59999999998</v>
      </c>
      <c r="L569" s="359" t="s">
        <v>20347</v>
      </c>
      <c r="M569" s="317">
        <v>79891</v>
      </c>
      <c r="N569" s="359" t="s">
        <v>20347</v>
      </c>
      <c r="O569" s="317">
        <v>0</v>
      </c>
      <c r="P569" s="360"/>
      <c r="Q569" s="317">
        <v>322329.59999999998</v>
      </c>
    </row>
    <row r="570" spans="1:17" s="1" customFormat="1" ht="11.45">
      <c r="A570" s="317" t="s">
        <v>18917</v>
      </c>
      <c r="B570" s="358">
        <v>44951</v>
      </c>
      <c r="C570" s="317">
        <v>2023</v>
      </c>
      <c r="D570" s="317" t="s">
        <v>17017</v>
      </c>
      <c r="E570" s="317" t="s">
        <v>17018</v>
      </c>
      <c r="F570" s="317" t="s">
        <v>20155</v>
      </c>
      <c r="G570" s="317" t="s">
        <v>20349</v>
      </c>
      <c r="H570" s="358">
        <v>44956</v>
      </c>
      <c r="I570" s="317">
        <v>0</v>
      </c>
      <c r="J570" s="359"/>
      <c r="K570" s="317">
        <v>19800</v>
      </c>
      <c r="L570" s="16">
        <v>1</v>
      </c>
      <c r="M570" s="317">
        <v>3360</v>
      </c>
      <c r="N570" s="16">
        <v>1</v>
      </c>
      <c r="O570" s="317">
        <v>0</v>
      </c>
      <c r="P570" s="360"/>
      <c r="Q570" s="317">
        <v>23160</v>
      </c>
    </row>
    <row r="571" spans="1:17" s="1" customFormat="1" ht="11.45">
      <c r="A571" s="317" t="s">
        <v>18918</v>
      </c>
      <c r="B571" s="358">
        <v>44951</v>
      </c>
      <c r="C571" s="317">
        <v>2023</v>
      </c>
      <c r="D571" s="317" t="s">
        <v>16838</v>
      </c>
      <c r="E571" s="317" t="s">
        <v>16839</v>
      </c>
      <c r="F571" s="317" t="s">
        <v>20155</v>
      </c>
      <c r="G571" s="317" t="s">
        <v>17771</v>
      </c>
      <c r="H571" s="358">
        <v>44953</v>
      </c>
      <c r="I571" s="317">
        <v>0</v>
      </c>
      <c r="J571" s="359"/>
      <c r="K571" s="317">
        <v>0</v>
      </c>
      <c r="L571" s="359"/>
      <c r="M571" s="317">
        <v>56000</v>
      </c>
      <c r="N571" s="359" t="s">
        <v>20347</v>
      </c>
      <c r="O571" s="317">
        <v>0</v>
      </c>
      <c r="P571" s="360"/>
      <c r="Q571" s="317">
        <v>56000</v>
      </c>
    </row>
    <row r="572" spans="1:17" s="1" customFormat="1" ht="11.45">
      <c r="A572" s="317" t="s">
        <v>18919</v>
      </c>
      <c r="B572" s="358">
        <v>44951</v>
      </c>
      <c r="C572" s="317">
        <v>2023</v>
      </c>
      <c r="D572" s="317" t="s">
        <v>16384</v>
      </c>
      <c r="E572" s="317" t="s">
        <v>16385</v>
      </c>
      <c r="F572" s="317" t="s">
        <v>20155</v>
      </c>
      <c r="G572" s="317" t="s">
        <v>17801</v>
      </c>
      <c r="H572" s="358">
        <v>44957</v>
      </c>
      <c r="I572" s="317">
        <v>16800</v>
      </c>
      <c r="J572" s="359" t="s">
        <v>20345</v>
      </c>
      <c r="K572" s="317">
        <v>56960</v>
      </c>
      <c r="L572" s="359" t="s">
        <v>20347</v>
      </c>
      <c r="M572" s="317">
        <v>6000</v>
      </c>
      <c r="N572" s="359" t="s">
        <v>20347</v>
      </c>
      <c r="O572" s="317">
        <v>0</v>
      </c>
      <c r="P572" s="360"/>
      <c r="Q572" s="317">
        <v>79760</v>
      </c>
    </row>
    <row r="573" spans="1:17" s="1" customFormat="1" ht="11.45">
      <c r="A573" s="317" t="s">
        <v>18920</v>
      </c>
      <c r="B573" s="358">
        <v>44952</v>
      </c>
      <c r="C573" s="317">
        <v>2023</v>
      </c>
      <c r="D573" s="317" t="s">
        <v>17332</v>
      </c>
      <c r="E573" s="317" t="s">
        <v>17333</v>
      </c>
      <c r="F573" s="317" t="s">
        <v>20155</v>
      </c>
      <c r="G573" s="317" t="s">
        <v>18248</v>
      </c>
      <c r="H573" s="358">
        <v>44965</v>
      </c>
      <c r="I573" s="317">
        <v>38400</v>
      </c>
      <c r="J573" s="359" t="s">
        <v>20345</v>
      </c>
      <c r="K573" s="317">
        <v>0</v>
      </c>
      <c r="L573" s="359"/>
      <c r="M573" s="317">
        <v>0</v>
      </c>
      <c r="N573" s="359"/>
      <c r="O573" s="317">
        <v>0</v>
      </c>
      <c r="P573" s="360"/>
      <c r="Q573" s="317">
        <v>38400</v>
      </c>
    </row>
    <row r="574" spans="1:17" s="1" customFormat="1" ht="11.45">
      <c r="A574" s="317" t="s">
        <v>18921</v>
      </c>
      <c r="B574" s="358">
        <v>44952</v>
      </c>
      <c r="C574" s="317">
        <v>2023</v>
      </c>
      <c r="D574" s="317" t="s">
        <v>17332</v>
      </c>
      <c r="E574" s="317" t="s">
        <v>17333</v>
      </c>
      <c r="F574" s="317" t="s">
        <v>20155</v>
      </c>
      <c r="G574" s="317" t="s">
        <v>17939</v>
      </c>
      <c r="H574" s="358">
        <v>45016</v>
      </c>
      <c r="I574" s="317">
        <v>100003</v>
      </c>
      <c r="J574" s="359" t="s">
        <v>20345</v>
      </c>
      <c r="K574" s="317">
        <v>0</v>
      </c>
      <c r="L574" s="359"/>
      <c r="M574" s="317">
        <v>0</v>
      </c>
      <c r="N574" s="359"/>
      <c r="O574" s="317">
        <v>0</v>
      </c>
      <c r="P574" s="360"/>
      <c r="Q574" s="317">
        <v>100003</v>
      </c>
    </row>
    <row r="575" spans="1:17" s="1" customFormat="1" ht="11.45">
      <c r="A575" s="317" t="s">
        <v>18922</v>
      </c>
      <c r="B575" s="358">
        <v>44977</v>
      </c>
      <c r="C575" s="317">
        <v>2023</v>
      </c>
      <c r="D575" s="317" t="s">
        <v>17017</v>
      </c>
      <c r="E575" s="317" t="s">
        <v>17018</v>
      </c>
      <c r="F575" s="317" t="s">
        <v>20155</v>
      </c>
      <c r="G575" s="317" t="s">
        <v>17238</v>
      </c>
      <c r="H575" s="358">
        <v>44977</v>
      </c>
      <c r="I575" s="317">
        <v>0</v>
      </c>
      <c r="J575" s="359"/>
      <c r="K575" s="317">
        <v>3178</v>
      </c>
      <c r="L575" s="16">
        <v>1</v>
      </c>
      <c r="M575" s="317">
        <v>0</v>
      </c>
      <c r="N575" s="359"/>
      <c r="O575" s="317">
        <v>0</v>
      </c>
      <c r="P575" s="360"/>
      <c r="Q575" s="317">
        <v>3178</v>
      </c>
    </row>
    <row r="576" spans="1:17" s="1" customFormat="1" ht="11.45">
      <c r="A576" s="317" t="s">
        <v>18923</v>
      </c>
      <c r="B576" s="358">
        <v>44957</v>
      </c>
      <c r="C576" s="317">
        <v>2023</v>
      </c>
      <c r="D576" s="317" t="s">
        <v>17226</v>
      </c>
      <c r="E576" s="317" t="s">
        <v>17227</v>
      </c>
      <c r="F576" s="317" t="s">
        <v>20155</v>
      </c>
      <c r="G576" s="317" t="s">
        <v>17689</v>
      </c>
      <c r="H576" s="358">
        <v>44969</v>
      </c>
      <c r="I576" s="317">
        <v>38400</v>
      </c>
      <c r="J576" s="16">
        <v>1</v>
      </c>
      <c r="K576" s="317">
        <v>0</v>
      </c>
      <c r="L576" s="359"/>
      <c r="M576" s="317">
        <v>0</v>
      </c>
      <c r="N576" s="359"/>
      <c r="O576" s="317">
        <v>0</v>
      </c>
      <c r="P576" s="360"/>
      <c r="Q576" s="317">
        <v>38400</v>
      </c>
    </row>
    <row r="577" spans="1:17" s="1" customFormat="1" ht="11.45">
      <c r="A577" s="317" t="s">
        <v>18924</v>
      </c>
      <c r="B577" s="358">
        <v>44959</v>
      </c>
      <c r="C577" s="317">
        <v>2023</v>
      </c>
      <c r="D577" s="317" t="s">
        <v>16444</v>
      </c>
      <c r="E577" s="317" t="s">
        <v>16445</v>
      </c>
      <c r="F577" s="317" t="s">
        <v>20155</v>
      </c>
      <c r="G577" s="317" t="s">
        <v>18248</v>
      </c>
      <c r="H577" s="358">
        <v>44967</v>
      </c>
      <c r="I577" s="317">
        <v>36120</v>
      </c>
      <c r="J577" s="359" t="s">
        <v>20345</v>
      </c>
      <c r="K577" s="317">
        <v>20280</v>
      </c>
      <c r="L577" s="359" t="s">
        <v>20346</v>
      </c>
      <c r="M577" s="317">
        <v>0</v>
      </c>
      <c r="N577" s="359"/>
      <c r="O577" s="317">
        <v>0</v>
      </c>
      <c r="P577" s="360"/>
      <c r="Q577" s="317">
        <v>56400</v>
      </c>
    </row>
    <row r="578" spans="1:17" s="1" customFormat="1" ht="11.45">
      <c r="A578" s="317" t="s">
        <v>18925</v>
      </c>
      <c r="B578" s="358">
        <v>44963</v>
      </c>
      <c r="C578" s="317">
        <v>2023</v>
      </c>
      <c r="D578" s="317" t="s">
        <v>16384</v>
      </c>
      <c r="E578" s="317" t="s">
        <v>16385</v>
      </c>
      <c r="F578" s="317" t="s">
        <v>20155</v>
      </c>
      <c r="G578" s="317" t="s">
        <v>18248</v>
      </c>
      <c r="H578" s="358">
        <v>44966</v>
      </c>
      <c r="I578" s="317">
        <v>57600</v>
      </c>
      <c r="J578" s="359" t="s">
        <v>20345</v>
      </c>
      <c r="K578" s="317">
        <v>0</v>
      </c>
      <c r="L578" s="359"/>
      <c r="M578" s="317">
        <v>0</v>
      </c>
      <c r="N578" s="359"/>
      <c r="O578" s="317">
        <v>0</v>
      </c>
      <c r="P578" s="360"/>
      <c r="Q578" s="317">
        <v>57600</v>
      </c>
    </row>
    <row r="579" spans="1:17" s="1" customFormat="1" ht="11.45">
      <c r="A579" s="317" t="s">
        <v>18926</v>
      </c>
      <c r="B579" s="358">
        <v>44964</v>
      </c>
      <c r="C579" s="317">
        <v>2023</v>
      </c>
      <c r="D579" s="317" t="s">
        <v>16384</v>
      </c>
      <c r="E579" s="317" t="s">
        <v>16385</v>
      </c>
      <c r="F579" s="317" t="s">
        <v>20155</v>
      </c>
      <c r="G579" s="317" t="s">
        <v>17965</v>
      </c>
      <c r="H579" s="358">
        <v>44967</v>
      </c>
      <c r="I579" s="317">
        <v>76800</v>
      </c>
      <c r="J579" s="359" t="s">
        <v>20345</v>
      </c>
      <c r="K579" s="317">
        <v>22008</v>
      </c>
      <c r="L579" s="359" t="s">
        <v>20346</v>
      </c>
      <c r="M579" s="317">
        <v>0</v>
      </c>
      <c r="N579" s="359"/>
      <c r="O579" s="317">
        <v>0</v>
      </c>
      <c r="P579" s="360"/>
      <c r="Q579" s="317">
        <v>98808</v>
      </c>
    </row>
    <row r="580" spans="1:17" s="1" customFormat="1" ht="11.45">
      <c r="A580" s="317" t="s">
        <v>18927</v>
      </c>
      <c r="B580" s="358">
        <v>44965</v>
      </c>
      <c r="C580" s="317">
        <v>2023</v>
      </c>
      <c r="D580" s="317" t="s">
        <v>17017</v>
      </c>
      <c r="E580" s="317" t="s">
        <v>17018</v>
      </c>
      <c r="F580" s="317" t="s">
        <v>20155</v>
      </c>
      <c r="G580" s="317" t="s">
        <v>20350</v>
      </c>
      <c r="H580" s="358">
        <v>44977</v>
      </c>
      <c r="I580" s="317">
        <v>0</v>
      </c>
      <c r="J580" s="359"/>
      <c r="K580" s="317">
        <v>20000</v>
      </c>
      <c r="L580" s="16">
        <v>1</v>
      </c>
      <c r="M580" s="317">
        <v>0</v>
      </c>
      <c r="N580" s="359"/>
      <c r="O580" s="317">
        <v>0</v>
      </c>
      <c r="P580" s="360"/>
      <c r="Q580" s="317">
        <v>20000</v>
      </c>
    </row>
    <row r="581" spans="1:17" s="1" customFormat="1" ht="11.45">
      <c r="A581" s="317" t="s">
        <v>18928</v>
      </c>
      <c r="B581" s="358">
        <v>44965</v>
      </c>
      <c r="C581" s="317">
        <v>2023</v>
      </c>
      <c r="D581" s="317" t="s">
        <v>16783</v>
      </c>
      <c r="E581" s="317" t="s">
        <v>16784</v>
      </c>
      <c r="F581" s="317" t="s">
        <v>20155</v>
      </c>
      <c r="G581" s="317" t="s">
        <v>17939</v>
      </c>
      <c r="H581" s="358">
        <v>44980</v>
      </c>
      <c r="I581" s="317">
        <v>19200</v>
      </c>
      <c r="J581" s="16" t="s">
        <v>20345</v>
      </c>
      <c r="K581" s="317">
        <v>48000</v>
      </c>
      <c r="L581" s="16" t="s">
        <v>20345</v>
      </c>
      <c r="M581" s="317">
        <v>0</v>
      </c>
      <c r="N581" s="359"/>
      <c r="O581" s="317">
        <v>44000</v>
      </c>
      <c r="P581" s="360">
        <v>1</v>
      </c>
      <c r="Q581" s="317">
        <v>111200</v>
      </c>
    </row>
    <row r="582" spans="1:17" s="1" customFormat="1" ht="11.45">
      <c r="A582" s="317" t="s">
        <v>18929</v>
      </c>
      <c r="B582" s="358">
        <v>44966</v>
      </c>
      <c r="C582" s="317">
        <v>2023</v>
      </c>
      <c r="D582" s="317" t="s">
        <v>16880</v>
      </c>
      <c r="E582" s="317" t="s">
        <v>16881</v>
      </c>
      <c r="F582" s="317" t="s">
        <v>20155</v>
      </c>
      <c r="G582" s="317" t="s">
        <v>20351</v>
      </c>
      <c r="H582" s="358">
        <v>44977</v>
      </c>
      <c r="I582" s="317">
        <v>5800</v>
      </c>
      <c r="J582" s="16">
        <v>1</v>
      </c>
      <c r="K582" s="317">
        <v>16160</v>
      </c>
      <c r="L582" s="16">
        <v>1</v>
      </c>
      <c r="M582" s="317">
        <v>0</v>
      </c>
      <c r="N582" s="359"/>
      <c r="O582" s="317">
        <v>0</v>
      </c>
      <c r="P582" s="360"/>
      <c r="Q582" s="317">
        <v>21960</v>
      </c>
    </row>
    <row r="583" spans="1:17" s="1" customFormat="1" ht="11.45">
      <c r="A583" s="317" t="s">
        <v>18930</v>
      </c>
      <c r="B583" s="358">
        <v>44966</v>
      </c>
      <c r="C583" s="317">
        <v>2023</v>
      </c>
      <c r="D583" s="317" t="s">
        <v>16838</v>
      </c>
      <c r="E583" s="317" t="s">
        <v>16839</v>
      </c>
      <c r="F583" s="317" t="s">
        <v>20155</v>
      </c>
      <c r="G583" s="317" t="s">
        <v>20321</v>
      </c>
      <c r="H583" s="358">
        <v>44971</v>
      </c>
      <c r="I583" s="317">
        <v>0</v>
      </c>
      <c r="J583" s="359"/>
      <c r="K583" s="317">
        <v>176064</v>
      </c>
      <c r="L583" s="359" t="s">
        <v>20347</v>
      </c>
      <c r="M583" s="317">
        <v>0</v>
      </c>
      <c r="N583" s="359"/>
      <c r="O583" s="317">
        <v>0</v>
      </c>
      <c r="P583" s="360"/>
      <c r="Q583" s="317">
        <v>176064</v>
      </c>
    </row>
    <row r="584" spans="1:17" s="1" customFormat="1" ht="11.45">
      <c r="A584" s="317" t="s">
        <v>18931</v>
      </c>
      <c r="B584" s="358">
        <v>44967</v>
      </c>
      <c r="C584" s="317">
        <v>2023</v>
      </c>
      <c r="D584" s="317" t="s">
        <v>16444</v>
      </c>
      <c r="E584" s="317" t="s">
        <v>16445</v>
      </c>
      <c r="F584" s="317" t="s">
        <v>20155</v>
      </c>
      <c r="G584" s="317" t="s">
        <v>17693</v>
      </c>
      <c r="H584" s="358">
        <v>44972</v>
      </c>
      <c r="I584" s="317">
        <v>21600</v>
      </c>
      <c r="J584" s="359" t="s">
        <v>20345</v>
      </c>
      <c r="K584" s="317">
        <v>0</v>
      </c>
      <c r="L584" s="359"/>
      <c r="M584" s="317">
        <v>0</v>
      </c>
      <c r="N584" s="359"/>
      <c r="O584" s="317">
        <v>0</v>
      </c>
      <c r="P584" s="360"/>
      <c r="Q584" s="317">
        <v>21600</v>
      </c>
    </row>
    <row r="585" spans="1:17" s="1" customFormat="1" ht="11.45">
      <c r="A585" s="317" t="s">
        <v>18932</v>
      </c>
      <c r="B585" s="358">
        <v>44967</v>
      </c>
      <c r="C585" s="317">
        <v>2023</v>
      </c>
      <c r="D585" s="317" t="s">
        <v>16957</v>
      </c>
      <c r="E585" s="317" t="s">
        <v>16958</v>
      </c>
      <c r="F585" s="317" t="s">
        <v>20155</v>
      </c>
      <c r="G585" s="317" t="s">
        <v>20161</v>
      </c>
      <c r="H585" s="358">
        <v>44987</v>
      </c>
      <c r="I585" s="317">
        <v>20150</v>
      </c>
      <c r="J585" s="16" t="s">
        <v>20345</v>
      </c>
      <c r="K585" s="317">
        <v>0</v>
      </c>
      <c r="L585" s="359"/>
      <c r="M585" s="317">
        <v>0</v>
      </c>
      <c r="N585" s="359"/>
      <c r="O585" s="317">
        <v>0</v>
      </c>
      <c r="P585" s="360"/>
      <c r="Q585" s="317">
        <v>20150</v>
      </c>
    </row>
    <row r="586" spans="1:17" s="1" customFormat="1" ht="11.45">
      <c r="A586" s="317" t="s">
        <v>18933</v>
      </c>
      <c r="B586" s="358">
        <v>44971</v>
      </c>
      <c r="C586" s="317">
        <v>2023</v>
      </c>
      <c r="D586" s="317" t="s">
        <v>17209</v>
      </c>
      <c r="E586" s="317" t="s">
        <v>17210</v>
      </c>
      <c r="F586" s="317" t="s">
        <v>20155</v>
      </c>
      <c r="G586" s="317" t="s">
        <v>20168</v>
      </c>
      <c r="H586" s="358">
        <v>44984</v>
      </c>
      <c r="I586" s="317">
        <v>600</v>
      </c>
      <c r="J586" s="16">
        <v>1</v>
      </c>
      <c r="K586" s="317">
        <v>13020</v>
      </c>
      <c r="L586" s="16">
        <v>1</v>
      </c>
      <c r="M586" s="317">
        <v>4800</v>
      </c>
      <c r="N586" s="16">
        <v>1</v>
      </c>
      <c r="O586" s="317">
        <v>4500</v>
      </c>
      <c r="P586" s="16">
        <v>1</v>
      </c>
      <c r="Q586" s="317">
        <v>22920</v>
      </c>
    </row>
    <row r="587" spans="1:17" s="1" customFormat="1" ht="11.45">
      <c r="A587" s="317" t="s">
        <v>18934</v>
      </c>
      <c r="B587" s="358">
        <v>44971</v>
      </c>
      <c r="C587" s="317">
        <v>2023</v>
      </c>
      <c r="D587" s="317" t="s">
        <v>17321</v>
      </c>
      <c r="E587" s="317" t="s">
        <v>17322</v>
      </c>
      <c r="F587" s="317" t="s">
        <v>20155</v>
      </c>
      <c r="G587" s="317" t="s">
        <v>17939</v>
      </c>
      <c r="H587" s="358">
        <v>44975</v>
      </c>
      <c r="I587" s="317">
        <v>0</v>
      </c>
      <c r="J587" s="359"/>
      <c r="K587" s="317">
        <v>90000</v>
      </c>
      <c r="L587" s="16" t="s">
        <v>20345</v>
      </c>
      <c r="M587" s="317">
        <v>0</v>
      </c>
      <c r="N587" s="359"/>
      <c r="O587" s="317">
        <v>0</v>
      </c>
      <c r="P587" s="360"/>
      <c r="Q587" s="317">
        <v>90000</v>
      </c>
    </row>
    <row r="588" spans="1:17" s="1" customFormat="1" ht="11.45">
      <c r="A588" s="317" t="s">
        <v>18935</v>
      </c>
      <c r="B588" s="358">
        <v>44972</v>
      </c>
      <c r="C588" s="317">
        <v>2023</v>
      </c>
      <c r="D588" s="317" t="s">
        <v>16904</v>
      </c>
      <c r="E588" s="317" t="s">
        <v>16905</v>
      </c>
      <c r="F588" s="317" t="s">
        <v>20155</v>
      </c>
      <c r="G588" s="317" t="s">
        <v>20160</v>
      </c>
      <c r="H588" s="358">
        <v>44980</v>
      </c>
      <c r="I588" s="317">
        <v>0</v>
      </c>
      <c r="J588" s="359"/>
      <c r="K588" s="317">
        <v>9216</v>
      </c>
      <c r="L588" s="16">
        <v>1</v>
      </c>
      <c r="M588" s="317">
        <v>3000</v>
      </c>
      <c r="N588" s="16">
        <v>1</v>
      </c>
      <c r="O588" s="317">
        <v>0</v>
      </c>
      <c r="P588" s="360"/>
      <c r="Q588" s="317">
        <v>12216</v>
      </c>
    </row>
    <row r="589" spans="1:17" s="1" customFormat="1" ht="11.45">
      <c r="A589" s="317" t="s">
        <v>18936</v>
      </c>
      <c r="B589" s="358">
        <v>44972</v>
      </c>
      <c r="C589" s="317">
        <v>2023</v>
      </c>
      <c r="D589" s="317" t="s">
        <v>16904</v>
      </c>
      <c r="E589" s="317" t="s">
        <v>16905</v>
      </c>
      <c r="F589" s="317" t="s">
        <v>20155</v>
      </c>
      <c r="G589" s="317" t="s">
        <v>20160</v>
      </c>
      <c r="H589" s="358">
        <v>44979</v>
      </c>
      <c r="I589" s="317">
        <v>0</v>
      </c>
      <c r="J589" s="359"/>
      <c r="K589" s="317">
        <v>19224</v>
      </c>
      <c r="L589" s="16">
        <v>1</v>
      </c>
      <c r="M589" s="317">
        <v>9000</v>
      </c>
      <c r="N589" s="16">
        <v>1</v>
      </c>
      <c r="O589" s="317">
        <v>0</v>
      </c>
      <c r="P589" s="360"/>
      <c r="Q589" s="317">
        <v>28224</v>
      </c>
    </row>
    <row r="590" spans="1:17" s="1" customFormat="1" ht="11.45">
      <c r="A590" s="317" t="s">
        <v>18937</v>
      </c>
      <c r="B590" s="358">
        <v>44974</v>
      </c>
      <c r="C590" s="317">
        <v>2023</v>
      </c>
      <c r="D590" s="317" t="s">
        <v>16444</v>
      </c>
      <c r="E590" s="317" t="s">
        <v>16445</v>
      </c>
      <c r="F590" s="317" t="s">
        <v>20155</v>
      </c>
      <c r="G590" s="317" t="s">
        <v>18248</v>
      </c>
      <c r="H590" s="358">
        <v>44981</v>
      </c>
      <c r="I590" s="317">
        <v>31800</v>
      </c>
      <c r="J590" s="359" t="s">
        <v>20345</v>
      </c>
      <c r="K590" s="317">
        <v>22200</v>
      </c>
      <c r="L590" s="359" t="s">
        <v>20346</v>
      </c>
      <c r="M590" s="317">
        <v>2400</v>
      </c>
      <c r="N590" s="359" t="s">
        <v>20346</v>
      </c>
      <c r="O590" s="317">
        <v>0</v>
      </c>
      <c r="P590" s="360"/>
      <c r="Q590" s="317">
        <v>56400</v>
      </c>
    </row>
    <row r="591" spans="1:17" s="1" customFormat="1" ht="11.45">
      <c r="A591" s="317" t="s">
        <v>18938</v>
      </c>
      <c r="B591" s="358">
        <v>44974</v>
      </c>
      <c r="C591" s="317">
        <v>2023</v>
      </c>
      <c r="D591" s="317" t="s">
        <v>17156</v>
      </c>
      <c r="E591" s="317" t="s">
        <v>17157</v>
      </c>
      <c r="F591" s="317" t="s">
        <v>20155</v>
      </c>
      <c r="G591" s="317" t="s">
        <v>20161</v>
      </c>
      <c r="H591" s="358">
        <v>44991</v>
      </c>
      <c r="I591" s="317">
        <v>0</v>
      </c>
      <c r="J591" s="359"/>
      <c r="K591" s="317">
        <v>61500</v>
      </c>
      <c r="L591" s="16">
        <v>1</v>
      </c>
      <c r="M591" s="317">
        <v>0</v>
      </c>
      <c r="N591" s="359"/>
      <c r="O591" s="317">
        <v>0</v>
      </c>
      <c r="P591" s="360"/>
      <c r="Q591" s="317">
        <v>61500</v>
      </c>
    </row>
    <row r="592" spans="1:17" s="1" customFormat="1" ht="11.45">
      <c r="A592" s="317" t="s">
        <v>18939</v>
      </c>
      <c r="B592" s="358">
        <v>44974</v>
      </c>
      <c r="C592" s="317">
        <v>2023</v>
      </c>
      <c r="D592" s="317" t="s">
        <v>16444</v>
      </c>
      <c r="E592" s="317" t="s">
        <v>16445</v>
      </c>
      <c r="F592" s="317" t="s">
        <v>20155</v>
      </c>
      <c r="G592" s="317" t="s">
        <v>17965</v>
      </c>
      <c r="H592" s="358">
        <v>44984</v>
      </c>
      <c r="I592" s="317">
        <v>19200</v>
      </c>
      <c r="J592" s="359" t="s">
        <v>20345</v>
      </c>
      <c r="K592" s="317">
        <v>0</v>
      </c>
      <c r="L592" s="359"/>
      <c r="M592" s="317">
        <v>0</v>
      </c>
      <c r="N592" s="359"/>
      <c r="O592" s="317">
        <v>0</v>
      </c>
      <c r="P592" s="360"/>
      <c r="Q592" s="317">
        <v>19200</v>
      </c>
    </row>
    <row r="593" spans="1:17" s="1" customFormat="1" ht="11.45">
      <c r="A593" s="317" t="s">
        <v>18940</v>
      </c>
      <c r="B593" s="358">
        <v>44975</v>
      </c>
      <c r="C593" s="317">
        <v>2023</v>
      </c>
      <c r="D593" s="317" t="s">
        <v>16783</v>
      </c>
      <c r="E593" s="317" t="s">
        <v>16784</v>
      </c>
      <c r="F593" s="317" t="s">
        <v>20155</v>
      </c>
      <c r="G593" s="317" t="s">
        <v>17939</v>
      </c>
      <c r="H593" s="358">
        <v>44982</v>
      </c>
      <c r="I593" s="317">
        <v>30000</v>
      </c>
      <c r="J593" s="16" t="s">
        <v>20345</v>
      </c>
      <c r="K593" s="317">
        <v>268800</v>
      </c>
      <c r="L593" s="16" t="s">
        <v>20345</v>
      </c>
      <c r="M593" s="317">
        <v>24000</v>
      </c>
      <c r="N593" s="16" t="s">
        <v>20345</v>
      </c>
      <c r="O593" s="317">
        <v>0</v>
      </c>
      <c r="P593" s="360"/>
      <c r="Q593" s="317">
        <v>322800</v>
      </c>
    </row>
    <row r="594" spans="1:17" s="1" customFormat="1" ht="11.45">
      <c r="A594" s="317" t="s">
        <v>18941</v>
      </c>
      <c r="B594" s="358">
        <v>44977</v>
      </c>
      <c r="C594" s="317">
        <v>2023</v>
      </c>
      <c r="D594" s="317" t="s">
        <v>16838</v>
      </c>
      <c r="E594" s="317" t="s">
        <v>16839</v>
      </c>
      <c r="F594" s="317" t="s">
        <v>20155</v>
      </c>
      <c r="G594" s="317" t="s">
        <v>17949</v>
      </c>
      <c r="H594" s="358">
        <v>44981</v>
      </c>
      <c r="I594" s="317">
        <v>22800</v>
      </c>
      <c r="J594" s="359" t="s">
        <v>20345</v>
      </c>
      <c r="K594" s="317">
        <v>22800</v>
      </c>
      <c r="L594" s="359" t="s">
        <v>20346</v>
      </c>
      <c r="M594" s="317">
        <v>3600</v>
      </c>
      <c r="N594" s="359" t="s">
        <v>20346</v>
      </c>
      <c r="O594" s="317">
        <v>0</v>
      </c>
      <c r="P594" s="360"/>
      <c r="Q594" s="317">
        <v>49200</v>
      </c>
    </row>
    <row r="595" spans="1:17" s="1" customFormat="1" ht="11.45">
      <c r="A595" s="317" t="s">
        <v>18942</v>
      </c>
      <c r="B595" s="358">
        <v>44977</v>
      </c>
      <c r="C595" s="317">
        <v>2023</v>
      </c>
      <c r="D595" s="317" t="s">
        <v>16838</v>
      </c>
      <c r="E595" s="317" t="s">
        <v>16839</v>
      </c>
      <c r="F595" s="317" t="s">
        <v>20155</v>
      </c>
      <c r="G595" s="317" t="s">
        <v>20321</v>
      </c>
      <c r="H595" s="358">
        <v>44985</v>
      </c>
      <c r="I595" s="317">
        <v>0</v>
      </c>
      <c r="J595" s="359"/>
      <c r="K595" s="317">
        <v>154056</v>
      </c>
      <c r="L595" s="359" t="s">
        <v>20347</v>
      </c>
      <c r="M595" s="317">
        <v>0</v>
      </c>
      <c r="N595" s="359"/>
      <c r="O595" s="317">
        <v>0</v>
      </c>
      <c r="P595" s="360"/>
      <c r="Q595" s="317">
        <v>154056</v>
      </c>
    </row>
    <row r="596" spans="1:17" s="1" customFormat="1" ht="11.45">
      <c r="A596" s="317" t="s">
        <v>18943</v>
      </c>
      <c r="B596" s="358">
        <v>44978</v>
      </c>
      <c r="C596" s="317">
        <v>2023</v>
      </c>
      <c r="D596" s="317" t="s">
        <v>17226</v>
      </c>
      <c r="E596" s="317" t="s">
        <v>17227</v>
      </c>
      <c r="F596" s="317" t="s">
        <v>20155</v>
      </c>
      <c r="G596" s="317" t="s">
        <v>17689</v>
      </c>
      <c r="H596" s="358">
        <v>44992</v>
      </c>
      <c r="I596" s="317">
        <v>3600</v>
      </c>
      <c r="J596" s="16">
        <v>1</v>
      </c>
      <c r="K596" s="317">
        <v>13200</v>
      </c>
      <c r="L596" s="16" t="s">
        <v>20345</v>
      </c>
      <c r="M596" s="317">
        <v>10200</v>
      </c>
      <c r="N596" s="16" t="s">
        <v>20345</v>
      </c>
      <c r="O596" s="317">
        <v>0</v>
      </c>
      <c r="P596" s="360"/>
      <c r="Q596" s="317">
        <v>27000</v>
      </c>
    </row>
    <row r="597" spans="1:17" s="1" customFormat="1" ht="11.45">
      <c r="A597" s="317" t="s">
        <v>18944</v>
      </c>
      <c r="B597" s="358">
        <v>44978</v>
      </c>
      <c r="C597" s="317">
        <v>2023</v>
      </c>
      <c r="D597" s="317" t="s">
        <v>17226</v>
      </c>
      <c r="E597" s="317" t="s">
        <v>17227</v>
      </c>
      <c r="F597" s="317" t="s">
        <v>20155</v>
      </c>
      <c r="G597" s="317" t="s">
        <v>17689</v>
      </c>
      <c r="H597" s="358">
        <v>44992</v>
      </c>
      <c r="I597" s="317">
        <v>0</v>
      </c>
      <c r="J597" s="359"/>
      <c r="K597" s="317">
        <v>21000</v>
      </c>
      <c r="L597" s="16">
        <v>1</v>
      </c>
      <c r="M597" s="317">
        <v>0</v>
      </c>
      <c r="N597" s="359"/>
      <c r="O597" s="317">
        <v>6000</v>
      </c>
      <c r="P597" s="16">
        <v>1</v>
      </c>
      <c r="Q597" s="317">
        <v>27000</v>
      </c>
    </row>
    <row r="598" spans="1:17" s="1" customFormat="1" ht="11.45">
      <c r="A598" s="317" t="s">
        <v>18945</v>
      </c>
      <c r="B598" s="358">
        <v>44980</v>
      </c>
      <c r="C598" s="317">
        <v>2023</v>
      </c>
      <c r="D598" s="317" t="s">
        <v>16444</v>
      </c>
      <c r="E598" s="317" t="s">
        <v>16445</v>
      </c>
      <c r="F598" s="317" t="s">
        <v>20155</v>
      </c>
      <c r="G598" s="317" t="s">
        <v>18248</v>
      </c>
      <c r="H598" s="358">
        <v>44986</v>
      </c>
      <c r="I598" s="317">
        <v>19200</v>
      </c>
      <c r="J598" s="359" t="s">
        <v>20345</v>
      </c>
      <c r="K598" s="317">
        <v>0</v>
      </c>
      <c r="L598" s="359"/>
      <c r="M598" s="317">
        <v>0</v>
      </c>
      <c r="N598" s="359"/>
      <c r="O598" s="317">
        <v>0</v>
      </c>
      <c r="P598" s="360"/>
      <c r="Q598" s="317">
        <v>19200</v>
      </c>
    </row>
    <row r="599" spans="1:17" s="1" customFormat="1" ht="11.45">
      <c r="A599" s="317" t="s">
        <v>18946</v>
      </c>
      <c r="B599" s="358">
        <v>44982</v>
      </c>
      <c r="C599" s="317">
        <v>2023</v>
      </c>
      <c r="D599" s="317" t="s">
        <v>17342</v>
      </c>
      <c r="E599" s="317" t="s">
        <v>17343</v>
      </c>
      <c r="F599" s="317" t="s">
        <v>20155</v>
      </c>
      <c r="G599" s="317" t="s">
        <v>16394</v>
      </c>
      <c r="H599" s="358">
        <v>44992</v>
      </c>
      <c r="I599" s="317">
        <v>2880</v>
      </c>
      <c r="J599" s="16">
        <v>1</v>
      </c>
      <c r="K599" s="317">
        <v>43344</v>
      </c>
      <c r="L599" s="16">
        <v>1</v>
      </c>
      <c r="M599" s="317">
        <v>20400</v>
      </c>
      <c r="N599" s="16">
        <v>1</v>
      </c>
      <c r="O599" s="317">
        <v>4480</v>
      </c>
      <c r="P599" s="16">
        <v>1</v>
      </c>
      <c r="Q599" s="317">
        <v>71104</v>
      </c>
    </row>
    <row r="600" spans="1:17" s="1" customFormat="1" ht="11.45">
      <c r="A600" s="317" t="s">
        <v>18947</v>
      </c>
      <c r="B600" s="358">
        <v>44982</v>
      </c>
      <c r="C600" s="317">
        <v>2023</v>
      </c>
      <c r="D600" s="317" t="s">
        <v>16444</v>
      </c>
      <c r="E600" s="317" t="s">
        <v>16445</v>
      </c>
      <c r="F600" s="317" t="s">
        <v>20155</v>
      </c>
      <c r="G600" s="317" t="s">
        <v>17693</v>
      </c>
      <c r="H600" s="358">
        <v>44986</v>
      </c>
      <c r="I600" s="317">
        <v>22008</v>
      </c>
      <c r="J600" s="359" t="s">
        <v>20345</v>
      </c>
      <c r="K600" s="317">
        <v>0</v>
      </c>
      <c r="L600" s="359"/>
      <c r="M600" s="317">
        <v>0</v>
      </c>
      <c r="N600" s="359"/>
      <c r="O600" s="317">
        <v>0</v>
      </c>
      <c r="P600" s="360"/>
      <c r="Q600" s="317">
        <v>22008</v>
      </c>
    </row>
    <row r="601" spans="1:17" s="1" customFormat="1" ht="11.45">
      <c r="A601" s="317" t="s">
        <v>18948</v>
      </c>
      <c r="B601" s="358">
        <v>44982</v>
      </c>
      <c r="C601" s="317">
        <v>2023</v>
      </c>
      <c r="D601" s="317" t="s">
        <v>17304</v>
      </c>
      <c r="E601" s="317" t="s">
        <v>17305</v>
      </c>
      <c r="F601" s="317" t="s">
        <v>20155</v>
      </c>
      <c r="G601" s="317" t="s">
        <v>17238</v>
      </c>
      <c r="H601" s="358">
        <v>45013</v>
      </c>
      <c r="I601" s="317">
        <v>0</v>
      </c>
      <c r="J601" s="359"/>
      <c r="K601" s="317">
        <v>25424</v>
      </c>
      <c r="L601" s="361">
        <v>1</v>
      </c>
      <c r="M601" s="317">
        <v>0</v>
      </c>
      <c r="N601" s="359"/>
      <c r="O601" s="317">
        <v>0</v>
      </c>
      <c r="P601" s="360"/>
      <c r="Q601" s="317">
        <v>25424</v>
      </c>
    </row>
    <row r="602" spans="1:17" s="1" customFormat="1" ht="11.45">
      <c r="A602" s="317" t="s">
        <v>18949</v>
      </c>
      <c r="B602" s="358">
        <v>44982</v>
      </c>
      <c r="C602" s="317">
        <v>2023</v>
      </c>
      <c r="D602" s="317" t="s">
        <v>17332</v>
      </c>
      <c r="E602" s="317" t="s">
        <v>17333</v>
      </c>
      <c r="F602" s="317" t="s">
        <v>20155</v>
      </c>
      <c r="G602" s="317" t="s">
        <v>17939</v>
      </c>
      <c r="H602" s="358">
        <v>44985</v>
      </c>
      <c r="I602" s="317">
        <v>0</v>
      </c>
      <c r="J602" s="359"/>
      <c r="K602" s="317">
        <v>150000</v>
      </c>
      <c r="L602" s="359" t="s">
        <v>20347</v>
      </c>
      <c r="M602" s="317">
        <v>0</v>
      </c>
      <c r="N602" s="359"/>
      <c r="O602" s="317">
        <v>0</v>
      </c>
      <c r="P602" s="360"/>
      <c r="Q602" s="317">
        <v>150000</v>
      </c>
    </row>
    <row r="603" spans="1:17" s="1" customFormat="1" ht="11.45">
      <c r="A603" s="317" t="s">
        <v>18950</v>
      </c>
      <c r="B603" s="358">
        <v>44982</v>
      </c>
      <c r="C603" s="317">
        <v>2023</v>
      </c>
      <c r="D603" s="317" t="s">
        <v>17332</v>
      </c>
      <c r="E603" s="317" t="s">
        <v>17333</v>
      </c>
      <c r="F603" s="317" t="s">
        <v>20155</v>
      </c>
      <c r="G603" s="317" t="s">
        <v>18248</v>
      </c>
      <c r="H603" s="358">
        <v>44987</v>
      </c>
      <c r="I603" s="317">
        <v>19200</v>
      </c>
      <c r="J603" s="359" t="s">
        <v>20345</v>
      </c>
      <c r="K603" s="317">
        <v>0</v>
      </c>
      <c r="L603" s="359"/>
      <c r="M603" s="317">
        <v>0</v>
      </c>
      <c r="N603" s="359"/>
      <c r="O603" s="317">
        <v>0</v>
      </c>
      <c r="P603" s="360"/>
      <c r="Q603" s="317">
        <v>19200</v>
      </c>
    </row>
    <row r="604" spans="1:17" s="1" customFormat="1" ht="11.45">
      <c r="A604" s="317" t="s">
        <v>18951</v>
      </c>
      <c r="B604" s="358">
        <v>44987</v>
      </c>
      <c r="C604" s="317">
        <v>2023</v>
      </c>
      <c r="D604" s="317" t="s">
        <v>17342</v>
      </c>
      <c r="E604" s="317" t="s">
        <v>17343</v>
      </c>
      <c r="F604" s="317" t="s">
        <v>20155</v>
      </c>
      <c r="G604" s="317" t="s">
        <v>16394</v>
      </c>
      <c r="H604" s="358">
        <v>44991</v>
      </c>
      <c r="I604" s="317">
        <v>2805</v>
      </c>
      <c r="J604" s="16">
        <v>1</v>
      </c>
      <c r="K604" s="317">
        <v>70536</v>
      </c>
      <c r="L604" s="16">
        <v>1</v>
      </c>
      <c r="M604" s="317">
        <v>15600</v>
      </c>
      <c r="N604" s="16">
        <v>1</v>
      </c>
      <c r="O604" s="317">
        <v>5040</v>
      </c>
      <c r="P604" s="16">
        <v>1</v>
      </c>
      <c r="Q604" s="317">
        <v>93981</v>
      </c>
    </row>
    <row r="605" spans="1:17" s="1" customFormat="1" ht="11.45">
      <c r="A605" s="317" t="s">
        <v>18952</v>
      </c>
      <c r="B605" s="358">
        <v>44988</v>
      </c>
      <c r="C605" s="317">
        <v>2023</v>
      </c>
      <c r="D605" s="317" t="s">
        <v>16384</v>
      </c>
      <c r="E605" s="317" t="s">
        <v>16385</v>
      </c>
      <c r="F605" s="317" t="s">
        <v>20155</v>
      </c>
      <c r="G605" s="317" t="s">
        <v>18094</v>
      </c>
      <c r="H605" s="358">
        <v>44998</v>
      </c>
      <c r="I605" s="317">
        <v>19200</v>
      </c>
      <c r="J605" s="359" t="s">
        <v>20345</v>
      </c>
      <c r="K605" s="317">
        <v>20700</v>
      </c>
      <c r="L605" s="359" t="s">
        <v>20346</v>
      </c>
      <c r="M605" s="317">
        <v>0</v>
      </c>
      <c r="N605" s="359"/>
      <c r="O605" s="317">
        <v>0</v>
      </c>
      <c r="P605" s="360"/>
      <c r="Q605" s="317">
        <v>39900</v>
      </c>
    </row>
    <row r="606" spans="1:17" s="1" customFormat="1" ht="11.45">
      <c r="A606" s="317" t="s">
        <v>18953</v>
      </c>
      <c r="B606" s="358">
        <v>44989</v>
      </c>
      <c r="C606" s="317">
        <v>2023</v>
      </c>
      <c r="D606" s="317" t="s">
        <v>16957</v>
      </c>
      <c r="E606" s="317" t="s">
        <v>16958</v>
      </c>
      <c r="F606" s="317" t="s">
        <v>20155</v>
      </c>
      <c r="G606" s="317" t="s">
        <v>20161</v>
      </c>
      <c r="H606" s="358">
        <v>45006</v>
      </c>
      <c r="I606" s="317">
        <v>20150</v>
      </c>
      <c r="J606" s="16">
        <v>1</v>
      </c>
      <c r="K606" s="317">
        <v>0</v>
      </c>
      <c r="L606" s="359"/>
      <c r="M606" s="317">
        <v>0</v>
      </c>
      <c r="N606" s="359"/>
      <c r="O606" s="317">
        <v>0</v>
      </c>
      <c r="P606" s="360"/>
      <c r="Q606" s="317">
        <v>20150</v>
      </c>
    </row>
    <row r="607" spans="1:17" s="1" customFormat="1" ht="11.45">
      <c r="A607" s="317" t="s">
        <v>18954</v>
      </c>
      <c r="B607" s="358">
        <v>44992</v>
      </c>
      <c r="C607" s="317">
        <v>2023</v>
      </c>
      <c r="D607" s="317" t="s">
        <v>16880</v>
      </c>
      <c r="E607" s="317" t="s">
        <v>16881</v>
      </c>
      <c r="F607" s="317" t="s">
        <v>20155</v>
      </c>
      <c r="G607" s="317" t="s">
        <v>20351</v>
      </c>
      <c r="H607" s="358">
        <v>44998</v>
      </c>
      <c r="I607" s="317">
        <v>7000</v>
      </c>
      <c r="J607" s="16">
        <v>1</v>
      </c>
      <c r="K607" s="317">
        <v>13700</v>
      </c>
      <c r="L607" s="16">
        <v>1</v>
      </c>
      <c r="M607" s="317">
        <v>0</v>
      </c>
      <c r="N607" s="359"/>
      <c r="O607" s="317">
        <v>0</v>
      </c>
      <c r="P607" s="360"/>
      <c r="Q607" s="317">
        <v>20700</v>
      </c>
    </row>
    <row r="608" spans="1:17" s="1" customFormat="1" ht="11.45">
      <c r="A608" s="317" t="s">
        <v>18955</v>
      </c>
      <c r="B608" s="358">
        <v>44992</v>
      </c>
      <c r="C608" s="317">
        <v>2023</v>
      </c>
      <c r="D608" s="317" t="s">
        <v>17278</v>
      </c>
      <c r="E608" s="317" t="s">
        <v>17279</v>
      </c>
      <c r="F608" s="317" t="s">
        <v>20155</v>
      </c>
      <c r="G608" s="317" t="s">
        <v>20173</v>
      </c>
      <c r="H608" s="358">
        <v>45002</v>
      </c>
      <c r="I608" s="317">
        <v>100080</v>
      </c>
      <c r="J608" s="359" t="s">
        <v>20345</v>
      </c>
      <c r="K608" s="317">
        <v>180144</v>
      </c>
      <c r="L608" s="359" t="s">
        <v>20347</v>
      </c>
      <c r="M608" s="317">
        <v>0</v>
      </c>
      <c r="N608" s="359"/>
      <c r="O608" s="317">
        <v>0</v>
      </c>
      <c r="P608" s="360"/>
      <c r="Q608" s="317">
        <v>280224</v>
      </c>
    </row>
    <row r="609" spans="1:17" s="1" customFormat="1" ht="11.45">
      <c r="A609" s="317" t="s">
        <v>18956</v>
      </c>
      <c r="B609" s="358">
        <v>44992</v>
      </c>
      <c r="C609" s="317">
        <v>2023</v>
      </c>
      <c r="D609" s="317" t="s">
        <v>17319</v>
      </c>
      <c r="E609" s="317" t="s">
        <v>17320</v>
      </c>
      <c r="F609" s="317" t="s">
        <v>20155</v>
      </c>
      <c r="G609" s="317" t="s">
        <v>17939</v>
      </c>
      <c r="H609" s="358">
        <v>44999</v>
      </c>
      <c r="I609" s="317">
        <v>70080</v>
      </c>
      <c r="J609" s="16" t="s">
        <v>20345</v>
      </c>
      <c r="K609" s="317">
        <v>0</v>
      </c>
      <c r="L609" s="359"/>
      <c r="M609" s="317">
        <v>0</v>
      </c>
      <c r="N609" s="359"/>
      <c r="O609" s="317">
        <v>0</v>
      </c>
      <c r="P609" s="360"/>
      <c r="Q609" s="317">
        <v>70080</v>
      </c>
    </row>
    <row r="610" spans="1:17" s="1" customFormat="1" ht="11.45">
      <c r="A610" s="317" t="s">
        <v>18957</v>
      </c>
      <c r="B610" s="358">
        <v>44992</v>
      </c>
      <c r="C610" s="317">
        <v>2023</v>
      </c>
      <c r="D610" s="317" t="s">
        <v>17336</v>
      </c>
      <c r="E610" s="317" t="s">
        <v>17337</v>
      </c>
      <c r="F610" s="317" t="s">
        <v>20155</v>
      </c>
      <c r="G610" s="317" t="s">
        <v>17939</v>
      </c>
      <c r="H610" s="358">
        <v>44998</v>
      </c>
      <c r="I610" s="317">
        <v>0</v>
      </c>
      <c r="J610" s="359"/>
      <c r="K610" s="317">
        <v>33600</v>
      </c>
      <c r="L610" s="16" t="s">
        <v>20347</v>
      </c>
      <c r="M610" s="317">
        <v>0</v>
      </c>
      <c r="N610" s="359"/>
      <c r="O610" s="317">
        <v>0</v>
      </c>
      <c r="P610" s="360"/>
      <c r="Q610" s="317">
        <v>33600</v>
      </c>
    </row>
    <row r="611" spans="1:17" s="1" customFormat="1" ht="11.45">
      <c r="A611" s="317" t="s">
        <v>18958</v>
      </c>
      <c r="B611" s="358">
        <v>44995</v>
      </c>
      <c r="C611" s="317">
        <v>2023</v>
      </c>
      <c r="D611" s="317" t="s">
        <v>16783</v>
      </c>
      <c r="E611" s="317" t="s">
        <v>16784</v>
      </c>
      <c r="F611" s="317" t="s">
        <v>20155</v>
      </c>
      <c r="G611" s="317" t="s">
        <v>17939</v>
      </c>
      <c r="H611" s="358">
        <v>45002</v>
      </c>
      <c r="I611" s="317">
        <v>0</v>
      </c>
      <c r="J611" s="359"/>
      <c r="K611" s="317">
        <v>24000</v>
      </c>
      <c r="L611" s="16" t="s">
        <v>20345</v>
      </c>
      <c r="M611" s="317">
        <v>24000</v>
      </c>
      <c r="N611" s="16" t="s">
        <v>20345</v>
      </c>
      <c r="O611" s="317">
        <v>0</v>
      </c>
      <c r="P611" s="360"/>
      <c r="Q611" s="317">
        <v>48000</v>
      </c>
    </row>
    <row r="612" spans="1:17" s="1" customFormat="1" ht="11.45">
      <c r="A612" s="317" t="s">
        <v>18959</v>
      </c>
      <c r="B612" s="358">
        <v>44995</v>
      </c>
      <c r="C612" s="317">
        <v>2023</v>
      </c>
      <c r="D612" s="317" t="s">
        <v>16904</v>
      </c>
      <c r="E612" s="317" t="s">
        <v>16905</v>
      </c>
      <c r="F612" s="317" t="s">
        <v>20155</v>
      </c>
      <c r="G612" s="317" t="s">
        <v>20160</v>
      </c>
      <c r="H612" s="358">
        <v>45001</v>
      </c>
      <c r="I612" s="317">
        <v>0</v>
      </c>
      <c r="J612" s="359"/>
      <c r="K612" s="317">
        <v>19800</v>
      </c>
      <c r="L612" s="16">
        <v>1</v>
      </c>
      <c r="M612" s="317">
        <v>7500</v>
      </c>
      <c r="N612" s="16">
        <v>1</v>
      </c>
      <c r="O612" s="317">
        <v>0</v>
      </c>
      <c r="P612" s="360"/>
      <c r="Q612" s="317">
        <v>27300</v>
      </c>
    </row>
    <row r="613" spans="1:17" s="1" customFormat="1" ht="11.45">
      <c r="A613" s="317" t="s">
        <v>18960</v>
      </c>
      <c r="B613" s="358">
        <v>44995</v>
      </c>
      <c r="C613" s="317">
        <v>2023</v>
      </c>
      <c r="D613" s="317" t="s">
        <v>16904</v>
      </c>
      <c r="E613" s="317" t="s">
        <v>16905</v>
      </c>
      <c r="F613" s="317" t="s">
        <v>20155</v>
      </c>
      <c r="G613" s="317" t="s">
        <v>20160</v>
      </c>
      <c r="H613" s="358">
        <v>45001</v>
      </c>
      <c r="I613" s="317">
        <v>0</v>
      </c>
      <c r="J613" s="359"/>
      <c r="K613" s="317">
        <v>19728</v>
      </c>
      <c r="L613" s="16">
        <v>1</v>
      </c>
      <c r="M613" s="317">
        <v>7500</v>
      </c>
      <c r="N613" s="16">
        <v>1</v>
      </c>
      <c r="O613" s="317">
        <v>0</v>
      </c>
      <c r="P613" s="360"/>
      <c r="Q613" s="317">
        <v>27228</v>
      </c>
    </row>
    <row r="614" spans="1:17" s="1" customFormat="1" ht="11.45">
      <c r="A614" s="317" t="s">
        <v>18961</v>
      </c>
      <c r="B614" s="358">
        <v>44996</v>
      </c>
      <c r="C614" s="317">
        <v>2023</v>
      </c>
      <c r="D614" s="317" t="s">
        <v>16470</v>
      </c>
      <c r="E614" s="317" t="s">
        <v>16471</v>
      </c>
      <c r="F614" s="317" t="s">
        <v>20155</v>
      </c>
      <c r="G614" s="317" t="s">
        <v>20352</v>
      </c>
      <c r="H614" s="358">
        <v>45014</v>
      </c>
      <c r="I614" s="317">
        <v>37356</v>
      </c>
      <c r="J614" s="359" t="s">
        <v>20345</v>
      </c>
      <c r="K614" s="317">
        <v>267839</v>
      </c>
      <c r="L614" s="359" t="s">
        <v>20348</v>
      </c>
      <c r="M614" s="317">
        <v>0</v>
      </c>
      <c r="N614" s="359"/>
      <c r="O614" s="317">
        <v>0</v>
      </c>
      <c r="P614" s="360"/>
      <c r="Q614" s="317">
        <v>305195</v>
      </c>
    </row>
    <row r="615" spans="1:17" s="1" customFormat="1" ht="11.45">
      <c r="A615" s="317" t="s">
        <v>18962</v>
      </c>
      <c r="B615" s="358">
        <v>44996</v>
      </c>
      <c r="C615" s="317">
        <v>2023</v>
      </c>
      <c r="D615" s="317" t="s">
        <v>16384</v>
      </c>
      <c r="E615" s="317" t="s">
        <v>16385</v>
      </c>
      <c r="F615" s="317" t="s">
        <v>20155</v>
      </c>
      <c r="G615" s="317" t="s">
        <v>17965</v>
      </c>
      <c r="H615" s="358">
        <v>45003</v>
      </c>
      <c r="I615" s="317">
        <v>96000</v>
      </c>
      <c r="J615" s="359" t="s">
        <v>20345</v>
      </c>
      <c r="K615" s="317">
        <v>0</v>
      </c>
      <c r="L615" s="359"/>
      <c r="M615" s="317">
        <v>0</v>
      </c>
      <c r="N615" s="359"/>
      <c r="O615" s="317">
        <v>0</v>
      </c>
      <c r="P615" s="360"/>
      <c r="Q615" s="317">
        <v>96000</v>
      </c>
    </row>
    <row r="616" spans="1:17" s="1" customFormat="1" ht="11.45">
      <c r="A616" s="317" t="s">
        <v>18963</v>
      </c>
      <c r="B616" s="358">
        <v>45002</v>
      </c>
      <c r="C616" s="317">
        <v>2023</v>
      </c>
      <c r="D616" s="317" t="s">
        <v>16823</v>
      </c>
      <c r="E616" s="317" t="s">
        <v>16824</v>
      </c>
      <c r="F616" s="317" t="s">
        <v>20155</v>
      </c>
      <c r="G616" s="317" t="s">
        <v>17965</v>
      </c>
      <c r="H616" s="358">
        <v>45023</v>
      </c>
      <c r="I616" s="317">
        <v>15180</v>
      </c>
      <c r="J616" s="359" t="s">
        <v>20345</v>
      </c>
      <c r="K616" s="317">
        <v>40860</v>
      </c>
      <c r="L616" s="359" t="s">
        <v>20348</v>
      </c>
      <c r="M616" s="317">
        <v>0</v>
      </c>
      <c r="N616" s="359"/>
      <c r="O616" s="317">
        <v>0</v>
      </c>
      <c r="P616" s="360"/>
      <c r="Q616" s="317">
        <v>56040</v>
      </c>
    </row>
    <row r="617" spans="1:17" s="1" customFormat="1" ht="11.45">
      <c r="A617" s="317" t="s">
        <v>18964</v>
      </c>
      <c r="B617" s="358">
        <v>45007</v>
      </c>
      <c r="C617" s="317">
        <v>2023</v>
      </c>
      <c r="D617" s="317" t="s">
        <v>17299</v>
      </c>
      <c r="E617" s="317" t="s">
        <v>17300</v>
      </c>
      <c r="F617" s="317" t="s">
        <v>20155</v>
      </c>
      <c r="G617" s="317" t="s">
        <v>20321</v>
      </c>
      <c r="H617" s="358">
        <v>45016</v>
      </c>
      <c r="I617" s="317">
        <v>96000</v>
      </c>
      <c r="J617" s="16" t="s">
        <v>20345</v>
      </c>
      <c r="K617" s="317">
        <v>0</v>
      </c>
      <c r="L617" s="359"/>
      <c r="M617" s="317">
        <v>0</v>
      </c>
      <c r="N617" s="359"/>
      <c r="O617" s="317">
        <v>0</v>
      </c>
      <c r="P617" s="360"/>
      <c r="Q617" s="317">
        <v>96000</v>
      </c>
    </row>
    <row r="618" spans="1:17" s="1" customFormat="1" ht="11.45">
      <c r="A618" s="317" t="s">
        <v>18965</v>
      </c>
      <c r="B618" s="358">
        <v>45007</v>
      </c>
      <c r="C618" s="317">
        <v>2023</v>
      </c>
      <c r="D618" s="317" t="s">
        <v>17233</v>
      </c>
      <c r="E618" s="317" t="s">
        <v>17234</v>
      </c>
      <c r="F618" s="317" t="s">
        <v>20155</v>
      </c>
      <c r="G618" s="317" t="s">
        <v>17939</v>
      </c>
      <c r="H618" s="358" t="s">
        <v>20353</v>
      </c>
      <c r="I618" s="317">
        <v>0</v>
      </c>
      <c r="J618" s="359"/>
      <c r="K618" s="317">
        <v>478080</v>
      </c>
      <c r="L618" s="16" t="s">
        <v>20345</v>
      </c>
      <c r="M618" s="317">
        <v>169920</v>
      </c>
      <c r="N618" s="16" t="s">
        <v>20345</v>
      </c>
      <c r="O618" s="317">
        <v>0</v>
      </c>
      <c r="P618" s="360"/>
      <c r="Q618" s="317">
        <v>648000</v>
      </c>
    </row>
    <row r="619" spans="1:17" s="1" customFormat="1" ht="11.45">
      <c r="A619" s="317" t="s">
        <v>18966</v>
      </c>
      <c r="B619" s="358">
        <v>45013</v>
      </c>
      <c r="C619" s="317">
        <v>2023</v>
      </c>
      <c r="D619" s="317" t="s">
        <v>16444</v>
      </c>
      <c r="E619" s="317" t="s">
        <v>16445</v>
      </c>
      <c r="F619" s="317" t="s">
        <v>20155</v>
      </c>
      <c r="G619" s="317" t="s">
        <v>17693</v>
      </c>
      <c r="H619" s="358">
        <v>45026</v>
      </c>
      <c r="I619" s="317">
        <v>21600</v>
      </c>
      <c r="J619" s="359" t="s">
        <v>20345</v>
      </c>
      <c r="K619" s="317">
        <v>0</v>
      </c>
      <c r="L619" s="359"/>
      <c r="M619" s="317">
        <v>0</v>
      </c>
      <c r="N619" s="359"/>
      <c r="O619" s="317">
        <v>0</v>
      </c>
      <c r="P619" s="360"/>
      <c r="Q619" s="317">
        <v>21600</v>
      </c>
    </row>
    <row r="620" spans="1:17" s="1" customFormat="1" ht="11.45">
      <c r="A620" s="317" t="s">
        <v>18967</v>
      </c>
      <c r="B620" s="358">
        <v>45017</v>
      </c>
      <c r="C620" s="317">
        <v>2023</v>
      </c>
      <c r="D620" s="317" t="s">
        <v>17017</v>
      </c>
      <c r="E620" s="317" t="s">
        <v>17018</v>
      </c>
      <c r="F620" s="317" t="s">
        <v>20155</v>
      </c>
      <c r="G620" s="317" t="s">
        <v>20350</v>
      </c>
      <c r="H620" s="358">
        <v>45020</v>
      </c>
      <c r="I620" s="317">
        <v>0</v>
      </c>
      <c r="J620" s="359"/>
      <c r="K620" s="317">
        <v>20000</v>
      </c>
      <c r="L620" s="16">
        <v>1</v>
      </c>
      <c r="M620" s="317">
        <v>0</v>
      </c>
      <c r="N620" s="359"/>
      <c r="O620" s="317">
        <v>0</v>
      </c>
      <c r="P620" s="360"/>
      <c r="Q620" s="317">
        <v>20000</v>
      </c>
    </row>
    <row r="621" spans="1:17" s="1" customFormat="1" ht="11.45">
      <c r="A621" s="317" t="s">
        <v>18968</v>
      </c>
      <c r="B621" s="358">
        <v>45019</v>
      </c>
      <c r="C621" s="317">
        <v>2023</v>
      </c>
      <c r="D621" s="317" t="s">
        <v>16384</v>
      </c>
      <c r="E621" s="317" t="s">
        <v>16385</v>
      </c>
      <c r="F621" s="317" t="s">
        <v>20155</v>
      </c>
      <c r="G621" s="317" t="s">
        <v>17949</v>
      </c>
      <c r="H621" s="358">
        <v>45031</v>
      </c>
      <c r="I621" s="317">
        <v>173032</v>
      </c>
      <c r="J621" s="359" t="s">
        <v>20345</v>
      </c>
      <c r="K621" s="317">
        <v>0</v>
      </c>
      <c r="L621" s="359"/>
      <c r="M621" s="317">
        <v>0</v>
      </c>
      <c r="N621" s="359"/>
      <c r="O621" s="317">
        <v>0</v>
      </c>
      <c r="P621" s="360"/>
      <c r="Q621" s="317">
        <v>173032</v>
      </c>
    </row>
    <row r="622" spans="1:17" s="1" customFormat="1" ht="11.45">
      <c r="A622" s="317" t="s">
        <v>18969</v>
      </c>
      <c r="B622" s="358">
        <v>45019</v>
      </c>
      <c r="C622" s="317">
        <v>2023</v>
      </c>
      <c r="D622" s="317" t="s">
        <v>17342</v>
      </c>
      <c r="E622" s="317" t="s">
        <v>17343</v>
      </c>
      <c r="F622" s="317" t="s">
        <v>20155</v>
      </c>
      <c r="G622" s="317" t="s">
        <v>16394</v>
      </c>
      <c r="H622" s="358">
        <v>45030</v>
      </c>
      <c r="I622" s="317">
        <v>1920</v>
      </c>
      <c r="J622" s="16">
        <v>1</v>
      </c>
      <c r="K622" s="317">
        <v>13440</v>
      </c>
      <c r="L622" s="16">
        <v>1</v>
      </c>
      <c r="M622" s="317">
        <v>3600</v>
      </c>
      <c r="N622" s="16">
        <v>1</v>
      </c>
      <c r="O622" s="317">
        <v>1120</v>
      </c>
      <c r="P622" s="16">
        <v>1</v>
      </c>
      <c r="Q622" s="317">
        <v>20080</v>
      </c>
    </row>
    <row r="623" spans="1:17" s="1" customFormat="1" ht="11.45">
      <c r="A623" s="317" t="s">
        <v>18970</v>
      </c>
      <c r="B623" s="358">
        <v>45019</v>
      </c>
      <c r="C623" s="317">
        <v>2023</v>
      </c>
      <c r="D623" s="317" t="s">
        <v>17017</v>
      </c>
      <c r="E623" s="317" t="s">
        <v>17018</v>
      </c>
      <c r="F623" s="317" t="s">
        <v>20155</v>
      </c>
      <c r="G623" s="317" t="s">
        <v>20350</v>
      </c>
      <c r="H623" s="358">
        <v>45026</v>
      </c>
      <c r="I623" s="317">
        <v>0</v>
      </c>
      <c r="J623" s="359"/>
      <c r="K623" s="317">
        <v>20000</v>
      </c>
      <c r="L623" s="16">
        <v>1</v>
      </c>
      <c r="M623" s="317">
        <v>0</v>
      </c>
      <c r="N623" s="359"/>
      <c r="O623" s="317">
        <v>0</v>
      </c>
      <c r="P623" s="360"/>
      <c r="Q623" s="317">
        <v>20000</v>
      </c>
    </row>
    <row r="624" spans="1:17" s="1" customFormat="1" ht="11.45">
      <c r="A624" s="317" t="s">
        <v>18971</v>
      </c>
      <c r="B624" s="358">
        <v>45021</v>
      </c>
      <c r="C624" s="317">
        <v>2023</v>
      </c>
      <c r="D624" s="317" t="s">
        <v>17017</v>
      </c>
      <c r="E624" s="317" t="s">
        <v>17018</v>
      </c>
      <c r="F624" s="317" t="s">
        <v>20155</v>
      </c>
      <c r="G624" s="317" t="s">
        <v>20307</v>
      </c>
      <c r="H624" s="358">
        <v>45040</v>
      </c>
      <c r="I624" s="317">
        <v>0</v>
      </c>
      <c r="J624" s="359"/>
      <c r="K624" s="317">
        <v>20000</v>
      </c>
      <c r="L624" s="16">
        <v>1</v>
      </c>
      <c r="M624" s="317">
        <v>0</v>
      </c>
      <c r="N624" s="359"/>
      <c r="O624" s="317">
        <v>0</v>
      </c>
      <c r="P624" s="360"/>
      <c r="Q624" s="317">
        <v>20000</v>
      </c>
    </row>
    <row r="625" spans="1:17" s="1" customFormat="1" ht="11.45">
      <c r="A625" s="317" t="s">
        <v>18972</v>
      </c>
      <c r="B625" s="358">
        <v>45021</v>
      </c>
      <c r="C625" s="317">
        <v>2023</v>
      </c>
      <c r="D625" s="317" t="s">
        <v>17017</v>
      </c>
      <c r="E625" s="317" t="s">
        <v>17018</v>
      </c>
      <c r="F625" s="317" t="s">
        <v>20155</v>
      </c>
      <c r="G625" s="317" t="s">
        <v>20307</v>
      </c>
      <c r="H625" s="358">
        <v>45028</v>
      </c>
      <c r="I625" s="317">
        <v>20000</v>
      </c>
      <c r="J625" s="16">
        <v>1</v>
      </c>
      <c r="K625" s="317">
        <v>0</v>
      </c>
      <c r="L625" s="359"/>
      <c r="M625" s="317">
        <v>0</v>
      </c>
      <c r="N625" s="359"/>
      <c r="O625" s="317">
        <v>0</v>
      </c>
      <c r="P625" s="360"/>
      <c r="Q625" s="317">
        <v>20000</v>
      </c>
    </row>
    <row r="626" spans="1:17" s="1" customFormat="1" ht="11.45">
      <c r="A626" s="317" t="s">
        <v>18973</v>
      </c>
      <c r="B626" s="358">
        <v>45021</v>
      </c>
      <c r="C626" s="317">
        <v>2023</v>
      </c>
      <c r="D626" s="317" t="s">
        <v>17017</v>
      </c>
      <c r="E626" s="317" t="s">
        <v>17018</v>
      </c>
      <c r="F626" s="317" t="s">
        <v>20155</v>
      </c>
      <c r="G626" s="317" t="s">
        <v>20307</v>
      </c>
      <c r="H626" s="358">
        <v>45028</v>
      </c>
      <c r="I626" s="317">
        <v>20000</v>
      </c>
      <c r="J626" s="16">
        <v>1</v>
      </c>
      <c r="K626" s="317">
        <v>0</v>
      </c>
      <c r="L626" s="359"/>
      <c r="M626" s="317">
        <v>0</v>
      </c>
      <c r="N626" s="359"/>
      <c r="O626" s="317">
        <v>0</v>
      </c>
      <c r="P626" s="360"/>
      <c r="Q626" s="317">
        <v>20000</v>
      </c>
    </row>
    <row r="627" spans="1:17" s="1" customFormat="1" ht="11.45">
      <c r="A627" s="317" t="s">
        <v>18974</v>
      </c>
      <c r="B627" s="358">
        <v>45026</v>
      </c>
      <c r="C627" s="317">
        <v>2023</v>
      </c>
      <c r="D627" s="317" t="s">
        <v>16880</v>
      </c>
      <c r="E627" s="317" t="s">
        <v>16881</v>
      </c>
      <c r="F627" s="317" t="s">
        <v>20155</v>
      </c>
      <c r="G627" s="317" t="s">
        <v>20351</v>
      </c>
      <c r="H627" s="358">
        <v>45033</v>
      </c>
      <c r="I627" s="317">
        <v>6900</v>
      </c>
      <c r="J627" s="16">
        <v>1</v>
      </c>
      <c r="K627" s="317">
        <v>14300</v>
      </c>
      <c r="L627" s="16">
        <v>1</v>
      </c>
      <c r="M627" s="317">
        <v>0</v>
      </c>
      <c r="N627" s="359"/>
      <c r="O627" s="317">
        <v>0</v>
      </c>
      <c r="P627" s="360"/>
      <c r="Q627" s="317">
        <v>21200</v>
      </c>
    </row>
    <row r="628" spans="1:17" s="1" customFormat="1" ht="11.45">
      <c r="A628" s="317" t="s">
        <v>18975</v>
      </c>
      <c r="B628" s="358">
        <v>45026</v>
      </c>
      <c r="C628" s="317">
        <v>2023</v>
      </c>
      <c r="D628" s="317" t="s">
        <v>17156</v>
      </c>
      <c r="E628" s="317" t="s">
        <v>17157</v>
      </c>
      <c r="F628" s="317" t="s">
        <v>20155</v>
      </c>
      <c r="G628" s="317" t="s">
        <v>20161</v>
      </c>
      <c r="H628" s="358">
        <v>45041</v>
      </c>
      <c r="I628" s="317">
        <v>0</v>
      </c>
      <c r="J628" s="359"/>
      <c r="K628" s="317">
        <v>61500</v>
      </c>
      <c r="L628" s="16">
        <v>1</v>
      </c>
      <c r="M628" s="317">
        <v>0</v>
      </c>
      <c r="N628" s="359"/>
      <c r="O628" s="317">
        <v>0</v>
      </c>
      <c r="P628" s="360"/>
      <c r="Q628" s="317">
        <v>61500</v>
      </c>
    </row>
    <row r="629" spans="1:17" s="1" customFormat="1" ht="11.45">
      <c r="A629" s="317" t="s">
        <v>18976</v>
      </c>
      <c r="B629" s="358">
        <v>45027</v>
      </c>
      <c r="C629" s="317">
        <v>2023</v>
      </c>
      <c r="D629" s="317" t="s">
        <v>17259</v>
      </c>
      <c r="E629" s="317" t="s">
        <v>17260</v>
      </c>
      <c r="F629" s="317" t="s">
        <v>20155</v>
      </c>
      <c r="G629" s="317" t="s">
        <v>17261</v>
      </c>
      <c r="H629" s="358">
        <v>45035</v>
      </c>
      <c r="I629" s="317">
        <v>2400</v>
      </c>
      <c r="J629" s="359" t="s">
        <v>20345</v>
      </c>
      <c r="K629" s="317">
        <v>31680</v>
      </c>
      <c r="L629" s="359" t="s">
        <v>20348</v>
      </c>
      <c r="M629" s="317">
        <v>0</v>
      </c>
      <c r="N629" s="359"/>
      <c r="O629" s="317">
        <v>2000</v>
      </c>
      <c r="P629" s="360"/>
      <c r="Q629" s="317">
        <v>36080</v>
      </c>
    </row>
    <row r="630" spans="1:17" s="1" customFormat="1" ht="11.45">
      <c r="A630" s="317" t="s">
        <v>18977</v>
      </c>
      <c r="B630" s="358">
        <v>45027</v>
      </c>
      <c r="C630" s="317">
        <v>2023</v>
      </c>
      <c r="D630" s="317" t="s">
        <v>17309</v>
      </c>
      <c r="E630" s="317" t="s">
        <v>17310</v>
      </c>
      <c r="F630" s="317" t="s">
        <v>20155</v>
      </c>
      <c r="G630" s="317" t="s">
        <v>20321</v>
      </c>
      <c r="H630" s="358">
        <v>45044</v>
      </c>
      <c r="I630" s="317">
        <v>57600</v>
      </c>
      <c r="J630" s="16" t="s">
        <v>20345</v>
      </c>
      <c r="K630" s="317">
        <v>19200</v>
      </c>
      <c r="L630" s="359" t="s">
        <v>20347</v>
      </c>
      <c r="M630" s="317">
        <v>0</v>
      </c>
      <c r="N630" s="359"/>
      <c r="O630" s="317">
        <v>0</v>
      </c>
      <c r="P630" s="360"/>
      <c r="Q630" s="317">
        <v>76800</v>
      </c>
    </row>
    <row r="631" spans="1:17" s="1" customFormat="1" ht="11.45">
      <c r="A631" s="317" t="s">
        <v>18978</v>
      </c>
      <c r="B631" s="358">
        <v>45027</v>
      </c>
      <c r="C631" s="317">
        <v>2023</v>
      </c>
      <c r="D631" s="317" t="s">
        <v>17309</v>
      </c>
      <c r="E631" s="317" t="s">
        <v>17310</v>
      </c>
      <c r="F631" s="317" t="s">
        <v>20155</v>
      </c>
      <c r="G631" s="317" t="s">
        <v>20321</v>
      </c>
      <c r="H631" s="358">
        <v>45045</v>
      </c>
      <c r="I631" s="317">
        <v>57600</v>
      </c>
      <c r="J631" s="16" t="s">
        <v>20345</v>
      </c>
      <c r="K631" s="317">
        <v>0</v>
      </c>
      <c r="L631" s="359"/>
      <c r="M631" s="317">
        <v>0</v>
      </c>
      <c r="N631" s="359"/>
      <c r="O631" s="317">
        <v>0</v>
      </c>
      <c r="P631" s="360"/>
      <c r="Q631" s="317">
        <v>57600</v>
      </c>
    </row>
    <row r="632" spans="1:17" s="1" customFormat="1" ht="11.45">
      <c r="A632" s="317" t="s">
        <v>18979</v>
      </c>
      <c r="B632" s="358">
        <v>45028</v>
      </c>
      <c r="C632" s="317">
        <v>2023</v>
      </c>
      <c r="D632" s="317" t="s">
        <v>17017</v>
      </c>
      <c r="E632" s="317" t="s">
        <v>17018</v>
      </c>
      <c r="F632" s="317" t="s">
        <v>20155</v>
      </c>
      <c r="G632" s="317" t="s">
        <v>20350</v>
      </c>
      <c r="H632" s="358">
        <v>45033</v>
      </c>
      <c r="I632" s="317">
        <v>0</v>
      </c>
      <c r="J632" s="359"/>
      <c r="K632" s="317">
        <v>20000</v>
      </c>
      <c r="L632" s="16">
        <v>1</v>
      </c>
      <c r="M632" s="317">
        <v>0</v>
      </c>
      <c r="N632" s="359"/>
      <c r="O632" s="317">
        <v>0</v>
      </c>
      <c r="P632" s="360"/>
      <c r="Q632" s="317">
        <v>20000</v>
      </c>
    </row>
    <row r="633" spans="1:17" s="1" customFormat="1" ht="11.45">
      <c r="A633" s="317" t="s">
        <v>18980</v>
      </c>
      <c r="B633" s="358">
        <v>45029</v>
      </c>
      <c r="C633" s="317">
        <v>2023</v>
      </c>
      <c r="D633" s="317" t="s">
        <v>16444</v>
      </c>
      <c r="E633" s="317" t="s">
        <v>16445</v>
      </c>
      <c r="F633" s="317" t="s">
        <v>20155</v>
      </c>
      <c r="G633" s="317" t="s">
        <v>17949</v>
      </c>
      <c r="H633" s="358">
        <v>45033</v>
      </c>
      <c r="I633" s="317">
        <v>21600</v>
      </c>
      <c r="J633" s="359" t="s">
        <v>20345</v>
      </c>
      <c r="K633" s="317">
        <v>0</v>
      </c>
      <c r="L633" s="359"/>
      <c r="M633" s="317">
        <v>0</v>
      </c>
      <c r="N633" s="359"/>
      <c r="O633" s="317">
        <v>0</v>
      </c>
      <c r="P633" s="360"/>
      <c r="Q633" s="317">
        <v>21600</v>
      </c>
    </row>
    <row r="634" spans="1:17" s="1" customFormat="1" ht="11.45">
      <c r="A634" s="317" t="s">
        <v>18981</v>
      </c>
      <c r="B634" s="358">
        <v>45029</v>
      </c>
      <c r="C634" s="317">
        <v>2023</v>
      </c>
      <c r="D634" s="317" t="s">
        <v>16444</v>
      </c>
      <c r="E634" s="317" t="s">
        <v>16445</v>
      </c>
      <c r="F634" s="317" t="s">
        <v>20155</v>
      </c>
      <c r="G634" s="317" t="s">
        <v>17949</v>
      </c>
      <c r="H634" s="358">
        <v>45033</v>
      </c>
      <c r="I634" s="317">
        <v>44016</v>
      </c>
      <c r="J634" s="359" t="s">
        <v>20345</v>
      </c>
      <c r="K634" s="317">
        <v>0</v>
      </c>
      <c r="L634" s="359"/>
      <c r="M634" s="317">
        <v>0</v>
      </c>
      <c r="N634" s="359"/>
      <c r="O634" s="317">
        <v>0</v>
      </c>
      <c r="P634" s="360"/>
      <c r="Q634" s="317">
        <v>44016</v>
      </c>
    </row>
    <row r="635" spans="1:17" s="1" customFormat="1" ht="11.45">
      <c r="A635" s="317" t="s">
        <v>18982</v>
      </c>
      <c r="B635" s="358">
        <v>45031</v>
      </c>
      <c r="C635" s="317">
        <v>2023</v>
      </c>
      <c r="D635" s="317" t="s">
        <v>16957</v>
      </c>
      <c r="E635" s="317" t="s">
        <v>16958</v>
      </c>
      <c r="F635" s="317" t="s">
        <v>20155</v>
      </c>
      <c r="G635" s="317" t="s">
        <v>20161</v>
      </c>
      <c r="H635" s="358">
        <v>45043</v>
      </c>
      <c r="I635" s="317">
        <v>20150</v>
      </c>
      <c r="J635" s="16">
        <v>1</v>
      </c>
      <c r="K635" s="317">
        <v>0</v>
      </c>
      <c r="L635" s="359"/>
      <c r="M635" s="317">
        <v>0</v>
      </c>
      <c r="N635" s="359"/>
      <c r="O635" s="317">
        <v>0</v>
      </c>
      <c r="P635" s="360"/>
      <c r="Q635" s="317">
        <v>20150</v>
      </c>
    </row>
    <row r="636" spans="1:17" s="1" customFormat="1" ht="11.45">
      <c r="A636" s="317" t="s">
        <v>18983</v>
      </c>
      <c r="B636" s="358">
        <v>45036</v>
      </c>
      <c r="C636" s="317">
        <v>2023</v>
      </c>
      <c r="D636" s="317" t="s">
        <v>16783</v>
      </c>
      <c r="E636" s="317" t="s">
        <v>16784</v>
      </c>
      <c r="F636" s="317" t="s">
        <v>20155</v>
      </c>
      <c r="G636" s="317" t="s">
        <v>17939</v>
      </c>
      <c r="H636" s="358">
        <v>45043</v>
      </c>
      <c r="I636" s="317">
        <v>0</v>
      </c>
      <c r="J636" s="359"/>
      <c r="K636" s="317">
        <v>308016</v>
      </c>
      <c r="L636" s="16" t="s">
        <v>20345</v>
      </c>
      <c r="M636" s="317">
        <v>14400</v>
      </c>
      <c r="N636" s="16" t="s">
        <v>20345</v>
      </c>
      <c r="O636" s="317">
        <v>0</v>
      </c>
      <c r="P636" s="360"/>
      <c r="Q636" s="317">
        <v>322416</v>
      </c>
    </row>
    <row r="637" spans="1:17" s="1" customFormat="1" ht="11.45">
      <c r="A637" s="317" t="s">
        <v>18984</v>
      </c>
      <c r="B637" s="358">
        <v>45040</v>
      </c>
      <c r="C637" s="317">
        <v>2023</v>
      </c>
      <c r="D637" s="317" t="s">
        <v>17299</v>
      </c>
      <c r="E637" s="317" t="s">
        <v>17300</v>
      </c>
      <c r="F637" s="317" t="s">
        <v>20155</v>
      </c>
      <c r="G637" s="317" t="s">
        <v>20321</v>
      </c>
      <c r="H637" s="358">
        <v>45044</v>
      </c>
      <c r="I637" s="317">
        <v>57600</v>
      </c>
      <c r="J637" s="16" t="s">
        <v>20345</v>
      </c>
      <c r="K637" s="317">
        <v>0</v>
      </c>
      <c r="L637" s="359"/>
      <c r="M637" s="317">
        <v>0</v>
      </c>
      <c r="N637" s="359"/>
      <c r="O637" s="317">
        <v>0</v>
      </c>
      <c r="P637" s="360"/>
      <c r="Q637" s="317">
        <v>57600</v>
      </c>
    </row>
    <row r="638" spans="1:17" s="1" customFormat="1" ht="11.45">
      <c r="A638" s="317" t="s">
        <v>18985</v>
      </c>
      <c r="B638" s="358">
        <v>45040</v>
      </c>
      <c r="C638" s="317">
        <v>2023</v>
      </c>
      <c r="D638" s="317" t="s">
        <v>16470</v>
      </c>
      <c r="E638" s="317" t="s">
        <v>16471</v>
      </c>
      <c r="F638" s="317" t="s">
        <v>20155</v>
      </c>
      <c r="G638" s="317" t="s">
        <v>20352</v>
      </c>
      <c r="H638" s="358">
        <v>45045</v>
      </c>
      <c r="I638" s="317">
        <v>34872</v>
      </c>
      <c r="J638" s="359" t="s">
        <v>20345</v>
      </c>
      <c r="K638" s="317">
        <v>232618</v>
      </c>
      <c r="L638" s="359" t="s">
        <v>20348</v>
      </c>
      <c r="M638" s="317">
        <v>0</v>
      </c>
      <c r="N638" s="359"/>
      <c r="O638" s="317">
        <v>0</v>
      </c>
      <c r="P638" s="360"/>
      <c r="Q638" s="317">
        <v>267490</v>
      </c>
    </row>
    <row r="639" spans="1:17" s="1" customFormat="1" ht="11.45">
      <c r="A639" s="317" t="s">
        <v>18986</v>
      </c>
      <c r="B639" s="358">
        <v>45040</v>
      </c>
      <c r="C639" s="317">
        <v>2023</v>
      </c>
      <c r="D639" s="317" t="s">
        <v>16880</v>
      </c>
      <c r="E639" s="317" t="s">
        <v>16881</v>
      </c>
      <c r="F639" s="317" t="s">
        <v>20155</v>
      </c>
      <c r="G639" s="317" t="s">
        <v>20351</v>
      </c>
      <c r="H639" s="358">
        <v>45045</v>
      </c>
      <c r="I639" s="317">
        <v>5000</v>
      </c>
      <c r="J639" s="16">
        <v>1</v>
      </c>
      <c r="K639" s="317">
        <v>16100</v>
      </c>
      <c r="L639" s="16">
        <v>1</v>
      </c>
      <c r="M639" s="317">
        <v>0</v>
      </c>
      <c r="N639" s="359"/>
      <c r="O639" s="317">
        <v>0</v>
      </c>
      <c r="P639" s="360"/>
      <c r="Q639" s="317">
        <v>21100</v>
      </c>
    </row>
    <row r="640" spans="1:17" s="1" customFormat="1" ht="11.45">
      <c r="A640" s="317" t="s">
        <v>18987</v>
      </c>
      <c r="B640" s="358">
        <v>45040</v>
      </c>
      <c r="C640" s="317">
        <v>2023</v>
      </c>
      <c r="D640" s="317" t="s">
        <v>16444</v>
      </c>
      <c r="E640" s="317" t="s">
        <v>16445</v>
      </c>
      <c r="F640" s="317" t="s">
        <v>20155</v>
      </c>
      <c r="G640" s="317" t="s">
        <v>17965</v>
      </c>
      <c r="H640" s="358">
        <v>45049</v>
      </c>
      <c r="I640" s="317">
        <v>19200</v>
      </c>
      <c r="J640" s="359" t="s">
        <v>20345</v>
      </c>
      <c r="K640" s="317">
        <v>0</v>
      </c>
      <c r="L640" s="359"/>
      <c r="M640" s="317">
        <v>0</v>
      </c>
      <c r="N640" s="359"/>
      <c r="O640" s="317">
        <v>0</v>
      </c>
      <c r="P640" s="360"/>
      <c r="Q640" s="317">
        <v>19200</v>
      </c>
    </row>
    <row r="641" spans="1:17" s="1" customFormat="1" ht="11.45">
      <c r="A641" s="317" t="s">
        <v>18988</v>
      </c>
      <c r="B641" s="358">
        <v>45040</v>
      </c>
      <c r="C641" s="317">
        <v>2023</v>
      </c>
      <c r="D641" s="317" t="s">
        <v>16444</v>
      </c>
      <c r="E641" s="317" t="s">
        <v>16445</v>
      </c>
      <c r="F641" s="317" t="s">
        <v>20155</v>
      </c>
      <c r="G641" s="317" t="s">
        <v>17693</v>
      </c>
      <c r="H641" s="358">
        <v>45048</v>
      </c>
      <c r="I641" s="317">
        <v>20750</v>
      </c>
      <c r="J641" s="359" t="s">
        <v>20345</v>
      </c>
      <c r="K641" s="317">
        <v>0</v>
      </c>
      <c r="L641" s="359"/>
      <c r="M641" s="317">
        <v>0</v>
      </c>
      <c r="N641" s="359"/>
      <c r="O641" s="317">
        <v>0</v>
      </c>
      <c r="P641" s="360"/>
      <c r="Q641" s="317">
        <v>20750</v>
      </c>
    </row>
    <row r="642" spans="1:17" s="1" customFormat="1" ht="11.45">
      <c r="A642" s="317" t="s">
        <v>18989</v>
      </c>
      <c r="B642" s="358">
        <v>45040</v>
      </c>
      <c r="C642" s="317">
        <v>2023</v>
      </c>
      <c r="D642" s="317" t="s">
        <v>16444</v>
      </c>
      <c r="E642" s="317" t="s">
        <v>16445</v>
      </c>
      <c r="F642" s="317" t="s">
        <v>20155</v>
      </c>
      <c r="G642" s="317" t="s">
        <v>20173</v>
      </c>
      <c r="H642" s="358">
        <v>45049</v>
      </c>
      <c r="I642" s="317">
        <v>0</v>
      </c>
      <c r="J642" s="359"/>
      <c r="K642" s="317">
        <v>51840</v>
      </c>
      <c r="L642" s="359" t="s">
        <v>20347</v>
      </c>
      <c r="M642" s="317">
        <v>0</v>
      </c>
      <c r="N642" s="359"/>
      <c r="O642" s="317">
        <v>0</v>
      </c>
      <c r="P642" s="360"/>
      <c r="Q642" s="317">
        <v>51840</v>
      </c>
    </row>
    <row r="643" spans="1:17" s="1" customFormat="1" ht="11.45">
      <c r="A643" s="317" t="s">
        <v>18990</v>
      </c>
      <c r="B643" s="358">
        <v>45040</v>
      </c>
      <c r="C643" s="317">
        <v>2023</v>
      </c>
      <c r="D643" s="317" t="s">
        <v>16838</v>
      </c>
      <c r="E643" s="317" t="s">
        <v>16839</v>
      </c>
      <c r="F643" s="317" t="s">
        <v>20155</v>
      </c>
      <c r="G643" s="317" t="s">
        <v>17771</v>
      </c>
      <c r="H643" s="358">
        <v>45043</v>
      </c>
      <c r="I643" s="317">
        <v>0</v>
      </c>
      <c r="J643" s="359"/>
      <c r="K643" s="317">
        <v>21000</v>
      </c>
      <c r="L643" s="359" t="s">
        <v>20348</v>
      </c>
      <c r="M643" s="317">
        <v>84000</v>
      </c>
      <c r="N643" s="359" t="s">
        <v>20347</v>
      </c>
      <c r="O643" s="317">
        <v>750</v>
      </c>
      <c r="P643" s="360">
        <v>1</v>
      </c>
      <c r="Q643" s="317">
        <v>105750</v>
      </c>
    </row>
    <row r="644" spans="1:17" s="1" customFormat="1" ht="11.45">
      <c r="A644" s="317" t="s">
        <v>18991</v>
      </c>
      <c r="B644" s="358">
        <v>45009</v>
      </c>
      <c r="C644" s="317">
        <v>2023</v>
      </c>
      <c r="D644" s="317" t="s">
        <v>16838</v>
      </c>
      <c r="E644" s="317" t="s">
        <v>16839</v>
      </c>
      <c r="F644" s="317" t="s">
        <v>20155</v>
      </c>
      <c r="G644" s="317" t="s">
        <v>17949</v>
      </c>
      <c r="H644" s="358">
        <v>45058</v>
      </c>
      <c r="I644" s="317">
        <v>44016</v>
      </c>
      <c r="J644" s="359" t="s">
        <v>20345</v>
      </c>
      <c r="K644" s="317">
        <v>24000</v>
      </c>
      <c r="L644" s="359" t="s">
        <v>20346</v>
      </c>
      <c r="M644" s="317">
        <v>3000</v>
      </c>
      <c r="N644" s="359" t="s">
        <v>20346</v>
      </c>
      <c r="O644" s="317">
        <v>0</v>
      </c>
      <c r="P644" s="360"/>
      <c r="Q644" s="317">
        <v>71016</v>
      </c>
    </row>
    <row r="645" spans="1:17" s="1" customFormat="1" ht="11.45">
      <c r="A645" s="317" t="s">
        <v>18992</v>
      </c>
      <c r="B645" s="358">
        <v>45009</v>
      </c>
      <c r="C645" s="317">
        <v>2023</v>
      </c>
      <c r="D645" s="317" t="s">
        <v>16838</v>
      </c>
      <c r="E645" s="317" t="s">
        <v>16839</v>
      </c>
      <c r="F645" s="317" t="s">
        <v>20155</v>
      </c>
      <c r="G645" s="317" t="s">
        <v>20321</v>
      </c>
      <c r="H645" s="358">
        <v>45045</v>
      </c>
      <c r="I645" s="317">
        <v>0</v>
      </c>
      <c r="J645" s="359"/>
      <c r="K645" s="317">
        <v>44016</v>
      </c>
      <c r="L645" s="359" t="s">
        <v>20347</v>
      </c>
      <c r="M645" s="317">
        <v>0</v>
      </c>
      <c r="N645" s="359"/>
      <c r="O645" s="317">
        <v>0</v>
      </c>
      <c r="P645" s="360"/>
      <c r="Q645" s="317">
        <v>44016</v>
      </c>
    </row>
    <row r="646" spans="1:17" s="1" customFormat="1" ht="11.45">
      <c r="A646" s="317" t="s">
        <v>18993</v>
      </c>
      <c r="B646" s="358">
        <v>45044</v>
      </c>
      <c r="C646" s="317">
        <v>2023</v>
      </c>
      <c r="D646" s="317" t="s">
        <v>16838</v>
      </c>
      <c r="E646" s="317" t="s">
        <v>16839</v>
      </c>
      <c r="F646" s="317" t="s">
        <v>20155</v>
      </c>
      <c r="G646" s="317" t="s">
        <v>17771</v>
      </c>
      <c r="H646" s="358">
        <v>45045</v>
      </c>
      <c r="I646" s="317">
        <v>0</v>
      </c>
      <c r="J646" s="359"/>
      <c r="K646" s="317">
        <v>0</v>
      </c>
      <c r="L646" s="359"/>
      <c r="M646" s="317">
        <v>0</v>
      </c>
      <c r="N646" s="359"/>
      <c r="O646" s="317">
        <v>675</v>
      </c>
      <c r="P646" s="360">
        <v>1</v>
      </c>
      <c r="Q646" s="317">
        <v>675</v>
      </c>
    </row>
    <row r="647" spans="1:17" s="1" customFormat="1" ht="11.45">
      <c r="A647" s="317" t="s">
        <v>18994</v>
      </c>
      <c r="B647" s="358">
        <v>45048</v>
      </c>
      <c r="C647" s="317">
        <v>2023</v>
      </c>
      <c r="D647" s="317" t="s">
        <v>17332</v>
      </c>
      <c r="E647" s="317" t="s">
        <v>17333</v>
      </c>
      <c r="F647" s="317" t="s">
        <v>20155</v>
      </c>
      <c r="G647" s="317" t="s">
        <v>17939</v>
      </c>
      <c r="H647" s="358">
        <v>45051</v>
      </c>
      <c r="I647" s="317">
        <v>100003</v>
      </c>
      <c r="J647" s="359" t="s">
        <v>20345</v>
      </c>
      <c r="K647" s="317">
        <v>0</v>
      </c>
      <c r="L647" s="359"/>
      <c r="M647" s="317">
        <v>0</v>
      </c>
      <c r="N647" s="359"/>
      <c r="O647" s="317">
        <v>0</v>
      </c>
      <c r="P647" s="360"/>
      <c r="Q647" s="317">
        <v>100003</v>
      </c>
    </row>
    <row r="648" spans="1:17" s="1" customFormat="1" ht="11.45">
      <c r="A648" s="317" t="s">
        <v>18995</v>
      </c>
      <c r="B648" s="358">
        <v>45049</v>
      </c>
      <c r="C648" s="317">
        <v>2023</v>
      </c>
      <c r="D648" s="317" t="s">
        <v>16444</v>
      </c>
      <c r="E648" s="317" t="s">
        <v>16445</v>
      </c>
      <c r="F648" s="317" t="s">
        <v>20155</v>
      </c>
      <c r="G648" s="317" t="s">
        <v>18248</v>
      </c>
      <c r="H648" s="358">
        <v>45054</v>
      </c>
      <c r="I648" s="317">
        <v>19200</v>
      </c>
      <c r="J648" s="359" t="s">
        <v>20345</v>
      </c>
      <c r="K648" s="317">
        <v>0</v>
      </c>
      <c r="L648" s="359"/>
      <c r="M648" s="317">
        <v>0</v>
      </c>
      <c r="N648" s="359"/>
      <c r="O648" s="317">
        <v>0</v>
      </c>
      <c r="P648" s="360"/>
      <c r="Q648" s="317">
        <v>19200</v>
      </c>
    </row>
    <row r="649" spans="1:17" s="1" customFormat="1" ht="11.45">
      <c r="A649" s="317" t="s">
        <v>18996</v>
      </c>
      <c r="B649" s="358">
        <v>45049</v>
      </c>
      <c r="C649" s="317">
        <v>2023</v>
      </c>
      <c r="D649" s="317" t="s">
        <v>16444</v>
      </c>
      <c r="E649" s="317" t="s">
        <v>16445</v>
      </c>
      <c r="F649" s="317" t="s">
        <v>20155</v>
      </c>
      <c r="G649" s="317" t="s">
        <v>17693</v>
      </c>
      <c r="H649" s="358">
        <v>45054</v>
      </c>
      <c r="I649" s="317">
        <v>0</v>
      </c>
      <c r="J649" s="359"/>
      <c r="K649" s="317">
        <v>0</v>
      </c>
      <c r="L649" s="359"/>
      <c r="M649" s="317">
        <v>27720</v>
      </c>
      <c r="N649" s="359" t="s">
        <v>20346</v>
      </c>
      <c r="O649" s="317">
        <v>0</v>
      </c>
      <c r="P649" s="360"/>
      <c r="Q649" s="317">
        <v>27720</v>
      </c>
    </row>
    <row r="650" spans="1:17" s="1" customFormat="1" ht="11.45">
      <c r="A650" s="317" t="s">
        <v>18997</v>
      </c>
      <c r="B650" s="358">
        <v>45051</v>
      </c>
      <c r="C650" s="317">
        <v>2023</v>
      </c>
      <c r="D650" s="317" t="s">
        <v>16444</v>
      </c>
      <c r="E650" s="317" t="s">
        <v>16445</v>
      </c>
      <c r="F650" s="317" t="s">
        <v>20155</v>
      </c>
      <c r="G650" s="317" t="s">
        <v>18248</v>
      </c>
      <c r="H650" s="358">
        <v>45064</v>
      </c>
      <c r="I650" s="317">
        <v>15600</v>
      </c>
      <c r="J650" s="359" t="s">
        <v>20345</v>
      </c>
      <c r="K650" s="317">
        <v>38100</v>
      </c>
      <c r="L650" s="359" t="s">
        <v>20346</v>
      </c>
      <c r="M650" s="317">
        <v>2100</v>
      </c>
      <c r="N650" s="359" t="s">
        <v>20346</v>
      </c>
      <c r="O650" s="317">
        <v>0</v>
      </c>
      <c r="P650" s="360"/>
      <c r="Q650" s="317">
        <v>55800</v>
      </c>
    </row>
    <row r="651" spans="1:17" s="1" customFormat="1" ht="11.45">
      <c r="A651" s="317" t="s">
        <v>18998</v>
      </c>
      <c r="B651" s="358">
        <v>45055</v>
      </c>
      <c r="C651" s="317">
        <v>2023</v>
      </c>
      <c r="D651" s="317" t="s">
        <v>17156</v>
      </c>
      <c r="E651" s="317" t="s">
        <v>17157</v>
      </c>
      <c r="F651" s="317" t="s">
        <v>20155</v>
      </c>
      <c r="G651" s="317" t="s">
        <v>20161</v>
      </c>
      <c r="H651" s="358">
        <v>45072</v>
      </c>
      <c r="I651" s="317">
        <v>0</v>
      </c>
      <c r="J651" s="359"/>
      <c r="K651" s="317">
        <v>82000</v>
      </c>
      <c r="L651" s="16">
        <v>1</v>
      </c>
      <c r="M651" s="317">
        <v>0</v>
      </c>
      <c r="N651" s="359"/>
      <c r="O651" s="317">
        <v>0</v>
      </c>
      <c r="P651" s="360"/>
      <c r="Q651" s="317">
        <v>82000</v>
      </c>
    </row>
    <row r="652" spans="1:17" s="1" customFormat="1" ht="11.45">
      <c r="A652" s="317" t="s">
        <v>18999</v>
      </c>
      <c r="B652" s="358">
        <v>45055</v>
      </c>
      <c r="C652" s="317">
        <v>2023</v>
      </c>
      <c r="D652" s="317" t="s">
        <v>16444</v>
      </c>
      <c r="E652" s="317" t="s">
        <v>16445</v>
      </c>
      <c r="F652" s="317" t="s">
        <v>20155</v>
      </c>
      <c r="G652" s="317" t="s">
        <v>18248</v>
      </c>
      <c r="H652" s="358">
        <v>45064</v>
      </c>
      <c r="I652" s="317">
        <v>15600</v>
      </c>
      <c r="J652" s="359" t="s">
        <v>20345</v>
      </c>
      <c r="K652" s="317">
        <v>38100</v>
      </c>
      <c r="L652" s="359" t="s">
        <v>20346</v>
      </c>
      <c r="M652" s="317">
        <v>2100</v>
      </c>
      <c r="N652" s="359" t="s">
        <v>20346</v>
      </c>
      <c r="O652" s="317">
        <v>0</v>
      </c>
      <c r="P652" s="360"/>
      <c r="Q652" s="317">
        <v>55800</v>
      </c>
    </row>
    <row r="653" spans="1:17" s="1" customFormat="1" ht="11.45">
      <c r="A653" s="317" t="s">
        <v>19000</v>
      </c>
      <c r="B653" s="358">
        <v>45055</v>
      </c>
      <c r="C653" s="317">
        <v>2023</v>
      </c>
      <c r="D653" s="317" t="s">
        <v>16904</v>
      </c>
      <c r="E653" s="317" t="s">
        <v>16905</v>
      </c>
      <c r="F653" s="317" t="s">
        <v>20155</v>
      </c>
      <c r="G653" s="317" t="s">
        <v>20160</v>
      </c>
      <c r="H653" s="358">
        <v>45062</v>
      </c>
      <c r="I653" s="317">
        <v>0</v>
      </c>
      <c r="J653" s="359"/>
      <c r="K653" s="317">
        <v>17532</v>
      </c>
      <c r="L653" s="16">
        <v>1</v>
      </c>
      <c r="M653" s="317">
        <v>10500</v>
      </c>
      <c r="N653" s="16">
        <v>1</v>
      </c>
      <c r="O653" s="317">
        <v>0</v>
      </c>
      <c r="P653" s="360"/>
      <c r="Q653" s="317">
        <v>28032</v>
      </c>
    </row>
    <row r="654" spans="1:17" s="1" customFormat="1" ht="11.45">
      <c r="A654" s="317" t="s">
        <v>19001</v>
      </c>
      <c r="B654" s="358">
        <v>45055</v>
      </c>
      <c r="C654" s="317">
        <v>2023</v>
      </c>
      <c r="D654" s="317" t="s">
        <v>16904</v>
      </c>
      <c r="E654" s="317" t="s">
        <v>16905</v>
      </c>
      <c r="F654" s="317" t="s">
        <v>20155</v>
      </c>
      <c r="G654" s="317" t="s">
        <v>20160</v>
      </c>
      <c r="H654" s="358">
        <v>45062</v>
      </c>
      <c r="I654" s="317">
        <v>0</v>
      </c>
      <c r="J654" s="359"/>
      <c r="K654" s="317">
        <v>17472</v>
      </c>
      <c r="L654" s="16">
        <v>1</v>
      </c>
      <c r="M654" s="317">
        <v>10500</v>
      </c>
      <c r="N654" s="16">
        <v>1</v>
      </c>
      <c r="O654" s="317">
        <v>0</v>
      </c>
      <c r="P654" s="360"/>
      <c r="Q654" s="317">
        <v>27972</v>
      </c>
    </row>
    <row r="655" spans="1:17" s="1" customFormat="1" ht="11.45">
      <c r="A655" s="317" t="s">
        <v>19002</v>
      </c>
      <c r="B655" s="358">
        <v>45055</v>
      </c>
      <c r="C655" s="317">
        <v>2023</v>
      </c>
      <c r="D655" s="317" t="s">
        <v>16904</v>
      </c>
      <c r="E655" s="317" t="s">
        <v>16905</v>
      </c>
      <c r="F655" s="317" t="s">
        <v>20155</v>
      </c>
      <c r="G655" s="317" t="s">
        <v>20160</v>
      </c>
      <c r="H655" s="358">
        <v>45062</v>
      </c>
      <c r="I655" s="317">
        <v>0</v>
      </c>
      <c r="J655" s="359"/>
      <c r="K655" s="317">
        <v>17484</v>
      </c>
      <c r="L655" s="16">
        <v>1</v>
      </c>
      <c r="M655" s="317">
        <v>10500</v>
      </c>
      <c r="N655" s="16">
        <v>1</v>
      </c>
      <c r="O655" s="317">
        <v>0</v>
      </c>
      <c r="P655" s="360"/>
      <c r="Q655" s="317">
        <v>27984</v>
      </c>
    </row>
    <row r="656" spans="1:17" s="1" customFormat="1" ht="11.45">
      <c r="A656" s="317" t="s">
        <v>19003</v>
      </c>
      <c r="B656" s="358">
        <v>45065</v>
      </c>
      <c r="C656" s="317">
        <v>2023</v>
      </c>
      <c r="D656" s="317" t="s">
        <v>17297</v>
      </c>
      <c r="E656" s="317" t="s">
        <v>17298</v>
      </c>
      <c r="F656" s="317" t="s">
        <v>20155</v>
      </c>
      <c r="G656" s="317" t="s">
        <v>20319</v>
      </c>
      <c r="H656" s="358">
        <v>45077</v>
      </c>
      <c r="I656" s="317">
        <v>6000</v>
      </c>
      <c r="J656" s="359" t="s">
        <v>20345</v>
      </c>
      <c r="K656" s="317">
        <v>19200</v>
      </c>
      <c r="L656" s="359" t="s">
        <v>20348</v>
      </c>
      <c r="M656" s="317">
        <v>0</v>
      </c>
      <c r="N656" s="359"/>
      <c r="O656" s="317">
        <v>0</v>
      </c>
      <c r="P656" s="360"/>
      <c r="Q656" s="317">
        <v>25200</v>
      </c>
    </row>
    <row r="657" spans="1:17" s="1" customFormat="1" ht="11.45">
      <c r="A657" s="317" t="s">
        <v>19004</v>
      </c>
      <c r="B657" s="358">
        <v>45065</v>
      </c>
      <c r="C657" s="317">
        <v>2023</v>
      </c>
      <c r="D657" s="317" t="s">
        <v>17299</v>
      </c>
      <c r="E657" s="317" t="s">
        <v>17300</v>
      </c>
      <c r="F657" s="317" t="s">
        <v>20155</v>
      </c>
      <c r="G657" s="317" t="s">
        <v>20321</v>
      </c>
      <c r="H657" s="358">
        <v>45071</v>
      </c>
      <c r="I657" s="317">
        <v>38400</v>
      </c>
      <c r="J657" s="16" t="s">
        <v>20345</v>
      </c>
      <c r="K657" s="317">
        <v>0</v>
      </c>
      <c r="L657" s="359"/>
      <c r="M657" s="317">
        <v>0</v>
      </c>
      <c r="N657" s="359"/>
      <c r="O657" s="317">
        <v>0</v>
      </c>
      <c r="P657" s="360"/>
      <c r="Q657" s="317">
        <v>38400</v>
      </c>
    </row>
    <row r="658" spans="1:17" s="1" customFormat="1" ht="11.45">
      <c r="A658" s="317" t="s">
        <v>19005</v>
      </c>
      <c r="B658" s="358">
        <v>45066</v>
      </c>
      <c r="C658" s="317">
        <v>2023</v>
      </c>
      <c r="D658" s="317" t="s">
        <v>16643</v>
      </c>
      <c r="E658" s="317" t="s">
        <v>16644</v>
      </c>
      <c r="F658" s="317" t="s">
        <v>20155</v>
      </c>
      <c r="G658" s="317" t="s">
        <v>20352</v>
      </c>
      <c r="H658" s="358">
        <v>45077</v>
      </c>
      <c r="I658" s="317">
        <v>0</v>
      </c>
      <c r="J658" s="359"/>
      <c r="K658" s="317">
        <v>44400</v>
      </c>
      <c r="L658" s="359" t="s">
        <v>20348</v>
      </c>
      <c r="M658" s="317">
        <v>0</v>
      </c>
      <c r="N658" s="359"/>
      <c r="O658" s="317">
        <v>0</v>
      </c>
      <c r="P658" s="360"/>
      <c r="Q658" s="317">
        <v>44400</v>
      </c>
    </row>
    <row r="659" spans="1:17" s="1" customFormat="1" ht="11.45">
      <c r="A659" s="317" t="s">
        <v>20354</v>
      </c>
      <c r="B659" s="358">
        <v>45066</v>
      </c>
      <c r="C659" s="317">
        <v>2023</v>
      </c>
      <c r="D659" s="317" t="s">
        <v>17119</v>
      </c>
      <c r="E659" s="317" t="s">
        <v>17120</v>
      </c>
      <c r="F659" s="317" t="s">
        <v>20164</v>
      </c>
      <c r="G659" s="317" t="s">
        <v>17965</v>
      </c>
      <c r="H659" s="358">
        <v>0</v>
      </c>
      <c r="I659" s="317">
        <v>38400</v>
      </c>
      <c r="J659" s="359" t="s">
        <v>20345</v>
      </c>
      <c r="K659" s="317">
        <v>85200</v>
      </c>
      <c r="L659" s="359" t="s">
        <v>20348</v>
      </c>
      <c r="M659" s="317">
        <v>0</v>
      </c>
      <c r="N659" s="359"/>
      <c r="O659" s="317">
        <v>0</v>
      </c>
      <c r="P659" s="360"/>
      <c r="Q659" s="317">
        <v>123600</v>
      </c>
    </row>
    <row r="660" spans="1:17" s="1" customFormat="1" ht="11.45">
      <c r="A660" s="317" t="s">
        <v>19006</v>
      </c>
      <c r="B660" s="358">
        <v>45068</v>
      </c>
      <c r="C660" s="317">
        <v>2023</v>
      </c>
      <c r="D660" s="317" t="s">
        <v>17329</v>
      </c>
      <c r="E660" s="317" t="s">
        <v>17330</v>
      </c>
      <c r="F660" s="317" t="s">
        <v>20155</v>
      </c>
      <c r="G660" s="317" t="s">
        <v>20335</v>
      </c>
      <c r="H660" s="358">
        <v>45072</v>
      </c>
      <c r="I660" s="317">
        <v>3600</v>
      </c>
      <c r="J660" s="359" t="s">
        <v>20345</v>
      </c>
      <c r="K660" s="317">
        <v>2500</v>
      </c>
      <c r="L660" s="359" t="s">
        <v>20346</v>
      </c>
      <c r="M660" s="317">
        <v>4000</v>
      </c>
      <c r="N660" s="359" t="s">
        <v>20346</v>
      </c>
      <c r="O660" s="317">
        <v>5000</v>
      </c>
      <c r="P660" s="361">
        <v>1</v>
      </c>
      <c r="Q660" s="317">
        <v>15100</v>
      </c>
    </row>
    <row r="661" spans="1:17" s="1" customFormat="1" ht="11.45">
      <c r="A661" s="317" t="s">
        <v>19007</v>
      </c>
      <c r="B661" s="358">
        <v>45068</v>
      </c>
      <c r="C661" s="317">
        <v>2023</v>
      </c>
      <c r="D661" s="317" t="s">
        <v>17329</v>
      </c>
      <c r="E661" s="317" t="s">
        <v>17330</v>
      </c>
      <c r="F661" s="317" t="s">
        <v>20155</v>
      </c>
      <c r="G661" s="317" t="s">
        <v>20335</v>
      </c>
      <c r="H661" s="358">
        <v>45077</v>
      </c>
      <c r="I661" s="317">
        <v>0</v>
      </c>
      <c r="J661" s="359"/>
      <c r="K661" s="317">
        <v>41280</v>
      </c>
      <c r="L661" s="359" t="s">
        <v>20346</v>
      </c>
      <c r="M661" s="317">
        <v>0</v>
      </c>
      <c r="N661" s="359"/>
      <c r="O661" s="317">
        <v>0</v>
      </c>
      <c r="P661" s="360"/>
      <c r="Q661" s="317">
        <v>41280</v>
      </c>
    </row>
    <row r="662" spans="1:17" s="1" customFormat="1" ht="11.45">
      <c r="A662" s="317" t="s">
        <v>19008</v>
      </c>
      <c r="B662" s="358">
        <v>45068</v>
      </c>
      <c r="C662" s="317">
        <v>2023</v>
      </c>
      <c r="D662" s="317" t="s">
        <v>17346</v>
      </c>
      <c r="E662" s="317" t="s">
        <v>17347</v>
      </c>
      <c r="F662" s="317" t="s">
        <v>20155</v>
      </c>
      <c r="G662" s="317" t="s">
        <v>20355</v>
      </c>
      <c r="H662" s="358">
        <v>45076</v>
      </c>
      <c r="I662" s="317">
        <v>41500</v>
      </c>
      <c r="J662" s="16" t="s">
        <v>20345</v>
      </c>
      <c r="K662" s="317">
        <v>0</v>
      </c>
      <c r="L662" s="359"/>
      <c r="M662" s="317">
        <v>0</v>
      </c>
      <c r="N662" s="359"/>
      <c r="O662" s="317">
        <v>0</v>
      </c>
      <c r="P662" s="360"/>
      <c r="Q662" s="317">
        <v>41500</v>
      </c>
    </row>
    <row r="663" spans="1:17" s="1" customFormat="1" ht="11.45">
      <c r="A663" s="317" t="s">
        <v>19010</v>
      </c>
      <c r="B663" s="358">
        <v>45069</v>
      </c>
      <c r="C663" s="317">
        <v>2023</v>
      </c>
      <c r="D663" s="317" t="s">
        <v>16384</v>
      </c>
      <c r="E663" s="317" t="s">
        <v>16385</v>
      </c>
      <c r="F663" s="317" t="s">
        <v>20155</v>
      </c>
      <c r="G663" s="317" t="s">
        <v>17965</v>
      </c>
      <c r="H663" s="358">
        <v>45083</v>
      </c>
      <c r="I663" s="317">
        <v>76800</v>
      </c>
      <c r="J663" s="359" t="s">
        <v>20345</v>
      </c>
      <c r="K663" s="317">
        <v>0</v>
      </c>
      <c r="L663" s="359"/>
      <c r="M663" s="317">
        <v>0</v>
      </c>
      <c r="N663" s="359"/>
      <c r="O663" s="317">
        <v>0</v>
      </c>
      <c r="P663" s="360"/>
      <c r="Q663" s="317">
        <v>76800</v>
      </c>
    </row>
    <row r="664" spans="1:17" s="1" customFormat="1" ht="11.45">
      <c r="A664" s="317" t="s">
        <v>19011</v>
      </c>
      <c r="B664" s="358">
        <v>45069</v>
      </c>
      <c r="C664" s="317">
        <v>2023</v>
      </c>
      <c r="D664" s="317" t="s">
        <v>16384</v>
      </c>
      <c r="E664" s="317" t="s">
        <v>16385</v>
      </c>
      <c r="F664" s="317" t="s">
        <v>20155</v>
      </c>
      <c r="G664" s="317" t="s">
        <v>17949</v>
      </c>
      <c r="H664" s="358">
        <v>45076</v>
      </c>
      <c r="I664" s="317">
        <v>133099</v>
      </c>
      <c r="J664" s="359" t="s">
        <v>20345</v>
      </c>
      <c r="K664" s="317">
        <v>13800</v>
      </c>
      <c r="L664" s="359" t="s">
        <v>20346</v>
      </c>
      <c r="M664" s="317">
        <v>0</v>
      </c>
      <c r="N664" s="359"/>
      <c r="O664" s="317">
        <v>0</v>
      </c>
      <c r="P664" s="360"/>
      <c r="Q664" s="317">
        <v>146899</v>
      </c>
    </row>
    <row r="665" spans="1:17" s="1" customFormat="1" ht="11.45">
      <c r="A665" s="317" t="s">
        <v>19012</v>
      </c>
      <c r="B665" s="358">
        <v>45069</v>
      </c>
      <c r="C665" s="317">
        <v>2023</v>
      </c>
      <c r="D665" s="317" t="s">
        <v>16444</v>
      </c>
      <c r="E665" s="317" t="s">
        <v>16445</v>
      </c>
      <c r="F665" s="317" t="s">
        <v>20155</v>
      </c>
      <c r="G665" s="317" t="s">
        <v>17693</v>
      </c>
      <c r="H665" s="358">
        <v>45075</v>
      </c>
      <c r="I665" s="317">
        <v>21600</v>
      </c>
      <c r="J665" s="359" t="s">
        <v>20345</v>
      </c>
      <c r="K665" s="317">
        <v>0</v>
      </c>
      <c r="L665" s="359"/>
      <c r="M665" s="317">
        <v>0</v>
      </c>
      <c r="N665" s="359"/>
      <c r="O665" s="317">
        <v>0</v>
      </c>
      <c r="P665" s="360"/>
      <c r="Q665" s="317">
        <v>21600</v>
      </c>
    </row>
    <row r="666" spans="1:17" s="1" customFormat="1" ht="11.45">
      <c r="A666" s="317" t="s">
        <v>19013</v>
      </c>
      <c r="B666" s="358">
        <v>45069</v>
      </c>
      <c r="C666" s="317">
        <v>2023</v>
      </c>
      <c r="D666" s="317" t="s">
        <v>16444</v>
      </c>
      <c r="E666" s="317" t="s">
        <v>16445</v>
      </c>
      <c r="F666" s="317" t="s">
        <v>20155</v>
      </c>
      <c r="G666" s="317" t="s">
        <v>20321</v>
      </c>
      <c r="H666" s="358">
        <v>45075</v>
      </c>
      <c r="I666" s="317">
        <v>38400</v>
      </c>
      <c r="J666" s="359" t="s">
        <v>20345</v>
      </c>
      <c r="K666" s="317">
        <v>0</v>
      </c>
      <c r="L666" s="359"/>
      <c r="M666" s="317">
        <v>0</v>
      </c>
      <c r="N666" s="359"/>
      <c r="O666" s="317">
        <v>0</v>
      </c>
      <c r="P666" s="360"/>
      <c r="Q666" s="317">
        <v>38400</v>
      </c>
    </row>
    <row r="667" spans="1:17" s="1" customFormat="1" ht="11.45">
      <c r="A667" s="317" t="s">
        <v>19014</v>
      </c>
      <c r="B667" s="358">
        <v>45070</v>
      </c>
      <c r="C667" s="317">
        <v>2023</v>
      </c>
      <c r="D667" s="317" t="s">
        <v>16957</v>
      </c>
      <c r="E667" s="317" t="s">
        <v>16958</v>
      </c>
      <c r="F667" s="317" t="s">
        <v>20155</v>
      </c>
      <c r="G667" s="317" t="s">
        <v>20161</v>
      </c>
      <c r="H667" s="358">
        <v>45075</v>
      </c>
      <c r="I667" s="317">
        <v>20150</v>
      </c>
      <c r="J667" s="16" t="s">
        <v>20345</v>
      </c>
      <c r="K667" s="317">
        <v>0</v>
      </c>
      <c r="L667" s="359"/>
      <c r="M667" s="317">
        <v>0</v>
      </c>
      <c r="N667" s="359"/>
      <c r="O667" s="317">
        <v>0</v>
      </c>
      <c r="P667" s="360"/>
      <c r="Q667" s="317">
        <v>20150</v>
      </c>
    </row>
    <row r="668" spans="1:17" s="1" customFormat="1" ht="11.45">
      <c r="A668" s="317" t="s">
        <v>19015</v>
      </c>
      <c r="B668" s="358">
        <v>45070</v>
      </c>
      <c r="C668" s="317">
        <v>2023</v>
      </c>
      <c r="D668" s="317" t="s">
        <v>16957</v>
      </c>
      <c r="E668" s="317" t="s">
        <v>16958</v>
      </c>
      <c r="F668" s="317" t="s">
        <v>20155</v>
      </c>
      <c r="G668" s="317" t="s">
        <v>20161</v>
      </c>
      <c r="H668" s="358">
        <v>45099</v>
      </c>
      <c r="I668" s="317">
        <v>20150</v>
      </c>
      <c r="J668" s="16" t="s">
        <v>20345</v>
      </c>
      <c r="K668" s="317">
        <v>0</v>
      </c>
      <c r="L668" s="359"/>
      <c r="M668" s="317">
        <v>0</v>
      </c>
      <c r="N668" s="359"/>
      <c r="O668" s="317">
        <v>0</v>
      </c>
      <c r="P668" s="360"/>
      <c r="Q668" s="317">
        <v>20150</v>
      </c>
    </row>
    <row r="669" spans="1:17" s="1" customFormat="1" ht="11.45">
      <c r="A669" s="317" t="s">
        <v>19016</v>
      </c>
      <c r="B669" s="358">
        <v>45070</v>
      </c>
      <c r="C669" s="317">
        <v>2023</v>
      </c>
      <c r="D669" s="317" t="s">
        <v>17276</v>
      </c>
      <c r="E669" s="317" t="s">
        <v>17277</v>
      </c>
      <c r="F669" s="317" t="s">
        <v>20155</v>
      </c>
      <c r="G669" s="317" t="s">
        <v>20297</v>
      </c>
      <c r="H669" s="358">
        <v>45092</v>
      </c>
      <c r="I669" s="317">
        <v>38400</v>
      </c>
      <c r="J669" s="16" t="s">
        <v>20345</v>
      </c>
      <c r="K669" s="317">
        <v>0</v>
      </c>
      <c r="L669" s="359"/>
      <c r="M669" s="317">
        <v>0</v>
      </c>
      <c r="N669" s="359"/>
      <c r="O669" s="317">
        <v>0</v>
      </c>
      <c r="P669" s="360"/>
      <c r="Q669" s="317">
        <v>38400</v>
      </c>
    </row>
    <row r="670" spans="1:17" s="1" customFormat="1" ht="11.45">
      <c r="A670" s="317" t="s">
        <v>19017</v>
      </c>
      <c r="B670" s="358">
        <v>45077</v>
      </c>
      <c r="C670" s="317">
        <v>2023</v>
      </c>
      <c r="D670" s="317" t="s">
        <v>16444</v>
      </c>
      <c r="E670" s="317" t="s">
        <v>16445</v>
      </c>
      <c r="F670" s="317" t="s">
        <v>20155</v>
      </c>
      <c r="G670" s="317" t="s">
        <v>17693</v>
      </c>
      <c r="H670" s="358">
        <v>45082</v>
      </c>
      <c r="I670" s="317">
        <v>20750</v>
      </c>
      <c r="J670" s="359" t="s">
        <v>20345</v>
      </c>
      <c r="K670" s="317">
        <v>0</v>
      </c>
      <c r="L670" s="359"/>
      <c r="M670" s="317">
        <v>0</v>
      </c>
      <c r="N670" s="359"/>
      <c r="O670" s="317">
        <v>0</v>
      </c>
      <c r="P670" s="360"/>
      <c r="Q670" s="317">
        <v>20750</v>
      </c>
    </row>
    <row r="671" spans="1:17" s="1" customFormat="1" ht="11.45">
      <c r="A671" s="317" t="s">
        <v>19018</v>
      </c>
      <c r="B671" s="358">
        <v>45077</v>
      </c>
      <c r="C671" s="317">
        <v>2023</v>
      </c>
      <c r="D671" s="317" t="s">
        <v>16444</v>
      </c>
      <c r="E671" s="317" t="s">
        <v>16445</v>
      </c>
      <c r="F671" s="317" t="s">
        <v>20155</v>
      </c>
      <c r="G671" s="317" t="s">
        <v>20173</v>
      </c>
      <c r="H671" s="358">
        <v>45082</v>
      </c>
      <c r="I671" s="317">
        <v>21600</v>
      </c>
      <c r="J671" s="359" t="s">
        <v>20345</v>
      </c>
      <c r="K671" s="317">
        <v>0</v>
      </c>
      <c r="L671" s="359"/>
      <c r="M671" s="317">
        <v>0</v>
      </c>
      <c r="N671" s="359"/>
      <c r="O671" s="317">
        <v>0</v>
      </c>
      <c r="P671" s="360"/>
      <c r="Q671" s="317">
        <v>21600</v>
      </c>
    </row>
    <row r="672" spans="1:17" s="1" customFormat="1" ht="11.45">
      <c r="A672" s="317" t="s">
        <v>19019</v>
      </c>
      <c r="B672" s="358">
        <v>45078</v>
      </c>
      <c r="C672" s="317">
        <v>2023</v>
      </c>
      <c r="D672" s="317" t="s">
        <v>17344</v>
      </c>
      <c r="E672" s="317" t="s">
        <v>17345</v>
      </c>
      <c r="F672" s="317" t="s">
        <v>20155</v>
      </c>
      <c r="G672" s="317" t="s">
        <v>17689</v>
      </c>
      <c r="H672" s="358">
        <v>45107</v>
      </c>
      <c r="I672" s="317">
        <v>0</v>
      </c>
      <c r="J672" s="359"/>
      <c r="K672" s="317">
        <v>48000</v>
      </c>
      <c r="L672" s="16">
        <v>1</v>
      </c>
      <c r="M672" s="317">
        <v>19500</v>
      </c>
      <c r="N672" s="16">
        <v>1</v>
      </c>
      <c r="O672" s="317">
        <v>0</v>
      </c>
      <c r="P672" s="360"/>
      <c r="Q672" s="317">
        <v>67500</v>
      </c>
    </row>
    <row r="673" spans="1:17" s="1" customFormat="1" ht="11.45">
      <c r="A673" s="317" t="s">
        <v>19021</v>
      </c>
      <c r="B673" s="358">
        <v>45083</v>
      </c>
      <c r="C673" s="317">
        <v>2023</v>
      </c>
      <c r="D673" s="317" t="s">
        <v>16560</v>
      </c>
      <c r="E673" s="317" t="s">
        <v>16561</v>
      </c>
      <c r="F673" s="317" t="s">
        <v>20155</v>
      </c>
      <c r="G673" s="317" t="s">
        <v>17801</v>
      </c>
      <c r="H673" s="358">
        <v>45091</v>
      </c>
      <c r="I673" s="317">
        <v>0</v>
      </c>
      <c r="J673" s="359"/>
      <c r="K673" s="317">
        <v>0</v>
      </c>
      <c r="L673" s="359"/>
      <c r="M673" s="317">
        <v>110000</v>
      </c>
      <c r="N673" s="359" t="s">
        <v>20347</v>
      </c>
      <c r="O673" s="317">
        <v>0</v>
      </c>
      <c r="P673" s="360"/>
      <c r="Q673" s="317">
        <v>110000</v>
      </c>
    </row>
    <row r="674" spans="1:17" s="1" customFormat="1" ht="11.45">
      <c r="A674" s="317" t="s">
        <v>19022</v>
      </c>
      <c r="B674" s="358">
        <v>45083</v>
      </c>
      <c r="C674" s="317">
        <v>2023</v>
      </c>
      <c r="D674" s="317" t="s">
        <v>16560</v>
      </c>
      <c r="E674" s="317" t="s">
        <v>16561</v>
      </c>
      <c r="F674" s="317" t="s">
        <v>20155</v>
      </c>
      <c r="G674" s="317" t="s">
        <v>17801</v>
      </c>
      <c r="H674" s="358">
        <v>45092</v>
      </c>
      <c r="I674" s="317">
        <v>0</v>
      </c>
      <c r="J674" s="359"/>
      <c r="K674" s="317">
        <v>0</v>
      </c>
      <c r="L674" s="359"/>
      <c r="M674" s="317">
        <v>110000</v>
      </c>
      <c r="N674" s="359" t="s">
        <v>20347</v>
      </c>
      <c r="O674" s="317">
        <v>0</v>
      </c>
      <c r="P674" s="360"/>
      <c r="Q674" s="317">
        <v>110000</v>
      </c>
    </row>
    <row r="675" spans="1:17" s="1" customFormat="1" ht="11.45">
      <c r="A675" s="317" t="s">
        <v>19023</v>
      </c>
      <c r="B675" s="358">
        <v>45083</v>
      </c>
      <c r="C675" s="317">
        <v>2023</v>
      </c>
      <c r="D675" s="317" t="s">
        <v>16560</v>
      </c>
      <c r="E675" s="317" t="s">
        <v>16561</v>
      </c>
      <c r="F675" s="317" t="s">
        <v>20155</v>
      </c>
      <c r="G675" s="317" t="s">
        <v>17801</v>
      </c>
      <c r="H675" s="358">
        <v>45093</v>
      </c>
      <c r="I675" s="317">
        <v>0</v>
      </c>
      <c r="J675" s="359"/>
      <c r="K675" s="317">
        <v>0</v>
      </c>
      <c r="L675" s="359"/>
      <c r="M675" s="317">
        <v>110000</v>
      </c>
      <c r="N675" s="359" t="s">
        <v>20347</v>
      </c>
      <c r="O675" s="317">
        <v>0</v>
      </c>
      <c r="P675" s="360"/>
      <c r="Q675" s="317">
        <v>110000</v>
      </c>
    </row>
    <row r="676" spans="1:17" s="1" customFormat="1" ht="11.45">
      <c r="A676" s="317" t="s">
        <v>19024</v>
      </c>
      <c r="B676" s="358">
        <v>45083</v>
      </c>
      <c r="C676" s="317">
        <v>2023</v>
      </c>
      <c r="D676" s="317" t="s">
        <v>17342</v>
      </c>
      <c r="E676" s="317" t="s">
        <v>17343</v>
      </c>
      <c r="F676" s="317" t="s">
        <v>20155</v>
      </c>
      <c r="G676" s="317" t="s">
        <v>16394</v>
      </c>
      <c r="H676" s="358">
        <v>45086</v>
      </c>
      <c r="I676" s="317">
        <v>0</v>
      </c>
      <c r="J676" s="359"/>
      <c r="K676" s="317">
        <v>15696</v>
      </c>
      <c r="L676" s="16">
        <v>1</v>
      </c>
      <c r="M676" s="317">
        <v>1200</v>
      </c>
      <c r="N676" s="16">
        <v>1</v>
      </c>
      <c r="O676" s="317">
        <v>0</v>
      </c>
      <c r="P676" s="360"/>
      <c r="Q676" s="317">
        <v>16896</v>
      </c>
    </row>
    <row r="677" spans="1:17" s="1" customFormat="1" ht="11.45">
      <c r="A677" s="317" t="s">
        <v>19025</v>
      </c>
      <c r="B677" s="358">
        <v>45085</v>
      </c>
      <c r="C677" s="317">
        <v>2023</v>
      </c>
      <c r="D677" s="317" t="s">
        <v>16560</v>
      </c>
      <c r="E677" s="317" t="s">
        <v>16561</v>
      </c>
      <c r="F677" s="317" t="s">
        <v>20155</v>
      </c>
      <c r="G677" s="317" t="s">
        <v>17801</v>
      </c>
      <c r="H677" s="358">
        <v>45090</v>
      </c>
      <c r="I677" s="317">
        <v>0</v>
      </c>
      <c r="J677" s="359"/>
      <c r="K677" s="317">
        <v>99200</v>
      </c>
      <c r="L677" s="359" t="s">
        <v>20347</v>
      </c>
      <c r="M677" s="317">
        <v>0</v>
      </c>
      <c r="N677" s="359"/>
      <c r="O677" s="317">
        <v>0</v>
      </c>
      <c r="P677" s="360"/>
      <c r="Q677" s="317">
        <v>99200</v>
      </c>
    </row>
    <row r="678" spans="1:17" s="1" customFormat="1" ht="11.45">
      <c r="A678" s="317" t="s">
        <v>19026</v>
      </c>
      <c r="B678" s="358">
        <v>45086</v>
      </c>
      <c r="C678" s="317">
        <v>2023</v>
      </c>
      <c r="D678" s="317" t="s">
        <v>16444</v>
      </c>
      <c r="E678" s="317" t="s">
        <v>16445</v>
      </c>
      <c r="F678" s="317" t="s">
        <v>20155</v>
      </c>
      <c r="G678" s="317" t="s">
        <v>17965</v>
      </c>
      <c r="H678" s="358">
        <v>45100</v>
      </c>
      <c r="I678" s="317">
        <v>19200</v>
      </c>
      <c r="J678" s="359" t="s">
        <v>20345</v>
      </c>
      <c r="K678" s="317">
        <v>0</v>
      </c>
      <c r="L678" s="359"/>
      <c r="M678" s="317">
        <v>0</v>
      </c>
      <c r="N678" s="359"/>
      <c r="O678" s="317">
        <v>0</v>
      </c>
      <c r="P678" s="360"/>
      <c r="Q678" s="317">
        <v>19200</v>
      </c>
    </row>
    <row r="679" spans="1:17" s="1" customFormat="1" ht="11.45">
      <c r="A679" s="317" t="s">
        <v>19027</v>
      </c>
      <c r="B679" s="358">
        <v>45087</v>
      </c>
      <c r="C679" s="317">
        <v>2023</v>
      </c>
      <c r="D679" s="317" t="s">
        <v>16444</v>
      </c>
      <c r="E679" s="317" t="s">
        <v>16445</v>
      </c>
      <c r="F679" s="317" t="s">
        <v>20155</v>
      </c>
      <c r="G679" s="317" t="s">
        <v>17949</v>
      </c>
      <c r="H679" s="358">
        <v>45096</v>
      </c>
      <c r="I679" s="317">
        <v>22008</v>
      </c>
      <c r="J679" s="359" t="s">
        <v>20345</v>
      </c>
      <c r="K679" s="317">
        <v>0</v>
      </c>
      <c r="L679" s="359"/>
      <c r="M679" s="317">
        <v>0</v>
      </c>
      <c r="N679" s="359"/>
      <c r="O679" s="317">
        <v>0</v>
      </c>
      <c r="P679" s="360"/>
      <c r="Q679" s="317">
        <v>22008</v>
      </c>
    </row>
    <row r="680" spans="1:17" s="1" customFormat="1" ht="11.45">
      <c r="A680" s="317" t="s">
        <v>19028</v>
      </c>
      <c r="B680" s="358">
        <v>45089</v>
      </c>
      <c r="C680" s="317">
        <v>2023</v>
      </c>
      <c r="D680" s="317" t="s">
        <v>17248</v>
      </c>
      <c r="E680" s="317" t="s">
        <v>17249</v>
      </c>
      <c r="F680" s="317" t="s">
        <v>20155</v>
      </c>
      <c r="G680" s="317" t="s">
        <v>17954</v>
      </c>
      <c r="H680" s="358">
        <v>45101</v>
      </c>
      <c r="I680" s="317">
        <v>6000</v>
      </c>
      <c r="J680" s="361">
        <v>1</v>
      </c>
      <c r="K680" s="317">
        <v>46867</v>
      </c>
      <c r="L680" s="359" t="s">
        <v>20356</v>
      </c>
      <c r="M680" s="317">
        <v>0</v>
      </c>
      <c r="N680" s="359"/>
      <c r="O680" s="317">
        <v>0</v>
      </c>
      <c r="P680" s="360"/>
      <c r="Q680" s="317">
        <v>52867</v>
      </c>
    </row>
    <row r="681" spans="1:17" s="1" customFormat="1" ht="11.45">
      <c r="A681" s="317" t="s">
        <v>19029</v>
      </c>
      <c r="B681" s="358">
        <v>45089</v>
      </c>
      <c r="C681" s="317">
        <v>2023</v>
      </c>
      <c r="D681" s="317" t="s">
        <v>17209</v>
      </c>
      <c r="E681" s="317" t="s">
        <v>17210</v>
      </c>
      <c r="F681" s="317" t="s">
        <v>20155</v>
      </c>
      <c r="G681" s="317" t="s">
        <v>20168</v>
      </c>
      <c r="H681" s="358">
        <v>45099</v>
      </c>
      <c r="I681" s="317">
        <v>7800</v>
      </c>
      <c r="J681" s="16">
        <v>1</v>
      </c>
      <c r="K681" s="317">
        <v>7200</v>
      </c>
      <c r="L681" s="16">
        <v>1</v>
      </c>
      <c r="M681" s="317">
        <v>3360</v>
      </c>
      <c r="N681" s="16">
        <v>1</v>
      </c>
      <c r="O681" s="317">
        <v>0</v>
      </c>
      <c r="P681" s="360"/>
      <c r="Q681" s="317">
        <v>18360</v>
      </c>
    </row>
    <row r="682" spans="1:17" s="1" customFormat="1" ht="11.45">
      <c r="A682" s="317" t="s">
        <v>19030</v>
      </c>
      <c r="B682" s="358">
        <v>45089</v>
      </c>
      <c r="C682" s="317">
        <v>2023</v>
      </c>
      <c r="D682" s="317" t="s">
        <v>16823</v>
      </c>
      <c r="E682" s="317" t="s">
        <v>16824</v>
      </c>
      <c r="F682" s="317" t="s">
        <v>20155</v>
      </c>
      <c r="G682" s="317" t="s">
        <v>17965</v>
      </c>
      <c r="H682" s="358">
        <v>45107</v>
      </c>
      <c r="I682" s="317">
        <v>8160</v>
      </c>
      <c r="J682" s="359" t="s">
        <v>20345</v>
      </c>
      <c r="K682" s="317">
        <v>41280</v>
      </c>
      <c r="L682" s="359" t="s">
        <v>20348</v>
      </c>
      <c r="M682" s="317">
        <v>0</v>
      </c>
      <c r="N682" s="359"/>
      <c r="O682" s="317">
        <v>0</v>
      </c>
      <c r="P682" s="360"/>
      <c r="Q682" s="317">
        <v>49440</v>
      </c>
    </row>
    <row r="683" spans="1:17" s="1" customFormat="1" ht="11.45">
      <c r="A683" s="317" t="s">
        <v>19031</v>
      </c>
      <c r="B683" s="358">
        <v>45089</v>
      </c>
      <c r="C683" s="317">
        <v>2023</v>
      </c>
      <c r="D683" s="317" t="s">
        <v>16560</v>
      </c>
      <c r="E683" s="317" t="s">
        <v>16561</v>
      </c>
      <c r="F683" s="317" t="s">
        <v>20155</v>
      </c>
      <c r="G683" s="317" t="s">
        <v>17801</v>
      </c>
      <c r="H683" s="358">
        <v>45097</v>
      </c>
      <c r="I683" s="317">
        <v>0</v>
      </c>
      <c r="J683" s="359"/>
      <c r="K683" s="317">
        <v>0</v>
      </c>
      <c r="L683" s="359"/>
      <c r="M683" s="317">
        <v>110000</v>
      </c>
      <c r="N683" s="359" t="s">
        <v>20347</v>
      </c>
      <c r="O683" s="317">
        <v>0</v>
      </c>
      <c r="P683" s="360"/>
      <c r="Q683" s="317">
        <v>110000</v>
      </c>
    </row>
    <row r="684" spans="1:17" s="1" customFormat="1" ht="11.45">
      <c r="A684" s="317" t="s">
        <v>19032</v>
      </c>
      <c r="B684" s="358">
        <v>45089</v>
      </c>
      <c r="C684" s="317">
        <v>2023</v>
      </c>
      <c r="D684" s="317" t="s">
        <v>16560</v>
      </c>
      <c r="E684" s="317" t="s">
        <v>16561</v>
      </c>
      <c r="F684" s="317" t="s">
        <v>20155</v>
      </c>
      <c r="G684" s="317" t="s">
        <v>17801</v>
      </c>
      <c r="H684" s="358">
        <v>45098</v>
      </c>
      <c r="I684" s="317">
        <v>0</v>
      </c>
      <c r="J684" s="359"/>
      <c r="K684" s="317">
        <v>0</v>
      </c>
      <c r="L684" s="359"/>
      <c r="M684" s="317">
        <v>110000</v>
      </c>
      <c r="N684" s="359" t="s">
        <v>20347</v>
      </c>
      <c r="O684" s="317">
        <v>0</v>
      </c>
      <c r="P684" s="360"/>
      <c r="Q684" s="317">
        <v>110000</v>
      </c>
    </row>
    <row r="685" spans="1:17" s="1" customFormat="1" ht="11.45">
      <c r="A685" s="317" t="s">
        <v>19033</v>
      </c>
      <c r="B685" s="358">
        <v>45089</v>
      </c>
      <c r="C685" s="317">
        <v>2023</v>
      </c>
      <c r="D685" s="317" t="s">
        <v>16560</v>
      </c>
      <c r="E685" s="317" t="s">
        <v>16561</v>
      </c>
      <c r="F685" s="317" t="s">
        <v>20155</v>
      </c>
      <c r="G685" s="317" t="s">
        <v>17801</v>
      </c>
      <c r="H685" s="358">
        <v>45099</v>
      </c>
      <c r="I685" s="317">
        <v>0</v>
      </c>
      <c r="J685" s="359"/>
      <c r="K685" s="317">
        <v>0</v>
      </c>
      <c r="L685" s="359"/>
      <c r="M685" s="317">
        <v>110000</v>
      </c>
      <c r="N685" s="359" t="s">
        <v>20347</v>
      </c>
      <c r="O685" s="317">
        <v>0</v>
      </c>
      <c r="P685" s="360"/>
      <c r="Q685" s="317">
        <v>110000</v>
      </c>
    </row>
    <row r="686" spans="1:17" s="1" customFormat="1" ht="11.45">
      <c r="A686" s="317" t="s">
        <v>19034</v>
      </c>
      <c r="B686" s="358">
        <v>45089</v>
      </c>
      <c r="C686" s="317">
        <v>2023</v>
      </c>
      <c r="D686" s="317" t="s">
        <v>16560</v>
      </c>
      <c r="E686" s="317" t="s">
        <v>16561</v>
      </c>
      <c r="F686" s="317" t="s">
        <v>20155</v>
      </c>
      <c r="G686" s="317" t="s">
        <v>17801</v>
      </c>
      <c r="H686" s="358">
        <v>45094</v>
      </c>
      <c r="I686" s="317">
        <v>0</v>
      </c>
      <c r="J686" s="359"/>
      <c r="K686" s="317">
        <v>99200</v>
      </c>
      <c r="L686" s="359"/>
      <c r="M686" s="317">
        <v>0</v>
      </c>
      <c r="N686" s="359"/>
      <c r="O686" s="317">
        <v>0</v>
      </c>
      <c r="P686" s="360"/>
      <c r="Q686" s="317">
        <v>99200</v>
      </c>
    </row>
    <row r="687" spans="1:17" s="1" customFormat="1" ht="11.45">
      <c r="A687" s="317" t="s">
        <v>19035</v>
      </c>
      <c r="B687" s="358">
        <v>45089</v>
      </c>
      <c r="C687" s="317">
        <v>2023</v>
      </c>
      <c r="D687" s="317" t="s">
        <v>17226</v>
      </c>
      <c r="E687" s="317" t="s">
        <v>17227</v>
      </c>
      <c r="F687" s="317" t="s">
        <v>20155</v>
      </c>
      <c r="G687" s="317" t="s">
        <v>17689</v>
      </c>
      <c r="H687" s="358">
        <v>45103</v>
      </c>
      <c r="I687" s="317">
        <v>19200</v>
      </c>
      <c r="J687" s="16">
        <v>1</v>
      </c>
      <c r="K687" s="317">
        <v>17200</v>
      </c>
      <c r="L687" s="16">
        <v>1</v>
      </c>
      <c r="M687" s="317">
        <v>0</v>
      </c>
      <c r="N687" s="359"/>
      <c r="O687" s="317">
        <v>7800</v>
      </c>
      <c r="P687" s="16">
        <v>1</v>
      </c>
      <c r="Q687" s="317">
        <v>44200</v>
      </c>
    </row>
    <row r="688" spans="1:17" s="1" customFormat="1" ht="11.45">
      <c r="A688" s="317" t="s">
        <v>19036</v>
      </c>
      <c r="B688" s="358">
        <v>45090</v>
      </c>
      <c r="C688" s="317">
        <v>2023</v>
      </c>
      <c r="D688" s="317" t="s">
        <v>16700</v>
      </c>
      <c r="E688" s="317" t="s">
        <v>16701</v>
      </c>
      <c r="F688" s="317" t="s">
        <v>20155</v>
      </c>
      <c r="G688" s="317" t="s">
        <v>17949</v>
      </c>
      <c r="H688" s="358">
        <v>45101</v>
      </c>
      <c r="I688" s="317">
        <v>66024</v>
      </c>
      <c r="J688" s="16" t="s">
        <v>20345</v>
      </c>
      <c r="K688" s="317">
        <v>0</v>
      </c>
      <c r="L688" s="359"/>
      <c r="M688" s="317">
        <v>0</v>
      </c>
      <c r="N688" s="359"/>
      <c r="O688" s="317">
        <v>0</v>
      </c>
      <c r="P688" s="360"/>
      <c r="Q688" s="317">
        <v>66024</v>
      </c>
    </row>
    <row r="689" spans="1:17" s="1" customFormat="1" ht="11.45">
      <c r="A689" s="317" t="s">
        <v>19037</v>
      </c>
      <c r="B689" s="358">
        <v>45090</v>
      </c>
      <c r="C689" s="317">
        <v>2023</v>
      </c>
      <c r="D689" s="317" t="s">
        <v>17342</v>
      </c>
      <c r="E689" s="317" t="s">
        <v>17343</v>
      </c>
      <c r="F689" s="317" t="s">
        <v>20155</v>
      </c>
      <c r="G689" s="317" t="s">
        <v>16394</v>
      </c>
      <c r="H689" s="358">
        <v>45104</v>
      </c>
      <c r="I689" s="317">
        <v>0</v>
      </c>
      <c r="J689" s="359"/>
      <c r="K689" s="317">
        <v>39264</v>
      </c>
      <c r="L689" s="16">
        <v>1</v>
      </c>
      <c r="M689" s="317">
        <v>2400</v>
      </c>
      <c r="N689" s="16">
        <v>1</v>
      </c>
      <c r="O689" s="317">
        <v>1000</v>
      </c>
      <c r="P689" s="16">
        <v>1</v>
      </c>
      <c r="Q689" s="317">
        <v>42664</v>
      </c>
    </row>
    <row r="690" spans="1:17" s="1" customFormat="1" ht="11.45">
      <c r="A690" s="317" t="s">
        <v>19038</v>
      </c>
      <c r="B690" s="358">
        <v>45091</v>
      </c>
      <c r="C690" s="317">
        <v>2023</v>
      </c>
      <c r="D690" s="317" t="s">
        <v>16838</v>
      </c>
      <c r="E690" s="317" t="s">
        <v>16839</v>
      </c>
      <c r="F690" s="317" t="s">
        <v>20155</v>
      </c>
      <c r="G690" s="317" t="s">
        <v>20321</v>
      </c>
      <c r="H690" s="358">
        <v>45097</v>
      </c>
      <c r="I690" s="317">
        <v>0</v>
      </c>
      <c r="J690" s="359"/>
      <c r="K690" s="317">
        <v>220080</v>
      </c>
      <c r="L690" s="359" t="s">
        <v>20347</v>
      </c>
      <c r="M690" s="317">
        <v>0</v>
      </c>
      <c r="N690" s="359"/>
      <c r="O690" s="317">
        <v>0</v>
      </c>
      <c r="P690" s="360"/>
      <c r="Q690" s="317">
        <v>220080</v>
      </c>
    </row>
    <row r="691" spans="1:17" s="1" customFormat="1" ht="11.45">
      <c r="A691" s="317" t="s">
        <v>19039</v>
      </c>
      <c r="B691" s="358">
        <v>45091</v>
      </c>
      <c r="C691" s="317">
        <v>2023</v>
      </c>
      <c r="D691" s="317" t="s">
        <v>16838</v>
      </c>
      <c r="E691" s="317" t="s">
        <v>16839</v>
      </c>
      <c r="F691" s="317" t="s">
        <v>20155</v>
      </c>
      <c r="G691" s="317" t="s">
        <v>17771</v>
      </c>
      <c r="H691" s="358">
        <v>45100</v>
      </c>
      <c r="I691" s="317">
        <v>0</v>
      </c>
      <c r="J691" s="359"/>
      <c r="K691" s="317">
        <v>12900</v>
      </c>
      <c r="L691" s="359" t="s">
        <v>20348</v>
      </c>
      <c r="M691" s="317">
        <v>84000</v>
      </c>
      <c r="N691" s="359" t="s">
        <v>20347</v>
      </c>
      <c r="O691" s="317">
        <v>3606</v>
      </c>
      <c r="P691" s="360">
        <v>1</v>
      </c>
      <c r="Q691" s="317">
        <v>100506</v>
      </c>
    </row>
    <row r="692" spans="1:17" s="1" customFormat="1" ht="11.45">
      <c r="A692" s="317" t="s">
        <v>19040</v>
      </c>
      <c r="B692" s="358">
        <v>45092</v>
      </c>
      <c r="C692" s="317">
        <v>2023</v>
      </c>
      <c r="D692" s="317" t="s">
        <v>16470</v>
      </c>
      <c r="E692" s="317" t="s">
        <v>16471</v>
      </c>
      <c r="F692" s="317" t="s">
        <v>20155</v>
      </c>
      <c r="G692" s="317" t="s">
        <v>20352</v>
      </c>
      <c r="H692" s="358">
        <v>45103</v>
      </c>
      <c r="I692" s="317">
        <v>18960</v>
      </c>
      <c r="J692" s="359" t="s">
        <v>20345</v>
      </c>
      <c r="K692" s="317">
        <v>242770</v>
      </c>
      <c r="L692" s="359" t="s">
        <v>20346</v>
      </c>
      <c r="M692" s="317">
        <v>16000</v>
      </c>
      <c r="N692" s="359" t="s">
        <v>20347</v>
      </c>
      <c r="O692" s="317">
        <v>0</v>
      </c>
      <c r="P692" s="360"/>
      <c r="Q692" s="317">
        <v>277730</v>
      </c>
    </row>
    <row r="693" spans="1:17" s="1" customFormat="1" ht="11.45">
      <c r="A693" s="317" t="s">
        <v>19041</v>
      </c>
      <c r="B693" s="358">
        <v>45096</v>
      </c>
      <c r="C693" s="317">
        <v>2023</v>
      </c>
      <c r="D693" s="317" t="s">
        <v>17297</v>
      </c>
      <c r="E693" s="317" t="s">
        <v>17298</v>
      </c>
      <c r="F693" s="317" t="s">
        <v>20155</v>
      </c>
      <c r="G693" s="317" t="s">
        <v>20319</v>
      </c>
      <c r="H693" s="358">
        <v>45103</v>
      </c>
      <c r="I693" s="317">
        <v>8400</v>
      </c>
      <c r="J693" s="359" t="s">
        <v>20345</v>
      </c>
      <c r="K693" s="317">
        <v>18600</v>
      </c>
      <c r="L693" s="359" t="s">
        <v>20347</v>
      </c>
      <c r="M693" s="317">
        <v>0</v>
      </c>
      <c r="N693" s="359"/>
      <c r="O693" s="317">
        <v>0</v>
      </c>
      <c r="P693" s="360"/>
      <c r="Q693" s="317">
        <v>27000</v>
      </c>
    </row>
    <row r="694" spans="1:17" s="1" customFormat="1" ht="11.45">
      <c r="A694" s="317" t="s">
        <v>19042</v>
      </c>
      <c r="B694" s="358">
        <v>45096</v>
      </c>
      <c r="C694" s="317">
        <v>2023</v>
      </c>
      <c r="D694" s="317" t="s">
        <v>17309</v>
      </c>
      <c r="E694" s="317" t="s">
        <v>17310</v>
      </c>
      <c r="F694" s="317" t="s">
        <v>20155</v>
      </c>
      <c r="G694" s="317" t="s">
        <v>20357</v>
      </c>
      <c r="H694" s="358">
        <v>45110</v>
      </c>
      <c r="I694" s="317">
        <v>57600</v>
      </c>
      <c r="J694" s="359" t="s">
        <v>20345</v>
      </c>
      <c r="K694" s="317">
        <v>0</v>
      </c>
      <c r="L694" s="359"/>
      <c r="M694" s="317">
        <v>0</v>
      </c>
      <c r="N694" s="359"/>
      <c r="O694" s="317">
        <v>0</v>
      </c>
      <c r="P694" s="360"/>
      <c r="Q694" s="317">
        <v>57600</v>
      </c>
    </row>
    <row r="695" spans="1:17" s="1" customFormat="1" ht="11.45">
      <c r="A695" s="317" t="s">
        <v>19043</v>
      </c>
      <c r="B695" s="358">
        <v>45097</v>
      </c>
      <c r="C695" s="317">
        <v>2023</v>
      </c>
      <c r="D695" s="317" t="s">
        <v>16957</v>
      </c>
      <c r="E695" s="317" t="s">
        <v>16958</v>
      </c>
      <c r="F695" s="317" t="s">
        <v>20155</v>
      </c>
      <c r="G695" s="317" t="s">
        <v>20161</v>
      </c>
      <c r="H695" s="358">
        <v>45099</v>
      </c>
      <c r="I695" s="317">
        <v>20150</v>
      </c>
      <c r="J695" s="359" t="s">
        <v>20345</v>
      </c>
      <c r="K695" s="317">
        <v>0</v>
      </c>
      <c r="L695" s="359"/>
      <c r="M695" s="317">
        <v>0</v>
      </c>
      <c r="N695" s="359"/>
      <c r="O695" s="317">
        <v>0</v>
      </c>
      <c r="P695" s="360"/>
      <c r="Q695" s="317">
        <v>20150</v>
      </c>
    </row>
    <row r="696" spans="1:17" s="1" customFormat="1" ht="11.45">
      <c r="A696" s="317" t="s">
        <v>19044</v>
      </c>
      <c r="B696" s="358">
        <v>45098</v>
      </c>
      <c r="C696" s="317">
        <v>2023</v>
      </c>
      <c r="D696" s="317" t="s">
        <v>16823</v>
      </c>
      <c r="E696" s="317" t="s">
        <v>16824</v>
      </c>
      <c r="F696" s="317" t="s">
        <v>20155</v>
      </c>
      <c r="G696" s="317" t="s">
        <v>17965</v>
      </c>
      <c r="H696" s="358">
        <v>45107</v>
      </c>
      <c r="I696" s="317">
        <v>18960</v>
      </c>
      <c r="J696" s="359" t="s">
        <v>20345</v>
      </c>
      <c r="K696" s="317">
        <v>35520</v>
      </c>
      <c r="L696" s="359" t="s">
        <v>20346</v>
      </c>
      <c r="M696" s="317">
        <v>0</v>
      </c>
      <c r="N696" s="359"/>
      <c r="O696" s="317">
        <v>0</v>
      </c>
      <c r="P696" s="360"/>
      <c r="Q696" s="317">
        <v>54480</v>
      </c>
    </row>
    <row r="697" spans="1:17" s="1" customFormat="1" ht="11.45">
      <c r="A697" s="317" t="s">
        <v>19045</v>
      </c>
      <c r="B697" s="358">
        <v>45098</v>
      </c>
      <c r="C697" s="317">
        <v>2023</v>
      </c>
      <c r="D697" s="317" t="s">
        <v>17332</v>
      </c>
      <c r="E697" s="317" t="s">
        <v>17333</v>
      </c>
      <c r="F697" s="317" t="s">
        <v>20155</v>
      </c>
      <c r="G697" s="317" t="s">
        <v>17939</v>
      </c>
      <c r="H697" s="358">
        <v>45120</v>
      </c>
      <c r="I697" s="317">
        <v>99840</v>
      </c>
      <c r="J697" s="359" t="s">
        <v>20345</v>
      </c>
      <c r="K697" s="317">
        <v>0</v>
      </c>
      <c r="L697" s="359"/>
      <c r="M697" s="317">
        <v>0</v>
      </c>
      <c r="N697" s="359"/>
      <c r="O697" s="317">
        <v>0</v>
      </c>
      <c r="P697" s="360"/>
      <c r="Q697" s="317">
        <v>99840</v>
      </c>
    </row>
    <row r="698" spans="1:17" s="1" customFormat="1" ht="11.45">
      <c r="A698" s="317" t="s">
        <v>19046</v>
      </c>
      <c r="B698" s="358">
        <v>45108</v>
      </c>
      <c r="C698" s="317">
        <v>2023</v>
      </c>
      <c r="D698" s="317" t="s">
        <v>17304</v>
      </c>
      <c r="E698" s="317" t="s">
        <v>17305</v>
      </c>
      <c r="F698" s="317" t="s">
        <v>20155</v>
      </c>
      <c r="G698" s="317" t="s">
        <v>17954</v>
      </c>
      <c r="H698" s="358">
        <v>45120</v>
      </c>
      <c r="I698" s="317">
        <v>0</v>
      </c>
      <c r="J698" s="359"/>
      <c r="K698" s="317">
        <v>23233.759999999998</v>
      </c>
      <c r="L698" s="360">
        <v>1</v>
      </c>
      <c r="M698" s="317">
        <v>1700</v>
      </c>
      <c r="N698" s="360">
        <v>1</v>
      </c>
      <c r="O698" s="317">
        <v>400</v>
      </c>
      <c r="P698" s="360">
        <v>1</v>
      </c>
      <c r="Q698" s="317">
        <v>25333.759999999998</v>
      </c>
    </row>
    <row r="699" spans="1:17" s="1" customFormat="1" ht="11.45">
      <c r="A699" s="317" t="s">
        <v>19047</v>
      </c>
      <c r="B699" s="358">
        <v>45111</v>
      </c>
      <c r="C699" s="317">
        <v>2023</v>
      </c>
      <c r="D699" s="317" t="s">
        <v>16444</v>
      </c>
      <c r="E699" s="317" t="s">
        <v>16445</v>
      </c>
      <c r="F699" s="317" t="s">
        <v>20155</v>
      </c>
      <c r="G699" s="317" t="s">
        <v>20173</v>
      </c>
      <c r="H699" s="358">
        <v>45119</v>
      </c>
      <c r="I699" s="317">
        <v>21600</v>
      </c>
      <c r="J699" s="359" t="s">
        <v>20345</v>
      </c>
      <c r="K699" s="317">
        <v>0</v>
      </c>
      <c r="L699" s="359"/>
      <c r="M699" s="317">
        <v>0</v>
      </c>
      <c r="N699" s="359"/>
      <c r="O699" s="317">
        <v>0</v>
      </c>
      <c r="P699" s="360"/>
      <c r="Q699" s="317">
        <v>21600</v>
      </c>
    </row>
    <row r="700" spans="1:17" s="1" customFormat="1" ht="11.45">
      <c r="A700" s="317" t="s">
        <v>19048</v>
      </c>
      <c r="B700" s="358">
        <v>45111</v>
      </c>
      <c r="C700" s="317">
        <v>2023</v>
      </c>
      <c r="D700" s="317" t="s">
        <v>16444</v>
      </c>
      <c r="E700" s="317" t="s">
        <v>16445</v>
      </c>
      <c r="F700" s="317" t="s">
        <v>20155</v>
      </c>
      <c r="G700" s="317" t="s">
        <v>20357</v>
      </c>
      <c r="H700" s="358">
        <v>45119</v>
      </c>
      <c r="I700" s="317">
        <v>19200</v>
      </c>
      <c r="J700" s="359" t="s">
        <v>20345</v>
      </c>
      <c r="K700" s="317">
        <v>0</v>
      </c>
      <c r="L700" s="359"/>
      <c r="M700" s="317">
        <v>0</v>
      </c>
      <c r="N700" s="359"/>
      <c r="O700" s="317">
        <v>0</v>
      </c>
      <c r="P700" s="360"/>
      <c r="Q700" s="317">
        <v>19200</v>
      </c>
    </row>
    <row r="701" spans="1:17" s="1" customFormat="1" ht="11.45">
      <c r="A701" s="317" t="s">
        <v>19049</v>
      </c>
      <c r="B701" s="358">
        <v>45112</v>
      </c>
      <c r="C701" s="317">
        <v>2023</v>
      </c>
      <c r="D701" s="317" t="s">
        <v>16783</v>
      </c>
      <c r="E701" s="317" t="s">
        <v>16784</v>
      </c>
      <c r="F701" s="317" t="s">
        <v>20155</v>
      </c>
      <c r="G701" s="317" t="s">
        <v>17235</v>
      </c>
      <c r="H701" s="358">
        <v>45125</v>
      </c>
      <c r="I701" s="317">
        <v>24000</v>
      </c>
      <c r="J701" s="359" t="s">
        <v>20345</v>
      </c>
      <c r="K701" s="317">
        <v>284400</v>
      </c>
      <c r="L701" s="359" t="s">
        <v>20356</v>
      </c>
      <c r="M701" s="317">
        <v>9600</v>
      </c>
      <c r="N701" s="359" t="s">
        <v>20356</v>
      </c>
      <c r="O701" s="317">
        <v>0</v>
      </c>
      <c r="P701" s="360"/>
      <c r="Q701" s="317">
        <v>318000</v>
      </c>
    </row>
    <row r="702" spans="1:17" s="1" customFormat="1" ht="11.45">
      <c r="A702" s="317" t="s">
        <v>19050</v>
      </c>
      <c r="B702" s="358">
        <v>45114</v>
      </c>
      <c r="C702" s="317">
        <v>2023</v>
      </c>
      <c r="D702" s="317" t="s">
        <v>16700</v>
      </c>
      <c r="E702" s="317" t="s">
        <v>16701</v>
      </c>
      <c r="F702" s="317" t="s">
        <v>20155</v>
      </c>
      <c r="G702" s="317" t="s">
        <v>17949</v>
      </c>
      <c r="H702" s="358">
        <v>45121</v>
      </c>
      <c r="I702" s="317">
        <v>66024</v>
      </c>
      <c r="J702" s="359" t="s">
        <v>20345</v>
      </c>
      <c r="K702" s="317">
        <v>0</v>
      </c>
      <c r="L702" s="359"/>
      <c r="M702" s="317">
        <v>0</v>
      </c>
      <c r="N702" s="359"/>
      <c r="O702" s="317">
        <v>0</v>
      </c>
      <c r="P702" s="360"/>
      <c r="Q702" s="317">
        <v>66024</v>
      </c>
    </row>
    <row r="703" spans="1:17" s="1" customFormat="1" ht="11.45">
      <c r="A703" s="317" t="s">
        <v>19051</v>
      </c>
      <c r="B703" s="358">
        <v>45115</v>
      </c>
      <c r="C703" s="317">
        <v>2023</v>
      </c>
      <c r="D703" s="317" t="s">
        <v>16560</v>
      </c>
      <c r="E703" s="317" t="s">
        <v>16561</v>
      </c>
      <c r="F703" s="317" t="s">
        <v>20155</v>
      </c>
      <c r="G703" s="317" t="s">
        <v>17801</v>
      </c>
      <c r="H703" s="358">
        <v>45122</v>
      </c>
      <c r="I703" s="317">
        <v>0</v>
      </c>
      <c r="J703" s="359"/>
      <c r="K703" s="317">
        <v>0</v>
      </c>
      <c r="L703" s="359"/>
      <c r="M703" s="317">
        <v>110000</v>
      </c>
      <c r="N703" s="359" t="s">
        <v>20347</v>
      </c>
      <c r="O703" s="317">
        <v>0</v>
      </c>
      <c r="P703" s="360"/>
      <c r="Q703" s="317">
        <v>110000</v>
      </c>
    </row>
    <row r="704" spans="1:17" s="1" customFormat="1" ht="11.45">
      <c r="A704" s="317" t="s">
        <v>19052</v>
      </c>
      <c r="B704" s="358">
        <v>45115</v>
      </c>
      <c r="C704" s="317">
        <v>2023</v>
      </c>
      <c r="D704" s="317" t="s">
        <v>16560</v>
      </c>
      <c r="E704" s="317" t="s">
        <v>16561</v>
      </c>
      <c r="F704" s="317" t="s">
        <v>20155</v>
      </c>
      <c r="G704" s="317" t="s">
        <v>17801</v>
      </c>
      <c r="H704" s="358">
        <v>45124</v>
      </c>
      <c r="I704" s="317">
        <v>0</v>
      </c>
      <c r="J704" s="359"/>
      <c r="K704" s="317">
        <v>0</v>
      </c>
      <c r="L704" s="359"/>
      <c r="M704" s="317">
        <v>110000</v>
      </c>
      <c r="N704" s="359" t="s">
        <v>20347</v>
      </c>
      <c r="O704" s="317">
        <v>0</v>
      </c>
      <c r="P704" s="360"/>
      <c r="Q704" s="317">
        <v>110000</v>
      </c>
    </row>
    <row r="705" spans="1:17" s="1" customFormat="1" ht="11.45">
      <c r="A705" s="317" t="s">
        <v>19053</v>
      </c>
      <c r="B705" s="358">
        <v>45115</v>
      </c>
      <c r="C705" s="317">
        <v>2023</v>
      </c>
      <c r="D705" s="317" t="s">
        <v>16838</v>
      </c>
      <c r="E705" s="317" t="s">
        <v>16839</v>
      </c>
      <c r="F705" s="317" t="s">
        <v>20155</v>
      </c>
      <c r="G705" s="317" t="s">
        <v>20321</v>
      </c>
      <c r="H705" s="358">
        <v>45129</v>
      </c>
      <c r="I705" s="317">
        <v>0</v>
      </c>
      <c r="J705" s="359"/>
      <c r="K705" s="317">
        <v>220080</v>
      </c>
      <c r="L705" s="359" t="s">
        <v>20347</v>
      </c>
      <c r="M705" s="317">
        <v>0</v>
      </c>
      <c r="N705" s="359"/>
      <c r="O705" s="317">
        <v>0</v>
      </c>
      <c r="P705" s="360"/>
      <c r="Q705" s="317">
        <v>220080</v>
      </c>
    </row>
    <row r="706" spans="1:17" s="1" customFormat="1" ht="11.45">
      <c r="A706" s="317" t="s">
        <v>19054</v>
      </c>
      <c r="B706" s="358">
        <v>45117</v>
      </c>
      <c r="C706" s="317">
        <v>2023</v>
      </c>
      <c r="D706" s="317" t="s">
        <v>16957</v>
      </c>
      <c r="E706" s="317" t="s">
        <v>16958</v>
      </c>
      <c r="F706" s="317" t="s">
        <v>20155</v>
      </c>
      <c r="G706" s="317" t="s">
        <v>20161</v>
      </c>
      <c r="H706" s="358">
        <v>45154</v>
      </c>
      <c r="I706" s="317">
        <v>20150</v>
      </c>
      <c r="J706" s="362"/>
      <c r="K706" s="317">
        <v>0</v>
      </c>
      <c r="L706" s="359"/>
      <c r="M706" s="317">
        <v>0</v>
      </c>
      <c r="N706" s="359"/>
      <c r="O706" s="317">
        <v>0</v>
      </c>
      <c r="P706" s="360"/>
      <c r="Q706" s="317">
        <v>20150</v>
      </c>
    </row>
    <row r="707" spans="1:17" s="1" customFormat="1" ht="11.45">
      <c r="A707" s="317" t="s">
        <v>19055</v>
      </c>
      <c r="B707" s="358">
        <v>45117</v>
      </c>
      <c r="C707" s="317">
        <v>2023</v>
      </c>
      <c r="D707" s="317" t="s">
        <v>16957</v>
      </c>
      <c r="E707" s="317" t="s">
        <v>16958</v>
      </c>
      <c r="F707" s="317" t="s">
        <v>20155</v>
      </c>
      <c r="G707" s="317" t="s">
        <v>20161</v>
      </c>
      <c r="H707" s="358">
        <v>45154</v>
      </c>
      <c r="I707" s="317">
        <v>20150</v>
      </c>
      <c r="J707" s="362"/>
      <c r="K707" s="317">
        <v>0</v>
      </c>
      <c r="L707" s="359"/>
      <c r="M707" s="317">
        <v>0</v>
      </c>
      <c r="N707" s="359"/>
      <c r="O707" s="317">
        <v>0</v>
      </c>
      <c r="P707" s="360"/>
      <c r="Q707" s="317">
        <v>20150</v>
      </c>
    </row>
    <row r="708" spans="1:17" s="1" customFormat="1" ht="11.45">
      <c r="A708" s="317" t="s">
        <v>19056</v>
      </c>
      <c r="B708" s="358">
        <v>45118</v>
      </c>
      <c r="C708" s="317">
        <v>2023</v>
      </c>
      <c r="D708" s="317" t="s">
        <v>17299</v>
      </c>
      <c r="E708" s="317" t="s">
        <v>17300</v>
      </c>
      <c r="F708" s="317" t="s">
        <v>20155</v>
      </c>
      <c r="G708" s="317" t="s">
        <v>20321</v>
      </c>
      <c r="H708" s="358">
        <v>45134</v>
      </c>
      <c r="I708" s="317">
        <v>192000</v>
      </c>
      <c r="J708" s="359" t="s">
        <v>20345</v>
      </c>
      <c r="K708" s="317">
        <v>0</v>
      </c>
      <c r="L708" s="359"/>
      <c r="M708" s="317">
        <v>0</v>
      </c>
      <c r="N708" s="359"/>
      <c r="O708" s="317">
        <v>0</v>
      </c>
      <c r="P708" s="360"/>
      <c r="Q708" s="317">
        <v>192000</v>
      </c>
    </row>
    <row r="709" spans="1:17" s="1" customFormat="1" ht="11.45">
      <c r="A709" s="317" t="s">
        <v>19057</v>
      </c>
      <c r="B709" s="358">
        <v>45120</v>
      </c>
      <c r="C709" s="317">
        <v>2023</v>
      </c>
      <c r="D709" s="317" t="s">
        <v>16880</v>
      </c>
      <c r="E709" s="317" t="s">
        <v>16881</v>
      </c>
      <c r="F709" s="317" t="s">
        <v>20155</v>
      </c>
      <c r="G709" s="317" t="s">
        <v>20156</v>
      </c>
      <c r="H709" s="358">
        <v>45129</v>
      </c>
      <c r="I709" s="317">
        <v>0</v>
      </c>
      <c r="J709" s="359"/>
      <c r="K709" s="317">
        <v>21500</v>
      </c>
      <c r="L709" s="360">
        <v>1</v>
      </c>
      <c r="M709" s="317">
        <v>0</v>
      </c>
      <c r="N709" s="359"/>
      <c r="O709" s="317">
        <v>0</v>
      </c>
      <c r="P709" s="360"/>
      <c r="Q709" s="317">
        <v>21500</v>
      </c>
    </row>
    <row r="710" spans="1:17" s="1" customFormat="1" ht="11.45">
      <c r="A710" s="317" t="s">
        <v>19058</v>
      </c>
      <c r="B710" s="358">
        <v>45120</v>
      </c>
      <c r="C710" s="317">
        <v>2023</v>
      </c>
      <c r="D710" s="317" t="s">
        <v>16444</v>
      </c>
      <c r="E710" s="317" t="s">
        <v>16445</v>
      </c>
      <c r="F710" s="317" t="s">
        <v>20155</v>
      </c>
      <c r="G710" s="317" t="s">
        <v>18248</v>
      </c>
      <c r="H710" s="358">
        <v>45140</v>
      </c>
      <c r="I710" s="317">
        <v>12000</v>
      </c>
      <c r="J710" s="359"/>
      <c r="K710" s="317">
        <v>42000</v>
      </c>
      <c r="L710" s="359" t="s">
        <v>20346</v>
      </c>
      <c r="M710" s="317">
        <v>2040</v>
      </c>
      <c r="N710" s="359" t="s">
        <v>20347</v>
      </c>
      <c r="O710" s="317">
        <v>0</v>
      </c>
      <c r="P710" s="360"/>
      <c r="Q710" s="317">
        <v>56040</v>
      </c>
    </row>
    <row r="711" spans="1:17" s="1" customFormat="1" ht="11.45">
      <c r="A711" s="317" t="s">
        <v>19059</v>
      </c>
      <c r="B711" s="358">
        <v>45121</v>
      </c>
      <c r="C711" s="317">
        <v>2023</v>
      </c>
      <c r="D711" s="317" t="s">
        <v>16838</v>
      </c>
      <c r="E711" s="317" t="s">
        <v>16839</v>
      </c>
      <c r="F711" s="317" t="s">
        <v>20155</v>
      </c>
      <c r="G711" s="317" t="s">
        <v>17771</v>
      </c>
      <c r="H711" s="358">
        <v>45133</v>
      </c>
      <c r="I711" s="317">
        <v>6000</v>
      </c>
      <c r="J711" s="359" t="s">
        <v>20345</v>
      </c>
      <c r="K711" s="317">
        <v>21840</v>
      </c>
      <c r="L711" s="359" t="s">
        <v>20346</v>
      </c>
      <c r="M711" s="317">
        <v>56000</v>
      </c>
      <c r="N711" s="359" t="s">
        <v>20347</v>
      </c>
      <c r="O711" s="317">
        <v>0</v>
      </c>
      <c r="P711" s="360"/>
      <c r="Q711" s="317">
        <v>83840</v>
      </c>
    </row>
    <row r="712" spans="1:17" s="1" customFormat="1" ht="11.45">
      <c r="A712" s="317" t="s">
        <v>19060</v>
      </c>
      <c r="B712" s="358">
        <v>45128</v>
      </c>
      <c r="C712" s="317">
        <v>2023</v>
      </c>
      <c r="D712" s="317" t="s">
        <v>17017</v>
      </c>
      <c r="E712" s="317" t="s">
        <v>17018</v>
      </c>
      <c r="F712" s="317" t="s">
        <v>20155</v>
      </c>
      <c r="G712" s="317" t="s">
        <v>20307</v>
      </c>
      <c r="H712" s="358">
        <v>45138</v>
      </c>
      <c r="I712" s="317">
        <v>20000</v>
      </c>
      <c r="J712" s="359" t="s">
        <v>20345</v>
      </c>
      <c r="K712" s="317">
        <v>0</v>
      </c>
      <c r="L712" s="359"/>
      <c r="M712" s="317">
        <v>0</v>
      </c>
      <c r="N712" s="359"/>
      <c r="O712" s="317">
        <v>0</v>
      </c>
      <c r="P712" s="360"/>
      <c r="Q712" s="317">
        <v>20000</v>
      </c>
    </row>
    <row r="713" spans="1:17" s="1" customFormat="1" ht="11.45">
      <c r="A713" s="317" t="s">
        <v>19061</v>
      </c>
      <c r="B713" s="358">
        <v>45128</v>
      </c>
      <c r="C713" s="317">
        <v>2023</v>
      </c>
      <c r="D713" s="317" t="s">
        <v>17017</v>
      </c>
      <c r="E713" s="317" t="s">
        <v>17018</v>
      </c>
      <c r="F713" s="317" t="s">
        <v>20155</v>
      </c>
      <c r="G713" s="317" t="s">
        <v>20307</v>
      </c>
      <c r="H713" s="358">
        <v>45138</v>
      </c>
      <c r="I713" s="317">
        <v>20000</v>
      </c>
      <c r="J713" s="359" t="s">
        <v>20345</v>
      </c>
      <c r="K713" s="317">
        <v>0</v>
      </c>
      <c r="L713" s="359"/>
      <c r="M713" s="317">
        <v>0</v>
      </c>
      <c r="N713" s="359"/>
      <c r="O713" s="317">
        <v>0</v>
      </c>
      <c r="P713" s="360"/>
      <c r="Q713" s="317">
        <v>20000</v>
      </c>
    </row>
    <row r="714" spans="1:17" s="1" customFormat="1" ht="11.45">
      <c r="A714" s="317" t="s">
        <v>19062</v>
      </c>
      <c r="B714" s="358">
        <v>45128</v>
      </c>
      <c r="C714" s="317">
        <v>2023</v>
      </c>
      <c r="D714" s="317" t="s">
        <v>17017</v>
      </c>
      <c r="E714" s="317" t="s">
        <v>17018</v>
      </c>
      <c r="F714" s="317" t="s">
        <v>20155</v>
      </c>
      <c r="G714" s="317" t="s">
        <v>20307</v>
      </c>
      <c r="H714" s="358">
        <v>45138</v>
      </c>
      <c r="I714" s="317">
        <v>20000</v>
      </c>
      <c r="J714" s="359" t="s">
        <v>20345</v>
      </c>
      <c r="K714" s="317">
        <v>0</v>
      </c>
      <c r="L714" s="359"/>
      <c r="M714" s="317">
        <v>0</v>
      </c>
      <c r="N714" s="359"/>
      <c r="O714" s="317">
        <v>0</v>
      </c>
      <c r="P714" s="360"/>
      <c r="Q714" s="317">
        <v>20000</v>
      </c>
    </row>
    <row r="715" spans="1:17" s="1" customFormat="1" ht="11.45">
      <c r="A715" s="317" t="s">
        <v>19063</v>
      </c>
      <c r="B715" s="358">
        <v>45131</v>
      </c>
      <c r="C715" s="317">
        <v>2023</v>
      </c>
      <c r="D715" s="317" t="s">
        <v>16470</v>
      </c>
      <c r="E715" s="317" t="s">
        <v>16471</v>
      </c>
      <c r="F715" s="317" t="s">
        <v>20155</v>
      </c>
      <c r="G715" s="317" t="s">
        <v>20352</v>
      </c>
      <c r="H715" s="358">
        <v>45138</v>
      </c>
      <c r="I715" s="317">
        <v>18960</v>
      </c>
      <c r="J715" s="359" t="s">
        <v>20345</v>
      </c>
      <c r="K715" s="317">
        <v>242770</v>
      </c>
      <c r="L715" s="359" t="s">
        <v>20346</v>
      </c>
      <c r="M715" s="317">
        <v>16000</v>
      </c>
      <c r="N715" s="359" t="s">
        <v>20347</v>
      </c>
      <c r="O715" s="317">
        <v>0</v>
      </c>
      <c r="P715" s="360"/>
      <c r="Q715" s="317">
        <v>277730</v>
      </c>
    </row>
    <row r="716" spans="1:17" s="1" customFormat="1" ht="11.45">
      <c r="A716" s="317" t="s">
        <v>19064</v>
      </c>
      <c r="B716" s="358">
        <v>45133</v>
      </c>
      <c r="C716" s="317">
        <v>2023</v>
      </c>
      <c r="D716" s="317" t="s">
        <v>16643</v>
      </c>
      <c r="E716" s="317" t="s">
        <v>16644</v>
      </c>
      <c r="F716" s="317" t="s">
        <v>20155</v>
      </c>
      <c r="G716" s="317" t="s">
        <v>20352</v>
      </c>
      <c r="H716" s="358">
        <v>45145</v>
      </c>
      <c r="I716" s="317">
        <v>0</v>
      </c>
      <c r="J716" s="359"/>
      <c r="K716" s="317">
        <v>25200</v>
      </c>
      <c r="L716" s="359" t="s">
        <v>20346</v>
      </c>
      <c r="M716" s="317">
        <v>0</v>
      </c>
      <c r="N716" s="359"/>
      <c r="O716" s="317">
        <v>0</v>
      </c>
      <c r="P716" s="360"/>
      <c r="Q716" s="317">
        <v>25200</v>
      </c>
    </row>
    <row r="717" spans="1:17" s="1" customFormat="1" ht="11.45">
      <c r="A717" s="317" t="s">
        <v>19065</v>
      </c>
      <c r="B717" s="358">
        <v>45134</v>
      </c>
      <c r="C717" s="317">
        <v>2023</v>
      </c>
      <c r="D717" s="317" t="s">
        <v>16444</v>
      </c>
      <c r="E717" s="317" t="s">
        <v>16445</v>
      </c>
      <c r="F717" s="317" t="s">
        <v>20155</v>
      </c>
      <c r="G717" s="317" t="s">
        <v>17965</v>
      </c>
      <c r="H717" s="358">
        <v>45140</v>
      </c>
      <c r="I717" s="317">
        <v>19200</v>
      </c>
      <c r="J717" s="359" t="s">
        <v>20345</v>
      </c>
      <c r="K717" s="317">
        <v>0</v>
      </c>
      <c r="L717" s="359"/>
      <c r="M717" s="317">
        <v>0</v>
      </c>
      <c r="N717" s="359"/>
      <c r="O717" s="317">
        <v>0</v>
      </c>
      <c r="P717" s="360"/>
      <c r="Q717" s="317">
        <v>19200</v>
      </c>
    </row>
    <row r="718" spans="1:17" s="1" customFormat="1" ht="11.45">
      <c r="A718" s="317" t="s">
        <v>19066</v>
      </c>
      <c r="B718" s="358">
        <v>45137</v>
      </c>
      <c r="C718" s="317">
        <v>2023</v>
      </c>
      <c r="D718" s="317" t="s">
        <v>17017</v>
      </c>
      <c r="E718" s="317" t="s">
        <v>17018</v>
      </c>
      <c r="F718" s="317" t="s">
        <v>20155</v>
      </c>
      <c r="G718" s="317" t="s">
        <v>20307</v>
      </c>
      <c r="H718" s="358">
        <v>45142</v>
      </c>
      <c r="I718" s="317">
        <v>0</v>
      </c>
      <c r="J718" s="359"/>
      <c r="K718" s="317">
        <v>41000</v>
      </c>
      <c r="L718" s="359" t="s">
        <v>20345</v>
      </c>
      <c r="M718" s="317">
        <v>0</v>
      </c>
      <c r="N718" s="359"/>
      <c r="O718" s="317">
        <v>0</v>
      </c>
      <c r="P718" s="360"/>
      <c r="Q718" s="317">
        <v>41000</v>
      </c>
    </row>
    <row r="719" spans="1:17" s="1" customFormat="1" ht="11.45">
      <c r="A719" s="317" t="s">
        <v>19067</v>
      </c>
      <c r="B719" s="358">
        <v>45139</v>
      </c>
      <c r="C719" s="317">
        <v>2023</v>
      </c>
      <c r="D719" s="317" t="s">
        <v>16838</v>
      </c>
      <c r="E719" s="317" t="s">
        <v>16839</v>
      </c>
      <c r="F719" s="317" t="s">
        <v>20155</v>
      </c>
      <c r="G719" s="317" t="s">
        <v>17771</v>
      </c>
      <c r="H719" s="358">
        <v>45154</v>
      </c>
      <c r="I719" s="317">
        <v>0</v>
      </c>
      <c r="J719" s="359"/>
      <c r="K719" s="317">
        <v>0</v>
      </c>
      <c r="L719" s="359"/>
      <c r="M719" s="317">
        <v>56000</v>
      </c>
      <c r="N719" s="359" t="s">
        <v>20347</v>
      </c>
      <c r="O719" s="317">
        <v>0</v>
      </c>
      <c r="P719" s="360"/>
      <c r="Q719" s="317">
        <v>56000</v>
      </c>
    </row>
    <row r="720" spans="1:17" s="3" customFormat="1" ht="11.45">
      <c r="A720" s="51" t="s">
        <v>19068</v>
      </c>
      <c r="B720" s="52">
        <v>45142</v>
      </c>
      <c r="C720" s="51">
        <v>2023</v>
      </c>
      <c r="D720" s="51" t="s">
        <v>17299</v>
      </c>
      <c r="E720" s="51" t="s">
        <v>17300</v>
      </c>
      <c r="F720" s="51" t="s">
        <v>20155</v>
      </c>
      <c r="G720" s="51" t="s">
        <v>20321</v>
      </c>
      <c r="H720" s="52">
        <v>45156</v>
      </c>
      <c r="I720" s="51">
        <v>115200</v>
      </c>
      <c r="J720" s="359" t="s">
        <v>20345</v>
      </c>
      <c r="K720" s="51">
        <v>0</v>
      </c>
      <c r="L720" s="363"/>
      <c r="M720" s="51">
        <v>0</v>
      </c>
      <c r="N720" s="363"/>
      <c r="O720" s="51">
        <v>0</v>
      </c>
      <c r="P720" s="364"/>
      <c r="Q720" s="51">
        <v>115200</v>
      </c>
    </row>
    <row r="721" spans="1:17" s="1" customFormat="1" ht="11.45">
      <c r="A721" s="51" t="s">
        <v>19069</v>
      </c>
      <c r="B721" s="52">
        <v>45142</v>
      </c>
      <c r="C721" s="51">
        <v>2023</v>
      </c>
      <c r="D721" s="51" t="s">
        <v>16444</v>
      </c>
      <c r="E721" s="51" t="s">
        <v>16445</v>
      </c>
      <c r="F721" s="51" t="s">
        <v>20155</v>
      </c>
      <c r="G721" s="51" t="s">
        <v>18248</v>
      </c>
      <c r="H721" s="52">
        <v>45177</v>
      </c>
      <c r="I721" s="51">
        <v>9000</v>
      </c>
      <c r="J721" s="359" t="s">
        <v>20345</v>
      </c>
      <c r="K721" s="51">
        <v>47004</v>
      </c>
      <c r="L721" s="359" t="s">
        <v>20346</v>
      </c>
      <c r="M721" s="51">
        <v>0</v>
      </c>
      <c r="N721" s="363"/>
      <c r="O721" s="51">
        <v>0</v>
      </c>
      <c r="P721" s="364"/>
      <c r="Q721" s="51">
        <v>56004</v>
      </c>
    </row>
    <row r="722" spans="1:17" s="1" customFormat="1" ht="11.45">
      <c r="A722" s="51" t="s">
        <v>19070</v>
      </c>
      <c r="B722" s="52">
        <v>45142</v>
      </c>
      <c r="C722" s="51">
        <v>2023</v>
      </c>
      <c r="D722" s="51" t="s">
        <v>17304</v>
      </c>
      <c r="E722" s="51" t="s">
        <v>17305</v>
      </c>
      <c r="F722" s="51" t="s">
        <v>20155</v>
      </c>
      <c r="G722" s="51" t="s">
        <v>17954</v>
      </c>
      <c r="H722" s="52">
        <v>45169</v>
      </c>
      <c r="I722" s="51">
        <v>0</v>
      </c>
      <c r="J722" s="363"/>
      <c r="K722" s="51">
        <v>9043.68</v>
      </c>
      <c r="L722" s="360">
        <v>1</v>
      </c>
      <c r="M722" s="51">
        <v>460</v>
      </c>
      <c r="N722" s="360">
        <v>1</v>
      </c>
      <c r="O722" s="51">
        <v>4400</v>
      </c>
      <c r="P722" s="360">
        <v>1</v>
      </c>
      <c r="Q722" s="51">
        <v>13903.68</v>
      </c>
    </row>
    <row r="723" spans="1:17" s="1" customFormat="1" ht="11.45">
      <c r="A723" s="51" t="s">
        <v>19071</v>
      </c>
      <c r="B723" s="52">
        <v>45147</v>
      </c>
      <c r="C723" s="51">
        <v>2023</v>
      </c>
      <c r="D723" s="51" t="s">
        <v>16444</v>
      </c>
      <c r="E723" s="51" t="s">
        <v>16445</v>
      </c>
      <c r="F723" s="51" t="s">
        <v>20155</v>
      </c>
      <c r="G723" s="51" t="s">
        <v>20173</v>
      </c>
      <c r="H723" s="52">
        <v>45152</v>
      </c>
      <c r="I723" s="51">
        <v>22008</v>
      </c>
      <c r="J723" s="359" t="s">
        <v>20345</v>
      </c>
      <c r="K723" s="51">
        <v>0</v>
      </c>
      <c r="L723" s="363"/>
      <c r="M723" s="51">
        <v>0</v>
      </c>
      <c r="N723" s="363"/>
      <c r="O723" s="51">
        <v>0</v>
      </c>
      <c r="P723" s="364"/>
      <c r="Q723" s="51">
        <v>22008</v>
      </c>
    </row>
    <row r="724" spans="1:17" s="1" customFormat="1" ht="11.45">
      <c r="A724" s="51" t="s">
        <v>19072</v>
      </c>
      <c r="B724" s="52">
        <v>45147</v>
      </c>
      <c r="C724" s="51">
        <v>2023</v>
      </c>
      <c r="D724" s="51" t="s">
        <v>16384</v>
      </c>
      <c r="E724" s="51" t="s">
        <v>16385</v>
      </c>
      <c r="F724" s="51" t="s">
        <v>20155</v>
      </c>
      <c r="G724" s="51" t="s">
        <v>17693</v>
      </c>
      <c r="H724" s="52">
        <v>45155</v>
      </c>
      <c r="I724" s="51">
        <v>20750</v>
      </c>
      <c r="J724" s="359" t="s">
        <v>20345</v>
      </c>
      <c r="K724" s="51">
        <v>0</v>
      </c>
      <c r="L724" s="363"/>
      <c r="M724" s="51">
        <v>0</v>
      </c>
      <c r="N724" s="363"/>
      <c r="O724" s="51">
        <v>0</v>
      </c>
      <c r="P724" s="364"/>
      <c r="Q724" s="51">
        <v>20750</v>
      </c>
    </row>
    <row r="725" spans="1:17" s="1" customFormat="1" ht="11.45">
      <c r="A725" s="51" t="s">
        <v>19073</v>
      </c>
      <c r="B725" s="52">
        <v>45149</v>
      </c>
      <c r="C725" s="51">
        <v>2023</v>
      </c>
      <c r="D725" s="51" t="s">
        <v>17329</v>
      </c>
      <c r="E725" s="51" t="s">
        <v>17330</v>
      </c>
      <c r="F725" s="51" t="s">
        <v>20155</v>
      </c>
      <c r="G725" s="51" t="s">
        <v>20335</v>
      </c>
      <c r="H725" s="52">
        <v>45159</v>
      </c>
      <c r="I725" s="51">
        <v>2400</v>
      </c>
      <c r="J725" s="359" t="s">
        <v>20345</v>
      </c>
      <c r="K725" s="51">
        <v>37939</v>
      </c>
      <c r="L725" s="359" t="s">
        <v>20346</v>
      </c>
      <c r="M725" s="51">
        <v>0</v>
      </c>
      <c r="N725" s="363"/>
      <c r="O725" s="51">
        <v>0</v>
      </c>
      <c r="P725" s="364"/>
      <c r="Q725" s="51">
        <v>40339</v>
      </c>
    </row>
    <row r="726" spans="1:17" s="1" customFormat="1" ht="11.45">
      <c r="A726" s="51" t="s">
        <v>19074</v>
      </c>
      <c r="B726" s="52">
        <v>45152</v>
      </c>
      <c r="C726" s="51">
        <v>2023</v>
      </c>
      <c r="D726" s="51" t="s">
        <v>16957</v>
      </c>
      <c r="E726" s="51" t="s">
        <v>16958</v>
      </c>
      <c r="F726" s="51" t="s">
        <v>20155</v>
      </c>
      <c r="G726" s="51" t="s">
        <v>20161</v>
      </c>
      <c r="H726" s="52">
        <v>45174</v>
      </c>
      <c r="I726" s="51">
        <v>40300</v>
      </c>
      <c r="J726" s="359" t="s">
        <v>20345</v>
      </c>
      <c r="K726" s="51">
        <v>0</v>
      </c>
      <c r="L726" s="363"/>
      <c r="M726" s="51">
        <v>0</v>
      </c>
      <c r="N726" s="363"/>
      <c r="O726" s="51">
        <v>0</v>
      </c>
      <c r="P726" s="364"/>
      <c r="Q726" s="51">
        <v>40300</v>
      </c>
    </row>
    <row r="727" spans="1:17" s="1" customFormat="1" ht="11.45">
      <c r="A727" s="51" t="s">
        <v>19075</v>
      </c>
      <c r="B727" s="52">
        <v>45152</v>
      </c>
      <c r="C727" s="51">
        <v>2023</v>
      </c>
      <c r="D727" s="51" t="s">
        <v>16904</v>
      </c>
      <c r="E727" s="51" t="s">
        <v>16905</v>
      </c>
      <c r="F727" s="51" t="s">
        <v>20155</v>
      </c>
      <c r="G727" s="51" t="s">
        <v>20160</v>
      </c>
      <c r="H727" s="52">
        <v>45160</v>
      </c>
      <c r="I727" s="51">
        <v>0</v>
      </c>
      <c r="J727" s="363"/>
      <c r="K727" s="51">
        <v>19368</v>
      </c>
      <c r="L727" s="360">
        <v>1</v>
      </c>
      <c r="M727" s="51">
        <v>7500</v>
      </c>
      <c r="N727" s="360">
        <v>1</v>
      </c>
      <c r="O727" s="51">
        <v>0</v>
      </c>
      <c r="P727" s="364"/>
      <c r="Q727" s="51">
        <v>26868</v>
      </c>
    </row>
    <row r="728" spans="1:17" s="1" customFormat="1" ht="11.45">
      <c r="A728" s="51" t="s">
        <v>19076</v>
      </c>
      <c r="B728" s="52">
        <v>45152</v>
      </c>
      <c r="C728" s="51">
        <v>2023</v>
      </c>
      <c r="D728" s="51" t="s">
        <v>16904</v>
      </c>
      <c r="E728" s="51" t="s">
        <v>16905</v>
      </c>
      <c r="F728" s="51" t="s">
        <v>20155</v>
      </c>
      <c r="G728" s="51" t="s">
        <v>20160</v>
      </c>
      <c r="H728" s="52">
        <v>45167</v>
      </c>
      <c r="I728" s="51">
        <v>0</v>
      </c>
      <c r="J728" s="363"/>
      <c r="K728" s="51">
        <v>20016</v>
      </c>
      <c r="L728" s="360">
        <v>1</v>
      </c>
      <c r="M728" s="51">
        <v>6000</v>
      </c>
      <c r="N728" s="360">
        <v>1</v>
      </c>
      <c r="O728" s="51">
        <v>0</v>
      </c>
      <c r="P728" s="364"/>
      <c r="Q728" s="51">
        <v>26016</v>
      </c>
    </row>
    <row r="729" spans="1:17" s="1" customFormat="1" ht="11.45">
      <c r="A729" s="51" t="s">
        <v>19077</v>
      </c>
      <c r="B729" s="52">
        <v>45152</v>
      </c>
      <c r="C729" s="51">
        <v>2023</v>
      </c>
      <c r="D729" s="51" t="s">
        <v>16444</v>
      </c>
      <c r="E729" s="51" t="s">
        <v>16445</v>
      </c>
      <c r="F729" s="51" t="s">
        <v>20155</v>
      </c>
      <c r="G729" s="51" t="s">
        <v>20173</v>
      </c>
      <c r="H729" s="52">
        <v>45156</v>
      </c>
      <c r="I729" s="51">
        <v>0</v>
      </c>
      <c r="J729" s="363"/>
      <c r="K729" s="51">
        <v>52000</v>
      </c>
      <c r="L729" s="359" t="s">
        <v>20348</v>
      </c>
      <c r="M729" s="51">
        <v>0</v>
      </c>
      <c r="N729" s="363"/>
      <c r="O729" s="51">
        <v>0</v>
      </c>
      <c r="P729" s="364"/>
      <c r="Q729" s="51">
        <v>52000</v>
      </c>
    </row>
    <row r="730" spans="1:17" s="1" customFormat="1" ht="11.45">
      <c r="A730" s="51" t="s">
        <v>19078</v>
      </c>
      <c r="B730" s="52">
        <v>45152</v>
      </c>
      <c r="C730" s="51">
        <v>2023</v>
      </c>
      <c r="D730" s="51" t="s">
        <v>16384</v>
      </c>
      <c r="E730" s="51" t="s">
        <v>16385</v>
      </c>
      <c r="F730" s="51" t="s">
        <v>20155</v>
      </c>
      <c r="G730" s="51" t="s">
        <v>18094</v>
      </c>
      <c r="H730" s="52">
        <v>45160</v>
      </c>
      <c r="I730" s="51">
        <v>0</v>
      </c>
      <c r="J730" s="363"/>
      <c r="K730" s="51">
        <v>21000</v>
      </c>
      <c r="L730" s="359" t="s">
        <v>20346</v>
      </c>
      <c r="M730" s="51">
        <v>0</v>
      </c>
      <c r="N730" s="363"/>
      <c r="O730" s="51">
        <v>0</v>
      </c>
      <c r="P730" s="364"/>
      <c r="Q730" s="51">
        <v>21000</v>
      </c>
    </row>
    <row r="731" spans="1:17" s="1" customFormat="1" ht="11.45">
      <c r="A731" s="51" t="s">
        <v>19079</v>
      </c>
      <c r="B731" s="52">
        <v>45152</v>
      </c>
      <c r="C731" s="51">
        <v>2023</v>
      </c>
      <c r="D731" s="51" t="s">
        <v>16384</v>
      </c>
      <c r="E731" s="51" t="s">
        <v>16385</v>
      </c>
      <c r="F731" s="51" t="s">
        <v>20155</v>
      </c>
      <c r="G731" s="51" t="s">
        <v>18094</v>
      </c>
      <c r="H731" s="52">
        <v>45160</v>
      </c>
      <c r="I731" s="51">
        <v>0</v>
      </c>
      <c r="J731" s="363"/>
      <c r="K731" s="51">
        <v>21600</v>
      </c>
      <c r="L731" s="359" t="s">
        <v>20346</v>
      </c>
      <c r="M731" s="51">
        <v>0</v>
      </c>
      <c r="N731" s="363"/>
      <c r="O731" s="51">
        <v>0</v>
      </c>
      <c r="P731" s="364"/>
      <c r="Q731" s="51">
        <v>21600</v>
      </c>
    </row>
    <row r="732" spans="1:17" s="1" customFormat="1" ht="11.45">
      <c r="A732" s="51" t="s">
        <v>19080</v>
      </c>
      <c r="B732" s="52">
        <v>45152</v>
      </c>
      <c r="C732" s="51">
        <v>2023</v>
      </c>
      <c r="D732" s="51" t="s">
        <v>17259</v>
      </c>
      <c r="E732" s="51" t="s">
        <v>17260</v>
      </c>
      <c r="F732" s="51" t="s">
        <v>20155</v>
      </c>
      <c r="G732" s="51" t="s">
        <v>17261</v>
      </c>
      <c r="H732" s="52">
        <v>45160</v>
      </c>
      <c r="I732" s="51">
        <v>0</v>
      </c>
      <c r="J732" s="363"/>
      <c r="K732" s="51">
        <v>33600</v>
      </c>
      <c r="L732" s="359" t="s">
        <v>20348</v>
      </c>
      <c r="M732" s="51">
        <v>0</v>
      </c>
      <c r="N732" s="363"/>
      <c r="O732" s="51">
        <v>2000</v>
      </c>
      <c r="P732" s="360">
        <v>1</v>
      </c>
      <c r="Q732" s="51">
        <v>35600</v>
      </c>
    </row>
    <row r="733" spans="1:17" s="1" customFormat="1" ht="11.45">
      <c r="A733" s="51" t="s">
        <v>19081</v>
      </c>
      <c r="B733" s="52">
        <v>45153</v>
      </c>
      <c r="C733" s="51">
        <v>2023</v>
      </c>
      <c r="D733" s="51" t="s">
        <v>17304</v>
      </c>
      <c r="E733" s="51" t="s">
        <v>17305</v>
      </c>
      <c r="F733" s="51" t="s">
        <v>20155</v>
      </c>
      <c r="G733" s="51" t="s">
        <v>17238</v>
      </c>
      <c r="H733" s="52">
        <v>45164</v>
      </c>
      <c r="I733" s="51">
        <v>0</v>
      </c>
      <c r="J733" s="363"/>
      <c r="K733" s="51">
        <v>0</v>
      </c>
      <c r="L733" s="363"/>
      <c r="M733" s="51">
        <v>23608</v>
      </c>
      <c r="N733" s="360">
        <v>1</v>
      </c>
      <c r="O733" s="51">
        <v>0</v>
      </c>
      <c r="P733" s="364"/>
      <c r="Q733" s="51">
        <v>23608</v>
      </c>
    </row>
    <row r="734" spans="1:17" s="1" customFormat="1" ht="11.45">
      <c r="A734" s="51" t="s">
        <v>19082</v>
      </c>
      <c r="B734" s="52">
        <v>45160</v>
      </c>
      <c r="C734" s="51">
        <v>2023</v>
      </c>
      <c r="D734" s="51" t="s">
        <v>16957</v>
      </c>
      <c r="E734" s="51" t="s">
        <v>16958</v>
      </c>
      <c r="F734" s="51" t="s">
        <v>20155</v>
      </c>
      <c r="G734" s="51" t="s">
        <v>20161</v>
      </c>
      <c r="H734" s="52">
        <v>45175</v>
      </c>
      <c r="I734" s="51">
        <v>20150</v>
      </c>
      <c r="J734" s="359" t="s">
        <v>20345</v>
      </c>
      <c r="K734" s="51">
        <v>0</v>
      </c>
      <c r="L734" s="363"/>
      <c r="M734" s="51">
        <v>0</v>
      </c>
      <c r="N734" s="363"/>
      <c r="O734" s="51">
        <v>0</v>
      </c>
      <c r="P734" s="364"/>
      <c r="Q734" s="51">
        <v>20150</v>
      </c>
    </row>
    <row r="735" spans="1:17" s="1" customFormat="1" ht="11.45">
      <c r="A735" s="51" t="s">
        <v>19083</v>
      </c>
      <c r="B735" s="52">
        <v>45160</v>
      </c>
      <c r="C735" s="51">
        <v>2023</v>
      </c>
      <c r="D735" s="51" t="s">
        <v>16444</v>
      </c>
      <c r="E735" s="51" t="s">
        <v>16445</v>
      </c>
      <c r="F735" s="51" t="s">
        <v>20155</v>
      </c>
      <c r="G735" s="51" t="s">
        <v>17854</v>
      </c>
      <c r="H735" s="52">
        <v>45166</v>
      </c>
      <c r="I735" s="51">
        <v>36000</v>
      </c>
      <c r="J735" s="359" t="s">
        <v>20345</v>
      </c>
      <c r="K735" s="51">
        <v>0</v>
      </c>
      <c r="L735" s="363"/>
      <c r="M735" s="51">
        <v>0</v>
      </c>
      <c r="N735" s="363"/>
      <c r="O735" s="51">
        <v>0</v>
      </c>
      <c r="P735" s="364"/>
      <c r="Q735" s="51">
        <v>36000</v>
      </c>
    </row>
    <row r="736" spans="1:17" s="1" customFormat="1" ht="11.45">
      <c r="A736" s="51" t="s">
        <v>19084</v>
      </c>
      <c r="B736" s="52">
        <v>45162</v>
      </c>
      <c r="C736" s="51">
        <v>2023</v>
      </c>
      <c r="D736" s="51" t="s">
        <v>16384</v>
      </c>
      <c r="E736" s="51" t="s">
        <v>16385</v>
      </c>
      <c r="F736" s="51" t="s">
        <v>20155</v>
      </c>
      <c r="G736" s="51" t="s">
        <v>17965</v>
      </c>
      <c r="H736" s="52">
        <v>45167</v>
      </c>
      <c r="I736" s="51">
        <v>96000</v>
      </c>
      <c r="J736" s="359" t="s">
        <v>20345</v>
      </c>
      <c r="K736" s="51">
        <v>0</v>
      </c>
      <c r="L736" s="363"/>
      <c r="M736" s="51">
        <v>0</v>
      </c>
      <c r="N736" s="363"/>
      <c r="O736" s="51">
        <v>0</v>
      </c>
      <c r="P736" s="364"/>
      <c r="Q736" s="51">
        <v>96000</v>
      </c>
    </row>
    <row r="737" spans="1:17" s="1" customFormat="1" ht="11.45">
      <c r="A737" s="51" t="s">
        <v>19085</v>
      </c>
      <c r="B737" s="52">
        <v>45162</v>
      </c>
      <c r="C737" s="51">
        <v>2023</v>
      </c>
      <c r="D737" s="51" t="s">
        <v>17276</v>
      </c>
      <c r="E737" s="51" t="s">
        <v>17277</v>
      </c>
      <c r="F737" s="51" t="s">
        <v>20155</v>
      </c>
      <c r="G737" s="51" t="s">
        <v>20297</v>
      </c>
      <c r="H737" s="52">
        <v>45169</v>
      </c>
      <c r="I737" s="51">
        <v>57600</v>
      </c>
      <c r="J737" s="359" t="s">
        <v>20345</v>
      </c>
      <c r="K737" s="51">
        <v>0</v>
      </c>
      <c r="L737" s="363"/>
      <c r="M737" s="51">
        <v>0</v>
      </c>
      <c r="N737" s="363"/>
      <c r="O737" s="51">
        <v>0</v>
      </c>
      <c r="P737" s="364"/>
      <c r="Q737" s="51">
        <v>57600</v>
      </c>
    </row>
    <row r="738" spans="1:17" s="1" customFormat="1" ht="11.45">
      <c r="A738" s="51" t="s">
        <v>19086</v>
      </c>
      <c r="B738" s="52">
        <v>45169</v>
      </c>
      <c r="C738" s="51">
        <v>2023</v>
      </c>
      <c r="D738" s="51" t="s">
        <v>16783</v>
      </c>
      <c r="E738" s="51" t="s">
        <v>16784</v>
      </c>
      <c r="F738" s="51" t="s">
        <v>20155</v>
      </c>
      <c r="G738" s="51" t="s">
        <v>17235</v>
      </c>
      <c r="H738" s="52">
        <v>45176</v>
      </c>
      <c r="I738" s="51">
        <v>48000</v>
      </c>
      <c r="J738" s="359" t="s">
        <v>20345</v>
      </c>
      <c r="K738" s="51">
        <v>293732.8</v>
      </c>
      <c r="L738" s="359" t="s">
        <v>20345</v>
      </c>
      <c r="M738" s="51">
        <v>66467.199999999997</v>
      </c>
      <c r="N738" s="359" t="s">
        <v>20345</v>
      </c>
      <c r="O738" s="51">
        <v>0</v>
      </c>
      <c r="P738" s="364"/>
      <c r="Q738" s="51">
        <v>408200</v>
      </c>
    </row>
    <row r="739" spans="1:17" s="1" customFormat="1" ht="11.45">
      <c r="A739" s="51" t="s">
        <v>19087</v>
      </c>
      <c r="B739" s="52">
        <v>45173</v>
      </c>
      <c r="C739" s="51">
        <v>2023</v>
      </c>
      <c r="D739" s="51" t="s">
        <v>16952</v>
      </c>
      <c r="E739" s="51" t="s">
        <v>16953</v>
      </c>
      <c r="F739" s="51" t="s">
        <v>20155</v>
      </c>
      <c r="G739" s="51" t="s">
        <v>17949</v>
      </c>
      <c r="H739" s="52">
        <v>45184</v>
      </c>
      <c r="I739" s="51">
        <v>22008</v>
      </c>
      <c r="J739" s="359" t="s">
        <v>20345</v>
      </c>
      <c r="K739" s="51">
        <v>0</v>
      </c>
      <c r="L739" s="363"/>
      <c r="M739" s="51">
        <v>0</v>
      </c>
      <c r="N739" s="363"/>
      <c r="O739" s="51">
        <v>0</v>
      </c>
      <c r="P739" s="364"/>
      <c r="Q739" s="51">
        <v>22008</v>
      </c>
    </row>
    <row r="740" spans="1:17" s="1" customFormat="1" ht="11.45">
      <c r="A740" s="51" t="s">
        <v>19088</v>
      </c>
      <c r="B740" s="52">
        <v>45173</v>
      </c>
      <c r="C740" s="51">
        <v>2023</v>
      </c>
      <c r="D740" s="51" t="s">
        <v>16700</v>
      </c>
      <c r="E740" s="51" t="s">
        <v>16701</v>
      </c>
      <c r="F740" s="51" t="s">
        <v>20155</v>
      </c>
      <c r="G740" s="51" t="s">
        <v>17949</v>
      </c>
      <c r="H740" s="52">
        <v>45189</v>
      </c>
      <c r="I740" s="51">
        <v>110040</v>
      </c>
      <c r="J740" s="359" t="s">
        <v>20345</v>
      </c>
      <c r="K740" s="51">
        <v>0</v>
      </c>
      <c r="L740" s="363"/>
      <c r="M740" s="51">
        <v>0</v>
      </c>
      <c r="N740" s="363"/>
      <c r="O740" s="51">
        <v>0</v>
      </c>
      <c r="P740" s="364"/>
      <c r="Q740" s="51">
        <v>110040</v>
      </c>
    </row>
    <row r="741" spans="1:17" s="1" customFormat="1" ht="11.45">
      <c r="A741" s="51" t="s">
        <v>19089</v>
      </c>
      <c r="B741" s="52">
        <v>45173</v>
      </c>
      <c r="C741" s="51">
        <v>2023</v>
      </c>
      <c r="D741" s="51" t="s">
        <v>17342</v>
      </c>
      <c r="E741" s="51" t="s">
        <v>17343</v>
      </c>
      <c r="F741" s="51" t="s">
        <v>20155</v>
      </c>
      <c r="G741" s="51" t="s">
        <v>16394</v>
      </c>
      <c r="H741" s="52">
        <v>45178</v>
      </c>
      <c r="I741" s="51">
        <v>0</v>
      </c>
      <c r="J741" s="363"/>
      <c r="K741" s="51">
        <v>21624</v>
      </c>
      <c r="L741" s="360">
        <v>1</v>
      </c>
      <c r="M741" s="51">
        <v>0</v>
      </c>
      <c r="N741" s="363"/>
      <c r="O741" s="51">
        <v>0</v>
      </c>
      <c r="P741" s="364"/>
      <c r="Q741" s="51">
        <v>21624</v>
      </c>
    </row>
    <row r="742" spans="1:17" s="1" customFormat="1" ht="11.45">
      <c r="A742" s="51" t="s">
        <v>19090</v>
      </c>
      <c r="B742" s="52">
        <v>45173</v>
      </c>
      <c r="C742" s="51">
        <v>2023</v>
      </c>
      <c r="D742" s="51" t="s">
        <v>17321</v>
      </c>
      <c r="E742" s="51" t="s">
        <v>17322</v>
      </c>
      <c r="F742" s="51" t="s">
        <v>20155</v>
      </c>
      <c r="G742" s="51" t="s">
        <v>17939</v>
      </c>
      <c r="H742" s="52">
        <v>45180</v>
      </c>
      <c r="I742" s="51">
        <v>0</v>
      </c>
      <c r="J742" s="363"/>
      <c r="K742" s="51">
        <v>6000</v>
      </c>
      <c r="L742" s="359" t="s">
        <v>20345</v>
      </c>
      <c r="M742" s="51">
        <v>0</v>
      </c>
      <c r="N742" s="363"/>
      <c r="O742" s="51">
        <v>23000</v>
      </c>
      <c r="P742" s="360">
        <v>1</v>
      </c>
      <c r="Q742" s="51">
        <v>29000</v>
      </c>
    </row>
    <row r="743" spans="1:17" s="1" customFormat="1" ht="11.45">
      <c r="A743" s="51" t="s">
        <v>19091</v>
      </c>
      <c r="B743" s="52">
        <v>45177</v>
      </c>
      <c r="C743" s="51">
        <v>2023</v>
      </c>
      <c r="D743" s="51" t="s">
        <v>17278</v>
      </c>
      <c r="E743" s="51" t="s">
        <v>17279</v>
      </c>
      <c r="F743" s="51" t="s">
        <v>20155</v>
      </c>
      <c r="G743" s="51" t="s">
        <v>20173</v>
      </c>
      <c r="H743" s="52">
        <v>45190</v>
      </c>
      <c r="I743" s="51">
        <v>0</v>
      </c>
      <c r="J743" s="363"/>
      <c r="K743" s="51">
        <v>145671</v>
      </c>
      <c r="L743" s="359" t="s">
        <v>20348</v>
      </c>
      <c r="M743" s="51">
        <v>45811</v>
      </c>
      <c r="N743" s="359" t="s">
        <v>20347</v>
      </c>
      <c r="O743" s="51">
        <v>0</v>
      </c>
      <c r="P743" s="364"/>
      <c r="Q743" s="51">
        <v>191482</v>
      </c>
    </row>
    <row r="744" spans="1:17" s="1" customFormat="1" ht="11.45">
      <c r="A744" s="51" t="s">
        <v>19092</v>
      </c>
      <c r="B744" s="52">
        <v>45181</v>
      </c>
      <c r="C744" s="51">
        <v>2023</v>
      </c>
      <c r="D744" s="51" t="s">
        <v>16444</v>
      </c>
      <c r="E744" s="51" t="s">
        <v>16445</v>
      </c>
      <c r="F744" s="51" t="s">
        <v>20155</v>
      </c>
      <c r="G744" s="51" t="s">
        <v>17854</v>
      </c>
      <c r="H744" s="52">
        <v>45187</v>
      </c>
      <c r="I744" s="51">
        <v>18000</v>
      </c>
      <c r="J744" s="359" t="s">
        <v>20345</v>
      </c>
      <c r="K744" s="51">
        <v>0</v>
      </c>
      <c r="L744" s="363"/>
      <c r="M744" s="51">
        <v>0</v>
      </c>
      <c r="N744" s="363"/>
      <c r="O744" s="51">
        <v>0</v>
      </c>
      <c r="P744" s="364"/>
      <c r="Q744" s="51">
        <v>18000</v>
      </c>
    </row>
    <row r="745" spans="1:17" s="1" customFormat="1" ht="11.45">
      <c r="A745" s="51" t="s">
        <v>19093</v>
      </c>
      <c r="B745" s="52">
        <v>45181</v>
      </c>
      <c r="C745" s="51">
        <v>2023</v>
      </c>
      <c r="D745" s="51" t="s">
        <v>16444</v>
      </c>
      <c r="E745" s="51" t="s">
        <v>16445</v>
      </c>
      <c r="F745" s="51" t="s">
        <v>20155</v>
      </c>
      <c r="G745" s="51" t="s">
        <v>17693</v>
      </c>
      <c r="H745" s="52">
        <v>45187</v>
      </c>
      <c r="I745" s="51">
        <v>22008</v>
      </c>
      <c r="J745" s="359" t="s">
        <v>20345</v>
      </c>
      <c r="K745" s="51">
        <v>0</v>
      </c>
      <c r="L745" s="363"/>
      <c r="M745" s="51">
        <v>0</v>
      </c>
      <c r="N745" s="363"/>
      <c r="O745" s="51">
        <v>0</v>
      </c>
      <c r="P745" s="364"/>
      <c r="Q745" s="51">
        <v>22008</v>
      </c>
    </row>
    <row r="746" spans="1:17" s="1" customFormat="1" ht="11.45">
      <c r="A746" s="51" t="s">
        <v>19094</v>
      </c>
      <c r="B746" s="52">
        <v>45182</v>
      </c>
      <c r="C746" s="51">
        <v>2023</v>
      </c>
      <c r="D746" s="51" t="s">
        <v>17349</v>
      </c>
      <c r="E746" s="51" t="s">
        <v>17350</v>
      </c>
      <c r="F746" s="51" t="s">
        <v>20155</v>
      </c>
      <c r="G746" s="51" t="s">
        <v>20358</v>
      </c>
      <c r="H746" s="52">
        <v>45188</v>
      </c>
      <c r="I746" s="51">
        <v>0</v>
      </c>
      <c r="J746" s="363"/>
      <c r="K746" s="51">
        <v>0</v>
      </c>
      <c r="L746" s="363"/>
      <c r="M746" s="51">
        <v>52000</v>
      </c>
      <c r="N746" s="359" t="s">
        <v>20347</v>
      </c>
      <c r="O746" s="51">
        <v>0</v>
      </c>
      <c r="P746" s="364"/>
      <c r="Q746" s="51">
        <v>52000</v>
      </c>
    </row>
    <row r="747" spans="1:17" s="1" customFormat="1" ht="11.45">
      <c r="A747" s="51" t="s">
        <v>19096</v>
      </c>
      <c r="B747" s="52">
        <v>45182</v>
      </c>
      <c r="C747" s="51">
        <v>2023</v>
      </c>
      <c r="D747" s="51" t="s">
        <v>17209</v>
      </c>
      <c r="E747" s="51" t="s">
        <v>17210</v>
      </c>
      <c r="F747" s="51" t="s">
        <v>20155</v>
      </c>
      <c r="G747" s="51" t="s">
        <v>20168</v>
      </c>
      <c r="H747" s="52">
        <v>45199</v>
      </c>
      <c r="I747" s="51">
        <v>5400</v>
      </c>
      <c r="J747" s="360">
        <v>1</v>
      </c>
      <c r="K747" s="51">
        <v>12720</v>
      </c>
      <c r="L747" s="360">
        <v>1</v>
      </c>
      <c r="M747" s="51">
        <v>3840</v>
      </c>
      <c r="N747" s="360">
        <v>1</v>
      </c>
      <c r="O747" s="51">
        <v>1750</v>
      </c>
      <c r="P747" s="360">
        <v>1</v>
      </c>
      <c r="Q747" s="51">
        <v>23710</v>
      </c>
    </row>
    <row r="748" spans="1:17" s="1" customFormat="1" ht="11.45">
      <c r="A748" s="51" t="s">
        <v>19097</v>
      </c>
      <c r="B748" s="52">
        <v>45182</v>
      </c>
      <c r="C748" s="51">
        <v>2023</v>
      </c>
      <c r="D748" s="51" t="s">
        <v>17349</v>
      </c>
      <c r="E748" s="51" t="s">
        <v>17350</v>
      </c>
      <c r="F748" s="51" t="s">
        <v>20155</v>
      </c>
      <c r="G748" s="51" t="s">
        <v>20358</v>
      </c>
      <c r="H748" s="52">
        <v>45203</v>
      </c>
      <c r="I748" s="51">
        <v>0</v>
      </c>
      <c r="J748" s="363"/>
      <c r="K748" s="51">
        <v>0</v>
      </c>
      <c r="L748" s="363"/>
      <c r="M748" s="51">
        <v>52000</v>
      </c>
      <c r="N748" s="359" t="s">
        <v>20347</v>
      </c>
      <c r="O748" s="51">
        <v>0</v>
      </c>
      <c r="P748" s="364"/>
      <c r="Q748" s="51">
        <v>52000</v>
      </c>
    </row>
    <row r="749" spans="1:17" s="1" customFormat="1" ht="11.45">
      <c r="A749" s="51" t="s">
        <v>19098</v>
      </c>
      <c r="B749" s="52">
        <v>45182</v>
      </c>
      <c r="C749" s="51">
        <v>2023</v>
      </c>
      <c r="D749" s="51" t="s">
        <v>17349</v>
      </c>
      <c r="E749" s="51" t="s">
        <v>17350</v>
      </c>
      <c r="F749" s="51" t="s">
        <v>20155</v>
      </c>
      <c r="G749" s="51" t="s">
        <v>20358</v>
      </c>
      <c r="H749" s="52">
        <v>45188</v>
      </c>
      <c r="I749" s="51">
        <v>0</v>
      </c>
      <c r="J749" s="363"/>
      <c r="K749" s="51">
        <v>0</v>
      </c>
      <c r="L749" s="363"/>
      <c r="M749" s="51">
        <v>26000</v>
      </c>
      <c r="N749" s="359" t="s">
        <v>20347</v>
      </c>
      <c r="O749" s="51">
        <v>0</v>
      </c>
      <c r="P749" s="364"/>
      <c r="Q749" s="51">
        <v>26000</v>
      </c>
    </row>
    <row r="750" spans="1:17" s="1" customFormat="1" ht="11.45">
      <c r="A750" s="51" t="s">
        <v>19099</v>
      </c>
      <c r="B750" s="52">
        <v>45183</v>
      </c>
      <c r="C750" s="51">
        <v>2023</v>
      </c>
      <c r="D750" s="51" t="s">
        <v>16444</v>
      </c>
      <c r="E750" s="51" t="s">
        <v>16445</v>
      </c>
      <c r="F750" s="51" t="s">
        <v>20155</v>
      </c>
      <c r="G750" s="51" t="s">
        <v>20173</v>
      </c>
      <c r="H750" s="52">
        <v>45191</v>
      </c>
      <c r="I750" s="51">
        <v>0</v>
      </c>
      <c r="J750" s="363"/>
      <c r="K750" s="51">
        <v>130000</v>
      </c>
      <c r="L750" s="359" t="s">
        <v>20348</v>
      </c>
      <c r="M750" s="51">
        <v>0</v>
      </c>
      <c r="N750" s="363"/>
      <c r="O750" s="51">
        <v>0</v>
      </c>
      <c r="P750" s="364"/>
      <c r="Q750" s="51">
        <v>130000</v>
      </c>
    </row>
    <row r="751" spans="1:17" s="1" customFormat="1" ht="11.45">
      <c r="A751" s="51" t="s">
        <v>19100</v>
      </c>
      <c r="B751" s="52">
        <v>45183</v>
      </c>
      <c r="C751" s="51">
        <v>2023</v>
      </c>
      <c r="D751" s="51" t="s">
        <v>16444</v>
      </c>
      <c r="E751" s="51" t="s">
        <v>16445</v>
      </c>
      <c r="F751" s="51" t="s">
        <v>20155</v>
      </c>
      <c r="G751" s="51" t="s">
        <v>18248</v>
      </c>
      <c r="H751" s="52">
        <v>45189</v>
      </c>
      <c r="I751" s="51">
        <v>19200</v>
      </c>
      <c r="J751" s="359" t="s">
        <v>20345</v>
      </c>
      <c r="K751" s="51">
        <v>0</v>
      </c>
      <c r="L751" s="363"/>
      <c r="M751" s="51">
        <v>0</v>
      </c>
      <c r="N751" s="363"/>
      <c r="O751" s="51">
        <v>0</v>
      </c>
      <c r="P751" s="364"/>
      <c r="Q751" s="51">
        <v>19200</v>
      </c>
    </row>
    <row r="752" spans="1:17" s="1" customFormat="1" ht="11.45">
      <c r="A752" s="51" t="s">
        <v>19101</v>
      </c>
      <c r="B752" s="52">
        <v>45184</v>
      </c>
      <c r="C752" s="51">
        <v>2023</v>
      </c>
      <c r="D752" s="51" t="s">
        <v>16384</v>
      </c>
      <c r="E752" s="51" t="s">
        <v>16385</v>
      </c>
      <c r="F752" s="51" t="s">
        <v>20155</v>
      </c>
      <c r="G752" s="51" t="s">
        <v>18094</v>
      </c>
      <c r="H752" s="52">
        <v>45224</v>
      </c>
      <c r="I752" s="51">
        <v>0</v>
      </c>
      <c r="J752" s="363"/>
      <c r="K752" s="51">
        <v>22200</v>
      </c>
      <c r="L752" s="359" t="s">
        <v>20346</v>
      </c>
      <c r="M752" s="51">
        <v>0</v>
      </c>
      <c r="N752" s="363"/>
      <c r="O752" s="51">
        <v>0</v>
      </c>
      <c r="P752" s="364"/>
      <c r="Q752" s="51">
        <v>22200</v>
      </c>
    </row>
    <row r="753" spans="1:17" s="1" customFormat="1" ht="11.45">
      <c r="A753" s="51" t="s">
        <v>19102</v>
      </c>
      <c r="B753" s="52">
        <v>45184</v>
      </c>
      <c r="C753" s="51">
        <v>2023</v>
      </c>
      <c r="D753" s="51" t="s">
        <v>16384</v>
      </c>
      <c r="E753" s="51" t="s">
        <v>16385</v>
      </c>
      <c r="F753" s="51" t="s">
        <v>20155</v>
      </c>
      <c r="G753" s="51" t="s">
        <v>18094</v>
      </c>
      <c r="H753" s="52">
        <v>45227</v>
      </c>
      <c r="I753" s="51">
        <v>0</v>
      </c>
      <c r="J753" s="363"/>
      <c r="K753" s="51">
        <v>25500</v>
      </c>
      <c r="L753" s="359" t="s">
        <v>20346</v>
      </c>
      <c r="M753" s="51">
        <v>0</v>
      </c>
      <c r="N753" s="363"/>
      <c r="O753" s="51">
        <v>0</v>
      </c>
      <c r="P753" s="364"/>
      <c r="Q753" s="51">
        <v>25500</v>
      </c>
    </row>
    <row r="754" spans="1:17" s="1" customFormat="1" ht="11.45">
      <c r="A754" s="51" t="s">
        <v>19103</v>
      </c>
      <c r="B754" s="52">
        <v>45184</v>
      </c>
      <c r="C754" s="51">
        <v>2023</v>
      </c>
      <c r="D754" s="51" t="s">
        <v>16838</v>
      </c>
      <c r="E754" s="51" t="s">
        <v>16839</v>
      </c>
      <c r="F754" s="51" t="s">
        <v>20155</v>
      </c>
      <c r="G754" s="51" t="s">
        <v>20321</v>
      </c>
      <c r="H754" s="52">
        <v>45191</v>
      </c>
      <c r="I754" s="51">
        <v>0</v>
      </c>
      <c r="J754" s="363"/>
      <c r="K754" s="51">
        <v>220080</v>
      </c>
      <c r="L754" s="359" t="s">
        <v>20347</v>
      </c>
      <c r="M754" s="51">
        <v>0</v>
      </c>
      <c r="N754" s="363"/>
      <c r="O754" s="51">
        <v>0</v>
      </c>
      <c r="P754" s="364"/>
      <c r="Q754" s="51">
        <v>220080</v>
      </c>
    </row>
    <row r="755" spans="1:17" s="1" customFormat="1" ht="11.45">
      <c r="A755" s="51" t="s">
        <v>19104</v>
      </c>
      <c r="B755" s="52">
        <v>45184</v>
      </c>
      <c r="C755" s="51">
        <v>2023</v>
      </c>
      <c r="D755" s="51" t="s">
        <v>17342</v>
      </c>
      <c r="E755" s="51" t="s">
        <v>17343</v>
      </c>
      <c r="F755" s="51" t="s">
        <v>20155</v>
      </c>
      <c r="G755" s="51" t="s">
        <v>16394</v>
      </c>
      <c r="H755" s="52">
        <v>45187</v>
      </c>
      <c r="I755" s="51">
        <v>0</v>
      </c>
      <c r="J755" s="363"/>
      <c r="K755" s="51">
        <v>15936</v>
      </c>
      <c r="L755" s="360">
        <v>1</v>
      </c>
      <c r="M755" s="51">
        <v>0</v>
      </c>
      <c r="N755" s="363"/>
      <c r="O755" s="51">
        <v>3920</v>
      </c>
      <c r="P755" s="360">
        <v>1</v>
      </c>
      <c r="Q755" s="51">
        <v>19856</v>
      </c>
    </row>
    <row r="756" spans="1:17" s="1" customFormat="1" ht="11.45">
      <c r="A756" s="51" t="s">
        <v>19105</v>
      </c>
      <c r="B756" s="52">
        <v>45061</v>
      </c>
      <c r="C756" s="51">
        <v>2023</v>
      </c>
      <c r="D756" s="51" t="s">
        <v>17226</v>
      </c>
      <c r="E756" s="51" t="s">
        <v>17227</v>
      </c>
      <c r="F756" s="51" t="s">
        <v>20155</v>
      </c>
      <c r="G756" s="51" t="s">
        <v>17689</v>
      </c>
      <c r="H756" s="52">
        <v>45205</v>
      </c>
      <c r="I756" s="51">
        <v>15600</v>
      </c>
      <c r="J756" s="360">
        <v>1</v>
      </c>
      <c r="K756" s="51">
        <v>4800</v>
      </c>
      <c r="L756" s="360">
        <v>1</v>
      </c>
      <c r="M756" s="51">
        <v>3000</v>
      </c>
      <c r="N756" s="360">
        <v>1</v>
      </c>
      <c r="O756" s="51">
        <v>0</v>
      </c>
      <c r="P756" s="364"/>
      <c r="Q756" s="51">
        <v>23400</v>
      </c>
    </row>
    <row r="757" spans="1:17" s="1" customFormat="1" ht="11.45">
      <c r="A757" s="51" t="s">
        <v>19106</v>
      </c>
      <c r="B757" s="52">
        <v>45184</v>
      </c>
      <c r="C757" s="51">
        <v>2023</v>
      </c>
      <c r="D757" s="51" t="s">
        <v>17226</v>
      </c>
      <c r="E757" s="51" t="s">
        <v>17227</v>
      </c>
      <c r="F757" s="51" t="s">
        <v>20155</v>
      </c>
      <c r="G757" s="51" t="s">
        <v>17689</v>
      </c>
      <c r="H757" s="52">
        <v>45205</v>
      </c>
      <c r="I757" s="51">
        <v>0</v>
      </c>
      <c r="J757" s="363"/>
      <c r="K757" s="51">
        <v>24600</v>
      </c>
      <c r="L757" s="360">
        <v>1</v>
      </c>
      <c r="M757" s="51">
        <v>0</v>
      </c>
      <c r="N757" s="363"/>
      <c r="O757" s="51">
        <v>0</v>
      </c>
      <c r="P757" s="364"/>
      <c r="Q757" s="51">
        <v>24600</v>
      </c>
    </row>
    <row r="758" spans="1:17" s="1" customFormat="1" ht="11.45">
      <c r="A758" s="51" t="s">
        <v>19107</v>
      </c>
      <c r="B758" s="52">
        <v>45188</v>
      </c>
      <c r="C758" s="51">
        <v>2023</v>
      </c>
      <c r="D758" s="51" t="s">
        <v>16470</v>
      </c>
      <c r="E758" s="51" t="s">
        <v>16471</v>
      </c>
      <c r="F758" s="51" t="s">
        <v>20155</v>
      </c>
      <c r="G758" s="51" t="s">
        <v>20159</v>
      </c>
      <c r="H758" s="52">
        <v>45198</v>
      </c>
      <c r="I758" s="51">
        <v>23628</v>
      </c>
      <c r="J758" s="359" t="s">
        <v>20345</v>
      </c>
      <c r="K758" s="51">
        <v>238966</v>
      </c>
      <c r="L758" s="359" t="s">
        <v>20346</v>
      </c>
      <c r="M758" s="51">
        <v>16000</v>
      </c>
      <c r="N758" s="359" t="s">
        <v>20346</v>
      </c>
      <c r="O758" s="51">
        <v>0</v>
      </c>
      <c r="P758" s="364"/>
      <c r="Q758" s="51">
        <v>278594</v>
      </c>
    </row>
    <row r="759" spans="1:17" s="1" customFormat="1" ht="11.45">
      <c r="A759" s="51" t="s">
        <v>19108</v>
      </c>
      <c r="B759" s="52">
        <v>45188</v>
      </c>
      <c r="C759" s="51">
        <v>2023</v>
      </c>
      <c r="D759" s="51" t="s">
        <v>17017</v>
      </c>
      <c r="E759" s="51" t="s">
        <v>17018</v>
      </c>
      <c r="F759" s="51" t="s">
        <v>20155</v>
      </c>
      <c r="G759" s="51" t="s">
        <v>17238</v>
      </c>
      <c r="H759" s="52">
        <v>45237</v>
      </c>
      <c r="I759" s="51">
        <v>0</v>
      </c>
      <c r="J759" s="363"/>
      <c r="K759" s="51">
        <v>8626</v>
      </c>
      <c r="L759" s="360">
        <v>1</v>
      </c>
      <c r="M759" s="51">
        <v>0</v>
      </c>
      <c r="N759" s="363"/>
      <c r="O759" s="51">
        <v>0</v>
      </c>
      <c r="P759" s="364"/>
      <c r="Q759" s="51">
        <v>8626</v>
      </c>
    </row>
    <row r="760" spans="1:17" s="1" customFormat="1" ht="11.45">
      <c r="A760" s="51" t="s">
        <v>19109</v>
      </c>
      <c r="B760" s="52">
        <v>45189</v>
      </c>
      <c r="C760" s="51">
        <v>2023</v>
      </c>
      <c r="D760" s="51" t="s">
        <v>17017</v>
      </c>
      <c r="E760" s="51" t="s">
        <v>17018</v>
      </c>
      <c r="F760" s="51" t="s">
        <v>20155</v>
      </c>
      <c r="G760" s="51" t="s">
        <v>20359</v>
      </c>
      <c r="H760" s="52">
        <v>45199</v>
      </c>
      <c r="I760" s="51">
        <v>0</v>
      </c>
      <c r="J760" s="363"/>
      <c r="K760" s="51">
        <v>7000</v>
      </c>
      <c r="L760" s="360">
        <v>1</v>
      </c>
      <c r="M760" s="51">
        <v>6400</v>
      </c>
      <c r="N760" s="360">
        <v>1</v>
      </c>
      <c r="O760" s="51">
        <v>4500</v>
      </c>
      <c r="P760" s="360">
        <v>1</v>
      </c>
      <c r="Q760" s="51">
        <v>17900</v>
      </c>
    </row>
    <row r="761" spans="1:17" s="1" customFormat="1" ht="11.45">
      <c r="A761" s="51" t="s">
        <v>19110</v>
      </c>
      <c r="B761" s="52">
        <v>45189</v>
      </c>
      <c r="C761" s="51">
        <v>2023</v>
      </c>
      <c r="D761" s="51" t="s">
        <v>17299</v>
      </c>
      <c r="E761" s="51" t="s">
        <v>17300</v>
      </c>
      <c r="F761" s="51" t="s">
        <v>20155</v>
      </c>
      <c r="G761" s="51" t="s">
        <v>20321</v>
      </c>
      <c r="H761" s="52">
        <v>45195</v>
      </c>
      <c r="I761" s="51">
        <v>134400</v>
      </c>
      <c r="J761" s="359" t="s">
        <v>20345</v>
      </c>
      <c r="K761" s="51">
        <v>0</v>
      </c>
      <c r="L761" s="363"/>
      <c r="M761" s="51">
        <v>0</v>
      </c>
      <c r="N761" s="363"/>
      <c r="O761" s="51">
        <v>0</v>
      </c>
      <c r="P761" s="364"/>
      <c r="Q761" s="51">
        <v>134400</v>
      </c>
    </row>
    <row r="762" spans="1:17" s="1" customFormat="1" ht="11.45">
      <c r="A762" s="51" t="s">
        <v>19111</v>
      </c>
      <c r="B762" s="52">
        <v>45189</v>
      </c>
      <c r="C762" s="51">
        <v>2023</v>
      </c>
      <c r="D762" s="51" t="s">
        <v>17342</v>
      </c>
      <c r="E762" s="51" t="s">
        <v>17343</v>
      </c>
      <c r="F762" s="51" t="s">
        <v>20155</v>
      </c>
      <c r="G762" s="51" t="s">
        <v>16394</v>
      </c>
      <c r="H762" s="52">
        <v>45192</v>
      </c>
      <c r="I762" s="51">
        <v>2880</v>
      </c>
      <c r="J762" s="360">
        <v>1</v>
      </c>
      <c r="K762" s="51">
        <v>8184</v>
      </c>
      <c r="L762" s="360">
        <v>1</v>
      </c>
      <c r="M762" s="51">
        <v>8400</v>
      </c>
      <c r="N762" s="360">
        <v>1</v>
      </c>
      <c r="O762" s="51">
        <v>0</v>
      </c>
      <c r="P762" s="364"/>
      <c r="Q762" s="51">
        <v>19464</v>
      </c>
    </row>
    <row r="763" spans="1:17" s="1" customFormat="1" ht="11.45">
      <c r="A763" s="51" t="s">
        <v>19112</v>
      </c>
      <c r="B763" s="52">
        <v>45189</v>
      </c>
      <c r="C763" s="51">
        <v>2023</v>
      </c>
      <c r="D763" s="51" t="s">
        <v>16384</v>
      </c>
      <c r="E763" s="51" t="s">
        <v>16385</v>
      </c>
      <c r="F763" s="51" t="s">
        <v>20155</v>
      </c>
      <c r="G763" s="51" t="s">
        <v>17965</v>
      </c>
      <c r="H763" s="52">
        <v>45208</v>
      </c>
      <c r="I763" s="51">
        <v>76800</v>
      </c>
      <c r="J763" s="359" t="s">
        <v>20345</v>
      </c>
      <c r="K763" s="51">
        <v>0</v>
      </c>
      <c r="L763" s="363"/>
      <c r="M763" s="51">
        <v>0</v>
      </c>
      <c r="N763" s="363"/>
      <c r="O763" s="51">
        <v>0</v>
      </c>
      <c r="P763" s="364"/>
      <c r="Q763" s="51">
        <v>76800</v>
      </c>
    </row>
    <row r="764" spans="1:17" s="1" customFormat="1" ht="11.45">
      <c r="A764" s="51" t="s">
        <v>19113</v>
      </c>
      <c r="B764" s="52">
        <v>45189</v>
      </c>
      <c r="C764" s="51">
        <v>2023</v>
      </c>
      <c r="D764" s="51" t="s">
        <v>16838</v>
      </c>
      <c r="E764" s="51" t="s">
        <v>16839</v>
      </c>
      <c r="F764" s="51" t="s">
        <v>20155</v>
      </c>
      <c r="G764" s="51" t="s">
        <v>17771</v>
      </c>
      <c r="H764" s="52">
        <v>45199</v>
      </c>
      <c r="I764" s="51">
        <v>0</v>
      </c>
      <c r="J764" s="363"/>
      <c r="K764" s="51">
        <v>18840</v>
      </c>
      <c r="L764" s="359" t="s">
        <v>20348</v>
      </c>
      <c r="M764" s="51">
        <v>93000</v>
      </c>
      <c r="N764" s="359" t="s">
        <v>20347</v>
      </c>
      <c r="O764" s="51">
        <v>125</v>
      </c>
      <c r="P764" s="360">
        <v>1</v>
      </c>
      <c r="Q764" s="51">
        <v>111965</v>
      </c>
    </row>
    <row r="765" spans="1:17" s="1" customFormat="1" ht="11.45">
      <c r="A765" s="51" t="s">
        <v>19114</v>
      </c>
      <c r="B765" s="52">
        <v>45189</v>
      </c>
      <c r="C765" s="51">
        <v>2023</v>
      </c>
      <c r="D765" s="51" t="s">
        <v>17304</v>
      </c>
      <c r="E765" s="51" t="s">
        <v>17305</v>
      </c>
      <c r="F765" s="51" t="s">
        <v>20155</v>
      </c>
      <c r="G765" s="51" t="s">
        <v>17954</v>
      </c>
      <c r="H765" s="52">
        <v>45199</v>
      </c>
      <c r="I765" s="51">
        <v>0</v>
      </c>
      <c r="J765" s="363"/>
      <c r="K765" s="51">
        <v>13111.36</v>
      </c>
      <c r="L765" s="360">
        <v>1</v>
      </c>
      <c r="M765" s="51">
        <v>2880</v>
      </c>
      <c r="N765" s="360">
        <v>1</v>
      </c>
      <c r="O765" s="51">
        <v>1250</v>
      </c>
      <c r="P765" s="360">
        <v>1</v>
      </c>
      <c r="Q765" s="51">
        <v>17241.36</v>
      </c>
    </row>
    <row r="766" spans="1:17" s="1" customFormat="1" ht="11.45">
      <c r="A766" s="51" t="s">
        <v>19115</v>
      </c>
      <c r="B766" s="52">
        <v>45189</v>
      </c>
      <c r="C766" s="51">
        <v>2023</v>
      </c>
      <c r="D766" s="51" t="s">
        <v>16444</v>
      </c>
      <c r="E766" s="51" t="s">
        <v>16445</v>
      </c>
      <c r="F766" s="51" t="s">
        <v>20155</v>
      </c>
      <c r="G766" s="51" t="s">
        <v>17693</v>
      </c>
      <c r="H766" s="52">
        <v>45201</v>
      </c>
      <c r="I766" s="51">
        <v>21600</v>
      </c>
      <c r="J766" s="359" t="s">
        <v>20345</v>
      </c>
      <c r="K766" s="51">
        <v>0</v>
      </c>
      <c r="L766" s="363"/>
      <c r="M766" s="51">
        <v>0</v>
      </c>
      <c r="N766" s="363"/>
      <c r="O766" s="51">
        <v>0</v>
      </c>
      <c r="P766" s="364"/>
      <c r="Q766" s="51">
        <v>21600</v>
      </c>
    </row>
    <row r="767" spans="1:17" s="1" customFormat="1" ht="11.45">
      <c r="A767" s="51" t="s">
        <v>19116</v>
      </c>
      <c r="B767" s="52">
        <v>45189</v>
      </c>
      <c r="C767" s="51">
        <v>2023</v>
      </c>
      <c r="D767" s="51" t="s">
        <v>16444</v>
      </c>
      <c r="E767" s="51" t="s">
        <v>16445</v>
      </c>
      <c r="F767" s="51" t="s">
        <v>20155</v>
      </c>
      <c r="G767" s="51" t="s">
        <v>17949</v>
      </c>
      <c r="H767" s="52">
        <v>45201</v>
      </c>
      <c r="I767" s="51">
        <v>21600</v>
      </c>
      <c r="J767" s="359" t="s">
        <v>20345</v>
      </c>
      <c r="K767" s="51">
        <v>0</v>
      </c>
      <c r="L767" s="363"/>
      <c r="M767" s="51">
        <v>0</v>
      </c>
      <c r="N767" s="363"/>
      <c r="O767" s="51">
        <v>0</v>
      </c>
      <c r="P767" s="364"/>
      <c r="Q767" s="51">
        <v>21600</v>
      </c>
    </row>
    <row r="768" spans="1:17" s="1" customFormat="1" ht="11.45">
      <c r="A768" s="51" t="s">
        <v>19117</v>
      </c>
      <c r="B768" s="52">
        <v>45189</v>
      </c>
      <c r="C768" s="51">
        <v>2023</v>
      </c>
      <c r="D768" s="51" t="s">
        <v>16444</v>
      </c>
      <c r="E768" s="51" t="s">
        <v>16445</v>
      </c>
      <c r="F768" s="51" t="s">
        <v>20155</v>
      </c>
      <c r="G768" s="51" t="s">
        <v>17949</v>
      </c>
      <c r="H768" s="52">
        <v>45201</v>
      </c>
      <c r="I768" s="51">
        <v>44016</v>
      </c>
      <c r="J768" s="359" t="s">
        <v>20345</v>
      </c>
      <c r="K768" s="51">
        <v>0</v>
      </c>
      <c r="L768" s="363"/>
      <c r="M768" s="51">
        <v>0</v>
      </c>
      <c r="N768" s="363"/>
      <c r="O768" s="51">
        <v>0</v>
      </c>
      <c r="P768" s="364"/>
      <c r="Q768" s="51">
        <v>44016</v>
      </c>
    </row>
    <row r="769" spans="1:17" s="1" customFormat="1" ht="11.45">
      <c r="A769" s="51" t="s">
        <v>19118</v>
      </c>
      <c r="B769" s="52">
        <v>45189</v>
      </c>
      <c r="C769" s="51">
        <v>2023</v>
      </c>
      <c r="D769" s="51" t="s">
        <v>16444</v>
      </c>
      <c r="E769" s="51" t="s">
        <v>16445</v>
      </c>
      <c r="F769" s="51" t="s">
        <v>20155</v>
      </c>
      <c r="G769" s="51" t="s">
        <v>18248</v>
      </c>
      <c r="H769" s="52">
        <v>45208</v>
      </c>
      <c r="I769" s="51">
        <v>12150</v>
      </c>
      <c r="J769" s="359" t="s">
        <v>20345</v>
      </c>
      <c r="K769" s="51">
        <v>42432</v>
      </c>
      <c r="L769" s="359" t="s">
        <v>20346</v>
      </c>
      <c r="M769" s="51">
        <v>1440</v>
      </c>
      <c r="N769" s="359" t="s">
        <v>20347</v>
      </c>
      <c r="O769" s="51">
        <v>0</v>
      </c>
      <c r="P769" s="364"/>
      <c r="Q769" s="51">
        <v>56022</v>
      </c>
    </row>
    <row r="770" spans="1:17" s="1" customFormat="1" ht="11.45">
      <c r="A770" s="51" t="s">
        <v>19119</v>
      </c>
      <c r="B770" s="52">
        <v>45189</v>
      </c>
      <c r="C770" s="51">
        <v>2023</v>
      </c>
      <c r="D770" s="51" t="s">
        <v>16444</v>
      </c>
      <c r="E770" s="51" t="s">
        <v>16445</v>
      </c>
      <c r="F770" s="51" t="s">
        <v>20155</v>
      </c>
      <c r="G770" s="51" t="s">
        <v>18248</v>
      </c>
      <c r="H770" s="52">
        <v>45209</v>
      </c>
      <c r="I770" s="51">
        <v>12150</v>
      </c>
      <c r="J770" s="359" t="s">
        <v>20345</v>
      </c>
      <c r="K770" s="51">
        <v>42432</v>
      </c>
      <c r="L770" s="359" t="s">
        <v>20346</v>
      </c>
      <c r="M770" s="51">
        <v>1440</v>
      </c>
      <c r="N770" s="359" t="s">
        <v>20347</v>
      </c>
      <c r="O770" s="51">
        <v>0</v>
      </c>
      <c r="P770" s="364"/>
      <c r="Q770" s="51">
        <v>56022</v>
      </c>
    </row>
    <row r="771" spans="1:17" s="1" customFormat="1" ht="11.45">
      <c r="A771" s="51" t="s">
        <v>19120</v>
      </c>
      <c r="B771" s="52">
        <v>45189</v>
      </c>
      <c r="C771" s="51">
        <v>2023</v>
      </c>
      <c r="D771" s="51" t="s">
        <v>17352</v>
      </c>
      <c r="E771" s="51" t="s">
        <v>17353</v>
      </c>
      <c r="F771" s="51" t="s">
        <v>20155</v>
      </c>
      <c r="G771" s="51" t="s">
        <v>17939</v>
      </c>
      <c r="H771" s="52">
        <v>45199</v>
      </c>
      <c r="I771" s="51">
        <v>0</v>
      </c>
      <c r="J771" s="363"/>
      <c r="K771" s="51">
        <v>603984</v>
      </c>
      <c r="L771" s="359" t="s">
        <v>20347</v>
      </c>
      <c r="M771" s="51">
        <v>96000</v>
      </c>
      <c r="N771" s="359" t="s">
        <v>20347</v>
      </c>
      <c r="O771" s="51">
        <v>0</v>
      </c>
      <c r="P771" s="364"/>
      <c r="Q771" s="51">
        <v>699984</v>
      </c>
    </row>
    <row r="772" spans="1:17" s="1" customFormat="1" ht="11.45">
      <c r="A772" s="51" t="s">
        <v>19122</v>
      </c>
      <c r="B772" s="52">
        <v>45194</v>
      </c>
      <c r="C772" s="51">
        <v>2023</v>
      </c>
      <c r="D772" s="51" t="s">
        <v>17299</v>
      </c>
      <c r="E772" s="51" t="s">
        <v>17300</v>
      </c>
      <c r="F772" s="51" t="s">
        <v>20155</v>
      </c>
      <c r="G772" s="51" t="s">
        <v>20321</v>
      </c>
      <c r="H772" s="52">
        <v>45198</v>
      </c>
      <c r="I772" s="51">
        <v>134400</v>
      </c>
      <c r="J772" s="359" t="s">
        <v>20345</v>
      </c>
      <c r="K772" s="51">
        <v>0</v>
      </c>
      <c r="L772" s="363"/>
      <c r="M772" s="51">
        <v>0</v>
      </c>
      <c r="N772" s="363"/>
      <c r="O772" s="51">
        <v>0</v>
      </c>
      <c r="P772" s="364"/>
      <c r="Q772" s="51">
        <v>134400</v>
      </c>
    </row>
    <row r="773" spans="1:17" s="1" customFormat="1" ht="11.45">
      <c r="A773" s="51" t="s">
        <v>19123</v>
      </c>
      <c r="B773" s="52">
        <v>45198</v>
      </c>
      <c r="C773" s="51">
        <v>2023</v>
      </c>
      <c r="D773" s="51" t="s">
        <v>17354</v>
      </c>
      <c r="E773" s="51" t="s">
        <v>17355</v>
      </c>
      <c r="F773" s="51" t="s">
        <v>20155</v>
      </c>
      <c r="G773" s="51" t="s">
        <v>20360</v>
      </c>
      <c r="H773" s="52">
        <v>45204</v>
      </c>
      <c r="I773" s="51">
        <v>600</v>
      </c>
      <c r="J773" s="360">
        <v>1</v>
      </c>
      <c r="K773" s="51">
        <v>8220</v>
      </c>
      <c r="L773" s="360">
        <v>1</v>
      </c>
      <c r="M773" s="51">
        <v>4200</v>
      </c>
      <c r="N773" s="360">
        <v>1</v>
      </c>
      <c r="O773" s="51">
        <v>1950</v>
      </c>
      <c r="P773" s="360">
        <v>1</v>
      </c>
      <c r="Q773" s="51">
        <v>14970</v>
      </c>
    </row>
    <row r="774" spans="1:17" s="1" customFormat="1" ht="11.45">
      <c r="A774" s="51" t="s">
        <v>19124</v>
      </c>
      <c r="B774" s="52">
        <v>45199</v>
      </c>
      <c r="C774" s="51">
        <v>2023</v>
      </c>
      <c r="D774" s="51" t="s">
        <v>17304</v>
      </c>
      <c r="E774" s="51" t="s">
        <v>17305</v>
      </c>
      <c r="F774" s="51" t="s">
        <v>20155</v>
      </c>
      <c r="G774" s="51" t="s">
        <v>17954</v>
      </c>
      <c r="H774" s="52">
        <v>45217</v>
      </c>
      <c r="I774" s="51">
        <v>0</v>
      </c>
      <c r="J774" s="363"/>
      <c r="K774" s="51">
        <v>4540</v>
      </c>
      <c r="L774" s="360">
        <v>1</v>
      </c>
      <c r="M774" s="51">
        <v>0</v>
      </c>
      <c r="N774" s="363"/>
      <c r="O774" s="51">
        <v>0</v>
      </c>
      <c r="P774" s="364"/>
      <c r="Q774" s="51">
        <v>4540</v>
      </c>
    </row>
    <row r="775" spans="1:17" s="1" customFormat="1" ht="11.45">
      <c r="A775" s="51" t="s">
        <v>19125</v>
      </c>
      <c r="B775" s="52">
        <v>45201</v>
      </c>
      <c r="C775" s="51">
        <v>2023</v>
      </c>
      <c r="D775" s="51" t="s">
        <v>16957</v>
      </c>
      <c r="E775" s="51" t="s">
        <v>16958</v>
      </c>
      <c r="F775" s="51" t="s">
        <v>20155</v>
      </c>
      <c r="G775" s="51" t="s">
        <v>20161</v>
      </c>
      <c r="H775" s="52">
        <v>45215</v>
      </c>
      <c r="I775" s="51">
        <v>40300</v>
      </c>
      <c r="J775" s="360">
        <v>1</v>
      </c>
      <c r="K775" s="51">
        <v>0</v>
      </c>
      <c r="L775" s="363"/>
      <c r="M775" s="51">
        <v>0</v>
      </c>
      <c r="N775" s="363"/>
      <c r="O775" s="51">
        <v>0</v>
      </c>
      <c r="P775" s="364"/>
      <c r="Q775" s="51">
        <v>40300</v>
      </c>
    </row>
    <row r="776" spans="1:17" s="1" customFormat="1" ht="11.45">
      <c r="A776" s="51" t="s">
        <v>19126</v>
      </c>
      <c r="B776" s="52">
        <v>45201</v>
      </c>
      <c r="C776" s="51">
        <v>2023</v>
      </c>
      <c r="D776" s="51" t="s">
        <v>16904</v>
      </c>
      <c r="E776" s="51" t="s">
        <v>16905</v>
      </c>
      <c r="F776" s="51" t="s">
        <v>20155</v>
      </c>
      <c r="G776" s="51" t="s">
        <v>20160</v>
      </c>
      <c r="H776" s="52">
        <v>45210</v>
      </c>
      <c r="I776" s="51">
        <v>0</v>
      </c>
      <c r="J776" s="363"/>
      <c r="K776" s="51">
        <v>19728</v>
      </c>
      <c r="L776" s="360">
        <v>1</v>
      </c>
      <c r="M776" s="51">
        <v>7500</v>
      </c>
      <c r="N776" s="360">
        <v>1</v>
      </c>
      <c r="O776" s="51">
        <v>0</v>
      </c>
      <c r="P776" s="364"/>
      <c r="Q776" s="51">
        <v>27228</v>
      </c>
    </row>
    <row r="777" spans="1:17" s="1" customFormat="1" ht="11.45">
      <c r="A777" s="51" t="s">
        <v>19127</v>
      </c>
      <c r="B777" s="52">
        <v>45201</v>
      </c>
      <c r="C777" s="51">
        <v>2023</v>
      </c>
      <c r="D777" s="51" t="s">
        <v>16904</v>
      </c>
      <c r="E777" s="51" t="s">
        <v>16905</v>
      </c>
      <c r="F777" s="51" t="s">
        <v>20155</v>
      </c>
      <c r="G777" s="51" t="s">
        <v>20160</v>
      </c>
      <c r="H777" s="52">
        <v>45219</v>
      </c>
      <c r="I777" s="51">
        <v>0</v>
      </c>
      <c r="J777" s="363"/>
      <c r="K777" s="51">
        <v>18576</v>
      </c>
      <c r="L777" s="360">
        <v>1</v>
      </c>
      <c r="M777" s="51">
        <v>9000</v>
      </c>
      <c r="N777" s="360">
        <v>1</v>
      </c>
      <c r="O777" s="51">
        <v>0</v>
      </c>
      <c r="P777" s="364"/>
      <c r="Q777" s="51">
        <v>27576</v>
      </c>
    </row>
    <row r="778" spans="1:17" s="1" customFormat="1" ht="11.45">
      <c r="A778" s="51" t="s">
        <v>19128</v>
      </c>
      <c r="B778" s="52">
        <v>45208</v>
      </c>
      <c r="C778" s="51">
        <v>2023</v>
      </c>
      <c r="D778" s="51" t="s">
        <v>17309</v>
      </c>
      <c r="E778" s="51" t="s">
        <v>17310</v>
      </c>
      <c r="F778" s="51" t="s">
        <v>20155</v>
      </c>
      <c r="G778" s="51" t="s">
        <v>20321</v>
      </c>
      <c r="H778" s="52">
        <v>45226</v>
      </c>
      <c r="I778" s="51">
        <v>19200</v>
      </c>
      <c r="J778" s="359" t="s">
        <v>20345</v>
      </c>
      <c r="K778" s="51">
        <v>0</v>
      </c>
      <c r="L778" s="363"/>
      <c r="M778" s="51">
        <v>0</v>
      </c>
      <c r="N778" s="363"/>
      <c r="O778" s="51">
        <v>0</v>
      </c>
      <c r="P778" s="364"/>
      <c r="Q778" s="51">
        <v>19200</v>
      </c>
    </row>
    <row r="779" spans="1:17" s="1" customFormat="1" ht="11.45">
      <c r="A779" s="51" t="s">
        <v>19129</v>
      </c>
      <c r="B779" s="52">
        <v>45208</v>
      </c>
      <c r="C779" s="51">
        <v>2023</v>
      </c>
      <c r="D779" s="51" t="s">
        <v>17342</v>
      </c>
      <c r="E779" s="51" t="s">
        <v>17343</v>
      </c>
      <c r="F779" s="51" t="s">
        <v>20155</v>
      </c>
      <c r="G779" s="51" t="s">
        <v>16394</v>
      </c>
      <c r="H779" s="52">
        <v>45210</v>
      </c>
      <c r="I779" s="51">
        <v>2880</v>
      </c>
      <c r="J779" s="360">
        <v>1</v>
      </c>
      <c r="K779" s="51">
        <v>34320</v>
      </c>
      <c r="L779" s="360">
        <v>1</v>
      </c>
      <c r="M779" s="51">
        <v>12000</v>
      </c>
      <c r="N779" s="360">
        <v>1</v>
      </c>
      <c r="O779" s="51">
        <v>1120</v>
      </c>
      <c r="P779" s="360">
        <v>1</v>
      </c>
      <c r="Q779" s="51">
        <v>50320</v>
      </c>
    </row>
    <row r="780" spans="1:17" s="1" customFormat="1" ht="11.45">
      <c r="A780" s="51" t="s">
        <v>19130</v>
      </c>
      <c r="B780" s="52">
        <v>45208</v>
      </c>
      <c r="C780" s="51">
        <v>2023</v>
      </c>
      <c r="D780" s="51" t="s">
        <v>17342</v>
      </c>
      <c r="E780" s="51" t="s">
        <v>17343</v>
      </c>
      <c r="F780" s="51" t="s">
        <v>20155</v>
      </c>
      <c r="G780" s="51" t="s">
        <v>16394</v>
      </c>
      <c r="H780" s="52">
        <v>45210</v>
      </c>
      <c r="I780" s="51">
        <v>0</v>
      </c>
      <c r="J780" s="363"/>
      <c r="K780" s="51">
        <v>15000</v>
      </c>
      <c r="L780" s="360">
        <v>1</v>
      </c>
      <c r="M780" s="51">
        <v>6000</v>
      </c>
      <c r="N780" s="360">
        <v>1</v>
      </c>
      <c r="O780" s="51">
        <v>500</v>
      </c>
      <c r="P780" s="360">
        <v>1</v>
      </c>
      <c r="Q780" s="51">
        <v>21500</v>
      </c>
    </row>
    <row r="781" spans="1:17" s="1" customFormat="1" ht="11.45">
      <c r="A781" s="51" t="s">
        <v>19131</v>
      </c>
      <c r="B781" s="52">
        <v>45208</v>
      </c>
      <c r="C781" s="51">
        <v>2023</v>
      </c>
      <c r="D781" s="51" t="s">
        <v>17342</v>
      </c>
      <c r="E781" s="51" t="s">
        <v>17343</v>
      </c>
      <c r="F781" s="51" t="s">
        <v>20155</v>
      </c>
      <c r="G781" s="51" t="s">
        <v>16394</v>
      </c>
      <c r="H781" s="52">
        <v>45215</v>
      </c>
      <c r="I781" s="51">
        <v>1920</v>
      </c>
      <c r="J781" s="360">
        <v>1</v>
      </c>
      <c r="K781" s="51">
        <v>13296</v>
      </c>
      <c r="L781" s="360">
        <v>1</v>
      </c>
      <c r="M781" s="51">
        <v>0</v>
      </c>
      <c r="N781" s="363"/>
      <c r="O781" s="51">
        <v>500</v>
      </c>
      <c r="P781" s="360">
        <v>1</v>
      </c>
      <c r="Q781" s="51">
        <v>15716</v>
      </c>
    </row>
    <row r="782" spans="1:17" s="1" customFormat="1" ht="11.45">
      <c r="A782" s="51" t="s">
        <v>19132</v>
      </c>
      <c r="B782" s="52">
        <v>45208</v>
      </c>
      <c r="C782" s="51">
        <v>2023</v>
      </c>
      <c r="D782" s="51" t="s">
        <v>17342</v>
      </c>
      <c r="E782" s="51" t="s">
        <v>17343</v>
      </c>
      <c r="F782" s="51" t="s">
        <v>20155</v>
      </c>
      <c r="G782" s="51" t="s">
        <v>16394</v>
      </c>
      <c r="H782" s="52">
        <v>45222</v>
      </c>
      <c r="I782" s="51">
        <v>0</v>
      </c>
      <c r="J782" s="363"/>
      <c r="K782" s="51">
        <v>17984</v>
      </c>
      <c r="L782" s="360">
        <v>1</v>
      </c>
      <c r="M782" s="51">
        <v>3600</v>
      </c>
      <c r="N782" s="360">
        <v>1</v>
      </c>
      <c r="O782" s="51">
        <v>1680</v>
      </c>
      <c r="P782" s="360">
        <v>1</v>
      </c>
      <c r="Q782" s="51">
        <v>23264</v>
      </c>
    </row>
    <row r="783" spans="1:17" s="1" customFormat="1" ht="11.45">
      <c r="A783" s="51" t="s">
        <v>19133</v>
      </c>
      <c r="B783" s="52">
        <v>45208</v>
      </c>
      <c r="C783" s="51">
        <v>2023</v>
      </c>
      <c r="D783" s="51" t="s">
        <v>17342</v>
      </c>
      <c r="E783" s="51" t="s">
        <v>17343</v>
      </c>
      <c r="F783" s="51" t="s">
        <v>20155</v>
      </c>
      <c r="G783" s="51" t="s">
        <v>20304</v>
      </c>
      <c r="H783" s="52">
        <v>45217</v>
      </c>
      <c r="I783" s="51">
        <v>3840</v>
      </c>
      <c r="J783" s="360">
        <v>1</v>
      </c>
      <c r="K783" s="51">
        <v>11232</v>
      </c>
      <c r="L783" s="360">
        <v>1</v>
      </c>
      <c r="M783" s="51">
        <v>4800</v>
      </c>
      <c r="N783" s="360">
        <v>1</v>
      </c>
      <c r="O783" s="51">
        <v>1120</v>
      </c>
      <c r="P783" s="360">
        <v>1</v>
      </c>
      <c r="Q783" s="51">
        <v>20992</v>
      </c>
    </row>
    <row r="784" spans="1:17" s="1" customFormat="1" ht="11.45">
      <c r="A784" s="51" t="s">
        <v>19134</v>
      </c>
      <c r="B784" s="52">
        <v>45208</v>
      </c>
      <c r="C784" s="51">
        <v>2023</v>
      </c>
      <c r="D784" s="51" t="s">
        <v>17342</v>
      </c>
      <c r="E784" s="51" t="s">
        <v>17343</v>
      </c>
      <c r="F784" s="51" t="s">
        <v>20155</v>
      </c>
      <c r="G784" s="51" t="s">
        <v>20306</v>
      </c>
      <c r="H784" s="52">
        <v>45239</v>
      </c>
      <c r="I784" s="51">
        <v>2880</v>
      </c>
      <c r="J784" s="360">
        <v>1</v>
      </c>
      <c r="K784" s="51">
        <v>9888</v>
      </c>
      <c r="L784" s="360">
        <v>1</v>
      </c>
      <c r="M784" s="51">
        <v>0</v>
      </c>
      <c r="N784" s="363"/>
      <c r="O784" s="51">
        <v>1120</v>
      </c>
      <c r="P784" s="360">
        <v>1</v>
      </c>
      <c r="Q784" s="51">
        <v>13888</v>
      </c>
    </row>
    <row r="785" spans="1:17" s="1" customFormat="1" ht="11.45">
      <c r="A785" s="51" t="s">
        <v>19135</v>
      </c>
      <c r="B785" s="52">
        <v>45211</v>
      </c>
      <c r="C785" s="51">
        <v>2023</v>
      </c>
      <c r="D785" s="51" t="s">
        <v>17299</v>
      </c>
      <c r="E785" s="51" t="s">
        <v>17300</v>
      </c>
      <c r="F785" s="51" t="s">
        <v>20155</v>
      </c>
      <c r="G785" s="51" t="s">
        <v>20321</v>
      </c>
      <c r="H785" s="52">
        <v>45275</v>
      </c>
      <c r="I785" s="51">
        <v>115200</v>
      </c>
      <c r="J785" s="359" t="s">
        <v>20345</v>
      </c>
      <c r="K785" s="51">
        <v>0</v>
      </c>
      <c r="L785" s="363"/>
      <c r="M785" s="51">
        <v>0</v>
      </c>
      <c r="N785" s="363"/>
      <c r="O785" s="51">
        <v>0</v>
      </c>
      <c r="P785" s="364"/>
      <c r="Q785" s="51">
        <v>115200</v>
      </c>
    </row>
    <row r="786" spans="1:17" s="1" customFormat="1" ht="11.45">
      <c r="A786" s="51" t="s">
        <v>19136</v>
      </c>
      <c r="B786" s="52">
        <v>45212</v>
      </c>
      <c r="C786" s="51">
        <v>2023</v>
      </c>
      <c r="D786" s="51" t="s">
        <v>17017</v>
      </c>
      <c r="E786" s="51" t="s">
        <v>17018</v>
      </c>
      <c r="F786" s="51" t="s">
        <v>20155</v>
      </c>
      <c r="G786" s="51" t="s">
        <v>20361</v>
      </c>
      <c r="H786" s="52">
        <v>45223</v>
      </c>
      <c r="I786" s="51">
        <v>0</v>
      </c>
      <c r="J786" s="363"/>
      <c r="K786" s="51">
        <v>41000</v>
      </c>
      <c r="L786" s="360">
        <v>1</v>
      </c>
      <c r="M786" s="51">
        <v>0</v>
      </c>
      <c r="N786" s="363"/>
      <c r="O786" s="51">
        <v>0</v>
      </c>
      <c r="P786" s="364"/>
      <c r="Q786" s="51">
        <v>41000</v>
      </c>
    </row>
    <row r="787" spans="1:17" s="1" customFormat="1" ht="11.45">
      <c r="A787" s="51" t="s">
        <v>19137</v>
      </c>
      <c r="B787" s="52">
        <v>45215</v>
      </c>
      <c r="C787" s="51">
        <v>2023</v>
      </c>
      <c r="D787" s="51" t="s">
        <v>17017</v>
      </c>
      <c r="E787" s="51" t="s">
        <v>17018</v>
      </c>
      <c r="F787" s="51" t="s">
        <v>20155</v>
      </c>
      <c r="G787" s="51" t="s">
        <v>18064</v>
      </c>
      <c r="H787" s="52">
        <v>45223</v>
      </c>
      <c r="I787" s="51">
        <v>0</v>
      </c>
      <c r="J787" s="363"/>
      <c r="K787" s="51">
        <v>15000</v>
      </c>
      <c r="L787" s="360">
        <v>1</v>
      </c>
      <c r="M787" s="51">
        <v>0</v>
      </c>
      <c r="N787" s="363"/>
      <c r="O787" s="51">
        <v>0</v>
      </c>
      <c r="P787" s="364"/>
      <c r="Q787" s="51">
        <v>15000</v>
      </c>
    </row>
    <row r="788" spans="1:17" s="1" customFormat="1" ht="11.45">
      <c r="A788" s="51" t="s">
        <v>19138</v>
      </c>
      <c r="B788" s="52">
        <v>45215</v>
      </c>
      <c r="C788" s="51">
        <v>2023</v>
      </c>
      <c r="D788" s="51" t="s">
        <v>16700</v>
      </c>
      <c r="E788" s="51" t="s">
        <v>16701</v>
      </c>
      <c r="F788" s="51" t="s">
        <v>20155</v>
      </c>
      <c r="G788" s="51" t="s">
        <v>17949</v>
      </c>
      <c r="H788" s="52">
        <v>45227</v>
      </c>
      <c r="I788" s="51">
        <v>110040</v>
      </c>
      <c r="J788" s="359" t="s">
        <v>20345</v>
      </c>
      <c r="K788" s="51">
        <v>0</v>
      </c>
      <c r="L788" s="363"/>
      <c r="M788" s="51">
        <v>0</v>
      </c>
      <c r="N788" s="363"/>
      <c r="O788" s="51">
        <v>0</v>
      </c>
      <c r="P788" s="364"/>
      <c r="Q788" s="51">
        <v>110040</v>
      </c>
    </row>
    <row r="789" spans="1:17" s="1" customFormat="1" ht="11.45">
      <c r="A789" s="51" t="s">
        <v>19139</v>
      </c>
      <c r="B789" s="52">
        <v>45215</v>
      </c>
      <c r="C789" s="51">
        <v>2023</v>
      </c>
      <c r="D789" s="51" t="s">
        <v>16838</v>
      </c>
      <c r="E789" s="51" t="s">
        <v>16839</v>
      </c>
      <c r="F789" s="51" t="s">
        <v>20155</v>
      </c>
      <c r="G789" s="51" t="s">
        <v>20321</v>
      </c>
      <c r="H789" s="52">
        <v>45230</v>
      </c>
      <c r="I789" s="51">
        <v>0</v>
      </c>
      <c r="J789" s="363"/>
      <c r="K789" s="51">
        <v>176064</v>
      </c>
      <c r="L789" s="359" t="s">
        <v>20347</v>
      </c>
      <c r="M789" s="51">
        <v>0</v>
      </c>
      <c r="N789" s="363"/>
      <c r="O789" s="51">
        <v>0</v>
      </c>
      <c r="P789" s="364"/>
      <c r="Q789" s="51">
        <v>176064</v>
      </c>
    </row>
    <row r="790" spans="1:17" s="1" customFormat="1" ht="11.45">
      <c r="A790" s="51" t="s">
        <v>19140</v>
      </c>
      <c r="B790" s="52">
        <v>45215</v>
      </c>
      <c r="C790" s="51">
        <v>2023</v>
      </c>
      <c r="D790" s="51" t="s">
        <v>17233</v>
      </c>
      <c r="E790" s="51" t="s">
        <v>17234</v>
      </c>
      <c r="F790" s="51" t="s">
        <v>20155</v>
      </c>
      <c r="G790" s="51" t="s">
        <v>17939</v>
      </c>
      <c r="H790" s="52">
        <v>45227</v>
      </c>
      <c r="I790" s="51">
        <v>0</v>
      </c>
      <c r="J790" s="363"/>
      <c r="K790" s="51">
        <v>170496</v>
      </c>
      <c r="L790" s="359" t="s">
        <v>20346</v>
      </c>
      <c r="M790" s="51">
        <v>102144</v>
      </c>
      <c r="N790" s="359" t="s">
        <v>20346</v>
      </c>
      <c r="O790" s="51">
        <v>0</v>
      </c>
      <c r="P790" s="364"/>
      <c r="Q790" s="51">
        <v>272640</v>
      </c>
    </row>
    <row r="791" spans="1:17" s="1" customFormat="1" ht="11.45">
      <c r="A791" s="51" t="s">
        <v>19141</v>
      </c>
      <c r="B791" s="52">
        <v>45216</v>
      </c>
      <c r="C791" s="51">
        <v>2023</v>
      </c>
      <c r="D791" s="51" t="s">
        <v>16957</v>
      </c>
      <c r="E791" s="51" t="s">
        <v>16958</v>
      </c>
      <c r="F791" s="51" t="s">
        <v>20155</v>
      </c>
      <c r="G791" s="51" t="s">
        <v>20161</v>
      </c>
      <c r="H791" s="52">
        <v>45223</v>
      </c>
      <c r="I791" s="51">
        <v>40300</v>
      </c>
      <c r="J791" s="359" t="s">
        <v>20345</v>
      </c>
      <c r="K791" s="51">
        <v>0</v>
      </c>
      <c r="L791" s="363"/>
      <c r="M791" s="51">
        <v>0</v>
      </c>
      <c r="N791" s="363"/>
      <c r="O791" s="51">
        <v>0</v>
      </c>
      <c r="P791" s="364"/>
      <c r="Q791" s="51">
        <v>40300</v>
      </c>
    </row>
    <row r="792" spans="1:17" s="1" customFormat="1" ht="11.45">
      <c r="A792" s="51" t="s">
        <v>19142</v>
      </c>
      <c r="B792" s="52">
        <v>45216</v>
      </c>
      <c r="C792" s="51">
        <v>2023</v>
      </c>
      <c r="D792" s="51" t="s">
        <v>17309</v>
      </c>
      <c r="E792" s="51" t="s">
        <v>17310</v>
      </c>
      <c r="F792" s="51" t="s">
        <v>20155</v>
      </c>
      <c r="G792" s="51" t="s">
        <v>17693</v>
      </c>
      <c r="H792" s="52">
        <v>45223</v>
      </c>
      <c r="I792" s="51">
        <v>22008</v>
      </c>
      <c r="J792" s="359" t="s">
        <v>20345</v>
      </c>
      <c r="K792" s="51">
        <v>0</v>
      </c>
      <c r="L792" s="363"/>
      <c r="M792" s="51">
        <v>0</v>
      </c>
      <c r="N792" s="363"/>
      <c r="O792" s="51">
        <v>0</v>
      </c>
      <c r="P792" s="364"/>
      <c r="Q792" s="51">
        <v>22008</v>
      </c>
    </row>
    <row r="793" spans="1:17" s="1" customFormat="1" ht="11.45">
      <c r="A793" s="51" t="s">
        <v>19143</v>
      </c>
      <c r="B793" s="52">
        <v>45217</v>
      </c>
      <c r="C793" s="51">
        <v>2023</v>
      </c>
      <c r="D793" s="51" t="s">
        <v>17357</v>
      </c>
      <c r="E793" s="51" t="s">
        <v>17358</v>
      </c>
      <c r="F793" s="51" t="s">
        <v>20155</v>
      </c>
      <c r="G793" s="51" t="s">
        <v>20297</v>
      </c>
      <c r="H793" s="52">
        <v>45223</v>
      </c>
      <c r="I793" s="51">
        <v>5400</v>
      </c>
      <c r="J793" s="360">
        <v>1</v>
      </c>
      <c r="K793" s="51">
        <v>19520</v>
      </c>
      <c r="L793" s="360">
        <v>1</v>
      </c>
      <c r="M793" s="51">
        <v>2400</v>
      </c>
      <c r="N793" s="360">
        <v>1</v>
      </c>
      <c r="O793" s="51">
        <v>750</v>
      </c>
      <c r="P793" s="360">
        <v>1</v>
      </c>
      <c r="Q793" s="51">
        <v>28070</v>
      </c>
    </row>
    <row r="794" spans="1:17" s="1" customFormat="1" ht="11.45">
      <c r="A794" s="51" t="s">
        <v>19145</v>
      </c>
      <c r="B794" s="52">
        <v>45217</v>
      </c>
      <c r="C794" s="51">
        <v>2023</v>
      </c>
      <c r="D794" s="51" t="s">
        <v>17304</v>
      </c>
      <c r="E794" s="51" t="s">
        <v>17305</v>
      </c>
      <c r="F794" s="51" t="s">
        <v>20155</v>
      </c>
      <c r="G794" s="51" t="s">
        <v>17954</v>
      </c>
      <c r="H794" s="52">
        <v>45224</v>
      </c>
      <c r="I794" s="51">
        <v>0</v>
      </c>
      <c r="J794" s="363"/>
      <c r="K794" s="51">
        <v>10410.959999999999</v>
      </c>
      <c r="L794" s="360">
        <v>1</v>
      </c>
      <c r="M794" s="51">
        <v>4320</v>
      </c>
      <c r="N794" s="360">
        <v>1</v>
      </c>
      <c r="O794" s="51">
        <v>4100</v>
      </c>
      <c r="P794" s="360">
        <v>1</v>
      </c>
      <c r="Q794" s="51">
        <v>18830.96</v>
      </c>
    </row>
    <row r="795" spans="1:17" s="1" customFormat="1" ht="11.45">
      <c r="A795" s="51" t="s">
        <v>19146</v>
      </c>
      <c r="B795" s="52">
        <v>45218</v>
      </c>
      <c r="C795" s="51">
        <v>2023</v>
      </c>
      <c r="D795" s="51" t="s">
        <v>17264</v>
      </c>
      <c r="E795" s="51" t="s">
        <v>17265</v>
      </c>
      <c r="F795" s="51" t="s">
        <v>20155</v>
      </c>
      <c r="G795" s="51" t="s">
        <v>20157</v>
      </c>
      <c r="H795" s="52">
        <v>45227</v>
      </c>
      <c r="I795" s="51">
        <v>0</v>
      </c>
      <c r="J795" s="363"/>
      <c r="K795" s="51">
        <v>0</v>
      </c>
      <c r="L795" s="363"/>
      <c r="M795" s="51">
        <v>0</v>
      </c>
      <c r="N795" s="363"/>
      <c r="O795" s="51">
        <v>27500</v>
      </c>
      <c r="P795" s="360">
        <v>1</v>
      </c>
      <c r="Q795" s="51">
        <v>27500</v>
      </c>
    </row>
    <row r="796" spans="1:17" s="1" customFormat="1" ht="11.45">
      <c r="A796" s="51" t="s">
        <v>19147</v>
      </c>
      <c r="B796" s="52">
        <v>45218</v>
      </c>
      <c r="C796" s="51">
        <v>2023</v>
      </c>
      <c r="D796" s="51" t="s">
        <v>16880</v>
      </c>
      <c r="E796" s="51" t="s">
        <v>16881</v>
      </c>
      <c r="F796" s="51" t="s">
        <v>20155</v>
      </c>
      <c r="G796" s="51" t="s">
        <v>20156</v>
      </c>
      <c r="H796" s="52">
        <v>45226</v>
      </c>
      <c r="I796" s="51">
        <v>2730</v>
      </c>
      <c r="J796" s="360">
        <v>1</v>
      </c>
      <c r="K796" s="51">
        <v>17070</v>
      </c>
      <c r="L796" s="360">
        <v>1</v>
      </c>
      <c r="M796" s="51">
        <v>0</v>
      </c>
      <c r="N796" s="363"/>
      <c r="O796" s="51">
        <v>0</v>
      </c>
      <c r="P796" s="364"/>
      <c r="Q796" s="51">
        <v>19800</v>
      </c>
    </row>
    <row r="797" spans="1:17" s="1" customFormat="1" ht="11.45">
      <c r="A797" s="51" t="s">
        <v>19148</v>
      </c>
      <c r="B797" s="52">
        <v>45218</v>
      </c>
      <c r="C797" s="51">
        <v>2023</v>
      </c>
      <c r="D797" s="51" t="s">
        <v>16470</v>
      </c>
      <c r="E797" s="51" t="s">
        <v>16471</v>
      </c>
      <c r="F797" s="51" t="s">
        <v>20155</v>
      </c>
      <c r="G797" s="51" t="s">
        <v>20159</v>
      </c>
      <c r="H797" s="52">
        <v>45226</v>
      </c>
      <c r="I797" s="51">
        <v>11376</v>
      </c>
      <c r="J797" s="359" t="s">
        <v>20345</v>
      </c>
      <c r="K797" s="51">
        <v>242506</v>
      </c>
      <c r="L797" s="359" t="s">
        <v>20346</v>
      </c>
      <c r="M797" s="51">
        <v>16000</v>
      </c>
      <c r="N797" s="359" t="s">
        <v>20346</v>
      </c>
      <c r="O797" s="51">
        <v>0</v>
      </c>
      <c r="P797" s="364"/>
      <c r="Q797" s="51">
        <v>269882</v>
      </c>
    </row>
    <row r="798" spans="1:17" s="1" customFormat="1" ht="11.45">
      <c r="A798" s="51" t="s">
        <v>19149</v>
      </c>
      <c r="B798" s="52">
        <v>45218</v>
      </c>
      <c r="C798" s="51">
        <v>2023</v>
      </c>
      <c r="D798" s="51" t="s">
        <v>16444</v>
      </c>
      <c r="E798" s="51" t="s">
        <v>16445</v>
      </c>
      <c r="F798" s="51" t="s">
        <v>20155</v>
      </c>
      <c r="G798" s="51" t="s">
        <v>20173</v>
      </c>
      <c r="H798" s="52">
        <v>45226</v>
      </c>
      <c r="I798" s="51">
        <v>0</v>
      </c>
      <c r="J798" s="363"/>
      <c r="K798" s="51">
        <v>102400</v>
      </c>
      <c r="L798" s="359" t="s">
        <v>20348</v>
      </c>
      <c r="M798" s="51">
        <v>0</v>
      </c>
      <c r="N798" s="363"/>
      <c r="O798" s="51">
        <v>0</v>
      </c>
      <c r="P798" s="364"/>
      <c r="Q798" s="51">
        <v>102400</v>
      </c>
    </row>
    <row r="799" spans="1:17" s="1" customFormat="1" ht="11.45">
      <c r="A799" s="51" t="s">
        <v>19150</v>
      </c>
      <c r="B799" s="52">
        <v>45218</v>
      </c>
      <c r="C799" s="51">
        <v>2023</v>
      </c>
      <c r="D799" s="51" t="s">
        <v>16444</v>
      </c>
      <c r="E799" s="51" t="s">
        <v>16445</v>
      </c>
      <c r="F799" s="51" t="s">
        <v>20155</v>
      </c>
      <c r="G799" s="51" t="s">
        <v>20173</v>
      </c>
      <c r="H799" s="52">
        <v>45230</v>
      </c>
      <c r="I799" s="51">
        <v>0</v>
      </c>
      <c r="J799" s="363"/>
      <c r="K799" s="51">
        <v>102400</v>
      </c>
      <c r="L799" s="359" t="s">
        <v>20348</v>
      </c>
      <c r="M799" s="51">
        <v>0</v>
      </c>
      <c r="N799" s="363"/>
      <c r="O799" s="51">
        <v>0</v>
      </c>
      <c r="P799" s="364"/>
      <c r="Q799" s="51">
        <v>102400</v>
      </c>
    </row>
    <row r="800" spans="1:17" s="1" customFormat="1" ht="11.45">
      <c r="A800" s="51" t="s">
        <v>19151</v>
      </c>
      <c r="B800" s="52">
        <v>45222</v>
      </c>
      <c r="C800" s="51">
        <v>2023</v>
      </c>
      <c r="D800" s="51" t="s">
        <v>16444</v>
      </c>
      <c r="E800" s="51" t="s">
        <v>16445</v>
      </c>
      <c r="F800" s="51" t="s">
        <v>20155</v>
      </c>
      <c r="G800" s="51" t="s">
        <v>18248</v>
      </c>
      <c r="H800" s="52">
        <v>45247</v>
      </c>
      <c r="I800" s="51">
        <v>0</v>
      </c>
      <c r="J800" s="363"/>
      <c r="K800" s="51">
        <v>72000</v>
      </c>
      <c r="L800" s="359" t="s">
        <v>20346</v>
      </c>
      <c r="M800" s="51">
        <v>0</v>
      </c>
      <c r="N800" s="363"/>
      <c r="O800" s="51">
        <v>0</v>
      </c>
      <c r="P800" s="364"/>
      <c r="Q800" s="51">
        <v>72000</v>
      </c>
    </row>
    <row r="801" spans="1:17" s="1" customFormat="1" ht="11.45">
      <c r="A801" s="51" t="s">
        <v>19152</v>
      </c>
      <c r="B801" s="52">
        <v>45222</v>
      </c>
      <c r="C801" s="51">
        <v>2023</v>
      </c>
      <c r="D801" s="51" t="s">
        <v>16444</v>
      </c>
      <c r="E801" s="51" t="s">
        <v>16445</v>
      </c>
      <c r="F801" s="51" t="s">
        <v>20155</v>
      </c>
      <c r="G801" s="51" t="s">
        <v>20173</v>
      </c>
      <c r="H801" s="52">
        <v>45226</v>
      </c>
      <c r="I801" s="51">
        <v>64800</v>
      </c>
      <c r="J801" s="359" t="s">
        <v>20345</v>
      </c>
      <c r="K801" s="51">
        <v>0</v>
      </c>
      <c r="L801" s="363"/>
      <c r="M801" s="51">
        <v>0</v>
      </c>
      <c r="N801" s="363"/>
      <c r="O801" s="51">
        <v>0</v>
      </c>
      <c r="P801" s="364"/>
      <c r="Q801" s="51">
        <v>64800</v>
      </c>
    </row>
    <row r="802" spans="1:17" s="1" customFormat="1" ht="11.45">
      <c r="A802" s="51" t="s">
        <v>19153</v>
      </c>
      <c r="B802" s="52">
        <v>45222</v>
      </c>
      <c r="C802" s="51">
        <v>2023</v>
      </c>
      <c r="D802" s="51" t="s">
        <v>16444</v>
      </c>
      <c r="E802" s="51" t="s">
        <v>16445</v>
      </c>
      <c r="F802" s="51" t="s">
        <v>20155</v>
      </c>
      <c r="G802" s="51" t="s">
        <v>17965</v>
      </c>
      <c r="H802" s="52">
        <v>45229</v>
      </c>
      <c r="I802" s="51">
        <v>19200</v>
      </c>
      <c r="J802" s="359" t="s">
        <v>20345</v>
      </c>
      <c r="K802" s="51">
        <v>0</v>
      </c>
      <c r="L802" s="363"/>
      <c r="M802" s="51">
        <v>0</v>
      </c>
      <c r="N802" s="363"/>
      <c r="O802" s="51">
        <v>0</v>
      </c>
      <c r="P802" s="364"/>
      <c r="Q802" s="51">
        <v>19200</v>
      </c>
    </row>
    <row r="803" spans="1:17" s="1" customFormat="1" ht="11.45">
      <c r="A803" s="51" t="s">
        <v>19154</v>
      </c>
      <c r="B803" s="52">
        <v>45230</v>
      </c>
      <c r="C803" s="51">
        <v>2023</v>
      </c>
      <c r="D803" s="51" t="s">
        <v>17319</v>
      </c>
      <c r="E803" s="51" t="s">
        <v>17320</v>
      </c>
      <c r="F803" s="51" t="s">
        <v>20155</v>
      </c>
      <c r="G803" s="51" t="s">
        <v>17939</v>
      </c>
      <c r="H803" s="52">
        <v>45230</v>
      </c>
      <c r="I803" s="51">
        <v>0</v>
      </c>
      <c r="J803" s="363"/>
      <c r="K803" s="51">
        <v>95376</v>
      </c>
      <c r="L803" s="359" t="s">
        <v>20347</v>
      </c>
      <c r="M803" s="51">
        <v>9600</v>
      </c>
      <c r="N803" s="359" t="s">
        <v>20347</v>
      </c>
      <c r="O803" s="51">
        <v>0</v>
      </c>
      <c r="P803" s="364"/>
      <c r="Q803" s="51">
        <v>104976</v>
      </c>
    </row>
    <row r="804" spans="1:17" s="1" customFormat="1" ht="11.45">
      <c r="A804" s="51" t="s">
        <v>19155</v>
      </c>
      <c r="B804" s="52">
        <v>45226</v>
      </c>
      <c r="C804" s="51">
        <v>2023</v>
      </c>
      <c r="D804" s="51" t="s">
        <v>16384</v>
      </c>
      <c r="E804" s="51" t="s">
        <v>16385</v>
      </c>
      <c r="F804" s="51" t="s">
        <v>20155</v>
      </c>
      <c r="G804" s="51" t="s">
        <v>17949</v>
      </c>
      <c r="H804" s="52">
        <v>45237</v>
      </c>
      <c r="I804" s="51">
        <v>109632</v>
      </c>
      <c r="J804" s="359" t="s">
        <v>20345</v>
      </c>
      <c r="K804" s="51">
        <v>27840</v>
      </c>
      <c r="L804" s="359" t="s">
        <v>20346</v>
      </c>
      <c r="M804" s="51">
        <v>0</v>
      </c>
      <c r="N804" s="363"/>
      <c r="O804" s="51">
        <v>0</v>
      </c>
      <c r="P804" s="364"/>
      <c r="Q804" s="51">
        <v>137472</v>
      </c>
    </row>
    <row r="805" spans="1:17" s="1" customFormat="1" ht="11.45">
      <c r="A805" s="51" t="s">
        <v>19156</v>
      </c>
      <c r="B805" s="52">
        <v>45226</v>
      </c>
      <c r="C805" s="51">
        <v>2023</v>
      </c>
      <c r="D805" s="51" t="s">
        <v>16904</v>
      </c>
      <c r="E805" s="51" t="s">
        <v>16905</v>
      </c>
      <c r="F805" s="51" t="s">
        <v>20155</v>
      </c>
      <c r="G805" s="51" t="s">
        <v>20160</v>
      </c>
      <c r="H805" s="52">
        <v>45237</v>
      </c>
      <c r="I805" s="51">
        <v>0</v>
      </c>
      <c r="J805" s="363"/>
      <c r="K805" s="51">
        <v>19728</v>
      </c>
      <c r="L805" s="360">
        <v>1</v>
      </c>
      <c r="M805" s="51">
        <v>7500</v>
      </c>
      <c r="N805" s="360">
        <v>1</v>
      </c>
      <c r="O805" s="51">
        <v>0</v>
      </c>
      <c r="P805" s="364"/>
      <c r="Q805" s="51">
        <v>27228</v>
      </c>
    </row>
    <row r="806" spans="1:17" s="1" customFormat="1" ht="11.45">
      <c r="A806" s="51" t="s">
        <v>19157</v>
      </c>
      <c r="B806" s="52">
        <v>45226</v>
      </c>
      <c r="C806" s="51">
        <v>2023</v>
      </c>
      <c r="D806" s="51" t="s">
        <v>17309</v>
      </c>
      <c r="E806" s="51" t="s">
        <v>17310</v>
      </c>
      <c r="F806" s="51" t="s">
        <v>20155</v>
      </c>
      <c r="G806" s="51" t="s">
        <v>20321</v>
      </c>
      <c r="H806" s="52">
        <v>45238</v>
      </c>
      <c r="I806" s="51">
        <v>0</v>
      </c>
      <c r="J806" s="363"/>
      <c r="K806" s="51">
        <v>19200</v>
      </c>
      <c r="L806" s="359" t="s">
        <v>20347</v>
      </c>
      <c r="M806" s="51">
        <v>0</v>
      </c>
      <c r="N806" s="363"/>
      <c r="O806" s="51">
        <v>0</v>
      </c>
      <c r="P806" s="364"/>
      <c r="Q806" s="51">
        <v>19200</v>
      </c>
    </row>
    <row r="807" spans="1:17" s="1" customFormat="1" ht="11.45">
      <c r="A807" s="51" t="s">
        <v>19158</v>
      </c>
      <c r="B807" s="52">
        <v>45227</v>
      </c>
      <c r="C807" s="51">
        <v>2023</v>
      </c>
      <c r="D807" s="51" t="s">
        <v>17132</v>
      </c>
      <c r="E807" s="51" t="s">
        <v>17133</v>
      </c>
      <c r="F807" s="51" t="s">
        <v>20155</v>
      </c>
      <c r="G807" s="51" t="s">
        <v>17939</v>
      </c>
      <c r="H807" s="52">
        <v>45268</v>
      </c>
      <c r="I807" s="51">
        <v>72000</v>
      </c>
      <c r="J807" s="359" t="s">
        <v>20345</v>
      </c>
      <c r="K807" s="51">
        <v>0</v>
      </c>
      <c r="L807" s="363"/>
      <c r="M807" s="51">
        <v>0</v>
      </c>
      <c r="N807" s="363"/>
      <c r="O807" s="51">
        <v>0</v>
      </c>
      <c r="P807" s="364"/>
      <c r="Q807" s="51">
        <v>72000</v>
      </c>
    </row>
    <row r="808" spans="1:17" s="1" customFormat="1" ht="11.45">
      <c r="A808" s="51" t="s">
        <v>19159</v>
      </c>
      <c r="B808" s="52">
        <v>45228</v>
      </c>
      <c r="C808" s="51">
        <v>2023</v>
      </c>
      <c r="D808" s="51" t="s">
        <v>16783</v>
      </c>
      <c r="E808" s="51" t="s">
        <v>16784</v>
      </c>
      <c r="F808" s="51" t="s">
        <v>20155</v>
      </c>
      <c r="G808" s="51" t="s">
        <v>17939</v>
      </c>
      <c r="H808" s="52">
        <v>45237</v>
      </c>
      <c r="I808" s="51">
        <v>108000</v>
      </c>
      <c r="J808" s="359" t="s">
        <v>20345</v>
      </c>
      <c r="K808" s="51">
        <v>104800</v>
      </c>
      <c r="L808" s="359" t="s">
        <v>20345</v>
      </c>
      <c r="M808" s="51">
        <v>72600</v>
      </c>
      <c r="N808" s="359" t="s">
        <v>20345</v>
      </c>
      <c r="O808" s="51">
        <v>0</v>
      </c>
      <c r="P808" s="364"/>
      <c r="Q808" s="51">
        <v>285400</v>
      </c>
    </row>
    <row r="809" spans="1:17" s="1" customFormat="1" ht="11.45">
      <c r="A809" s="51" t="s">
        <v>19160</v>
      </c>
      <c r="B809" s="52">
        <v>45232</v>
      </c>
      <c r="C809" s="51">
        <v>2023</v>
      </c>
      <c r="D809" s="51" t="s">
        <v>16444</v>
      </c>
      <c r="E809" s="51" t="s">
        <v>16445</v>
      </c>
      <c r="F809" s="51" t="s">
        <v>20155</v>
      </c>
      <c r="G809" s="51" t="s">
        <v>20173</v>
      </c>
      <c r="H809" s="52">
        <v>45238</v>
      </c>
      <c r="I809" s="51">
        <v>64800</v>
      </c>
      <c r="J809" s="359" t="s">
        <v>20345</v>
      </c>
      <c r="K809" s="51">
        <v>0</v>
      </c>
      <c r="L809" s="363"/>
      <c r="M809" s="51">
        <v>0</v>
      </c>
      <c r="N809" s="363"/>
      <c r="O809" s="51">
        <v>0</v>
      </c>
      <c r="P809" s="364"/>
      <c r="Q809" s="51">
        <v>64800</v>
      </c>
    </row>
    <row r="810" spans="1:17" s="1" customFormat="1" ht="11.45">
      <c r="A810" s="51" t="s">
        <v>19161</v>
      </c>
      <c r="B810" s="52">
        <v>45233</v>
      </c>
      <c r="C810" s="51">
        <v>2023</v>
      </c>
      <c r="D810" s="51" t="s">
        <v>16444</v>
      </c>
      <c r="E810" s="51" t="s">
        <v>16445</v>
      </c>
      <c r="F810" s="51" t="s">
        <v>20155</v>
      </c>
      <c r="G810" s="51" t="s">
        <v>18248</v>
      </c>
      <c r="H810" s="52">
        <v>45243</v>
      </c>
      <c r="I810" s="51">
        <v>19200</v>
      </c>
      <c r="J810" s="359" t="s">
        <v>20345</v>
      </c>
      <c r="K810" s="51">
        <v>0</v>
      </c>
      <c r="L810" s="363"/>
      <c r="M810" s="51">
        <v>0</v>
      </c>
      <c r="N810" s="363"/>
      <c r="O810" s="51">
        <v>0</v>
      </c>
      <c r="P810" s="364"/>
      <c r="Q810" s="51">
        <v>19200</v>
      </c>
    </row>
    <row r="811" spans="1:17" s="1" customFormat="1" ht="11.45">
      <c r="A811" s="51" t="s">
        <v>19162</v>
      </c>
      <c r="B811" s="52">
        <v>45236</v>
      </c>
      <c r="C811" s="51">
        <v>2023</v>
      </c>
      <c r="D811" s="51" t="s">
        <v>16957</v>
      </c>
      <c r="E811" s="51" t="s">
        <v>16958</v>
      </c>
      <c r="F811" s="51" t="s">
        <v>20155</v>
      </c>
      <c r="G811" s="51" t="s">
        <v>20161</v>
      </c>
      <c r="H811" s="52">
        <v>45240</v>
      </c>
      <c r="I811" s="51">
        <v>40300</v>
      </c>
      <c r="J811" s="359" t="s">
        <v>20345</v>
      </c>
      <c r="K811" s="51">
        <v>0</v>
      </c>
      <c r="L811" s="363"/>
      <c r="M811" s="51">
        <v>0</v>
      </c>
      <c r="N811" s="363"/>
      <c r="O811" s="51">
        <v>0</v>
      </c>
      <c r="P811" s="364"/>
      <c r="Q811" s="51">
        <v>40300</v>
      </c>
    </row>
    <row r="812" spans="1:17" s="1" customFormat="1" ht="11.45">
      <c r="A812" s="51" t="s">
        <v>19163</v>
      </c>
      <c r="B812" s="52">
        <v>45236</v>
      </c>
      <c r="C812" s="51">
        <v>2023</v>
      </c>
      <c r="D812" s="51" t="s">
        <v>17209</v>
      </c>
      <c r="E812" s="51" t="s">
        <v>17210</v>
      </c>
      <c r="F812" s="51" t="s">
        <v>20155</v>
      </c>
      <c r="G812" s="51" t="s">
        <v>20168</v>
      </c>
      <c r="H812" s="52">
        <v>45240</v>
      </c>
      <c r="I812" s="51">
        <v>0</v>
      </c>
      <c r="J812" s="363"/>
      <c r="K812" s="51">
        <v>16440</v>
      </c>
      <c r="L812" s="360">
        <v>1</v>
      </c>
      <c r="M812" s="51">
        <v>7200</v>
      </c>
      <c r="N812" s="360">
        <v>1</v>
      </c>
      <c r="O812" s="51">
        <v>1500</v>
      </c>
      <c r="P812" s="360">
        <v>1</v>
      </c>
      <c r="Q812" s="51">
        <v>25140</v>
      </c>
    </row>
    <row r="813" spans="1:17" s="1" customFormat="1" ht="11.45">
      <c r="A813" s="51" t="s">
        <v>19164</v>
      </c>
      <c r="B813" s="52">
        <v>45236</v>
      </c>
      <c r="C813" s="51">
        <v>2023</v>
      </c>
      <c r="D813" s="51" t="s">
        <v>17309</v>
      </c>
      <c r="E813" s="51" t="s">
        <v>17310</v>
      </c>
      <c r="F813" s="51" t="s">
        <v>20155</v>
      </c>
      <c r="G813" s="51" t="s">
        <v>17854</v>
      </c>
      <c r="H813" s="52">
        <v>45244</v>
      </c>
      <c r="I813" s="51">
        <v>41500</v>
      </c>
      <c r="J813" s="359" t="s">
        <v>20345</v>
      </c>
      <c r="K813" s="51">
        <v>0</v>
      </c>
      <c r="L813" s="363"/>
      <c r="M813" s="51">
        <v>0</v>
      </c>
      <c r="N813" s="363"/>
      <c r="O813" s="51">
        <v>0</v>
      </c>
      <c r="P813" s="364"/>
      <c r="Q813" s="51">
        <v>41500</v>
      </c>
    </row>
    <row r="814" spans="1:17" s="1" customFormat="1" ht="11.45">
      <c r="A814" s="51" t="s">
        <v>19165</v>
      </c>
      <c r="B814" s="52">
        <v>45236</v>
      </c>
      <c r="C814" s="51">
        <v>2023</v>
      </c>
      <c r="D814" s="51" t="s">
        <v>16838</v>
      </c>
      <c r="E814" s="51" t="s">
        <v>16839</v>
      </c>
      <c r="F814" s="51" t="s">
        <v>20155</v>
      </c>
      <c r="G814" s="51" t="s">
        <v>17949</v>
      </c>
      <c r="H814" s="52">
        <v>45254</v>
      </c>
      <c r="I814" s="51">
        <v>22008</v>
      </c>
      <c r="J814" s="359" t="s">
        <v>20345</v>
      </c>
      <c r="K814" s="51">
        <v>0</v>
      </c>
      <c r="L814" s="363"/>
      <c r="M814" s="51">
        <v>28000</v>
      </c>
      <c r="N814" s="359" t="s">
        <v>20347</v>
      </c>
      <c r="O814" s="51">
        <v>0</v>
      </c>
      <c r="P814" s="364"/>
      <c r="Q814" s="51">
        <v>50008</v>
      </c>
    </row>
    <row r="815" spans="1:17" s="1" customFormat="1" ht="11.45">
      <c r="A815" s="51" t="s">
        <v>19166</v>
      </c>
      <c r="B815" s="52">
        <v>45237</v>
      </c>
      <c r="C815" s="51">
        <v>2023</v>
      </c>
      <c r="D815" s="51" t="s">
        <v>16838</v>
      </c>
      <c r="E815" s="51" t="s">
        <v>16839</v>
      </c>
      <c r="F815" s="51" t="s">
        <v>20155</v>
      </c>
      <c r="G815" s="51" t="s">
        <v>20321</v>
      </c>
      <c r="H815" s="52">
        <v>45244</v>
      </c>
      <c r="I815" s="51">
        <v>0</v>
      </c>
      <c r="J815" s="363"/>
      <c r="K815" s="51">
        <v>154056</v>
      </c>
      <c r="L815" s="359" t="s">
        <v>20347</v>
      </c>
      <c r="M815" s="51">
        <v>0</v>
      </c>
      <c r="N815" s="363"/>
      <c r="O815" s="51">
        <v>0</v>
      </c>
      <c r="P815" s="364"/>
      <c r="Q815" s="51">
        <v>154056</v>
      </c>
    </row>
    <row r="816" spans="1:17" s="1" customFormat="1" ht="11.45">
      <c r="A816" s="51" t="s">
        <v>19167</v>
      </c>
      <c r="B816" s="52">
        <v>45237</v>
      </c>
      <c r="C816" s="51">
        <v>2023</v>
      </c>
      <c r="D816" s="51" t="s">
        <v>16384</v>
      </c>
      <c r="E816" s="51" t="s">
        <v>16385</v>
      </c>
      <c r="F816" s="51" t="s">
        <v>20155</v>
      </c>
      <c r="G816" s="51" t="s">
        <v>17965</v>
      </c>
      <c r="H816" s="52" t="s">
        <v>20362</v>
      </c>
      <c r="I816" s="51">
        <v>96000</v>
      </c>
      <c r="J816" s="359" t="s">
        <v>20345</v>
      </c>
      <c r="K816" s="51">
        <v>0</v>
      </c>
      <c r="L816" s="363"/>
      <c r="M816" s="51">
        <v>0</v>
      </c>
      <c r="N816" s="363"/>
      <c r="O816" s="51">
        <v>0</v>
      </c>
      <c r="P816" s="364"/>
      <c r="Q816" s="51">
        <v>96000</v>
      </c>
    </row>
    <row r="817" spans="1:17" s="1" customFormat="1" ht="11.45">
      <c r="A817" s="51" t="s">
        <v>19168</v>
      </c>
      <c r="B817" s="52">
        <v>45237</v>
      </c>
      <c r="C817" s="51">
        <v>2023</v>
      </c>
      <c r="D817" s="51" t="s">
        <v>16384</v>
      </c>
      <c r="E817" s="51" t="s">
        <v>16385</v>
      </c>
      <c r="F817" s="51" t="s">
        <v>20155</v>
      </c>
      <c r="G817" s="51" t="s">
        <v>17777</v>
      </c>
      <c r="H817" s="52">
        <v>45245</v>
      </c>
      <c r="I817" s="51">
        <v>0</v>
      </c>
      <c r="J817" s="363"/>
      <c r="K817" s="51">
        <v>22800</v>
      </c>
      <c r="L817" s="359" t="s">
        <v>20348</v>
      </c>
      <c r="M817" s="51">
        <v>84000</v>
      </c>
      <c r="N817" s="359" t="s">
        <v>20347</v>
      </c>
      <c r="O817" s="51">
        <v>0</v>
      </c>
      <c r="P817" s="364"/>
      <c r="Q817" s="51">
        <v>106800</v>
      </c>
    </row>
    <row r="818" spans="1:17" s="1" customFormat="1" ht="11.45">
      <c r="A818" s="51" t="s">
        <v>19169</v>
      </c>
      <c r="B818" s="52">
        <v>45240</v>
      </c>
      <c r="C818" s="51">
        <v>2023</v>
      </c>
      <c r="D818" s="51" t="s">
        <v>17342</v>
      </c>
      <c r="E818" s="51" t="s">
        <v>17343</v>
      </c>
      <c r="F818" s="51" t="s">
        <v>20155</v>
      </c>
      <c r="G818" s="51" t="s">
        <v>16394</v>
      </c>
      <c r="H818" s="52">
        <v>45243</v>
      </c>
      <c r="I818" s="51">
        <v>0</v>
      </c>
      <c r="J818" s="363"/>
      <c r="K818" s="51">
        <v>17472</v>
      </c>
      <c r="L818" s="360">
        <v>1</v>
      </c>
      <c r="M818" s="51">
        <v>4800</v>
      </c>
      <c r="N818" s="360">
        <v>1</v>
      </c>
      <c r="O818" s="51">
        <v>910</v>
      </c>
      <c r="P818" s="360">
        <v>1</v>
      </c>
      <c r="Q818" s="51">
        <v>23182</v>
      </c>
    </row>
    <row r="819" spans="1:17" s="1" customFormat="1" ht="11.45">
      <c r="A819" s="51" t="s">
        <v>19170</v>
      </c>
      <c r="B819" s="52">
        <v>45240</v>
      </c>
      <c r="C819" s="51">
        <v>2023</v>
      </c>
      <c r="D819" s="51" t="s">
        <v>17342</v>
      </c>
      <c r="E819" s="51" t="s">
        <v>17343</v>
      </c>
      <c r="F819" s="51" t="s">
        <v>20155</v>
      </c>
      <c r="G819" s="51" t="s">
        <v>16394</v>
      </c>
      <c r="H819" s="52">
        <v>45243</v>
      </c>
      <c r="I819" s="51">
        <v>2880</v>
      </c>
      <c r="J819" s="360">
        <v>1</v>
      </c>
      <c r="K819" s="51">
        <v>12048</v>
      </c>
      <c r="L819" s="360">
        <v>1</v>
      </c>
      <c r="M819" s="51">
        <v>2400</v>
      </c>
      <c r="N819" s="360">
        <v>1</v>
      </c>
      <c r="O819" s="51">
        <v>3360</v>
      </c>
      <c r="P819" s="360">
        <v>1</v>
      </c>
      <c r="Q819" s="51">
        <v>20688</v>
      </c>
    </row>
    <row r="820" spans="1:17" s="1" customFormat="1" ht="11.45">
      <c r="A820" s="51" t="s">
        <v>19171</v>
      </c>
      <c r="B820" s="52">
        <v>45240</v>
      </c>
      <c r="C820" s="51">
        <v>2023</v>
      </c>
      <c r="D820" s="51" t="s">
        <v>16444</v>
      </c>
      <c r="E820" s="51" t="s">
        <v>16445</v>
      </c>
      <c r="F820" s="51" t="s">
        <v>20155</v>
      </c>
      <c r="G820" s="51" t="s">
        <v>18248</v>
      </c>
      <c r="H820" s="52">
        <v>45245</v>
      </c>
      <c r="I820" s="51">
        <v>19200</v>
      </c>
      <c r="J820" s="359" t="s">
        <v>20345</v>
      </c>
      <c r="K820" s="51">
        <v>0</v>
      </c>
      <c r="L820" s="363"/>
      <c r="M820" s="51">
        <v>0</v>
      </c>
      <c r="N820" s="363"/>
      <c r="O820" s="51">
        <v>0</v>
      </c>
      <c r="P820" s="364"/>
      <c r="Q820" s="51">
        <v>19200</v>
      </c>
    </row>
    <row r="821" spans="1:17" s="1" customFormat="1" ht="11.45">
      <c r="A821" s="51" t="s">
        <v>19172</v>
      </c>
      <c r="B821" s="52" t="s">
        <v>20363</v>
      </c>
      <c r="C821" s="51">
        <v>2023</v>
      </c>
      <c r="D821" s="51" t="s">
        <v>17342</v>
      </c>
      <c r="E821" s="51" t="s">
        <v>17343</v>
      </c>
      <c r="F821" s="51" t="s">
        <v>20155</v>
      </c>
      <c r="G821" s="51" t="s">
        <v>16394</v>
      </c>
      <c r="H821" s="52">
        <v>45250</v>
      </c>
      <c r="I821" s="51">
        <v>1920</v>
      </c>
      <c r="J821" s="360">
        <v>1</v>
      </c>
      <c r="K821" s="51">
        <v>16008</v>
      </c>
      <c r="L821" s="360">
        <v>1</v>
      </c>
      <c r="M821" s="51">
        <v>4800</v>
      </c>
      <c r="N821" s="360">
        <v>1</v>
      </c>
      <c r="O821" s="51">
        <v>1620</v>
      </c>
      <c r="P821" s="360">
        <v>1</v>
      </c>
      <c r="Q821" s="51">
        <v>24348</v>
      </c>
    </row>
    <row r="822" spans="1:17" s="1" customFormat="1" ht="11.45">
      <c r="A822" s="51" t="s">
        <v>19173</v>
      </c>
      <c r="B822" s="52">
        <v>45245</v>
      </c>
      <c r="C822" s="51">
        <v>2023</v>
      </c>
      <c r="D822" s="51" t="s">
        <v>17342</v>
      </c>
      <c r="E822" s="51" t="s">
        <v>17343</v>
      </c>
      <c r="F822" s="51" t="s">
        <v>20155</v>
      </c>
      <c r="G822" s="51" t="s">
        <v>16394</v>
      </c>
      <c r="H822" s="52">
        <v>45247</v>
      </c>
      <c r="I822" s="51">
        <v>3840</v>
      </c>
      <c r="J822" s="360">
        <v>1</v>
      </c>
      <c r="K822" s="51">
        <v>35352</v>
      </c>
      <c r="L822" s="360">
        <v>1</v>
      </c>
      <c r="M822" s="51">
        <v>8400</v>
      </c>
      <c r="N822" s="360">
        <v>1</v>
      </c>
      <c r="O822" s="51">
        <v>1820</v>
      </c>
      <c r="P822" s="360">
        <v>1</v>
      </c>
      <c r="Q822" s="51">
        <v>49412</v>
      </c>
    </row>
    <row r="823" spans="1:17" s="1" customFormat="1" ht="11.45">
      <c r="A823" s="51" t="s">
        <v>19174</v>
      </c>
      <c r="B823" s="52">
        <v>45245</v>
      </c>
      <c r="C823" s="51">
        <v>2023</v>
      </c>
      <c r="D823" s="51" t="s">
        <v>17342</v>
      </c>
      <c r="E823" s="51" t="s">
        <v>17343</v>
      </c>
      <c r="F823" s="51" t="s">
        <v>20155</v>
      </c>
      <c r="G823" s="51" t="s">
        <v>16394</v>
      </c>
      <c r="H823" s="52">
        <v>45250</v>
      </c>
      <c r="I823" s="51">
        <v>0</v>
      </c>
      <c r="J823" s="363"/>
      <c r="K823" s="51">
        <v>20688</v>
      </c>
      <c r="L823" s="360">
        <v>1</v>
      </c>
      <c r="M823" s="51">
        <v>1200</v>
      </c>
      <c r="N823" s="360">
        <v>1</v>
      </c>
      <c r="O823" s="51">
        <v>0</v>
      </c>
      <c r="P823" s="364"/>
      <c r="Q823" s="51">
        <v>21888</v>
      </c>
    </row>
    <row r="824" spans="1:17" s="1" customFormat="1" ht="11.45">
      <c r="A824" s="51" t="s">
        <v>19175</v>
      </c>
      <c r="B824" s="52">
        <v>45247</v>
      </c>
      <c r="C824" s="51">
        <v>2023</v>
      </c>
      <c r="D824" s="51" t="s">
        <v>17309</v>
      </c>
      <c r="E824" s="51" t="s">
        <v>17310</v>
      </c>
      <c r="F824" s="51" t="s">
        <v>20155</v>
      </c>
      <c r="G824" s="51" t="s">
        <v>17261</v>
      </c>
      <c r="H824" s="52">
        <v>45254</v>
      </c>
      <c r="I824" s="51">
        <v>0</v>
      </c>
      <c r="J824" s="363"/>
      <c r="K824" s="51">
        <v>0</v>
      </c>
      <c r="L824" s="363"/>
      <c r="M824" s="51">
        <v>104000</v>
      </c>
      <c r="N824" s="359" t="s">
        <v>20347</v>
      </c>
      <c r="O824" s="51">
        <v>0</v>
      </c>
      <c r="P824" s="364"/>
      <c r="Q824" s="51">
        <v>104000</v>
      </c>
    </row>
    <row r="825" spans="1:17" s="1" customFormat="1" ht="11.45">
      <c r="A825" s="51" t="s">
        <v>19176</v>
      </c>
      <c r="B825" s="52">
        <v>45247</v>
      </c>
      <c r="C825" s="51">
        <v>2023</v>
      </c>
      <c r="D825" s="51" t="s">
        <v>16838</v>
      </c>
      <c r="E825" s="51" t="s">
        <v>16839</v>
      </c>
      <c r="F825" s="51" t="s">
        <v>20155</v>
      </c>
      <c r="G825" s="51" t="s">
        <v>17771</v>
      </c>
      <c r="H825" s="52">
        <v>45257</v>
      </c>
      <c r="I825" s="51">
        <v>12000</v>
      </c>
      <c r="J825" s="359" t="s">
        <v>20345</v>
      </c>
      <c r="K825" s="51">
        <v>43680</v>
      </c>
      <c r="L825" s="359" t="s">
        <v>20348</v>
      </c>
      <c r="M825" s="51">
        <v>84000</v>
      </c>
      <c r="N825" s="359" t="s">
        <v>20347</v>
      </c>
      <c r="O825" s="51">
        <v>0</v>
      </c>
      <c r="P825" s="364"/>
      <c r="Q825" s="51">
        <v>139680</v>
      </c>
    </row>
    <row r="826" spans="1:17" s="1" customFormat="1" ht="11.45">
      <c r="A826" s="51" t="s">
        <v>19177</v>
      </c>
      <c r="B826" s="52">
        <v>45247</v>
      </c>
      <c r="C826" s="51">
        <v>2023</v>
      </c>
      <c r="D826" s="51" t="s">
        <v>17309</v>
      </c>
      <c r="E826" s="51" t="s">
        <v>17310</v>
      </c>
      <c r="F826" s="51" t="s">
        <v>20155</v>
      </c>
      <c r="G826" s="51" t="s">
        <v>20321</v>
      </c>
      <c r="H826" s="52">
        <v>45257</v>
      </c>
      <c r="I826" s="51">
        <v>280080</v>
      </c>
      <c r="J826" s="359" t="s">
        <v>20345</v>
      </c>
      <c r="K826" s="51">
        <v>0</v>
      </c>
      <c r="L826" s="363"/>
      <c r="M826" s="51">
        <v>0</v>
      </c>
      <c r="N826" s="363"/>
      <c r="O826" s="51">
        <v>0</v>
      </c>
      <c r="P826" s="364"/>
      <c r="Q826" s="51">
        <v>280080</v>
      </c>
    </row>
    <row r="827" spans="1:17" s="1" customFormat="1" ht="11.45">
      <c r="A827" s="51" t="s">
        <v>19178</v>
      </c>
      <c r="B827" s="52">
        <v>45250</v>
      </c>
      <c r="C827" s="51">
        <v>2023</v>
      </c>
      <c r="D827" s="51" t="s">
        <v>17259</v>
      </c>
      <c r="E827" s="51" t="s">
        <v>17260</v>
      </c>
      <c r="F827" s="51" t="s">
        <v>20155</v>
      </c>
      <c r="G827" s="51" t="s">
        <v>17261</v>
      </c>
      <c r="H827" s="52">
        <v>45259</v>
      </c>
      <c r="I827" s="51">
        <v>0</v>
      </c>
      <c r="J827" s="363"/>
      <c r="K827" s="51">
        <v>21600</v>
      </c>
      <c r="L827" s="359" t="s">
        <v>20348</v>
      </c>
      <c r="M827" s="51">
        <v>0</v>
      </c>
      <c r="N827" s="363"/>
      <c r="O827" s="51">
        <v>0</v>
      </c>
      <c r="P827" s="364"/>
      <c r="Q827" s="51">
        <v>21600</v>
      </c>
    </row>
    <row r="828" spans="1:17" s="1" customFormat="1" ht="11.45">
      <c r="A828" s="51" t="s">
        <v>19179</v>
      </c>
      <c r="B828" s="52">
        <v>45250</v>
      </c>
      <c r="C828" s="51">
        <v>2023</v>
      </c>
      <c r="D828" s="51" t="s">
        <v>17017</v>
      </c>
      <c r="E828" s="51" t="s">
        <v>17018</v>
      </c>
      <c r="F828" s="51" t="s">
        <v>20155</v>
      </c>
      <c r="G828" s="51" t="s">
        <v>20364</v>
      </c>
      <c r="H828" s="52">
        <v>45254</v>
      </c>
      <c r="I828" s="51">
        <v>0</v>
      </c>
      <c r="J828" s="363"/>
      <c r="K828" s="51">
        <v>15000</v>
      </c>
      <c r="L828" s="360">
        <v>1</v>
      </c>
      <c r="M828" s="51">
        <v>0</v>
      </c>
      <c r="N828" s="363"/>
      <c r="O828" s="51">
        <v>0</v>
      </c>
      <c r="P828" s="364"/>
      <c r="Q828" s="51">
        <v>15000</v>
      </c>
    </row>
    <row r="829" spans="1:17" s="1" customFormat="1" ht="11.45">
      <c r="A829" s="51" t="s">
        <v>19180</v>
      </c>
      <c r="B829" s="52">
        <v>45250</v>
      </c>
      <c r="C829" s="51">
        <v>2023</v>
      </c>
      <c r="D829" s="51" t="s">
        <v>17304</v>
      </c>
      <c r="E829" s="51" t="s">
        <v>17305</v>
      </c>
      <c r="F829" s="51" t="s">
        <v>20155</v>
      </c>
      <c r="G829" s="51" t="s">
        <v>17954</v>
      </c>
      <c r="H829" s="52">
        <v>45259</v>
      </c>
      <c r="I829" s="51">
        <v>0</v>
      </c>
      <c r="J829" s="363"/>
      <c r="K829" s="51">
        <v>9741.2800000000007</v>
      </c>
      <c r="L829" s="360">
        <v>1</v>
      </c>
      <c r="M829" s="51">
        <v>0</v>
      </c>
      <c r="N829" s="363"/>
      <c r="O829" s="51">
        <v>1900</v>
      </c>
      <c r="P829" s="360">
        <v>1</v>
      </c>
      <c r="Q829" s="51">
        <v>11641.28</v>
      </c>
    </row>
    <row r="830" spans="1:17" s="1" customFormat="1" ht="11.45">
      <c r="A830" s="51" t="s">
        <v>19181</v>
      </c>
      <c r="B830" s="52">
        <v>45251</v>
      </c>
      <c r="C830" s="51">
        <v>2023</v>
      </c>
      <c r="D830" s="51" t="s">
        <v>16444</v>
      </c>
      <c r="E830" s="51" t="s">
        <v>16445</v>
      </c>
      <c r="F830" s="51" t="s">
        <v>20155</v>
      </c>
      <c r="G830" s="51" t="s">
        <v>17693</v>
      </c>
      <c r="H830" s="52">
        <v>45275</v>
      </c>
      <c r="I830" s="51">
        <v>20750</v>
      </c>
      <c r="J830" s="359" t="s">
        <v>20345</v>
      </c>
      <c r="K830" s="51">
        <v>0</v>
      </c>
      <c r="L830" s="363"/>
      <c r="M830" s="51">
        <v>0</v>
      </c>
      <c r="N830" s="363"/>
      <c r="O830" s="51">
        <v>0</v>
      </c>
      <c r="P830" s="364"/>
      <c r="Q830" s="51">
        <v>20750</v>
      </c>
    </row>
    <row r="831" spans="1:17" s="1" customFormat="1" ht="11.45">
      <c r="A831" s="51" t="s">
        <v>19182</v>
      </c>
      <c r="B831" s="52">
        <v>45251</v>
      </c>
      <c r="C831" s="51">
        <v>2023</v>
      </c>
      <c r="D831" s="51" t="s">
        <v>16384</v>
      </c>
      <c r="E831" s="51" t="s">
        <v>16385</v>
      </c>
      <c r="F831" s="51" t="s">
        <v>20155</v>
      </c>
      <c r="G831" s="51" t="s">
        <v>17777</v>
      </c>
      <c r="H831" s="52">
        <v>45254</v>
      </c>
      <c r="I831" s="51">
        <v>9600</v>
      </c>
      <c r="J831" s="359" t="s">
        <v>20345</v>
      </c>
      <c r="K831" s="51">
        <v>18240</v>
      </c>
      <c r="L831" s="359" t="s">
        <v>20348</v>
      </c>
      <c r="M831" s="51">
        <v>0</v>
      </c>
      <c r="N831" s="363"/>
      <c r="O831" s="51">
        <v>0</v>
      </c>
      <c r="P831" s="364"/>
      <c r="Q831" s="51">
        <v>27840</v>
      </c>
    </row>
    <row r="832" spans="1:17" s="1" customFormat="1" ht="11.45">
      <c r="A832" s="51" t="s">
        <v>19183</v>
      </c>
      <c r="B832" s="52">
        <v>45251</v>
      </c>
      <c r="C832" s="51">
        <v>2023</v>
      </c>
      <c r="D832" s="51" t="s">
        <v>16384</v>
      </c>
      <c r="E832" s="51" t="s">
        <v>16385</v>
      </c>
      <c r="F832" s="51" t="s">
        <v>20155</v>
      </c>
      <c r="G832" s="51" t="s">
        <v>17949</v>
      </c>
      <c r="H832" s="52">
        <v>45259</v>
      </c>
      <c r="I832" s="51">
        <v>153240</v>
      </c>
      <c r="J832" s="359" t="s">
        <v>20345</v>
      </c>
      <c r="K832" s="51">
        <v>22200</v>
      </c>
      <c r="L832" s="359" t="s">
        <v>20346</v>
      </c>
      <c r="M832" s="51">
        <v>56000</v>
      </c>
      <c r="N832" s="359" t="s">
        <v>20347</v>
      </c>
      <c r="O832" s="51">
        <v>0</v>
      </c>
      <c r="P832" s="364"/>
      <c r="Q832" s="51">
        <v>231440</v>
      </c>
    </row>
    <row r="833" spans="1:17" s="1" customFormat="1" ht="11.45">
      <c r="A833" s="51" t="s">
        <v>19184</v>
      </c>
      <c r="B833" s="52">
        <v>45251</v>
      </c>
      <c r="C833" s="51">
        <v>2023</v>
      </c>
      <c r="D833" s="51" t="s">
        <v>17362</v>
      </c>
      <c r="E833" s="51" t="s">
        <v>17363</v>
      </c>
      <c r="F833" s="51" t="s">
        <v>20155</v>
      </c>
      <c r="G833" s="51" t="s">
        <v>17693</v>
      </c>
      <c r="H833" s="52">
        <v>45258</v>
      </c>
      <c r="I833" s="51">
        <v>22000</v>
      </c>
      <c r="J833" s="359" t="s">
        <v>20345</v>
      </c>
      <c r="K833" s="51">
        <v>0</v>
      </c>
      <c r="L833" s="363"/>
      <c r="M833" s="51">
        <v>0</v>
      </c>
      <c r="N833" s="363"/>
      <c r="O833" s="51">
        <v>0</v>
      </c>
      <c r="P833" s="364"/>
      <c r="Q833" s="51">
        <v>22000</v>
      </c>
    </row>
    <row r="834" spans="1:17" s="1" customFormat="1" ht="11.45">
      <c r="A834" s="51" t="s">
        <v>19185</v>
      </c>
      <c r="B834" s="52">
        <v>45251</v>
      </c>
      <c r="C834" s="51">
        <v>2023</v>
      </c>
      <c r="D834" s="51" t="s">
        <v>17321</v>
      </c>
      <c r="E834" s="51" t="s">
        <v>17322</v>
      </c>
      <c r="F834" s="51" t="s">
        <v>20155</v>
      </c>
      <c r="G834" s="51" t="s">
        <v>17939</v>
      </c>
      <c r="H834" s="52">
        <v>45252</v>
      </c>
      <c r="I834" s="51">
        <v>0</v>
      </c>
      <c r="J834" s="363"/>
      <c r="K834" s="51">
        <v>0</v>
      </c>
      <c r="L834" s="363"/>
      <c r="M834" s="51">
        <v>0</v>
      </c>
      <c r="N834" s="363"/>
      <c r="O834" s="51">
        <v>11250</v>
      </c>
      <c r="P834" s="360">
        <v>1</v>
      </c>
      <c r="Q834" s="51">
        <v>11250</v>
      </c>
    </row>
    <row r="835" spans="1:17" s="1" customFormat="1" ht="11.45">
      <c r="A835" s="51" t="s">
        <v>19186</v>
      </c>
      <c r="B835" s="52">
        <v>45251</v>
      </c>
      <c r="C835" s="51">
        <v>2023</v>
      </c>
      <c r="D835" s="51" t="s">
        <v>16838</v>
      </c>
      <c r="E835" s="51" t="s">
        <v>16839</v>
      </c>
      <c r="F835" s="51" t="s">
        <v>20155</v>
      </c>
      <c r="G835" s="51" t="s">
        <v>17949</v>
      </c>
      <c r="H835" s="52">
        <v>45257</v>
      </c>
      <c r="I835" s="51">
        <v>22008</v>
      </c>
      <c r="J835" s="359" t="s">
        <v>20345</v>
      </c>
      <c r="K835" s="51">
        <v>24468</v>
      </c>
      <c r="L835" s="359" t="s">
        <v>20346</v>
      </c>
      <c r="M835" s="51">
        <v>1200</v>
      </c>
      <c r="N835" s="359" t="s">
        <v>20347</v>
      </c>
      <c r="O835" s="51">
        <v>0</v>
      </c>
      <c r="P835" s="364"/>
      <c r="Q835" s="51">
        <v>47676</v>
      </c>
    </row>
    <row r="836" spans="1:17" s="1" customFormat="1" ht="11.45">
      <c r="A836" s="51" t="s">
        <v>19187</v>
      </c>
      <c r="B836" s="52">
        <v>45251</v>
      </c>
      <c r="C836" s="51">
        <v>2023</v>
      </c>
      <c r="D836" s="51" t="s">
        <v>17017</v>
      </c>
      <c r="E836" s="51" t="s">
        <v>17018</v>
      </c>
      <c r="F836" s="51" t="s">
        <v>20155</v>
      </c>
      <c r="G836" s="51" t="s">
        <v>20307</v>
      </c>
      <c r="H836" s="52">
        <v>45259</v>
      </c>
      <c r="I836" s="51">
        <v>0</v>
      </c>
      <c r="J836" s="363"/>
      <c r="K836" s="51">
        <v>61500</v>
      </c>
      <c r="L836" s="360">
        <v>1</v>
      </c>
      <c r="M836" s="51">
        <v>0</v>
      </c>
      <c r="N836" s="363"/>
      <c r="O836" s="51">
        <v>0</v>
      </c>
      <c r="P836" s="364"/>
      <c r="Q836" s="51">
        <v>61500</v>
      </c>
    </row>
    <row r="837" spans="1:17" s="1" customFormat="1" ht="11.45">
      <c r="A837" s="51" t="s">
        <v>19188</v>
      </c>
      <c r="B837" s="52">
        <v>45251</v>
      </c>
      <c r="C837" s="51">
        <v>2023</v>
      </c>
      <c r="D837" s="51" t="s">
        <v>17017</v>
      </c>
      <c r="E837" s="51" t="s">
        <v>17018</v>
      </c>
      <c r="F837" s="51" t="s">
        <v>20155</v>
      </c>
      <c r="G837" s="51" t="s">
        <v>20307</v>
      </c>
      <c r="H837" s="52">
        <v>45260</v>
      </c>
      <c r="I837" s="51">
        <v>83000</v>
      </c>
      <c r="J837" s="360">
        <v>1</v>
      </c>
      <c r="K837" s="51">
        <v>0</v>
      </c>
      <c r="L837" s="363"/>
      <c r="M837" s="51">
        <v>0</v>
      </c>
      <c r="N837" s="363"/>
      <c r="O837" s="51">
        <v>0</v>
      </c>
      <c r="P837" s="364"/>
      <c r="Q837" s="51">
        <v>83000</v>
      </c>
    </row>
    <row r="838" spans="1:17" s="1" customFormat="1" ht="11.45">
      <c r="A838" s="11" t="s">
        <v>19189</v>
      </c>
      <c r="B838" s="12">
        <v>45257</v>
      </c>
      <c r="C838" s="11">
        <v>2023</v>
      </c>
      <c r="D838" s="11" t="s">
        <v>16880</v>
      </c>
      <c r="E838" s="11" t="s">
        <v>16881</v>
      </c>
      <c r="F838" s="11" t="s">
        <v>20155</v>
      </c>
      <c r="G838" s="11" t="s">
        <v>20156</v>
      </c>
      <c r="H838" s="12">
        <v>45273</v>
      </c>
      <c r="I838" s="11">
        <v>990</v>
      </c>
      <c r="J838" s="360">
        <v>1</v>
      </c>
      <c r="K838" s="11">
        <v>20160</v>
      </c>
      <c r="L838" s="360">
        <v>1</v>
      </c>
      <c r="M838" s="11">
        <v>0</v>
      </c>
      <c r="N838" s="316"/>
      <c r="O838" s="11">
        <v>0</v>
      </c>
      <c r="P838" s="25"/>
      <c r="Q838" s="11">
        <v>21150</v>
      </c>
    </row>
    <row r="839" spans="1:17" s="1" customFormat="1" ht="11.45">
      <c r="A839" s="11" t="s">
        <v>19190</v>
      </c>
      <c r="B839" s="12">
        <v>45257</v>
      </c>
      <c r="C839" s="11">
        <v>2023</v>
      </c>
      <c r="D839" s="11" t="s">
        <v>17342</v>
      </c>
      <c r="E839" s="11" t="s">
        <v>17343</v>
      </c>
      <c r="F839" s="11" t="s">
        <v>20155</v>
      </c>
      <c r="G839" s="11" t="s">
        <v>16394</v>
      </c>
      <c r="H839" s="12">
        <v>45259</v>
      </c>
      <c r="I839" s="11">
        <v>0</v>
      </c>
      <c r="J839" s="316"/>
      <c r="K839" s="11">
        <v>17880</v>
      </c>
      <c r="L839" s="360">
        <v>1</v>
      </c>
      <c r="M839" s="11">
        <v>7200</v>
      </c>
      <c r="N839" s="360">
        <v>1</v>
      </c>
      <c r="O839" s="11">
        <v>0</v>
      </c>
      <c r="P839" s="25"/>
      <c r="Q839" s="11">
        <v>25080</v>
      </c>
    </row>
    <row r="840" spans="1:17" s="1" customFormat="1" ht="11.45">
      <c r="A840" s="11" t="s">
        <v>19191</v>
      </c>
      <c r="B840" s="12">
        <v>45258</v>
      </c>
      <c r="C840" s="11">
        <v>2023</v>
      </c>
      <c r="D840" s="11" t="s">
        <v>16838</v>
      </c>
      <c r="E840" s="11" t="s">
        <v>16839</v>
      </c>
      <c r="F840" s="11" t="s">
        <v>20155</v>
      </c>
      <c r="G840" s="11" t="s">
        <v>17771</v>
      </c>
      <c r="H840" s="12">
        <v>45268</v>
      </c>
      <c r="I840" s="11">
        <v>0</v>
      </c>
      <c r="J840" s="316"/>
      <c r="K840" s="11">
        <v>54060</v>
      </c>
      <c r="L840" s="359" t="s">
        <v>20348</v>
      </c>
      <c r="M840" s="11">
        <v>400000</v>
      </c>
      <c r="N840" s="359" t="s">
        <v>20347</v>
      </c>
      <c r="O840" s="11">
        <v>3000</v>
      </c>
      <c r="P840" s="360">
        <v>1</v>
      </c>
      <c r="Q840" s="11">
        <v>457060</v>
      </c>
    </row>
    <row r="841" spans="1:17" s="1" customFormat="1" ht="11.45">
      <c r="A841" s="11" t="s">
        <v>19192</v>
      </c>
      <c r="B841" s="12">
        <v>45264</v>
      </c>
      <c r="C841" s="11">
        <v>2023</v>
      </c>
      <c r="D841" s="11" t="s">
        <v>17248</v>
      </c>
      <c r="E841" s="11" t="s">
        <v>17249</v>
      </c>
      <c r="F841" s="11" t="s">
        <v>20155</v>
      </c>
      <c r="G841" s="11" t="s">
        <v>17954</v>
      </c>
      <c r="H841" s="12">
        <v>45272</v>
      </c>
      <c r="I841" s="11">
        <v>0</v>
      </c>
      <c r="J841" s="316"/>
      <c r="K841" s="11">
        <v>23971.200000000001</v>
      </c>
      <c r="L841" s="360">
        <v>1</v>
      </c>
      <c r="M841" s="11">
        <v>0</v>
      </c>
      <c r="N841" s="316"/>
      <c r="O841" s="11">
        <v>0</v>
      </c>
      <c r="P841" s="25"/>
      <c r="Q841" s="11">
        <v>23971.200000000001</v>
      </c>
    </row>
    <row r="842" spans="1:17" s="1" customFormat="1" ht="11.45">
      <c r="A842" s="11" t="s">
        <v>19193</v>
      </c>
      <c r="B842" s="12">
        <v>45264</v>
      </c>
      <c r="C842" s="11">
        <v>2023</v>
      </c>
      <c r="D842" s="11" t="s">
        <v>17329</v>
      </c>
      <c r="E842" s="11" t="s">
        <v>17330</v>
      </c>
      <c r="F842" s="11" t="s">
        <v>20155</v>
      </c>
      <c r="G842" s="11" t="s">
        <v>20335</v>
      </c>
      <c r="H842" s="12">
        <v>45272</v>
      </c>
      <c r="I842" s="11">
        <v>0</v>
      </c>
      <c r="J842" s="316"/>
      <c r="K842" s="11">
        <v>15552</v>
      </c>
      <c r="L842" s="359" t="s">
        <v>20346</v>
      </c>
      <c r="M842" s="11">
        <v>0</v>
      </c>
      <c r="N842" s="316"/>
      <c r="O842" s="11">
        <v>4000</v>
      </c>
      <c r="P842" s="360">
        <v>1</v>
      </c>
      <c r="Q842" s="11">
        <v>19552</v>
      </c>
    </row>
    <row r="843" spans="1:17" s="1" customFormat="1" ht="11.45">
      <c r="A843" s="11" t="s">
        <v>19194</v>
      </c>
      <c r="B843" s="12">
        <v>45267</v>
      </c>
      <c r="C843" s="11">
        <v>2023</v>
      </c>
      <c r="D843" s="11" t="s">
        <v>17278</v>
      </c>
      <c r="E843" s="11" t="s">
        <v>17279</v>
      </c>
      <c r="F843" s="11" t="s">
        <v>20155</v>
      </c>
      <c r="G843" s="11" t="s">
        <v>20173</v>
      </c>
      <c r="H843" s="12">
        <v>45272</v>
      </c>
      <c r="I843" s="11">
        <v>0</v>
      </c>
      <c r="J843" s="316"/>
      <c r="K843" s="11">
        <v>110400</v>
      </c>
      <c r="L843" s="359" t="s">
        <v>20348</v>
      </c>
      <c r="M843" s="11">
        <v>83520</v>
      </c>
      <c r="N843" s="359" t="s">
        <v>20347</v>
      </c>
      <c r="O843" s="11">
        <v>0</v>
      </c>
      <c r="P843" s="25"/>
      <c r="Q843" s="11">
        <v>193920</v>
      </c>
    </row>
    <row r="844" spans="1:17" s="1" customFormat="1" ht="11.45">
      <c r="A844" s="11" t="s">
        <v>19195</v>
      </c>
      <c r="B844" s="12">
        <v>45267</v>
      </c>
      <c r="C844" s="11">
        <v>2023</v>
      </c>
      <c r="D844" s="11" t="s">
        <v>17226</v>
      </c>
      <c r="E844" s="11" t="s">
        <v>17227</v>
      </c>
      <c r="F844" s="11" t="s">
        <v>20155</v>
      </c>
      <c r="G844" s="11" t="s">
        <v>17689</v>
      </c>
      <c r="H844" s="12">
        <v>45275</v>
      </c>
      <c r="I844" s="11">
        <v>0</v>
      </c>
      <c r="J844" s="316"/>
      <c r="K844" s="11">
        <v>23640</v>
      </c>
      <c r="L844" s="360">
        <v>1</v>
      </c>
      <c r="M844" s="11">
        <v>3552</v>
      </c>
      <c r="N844" s="360">
        <v>1</v>
      </c>
      <c r="O844" s="11">
        <v>0</v>
      </c>
      <c r="P844" s="25"/>
      <c r="Q844" s="11">
        <v>27192</v>
      </c>
    </row>
    <row r="845" spans="1:17" s="1" customFormat="1" ht="11.45">
      <c r="A845" s="11" t="s">
        <v>19196</v>
      </c>
      <c r="B845" s="12">
        <v>45267</v>
      </c>
      <c r="C845" s="11">
        <v>2023</v>
      </c>
      <c r="D845" s="11" t="s">
        <v>17226</v>
      </c>
      <c r="E845" s="11" t="s">
        <v>17227</v>
      </c>
      <c r="F845" s="11" t="s">
        <v>20155</v>
      </c>
      <c r="G845" s="11" t="s">
        <v>17689</v>
      </c>
      <c r="H845" s="12">
        <v>45288</v>
      </c>
      <c r="I845" s="11">
        <v>24000</v>
      </c>
      <c r="J845" s="360">
        <v>1</v>
      </c>
      <c r="K845" s="11">
        <v>0</v>
      </c>
      <c r="L845" s="316"/>
      <c r="M845" s="11">
        <v>0</v>
      </c>
      <c r="N845" s="316"/>
      <c r="O845" s="11">
        <v>0</v>
      </c>
      <c r="P845" s="25"/>
      <c r="Q845" s="11">
        <v>24000</v>
      </c>
    </row>
    <row r="846" spans="1:17" s="1" customFormat="1" ht="11.45">
      <c r="A846" s="11" t="s">
        <v>19197</v>
      </c>
      <c r="B846" s="12">
        <v>45267</v>
      </c>
      <c r="C846" s="11">
        <v>2023</v>
      </c>
      <c r="D846" s="11" t="s">
        <v>17209</v>
      </c>
      <c r="E846" s="11" t="s">
        <v>17210</v>
      </c>
      <c r="F846" s="11" t="s">
        <v>20155</v>
      </c>
      <c r="G846" s="11" t="s">
        <v>20168</v>
      </c>
      <c r="H846" s="12">
        <v>45278</v>
      </c>
      <c r="I846" s="11">
        <v>7200</v>
      </c>
      <c r="J846" s="360">
        <v>1</v>
      </c>
      <c r="K846" s="11">
        <v>3360</v>
      </c>
      <c r="L846" s="360">
        <v>1</v>
      </c>
      <c r="M846" s="11">
        <v>4200</v>
      </c>
      <c r="N846" s="360">
        <v>1</v>
      </c>
      <c r="O846" s="11">
        <v>2750</v>
      </c>
      <c r="P846" s="360">
        <v>1</v>
      </c>
      <c r="Q846" s="11">
        <v>17510</v>
      </c>
    </row>
    <row r="847" spans="1:17" s="1" customFormat="1" ht="11.45">
      <c r="A847" s="11" t="s">
        <v>19198</v>
      </c>
      <c r="B847" s="12">
        <v>45267</v>
      </c>
      <c r="C847" s="11">
        <v>2023</v>
      </c>
      <c r="D847" s="11" t="s">
        <v>17209</v>
      </c>
      <c r="E847" s="11" t="s">
        <v>17210</v>
      </c>
      <c r="F847" s="11" t="s">
        <v>20155</v>
      </c>
      <c r="G847" s="11" t="s">
        <v>20168</v>
      </c>
      <c r="H847" s="12">
        <v>45272</v>
      </c>
      <c r="I847" s="11">
        <v>0</v>
      </c>
      <c r="J847" s="316"/>
      <c r="K847" s="11">
        <v>19200</v>
      </c>
      <c r="L847" s="360">
        <v>1</v>
      </c>
      <c r="M847" s="11">
        <v>6720</v>
      </c>
      <c r="N847" s="360">
        <v>1</v>
      </c>
      <c r="O847" s="11">
        <v>0</v>
      </c>
      <c r="P847" s="25"/>
      <c r="Q847" s="11">
        <v>25920</v>
      </c>
    </row>
    <row r="848" spans="1:17" s="1" customFormat="1" ht="11.45">
      <c r="A848" s="11" t="s">
        <v>19199</v>
      </c>
      <c r="B848" s="12">
        <v>45269</v>
      </c>
      <c r="C848" s="11">
        <v>2023</v>
      </c>
      <c r="D848" s="11" t="s">
        <v>17359</v>
      </c>
      <c r="E848" s="11" t="s">
        <v>17360</v>
      </c>
      <c r="F848" s="11" t="s">
        <v>20155</v>
      </c>
      <c r="G848" s="11" t="s">
        <v>18094</v>
      </c>
      <c r="H848" s="12">
        <v>45275</v>
      </c>
      <c r="I848" s="11">
        <v>18100</v>
      </c>
      <c r="J848" s="359" t="s">
        <v>20345</v>
      </c>
      <c r="K848" s="11">
        <v>1200</v>
      </c>
      <c r="L848" s="359" t="s">
        <v>20346</v>
      </c>
      <c r="M848" s="11">
        <v>0</v>
      </c>
      <c r="N848" s="316"/>
      <c r="O848" s="11">
        <v>0</v>
      </c>
      <c r="P848" s="25"/>
      <c r="Q848" s="11">
        <v>19300</v>
      </c>
    </row>
    <row r="849" spans="1:17" s="1" customFormat="1" ht="11.45">
      <c r="A849" s="11" t="s">
        <v>19200</v>
      </c>
      <c r="B849" s="12">
        <v>45269</v>
      </c>
      <c r="C849" s="11">
        <v>2023</v>
      </c>
      <c r="D849" s="11" t="s">
        <v>16643</v>
      </c>
      <c r="E849" s="11" t="s">
        <v>16644</v>
      </c>
      <c r="F849" s="11" t="s">
        <v>20155</v>
      </c>
      <c r="G849" s="11" t="s">
        <v>20159</v>
      </c>
      <c r="H849" s="12">
        <v>45282</v>
      </c>
      <c r="I849" s="11">
        <v>0</v>
      </c>
      <c r="J849" s="316"/>
      <c r="K849" s="11">
        <v>19200</v>
      </c>
      <c r="L849" s="359" t="s">
        <v>20346</v>
      </c>
      <c r="M849" s="11">
        <v>26000</v>
      </c>
      <c r="N849" s="359" t="s">
        <v>20347</v>
      </c>
      <c r="O849" s="11">
        <v>0</v>
      </c>
      <c r="P849" s="25"/>
      <c r="Q849" s="11">
        <v>45200</v>
      </c>
    </row>
    <row r="850" spans="1:17" s="1" customFormat="1" ht="11.45">
      <c r="A850" s="11" t="s">
        <v>19201</v>
      </c>
      <c r="B850" s="12">
        <v>45269</v>
      </c>
      <c r="C850" s="11">
        <v>2023</v>
      </c>
      <c r="D850" s="11" t="s">
        <v>17309</v>
      </c>
      <c r="E850" s="11" t="s">
        <v>17310</v>
      </c>
      <c r="F850" s="11" t="s">
        <v>20155</v>
      </c>
      <c r="G850" s="11" t="s">
        <v>17261</v>
      </c>
      <c r="H850" s="12">
        <v>45282</v>
      </c>
      <c r="I850" s="11">
        <v>0</v>
      </c>
      <c r="J850" s="316"/>
      <c r="K850" s="11">
        <v>0</v>
      </c>
      <c r="L850" s="316"/>
      <c r="M850" s="11">
        <v>104000</v>
      </c>
      <c r="N850" s="359" t="s">
        <v>20347</v>
      </c>
      <c r="O850" s="11">
        <v>0</v>
      </c>
      <c r="P850" s="25"/>
      <c r="Q850" s="11">
        <v>104000</v>
      </c>
    </row>
    <row r="851" spans="1:17" s="1" customFormat="1" ht="11.45">
      <c r="A851" s="11" t="s">
        <v>19202</v>
      </c>
      <c r="B851" s="12">
        <v>45269</v>
      </c>
      <c r="C851" s="11">
        <v>2023</v>
      </c>
      <c r="D851" s="11" t="s">
        <v>17156</v>
      </c>
      <c r="E851" s="11" t="s">
        <v>17157</v>
      </c>
      <c r="F851" s="11" t="s">
        <v>20155</v>
      </c>
      <c r="G851" s="11" t="s">
        <v>20161</v>
      </c>
      <c r="H851" s="12">
        <v>45282</v>
      </c>
      <c r="I851" s="11">
        <v>40000</v>
      </c>
      <c r="J851" s="359" t="s">
        <v>20345</v>
      </c>
      <c r="K851" s="11">
        <v>0</v>
      </c>
      <c r="L851" s="316"/>
      <c r="M851" s="11">
        <v>0</v>
      </c>
      <c r="N851" s="316"/>
      <c r="O851" s="11">
        <v>0</v>
      </c>
      <c r="P851" s="25"/>
      <c r="Q851" s="11">
        <v>40000</v>
      </c>
    </row>
    <row r="852" spans="1:17" s="1" customFormat="1" ht="11.45">
      <c r="A852" s="11" t="s">
        <v>19203</v>
      </c>
      <c r="B852" s="12">
        <v>45269</v>
      </c>
      <c r="C852" s="11">
        <v>2023</v>
      </c>
      <c r="D852" s="11" t="s">
        <v>17226</v>
      </c>
      <c r="E852" s="11" t="s">
        <v>17227</v>
      </c>
      <c r="F852" s="11" t="s">
        <v>20155</v>
      </c>
      <c r="G852" s="11" t="s">
        <v>17689</v>
      </c>
      <c r="H852" s="12">
        <v>45275</v>
      </c>
      <c r="I852" s="11">
        <v>0</v>
      </c>
      <c r="J852" s="316"/>
      <c r="K852" s="11">
        <v>34800</v>
      </c>
      <c r="L852" s="359" t="s">
        <v>20346</v>
      </c>
      <c r="M852" s="11">
        <v>13500</v>
      </c>
      <c r="N852" s="359" t="s">
        <v>20346</v>
      </c>
      <c r="O852" s="11">
        <v>0</v>
      </c>
      <c r="P852" s="25"/>
      <c r="Q852" s="11">
        <v>48300</v>
      </c>
    </row>
    <row r="853" spans="1:17" s="1" customFormat="1" ht="11.45">
      <c r="A853" s="11" t="s">
        <v>19204</v>
      </c>
      <c r="B853" s="12">
        <v>45271</v>
      </c>
      <c r="C853" s="11">
        <v>2023</v>
      </c>
      <c r="D853" s="11" t="s">
        <v>16783</v>
      </c>
      <c r="E853" s="11" t="s">
        <v>16784</v>
      </c>
      <c r="F853" s="11" t="s">
        <v>20155</v>
      </c>
      <c r="G853" s="11" t="s">
        <v>17939</v>
      </c>
      <c r="H853" s="12">
        <v>45273</v>
      </c>
      <c r="I853" s="11">
        <v>0</v>
      </c>
      <c r="J853" s="316"/>
      <c r="K853" s="11">
        <v>350400</v>
      </c>
      <c r="L853" s="359" t="s">
        <v>20345</v>
      </c>
      <c r="M853" s="11">
        <v>57600</v>
      </c>
      <c r="N853" s="359" t="s">
        <v>20345</v>
      </c>
      <c r="O853" s="11">
        <v>0</v>
      </c>
      <c r="P853" s="25"/>
      <c r="Q853" s="11">
        <v>408000</v>
      </c>
    </row>
    <row r="854" spans="1:17" s="1" customFormat="1" ht="11.45">
      <c r="A854" s="11" t="s">
        <v>19205</v>
      </c>
      <c r="B854" s="12">
        <v>45272</v>
      </c>
      <c r="C854" s="11">
        <v>2023</v>
      </c>
      <c r="D854" s="11" t="s">
        <v>16444</v>
      </c>
      <c r="E854" s="11" t="s">
        <v>16445</v>
      </c>
      <c r="F854" s="11" t="s">
        <v>20155</v>
      </c>
      <c r="G854" s="11" t="s">
        <v>17965</v>
      </c>
      <c r="H854" s="12">
        <v>45280</v>
      </c>
      <c r="I854" s="11">
        <v>19200</v>
      </c>
      <c r="J854" s="359" t="s">
        <v>20345</v>
      </c>
      <c r="K854" s="11">
        <v>0</v>
      </c>
      <c r="L854" s="316"/>
      <c r="M854" s="11">
        <v>0</v>
      </c>
      <c r="N854" s="316"/>
      <c r="O854" s="11">
        <v>0</v>
      </c>
      <c r="P854" s="25"/>
      <c r="Q854" s="11">
        <v>19200</v>
      </c>
    </row>
    <row r="855" spans="1:17" s="1" customFormat="1" ht="11.45">
      <c r="A855" s="11" t="s">
        <v>19206</v>
      </c>
      <c r="B855" s="12">
        <v>45272</v>
      </c>
      <c r="C855" s="11">
        <v>2023</v>
      </c>
      <c r="D855" s="11" t="s">
        <v>17119</v>
      </c>
      <c r="E855" s="11" t="s">
        <v>17120</v>
      </c>
      <c r="F855" s="11" t="s">
        <v>20155</v>
      </c>
      <c r="G855" s="11" t="s">
        <v>17965</v>
      </c>
      <c r="H855" s="12">
        <v>45279</v>
      </c>
      <c r="I855" s="11">
        <v>38400</v>
      </c>
      <c r="J855" s="359" t="s">
        <v>20345</v>
      </c>
      <c r="K855" s="11">
        <v>85200</v>
      </c>
      <c r="L855" s="359" t="s">
        <v>20346</v>
      </c>
      <c r="M855" s="11">
        <v>0</v>
      </c>
      <c r="N855" s="316"/>
      <c r="O855" s="11">
        <v>0</v>
      </c>
      <c r="P855" s="25"/>
      <c r="Q855" s="11">
        <v>123600</v>
      </c>
    </row>
    <row r="856" spans="1:17" s="1" customFormat="1" ht="11.45">
      <c r="A856" s="11" t="s">
        <v>19207</v>
      </c>
      <c r="B856" s="12">
        <v>45272</v>
      </c>
      <c r="C856" s="11">
        <v>2023</v>
      </c>
      <c r="D856" s="11" t="s">
        <v>16904</v>
      </c>
      <c r="E856" s="11" t="s">
        <v>16905</v>
      </c>
      <c r="F856" s="11" t="s">
        <v>20155</v>
      </c>
      <c r="G856" s="11" t="s">
        <v>20160</v>
      </c>
      <c r="H856" s="12">
        <v>45281</v>
      </c>
      <c r="I856" s="11">
        <v>0</v>
      </c>
      <c r="J856" s="316"/>
      <c r="K856" s="11">
        <v>23976</v>
      </c>
      <c r="L856" s="360">
        <v>1</v>
      </c>
      <c r="M856" s="11">
        <v>0</v>
      </c>
      <c r="N856" s="316"/>
      <c r="O856" s="11">
        <v>0</v>
      </c>
      <c r="P856" s="25"/>
      <c r="Q856" s="11">
        <v>23976</v>
      </c>
    </row>
    <row r="857" spans="1:17" s="1" customFormat="1" ht="11.45">
      <c r="A857" s="11" t="s">
        <v>19208</v>
      </c>
      <c r="B857" s="12">
        <v>45272</v>
      </c>
      <c r="C857" s="11">
        <v>2023</v>
      </c>
      <c r="D857" s="11" t="s">
        <v>16904</v>
      </c>
      <c r="E857" s="11" t="s">
        <v>16905</v>
      </c>
      <c r="F857" s="11" t="s">
        <v>20155</v>
      </c>
      <c r="G857" s="11" t="s">
        <v>20160</v>
      </c>
      <c r="H857" s="12">
        <v>45281</v>
      </c>
      <c r="I857" s="11">
        <v>0</v>
      </c>
      <c r="J857" s="316"/>
      <c r="K857" s="11">
        <v>16488</v>
      </c>
      <c r="L857" s="360">
        <v>1</v>
      </c>
      <c r="M857" s="11">
        <v>11100</v>
      </c>
      <c r="N857" s="360">
        <v>1</v>
      </c>
      <c r="O857" s="11">
        <v>0</v>
      </c>
      <c r="P857" s="25"/>
      <c r="Q857" s="11">
        <v>27588</v>
      </c>
    </row>
    <row r="858" spans="1:17" s="1" customFormat="1" ht="11.45">
      <c r="A858" s="11" t="s">
        <v>19209</v>
      </c>
      <c r="B858" s="12">
        <v>45272</v>
      </c>
      <c r="C858" s="11">
        <v>2023</v>
      </c>
      <c r="D858" s="11" t="s">
        <v>16480</v>
      </c>
      <c r="E858" s="11" t="s">
        <v>16481</v>
      </c>
      <c r="F858" s="11" t="s">
        <v>20155</v>
      </c>
      <c r="G858" s="11" t="s">
        <v>20160</v>
      </c>
      <c r="H858" s="12">
        <v>45280</v>
      </c>
      <c r="I858" s="11">
        <v>0</v>
      </c>
      <c r="J858" s="316"/>
      <c r="K858" s="11">
        <v>22392</v>
      </c>
      <c r="L858" s="360">
        <v>1</v>
      </c>
      <c r="M858" s="11">
        <v>3000</v>
      </c>
      <c r="N858" s="360">
        <v>1</v>
      </c>
      <c r="O858" s="11">
        <v>0</v>
      </c>
      <c r="P858" s="25"/>
      <c r="Q858" s="11">
        <v>25392</v>
      </c>
    </row>
    <row r="859" spans="1:17" s="1" customFormat="1" ht="11.45">
      <c r="A859" s="11" t="s">
        <v>19210</v>
      </c>
      <c r="B859" s="12">
        <v>45272</v>
      </c>
      <c r="C859" s="11">
        <v>2023</v>
      </c>
      <c r="D859" s="11" t="s">
        <v>16384</v>
      </c>
      <c r="E859" s="11" t="s">
        <v>16385</v>
      </c>
      <c r="F859" s="11" t="s">
        <v>20155</v>
      </c>
      <c r="G859" s="11" t="s">
        <v>18094</v>
      </c>
      <c r="H859" s="12">
        <v>45285</v>
      </c>
      <c r="I859" s="11">
        <v>0</v>
      </c>
      <c r="J859" s="316"/>
      <c r="K859" s="11">
        <v>23280</v>
      </c>
      <c r="L859" s="359" t="s">
        <v>20346</v>
      </c>
      <c r="M859" s="11">
        <v>0</v>
      </c>
      <c r="N859" s="316"/>
      <c r="O859" s="11">
        <v>0</v>
      </c>
      <c r="P859" s="25"/>
      <c r="Q859" s="11">
        <v>23280</v>
      </c>
    </row>
    <row r="860" spans="1:17" s="1" customFormat="1" ht="11.45">
      <c r="A860" s="11" t="s">
        <v>19211</v>
      </c>
      <c r="B860" s="12">
        <v>45272</v>
      </c>
      <c r="C860" s="11">
        <v>2023</v>
      </c>
      <c r="D860" s="11" t="s">
        <v>16384</v>
      </c>
      <c r="E860" s="11" t="s">
        <v>16385</v>
      </c>
      <c r="F860" s="11" t="s">
        <v>20155</v>
      </c>
      <c r="G860" s="11" t="s">
        <v>18094</v>
      </c>
      <c r="H860" s="12">
        <v>45285</v>
      </c>
      <c r="I860" s="11">
        <v>0</v>
      </c>
      <c r="J860" s="316"/>
      <c r="K860" s="11">
        <v>22260</v>
      </c>
      <c r="L860" s="359" t="s">
        <v>20346</v>
      </c>
      <c r="M860" s="11">
        <v>0</v>
      </c>
      <c r="N860" s="316"/>
      <c r="O860" s="11">
        <v>0</v>
      </c>
      <c r="P860" s="25"/>
      <c r="Q860" s="11">
        <v>22260</v>
      </c>
    </row>
    <row r="861" spans="1:17" s="1" customFormat="1" ht="11.45">
      <c r="A861" s="11" t="s">
        <v>19212</v>
      </c>
      <c r="B861" s="12">
        <v>45272</v>
      </c>
      <c r="C861" s="11">
        <v>2023</v>
      </c>
      <c r="D861" s="11" t="s">
        <v>16838</v>
      </c>
      <c r="E861" s="11" t="s">
        <v>16839</v>
      </c>
      <c r="F861" s="11" t="s">
        <v>20155</v>
      </c>
      <c r="G861" s="11" t="s">
        <v>20321</v>
      </c>
      <c r="H861" s="12">
        <v>45279</v>
      </c>
      <c r="I861" s="11">
        <v>0</v>
      </c>
      <c r="J861" s="316"/>
      <c r="K861" s="11">
        <v>157500</v>
      </c>
      <c r="L861" s="359" t="s">
        <v>20347</v>
      </c>
      <c r="M861" s="11">
        <v>0</v>
      </c>
      <c r="N861" s="316"/>
      <c r="O861" s="11">
        <v>0</v>
      </c>
      <c r="P861" s="25"/>
      <c r="Q861" s="11">
        <v>157500</v>
      </c>
    </row>
    <row r="862" spans="1:17" s="1" customFormat="1" ht="11.45">
      <c r="A862" s="11" t="s">
        <v>19213</v>
      </c>
      <c r="B862" s="12">
        <v>45272</v>
      </c>
      <c r="C862" s="11">
        <v>2023</v>
      </c>
      <c r="D862" s="11" t="s">
        <v>16384</v>
      </c>
      <c r="E862" s="11" t="s">
        <v>16385</v>
      </c>
      <c r="F862" s="11" t="s">
        <v>20155</v>
      </c>
      <c r="G862" s="11" t="s">
        <v>17965</v>
      </c>
      <c r="H862" s="12">
        <v>45282</v>
      </c>
      <c r="I862" s="11">
        <v>38400</v>
      </c>
      <c r="J862" s="359" t="s">
        <v>20345</v>
      </c>
      <c r="K862" s="11">
        <v>0</v>
      </c>
      <c r="L862" s="316"/>
      <c r="M862" s="11">
        <v>0</v>
      </c>
      <c r="N862" s="316"/>
      <c r="O862" s="11">
        <v>0</v>
      </c>
      <c r="P862" s="25"/>
      <c r="Q862" s="11">
        <v>38400</v>
      </c>
    </row>
    <row r="863" spans="1:17" s="1" customFormat="1" ht="11.45">
      <c r="A863" s="11" t="s">
        <v>19214</v>
      </c>
      <c r="B863" s="12">
        <v>45272</v>
      </c>
      <c r="C863" s="11">
        <v>2023</v>
      </c>
      <c r="D863" s="11" t="s">
        <v>16384</v>
      </c>
      <c r="E863" s="11" t="s">
        <v>16385</v>
      </c>
      <c r="F863" s="11" t="s">
        <v>20155</v>
      </c>
      <c r="G863" s="11" t="s">
        <v>17965</v>
      </c>
      <c r="H863" s="12">
        <v>45282</v>
      </c>
      <c r="I863" s="11">
        <v>38400</v>
      </c>
      <c r="J863" s="359" t="s">
        <v>20345</v>
      </c>
      <c r="K863" s="11">
        <v>0</v>
      </c>
      <c r="L863" s="316"/>
      <c r="M863" s="11">
        <v>0</v>
      </c>
      <c r="N863" s="316"/>
      <c r="O863" s="11">
        <v>0</v>
      </c>
      <c r="P863" s="25"/>
      <c r="Q863" s="11">
        <v>38400</v>
      </c>
    </row>
    <row r="864" spans="1:17" s="1" customFormat="1" ht="11.45">
      <c r="A864" s="11" t="s">
        <v>19215</v>
      </c>
      <c r="B864" s="12">
        <v>45272</v>
      </c>
      <c r="C864" s="11">
        <v>2023</v>
      </c>
      <c r="D864" s="11" t="s">
        <v>16444</v>
      </c>
      <c r="E864" s="11" t="s">
        <v>16445</v>
      </c>
      <c r="F864" s="11" t="s">
        <v>20155</v>
      </c>
      <c r="G864" s="11" t="s">
        <v>17949</v>
      </c>
      <c r="H864" s="12">
        <v>45288</v>
      </c>
      <c r="I864" s="11">
        <v>43200</v>
      </c>
      <c r="J864" s="359" t="s">
        <v>20345</v>
      </c>
      <c r="K864" s="11">
        <v>0</v>
      </c>
      <c r="L864" s="316"/>
      <c r="M864" s="11">
        <v>0</v>
      </c>
      <c r="N864" s="316"/>
      <c r="O864" s="11">
        <v>0</v>
      </c>
      <c r="P864" s="25"/>
      <c r="Q864" s="11">
        <v>43200</v>
      </c>
    </row>
    <row r="865" spans="1:17" s="1" customFormat="1" ht="11.45">
      <c r="A865" s="11" t="s">
        <v>19216</v>
      </c>
      <c r="B865" s="12">
        <v>45272</v>
      </c>
      <c r="C865" s="11">
        <v>2023</v>
      </c>
      <c r="D865" s="11" t="s">
        <v>17132</v>
      </c>
      <c r="E865" s="11" t="s">
        <v>17133</v>
      </c>
      <c r="F865" s="11" t="s">
        <v>20155</v>
      </c>
      <c r="G865" s="11" t="s">
        <v>17939</v>
      </c>
      <c r="H865" s="12">
        <v>45287</v>
      </c>
      <c r="I865" s="11">
        <v>66000</v>
      </c>
      <c r="J865" s="359" t="s">
        <v>20345</v>
      </c>
      <c r="K865" s="11">
        <v>0</v>
      </c>
      <c r="L865" s="316"/>
      <c r="M865" s="11">
        <v>35040</v>
      </c>
      <c r="N865" s="359" t="s">
        <v>20347</v>
      </c>
      <c r="O865" s="11">
        <v>0</v>
      </c>
      <c r="P865" s="25"/>
      <c r="Q865" s="11">
        <v>101040</v>
      </c>
    </row>
    <row r="866" spans="1:17" s="1" customFormat="1" ht="11.45">
      <c r="A866" s="11" t="s">
        <v>19217</v>
      </c>
      <c r="B866" s="12">
        <v>45273</v>
      </c>
      <c r="C866" s="11">
        <v>2023</v>
      </c>
      <c r="D866" s="11" t="s">
        <v>17342</v>
      </c>
      <c r="E866" s="11" t="s">
        <v>17343</v>
      </c>
      <c r="F866" s="11" t="s">
        <v>20155</v>
      </c>
      <c r="G866" s="11" t="s">
        <v>16394</v>
      </c>
      <c r="H866" s="12">
        <v>45274</v>
      </c>
      <c r="I866" s="11">
        <v>0</v>
      </c>
      <c r="J866" s="316"/>
      <c r="K866" s="11">
        <v>17496</v>
      </c>
      <c r="L866" s="360">
        <v>1</v>
      </c>
      <c r="M866" s="11">
        <v>6000</v>
      </c>
      <c r="N866" s="360">
        <v>1</v>
      </c>
      <c r="O866" s="11">
        <v>0</v>
      </c>
      <c r="P866" s="25"/>
      <c r="Q866" s="11">
        <v>23496</v>
      </c>
    </row>
    <row r="867" spans="1:17" s="1" customFormat="1" ht="11.45">
      <c r="A867" s="11" t="s">
        <v>19218</v>
      </c>
      <c r="B867" s="12">
        <v>45273</v>
      </c>
      <c r="C867" s="11">
        <v>2023</v>
      </c>
      <c r="D867" s="11" t="s">
        <v>16838</v>
      </c>
      <c r="E867" s="11" t="s">
        <v>16839</v>
      </c>
      <c r="F867" s="11" t="s">
        <v>20155</v>
      </c>
      <c r="G867" s="11" t="s">
        <v>17771</v>
      </c>
      <c r="H867" s="12">
        <v>45280</v>
      </c>
      <c r="I867" s="11">
        <v>0</v>
      </c>
      <c r="J867" s="316"/>
      <c r="K867" s="11">
        <v>0</v>
      </c>
      <c r="L867" s="316"/>
      <c r="M867" s="11">
        <v>84000</v>
      </c>
      <c r="N867" s="359" t="s">
        <v>20347</v>
      </c>
      <c r="O867" s="11">
        <v>0</v>
      </c>
      <c r="P867" s="25"/>
      <c r="Q867" s="11">
        <v>84000</v>
      </c>
    </row>
    <row r="868" spans="1:17" s="1" customFormat="1" ht="11.45">
      <c r="A868" s="11" t="s">
        <v>19219</v>
      </c>
      <c r="B868" s="12">
        <v>45275</v>
      </c>
      <c r="C868" s="11">
        <v>2023</v>
      </c>
      <c r="D868" s="11" t="s">
        <v>17342</v>
      </c>
      <c r="E868" s="11" t="s">
        <v>17343</v>
      </c>
      <c r="F868" s="11" t="s">
        <v>20155</v>
      </c>
      <c r="G868" s="11" t="s">
        <v>16394</v>
      </c>
      <c r="H868" s="12">
        <v>45279</v>
      </c>
      <c r="I868" s="11">
        <v>0</v>
      </c>
      <c r="J868" s="316"/>
      <c r="K868" s="11">
        <v>15840</v>
      </c>
      <c r="L868" s="360">
        <v>1</v>
      </c>
      <c r="M868" s="11">
        <v>6000</v>
      </c>
      <c r="N868" s="360">
        <v>1</v>
      </c>
      <c r="O868" s="11">
        <v>2120</v>
      </c>
      <c r="P868" s="360">
        <v>1</v>
      </c>
      <c r="Q868" s="11">
        <v>23960</v>
      </c>
    </row>
    <row r="869" spans="1:17" s="1" customFormat="1" ht="11.45">
      <c r="A869" s="11" t="s">
        <v>19220</v>
      </c>
      <c r="B869" s="12">
        <v>45278</v>
      </c>
      <c r="C869" s="11">
        <v>2023</v>
      </c>
      <c r="D869" s="11" t="s">
        <v>16444</v>
      </c>
      <c r="E869" s="11" t="s">
        <v>16445</v>
      </c>
      <c r="F869" s="11" t="s">
        <v>20155</v>
      </c>
      <c r="G869" s="11" t="s">
        <v>17949</v>
      </c>
      <c r="H869" s="12">
        <v>45281</v>
      </c>
      <c r="I869" s="11">
        <v>44016</v>
      </c>
      <c r="J869" s="359" t="s">
        <v>20345</v>
      </c>
      <c r="K869" s="11">
        <v>0</v>
      </c>
      <c r="L869" s="316"/>
      <c r="M869" s="11">
        <v>0</v>
      </c>
      <c r="N869" s="316"/>
      <c r="O869" s="11">
        <v>0</v>
      </c>
      <c r="P869" s="25"/>
      <c r="Q869" s="11">
        <v>44016</v>
      </c>
    </row>
    <row r="870" spans="1:17" s="1" customFormat="1" ht="11.45">
      <c r="A870" s="11" t="s">
        <v>19221</v>
      </c>
      <c r="B870" s="12">
        <v>45278</v>
      </c>
      <c r="C870" s="11">
        <v>2023</v>
      </c>
      <c r="D870" s="11" t="s">
        <v>17309</v>
      </c>
      <c r="E870" s="11" t="s">
        <v>17310</v>
      </c>
      <c r="F870" s="11" t="s">
        <v>20155</v>
      </c>
      <c r="G870" s="11" t="s">
        <v>17854</v>
      </c>
      <c r="H870" s="12">
        <v>45285</v>
      </c>
      <c r="I870" s="11">
        <v>83000</v>
      </c>
      <c r="J870" s="359" t="s">
        <v>20345</v>
      </c>
      <c r="K870" s="11">
        <v>0</v>
      </c>
      <c r="L870" s="316"/>
      <c r="M870" s="11">
        <v>0</v>
      </c>
      <c r="N870" s="316"/>
      <c r="O870" s="11">
        <v>0</v>
      </c>
      <c r="P870" s="25"/>
      <c r="Q870" s="11">
        <v>83000</v>
      </c>
    </row>
    <row r="871" spans="1:17" s="1" customFormat="1" ht="11.45">
      <c r="A871" s="11" t="s">
        <v>19222</v>
      </c>
      <c r="B871" s="12">
        <v>45280</v>
      </c>
      <c r="C871" s="11">
        <v>2023</v>
      </c>
      <c r="D871" s="11" t="s">
        <v>16783</v>
      </c>
      <c r="E871" s="11" t="s">
        <v>16784</v>
      </c>
      <c r="F871" s="11" t="s">
        <v>20155</v>
      </c>
      <c r="G871" s="11" t="s">
        <v>17939</v>
      </c>
      <c r="H871" s="12">
        <v>45286</v>
      </c>
      <c r="I871" s="11">
        <v>216000</v>
      </c>
      <c r="J871" s="359" t="s">
        <v>20345</v>
      </c>
      <c r="K871" s="11">
        <v>127142.40000000002</v>
      </c>
      <c r="L871" s="359" t="s">
        <v>20345</v>
      </c>
      <c r="M871" s="11">
        <v>39417.599999999999</v>
      </c>
      <c r="N871" s="359" t="s">
        <v>20345</v>
      </c>
      <c r="O871" s="11">
        <v>42000</v>
      </c>
      <c r="P871" s="360">
        <v>1</v>
      </c>
      <c r="Q871" s="11">
        <v>424560</v>
      </c>
    </row>
    <row r="872" spans="1:17" s="1" customFormat="1" ht="11.45">
      <c r="A872" s="11" t="s">
        <v>19223</v>
      </c>
      <c r="B872" s="12">
        <v>45280</v>
      </c>
      <c r="C872" s="11">
        <v>2023</v>
      </c>
      <c r="D872" s="11" t="s">
        <v>17342</v>
      </c>
      <c r="E872" s="11" t="s">
        <v>17343</v>
      </c>
      <c r="F872" s="11" t="s">
        <v>20155</v>
      </c>
      <c r="G872" s="11" t="s">
        <v>16394</v>
      </c>
      <c r="H872" s="12">
        <v>45286</v>
      </c>
      <c r="I872" s="11">
        <v>0</v>
      </c>
      <c r="J872" s="316"/>
      <c r="K872" s="11">
        <v>19776</v>
      </c>
      <c r="L872" s="360">
        <v>1</v>
      </c>
      <c r="M872" s="11">
        <v>3600</v>
      </c>
      <c r="N872" s="360">
        <v>1</v>
      </c>
      <c r="O872" s="11">
        <v>1120</v>
      </c>
      <c r="P872" s="360">
        <v>1</v>
      </c>
      <c r="Q872" s="11">
        <v>24496</v>
      </c>
    </row>
    <row r="873" spans="1:17" s="1" customFormat="1" ht="11.45">
      <c r="A873" s="11" t="s">
        <v>19224</v>
      </c>
      <c r="B873" s="12">
        <v>45280</v>
      </c>
      <c r="C873" s="11">
        <v>2023</v>
      </c>
      <c r="D873" s="11" t="s">
        <v>17342</v>
      </c>
      <c r="E873" s="11" t="s">
        <v>17343</v>
      </c>
      <c r="F873" s="11" t="s">
        <v>20155</v>
      </c>
      <c r="G873" s="11" t="s">
        <v>16394</v>
      </c>
      <c r="H873" s="12">
        <v>45287</v>
      </c>
      <c r="I873" s="11">
        <v>0</v>
      </c>
      <c r="J873" s="316"/>
      <c r="K873" s="11">
        <v>36072</v>
      </c>
      <c r="L873" s="360">
        <v>1</v>
      </c>
      <c r="M873" s="11">
        <v>6000</v>
      </c>
      <c r="N873" s="360">
        <v>1</v>
      </c>
      <c r="O873" s="11">
        <v>2940</v>
      </c>
      <c r="P873" s="360">
        <v>1</v>
      </c>
      <c r="Q873" s="11">
        <v>45012</v>
      </c>
    </row>
    <row r="874" spans="1:17" s="1" customFormat="1" ht="11.45">
      <c r="A874" s="11" t="s">
        <v>20365</v>
      </c>
      <c r="B874" s="12">
        <v>45281</v>
      </c>
      <c r="C874" s="11">
        <v>2023</v>
      </c>
      <c r="D874" s="11" t="s">
        <v>16700</v>
      </c>
      <c r="E874" s="11" t="s">
        <v>16701</v>
      </c>
      <c r="F874" s="11" t="s">
        <v>20164</v>
      </c>
      <c r="G874" s="11" t="s">
        <v>17949</v>
      </c>
      <c r="H874" s="12">
        <v>0</v>
      </c>
      <c r="I874" s="11">
        <v>110040</v>
      </c>
      <c r="J874" s="359" t="s">
        <v>20345</v>
      </c>
      <c r="K874" s="11">
        <v>0</v>
      </c>
      <c r="L874" s="316"/>
      <c r="M874" s="11">
        <v>0</v>
      </c>
      <c r="N874" s="316"/>
      <c r="O874" s="11">
        <v>0</v>
      </c>
      <c r="P874" s="25"/>
      <c r="Q874" s="11">
        <v>110040</v>
      </c>
    </row>
    <row r="875" spans="1:17" s="1" customFormat="1" ht="11.45">
      <c r="A875" s="11" t="s">
        <v>19225</v>
      </c>
      <c r="B875" s="12">
        <v>45281</v>
      </c>
      <c r="C875" s="11">
        <v>2023</v>
      </c>
      <c r="D875" s="11" t="s">
        <v>17017</v>
      </c>
      <c r="E875" s="11" t="s">
        <v>17018</v>
      </c>
      <c r="F875" s="11" t="s">
        <v>20155</v>
      </c>
      <c r="G875" s="11" t="s">
        <v>18283</v>
      </c>
      <c r="H875" s="12">
        <v>45288</v>
      </c>
      <c r="I875" s="11">
        <v>0</v>
      </c>
      <c r="J875" s="316"/>
      <c r="K875" s="11">
        <v>102500</v>
      </c>
      <c r="L875" s="360">
        <v>1</v>
      </c>
      <c r="M875" s="11">
        <v>0</v>
      </c>
      <c r="N875" s="316"/>
      <c r="O875" s="11">
        <v>0</v>
      </c>
      <c r="P875" s="25"/>
      <c r="Q875" s="11">
        <v>102500</v>
      </c>
    </row>
    <row r="876" spans="1:17" s="1" customFormat="1" ht="11.45">
      <c r="A876" s="11" t="s">
        <v>19226</v>
      </c>
      <c r="B876" s="12">
        <v>45281</v>
      </c>
      <c r="C876" s="11">
        <v>2023</v>
      </c>
      <c r="D876" s="11" t="s">
        <v>17132</v>
      </c>
      <c r="E876" s="11" t="s">
        <v>17133</v>
      </c>
      <c r="F876" s="11" t="s">
        <v>20155</v>
      </c>
      <c r="G876" s="11" t="s">
        <v>17939</v>
      </c>
      <c r="H876" s="12">
        <v>45287</v>
      </c>
      <c r="I876" s="11">
        <v>66000</v>
      </c>
      <c r="J876" s="359" t="s">
        <v>20345</v>
      </c>
      <c r="K876" s="11">
        <v>0</v>
      </c>
      <c r="L876" s="316"/>
      <c r="M876" s="11">
        <v>0</v>
      </c>
      <c r="N876" s="316"/>
      <c r="O876" s="11">
        <v>0</v>
      </c>
      <c r="P876" s="25"/>
      <c r="Q876" s="11">
        <v>66000</v>
      </c>
    </row>
    <row r="877" spans="1:17" s="1" customFormat="1" ht="11.45">
      <c r="A877" s="11" t="s">
        <v>19227</v>
      </c>
      <c r="B877" s="12">
        <v>45282</v>
      </c>
      <c r="C877" s="11">
        <v>2023</v>
      </c>
      <c r="D877" s="11" t="s">
        <v>20366</v>
      </c>
      <c r="E877" s="11" t="s">
        <v>17343</v>
      </c>
      <c r="F877" s="11" t="s">
        <v>20155</v>
      </c>
      <c r="G877" s="11" t="s">
        <v>16394</v>
      </c>
      <c r="H877" s="12">
        <v>45287</v>
      </c>
      <c r="I877" s="11">
        <v>0</v>
      </c>
      <c r="J877" s="316"/>
      <c r="K877" s="11">
        <v>14424</v>
      </c>
      <c r="L877" s="360">
        <v>1</v>
      </c>
      <c r="M877" s="11">
        <v>2400</v>
      </c>
      <c r="N877" s="360">
        <v>1</v>
      </c>
      <c r="O877" s="11">
        <v>0</v>
      </c>
      <c r="P877" s="25"/>
      <c r="Q877" s="11">
        <v>16824</v>
      </c>
    </row>
    <row r="878" spans="1:17" s="1" customFormat="1" ht="11.45">
      <c r="A878" s="11" t="s">
        <v>19228</v>
      </c>
      <c r="B878" s="12">
        <v>45288</v>
      </c>
      <c r="C878" s="11">
        <v>2023</v>
      </c>
      <c r="D878" s="11" t="s">
        <v>16444</v>
      </c>
      <c r="E878" s="11" t="s">
        <v>16445</v>
      </c>
      <c r="F878" s="11" t="s">
        <v>20155</v>
      </c>
      <c r="G878" s="11" t="s">
        <v>18248</v>
      </c>
      <c r="H878" s="12">
        <v>45288</v>
      </c>
      <c r="I878" s="11">
        <v>19200</v>
      </c>
      <c r="J878" s="359" t="s">
        <v>20345</v>
      </c>
      <c r="K878" s="11">
        <v>0</v>
      </c>
      <c r="L878" s="316"/>
      <c r="M878" s="11">
        <v>0</v>
      </c>
      <c r="N878" s="316"/>
      <c r="O878" s="11">
        <v>0</v>
      </c>
      <c r="P878" s="25"/>
      <c r="Q878" s="11">
        <v>19200</v>
      </c>
    </row>
    <row r="879" spans="1:17" s="1" customFormat="1" ht="11.45">
      <c r="A879" s="11" t="s">
        <v>19229</v>
      </c>
      <c r="B879" s="12">
        <v>45282</v>
      </c>
      <c r="C879" s="11">
        <v>2023</v>
      </c>
      <c r="D879" s="11" t="s">
        <v>16444</v>
      </c>
      <c r="E879" s="11" t="s">
        <v>16445</v>
      </c>
      <c r="F879" s="11" t="s">
        <v>20155</v>
      </c>
      <c r="G879" s="11" t="s">
        <v>18248</v>
      </c>
      <c r="H879" s="12">
        <v>45288</v>
      </c>
      <c r="I879" s="11">
        <v>0</v>
      </c>
      <c r="J879" s="316"/>
      <c r="K879" s="11">
        <v>21600</v>
      </c>
      <c r="L879" s="359" t="s">
        <v>20346</v>
      </c>
      <c r="M879" s="11">
        <v>0</v>
      </c>
      <c r="N879" s="316"/>
      <c r="O879" s="11">
        <v>0</v>
      </c>
      <c r="P879" s="25"/>
      <c r="Q879" s="11">
        <v>21600</v>
      </c>
    </row>
    <row r="880" spans="1:17" s="1" customFormat="1" ht="11.45">
      <c r="A880" s="348" t="s">
        <v>19230</v>
      </c>
      <c r="B880" s="365">
        <v>45296</v>
      </c>
      <c r="C880" s="348">
        <v>2024</v>
      </c>
      <c r="D880" s="348" t="s">
        <v>16838</v>
      </c>
      <c r="E880" s="348" t="s">
        <v>16839</v>
      </c>
      <c r="F880" s="348" t="s">
        <v>20155</v>
      </c>
      <c r="G880" s="348" t="s">
        <v>20321</v>
      </c>
      <c r="H880" s="365">
        <v>45303</v>
      </c>
      <c r="I880" s="348">
        <v>0</v>
      </c>
      <c r="J880" s="359" t="s">
        <v>20345</v>
      </c>
      <c r="K880" s="348">
        <v>157500</v>
      </c>
      <c r="L880" s="366"/>
      <c r="M880" s="348">
        <v>0</v>
      </c>
      <c r="N880" s="366"/>
      <c r="O880" s="348">
        <v>0</v>
      </c>
      <c r="P880" s="367"/>
      <c r="Q880" s="348">
        <v>157500</v>
      </c>
    </row>
    <row r="881" spans="1:17" s="1" customFormat="1" ht="11.45">
      <c r="A881" s="348" t="s">
        <v>19231</v>
      </c>
      <c r="B881" s="365">
        <v>45297</v>
      </c>
      <c r="C881" s="348">
        <v>2024</v>
      </c>
      <c r="D881" s="348" t="s">
        <v>16700</v>
      </c>
      <c r="E881" s="348" t="s">
        <v>16701</v>
      </c>
      <c r="F881" s="348" t="s">
        <v>20155</v>
      </c>
      <c r="G881" s="348" t="s">
        <v>17949</v>
      </c>
      <c r="H881" s="365">
        <v>45300</v>
      </c>
      <c r="I881" s="348">
        <v>110040</v>
      </c>
      <c r="J881" s="359" t="s">
        <v>20345</v>
      </c>
      <c r="K881" s="348">
        <v>0</v>
      </c>
      <c r="L881" s="366"/>
      <c r="M881" s="348">
        <v>0</v>
      </c>
      <c r="N881" s="366"/>
      <c r="O881" s="348">
        <v>0</v>
      </c>
      <c r="P881" s="367"/>
      <c r="Q881" s="348">
        <v>110040</v>
      </c>
    </row>
    <row r="882" spans="1:17" s="1" customFormat="1" ht="11.45">
      <c r="A882" s="348" t="s">
        <v>19232</v>
      </c>
      <c r="B882" s="365">
        <v>45297</v>
      </c>
      <c r="C882" s="348">
        <v>2024</v>
      </c>
      <c r="D882" s="348" t="s">
        <v>16444</v>
      </c>
      <c r="E882" s="348" t="s">
        <v>16445</v>
      </c>
      <c r="F882" s="348" t="s">
        <v>20155</v>
      </c>
      <c r="G882" s="348" t="s">
        <v>18248</v>
      </c>
      <c r="H882" s="365">
        <v>45306</v>
      </c>
      <c r="I882" s="348">
        <v>15444</v>
      </c>
      <c r="J882" s="359" t="s">
        <v>20345</v>
      </c>
      <c r="K882" s="348">
        <v>39792</v>
      </c>
      <c r="L882" s="359" t="s">
        <v>20346</v>
      </c>
      <c r="M882" s="348">
        <v>600</v>
      </c>
      <c r="N882" s="359" t="s">
        <v>20347</v>
      </c>
      <c r="O882" s="348">
        <v>0</v>
      </c>
      <c r="P882" s="367"/>
      <c r="Q882" s="348">
        <v>55836</v>
      </c>
    </row>
    <row r="883" spans="1:17" s="1" customFormat="1" ht="11.45">
      <c r="A883" s="348" t="s">
        <v>19233</v>
      </c>
      <c r="B883" s="365">
        <v>45297</v>
      </c>
      <c r="C883" s="348">
        <v>2024</v>
      </c>
      <c r="D883" s="348" t="s">
        <v>16444</v>
      </c>
      <c r="E883" s="348" t="s">
        <v>16445</v>
      </c>
      <c r="F883" s="348" t="s">
        <v>20155</v>
      </c>
      <c r="G883" s="348" t="s">
        <v>18248</v>
      </c>
      <c r="H883" s="365">
        <v>45306</v>
      </c>
      <c r="I883" s="348">
        <v>15456</v>
      </c>
      <c r="J883" s="359" t="s">
        <v>20345</v>
      </c>
      <c r="K883" s="348">
        <v>39792</v>
      </c>
      <c r="L883" s="359" t="s">
        <v>20346</v>
      </c>
      <c r="M883" s="348">
        <v>600</v>
      </c>
      <c r="N883" s="359" t="s">
        <v>20347</v>
      </c>
      <c r="O883" s="348">
        <v>0</v>
      </c>
      <c r="P883" s="367"/>
      <c r="Q883" s="348">
        <v>55848</v>
      </c>
    </row>
    <row r="884" spans="1:17" s="1" customFormat="1" ht="11.45">
      <c r="A884" s="348" t="s">
        <v>19234</v>
      </c>
      <c r="B884" s="365">
        <v>45299</v>
      </c>
      <c r="C884" s="348">
        <v>2024</v>
      </c>
      <c r="D884" s="348" t="s">
        <v>16643</v>
      </c>
      <c r="E884" s="348" t="s">
        <v>16644</v>
      </c>
      <c r="F884" s="348" t="s">
        <v>20155</v>
      </c>
      <c r="G884" s="348" t="s">
        <v>18227</v>
      </c>
      <c r="H884" s="365">
        <v>45308</v>
      </c>
      <c r="I884" s="348">
        <v>0</v>
      </c>
      <c r="J884" s="366"/>
      <c r="K884" s="348">
        <v>40800</v>
      </c>
      <c r="L884" s="359" t="s">
        <v>20346</v>
      </c>
      <c r="M884" s="348">
        <v>0</v>
      </c>
      <c r="N884" s="366"/>
      <c r="O884" s="348">
        <v>0</v>
      </c>
      <c r="P884" s="367"/>
      <c r="Q884" s="348">
        <v>40800</v>
      </c>
    </row>
    <row r="885" spans="1:17" s="1" customFormat="1" ht="11.45">
      <c r="A885" s="348" t="s">
        <v>19235</v>
      </c>
      <c r="B885" s="365">
        <v>45299</v>
      </c>
      <c r="C885" s="348">
        <v>2024</v>
      </c>
      <c r="D885" s="348" t="s">
        <v>17304</v>
      </c>
      <c r="E885" s="348" t="s">
        <v>17305</v>
      </c>
      <c r="F885" s="348" t="s">
        <v>20155</v>
      </c>
      <c r="G885" s="348" t="s">
        <v>17954</v>
      </c>
      <c r="H885" s="365">
        <v>45318</v>
      </c>
      <c r="I885" s="348">
        <v>0</v>
      </c>
      <c r="J885" s="366"/>
      <c r="K885" s="348">
        <v>0</v>
      </c>
      <c r="L885" s="366"/>
      <c r="M885" s="348">
        <v>4320</v>
      </c>
      <c r="N885" s="360">
        <v>1</v>
      </c>
      <c r="O885" s="348">
        <v>400</v>
      </c>
      <c r="P885" s="360">
        <v>1</v>
      </c>
      <c r="Q885" s="348">
        <v>4720</v>
      </c>
    </row>
    <row r="886" spans="1:17" s="1" customFormat="1" ht="11.45">
      <c r="A886" s="348" t="s">
        <v>19236</v>
      </c>
      <c r="B886" s="365">
        <v>45299</v>
      </c>
      <c r="C886" s="348">
        <v>2024</v>
      </c>
      <c r="D886" s="348" t="s">
        <v>16783</v>
      </c>
      <c r="E886" s="348" t="s">
        <v>16784</v>
      </c>
      <c r="F886" s="348" t="s">
        <v>20155</v>
      </c>
      <c r="G886" s="348" t="s">
        <v>17939</v>
      </c>
      <c r="H886" s="365">
        <v>45303</v>
      </c>
      <c r="I886" s="348">
        <v>0</v>
      </c>
      <c r="J886" s="366"/>
      <c r="K886" s="348">
        <v>25000</v>
      </c>
      <c r="L886" s="359" t="s">
        <v>20345</v>
      </c>
      <c r="M886" s="348">
        <v>10000</v>
      </c>
      <c r="N886" s="359" t="s">
        <v>20345</v>
      </c>
      <c r="O886" s="348">
        <v>0</v>
      </c>
      <c r="P886" s="367"/>
      <c r="Q886" s="348">
        <v>35000</v>
      </c>
    </row>
    <row r="887" spans="1:17" s="1" customFormat="1" ht="11.45">
      <c r="A887" s="348" t="s">
        <v>19237</v>
      </c>
      <c r="B887" s="365">
        <v>45300</v>
      </c>
      <c r="C887" s="348">
        <v>2024</v>
      </c>
      <c r="D887" s="348" t="s">
        <v>16444</v>
      </c>
      <c r="E887" s="348" t="s">
        <v>16445</v>
      </c>
      <c r="F887" s="348" t="s">
        <v>20155</v>
      </c>
      <c r="G887" s="348" t="s">
        <v>17693</v>
      </c>
      <c r="H887" s="365">
        <v>45309</v>
      </c>
      <c r="I887" s="348">
        <v>20750</v>
      </c>
      <c r="J887" s="359" t="s">
        <v>20345</v>
      </c>
      <c r="K887" s="348">
        <v>0</v>
      </c>
      <c r="L887" s="366"/>
      <c r="M887" s="348">
        <v>0</v>
      </c>
      <c r="N887" s="366"/>
      <c r="O887" s="348">
        <v>0</v>
      </c>
      <c r="P887" s="367"/>
      <c r="Q887" s="348">
        <v>20750</v>
      </c>
    </row>
    <row r="888" spans="1:17" s="1" customFormat="1" ht="11.45">
      <c r="A888" s="348" t="s">
        <v>19238</v>
      </c>
      <c r="B888" s="365">
        <v>45300</v>
      </c>
      <c r="C888" s="348">
        <v>2024</v>
      </c>
      <c r="D888" s="348" t="s">
        <v>16838</v>
      </c>
      <c r="E888" s="348" t="s">
        <v>16839</v>
      </c>
      <c r="F888" s="348" t="s">
        <v>20155</v>
      </c>
      <c r="G888" s="348" t="s">
        <v>17771</v>
      </c>
      <c r="H888" s="365">
        <v>45308</v>
      </c>
      <c r="I888" s="348">
        <v>6000</v>
      </c>
      <c r="J888" s="359" t="s">
        <v>20345</v>
      </c>
      <c r="K888" s="348">
        <v>21840</v>
      </c>
      <c r="L888" s="359" t="s">
        <v>20346</v>
      </c>
      <c r="M888" s="348">
        <v>56000</v>
      </c>
      <c r="N888" s="359" t="s">
        <v>20347</v>
      </c>
      <c r="O888" s="348">
        <v>0</v>
      </c>
      <c r="P888" s="367"/>
      <c r="Q888" s="348">
        <v>83840</v>
      </c>
    </row>
    <row r="889" spans="1:17" s="1" customFormat="1" ht="11.45">
      <c r="A889" s="348" t="s">
        <v>19239</v>
      </c>
      <c r="B889" s="365">
        <v>45300</v>
      </c>
      <c r="C889" s="348">
        <v>2024</v>
      </c>
      <c r="D889" s="348" t="s">
        <v>16904</v>
      </c>
      <c r="E889" s="348" t="s">
        <v>16905</v>
      </c>
      <c r="F889" s="348" t="s">
        <v>20155</v>
      </c>
      <c r="G889" s="348" t="s">
        <v>20160</v>
      </c>
      <c r="H889" s="365">
        <v>45309</v>
      </c>
      <c r="I889" s="348">
        <v>0</v>
      </c>
      <c r="J889" s="366"/>
      <c r="K889" s="348">
        <v>23976</v>
      </c>
      <c r="L889" s="360">
        <v>1</v>
      </c>
      <c r="M889" s="348">
        <v>0</v>
      </c>
      <c r="N889" s="366"/>
      <c r="O889" s="348">
        <v>0</v>
      </c>
      <c r="P889" s="367"/>
      <c r="Q889" s="348">
        <v>23976</v>
      </c>
    </row>
    <row r="890" spans="1:17" s="1" customFormat="1" ht="11.45">
      <c r="A890" s="348" t="s">
        <v>19240</v>
      </c>
      <c r="B890" s="365">
        <v>45300</v>
      </c>
      <c r="C890" s="348">
        <v>2024</v>
      </c>
      <c r="D890" s="348" t="s">
        <v>17364</v>
      </c>
      <c r="E890" s="348" t="s">
        <v>17365</v>
      </c>
      <c r="F890" s="348" t="s">
        <v>20155</v>
      </c>
      <c r="G890" s="348" t="s">
        <v>20367</v>
      </c>
      <c r="H890" s="365">
        <v>45314</v>
      </c>
      <c r="I890" s="348">
        <v>0</v>
      </c>
      <c r="J890" s="366"/>
      <c r="K890" s="348">
        <v>21005</v>
      </c>
      <c r="L890" s="359" t="s">
        <v>20346</v>
      </c>
      <c r="M890" s="348">
        <v>0</v>
      </c>
      <c r="N890" s="366"/>
      <c r="O890" s="348">
        <v>0</v>
      </c>
      <c r="P890" s="367"/>
      <c r="Q890" s="348">
        <v>21005</v>
      </c>
    </row>
    <row r="891" spans="1:17" s="1" customFormat="1" ht="11.45">
      <c r="A891" s="348" t="s">
        <v>19242</v>
      </c>
      <c r="B891" s="365">
        <v>45301</v>
      </c>
      <c r="C891" s="348">
        <v>2024</v>
      </c>
      <c r="D891" s="348" t="s">
        <v>17342</v>
      </c>
      <c r="E891" s="348" t="s">
        <v>17343</v>
      </c>
      <c r="F891" s="348" t="s">
        <v>20155</v>
      </c>
      <c r="G891" s="348" t="s">
        <v>16394</v>
      </c>
      <c r="H891" s="365">
        <v>45307</v>
      </c>
      <c r="I891" s="348">
        <v>0</v>
      </c>
      <c r="J891" s="366"/>
      <c r="K891" s="348">
        <v>18144</v>
      </c>
      <c r="L891" s="360">
        <v>1</v>
      </c>
      <c r="M891" s="348">
        <v>3600</v>
      </c>
      <c r="N891" s="360">
        <v>1</v>
      </c>
      <c r="O891" s="348">
        <v>1120</v>
      </c>
      <c r="P891" s="360">
        <v>1</v>
      </c>
      <c r="Q891" s="348">
        <v>22864</v>
      </c>
    </row>
    <row r="892" spans="1:17" s="1" customFormat="1" ht="11.45">
      <c r="A892" s="348" t="s">
        <v>19243</v>
      </c>
      <c r="B892" s="365">
        <v>45301</v>
      </c>
      <c r="C892" s="348">
        <v>2024</v>
      </c>
      <c r="D892" s="348" t="s">
        <v>16880</v>
      </c>
      <c r="E892" s="348" t="s">
        <v>16881</v>
      </c>
      <c r="F892" s="348" t="s">
        <v>20155</v>
      </c>
      <c r="G892" s="348" t="s">
        <v>20156</v>
      </c>
      <c r="H892" s="365">
        <v>45317</v>
      </c>
      <c r="I892" s="348">
        <v>2570</v>
      </c>
      <c r="J892" s="360">
        <v>1</v>
      </c>
      <c r="K892" s="348">
        <v>19150</v>
      </c>
      <c r="L892" s="360">
        <v>1</v>
      </c>
      <c r="M892" s="348">
        <v>0</v>
      </c>
      <c r="N892" s="366"/>
      <c r="O892" s="348">
        <v>0</v>
      </c>
      <c r="P892" s="367"/>
      <c r="Q892" s="348">
        <v>21720</v>
      </c>
    </row>
    <row r="893" spans="1:17" s="1" customFormat="1" ht="11.45">
      <c r="A893" s="348" t="s">
        <v>19244</v>
      </c>
      <c r="B893" s="365">
        <v>45302</v>
      </c>
      <c r="C893" s="348">
        <v>2024</v>
      </c>
      <c r="D893" s="348" t="s">
        <v>16444</v>
      </c>
      <c r="E893" s="348" t="s">
        <v>16445</v>
      </c>
      <c r="F893" s="348" t="s">
        <v>20155</v>
      </c>
      <c r="G893" s="348" t="s">
        <v>17965</v>
      </c>
      <c r="H893" s="365">
        <v>45309</v>
      </c>
      <c r="I893" s="348">
        <v>19200</v>
      </c>
      <c r="J893" s="359" t="s">
        <v>20345</v>
      </c>
      <c r="K893" s="348">
        <v>0</v>
      </c>
      <c r="L893" s="366"/>
      <c r="M893" s="348">
        <v>0</v>
      </c>
      <c r="N893" s="366"/>
      <c r="O893" s="348">
        <v>0</v>
      </c>
      <c r="P893" s="367"/>
      <c r="Q893" s="348">
        <v>19200</v>
      </c>
    </row>
    <row r="894" spans="1:17" s="1" customFormat="1" ht="11.45">
      <c r="A894" s="348" t="s">
        <v>19245</v>
      </c>
      <c r="B894" s="365">
        <v>45302</v>
      </c>
      <c r="C894" s="348">
        <v>2024</v>
      </c>
      <c r="D894" s="348" t="s">
        <v>16444</v>
      </c>
      <c r="E894" s="348" t="s">
        <v>16445</v>
      </c>
      <c r="F894" s="348" t="s">
        <v>20155</v>
      </c>
      <c r="G894" s="348" t="s">
        <v>18248</v>
      </c>
      <c r="H894" s="365">
        <v>45309</v>
      </c>
      <c r="I894" s="348">
        <v>0</v>
      </c>
      <c r="J894" s="366"/>
      <c r="K894" s="348">
        <v>25200</v>
      </c>
      <c r="L894" s="359" t="s">
        <v>20346</v>
      </c>
      <c r="M894" s="348">
        <v>0</v>
      </c>
      <c r="N894" s="366"/>
      <c r="O894" s="348">
        <v>0</v>
      </c>
      <c r="P894" s="367"/>
      <c r="Q894" s="348">
        <v>25200</v>
      </c>
    </row>
    <row r="895" spans="1:17" s="1" customFormat="1" ht="11.45">
      <c r="A895" s="348" t="s">
        <v>19246</v>
      </c>
      <c r="B895" s="365">
        <v>45302</v>
      </c>
      <c r="C895" s="348">
        <v>2024</v>
      </c>
      <c r="D895" s="348" t="s">
        <v>16444</v>
      </c>
      <c r="E895" s="348" t="s">
        <v>16445</v>
      </c>
      <c r="F895" s="348" t="s">
        <v>20155</v>
      </c>
      <c r="G895" s="348" t="s">
        <v>18248</v>
      </c>
      <c r="H895" s="365">
        <v>45322</v>
      </c>
      <c r="I895" s="348">
        <v>35760</v>
      </c>
      <c r="J895" s="359" t="s">
        <v>20345</v>
      </c>
      <c r="K895" s="348">
        <v>20400</v>
      </c>
      <c r="L895" s="359" t="s">
        <v>20346</v>
      </c>
      <c r="M895" s="348">
        <v>0</v>
      </c>
      <c r="N895" s="366"/>
      <c r="O895" s="348">
        <v>0</v>
      </c>
      <c r="P895" s="367"/>
      <c r="Q895" s="348">
        <v>56160</v>
      </c>
    </row>
    <row r="896" spans="1:17" s="1" customFormat="1" ht="11.45">
      <c r="A896" s="348" t="s">
        <v>19247</v>
      </c>
      <c r="B896" s="365">
        <v>45302</v>
      </c>
      <c r="C896" s="348">
        <v>2024</v>
      </c>
      <c r="D896" s="348" t="s">
        <v>17367</v>
      </c>
      <c r="E896" s="348" t="s">
        <v>17368</v>
      </c>
      <c r="F896" s="348" t="s">
        <v>20155</v>
      </c>
      <c r="G896" s="348" t="s">
        <v>20368</v>
      </c>
      <c r="H896" s="365">
        <v>45314</v>
      </c>
      <c r="I896" s="348">
        <v>6000</v>
      </c>
      <c r="J896" s="360">
        <v>1</v>
      </c>
      <c r="K896" s="348">
        <v>0</v>
      </c>
      <c r="L896" s="366"/>
      <c r="M896" s="348">
        <v>0</v>
      </c>
      <c r="N896" s="366"/>
      <c r="O896" s="348">
        <v>0</v>
      </c>
      <c r="P896" s="367"/>
      <c r="Q896" s="348">
        <v>6000</v>
      </c>
    </row>
    <row r="897" spans="1:17" s="1" customFormat="1" ht="11.45">
      <c r="A897" s="348" t="s">
        <v>19249</v>
      </c>
      <c r="B897" s="365">
        <v>45304</v>
      </c>
      <c r="C897" s="348">
        <v>2024</v>
      </c>
      <c r="D897" s="348" t="s">
        <v>17017</v>
      </c>
      <c r="E897" s="348" t="s">
        <v>17018</v>
      </c>
      <c r="F897" s="348" t="s">
        <v>20155</v>
      </c>
      <c r="G897" s="348" t="s">
        <v>20350</v>
      </c>
      <c r="H897" s="365">
        <v>45314</v>
      </c>
      <c r="I897" s="348">
        <v>0</v>
      </c>
      <c r="J897" s="366"/>
      <c r="K897" s="348">
        <v>8000</v>
      </c>
      <c r="L897" s="360">
        <v>1</v>
      </c>
      <c r="M897" s="348">
        <v>0</v>
      </c>
      <c r="N897" s="366"/>
      <c r="O897" s="348">
        <v>0</v>
      </c>
      <c r="P897" s="367"/>
      <c r="Q897" s="348">
        <v>8000</v>
      </c>
    </row>
    <row r="898" spans="1:17" s="1" customFormat="1" ht="11.45">
      <c r="A898" s="348" t="s">
        <v>19250</v>
      </c>
      <c r="B898" s="365">
        <v>45304</v>
      </c>
      <c r="C898" s="348">
        <v>2024</v>
      </c>
      <c r="D898" s="348" t="s">
        <v>17017</v>
      </c>
      <c r="E898" s="348" t="s">
        <v>17018</v>
      </c>
      <c r="F898" s="348" t="s">
        <v>20155</v>
      </c>
      <c r="G898" s="348" t="s">
        <v>17238</v>
      </c>
      <c r="H898" s="365">
        <v>45412</v>
      </c>
      <c r="I898" s="348">
        <v>3840</v>
      </c>
      <c r="J898" s="360">
        <v>1</v>
      </c>
      <c r="K898" s="348">
        <v>5016</v>
      </c>
      <c r="L898" s="360">
        <v>1</v>
      </c>
      <c r="M898" s="348">
        <v>5400</v>
      </c>
      <c r="N898" s="360">
        <v>1</v>
      </c>
      <c r="O898" s="348">
        <v>2020</v>
      </c>
      <c r="P898" s="360">
        <v>1</v>
      </c>
      <c r="Q898" s="348">
        <v>16276</v>
      </c>
    </row>
    <row r="899" spans="1:17" s="1" customFormat="1" ht="11.45">
      <c r="A899" s="348" t="s">
        <v>19251</v>
      </c>
      <c r="B899" s="365">
        <v>45304</v>
      </c>
      <c r="C899" s="348">
        <v>2024</v>
      </c>
      <c r="D899" s="348" t="s">
        <v>17017</v>
      </c>
      <c r="E899" s="348" t="s">
        <v>17018</v>
      </c>
      <c r="F899" s="348" t="s">
        <v>20155</v>
      </c>
      <c r="G899" s="348" t="s">
        <v>20350</v>
      </c>
      <c r="H899" s="365">
        <v>45322</v>
      </c>
      <c r="I899" s="348">
        <v>22500</v>
      </c>
      <c r="J899" s="360">
        <v>1</v>
      </c>
      <c r="K899" s="348">
        <v>1250</v>
      </c>
      <c r="L899" s="360">
        <v>1</v>
      </c>
      <c r="M899" s="348">
        <v>0</v>
      </c>
      <c r="N899" s="366"/>
      <c r="O899" s="348">
        <v>0</v>
      </c>
      <c r="P899" s="367"/>
      <c r="Q899" s="348">
        <v>23750</v>
      </c>
    </row>
    <row r="900" spans="1:17" s="1" customFormat="1" ht="11.45">
      <c r="A900" s="348" t="s">
        <v>19252</v>
      </c>
      <c r="B900" s="365">
        <v>45304</v>
      </c>
      <c r="C900" s="348">
        <v>2024</v>
      </c>
      <c r="D900" s="348" t="s">
        <v>16560</v>
      </c>
      <c r="E900" s="348" t="s">
        <v>16561</v>
      </c>
      <c r="F900" s="348" t="s">
        <v>20155</v>
      </c>
      <c r="G900" s="348" t="s">
        <v>17801</v>
      </c>
      <c r="H900" s="365">
        <v>45316</v>
      </c>
      <c r="I900" s="348">
        <v>0</v>
      </c>
      <c r="J900" s="366"/>
      <c r="K900" s="348">
        <v>0</v>
      </c>
      <c r="L900" s="366"/>
      <c r="M900" s="348">
        <v>165000</v>
      </c>
      <c r="N900" s="359" t="s">
        <v>20347</v>
      </c>
      <c r="O900" s="348">
        <v>0</v>
      </c>
      <c r="P900" s="367"/>
      <c r="Q900" s="348">
        <v>165000</v>
      </c>
    </row>
    <row r="901" spans="1:17" s="1" customFormat="1" ht="11.45">
      <c r="A901" s="348" t="s">
        <v>19253</v>
      </c>
      <c r="B901" s="365">
        <v>45304</v>
      </c>
      <c r="C901" s="348">
        <v>2024</v>
      </c>
      <c r="D901" s="348" t="s">
        <v>16560</v>
      </c>
      <c r="E901" s="348" t="s">
        <v>16561</v>
      </c>
      <c r="F901" s="348" t="s">
        <v>20155</v>
      </c>
      <c r="G901" s="348" t="s">
        <v>17801</v>
      </c>
      <c r="H901" s="365">
        <v>45321</v>
      </c>
      <c r="I901" s="348">
        <v>0</v>
      </c>
      <c r="J901" s="366"/>
      <c r="K901" s="348">
        <v>0</v>
      </c>
      <c r="L901" s="366"/>
      <c r="M901" s="348">
        <v>165000</v>
      </c>
      <c r="N901" s="359" t="s">
        <v>20347</v>
      </c>
      <c r="O901" s="348">
        <v>0</v>
      </c>
      <c r="P901" s="367"/>
      <c r="Q901" s="348">
        <v>165000</v>
      </c>
    </row>
    <row r="902" spans="1:17" s="1" customFormat="1" ht="11.45">
      <c r="A902" s="348" t="s">
        <v>19254</v>
      </c>
      <c r="B902" s="365">
        <v>45304</v>
      </c>
      <c r="C902" s="348">
        <v>2024</v>
      </c>
      <c r="D902" s="348" t="s">
        <v>17362</v>
      </c>
      <c r="E902" s="348" t="s">
        <v>17363</v>
      </c>
      <c r="F902" s="348" t="s">
        <v>20155</v>
      </c>
      <c r="G902" s="348" t="s">
        <v>17693</v>
      </c>
      <c r="H902" s="365">
        <v>45322</v>
      </c>
      <c r="I902" s="348">
        <v>0</v>
      </c>
      <c r="J902" s="366"/>
      <c r="K902" s="348">
        <v>0</v>
      </c>
      <c r="L902" s="366"/>
      <c r="M902" s="348">
        <v>28000</v>
      </c>
      <c r="N902" s="359" t="s">
        <v>20347</v>
      </c>
      <c r="O902" s="348">
        <v>0</v>
      </c>
      <c r="P902" s="367"/>
      <c r="Q902" s="348">
        <v>28000</v>
      </c>
    </row>
    <row r="903" spans="1:17" s="1" customFormat="1" ht="11.45">
      <c r="A903" s="348" t="s">
        <v>19255</v>
      </c>
      <c r="B903" s="365">
        <v>45307</v>
      </c>
      <c r="C903" s="348">
        <v>2024</v>
      </c>
      <c r="D903" s="348" t="s">
        <v>16838</v>
      </c>
      <c r="E903" s="348" t="s">
        <v>16839</v>
      </c>
      <c r="F903" s="348" t="s">
        <v>20155</v>
      </c>
      <c r="G903" s="348" t="s">
        <v>17949</v>
      </c>
      <c r="H903" s="365">
        <v>45310</v>
      </c>
      <c r="I903" s="348">
        <v>22008</v>
      </c>
      <c r="J903" s="359" t="s">
        <v>20345</v>
      </c>
      <c r="K903" s="348">
        <v>0</v>
      </c>
      <c r="L903" s="366"/>
      <c r="M903" s="348">
        <v>0</v>
      </c>
      <c r="N903" s="366"/>
      <c r="O903" s="348">
        <v>0</v>
      </c>
      <c r="P903" s="367"/>
      <c r="Q903" s="348">
        <v>22008</v>
      </c>
    </row>
    <row r="904" spans="1:17" s="1" customFormat="1" ht="11.45">
      <c r="A904" s="348" t="s">
        <v>19256</v>
      </c>
      <c r="B904" s="365">
        <v>45307</v>
      </c>
      <c r="C904" s="348">
        <v>2024</v>
      </c>
      <c r="D904" s="348" t="s">
        <v>16904</v>
      </c>
      <c r="E904" s="348" t="s">
        <v>16905</v>
      </c>
      <c r="F904" s="348" t="s">
        <v>20155</v>
      </c>
      <c r="G904" s="348" t="s">
        <v>20160</v>
      </c>
      <c r="H904" s="365">
        <v>45317</v>
      </c>
      <c r="I904" s="348">
        <v>0</v>
      </c>
      <c r="J904" s="366"/>
      <c r="K904" s="348">
        <v>21168</v>
      </c>
      <c r="L904" s="360">
        <v>1</v>
      </c>
      <c r="M904" s="348">
        <v>6000</v>
      </c>
      <c r="N904" s="360">
        <v>1</v>
      </c>
      <c r="O904" s="348">
        <v>0</v>
      </c>
      <c r="P904" s="367"/>
      <c r="Q904" s="348">
        <v>27168</v>
      </c>
    </row>
    <row r="905" spans="1:17" s="1" customFormat="1" ht="11.45">
      <c r="A905" s="348" t="s">
        <v>19257</v>
      </c>
      <c r="B905" s="365">
        <v>45307</v>
      </c>
      <c r="C905" s="348">
        <v>2024</v>
      </c>
      <c r="D905" s="348" t="s">
        <v>16904</v>
      </c>
      <c r="E905" s="348" t="s">
        <v>16905</v>
      </c>
      <c r="F905" s="348" t="s">
        <v>20155</v>
      </c>
      <c r="G905" s="348" t="s">
        <v>20160</v>
      </c>
      <c r="H905" s="365">
        <v>45314</v>
      </c>
      <c r="I905" s="348">
        <v>0</v>
      </c>
      <c r="J905" s="366"/>
      <c r="K905" s="348">
        <v>21600</v>
      </c>
      <c r="L905" s="360">
        <v>1</v>
      </c>
      <c r="M905" s="348">
        <v>6300</v>
      </c>
      <c r="N905" s="360">
        <v>1</v>
      </c>
      <c r="O905" s="348">
        <v>0</v>
      </c>
      <c r="P905" s="367"/>
      <c r="Q905" s="348">
        <v>27900</v>
      </c>
    </row>
    <row r="906" spans="1:17" s="1" customFormat="1" ht="11.45">
      <c r="A906" s="348" t="s">
        <v>19258</v>
      </c>
      <c r="B906" s="365">
        <v>45310</v>
      </c>
      <c r="C906" s="348">
        <v>2024</v>
      </c>
      <c r="D906" s="348" t="s">
        <v>16957</v>
      </c>
      <c r="E906" s="348" t="s">
        <v>16958</v>
      </c>
      <c r="F906" s="348" t="s">
        <v>20155</v>
      </c>
      <c r="G906" s="348" t="s">
        <v>20161</v>
      </c>
      <c r="H906" s="365">
        <v>45342</v>
      </c>
      <c r="I906" s="348">
        <v>40304</v>
      </c>
      <c r="J906" s="360">
        <v>1</v>
      </c>
      <c r="K906" s="348">
        <v>0</v>
      </c>
      <c r="L906" s="366"/>
      <c r="M906" s="348">
        <v>0</v>
      </c>
      <c r="N906" s="366"/>
      <c r="O906" s="348">
        <v>0</v>
      </c>
      <c r="P906" s="367"/>
      <c r="Q906" s="348">
        <v>40304</v>
      </c>
    </row>
    <row r="907" spans="1:17" s="1" customFormat="1" ht="11.45">
      <c r="A907" s="348" t="s">
        <v>19259</v>
      </c>
      <c r="B907" s="365">
        <v>45310</v>
      </c>
      <c r="C907" s="348">
        <v>2024</v>
      </c>
      <c r="D907" s="348" t="s">
        <v>16957</v>
      </c>
      <c r="E907" s="348" t="s">
        <v>16958</v>
      </c>
      <c r="F907" s="348" t="s">
        <v>20155</v>
      </c>
      <c r="G907" s="348" t="s">
        <v>20161</v>
      </c>
      <c r="H907" s="365">
        <v>45343</v>
      </c>
      <c r="I907" s="348">
        <v>40300</v>
      </c>
      <c r="J907" s="359" t="s">
        <v>20345</v>
      </c>
      <c r="K907" s="348">
        <v>0</v>
      </c>
      <c r="L907" s="366"/>
      <c r="M907" s="348">
        <v>0</v>
      </c>
      <c r="N907" s="366"/>
      <c r="O907" s="348">
        <v>0</v>
      </c>
      <c r="P907" s="367"/>
      <c r="Q907" s="348">
        <v>40300</v>
      </c>
    </row>
    <row r="908" spans="1:17" s="1" customFormat="1" ht="11.45">
      <c r="A908" s="348" t="s">
        <v>19260</v>
      </c>
      <c r="B908" s="365">
        <v>45313</v>
      </c>
      <c r="C908" s="348">
        <v>2024</v>
      </c>
      <c r="D908" s="348" t="s">
        <v>16838</v>
      </c>
      <c r="E908" s="348" t="s">
        <v>16839</v>
      </c>
      <c r="F908" s="348" t="s">
        <v>20155</v>
      </c>
      <c r="G908" s="348" t="s">
        <v>20321</v>
      </c>
      <c r="H908" s="365">
        <v>45317</v>
      </c>
      <c r="I908" s="348">
        <v>0</v>
      </c>
      <c r="J908" s="366"/>
      <c r="K908" s="348">
        <v>157500</v>
      </c>
      <c r="L908" s="359" t="s">
        <v>20347</v>
      </c>
      <c r="M908" s="348">
        <v>0</v>
      </c>
      <c r="N908" s="366"/>
      <c r="O908" s="348">
        <v>0</v>
      </c>
      <c r="P908" s="367"/>
      <c r="Q908" s="348">
        <v>157500</v>
      </c>
    </row>
    <row r="909" spans="1:17" s="1" customFormat="1" ht="11.45">
      <c r="A909" s="348" t="s">
        <v>19261</v>
      </c>
      <c r="B909" s="365">
        <v>45314</v>
      </c>
      <c r="C909" s="348">
        <v>2024</v>
      </c>
      <c r="D909" s="348" t="s">
        <v>17342</v>
      </c>
      <c r="E909" s="348" t="s">
        <v>17343</v>
      </c>
      <c r="F909" s="348" t="s">
        <v>20155</v>
      </c>
      <c r="G909" s="348" t="s">
        <v>16394</v>
      </c>
      <c r="H909" s="365">
        <v>45315</v>
      </c>
      <c r="I909" s="348">
        <v>0</v>
      </c>
      <c r="J909" s="366"/>
      <c r="K909" s="348">
        <v>19848</v>
      </c>
      <c r="L909" s="360">
        <v>1</v>
      </c>
      <c r="M909" s="348">
        <v>1200</v>
      </c>
      <c r="N909" s="360">
        <v>1</v>
      </c>
      <c r="O909" s="348">
        <v>2180</v>
      </c>
      <c r="P909" s="360">
        <v>1</v>
      </c>
      <c r="Q909" s="348">
        <v>23228</v>
      </c>
    </row>
    <row r="910" spans="1:17" s="1" customFormat="1" ht="11.45">
      <c r="A910" s="348" t="s">
        <v>19262</v>
      </c>
      <c r="B910" s="365">
        <v>45314</v>
      </c>
      <c r="C910" s="348">
        <v>2024</v>
      </c>
      <c r="D910" s="348" t="s">
        <v>17248</v>
      </c>
      <c r="E910" s="348" t="s">
        <v>17249</v>
      </c>
      <c r="F910" s="348" t="s">
        <v>20155</v>
      </c>
      <c r="G910" s="348" t="s">
        <v>17954</v>
      </c>
      <c r="H910" s="365">
        <v>45317</v>
      </c>
      <c r="I910" s="348">
        <v>0</v>
      </c>
      <c r="J910" s="366"/>
      <c r="K910" s="348">
        <v>22278</v>
      </c>
      <c r="L910" s="360">
        <v>1</v>
      </c>
      <c r="M910" s="348">
        <v>1200</v>
      </c>
      <c r="N910" s="360">
        <v>1</v>
      </c>
      <c r="O910" s="348">
        <v>0</v>
      </c>
      <c r="P910" s="367"/>
      <c r="Q910" s="348">
        <v>23478</v>
      </c>
    </row>
    <row r="911" spans="1:17" s="1" customFormat="1" ht="11.45">
      <c r="A911" s="348" t="s">
        <v>19263</v>
      </c>
      <c r="B911" s="365">
        <v>45314</v>
      </c>
      <c r="C911" s="348">
        <v>2024</v>
      </c>
      <c r="D911" s="348" t="s">
        <v>17304</v>
      </c>
      <c r="E911" s="348" t="s">
        <v>17305</v>
      </c>
      <c r="F911" s="348" t="s">
        <v>20155</v>
      </c>
      <c r="G911" s="348" t="s">
        <v>17954</v>
      </c>
      <c r="H911" s="365">
        <v>45317</v>
      </c>
      <c r="I911" s="348">
        <v>2400</v>
      </c>
      <c r="J911" s="360">
        <v>1</v>
      </c>
      <c r="K911" s="348">
        <v>14402</v>
      </c>
      <c r="L911" s="360">
        <v>1</v>
      </c>
      <c r="M911" s="348">
        <v>2880</v>
      </c>
      <c r="N911" s="360">
        <v>1</v>
      </c>
      <c r="O911" s="348">
        <v>250</v>
      </c>
      <c r="P911" s="360">
        <v>1</v>
      </c>
      <c r="Q911" s="348">
        <v>19932</v>
      </c>
    </row>
    <row r="912" spans="1:17" s="1" customFormat="1" ht="11.45">
      <c r="A912" s="348" t="s">
        <v>19264</v>
      </c>
      <c r="B912" s="365">
        <v>45314</v>
      </c>
      <c r="C912" s="348">
        <v>2024</v>
      </c>
      <c r="D912" s="348" t="s">
        <v>17119</v>
      </c>
      <c r="E912" s="348" t="s">
        <v>17120</v>
      </c>
      <c r="F912" s="348" t="s">
        <v>20155</v>
      </c>
      <c r="G912" s="348" t="s">
        <v>17965</v>
      </c>
      <c r="H912" s="365">
        <v>45317</v>
      </c>
      <c r="I912" s="348">
        <v>0</v>
      </c>
      <c r="J912" s="366"/>
      <c r="K912" s="348">
        <v>0</v>
      </c>
      <c r="L912" s="366"/>
      <c r="M912" s="348">
        <v>130000</v>
      </c>
      <c r="N912" s="359" t="s">
        <v>20347</v>
      </c>
      <c r="O912" s="348">
        <v>0</v>
      </c>
      <c r="P912" s="367"/>
      <c r="Q912" s="348">
        <v>130000</v>
      </c>
    </row>
    <row r="913" spans="1:17" s="1" customFormat="1" ht="11.45">
      <c r="A913" s="348" t="s">
        <v>19265</v>
      </c>
      <c r="B913" s="365">
        <v>45314</v>
      </c>
      <c r="C913" s="348">
        <v>2024</v>
      </c>
      <c r="D913" s="348" t="s">
        <v>16384</v>
      </c>
      <c r="E913" s="348" t="s">
        <v>16385</v>
      </c>
      <c r="F913" s="348" t="s">
        <v>20155</v>
      </c>
      <c r="G913" s="348" t="s">
        <v>17965</v>
      </c>
      <c r="H913" s="365">
        <v>45318</v>
      </c>
      <c r="I913" s="348">
        <v>76800</v>
      </c>
      <c r="J913" s="359" t="s">
        <v>20345</v>
      </c>
      <c r="K913" s="348">
        <v>0</v>
      </c>
      <c r="L913" s="366"/>
      <c r="M913" s="348">
        <v>0</v>
      </c>
      <c r="N913" s="366"/>
      <c r="O913" s="348">
        <v>0</v>
      </c>
      <c r="P913" s="367"/>
      <c r="Q913" s="348">
        <v>76800</v>
      </c>
    </row>
    <row r="914" spans="1:17" s="1" customFormat="1" ht="11.45">
      <c r="A914" s="348" t="s">
        <v>19266</v>
      </c>
      <c r="B914" s="365">
        <v>45314</v>
      </c>
      <c r="C914" s="348">
        <v>2024</v>
      </c>
      <c r="D914" s="348" t="s">
        <v>16470</v>
      </c>
      <c r="E914" s="348" t="s">
        <v>16471</v>
      </c>
      <c r="F914" s="348" t="s">
        <v>20155</v>
      </c>
      <c r="G914" s="348" t="s">
        <v>18227</v>
      </c>
      <c r="H914" s="365">
        <v>45322</v>
      </c>
      <c r="I914" s="348">
        <v>11376</v>
      </c>
      <c r="J914" s="359" t="s">
        <v>20345</v>
      </c>
      <c r="K914" s="348">
        <v>242506</v>
      </c>
      <c r="L914" s="359" t="s">
        <v>20346</v>
      </c>
      <c r="M914" s="348">
        <v>16000</v>
      </c>
      <c r="N914" s="359" t="s">
        <v>20347</v>
      </c>
      <c r="O914" s="348">
        <v>0</v>
      </c>
      <c r="P914" s="367"/>
      <c r="Q914" s="348">
        <v>269882</v>
      </c>
    </row>
    <row r="915" spans="1:17" s="1" customFormat="1" ht="11.45">
      <c r="A915" s="348" t="s">
        <v>19267</v>
      </c>
      <c r="B915" s="365">
        <v>45314</v>
      </c>
      <c r="C915" s="348">
        <v>2024</v>
      </c>
      <c r="D915" s="348" t="s">
        <v>17209</v>
      </c>
      <c r="E915" s="348" t="s">
        <v>17210</v>
      </c>
      <c r="F915" s="348" t="s">
        <v>20155</v>
      </c>
      <c r="G915" s="348" t="s">
        <v>20168</v>
      </c>
      <c r="H915" s="365">
        <v>45320</v>
      </c>
      <c r="I915" s="348">
        <v>6000</v>
      </c>
      <c r="J915" s="360">
        <v>1</v>
      </c>
      <c r="K915" s="348">
        <v>6624</v>
      </c>
      <c r="L915" s="360">
        <v>1</v>
      </c>
      <c r="M915" s="348">
        <v>1536</v>
      </c>
      <c r="N915" s="360">
        <v>1</v>
      </c>
      <c r="O915" s="348">
        <v>1500</v>
      </c>
      <c r="P915" s="360">
        <v>1</v>
      </c>
      <c r="Q915" s="348">
        <v>15660</v>
      </c>
    </row>
    <row r="916" spans="1:17" s="1" customFormat="1" ht="11.45">
      <c r="A916" s="348" t="s">
        <v>19269</v>
      </c>
      <c r="B916" s="365">
        <v>45314</v>
      </c>
      <c r="C916" s="348">
        <v>2024</v>
      </c>
      <c r="D916" s="348" t="s">
        <v>17309</v>
      </c>
      <c r="E916" s="348" t="s">
        <v>17310</v>
      </c>
      <c r="F916" s="348" t="s">
        <v>20155</v>
      </c>
      <c r="G916" s="348" t="s">
        <v>20321</v>
      </c>
      <c r="H916" s="365" t="s">
        <v>20369</v>
      </c>
      <c r="I916" s="348">
        <v>128000</v>
      </c>
      <c r="J916" s="359" t="s">
        <v>20345</v>
      </c>
      <c r="K916" s="348">
        <v>0</v>
      </c>
      <c r="L916" s="366"/>
      <c r="M916" s="348">
        <v>240000</v>
      </c>
      <c r="N916" s="359" t="s">
        <v>20347</v>
      </c>
      <c r="O916" s="348">
        <v>0</v>
      </c>
      <c r="P916" s="367"/>
      <c r="Q916" s="348">
        <v>368000</v>
      </c>
    </row>
    <row r="917" spans="1:17" s="1" customFormat="1" ht="11.45">
      <c r="A917" s="348" t="s">
        <v>19270</v>
      </c>
      <c r="B917" s="365">
        <v>45314</v>
      </c>
      <c r="C917" s="348">
        <v>2024</v>
      </c>
      <c r="D917" s="348" t="s">
        <v>16783</v>
      </c>
      <c r="E917" s="348" t="s">
        <v>16784</v>
      </c>
      <c r="F917" s="348" t="s">
        <v>20155</v>
      </c>
      <c r="G917" s="348" t="s">
        <v>17939</v>
      </c>
      <c r="H917" s="365">
        <v>45320</v>
      </c>
      <c r="I917" s="348">
        <v>0</v>
      </c>
      <c r="J917" s="366"/>
      <c r="K917" s="348">
        <v>30000</v>
      </c>
      <c r="L917" s="359" t="s">
        <v>20345</v>
      </c>
      <c r="M917" s="348">
        <v>0</v>
      </c>
      <c r="N917" s="366"/>
      <c r="O917" s="348">
        <v>50000</v>
      </c>
      <c r="P917" s="360">
        <v>1</v>
      </c>
      <c r="Q917" s="348">
        <v>80000</v>
      </c>
    </row>
    <row r="918" spans="1:17" s="1" customFormat="1" ht="11.45">
      <c r="A918" s="348" t="s">
        <v>19271</v>
      </c>
      <c r="B918" s="365">
        <v>45320</v>
      </c>
      <c r="C918" s="348">
        <v>2024</v>
      </c>
      <c r="D918" s="348" t="s">
        <v>17342</v>
      </c>
      <c r="E918" s="348" t="s">
        <v>17343</v>
      </c>
      <c r="F918" s="348" t="s">
        <v>20155</v>
      </c>
      <c r="G918" s="348" t="s">
        <v>16394</v>
      </c>
      <c r="H918" s="365">
        <v>45322</v>
      </c>
      <c r="I918" s="348">
        <v>1920</v>
      </c>
      <c r="J918" s="360">
        <v>1</v>
      </c>
      <c r="K918" s="348">
        <v>17136</v>
      </c>
      <c r="L918" s="360">
        <v>1</v>
      </c>
      <c r="M918" s="348">
        <v>2400</v>
      </c>
      <c r="N918" s="360">
        <v>1</v>
      </c>
      <c r="O918" s="348">
        <v>760</v>
      </c>
      <c r="P918" s="360">
        <v>1</v>
      </c>
      <c r="Q918" s="348">
        <v>22216</v>
      </c>
    </row>
    <row r="919" spans="1:17" s="1" customFormat="1" ht="11.45">
      <c r="A919" s="348" t="s">
        <v>19272</v>
      </c>
      <c r="B919" s="365">
        <v>45320</v>
      </c>
      <c r="C919" s="348">
        <v>2024</v>
      </c>
      <c r="D919" s="348" t="s">
        <v>17119</v>
      </c>
      <c r="E919" s="348" t="s">
        <v>17120</v>
      </c>
      <c r="F919" s="348" t="s">
        <v>20155</v>
      </c>
      <c r="G919" s="348" t="s">
        <v>17965</v>
      </c>
      <c r="H919" s="365">
        <v>45330</v>
      </c>
      <c r="I919" s="348">
        <v>19200</v>
      </c>
      <c r="J919" s="359" t="s">
        <v>20345</v>
      </c>
      <c r="K919" s="348">
        <v>44004</v>
      </c>
      <c r="L919" s="359" t="s">
        <v>20346</v>
      </c>
      <c r="M919" s="348">
        <v>0</v>
      </c>
      <c r="N919" s="366"/>
      <c r="O919" s="348">
        <v>0</v>
      </c>
      <c r="P919" s="367"/>
      <c r="Q919" s="348">
        <v>63204</v>
      </c>
    </row>
    <row r="920" spans="1:17" s="1" customFormat="1" ht="11.45">
      <c r="A920" s="348" t="s">
        <v>19273</v>
      </c>
      <c r="B920" s="365">
        <v>45320</v>
      </c>
      <c r="C920" s="348">
        <v>2024</v>
      </c>
      <c r="D920" s="348" t="s">
        <v>17119</v>
      </c>
      <c r="E920" s="348" t="s">
        <v>17120</v>
      </c>
      <c r="F920" s="348" t="s">
        <v>20155</v>
      </c>
      <c r="G920" s="348" t="s">
        <v>20321</v>
      </c>
      <c r="H920" s="365">
        <v>45322</v>
      </c>
      <c r="I920" s="348">
        <v>19200</v>
      </c>
      <c r="J920" s="359" t="s">
        <v>20345</v>
      </c>
      <c r="K920" s="348">
        <v>55000</v>
      </c>
      <c r="L920" s="359" t="s">
        <v>20347</v>
      </c>
      <c r="M920" s="348">
        <v>0</v>
      </c>
      <c r="N920" s="366"/>
      <c r="O920" s="348">
        <v>0</v>
      </c>
      <c r="P920" s="367"/>
      <c r="Q920" s="348">
        <v>74200</v>
      </c>
    </row>
    <row r="921" spans="1:17" s="1" customFormat="1" ht="11.45">
      <c r="A921" s="348" t="s">
        <v>19274</v>
      </c>
      <c r="B921" s="365">
        <v>45323</v>
      </c>
      <c r="C921" s="348">
        <v>2024</v>
      </c>
      <c r="D921" s="348" t="s">
        <v>16384</v>
      </c>
      <c r="E921" s="348" t="s">
        <v>16385</v>
      </c>
      <c r="F921" s="348" t="s">
        <v>20155</v>
      </c>
      <c r="G921" s="348" t="s">
        <v>17965</v>
      </c>
      <c r="H921" s="365">
        <v>45331</v>
      </c>
      <c r="I921" s="348">
        <v>115200</v>
      </c>
      <c r="J921" s="359" t="s">
        <v>20345</v>
      </c>
      <c r="K921" s="348">
        <v>0</v>
      </c>
      <c r="L921" s="366"/>
      <c r="M921" s="348">
        <v>0</v>
      </c>
      <c r="N921" s="366"/>
      <c r="O921" s="348">
        <v>0</v>
      </c>
      <c r="P921" s="367"/>
      <c r="Q921" s="348">
        <v>115200</v>
      </c>
    </row>
    <row r="922" spans="1:17" s="1" customFormat="1" ht="11.45">
      <c r="A922" s="348" t="s">
        <v>19275</v>
      </c>
      <c r="B922" s="365">
        <v>45323</v>
      </c>
      <c r="C922" s="348">
        <v>2024</v>
      </c>
      <c r="D922" s="348" t="s">
        <v>16384</v>
      </c>
      <c r="E922" s="348" t="s">
        <v>16385</v>
      </c>
      <c r="F922" s="348" t="s">
        <v>20155</v>
      </c>
      <c r="G922" s="348" t="s">
        <v>17949</v>
      </c>
      <c r="H922" s="365">
        <v>45335</v>
      </c>
      <c r="I922" s="348">
        <v>152832</v>
      </c>
      <c r="J922" s="359" t="s">
        <v>20345</v>
      </c>
      <c r="K922" s="348">
        <v>26160</v>
      </c>
      <c r="L922" s="359" t="s">
        <v>20346</v>
      </c>
      <c r="M922" s="348">
        <v>56000</v>
      </c>
      <c r="N922" s="359" t="s">
        <v>20347</v>
      </c>
      <c r="O922" s="348">
        <v>0</v>
      </c>
      <c r="P922" s="367"/>
      <c r="Q922" s="348">
        <v>234992</v>
      </c>
    </row>
    <row r="923" spans="1:17" s="1" customFormat="1" ht="11.45">
      <c r="A923" s="348" t="s">
        <v>19276</v>
      </c>
      <c r="B923" s="365">
        <v>45323</v>
      </c>
      <c r="C923" s="348">
        <v>2024</v>
      </c>
      <c r="D923" s="348" t="s">
        <v>17342</v>
      </c>
      <c r="E923" s="348" t="s">
        <v>17343</v>
      </c>
      <c r="F923" s="348" t="s">
        <v>20155</v>
      </c>
      <c r="G923" s="348" t="s">
        <v>16394</v>
      </c>
      <c r="H923" s="365">
        <v>45327</v>
      </c>
      <c r="I923" s="348">
        <v>0</v>
      </c>
      <c r="J923" s="366"/>
      <c r="K923" s="348">
        <v>20712</v>
      </c>
      <c r="L923" s="360">
        <v>1</v>
      </c>
      <c r="M923" s="348">
        <v>0</v>
      </c>
      <c r="N923" s="366"/>
      <c r="O923" s="348">
        <v>3300</v>
      </c>
      <c r="P923" s="360">
        <v>1</v>
      </c>
      <c r="Q923" s="348">
        <v>24012</v>
      </c>
    </row>
    <row r="924" spans="1:17" s="1" customFormat="1" ht="11.45">
      <c r="A924" s="348" t="s">
        <v>19277</v>
      </c>
      <c r="B924" s="365">
        <v>45328</v>
      </c>
      <c r="C924" s="348">
        <v>2024</v>
      </c>
      <c r="D924" s="348" t="s">
        <v>17370</v>
      </c>
      <c r="E924" s="348" t="s">
        <v>17371</v>
      </c>
      <c r="F924" s="348" t="s">
        <v>20155</v>
      </c>
      <c r="G924" s="348" t="s">
        <v>20173</v>
      </c>
      <c r="H924" s="365">
        <v>45342</v>
      </c>
      <c r="I924" s="348">
        <v>0</v>
      </c>
      <c r="J924" s="366"/>
      <c r="K924" s="348">
        <v>56064</v>
      </c>
      <c r="L924" s="359" t="s">
        <v>20348</v>
      </c>
      <c r="M924" s="348">
        <v>0</v>
      </c>
      <c r="N924" s="366"/>
      <c r="O924" s="348">
        <v>0</v>
      </c>
      <c r="P924" s="367"/>
      <c r="Q924" s="348">
        <v>56064</v>
      </c>
    </row>
    <row r="925" spans="1:17" s="1" customFormat="1" ht="11.45">
      <c r="A925" s="348" t="s">
        <v>19278</v>
      </c>
      <c r="B925" s="365">
        <v>45329</v>
      </c>
      <c r="C925" s="348">
        <v>2024</v>
      </c>
      <c r="D925" s="348" t="s">
        <v>16838</v>
      </c>
      <c r="E925" s="348" t="s">
        <v>16839</v>
      </c>
      <c r="F925" s="348" t="s">
        <v>20155</v>
      </c>
      <c r="G925" s="348" t="s">
        <v>17949</v>
      </c>
      <c r="H925" s="365">
        <v>45341</v>
      </c>
      <c r="I925" s="348">
        <v>34008</v>
      </c>
      <c r="J925" s="359" t="s">
        <v>20345</v>
      </c>
      <c r="K925" s="348">
        <v>9600</v>
      </c>
      <c r="L925" s="359" t="s">
        <v>20346</v>
      </c>
      <c r="M925" s="348">
        <v>0</v>
      </c>
      <c r="N925" s="366"/>
      <c r="O925" s="348">
        <v>0</v>
      </c>
      <c r="P925" s="367"/>
      <c r="Q925" s="348">
        <v>43608</v>
      </c>
    </row>
    <row r="926" spans="1:17" s="1" customFormat="1" ht="11.45">
      <c r="A926" s="348" t="s">
        <v>19279</v>
      </c>
      <c r="B926" s="365">
        <v>45329</v>
      </c>
      <c r="C926" s="348">
        <v>2024</v>
      </c>
      <c r="D926" s="348" t="s">
        <v>16444</v>
      </c>
      <c r="E926" s="348" t="s">
        <v>16445</v>
      </c>
      <c r="F926" s="348" t="s">
        <v>20155</v>
      </c>
      <c r="G926" s="348" t="s">
        <v>17693</v>
      </c>
      <c r="H926" s="365">
        <v>45336</v>
      </c>
      <c r="I926" s="348">
        <v>22008</v>
      </c>
      <c r="J926" s="359" t="s">
        <v>20345</v>
      </c>
      <c r="K926" s="348">
        <v>0</v>
      </c>
      <c r="L926" s="366"/>
      <c r="M926" s="348">
        <v>0</v>
      </c>
      <c r="N926" s="366"/>
      <c r="O926" s="348">
        <v>0</v>
      </c>
      <c r="P926" s="367"/>
      <c r="Q926" s="348">
        <v>22008</v>
      </c>
    </row>
    <row r="927" spans="1:17" s="1" customFormat="1" ht="11.45">
      <c r="A927" s="348" t="s">
        <v>19280</v>
      </c>
      <c r="B927" s="365">
        <v>45330</v>
      </c>
      <c r="C927" s="348">
        <v>2024</v>
      </c>
      <c r="D927" s="348" t="s">
        <v>16838</v>
      </c>
      <c r="E927" s="348" t="s">
        <v>16839</v>
      </c>
      <c r="F927" s="348" t="s">
        <v>20155</v>
      </c>
      <c r="G927" s="348" t="s">
        <v>20321</v>
      </c>
      <c r="H927" s="365">
        <v>45338</v>
      </c>
      <c r="I927" s="348">
        <v>0</v>
      </c>
      <c r="J927" s="366"/>
      <c r="K927" s="348">
        <v>157500</v>
      </c>
      <c r="L927" s="359" t="s">
        <v>20347</v>
      </c>
      <c r="M927" s="348">
        <v>0</v>
      </c>
      <c r="N927" s="366"/>
      <c r="O927" s="348">
        <v>0</v>
      </c>
      <c r="P927" s="367"/>
      <c r="Q927" s="348">
        <v>157500</v>
      </c>
    </row>
    <row r="928" spans="1:17" s="1" customFormat="1" ht="11.45">
      <c r="A928" s="348" t="s">
        <v>19281</v>
      </c>
      <c r="B928" s="365">
        <v>45330</v>
      </c>
      <c r="C928" s="348">
        <v>2024</v>
      </c>
      <c r="D928" s="348" t="s">
        <v>17304</v>
      </c>
      <c r="E928" s="348" t="s">
        <v>17305</v>
      </c>
      <c r="F928" s="348" t="s">
        <v>20155</v>
      </c>
      <c r="G928" s="348" t="s">
        <v>17238</v>
      </c>
      <c r="H928" s="365">
        <v>45344</v>
      </c>
      <c r="I928" s="348">
        <v>0</v>
      </c>
      <c r="J928" s="366"/>
      <c r="K928" s="348">
        <v>0</v>
      </c>
      <c r="L928" s="366"/>
      <c r="M928" s="348">
        <v>23608</v>
      </c>
      <c r="N928" s="360">
        <v>1</v>
      </c>
      <c r="O928" s="348">
        <v>0</v>
      </c>
      <c r="P928" s="367"/>
      <c r="Q928" s="348">
        <v>23608</v>
      </c>
    </row>
    <row r="929" spans="1:17" s="1" customFormat="1" ht="11.45">
      <c r="A929" s="348" t="s">
        <v>19282</v>
      </c>
      <c r="B929" s="365">
        <v>45330</v>
      </c>
      <c r="C929" s="348">
        <v>2024</v>
      </c>
      <c r="D929" s="348" t="s">
        <v>17304</v>
      </c>
      <c r="E929" s="348" t="s">
        <v>17305</v>
      </c>
      <c r="F929" s="348" t="s">
        <v>20155</v>
      </c>
      <c r="G929" s="348" t="s">
        <v>17238</v>
      </c>
      <c r="H929" s="365">
        <v>45344</v>
      </c>
      <c r="I929" s="348">
        <v>0</v>
      </c>
      <c r="J929" s="366"/>
      <c r="K929" s="348">
        <v>18160</v>
      </c>
      <c r="L929" s="366"/>
      <c r="M929" s="348">
        <v>5448</v>
      </c>
      <c r="N929" s="360">
        <v>1</v>
      </c>
      <c r="O929" s="348">
        <v>0</v>
      </c>
      <c r="P929" s="367"/>
      <c r="Q929" s="348">
        <v>23608</v>
      </c>
    </row>
    <row r="930" spans="1:17" s="1" customFormat="1" ht="11.45">
      <c r="A930" s="348" t="s">
        <v>19283</v>
      </c>
      <c r="B930" s="365">
        <v>45335</v>
      </c>
      <c r="C930" s="348">
        <v>2024</v>
      </c>
      <c r="D930" s="348" t="s">
        <v>17342</v>
      </c>
      <c r="E930" s="348" t="s">
        <v>17343</v>
      </c>
      <c r="F930" s="348" t="s">
        <v>20155</v>
      </c>
      <c r="G930" s="348" t="s">
        <v>16394</v>
      </c>
      <c r="H930" s="365">
        <v>45341</v>
      </c>
      <c r="I930" s="348">
        <v>3840</v>
      </c>
      <c r="J930" s="360">
        <v>1</v>
      </c>
      <c r="K930" s="348">
        <v>12336</v>
      </c>
      <c r="L930" s="360">
        <v>1</v>
      </c>
      <c r="M930" s="348">
        <v>7200</v>
      </c>
      <c r="N930" s="360">
        <v>1</v>
      </c>
      <c r="O930" s="348">
        <v>560</v>
      </c>
      <c r="P930" s="360">
        <v>1</v>
      </c>
      <c r="Q930" s="348">
        <v>23936</v>
      </c>
    </row>
    <row r="931" spans="1:17" s="1" customFormat="1" ht="11.45">
      <c r="A931" s="348" t="s">
        <v>19284</v>
      </c>
      <c r="B931" s="365">
        <v>45323</v>
      </c>
      <c r="C931" s="348">
        <v>2024</v>
      </c>
      <c r="D931" s="348" t="s">
        <v>17309</v>
      </c>
      <c r="E931" s="348" t="s">
        <v>17310</v>
      </c>
      <c r="F931" s="348" t="s">
        <v>20155</v>
      </c>
      <c r="G931" s="348" t="s">
        <v>18248</v>
      </c>
      <c r="H931" s="365">
        <v>45341</v>
      </c>
      <c r="I931" s="348">
        <v>38400</v>
      </c>
      <c r="J931" s="359" t="s">
        <v>20345</v>
      </c>
      <c r="K931" s="348">
        <v>0</v>
      </c>
      <c r="L931" s="366"/>
      <c r="M931" s="348">
        <v>0</v>
      </c>
      <c r="N931" s="366"/>
      <c r="O931" s="348">
        <v>0</v>
      </c>
      <c r="P931" s="367"/>
      <c r="Q931" s="348">
        <v>38400</v>
      </c>
    </row>
    <row r="932" spans="1:17" s="1" customFormat="1" ht="11.45">
      <c r="A932" s="348" t="s">
        <v>19285</v>
      </c>
      <c r="B932" s="365">
        <v>45337</v>
      </c>
      <c r="C932" s="348">
        <v>2024</v>
      </c>
      <c r="D932" s="348" t="s">
        <v>17209</v>
      </c>
      <c r="E932" s="348" t="s">
        <v>17210</v>
      </c>
      <c r="F932" s="348" t="s">
        <v>20155</v>
      </c>
      <c r="G932" s="348" t="s">
        <v>20168</v>
      </c>
      <c r="H932" s="365">
        <v>45348</v>
      </c>
      <c r="I932" s="348">
        <v>0</v>
      </c>
      <c r="J932" s="366"/>
      <c r="K932" s="348">
        <v>16680</v>
      </c>
      <c r="L932" s="360">
        <v>1</v>
      </c>
      <c r="M932" s="348">
        <v>5280</v>
      </c>
      <c r="N932" s="360">
        <v>1</v>
      </c>
      <c r="O932" s="348">
        <v>2000</v>
      </c>
      <c r="P932" s="360">
        <v>1</v>
      </c>
      <c r="Q932" s="348">
        <v>23960</v>
      </c>
    </row>
    <row r="933" spans="1:17" s="1" customFormat="1" ht="11.45">
      <c r="A933" s="348" t="s">
        <v>19286</v>
      </c>
      <c r="B933" s="365">
        <v>45337</v>
      </c>
      <c r="C933" s="348">
        <v>2024</v>
      </c>
      <c r="D933" s="348" t="s">
        <v>17226</v>
      </c>
      <c r="E933" s="348" t="s">
        <v>17227</v>
      </c>
      <c r="F933" s="348" t="s">
        <v>20155</v>
      </c>
      <c r="G933" s="348" t="s">
        <v>17689</v>
      </c>
      <c r="H933" s="365">
        <v>45363</v>
      </c>
      <c r="I933" s="348">
        <v>4800</v>
      </c>
      <c r="J933" s="360">
        <v>1</v>
      </c>
      <c r="K933" s="348">
        <v>34800</v>
      </c>
      <c r="L933" s="360">
        <v>1</v>
      </c>
      <c r="M933" s="348">
        <v>5760</v>
      </c>
      <c r="N933" s="360">
        <v>1</v>
      </c>
      <c r="O933" s="348">
        <v>5600</v>
      </c>
      <c r="P933" s="360">
        <v>1</v>
      </c>
      <c r="Q933" s="348">
        <v>50960</v>
      </c>
    </row>
    <row r="934" spans="1:17" s="1" customFormat="1" ht="11.45">
      <c r="A934" s="348" t="s">
        <v>19287</v>
      </c>
      <c r="B934" s="365">
        <v>45337</v>
      </c>
      <c r="C934" s="348">
        <v>2024</v>
      </c>
      <c r="D934" s="348" t="s">
        <v>17226</v>
      </c>
      <c r="E934" s="348" t="s">
        <v>17227</v>
      </c>
      <c r="F934" s="348" t="s">
        <v>20155</v>
      </c>
      <c r="G934" s="348" t="s">
        <v>17689</v>
      </c>
      <c r="H934" s="365">
        <v>45356</v>
      </c>
      <c r="I934" s="348">
        <v>21600</v>
      </c>
      <c r="J934" s="360">
        <v>1</v>
      </c>
      <c r="K934" s="348">
        <v>0</v>
      </c>
      <c r="L934" s="366"/>
      <c r="M934" s="348">
        <v>0</v>
      </c>
      <c r="N934" s="366"/>
      <c r="O934" s="348">
        <v>0</v>
      </c>
      <c r="P934" s="367"/>
      <c r="Q934" s="348">
        <v>21600</v>
      </c>
    </row>
    <row r="935" spans="1:17" s="1" customFormat="1" ht="11.45">
      <c r="A935" s="348" t="s">
        <v>19288</v>
      </c>
      <c r="B935" s="365">
        <v>45338</v>
      </c>
      <c r="C935" s="348">
        <v>2024</v>
      </c>
      <c r="D935" s="348" t="s">
        <v>17342</v>
      </c>
      <c r="E935" s="348" t="s">
        <v>17343</v>
      </c>
      <c r="F935" s="348" t="s">
        <v>20155</v>
      </c>
      <c r="G935" s="348" t="s">
        <v>16394</v>
      </c>
      <c r="H935" s="365">
        <v>45341</v>
      </c>
      <c r="I935" s="348">
        <v>0</v>
      </c>
      <c r="J935" s="366"/>
      <c r="K935" s="348">
        <v>15696</v>
      </c>
      <c r="L935" s="360">
        <v>1</v>
      </c>
      <c r="M935" s="348">
        <v>7200</v>
      </c>
      <c r="N935" s="360">
        <v>1</v>
      </c>
      <c r="O935" s="348">
        <v>1560</v>
      </c>
      <c r="P935" s="360">
        <v>1</v>
      </c>
      <c r="Q935" s="348">
        <v>24456</v>
      </c>
    </row>
    <row r="936" spans="1:17" s="1" customFormat="1" ht="11.45">
      <c r="A936" s="348" t="s">
        <v>19289</v>
      </c>
      <c r="B936" s="365">
        <v>45339</v>
      </c>
      <c r="C936" s="348">
        <v>2024</v>
      </c>
      <c r="D936" s="348" t="s">
        <v>17342</v>
      </c>
      <c r="E936" s="348" t="s">
        <v>17343</v>
      </c>
      <c r="F936" s="348" t="s">
        <v>20155</v>
      </c>
      <c r="G936" s="348" t="s">
        <v>16394</v>
      </c>
      <c r="H936" s="365">
        <v>45343</v>
      </c>
      <c r="I936" s="348">
        <v>0</v>
      </c>
      <c r="J936" s="366"/>
      <c r="K936" s="348">
        <v>17328</v>
      </c>
      <c r="L936" s="360">
        <v>1</v>
      </c>
      <c r="M936" s="348">
        <v>4800</v>
      </c>
      <c r="N936" s="360">
        <v>1</v>
      </c>
      <c r="O936" s="348">
        <v>2380</v>
      </c>
      <c r="P936" s="360">
        <v>1</v>
      </c>
      <c r="Q936" s="348">
        <v>24508</v>
      </c>
    </row>
    <row r="937" spans="1:17" s="1" customFormat="1" ht="11.45">
      <c r="A937" s="348" t="s">
        <v>19290</v>
      </c>
      <c r="B937" s="365">
        <v>45342</v>
      </c>
      <c r="C937" s="348">
        <v>2024</v>
      </c>
      <c r="D937" s="348" t="s">
        <v>17342</v>
      </c>
      <c r="E937" s="348" t="s">
        <v>17343</v>
      </c>
      <c r="F937" s="348" t="s">
        <v>20155</v>
      </c>
      <c r="G937" s="348" t="s">
        <v>16394</v>
      </c>
      <c r="H937" s="365">
        <v>45343</v>
      </c>
      <c r="I937" s="348">
        <v>2880</v>
      </c>
      <c r="J937" s="360">
        <v>1</v>
      </c>
      <c r="K937" s="348">
        <v>9576</v>
      </c>
      <c r="L937" s="360">
        <v>1</v>
      </c>
      <c r="M937" s="348">
        <v>6000</v>
      </c>
      <c r="N937" s="360">
        <v>1</v>
      </c>
      <c r="O937" s="348">
        <v>5360</v>
      </c>
      <c r="P937" s="360">
        <v>1</v>
      </c>
      <c r="Q937" s="348">
        <v>23816</v>
      </c>
    </row>
    <row r="938" spans="1:17" s="1" customFormat="1" ht="11.45">
      <c r="A938" s="348" t="s">
        <v>19291</v>
      </c>
      <c r="B938" s="365">
        <v>45342</v>
      </c>
      <c r="C938" s="348">
        <v>2024</v>
      </c>
      <c r="D938" s="348" t="s">
        <v>16444</v>
      </c>
      <c r="E938" s="348" t="s">
        <v>16445</v>
      </c>
      <c r="F938" s="348" t="s">
        <v>20155</v>
      </c>
      <c r="G938" s="348" t="s">
        <v>17949</v>
      </c>
      <c r="H938" s="365">
        <v>45351</v>
      </c>
      <c r="I938" s="348">
        <v>44016</v>
      </c>
      <c r="J938" s="359" t="s">
        <v>20345</v>
      </c>
      <c r="K938" s="348">
        <v>0</v>
      </c>
      <c r="L938" s="366"/>
      <c r="M938" s="348">
        <v>0</v>
      </c>
      <c r="N938" s="366"/>
      <c r="O938" s="348">
        <v>0</v>
      </c>
      <c r="P938" s="367"/>
      <c r="Q938" s="348">
        <v>44016</v>
      </c>
    </row>
    <row r="939" spans="1:17" s="1" customFormat="1" ht="11.45">
      <c r="A939" s="348" t="s">
        <v>19292</v>
      </c>
      <c r="B939" s="365">
        <v>45342</v>
      </c>
      <c r="C939" s="348">
        <v>2024</v>
      </c>
      <c r="D939" s="348" t="s">
        <v>17297</v>
      </c>
      <c r="E939" s="348" t="s">
        <v>17298</v>
      </c>
      <c r="F939" s="348" t="s">
        <v>20155</v>
      </c>
      <c r="G939" s="348" t="s">
        <v>20319</v>
      </c>
      <c r="H939" s="365">
        <v>45364</v>
      </c>
      <c r="I939" s="348">
        <v>3600</v>
      </c>
      <c r="J939" s="359" t="s">
        <v>20345</v>
      </c>
      <c r="K939" s="348">
        <v>4800</v>
      </c>
      <c r="L939" s="359" t="s">
        <v>20346</v>
      </c>
      <c r="M939" s="348">
        <v>11000</v>
      </c>
      <c r="N939" s="359" t="s">
        <v>20347</v>
      </c>
      <c r="O939" s="348">
        <v>0</v>
      </c>
      <c r="P939" s="367"/>
      <c r="Q939" s="348">
        <v>19400</v>
      </c>
    </row>
    <row r="940" spans="1:17" s="1" customFormat="1" ht="11.45">
      <c r="A940" s="348" t="s">
        <v>19293</v>
      </c>
      <c r="B940" s="365">
        <v>45342</v>
      </c>
      <c r="C940" s="348">
        <v>2024</v>
      </c>
      <c r="D940" s="348" t="s">
        <v>17017</v>
      </c>
      <c r="E940" s="348" t="s">
        <v>17018</v>
      </c>
      <c r="F940" s="348" t="s">
        <v>20155</v>
      </c>
      <c r="G940" s="348" t="s">
        <v>20370</v>
      </c>
      <c r="H940" s="365">
        <v>45349</v>
      </c>
      <c r="I940" s="348">
        <v>0</v>
      </c>
      <c r="J940" s="366"/>
      <c r="K940" s="348">
        <v>20500</v>
      </c>
      <c r="L940" s="360">
        <v>1</v>
      </c>
      <c r="M940" s="348">
        <v>0</v>
      </c>
      <c r="N940" s="366"/>
      <c r="O940" s="348">
        <v>0</v>
      </c>
      <c r="P940" s="367"/>
      <c r="Q940" s="348">
        <v>20500</v>
      </c>
    </row>
    <row r="941" spans="1:17" s="1" customFormat="1" ht="11.45">
      <c r="A941" s="348" t="s">
        <v>19294</v>
      </c>
      <c r="B941" s="365">
        <v>45342</v>
      </c>
      <c r="C941" s="348">
        <v>2024</v>
      </c>
      <c r="D941" s="348" t="s">
        <v>17278</v>
      </c>
      <c r="E941" s="348" t="s">
        <v>17279</v>
      </c>
      <c r="F941" s="348" t="s">
        <v>20155</v>
      </c>
      <c r="G941" s="348" t="s">
        <v>20173</v>
      </c>
      <c r="H941" s="365">
        <v>45349</v>
      </c>
      <c r="I941" s="348">
        <v>0</v>
      </c>
      <c r="J941" s="366"/>
      <c r="K941" s="348">
        <v>66240</v>
      </c>
      <c r="L941" s="359" t="s">
        <v>20348</v>
      </c>
      <c r="M941" s="348">
        <v>72384</v>
      </c>
      <c r="N941" s="359" t="s">
        <v>20347</v>
      </c>
      <c r="O941" s="348">
        <v>0</v>
      </c>
      <c r="P941" s="367"/>
      <c r="Q941" s="348">
        <v>138624</v>
      </c>
    </row>
    <row r="942" spans="1:17" s="1" customFormat="1" ht="11.45">
      <c r="A942" s="348" t="s">
        <v>19295</v>
      </c>
      <c r="B942" s="365">
        <v>45344</v>
      </c>
      <c r="C942" s="348">
        <v>2024</v>
      </c>
      <c r="D942" s="348" t="s">
        <v>17342</v>
      </c>
      <c r="E942" s="348" t="s">
        <v>17343</v>
      </c>
      <c r="F942" s="348" t="s">
        <v>20155</v>
      </c>
      <c r="G942" s="348" t="s">
        <v>16394</v>
      </c>
      <c r="H942" s="365">
        <v>45346</v>
      </c>
      <c r="I942" s="348">
        <v>1920</v>
      </c>
      <c r="J942" s="360">
        <v>1</v>
      </c>
      <c r="K942" s="348">
        <v>19560</v>
      </c>
      <c r="L942" s="360">
        <v>1</v>
      </c>
      <c r="M942" s="348">
        <v>2400</v>
      </c>
      <c r="N942" s="360">
        <v>1</v>
      </c>
      <c r="O942" s="348">
        <v>1120</v>
      </c>
      <c r="P942" s="360">
        <v>1</v>
      </c>
      <c r="Q942" s="348">
        <v>25000</v>
      </c>
    </row>
    <row r="943" spans="1:17" s="1" customFormat="1" ht="11.45">
      <c r="A943" s="348" t="s">
        <v>19296</v>
      </c>
      <c r="B943" s="365">
        <v>45344</v>
      </c>
      <c r="C943" s="348">
        <v>2024</v>
      </c>
      <c r="D943" s="348" t="s">
        <v>16838</v>
      </c>
      <c r="E943" s="348" t="s">
        <v>16839</v>
      </c>
      <c r="F943" s="348" t="s">
        <v>20155</v>
      </c>
      <c r="G943" s="348" t="s">
        <v>17949</v>
      </c>
      <c r="H943" s="365">
        <v>45350</v>
      </c>
      <c r="I943" s="348">
        <v>0</v>
      </c>
      <c r="J943" s="366"/>
      <c r="K943" s="348">
        <v>24000</v>
      </c>
      <c r="L943" s="359" t="s">
        <v>20346</v>
      </c>
      <c r="M943" s="348">
        <v>2000</v>
      </c>
      <c r="N943" s="359" t="s">
        <v>20347</v>
      </c>
      <c r="O943" s="348">
        <v>0</v>
      </c>
      <c r="P943" s="367"/>
      <c r="Q943" s="348">
        <v>26000</v>
      </c>
    </row>
    <row r="944" spans="1:17" s="1" customFormat="1" ht="11.45">
      <c r="A944" s="348" t="s">
        <v>19297</v>
      </c>
      <c r="B944" s="365">
        <v>45348</v>
      </c>
      <c r="C944" s="348">
        <v>2024</v>
      </c>
      <c r="D944" s="348" t="s">
        <v>17259</v>
      </c>
      <c r="E944" s="348" t="s">
        <v>17260</v>
      </c>
      <c r="F944" s="348" t="s">
        <v>20155</v>
      </c>
      <c r="G944" s="348" t="s">
        <v>17261</v>
      </c>
      <c r="H944" s="365">
        <v>45350</v>
      </c>
      <c r="I944" s="348">
        <v>4800</v>
      </c>
      <c r="J944" s="359" t="s">
        <v>20345</v>
      </c>
      <c r="K944" s="348">
        <v>38200</v>
      </c>
      <c r="L944" s="359" t="s">
        <v>20348</v>
      </c>
      <c r="M944" s="348">
        <v>0</v>
      </c>
      <c r="N944" s="366"/>
      <c r="O944" s="348">
        <v>0</v>
      </c>
      <c r="P944" s="367"/>
      <c r="Q944" s="348">
        <v>43000</v>
      </c>
    </row>
    <row r="945" spans="1:17" s="1" customFormat="1" ht="11.45">
      <c r="A945" s="348" t="s">
        <v>19298</v>
      </c>
      <c r="B945" s="365">
        <v>45348</v>
      </c>
      <c r="C945" s="348">
        <v>2024</v>
      </c>
      <c r="D945" s="348" t="s">
        <v>17342</v>
      </c>
      <c r="E945" s="348" t="s">
        <v>17343</v>
      </c>
      <c r="F945" s="348" t="s">
        <v>20155</v>
      </c>
      <c r="G945" s="348" t="s">
        <v>16394</v>
      </c>
      <c r="H945" s="365">
        <v>45350</v>
      </c>
      <c r="I945" s="348">
        <v>1920</v>
      </c>
      <c r="J945" s="360">
        <v>1</v>
      </c>
      <c r="K945" s="348">
        <v>14448</v>
      </c>
      <c r="L945" s="360">
        <v>1</v>
      </c>
      <c r="M945" s="348">
        <v>8400</v>
      </c>
      <c r="N945" s="360">
        <v>1</v>
      </c>
      <c r="O945" s="348">
        <v>0</v>
      </c>
      <c r="P945" s="367"/>
      <c r="Q945" s="348">
        <v>24768</v>
      </c>
    </row>
    <row r="946" spans="1:17" s="1" customFormat="1" ht="11.45">
      <c r="A946" s="348" t="s">
        <v>19299</v>
      </c>
      <c r="B946" s="365">
        <v>45349</v>
      </c>
      <c r="C946" s="348">
        <v>2024</v>
      </c>
      <c r="D946" s="348" t="s">
        <v>16838</v>
      </c>
      <c r="E946" s="348" t="s">
        <v>16839</v>
      </c>
      <c r="F946" s="348" t="s">
        <v>20155</v>
      </c>
      <c r="G946" s="348" t="s">
        <v>20321</v>
      </c>
      <c r="H946" s="365">
        <v>45351</v>
      </c>
      <c r="I946" s="348">
        <v>0</v>
      </c>
      <c r="J946" s="366"/>
      <c r="K946" s="348">
        <v>135000</v>
      </c>
      <c r="L946" s="359" t="s">
        <v>20347</v>
      </c>
      <c r="M946" s="348">
        <v>0</v>
      </c>
      <c r="N946" s="366"/>
      <c r="O946" s="348">
        <v>0</v>
      </c>
      <c r="P946" s="367"/>
      <c r="Q946" s="348">
        <v>135000</v>
      </c>
    </row>
    <row r="947" spans="1:17" s="1" customFormat="1" ht="11.45">
      <c r="A947" s="348" t="s">
        <v>19300</v>
      </c>
      <c r="B947" s="365">
        <v>45349</v>
      </c>
      <c r="C947" s="348">
        <v>2024</v>
      </c>
      <c r="D947" s="348" t="s">
        <v>17357</v>
      </c>
      <c r="E947" s="348" t="s">
        <v>17358</v>
      </c>
      <c r="F947" s="348" t="s">
        <v>20155</v>
      </c>
      <c r="G947" s="348" t="s">
        <v>20297</v>
      </c>
      <c r="H947" s="365">
        <v>45380</v>
      </c>
      <c r="I947" s="348">
        <v>0</v>
      </c>
      <c r="J947" s="366"/>
      <c r="K947" s="348">
        <v>24840</v>
      </c>
      <c r="L947" s="359" t="s">
        <v>20346</v>
      </c>
      <c r="M947" s="348">
        <v>2760</v>
      </c>
      <c r="N947" s="359" t="s">
        <v>20347</v>
      </c>
      <c r="O947" s="348">
        <v>400</v>
      </c>
      <c r="P947" s="360">
        <v>1</v>
      </c>
      <c r="Q947" s="348">
        <v>28000</v>
      </c>
    </row>
    <row r="948" spans="1:17" s="1" customFormat="1" ht="11.45">
      <c r="A948" s="348" t="s">
        <v>19301</v>
      </c>
      <c r="B948" s="365">
        <v>45350</v>
      </c>
      <c r="C948" s="348">
        <v>2024</v>
      </c>
      <c r="D948" s="348" t="s">
        <v>17342</v>
      </c>
      <c r="E948" s="348" t="s">
        <v>17343</v>
      </c>
      <c r="F948" s="348" t="s">
        <v>20155</v>
      </c>
      <c r="G948" s="348" t="s">
        <v>16394</v>
      </c>
      <c r="H948" s="365">
        <v>45355</v>
      </c>
      <c r="I948" s="348">
        <v>24000</v>
      </c>
      <c r="J948" s="359" t="s">
        <v>20345</v>
      </c>
      <c r="K948" s="348">
        <v>0</v>
      </c>
      <c r="L948" s="366"/>
      <c r="M948" s="348">
        <v>0</v>
      </c>
      <c r="N948" s="366"/>
      <c r="O948" s="348">
        <v>0</v>
      </c>
      <c r="P948" s="367"/>
      <c r="Q948" s="348">
        <v>24000</v>
      </c>
    </row>
    <row r="949" spans="1:17" s="1" customFormat="1" ht="11.45">
      <c r="A949" s="348" t="s">
        <v>19302</v>
      </c>
      <c r="B949" s="365">
        <v>45350</v>
      </c>
      <c r="C949" s="348">
        <v>2024</v>
      </c>
      <c r="D949" s="348" t="s">
        <v>17342</v>
      </c>
      <c r="E949" s="348" t="s">
        <v>17343</v>
      </c>
      <c r="F949" s="348" t="s">
        <v>20155</v>
      </c>
      <c r="G949" s="348" t="s">
        <v>16394</v>
      </c>
      <c r="H949" s="365">
        <v>45358</v>
      </c>
      <c r="I949" s="348">
        <v>0</v>
      </c>
      <c r="J949" s="366"/>
      <c r="K949" s="348">
        <v>18048</v>
      </c>
      <c r="L949" s="360">
        <v>1</v>
      </c>
      <c r="M949" s="348">
        <v>0</v>
      </c>
      <c r="N949" s="366"/>
      <c r="O949" s="348">
        <v>2800</v>
      </c>
      <c r="P949" s="360">
        <v>1</v>
      </c>
      <c r="Q949" s="348">
        <v>20848</v>
      </c>
    </row>
    <row r="950" spans="1:17" s="1" customFormat="1" ht="11.45">
      <c r="A950" s="348" t="s">
        <v>19303</v>
      </c>
      <c r="B950" s="365">
        <v>45350</v>
      </c>
      <c r="C950" s="348">
        <v>2024</v>
      </c>
      <c r="D950" s="348" t="s">
        <v>16783</v>
      </c>
      <c r="E950" s="348" t="s">
        <v>16784</v>
      </c>
      <c r="F950" s="348" t="s">
        <v>20155</v>
      </c>
      <c r="G950" s="348" t="s">
        <v>17939</v>
      </c>
      <c r="H950" s="365" t="s">
        <v>20371</v>
      </c>
      <c r="I950" s="348">
        <v>24000</v>
      </c>
      <c r="J950" s="359" t="s">
        <v>20345</v>
      </c>
      <c r="K950" s="348">
        <v>201600</v>
      </c>
      <c r="L950" s="359" t="s">
        <v>20345</v>
      </c>
      <c r="M950" s="348">
        <v>28800</v>
      </c>
      <c r="N950" s="359" t="s">
        <v>20345</v>
      </c>
      <c r="O950" s="348">
        <v>0</v>
      </c>
      <c r="P950" s="367"/>
      <c r="Q950" s="348">
        <v>254400</v>
      </c>
    </row>
    <row r="951" spans="1:17" s="1" customFormat="1" ht="11.45">
      <c r="A951" s="348" t="s">
        <v>19304</v>
      </c>
      <c r="B951" s="365">
        <v>45355</v>
      </c>
      <c r="C951" s="348">
        <v>2024</v>
      </c>
      <c r="D951" s="348" t="s">
        <v>16880</v>
      </c>
      <c r="E951" s="348" t="s">
        <v>16881</v>
      </c>
      <c r="F951" s="348" t="s">
        <v>20155</v>
      </c>
      <c r="G951" s="348" t="s">
        <v>20156</v>
      </c>
      <c r="H951" s="365">
        <v>45358</v>
      </c>
      <c r="I951" s="348">
        <v>7500</v>
      </c>
      <c r="J951" s="360">
        <v>1</v>
      </c>
      <c r="K951" s="348">
        <v>12320</v>
      </c>
      <c r="L951" s="360">
        <v>1</v>
      </c>
      <c r="M951" s="348">
        <v>0</v>
      </c>
      <c r="N951" s="366"/>
      <c r="O951" s="348">
        <v>0</v>
      </c>
      <c r="P951" s="367"/>
      <c r="Q951" s="348">
        <v>19820</v>
      </c>
    </row>
    <row r="952" spans="1:17" s="1" customFormat="1" ht="11.45">
      <c r="A952" s="348" t="s">
        <v>19305</v>
      </c>
      <c r="B952" s="365">
        <v>45356</v>
      </c>
      <c r="C952" s="348">
        <v>2024</v>
      </c>
      <c r="D952" s="348" t="s">
        <v>17342</v>
      </c>
      <c r="E952" s="348" t="s">
        <v>17343</v>
      </c>
      <c r="F952" s="348" t="s">
        <v>20155</v>
      </c>
      <c r="G952" s="348" t="s">
        <v>16394</v>
      </c>
      <c r="H952" s="365">
        <v>45358</v>
      </c>
      <c r="I952" s="348">
        <v>1920</v>
      </c>
      <c r="J952" s="360">
        <v>1</v>
      </c>
      <c r="K952" s="348">
        <v>15408</v>
      </c>
      <c r="L952" s="360">
        <v>1</v>
      </c>
      <c r="M952" s="348">
        <v>6000</v>
      </c>
      <c r="N952" s="360">
        <v>1</v>
      </c>
      <c r="O952" s="348">
        <v>700</v>
      </c>
      <c r="P952" s="360">
        <v>1</v>
      </c>
      <c r="Q952" s="348">
        <v>24028</v>
      </c>
    </row>
    <row r="953" spans="1:17" s="1" customFormat="1" ht="11.45">
      <c r="A953" s="348" t="s">
        <v>19306</v>
      </c>
      <c r="B953" s="365">
        <v>45357</v>
      </c>
      <c r="C953" s="348">
        <v>2024</v>
      </c>
      <c r="D953" s="348" t="s">
        <v>17342</v>
      </c>
      <c r="E953" s="348" t="s">
        <v>17343</v>
      </c>
      <c r="F953" s="348" t="s">
        <v>20155</v>
      </c>
      <c r="G953" s="348" t="s">
        <v>16394</v>
      </c>
      <c r="H953" s="365">
        <v>45364</v>
      </c>
      <c r="I953" s="348">
        <v>1920</v>
      </c>
      <c r="J953" s="360">
        <v>1</v>
      </c>
      <c r="K953" s="348">
        <v>15384</v>
      </c>
      <c r="L953" s="360">
        <v>1</v>
      </c>
      <c r="M953" s="348">
        <v>3600</v>
      </c>
      <c r="N953" s="360">
        <v>1</v>
      </c>
      <c r="O953" s="348">
        <v>2800</v>
      </c>
      <c r="P953" s="360">
        <v>1</v>
      </c>
      <c r="Q953" s="348">
        <v>23704</v>
      </c>
    </row>
    <row r="954" spans="1:17" s="1" customFormat="1" ht="11.45">
      <c r="A954" s="348" t="s">
        <v>19307</v>
      </c>
      <c r="B954" s="365">
        <v>45357</v>
      </c>
      <c r="C954" s="348">
        <v>2024</v>
      </c>
      <c r="D954" s="348" t="s">
        <v>17209</v>
      </c>
      <c r="E954" s="348" t="s">
        <v>17210</v>
      </c>
      <c r="F954" s="348" t="s">
        <v>20155</v>
      </c>
      <c r="G954" s="348" t="s">
        <v>20168</v>
      </c>
      <c r="H954" s="365">
        <v>45369</v>
      </c>
      <c r="I954" s="348">
        <v>5520</v>
      </c>
      <c r="J954" s="360">
        <v>1</v>
      </c>
      <c r="K954" s="348">
        <v>46800</v>
      </c>
      <c r="L954" s="360">
        <v>1</v>
      </c>
      <c r="M954" s="348">
        <v>35040</v>
      </c>
      <c r="N954" s="360">
        <v>1</v>
      </c>
      <c r="O954" s="348">
        <v>6000</v>
      </c>
      <c r="P954" s="360">
        <v>1</v>
      </c>
      <c r="Q954" s="348">
        <v>93360</v>
      </c>
    </row>
    <row r="955" spans="1:17" s="1" customFormat="1" ht="11.45">
      <c r="A955" s="348" t="s">
        <v>19308</v>
      </c>
      <c r="B955" s="365">
        <v>45357</v>
      </c>
      <c r="C955" s="348">
        <v>2024</v>
      </c>
      <c r="D955" s="348" t="s">
        <v>16470</v>
      </c>
      <c r="E955" s="348" t="s">
        <v>16471</v>
      </c>
      <c r="F955" s="348" t="s">
        <v>20155</v>
      </c>
      <c r="G955" s="348" t="s">
        <v>18227</v>
      </c>
      <c r="H955" s="365">
        <v>45367</v>
      </c>
      <c r="I955" s="348">
        <v>11376</v>
      </c>
      <c r="J955" s="359" t="s">
        <v>20345</v>
      </c>
      <c r="K955" s="348">
        <v>244666</v>
      </c>
      <c r="L955" s="359" t="s">
        <v>20346</v>
      </c>
      <c r="M955" s="348">
        <v>16000</v>
      </c>
      <c r="N955" s="359" t="s">
        <v>20347</v>
      </c>
      <c r="O955" s="348">
        <v>0</v>
      </c>
      <c r="P955" s="367"/>
      <c r="Q955" s="348">
        <v>272042</v>
      </c>
    </row>
    <row r="956" spans="1:17" s="1" customFormat="1" ht="11.45">
      <c r="A956" s="348" t="s">
        <v>19309</v>
      </c>
      <c r="B956" s="365">
        <v>45359</v>
      </c>
      <c r="C956" s="348">
        <v>2024</v>
      </c>
      <c r="D956" s="348" t="s">
        <v>16444</v>
      </c>
      <c r="E956" s="348" t="s">
        <v>16445</v>
      </c>
      <c r="F956" s="348" t="s">
        <v>20155</v>
      </c>
      <c r="G956" s="348" t="s">
        <v>17965</v>
      </c>
      <c r="H956" s="365">
        <v>45364</v>
      </c>
      <c r="I956" s="348">
        <v>19200</v>
      </c>
      <c r="J956" s="359" t="s">
        <v>20345</v>
      </c>
      <c r="K956" s="348">
        <v>0</v>
      </c>
      <c r="L956" s="366"/>
      <c r="M956" s="348">
        <v>0</v>
      </c>
      <c r="N956" s="366"/>
      <c r="O956" s="348">
        <v>0</v>
      </c>
      <c r="P956" s="367"/>
      <c r="Q956" s="348">
        <v>19200</v>
      </c>
    </row>
    <row r="957" spans="1:17" s="1" customFormat="1" ht="11.45">
      <c r="A957" s="348" t="s">
        <v>19310</v>
      </c>
      <c r="B957" s="365">
        <v>45359</v>
      </c>
      <c r="C957" s="348">
        <v>2024</v>
      </c>
      <c r="D957" s="348" t="s">
        <v>16444</v>
      </c>
      <c r="E957" s="348" t="s">
        <v>16445</v>
      </c>
      <c r="F957" s="348" t="s">
        <v>20155</v>
      </c>
      <c r="G957" s="348" t="s">
        <v>18248</v>
      </c>
      <c r="H957" s="365">
        <v>45364</v>
      </c>
      <c r="I957" s="348">
        <v>19200</v>
      </c>
      <c r="J957" s="359" t="s">
        <v>20345</v>
      </c>
      <c r="K957" s="348">
        <v>0</v>
      </c>
      <c r="L957" s="366"/>
      <c r="M957" s="348">
        <v>0</v>
      </c>
      <c r="N957" s="366"/>
      <c r="O957" s="348">
        <v>0</v>
      </c>
      <c r="P957" s="367"/>
      <c r="Q957" s="348">
        <v>19200</v>
      </c>
    </row>
    <row r="958" spans="1:17" s="1" customFormat="1" ht="11.45">
      <c r="A958" s="348" t="s">
        <v>19311</v>
      </c>
      <c r="B958" s="365">
        <v>45359</v>
      </c>
      <c r="C958" s="348">
        <v>2024</v>
      </c>
      <c r="D958" s="348" t="s">
        <v>16384</v>
      </c>
      <c r="E958" s="348" t="s">
        <v>16385</v>
      </c>
      <c r="F958" s="348" t="s">
        <v>20155</v>
      </c>
      <c r="G958" s="348" t="s">
        <v>17949</v>
      </c>
      <c r="H958" s="365">
        <v>45370</v>
      </c>
      <c r="I958" s="348">
        <v>194774</v>
      </c>
      <c r="J958" s="359" t="s">
        <v>20345</v>
      </c>
      <c r="K958" s="348">
        <v>27960</v>
      </c>
      <c r="L958" s="359" t="s">
        <v>20346</v>
      </c>
      <c r="M958" s="348">
        <v>0</v>
      </c>
      <c r="N958" s="366"/>
      <c r="O958" s="348">
        <v>0</v>
      </c>
      <c r="P958" s="367"/>
      <c r="Q958" s="348">
        <v>222734</v>
      </c>
    </row>
    <row r="959" spans="1:17" s="1" customFormat="1" ht="11.45">
      <c r="A959" s="348" t="s">
        <v>19312</v>
      </c>
      <c r="B959" s="365">
        <v>45359</v>
      </c>
      <c r="C959" s="348">
        <v>2024</v>
      </c>
      <c r="D959" s="348" t="s">
        <v>16838</v>
      </c>
      <c r="E959" s="348" t="s">
        <v>16839</v>
      </c>
      <c r="F959" s="348" t="s">
        <v>20155</v>
      </c>
      <c r="G959" s="348" t="s">
        <v>17949</v>
      </c>
      <c r="H959" s="365">
        <v>45366</v>
      </c>
      <c r="I959" s="348">
        <v>0</v>
      </c>
      <c r="J959" s="366"/>
      <c r="K959" s="348">
        <v>21600</v>
      </c>
      <c r="L959" s="359" t="s">
        <v>20346</v>
      </c>
      <c r="M959" s="348">
        <v>0</v>
      </c>
      <c r="N959" s="366"/>
      <c r="O959" s="348">
        <v>0</v>
      </c>
      <c r="P959" s="367"/>
      <c r="Q959" s="348">
        <v>21600</v>
      </c>
    </row>
    <row r="960" spans="1:17" s="1" customFormat="1" ht="11.45">
      <c r="A960" s="348" t="s">
        <v>19313</v>
      </c>
      <c r="B960" s="365">
        <v>45362</v>
      </c>
      <c r="C960" s="348">
        <v>2024</v>
      </c>
      <c r="D960" s="348" t="s">
        <v>17309</v>
      </c>
      <c r="E960" s="348" t="s">
        <v>17310</v>
      </c>
      <c r="F960" s="348" t="s">
        <v>20155</v>
      </c>
      <c r="G960" s="348" t="s">
        <v>20321</v>
      </c>
      <c r="H960" s="365">
        <v>45370</v>
      </c>
      <c r="I960" s="348">
        <v>0</v>
      </c>
      <c r="J960" s="366"/>
      <c r="K960" s="348">
        <v>19200</v>
      </c>
      <c r="L960" s="359" t="s">
        <v>20347</v>
      </c>
      <c r="M960" s="348">
        <v>52000</v>
      </c>
      <c r="N960" s="359" t="s">
        <v>20347</v>
      </c>
      <c r="O960" s="348">
        <v>0</v>
      </c>
      <c r="P960" s="367"/>
      <c r="Q960" s="348">
        <v>71200</v>
      </c>
    </row>
    <row r="961" spans="1:17" s="1" customFormat="1" ht="11.45">
      <c r="A961" s="348" t="s">
        <v>19314</v>
      </c>
      <c r="B961" s="365">
        <v>45362</v>
      </c>
      <c r="C961" s="348">
        <v>2024</v>
      </c>
      <c r="D961" s="348" t="s">
        <v>17309</v>
      </c>
      <c r="E961" s="348" t="s">
        <v>17310</v>
      </c>
      <c r="F961" s="348" t="s">
        <v>20155</v>
      </c>
      <c r="G961" s="348" t="s">
        <v>18248</v>
      </c>
      <c r="H961" s="365">
        <v>45369</v>
      </c>
      <c r="I961" s="348">
        <v>38400</v>
      </c>
      <c r="J961" s="359" t="s">
        <v>20345</v>
      </c>
      <c r="K961" s="348">
        <v>0</v>
      </c>
      <c r="L961" s="366"/>
      <c r="M961" s="348">
        <v>0</v>
      </c>
      <c r="N961" s="366"/>
      <c r="O961" s="348">
        <v>0</v>
      </c>
      <c r="P961" s="367"/>
      <c r="Q961" s="348">
        <v>38400</v>
      </c>
    </row>
    <row r="962" spans="1:17" s="1" customFormat="1" ht="11.45">
      <c r="A962" s="348" t="s">
        <v>19315</v>
      </c>
      <c r="B962" s="365">
        <v>45363</v>
      </c>
      <c r="C962" s="348">
        <v>2024</v>
      </c>
      <c r="D962" s="348" t="s">
        <v>17017</v>
      </c>
      <c r="E962" s="348" t="s">
        <v>17018</v>
      </c>
      <c r="F962" s="348" t="s">
        <v>20155</v>
      </c>
      <c r="G962" s="348" t="s">
        <v>20350</v>
      </c>
      <c r="H962" s="365">
        <v>45379</v>
      </c>
      <c r="I962" s="348">
        <v>0</v>
      </c>
      <c r="J962" s="366"/>
      <c r="K962" s="348">
        <v>20500</v>
      </c>
      <c r="L962" s="360">
        <v>1</v>
      </c>
      <c r="M962" s="348">
        <v>0</v>
      </c>
      <c r="N962" s="366"/>
      <c r="O962" s="348">
        <v>0</v>
      </c>
      <c r="P962" s="367"/>
      <c r="Q962" s="348">
        <v>20500</v>
      </c>
    </row>
    <row r="963" spans="1:17" s="1" customFormat="1" ht="11.45">
      <c r="A963" s="348" t="s">
        <v>19316</v>
      </c>
      <c r="B963" s="365">
        <v>45363</v>
      </c>
      <c r="C963" s="348">
        <v>2024</v>
      </c>
      <c r="D963" s="348" t="s">
        <v>16904</v>
      </c>
      <c r="E963" s="348" t="s">
        <v>16905</v>
      </c>
      <c r="F963" s="348" t="s">
        <v>20155</v>
      </c>
      <c r="G963" s="348" t="s">
        <v>20160</v>
      </c>
      <c r="H963" s="365">
        <v>45377</v>
      </c>
      <c r="I963" s="348">
        <v>0</v>
      </c>
      <c r="J963" s="366"/>
      <c r="K963" s="348">
        <v>14544</v>
      </c>
      <c r="L963" s="360">
        <v>1</v>
      </c>
      <c r="M963" s="348">
        <v>13500</v>
      </c>
      <c r="N963" s="360">
        <v>1</v>
      </c>
      <c r="O963" s="348">
        <v>0</v>
      </c>
      <c r="P963" s="367"/>
      <c r="Q963" s="348">
        <v>28044</v>
      </c>
    </row>
    <row r="964" spans="1:17" s="1" customFormat="1" ht="11.45">
      <c r="A964" s="348" t="s">
        <v>19317</v>
      </c>
      <c r="B964" s="365">
        <v>45363</v>
      </c>
      <c r="C964" s="348">
        <v>2024</v>
      </c>
      <c r="D964" s="348" t="s">
        <v>16904</v>
      </c>
      <c r="E964" s="348" t="s">
        <v>16905</v>
      </c>
      <c r="F964" s="348" t="s">
        <v>20155</v>
      </c>
      <c r="G964" s="348" t="s">
        <v>20160</v>
      </c>
      <c r="H964" s="365">
        <v>45377</v>
      </c>
      <c r="I964" s="348">
        <v>0</v>
      </c>
      <c r="J964" s="366"/>
      <c r="K964" s="348">
        <v>11304</v>
      </c>
      <c r="L964" s="360">
        <v>1</v>
      </c>
      <c r="M964" s="348">
        <v>16500</v>
      </c>
      <c r="N964" s="360">
        <v>1</v>
      </c>
      <c r="O964" s="348">
        <v>0</v>
      </c>
      <c r="P964" s="367"/>
      <c r="Q964" s="348">
        <v>27804</v>
      </c>
    </row>
    <row r="965" spans="1:17" s="1" customFormat="1" ht="11.45">
      <c r="A965" s="348" t="s">
        <v>19318</v>
      </c>
      <c r="B965" s="365">
        <v>45363</v>
      </c>
      <c r="C965" s="348">
        <v>2024</v>
      </c>
      <c r="D965" s="348" t="s">
        <v>16444</v>
      </c>
      <c r="E965" s="348" t="s">
        <v>16445</v>
      </c>
      <c r="F965" s="348" t="s">
        <v>20155</v>
      </c>
      <c r="G965" s="348" t="s">
        <v>18248</v>
      </c>
      <c r="H965" s="365">
        <v>45372</v>
      </c>
      <c r="I965" s="348">
        <v>0</v>
      </c>
      <c r="J965" s="366"/>
      <c r="K965" s="348">
        <v>43200</v>
      </c>
      <c r="L965" s="359" t="s">
        <v>20346</v>
      </c>
      <c r="M965" s="348">
        <v>0</v>
      </c>
      <c r="N965" s="366"/>
      <c r="O965" s="348">
        <v>0</v>
      </c>
      <c r="P965" s="367"/>
      <c r="Q965" s="348">
        <v>43200</v>
      </c>
    </row>
    <row r="966" spans="1:17" s="1" customFormat="1" ht="11.45">
      <c r="A966" s="348" t="s">
        <v>19319</v>
      </c>
      <c r="B966" s="365">
        <v>45363</v>
      </c>
      <c r="C966" s="348">
        <v>2024</v>
      </c>
      <c r="D966" s="348" t="s">
        <v>17342</v>
      </c>
      <c r="E966" s="348" t="s">
        <v>17343</v>
      </c>
      <c r="F966" s="348" t="s">
        <v>20155</v>
      </c>
      <c r="G966" s="348" t="s">
        <v>16394</v>
      </c>
      <c r="H966" s="365">
        <v>45370</v>
      </c>
      <c r="I966" s="348">
        <v>5760</v>
      </c>
      <c r="J966" s="360">
        <v>1</v>
      </c>
      <c r="K966" s="348">
        <v>15168</v>
      </c>
      <c r="L966" s="360">
        <v>1</v>
      </c>
      <c r="M966" s="348">
        <v>1200</v>
      </c>
      <c r="N966" s="360">
        <v>1</v>
      </c>
      <c r="O966" s="348">
        <v>2800</v>
      </c>
      <c r="P966" s="360">
        <v>1</v>
      </c>
      <c r="Q966" s="348">
        <v>24928</v>
      </c>
    </row>
    <row r="967" spans="1:17" s="1" customFormat="1" ht="11.45">
      <c r="A967" s="348" t="s">
        <v>19320</v>
      </c>
      <c r="B967" s="365">
        <v>45369</v>
      </c>
      <c r="C967" s="348">
        <v>2024</v>
      </c>
      <c r="D967" s="348" t="s">
        <v>17342</v>
      </c>
      <c r="E967" s="348" t="s">
        <v>17343</v>
      </c>
      <c r="F967" s="348" t="s">
        <v>20155</v>
      </c>
      <c r="G967" s="348" t="s">
        <v>16394</v>
      </c>
      <c r="H967" s="365">
        <v>45377</v>
      </c>
      <c r="I967" s="348">
        <v>9600</v>
      </c>
      <c r="J967" s="360">
        <v>1</v>
      </c>
      <c r="K967" s="348">
        <v>11880</v>
      </c>
      <c r="L967" s="360">
        <v>1</v>
      </c>
      <c r="M967" s="348">
        <v>2400</v>
      </c>
      <c r="N967" s="360">
        <v>1</v>
      </c>
      <c r="O967" s="348">
        <v>1000</v>
      </c>
      <c r="P967" s="360">
        <v>1</v>
      </c>
      <c r="Q967" s="348">
        <v>24880</v>
      </c>
    </row>
    <row r="968" spans="1:17" s="1" customFormat="1" ht="11.45">
      <c r="A968" s="348" t="s">
        <v>19321</v>
      </c>
      <c r="B968" s="365">
        <v>45369</v>
      </c>
      <c r="C968" s="348">
        <v>2024</v>
      </c>
      <c r="D968" s="348" t="s">
        <v>17342</v>
      </c>
      <c r="E968" s="348" t="s">
        <v>17343</v>
      </c>
      <c r="F968" s="348" t="s">
        <v>20155</v>
      </c>
      <c r="G968" s="348" t="s">
        <v>16394</v>
      </c>
      <c r="H968" s="365">
        <v>45374</v>
      </c>
      <c r="I968" s="348">
        <v>0</v>
      </c>
      <c r="J968" s="366"/>
      <c r="K968" s="348">
        <v>19080</v>
      </c>
      <c r="L968" s="360">
        <v>1</v>
      </c>
      <c r="M968" s="348">
        <v>4800</v>
      </c>
      <c r="N968" s="360">
        <v>1</v>
      </c>
      <c r="O968" s="348">
        <v>560</v>
      </c>
      <c r="P968" s="360">
        <v>1</v>
      </c>
      <c r="Q968" s="348">
        <v>24440</v>
      </c>
    </row>
    <row r="969" spans="1:17" s="1" customFormat="1" ht="11.45">
      <c r="A969" s="348" t="s">
        <v>19322</v>
      </c>
      <c r="B969" s="365">
        <v>45370</v>
      </c>
      <c r="C969" s="348">
        <v>2024</v>
      </c>
      <c r="D969" s="348" t="s">
        <v>16444</v>
      </c>
      <c r="E969" s="348" t="s">
        <v>16445</v>
      </c>
      <c r="F969" s="348" t="s">
        <v>20155</v>
      </c>
      <c r="G969" s="348" t="s">
        <v>17854</v>
      </c>
      <c r="H969" s="365">
        <v>45376</v>
      </c>
      <c r="I969" s="348">
        <v>54000</v>
      </c>
      <c r="J969" s="359" t="s">
        <v>20345</v>
      </c>
      <c r="K969" s="348">
        <v>0</v>
      </c>
      <c r="L969" s="366"/>
      <c r="M969" s="348">
        <v>0</v>
      </c>
      <c r="N969" s="366"/>
      <c r="O969" s="348">
        <v>0</v>
      </c>
      <c r="P969" s="367"/>
      <c r="Q969" s="348">
        <v>54000</v>
      </c>
    </row>
    <row r="970" spans="1:17" s="1" customFormat="1" ht="11.45">
      <c r="A970" s="348" t="s">
        <v>19323</v>
      </c>
      <c r="B970" s="365">
        <v>45370</v>
      </c>
      <c r="C970" s="348">
        <v>2024</v>
      </c>
      <c r="D970" s="348" t="s">
        <v>16384</v>
      </c>
      <c r="E970" s="348" t="s">
        <v>16385</v>
      </c>
      <c r="F970" s="348" t="s">
        <v>20155</v>
      </c>
      <c r="G970" s="348" t="s">
        <v>17965</v>
      </c>
      <c r="H970" s="365">
        <v>45376</v>
      </c>
      <c r="I970" s="348">
        <v>76800</v>
      </c>
      <c r="J970" s="359" t="s">
        <v>20345</v>
      </c>
      <c r="K970" s="348">
        <v>0</v>
      </c>
      <c r="L970" s="366"/>
      <c r="M970" s="348">
        <v>0</v>
      </c>
      <c r="N970" s="366"/>
      <c r="O970" s="348">
        <v>0</v>
      </c>
      <c r="P970" s="367"/>
      <c r="Q970" s="348">
        <v>76800</v>
      </c>
    </row>
    <row r="971" spans="1:17" s="1" customFormat="1" ht="11.45">
      <c r="A971" s="348" t="s">
        <v>19324</v>
      </c>
      <c r="B971" s="365">
        <v>45370</v>
      </c>
      <c r="C971" s="348">
        <v>2024</v>
      </c>
      <c r="D971" s="348" t="s">
        <v>16838</v>
      </c>
      <c r="E971" s="348" t="s">
        <v>16839</v>
      </c>
      <c r="F971" s="348" t="s">
        <v>20155</v>
      </c>
      <c r="G971" s="348" t="s">
        <v>17771</v>
      </c>
      <c r="H971" s="365">
        <v>45385</v>
      </c>
      <c r="I971" s="348">
        <v>3600</v>
      </c>
      <c r="J971" s="359" t="s">
        <v>20345</v>
      </c>
      <c r="K971" s="348">
        <v>22200</v>
      </c>
      <c r="L971" s="359" t="s">
        <v>20348</v>
      </c>
      <c r="M971" s="348">
        <v>84000</v>
      </c>
      <c r="N971" s="359" t="s">
        <v>20347</v>
      </c>
      <c r="O971" s="348">
        <v>0</v>
      </c>
      <c r="P971" s="367"/>
      <c r="Q971" s="348">
        <v>109800</v>
      </c>
    </row>
    <row r="972" spans="1:17" s="1" customFormat="1" ht="11.45">
      <c r="A972" s="348" t="s">
        <v>19325</v>
      </c>
      <c r="B972" s="365">
        <v>45370</v>
      </c>
      <c r="C972" s="348">
        <v>2024</v>
      </c>
      <c r="D972" s="348" t="s">
        <v>16957</v>
      </c>
      <c r="E972" s="348" t="s">
        <v>16958</v>
      </c>
      <c r="F972" s="348" t="s">
        <v>20155</v>
      </c>
      <c r="G972" s="348" t="s">
        <v>20161</v>
      </c>
      <c r="H972" s="365">
        <v>45378</v>
      </c>
      <c r="I972" s="348">
        <v>40300</v>
      </c>
      <c r="J972" s="360">
        <v>1</v>
      </c>
      <c r="K972" s="348">
        <v>0</v>
      </c>
      <c r="L972" s="366"/>
      <c r="M972" s="348">
        <v>0</v>
      </c>
      <c r="N972" s="366"/>
      <c r="O972" s="348">
        <v>0</v>
      </c>
      <c r="P972" s="367"/>
      <c r="Q972" s="348">
        <v>40300</v>
      </c>
    </row>
    <row r="973" spans="1:17" s="1" customFormat="1" ht="11.45">
      <c r="A973" s="348" t="s">
        <v>19326</v>
      </c>
      <c r="B973" s="365">
        <v>45370</v>
      </c>
      <c r="C973" s="348">
        <v>2024</v>
      </c>
      <c r="D973" s="348" t="s">
        <v>16957</v>
      </c>
      <c r="E973" s="348" t="s">
        <v>16958</v>
      </c>
      <c r="F973" s="348" t="s">
        <v>20155</v>
      </c>
      <c r="G973" s="348" t="s">
        <v>20161</v>
      </c>
      <c r="H973" s="365">
        <v>45379</v>
      </c>
      <c r="I973" s="348">
        <v>40300</v>
      </c>
      <c r="J973" s="359" t="s">
        <v>20345</v>
      </c>
      <c r="K973" s="348">
        <v>0</v>
      </c>
      <c r="L973" s="366"/>
      <c r="M973" s="348">
        <v>0</v>
      </c>
      <c r="N973" s="366"/>
      <c r="O973" s="348">
        <v>0</v>
      </c>
      <c r="P973" s="367"/>
      <c r="Q973" s="348">
        <v>40300</v>
      </c>
    </row>
    <row r="974" spans="1:17" s="1" customFormat="1" ht="11.45">
      <c r="A974" s="348" t="s">
        <v>19327</v>
      </c>
      <c r="B974" s="365">
        <v>45370</v>
      </c>
      <c r="C974" s="348">
        <v>2024</v>
      </c>
      <c r="D974" s="348" t="s">
        <v>17342</v>
      </c>
      <c r="E974" s="348" t="s">
        <v>17343</v>
      </c>
      <c r="F974" s="348" t="s">
        <v>20155</v>
      </c>
      <c r="G974" s="348" t="s">
        <v>16394</v>
      </c>
      <c r="H974" s="365">
        <v>45379</v>
      </c>
      <c r="I974" s="348">
        <v>0</v>
      </c>
      <c r="J974" s="366"/>
      <c r="K974" s="348">
        <v>0</v>
      </c>
      <c r="L974" s="366"/>
      <c r="M974" s="348">
        <v>0</v>
      </c>
      <c r="N974" s="366"/>
      <c r="O974" s="348">
        <v>1680</v>
      </c>
      <c r="P974" s="360">
        <v>1</v>
      </c>
      <c r="Q974" s="348">
        <v>1680</v>
      </c>
    </row>
    <row r="975" spans="1:17" s="1" customFormat="1" ht="11.45">
      <c r="A975" s="348" t="s">
        <v>19328</v>
      </c>
      <c r="B975" s="365">
        <v>45370</v>
      </c>
      <c r="C975" s="348">
        <v>2024</v>
      </c>
      <c r="D975" s="348" t="s">
        <v>16783</v>
      </c>
      <c r="E975" s="348" t="s">
        <v>16784</v>
      </c>
      <c r="F975" s="348" t="s">
        <v>20155</v>
      </c>
      <c r="G975" s="348" t="s">
        <v>20372</v>
      </c>
      <c r="H975" s="365">
        <v>45376</v>
      </c>
      <c r="I975" s="348">
        <v>0</v>
      </c>
      <c r="J975" s="366"/>
      <c r="K975" s="348">
        <v>194880</v>
      </c>
      <c r="L975" s="359" t="s">
        <v>20345</v>
      </c>
      <c r="M975" s="348">
        <v>38400</v>
      </c>
      <c r="N975" s="359" t="s">
        <v>20345</v>
      </c>
      <c r="O975" s="348">
        <v>0</v>
      </c>
      <c r="P975" s="367"/>
      <c r="Q975" s="348">
        <v>233280</v>
      </c>
    </row>
    <row r="976" spans="1:17" s="1" customFormat="1" ht="11.45">
      <c r="A976" s="348" t="s">
        <v>19329</v>
      </c>
      <c r="B976" s="365">
        <v>45373</v>
      </c>
      <c r="C976" s="348">
        <v>2024</v>
      </c>
      <c r="D976" s="348" t="s">
        <v>17342</v>
      </c>
      <c r="E976" s="348" t="s">
        <v>17343</v>
      </c>
      <c r="F976" s="348" t="s">
        <v>20155</v>
      </c>
      <c r="G976" s="348" t="s">
        <v>16394</v>
      </c>
      <c r="H976" s="365">
        <v>45374</v>
      </c>
      <c r="I976" s="348">
        <v>0</v>
      </c>
      <c r="J976" s="366"/>
      <c r="K976" s="348">
        <v>16752</v>
      </c>
      <c r="L976" s="360">
        <v>1</v>
      </c>
      <c r="M976" s="348">
        <v>4800</v>
      </c>
      <c r="N976" s="360">
        <v>1</v>
      </c>
      <c r="O976" s="348">
        <v>1320</v>
      </c>
      <c r="P976" s="360">
        <v>1</v>
      </c>
      <c r="Q976" s="348">
        <v>22872</v>
      </c>
    </row>
    <row r="977" spans="1:17" s="1" customFormat="1" ht="11.45">
      <c r="A977" s="348" t="s">
        <v>19330</v>
      </c>
      <c r="B977" s="365">
        <v>45373</v>
      </c>
      <c r="C977" s="348">
        <v>2024</v>
      </c>
      <c r="D977" s="348" t="s">
        <v>17342</v>
      </c>
      <c r="E977" s="348" t="s">
        <v>17343</v>
      </c>
      <c r="F977" s="348" t="s">
        <v>20155</v>
      </c>
      <c r="G977" s="348" t="s">
        <v>16394</v>
      </c>
      <c r="H977" s="365">
        <v>45377</v>
      </c>
      <c r="I977" s="348">
        <v>0</v>
      </c>
      <c r="J977" s="366"/>
      <c r="K977" s="348">
        <v>18624</v>
      </c>
      <c r="L977" s="360">
        <v>1</v>
      </c>
      <c r="M977" s="348">
        <v>4800</v>
      </c>
      <c r="N977" s="360">
        <v>1</v>
      </c>
      <c r="O977" s="348">
        <v>200</v>
      </c>
      <c r="P977" s="360">
        <v>1</v>
      </c>
      <c r="Q977" s="348">
        <v>23624</v>
      </c>
    </row>
    <row r="978" spans="1:17" s="1" customFormat="1" ht="11.45">
      <c r="A978" s="348" t="s">
        <v>19331</v>
      </c>
      <c r="B978" s="365">
        <v>45377</v>
      </c>
      <c r="C978" s="348">
        <v>2024</v>
      </c>
      <c r="D978" s="348" t="s">
        <v>17226</v>
      </c>
      <c r="E978" s="348" t="s">
        <v>17227</v>
      </c>
      <c r="F978" s="348" t="s">
        <v>20155</v>
      </c>
      <c r="G978" s="348" t="s">
        <v>17689</v>
      </c>
      <c r="H978" s="365">
        <v>45380</v>
      </c>
      <c r="I978" s="348">
        <v>0</v>
      </c>
      <c r="J978" s="366"/>
      <c r="K978" s="348">
        <v>50700</v>
      </c>
      <c r="L978" s="360">
        <v>1</v>
      </c>
      <c r="M978" s="348">
        <v>0</v>
      </c>
      <c r="N978" s="366"/>
      <c r="O978" s="348">
        <v>5200</v>
      </c>
      <c r="P978" s="360">
        <v>1</v>
      </c>
      <c r="Q978" s="348">
        <v>55900</v>
      </c>
    </row>
    <row r="979" spans="1:17" s="1" customFormat="1" ht="11.45">
      <c r="A979" s="348" t="s">
        <v>19332</v>
      </c>
      <c r="B979" s="365">
        <v>45377</v>
      </c>
      <c r="C979" s="348">
        <v>2024</v>
      </c>
      <c r="D979" s="348" t="s">
        <v>17226</v>
      </c>
      <c r="E979" s="348" t="s">
        <v>17227</v>
      </c>
      <c r="F979" s="348" t="s">
        <v>20155</v>
      </c>
      <c r="G979" s="348" t="s">
        <v>17689</v>
      </c>
      <c r="H979" s="365">
        <v>45380</v>
      </c>
      <c r="I979" s="348">
        <v>0</v>
      </c>
      <c r="J979" s="366"/>
      <c r="K979" s="348">
        <v>0</v>
      </c>
      <c r="L979" s="366"/>
      <c r="M979" s="348">
        <v>27840</v>
      </c>
      <c r="N979" s="360">
        <v>1</v>
      </c>
      <c r="O979" s="348">
        <v>0</v>
      </c>
      <c r="P979" s="367"/>
      <c r="Q979" s="348">
        <v>27840</v>
      </c>
    </row>
    <row r="980" spans="1:17" s="1" customFormat="1" ht="11.45">
      <c r="A980" s="348" t="s">
        <v>19333</v>
      </c>
      <c r="B980" s="365">
        <v>45377</v>
      </c>
      <c r="C980" s="348">
        <v>2024</v>
      </c>
      <c r="D980" s="348" t="s">
        <v>17132</v>
      </c>
      <c r="E980" s="348" t="s">
        <v>17133</v>
      </c>
      <c r="F980" s="348" t="s">
        <v>20155</v>
      </c>
      <c r="G980" s="348" t="s">
        <v>17939</v>
      </c>
      <c r="H980" s="365">
        <v>45400</v>
      </c>
      <c r="I980" s="348">
        <v>102048</v>
      </c>
      <c r="J980" s="359" t="s">
        <v>20345</v>
      </c>
      <c r="K980" s="348">
        <v>0</v>
      </c>
      <c r="L980" s="366"/>
      <c r="M980" s="348">
        <v>70080</v>
      </c>
      <c r="N980" s="359" t="s">
        <v>20347</v>
      </c>
      <c r="O980" s="348">
        <v>0</v>
      </c>
      <c r="P980" s="367"/>
      <c r="Q980" s="348">
        <v>172128</v>
      </c>
    </row>
    <row r="981" spans="1:17" s="1" customFormat="1" ht="11.45">
      <c r="A981" s="348" t="s">
        <v>19334</v>
      </c>
      <c r="B981" s="365">
        <v>45380</v>
      </c>
      <c r="C981" s="348">
        <v>2024</v>
      </c>
      <c r="D981" s="348" t="s">
        <v>16643</v>
      </c>
      <c r="E981" s="348" t="s">
        <v>16644</v>
      </c>
      <c r="F981" s="348" t="s">
        <v>20155</v>
      </c>
      <c r="G981" s="348" t="s">
        <v>18227</v>
      </c>
      <c r="H981" s="365">
        <v>45387</v>
      </c>
      <c r="I981" s="348">
        <v>0</v>
      </c>
      <c r="J981" s="366"/>
      <c r="K981" s="348">
        <v>22500</v>
      </c>
      <c r="L981" s="359" t="s">
        <v>20346</v>
      </c>
      <c r="M981" s="348">
        <v>0</v>
      </c>
      <c r="N981" s="366"/>
      <c r="O981" s="348">
        <v>0</v>
      </c>
      <c r="P981" s="367"/>
      <c r="Q981" s="348">
        <v>22500</v>
      </c>
    </row>
    <row r="982" spans="1:17" s="1" customFormat="1" ht="11.45">
      <c r="A982" s="348" t="s">
        <v>19335</v>
      </c>
      <c r="B982" s="365">
        <v>45384</v>
      </c>
      <c r="C982" s="348">
        <v>2024</v>
      </c>
      <c r="D982" s="348" t="s">
        <v>17304</v>
      </c>
      <c r="E982" s="348" t="s">
        <v>17305</v>
      </c>
      <c r="F982" s="348" t="s">
        <v>20155</v>
      </c>
      <c r="G982" s="348" t="s">
        <v>17954</v>
      </c>
      <c r="H982" s="365">
        <v>45387</v>
      </c>
      <c r="I982" s="348">
        <v>2400</v>
      </c>
      <c r="J982" s="360">
        <v>1</v>
      </c>
      <c r="K982" s="348">
        <v>10700</v>
      </c>
      <c r="L982" s="360">
        <v>1</v>
      </c>
      <c r="M982" s="348">
        <v>500</v>
      </c>
      <c r="N982" s="360">
        <v>1</v>
      </c>
      <c r="O982" s="348">
        <v>5000</v>
      </c>
      <c r="P982" s="360">
        <v>1</v>
      </c>
      <c r="Q982" s="348">
        <v>18600</v>
      </c>
    </row>
    <row r="983" spans="1:17" s="1" customFormat="1" ht="11.45">
      <c r="A983" s="348" t="s">
        <v>19336</v>
      </c>
      <c r="B983" s="365">
        <v>45397</v>
      </c>
      <c r="C983" s="348">
        <v>2024</v>
      </c>
      <c r="D983" s="348" t="s">
        <v>17276</v>
      </c>
      <c r="E983" s="348" t="s">
        <v>17277</v>
      </c>
      <c r="F983" s="348" t="s">
        <v>20155</v>
      </c>
      <c r="G983" s="348" t="s">
        <v>20297</v>
      </c>
      <c r="H983" s="365">
        <v>45404</v>
      </c>
      <c r="I983" s="348">
        <v>0</v>
      </c>
      <c r="J983" s="360"/>
      <c r="K983" s="348">
        <v>49560</v>
      </c>
      <c r="L983" s="359" t="s">
        <v>20346</v>
      </c>
      <c r="M983" s="348">
        <v>0</v>
      </c>
      <c r="N983" s="360"/>
      <c r="O983" s="348">
        <v>0</v>
      </c>
      <c r="P983" s="360"/>
      <c r="Q983" s="348">
        <v>49560</v>
      </c>
    </row>
    <row r="984" spans="1:17" s="1" customFormat="1" ht="11.45">
      <c r="A984" s="348" t="s">
        <v>19337</v>
      </c>
      <c r="B984" s="365">
        <v>45397</v>
      </c>
      <c r="C984" s="348">
        <v>2024</v>
      </c>
      <c r="D984" s="348" t="s">
        <v>16470</v>
      </c>
      <c r="E984" s="348" t="s">
        <v>16471</v>
      </c>
      <c r="F984" s="348" t="s">
        <v>20155</v>
      </c>
      <c r="G984" s="348" t="s">
        <v>18227</v>
      </c>
      <c r="H984" s="365">
        <v>45400</v>
      </c>
      <c r="I984" s="348">
        <v>11280</v>
      </c>
      <c r="J984" s="359" t="s">
        <v>20345</v>
      </c>
      <c r="K984" s="348">
        <v>238810</v>
      </c>
      <c r="L984" s="359" t="s">
        <v>20346</v>
      </c>
      <c r="M984" s="348">
        <v>30000</v>
      </c>
      <c r="N984" s="360" t="s">
        <v>20347</v>
      </c>
      <c r="O984" s="348">
        <v>0</v>
      </c>
      <c r="P984" s="360"/>
      <c r="Q984" s="348">
        <v>280090</v>
      </c>
    </row>
    <row r="985" spans="1:17" s="1" customFormat="1" ht="11.45">
      <c r="A985" s="348" t="s">
        <v>19338</v>
      </c>
      <c r="B985" s="365">
        <v>45397</v>
      </c>
      <c r="C985" s="348">
        <v>2024</v>
      </c>
      <c r="D985" s="348" t="s">
        <v>16470</v>
      </c>
      <c r="E985" s="348" t="s">
        <v>16471</v>
      </c>
      <c r="F985" s="348" t="s">
        <v>20155</v>
      </c>
      <c r="G985" s="348" t="s">
        <v>18227</v>
      </c>
      <c r="H985" s="365">
        <v>45406</v>
      </c>
      <c r="I985" s="348">
        <v>11280</v>
      </c>
      <c r="J985" s="359" t="s">
        <v>20345</v>
      </c>
      <c r="K985" s="348">
        <v>238810</v>
      </c>
      <c r="L985" s="359" t="s">
        <v>20346</v>
      </c>
      <c r="M985" s="348">
        <v>30000</v>
      </c>
      <c r="N985" s="360" t="s">
        <v>20347</v>
      </c>
      <c r="O985" s="348">
        <v>0</v>
      </c>
      <c r="P985" s="360"/>
      <c r="Q985" s="348">
        <v>280090</v>
      </c>
    </row>
    <row r="986" spans="1:17" s="1" customFormat="1" ht="11.45">
      <c r="A986" s="348" t="s">
        <v>19339</v>
      </c>
      <c r="B986" s="365">
        <v>45397</v>
      </c>
      <c r="C986" s="348">
        <v>2024</v>
      </c>
      <c r="D986" s="348" t="s">
        <v>16904</v>
      </c>
      <c r="E986" s="348" t="s">
        <v>16905</v>
      </c>
      <c r="F986" s="348" t="s">
        <v>20155</v>
      </c>
      <c r="G986" s="348" t="s">
        <v>20160</v>
      </c>
      <c r="H986" s="365">
        <v>45401</v>
      </c>
      <c r="I986" s="348">
        <v>0</v>
      </c>
      <c r="J986" s="360"/>
      <c r="K986" s="348">
        <v>18360</v>
      </c>
      <c r="L986" s="360">
        <v>1</v>
      </c>
      <c r="M986" s="348">
        <v>7500</v>
      </c>
      <c r="N986" s="360">
        <v>1</v>
      </c>
      <c r="O986" s="348">
        <v>0</v>
      </c>
      <c r="P986" s="360"/>
      <c r="Q986" s="348">
        <v>25860</v>
      </c>
    </row>
    <row r="987" spans="1:17" s="1" customFormat="1" ht="11.45">
      <c r="A987" s="348" t="s">
        <v>19340</v>
      </c>
      <c r="B987" s="365">
        <v>45397</v>
      </c>
      <c r="C987" s="348">
        <v>2024</v>
      </c>
      <c r="D987" s="348" t="s">
        <v>16904</v>
      </c>
      <c r="E987" s="348" t="s">
        <v>16905</v>
      </c>
      <c r="F987" s="348" t="s">
        <v>20155</v>
      </c>
      <c r="G987" s="348" t="s">
        <v>20160</v>
      </c>
      <c r="H987" s="365">
        <v>45401</v>
      </c>
      <c r="I987" s="348">
        <v>0</v>
      </c>
      <c r="J987" s="360"/>
      <c r="K987" s="348">
        <v>18360</v>
      </c>
      <c r="L987" s="360">
        <v>1</v>
      </c>
      <c r="M987" s="348">
        <v>7500</v>
      </c>
      <c r="N987" s="360">
        <v>1</v>
      </c>
      <c r="O987" s="348">
        <v>0</v>
      </c>
      <c r="P987" s="360"/>
      <c r="Q987" s="348">
        <v>25860</v>
      </c>
    </row>
    <row r="988" spans="1:17" s="1" customFormat="1" ht="11.45">
      <c r="A988" s="348" t="s">
        <v>19341</v>
      </c>
      <c r="B988" s="365">
        <v>45397</v>
      </c>
      <c r="C988" s="348">
        <v>2024</v>
      </c>
      <c r="D988" s="348" t="s">
        <v>16384</v>
      </c>
      <c r="E988" s="348" t="s">
        <v>16385</v>
      </c>
      <c r="F988" s="348" t="s">
        <v>20155</v>
      </c>
      <c r="G988" s="348" t="s">
        <v>18248</v>
      </c>
      <c r="H988" s="365">
        <v>45401</v>
      </c>
      <c r="I988" s="348">
        <v>57600</v>
      </c>
      <c r="J988" s="359" t="s">
        <v>20345</v>
      </c>
      <c r="K988" s="348">
        <v>0</v>
      </c>
      <c r="L988" s="360"/>
      <c r="M988" s="348">
        <v>0</v>
      </c>
      <c r="N988" s="360"/>
      <c r="O988" s="348">
        <v>0</v>
      </c>
      <c r="P988" s="360"/>
      <c r="Q988" s="348">
        <v>57600</v>
      </c>
    </row>
    <row r="989" spans="1:17" s="1" customFormat="1" ht="11.45">
      <c r="A989" s="348" t="s">
        <v>19342</v>
      </c>
      <c r="B989" s="365">
        <v>45397</v>
      </c>
      <c r="C989" s="348">
        <v>2024</v>
      </c>
      <c r="D989" s="348" t="s">
        <v>17226</v>
      </c>
      <c r="E989" s="348" t="s">
        <v>17227</v>
      </c>
      <c r="F989" s="348" t="s">
        <v>20155</v>
      </c>
      <c r="G989" s="348" t="s">
        <v>17689</v>
      </c>
      <c r="H989" s="365">
        <v>45418</v>
      </c>
      <c r="I989" s="348">
        <v>32400</v>
      </c>
      <c r="J989" s="360">
        <v>1</v>
      </c>
      <c r="K989" s="348">
        <v>0</v>
      </c>
      <c r="L989" s="360"/>
      <c r="M989" s="348">
        <v>0</v>
      </c>
      <c r="N989" s="360"/>
      <c r="O989" s="348">
        <v>0</v>
      </c>
      <c r="P989" s="360"/>
      <c r="Q989" s="348">
        <v>32400</v>
      </c>
    </row>
    <row r="990" spans="1:17" s="1" customFormat="1" ht="11.45">
      <c r="A990" s="348" t="s">
        <v>19343</v>
      </c>
      <c r="B990" s="365">
        <v>45398</v>
      </c>
      <c r="C990" s="348">
        <v>2024</v>
      </c>
      <c r="D990" s="348" t="s">
        <v>16838</v>
      </c>
      <c r="E990" s="348" t="s">
        <v>16839</v>
      </c>
      <c r="F990" s="348" t="s">
        <v>20155</v>
      </c>
      <c r="G990" s="348" t="s">
        <v>17949</v>
      </c>
      <c r="H990" s="365">
        <v>45435</v>
      </c>
      <c r="I990" s="348">
        <v>56016</v>
      </c>
      <c r="J990" s="359" t="s">
        <v>20345</v>
      </c>
      <c r="K990" s="348">
        <v>9600</v>
      </c>
      <c r="L990" s="359" t="s">
        <v>20346</v>
      </c>
      <c r="M990" s="348">
        <v>0</v>
      </c>
      <c r="N990" s="360"/>
      <c r="O990" s="348">
        <v>0</v>
      </c>
      <c r="P990" s="360"/>
      <c r="Q990" s="348">
        <v>65616</v>
      </c>
    </row>
    <row r="991" spans="1:17" s="1" customFormat="1" ht="11.45">
      <c r="A991" s="348" t="s">
        <v>19344</v>
      </c>
      <c r="B991" s="365">
        <v>45398</v>
      </c>
      <c r="C991" s="348">
        <v>2024</v>
      </c>
      <c r="D991" s="348" t="s">
        <v>17309</v>
      </c>
      <c r="E991" s="348" t="s">
        <v>17310</v>
      </c>
      <c r="F991" s="348" t="s">
        <v>20155</v>
      </c>
      <c r="G991" s="348" t="s">
        <v>18248</v>
      </c>
      <c r="H991" s="365">
        <v>45406</v>
      </c>
      <c r="I991" s="348">
        <v>19200</v>
      </c>
      <c r="J991" s="359" t="s">
        <v>20345</v>
      </c>
      <c r="K991" s="348">
        <v>0</v>
      </c>
      <c r="L991" s="360"/>
      <c r="M991" s="348">
        <v>0</v>
      </c>
      <c r="N991" s="360"/>
      <c r="O991" s="348">
        <v>0</v>
      </c>
      <c r="P991" s="360"/>
      <c r="Q991" s="348">
        <v>19200</v>
      </c>
    </row>
    <row r="992" spans="1:17" s="1" customFormat="1" ht="11.45">
      <c r="A992" s="348" t="s">
        <v>19345</v>
      </c>
      <c r="B992" s="365">
        <v>45398</v>
      </c>
      <c r="C992" s="348">
        <v>2024</v>
      </c>
      <c r="D992" s="348" t="s">
        <v>17309</v>
      </c>
      <c r="E992" s="348" t="s">
        <v>17310</v>
      </c>
      <c r="F992" s="348" t="s">
        <v>20155</v>
      </c>
      <c r="G992" s="348" t="s">
        <v>20373</v>
      </c>
      <c r="H992" s="365">
        <v>45406</v>
      </c>
      <c r="I992" s="348">
        <v>19200</v>
      </c>
      <c r="J992" s="359" t="s">
        <v>20345</v>
      </c>
      <c r="K992" s="348">
        <v>0</v>
      </c>
      <c r="L992" s="360"/>
      <c r="M992" s="348">
        <v>0</v>
      </c>
      <c r="N992" s="360"/>
      <c r="O992" s="348">
        <v>0</v>
      </c>
      <c r="P992" s="360"/>
      <c r="Q992" s="348">
        <v>19200</v>
      </c>
    </row>
    <row r="993" spans="1:17" s="1" customFormat="1" ht="11.45">
      <c r="A993" s="348" t="s">
        <v>19346</v>
      </c>
      <c r="B993" s="365">
        <v>45398</v>
      </c>
      <c r="C993" s="348">
        <v>2024</v>
      </c>
      <c r="D993" s="348" t="s">
        <v>17309</v>
      </c>
      <c r="E993" s="348" t="s">
        <v>17310</v>
      </c>
      <c r="F993" s="348" t="s">
        <v>20155</v>
      </c>
      <c r="G993" s="348" t="s">
        <v>17854</v>
      </c>
      <c r="H993" s="365">
        <v>45406</v>
      </c>
      <c r="I993" s="348">
        <v>21000</v>
      </c>
      <c r="J993" s="359" t="s">
        <v>20345</v>
      </c>
      <c r="K993" s="348">
        <v>0</v>
      </c>
      <c r="L993" s="360"/>
      <c r="M993" s="348">
        <v>0</v>
      </c>
      <c r="N993" s="360"/>
      <c r="O993" s="348">
        <v>0</v>
      </c>
      <c r="P993" s="360"/>
      <c r="Q993" s="348">
        <v>21000</v>
      </c>
    </row>
    <row r="994" spans="1:17" s="1" customFormat="1" ht="11.45">
      <c r="A994" s="348" t="s">
        <v>19347</v>
      </c>
      <c r="B994" s="365">
        <v>45398</v>
      </c>
      <c r="C994" s="348">
        <v>2024</v>
      </c>
      <c r="D994" s="348" t="s">
        <v>17309</v>
      </c>
      <c r="E994" s="348" t="s">
        <v>17310</v>
      </c>
      <c r="F994" s="348" t="s">
        <v>20155</v>
      </c>
      <c r="G994" s="348" t="s">
        <v>20321</v>
      </c>
      <c r="H994" s="365">
        <v>45411</v>
      </c>
      <c r="I994" s="348">
        <v>173250</v>
      </c>
      <c r="J994" s="359" t="s">
        <v>20345</v>
      </c>
      <c r="K994" s="348">
        <v>15000</v>
      </c>
      <c r="L994" s="359" t="s">
        <v>20348</v>
      </c>
      <c r="M994" s="348">
        <v>300000</v>
      </c>
      <c r="N994" s="359" t="s">
        <v>20347</v>
      </c>
      <c r="O994" s="348">
        <v>0</v>
      </c>
      <c r="P994" s="360"/>
      <c r="Q994" s="348">
        <v>488250</v>
      </c>
    </row>
    <row r="995" spans="1:17" s="1" customFormat="1" ht="11.45">
      <c r="A995" s="348" t="s">
        <v>19348</v>
      </c>
      <c r="B995" s="365">
        <v>45398</v>
      </c>
      <c r="C995" s="348">
        <v>2024</v>
      </c>
      <c r="D995" s="348" t="s">
        <v>16957</v>
      </c>
      <c r="E995" s="348" t="s">
        <v>16958</v>
      </c>
      <c r="F995" s="348" t="s">
        <v>20155</v>
      </c>
      <c r="G995" s="348" t="s">
        <v>20161</v>
      </c>
      <c r="H995" s="365">
        <v>45404</v>
      </c>
      <c r="I995" s="348">
        <v>40300</v>
      </c>
      <c r="J995" s="359" t="s">
        <v>20345</v>
      </c>
      <c r="K995" s="348">
        <v>0</v>
      </c>
      <c r="L995" s="360"/>
      <c r="M995" s="348">
        <v>0</v>
      </c>
      <c r="N995" s="360"/>
      <c r="O995" s="348">
        <v>0</v>
      </c>
      <c r="P995" s="360"/>
      <c r="Q995" s="348">
        <v>40300</v>
      </c>
    </row>
    <row r="996" spans="1:17" s="1" customFormat="1" ht="11.45">
      <c r="A996" s="348" t="s">
        <v>19349</v>
      </c>
      <c r="B996" s="365">
        <v>45404</v>
      </c>
      <c r="C996" s="348">
        <v>2024</v>
      </c>
      <c r="D996" s="348" t="s">
        <v>17299</v>
      </c>
      <c r="E996" s="348" t="s">
        <v>17300</v>
      </c>
      <c r="F996" s="348" t="s">
        <v>20155</v>
      </c>
      <c r="G996" s="348" t="s">
        <v>20321</v>
      </c>
      <c r="H996" s="365" t="s">
        <v>20374</v>
      </c>
      <c r="I996" s="348">
        <v>134400</v>
      </c>
      <c r="J996" s="359" t="s">
        <v>20345</v>
      </c>
      <c r="K996" s="348">
        <v>0</v>
      </c>
      <c r="L996" s="360"/>
      <c r="M996" s="348">
        <v>0</v>
      </c>
      <c r="N996" s="360"/>
      <c r="O996" s="348">
        <v>0</v>
      </c>
      <c r="P996" s="360"/>
      <c r="Q996" s="348">
        <v>134400</v>
      </c>
    </row>
    <row r="997" spans="1:17" s="1" customFormat="1" ht="11.45">
      <c r="A997" s="348" t="s">
        <v>19350</v>
      </c>
      <c r="B997" s="365">
        <v>45405</v>
      </c>
      <c r="C997" s="348">
        <v>2024</v>
      </c>
      <c r="D997" s="348" t="s">
        <v>16643</v>
      </c>
      <c r="E997" s="348" t="s">
        <v>16644</v>
      </c>
      <c r="F997" s="348" t="s">
        <v>20155</v>
      </c>
      <c r="G997" s="348" t="s">
        <v>18227</v>
      </c>
      <c r="H997" s="365">
        <v>45414</v>
      </c>
      <c r="I997" s="348">
        <v>0</v>
      </c>
      <c r="J997" s="360"/>
      <c r="K997" s="348">
        <v>40800</v>
      </c>
      <c r="L997" s="359" t="s">
        <v>20346</v>
      </c>
      <c r="M997" s="348">
        <v>0</v>
      </c>
      <c r="N997" s="360"/>
      <c r="O997" s="348">
        <v>0</v>
      </c>
      <c r="P997" s="360"/>
      <c r="Q997" s="348">
        <v>40800</v>
      </c>
    </row>
    <row r="998" spans="1:17" s="1" customFormat="1" ht="11.45">
      <c r="A998" s="348" t="s">
        <v>19351</v>
      </c>
      <c r="B998" s="365">
        <v>45405</v>
      </c>
      <c r="C998" s="348">
        <v>2024</v>
      </c>
      <c r="D998" s="348" t="s">
        <v>17372</v>
      </c>
      <c r="E998" s="348" t="s">
        <v>17373</v>
      </c>
      <c r="F998" s="348" t="s">
        <v>20155</v>
      </c>
      <c r="G998" s="348" t="s">
        <v>20319</v>
      </c>
      <c r="H998" s="365">
        <v>45450</v>
      </c>
      <c r="I998" s="348">
        <v>3000</v>
      </c>
      <c r="J998" s="359" t="s">
        <v>20345</v>
      </c>
      <c r="K998" s="348">
        <v>16800</v>
      </c>
      <c r="L998" s="359" t="s">
        <v>20348</v>
      </c>
      <c r="M998" s="348">
        <v>6240</v>
      </c>
      <c r="N998" s="359" t="s">
        <v>20347</v>
      </c>
      <c r="O998" s="348">
        <v>500</v>
      </c>
      <c r="P998" s="360">
        <v>1</v>
      </c>
      <c r="Q998" s="348">
        <v>26540</v>
      </c>
    </row>
    <row r="999" spans="1:17" s="1" customFormat="1" ht="11.45">
      <c r="A999" s="348" t="s">
        <v>19353</v>
      </c>
      <c r="B999" s="365">
        <v>45407</v>
      </c>
      <c r="C999" s="348">
        <v>2024</v>
      </c>
      <c r="D999" s="348" t="s">
        <v>17017</v>
      </c>
      <c r="E999" s="348" t="s">
        <v>17018</v>
      </c>
      <c r="F999" s="348" t="s">
        <v>20155</v>
      </c>
      <c r="G999" s="348" t="s">
        <v>20368</v>
      </c>
      <c r="H999" s="365">
        <v>45415</v>
      </c>
      <c r="I999" s="348">
        <v>2880</v>
      </c>
      <c r="J999" s="360">
        <v>1</v>
      </c>
      <c r="K999" s="348">
        <v>7584</v>
      </c>
      <c r="L999" s="360">
        <v>1</v>
      </c>
      <c r="M999" s="348">
        <v>6000</v>
      </c>
      <c r="N999" s="360">
        <v>1</v>
      </c>
      <c r="O999" s="348">
        <v>2720</v>
      </c>
      <c r="P999" s="360">
        <v>1</v>
      </c>
      <c r="Q999" s="348">
        <v>19184</v>
      </c>
    </row>
    <row r="1000" spans="1:17" s="1" customFormat="1" ht="11.45">
      <c r="A1000" s="348" t="s">
        <v>19354</v>
      </c>
      <c r="B1000" s="365">
        <v>45407</v>
      </c>
      <c r="C1000" s="348">
        <v>2024</v>
      </c>
      <c r="D1000" s="348" t="s">
        <v>16880</v>
      </c>
      <c r="E1000" s="348" t="s">
        <v>16881</v>
      </c>
      <c r="F1000" s="348" t="s">
        <v>20155</v>
      </c>
      <c r="G1000" s="348" t="s">
        <v>20156</v>
      </c>
      <c r="H1000" s="365">
        <v>45419</v>
      </c>
      <c r="I1000" s="348">
        <v>5288</v>
      </c>
      <c r="J1000" s="360">
        <v>1</v>
      </c>
      <c r="K1000" s="348">
        <v>15320</v>
      </c>
      <c r="L1000" s="360">
        <v>1</v>
      </c>
      <c r="M1000" s="348">
        <v>0</v>
      </c>
      <c r="N1000" s="360"/>
      <c r="O1000" s="348">
        <v>0</v>
      </c>
      <c r="P1000" s="360"/>
      <c r="Q1000" s="348">
        <v>20608</v>
      </c>
    </row>
    <row r="1001" spans="1:17" s="1" customFormat="1" ht="11.45">
      <c r="A1001" s="348" t="s">
        <v>19355</v>
      </c>
      <c r="B1001" s="365">
        <v>45408</v>
      </c>
      <c r="C1001" s="348">
        <v>2024</v>
      </c>
      <c r="D1001" s="348" t="s">
        <v>16384</v>
      </c>
      <c r="E1001" s="348" t="s">
        <v>16385</v>
      </c>
      <c r="F1001" s="348" t="s">
        <v>20155</v>
      </c>
      <c r="G1001" s="348" t="s">
        <v>18094</v>
      </c>
      <c r="H1001" s="365">
        <v>45415</v>
      </c>
      <c r="I1001" s="348">
        <v>22008</v>
      </c>
      <c r="J1001" s="359" t="s">
        <v>20345</v>
      </c>
      <c r="K1001" s="348">
        <v>0</v>
      </c>
      <c r="L1001" s="360"/>
      <c r="M1001" s="348">
        <v>0</v>
      </c>
      <c r="N1001" s="360"/>
      <c r="O1001" s="348">
        <v>0</v>
      </c>
      <c r="P1001" s="360"/>
      <c r="Q1001" s="348">
        <v>22008</v>
      </c>
    </row>
    <row r="1002" spans="1:17" s="1" customFormat="1" ht="11.45">
      <c r="A1002" s="348" t="s">
        <v>19356</v>
      </c>
      <c r="B1002" s="365">
        <v>45408</v>
      </c>
      <c r="C1002" s="348">
        <v>2024</v>
      </c>
      <c r="D1002" s="348" t="s">
        <v>16838</v>
      </c>
      <c r="E1002" s="348" t="s">
        <v>16839</v>
      </c>
      <c r="F1002" s="348" t="s">
        <v>20155</v>
      </c>
      <c r="G1002" s="348" t="s">
        <v>17949</v>
      </c>
      <c r="H1002" s="365">
        <v>45412</v>
      </c>
      <c r="I1002" s="348">
        <v>44016</v>
      </c>
      <c r="J1002" s="359" t="s">
        <v>20345</v>
      </c>
      <c r="K1002" s="348">
        <v>0</v>
      </c>
      <c r="L1002" s="360"/>
      <c r="M1002" s="348">
        <v>0</v>
      </c>
      <c r="N1002" s="360"/>
      <c r="O1002" s="348">
        <v>0</v>
      </c>
      <c r="P1002" s="360"/>
      <c r="Q1002" s="348">
        <v>44016</v>
      </c>
    </row>
    <row r="1003" spans="1:17" s="1" customFormat="1" ht="11.45">
      <c r="A1003" s="348" t="s">
        <v>19357</v>
      </c>
      <c r="B1003" s="365">
        <v>45408</v>
      </c>
      <c r="C1003" s="348">
        <v>2024</v>
      </c>
      <c r="D1003" s="348" t="s">
        <v>17309</v>
      </c>
      <c r="E1003" s="348" t="s">
        <v>17310</v>
      </c>
      <c r="F1003" s="348" t="s">
        <v>20155</v>
      </c>
      <c r="G1003" s="348" t="s">
        <v>18227</v>
      </c>
      <c r="H1003" s="365">
        <v>45412</v>
      </c>
      <c r="I1003" s="348">
        <v>0</v>
      </c>
      <c r="J1003" s="360"/>
      <c r="K1003" s="348">
        <v>0</v>
      </c>
      <c r="L1003" s="360"/>
      <c r="M1003" s="348">
        <v>26000</v>
      </c>
      <c r="N1003" s="360" t="s">
        <v>20347</v>
      </c>
      <c r="O1003" s="348">
        <v>0</v>
      </c>
      <c r="P1003" s="360"/>
      <c r="Q1003" s="348">
        <v>26000</v>
      </c>
    </row>
    <row r="1004" spans="1:17" s="1" customFormat="1" ht="11.45">
      <c r="A1004" s="348" t="s">
        <v>19358</v>
      </c>
      <c r="B1004" s="365">
        <v>45408</v>
      </c>
      <c r="C1004" s="348">
        <v>2024</v>
      </c>
      <c r="D1004" s="348" t="s">
        <v>16444</v>
      </c>
      <c r="E1004" s="348" t="s">
        <v>16445</v>
      </c>
      <c r="F1004" s="348" t="s">
        <v>20155</v>
      </c>
      <c r="G1004" s="348" t="s">
        <v>20173</v>
      </c>
      <c r="H1004" s="365">
        <v>45414</v>
      </c>
      <c r="I1004" s="348">
        <v>43200</v>
      </c>
      <c r="J1004" s="359" t="s">
        <v>20345</v>
      </c>
      <c r="K1004" s="348">
        <v>0</v>
      </c>
      <c r="L1004" s="360"/>
      <c r="M1004" s="348">
        <v>0</v>
      </c>
      <c r="N1004" s="360"/>
      <c r="O1004" s="348">
        <v>0</v>
      </c>
      <c r="P1004" s="360"/>
      <c r="Q1004" s="348">
        <v>43200</v>
      </c>
    </row>
    <row r="1005" spans="1:17" s="1" customFormat="1" ht="11.45">
      <c r="A1005" s="348" t="s">
        <v>19359</v>
      </c>
      <c r="B1005" s="365">
        <v>45415</v>
      </c>
      <c r="C1005" s="348">
        <v>2024</v>
      </c>
      <c r="D1005" s="348" t="s">
        <v>16384</v>
      </c>
      <c r="E1005" s="348" t="s">
        <v>16385</v>
      </c>
      <c r="F1005" s="348" t="s">
        <v>20155</v>
      </c>
      <c r="G1005" s="348" t="s">
        <v>17965</v>
      </c>
      <c r="H1005" s="365">
        <v>45421</v>
      </c>
      <c r="I1005" s="348">
        <v>38400</v>
      </c>
      <c r="J1005" s="359" t="s">
        <v>20345</v>
      </c>
      <c r="K1005" s="348">
        <v>0</v>
      </c>
      <c r="L1005" s="360"/>
      <c r="M1005" s="348">
        <v>0</v>
      </c>
      <c r="N1005" s="360"/>
      <c r="O1005" s="348">
        <v>0</v>
      </c>
      <c r="P1005" s="360"/>
      <c r="Q1005" s="348">
        <v>38400</v>
      </c>
    </row>
    <row r="1006" spans="1:17" s="1" customFormat="1" ht="11.45">
      <c r="A1006" s="348" t="s">
        <v>19360</v>
      </c>
      <c r="B1006" s="365">
        <v>45415</v>
      </c>
      <c r="C1006" s="348">
        <v>2024</v>
      </c>
      <c r="D1006" s="348" t="s">
        <v>16384</v>
      </c>
      <c r="E1006" s="348" t="s">
        <v>16385</v>
      </c>
      <c r="F1006" s="348" t="s">
        <v>20155</v>
      </c>
      <c r="G1006" s="348" t="s">
        <v>20319</v>
      </c>
      <c r="H1006" s="365">
        <v>45420</v>
      </c>
      <c r="I1006" s="348">
        <v>0</v>
      </c>
      <c r="J1006" s="360"/>
      <c r="K1006" s="348">
        <v>0</v>
      </c>
      <c r="L1006" s="360"/>
      <c r="M1006" s="348">
        <v>26000</v>
      </c>
      <c r="N1006" s="359" t="s">
        <v>20347</v>
      </c>
      <c r="O1006" s="348">
        <v>0</v>
      </c>
      <c r="P1006" s="360"/>
      <c r="Q1006" s="348">
        <v>26000</v>
      </c>
    </row>
    <row r="1007" spans="1:17" s="1" customFormat="1" ht="11.45">
      <c r="A1007" s="348" t="s">
        <v>19361</v>
      </c>
      <c r="B1007" s="365">
        <v>45415</v>
      </c>
      <c r="C1007" s="348">
        <v>2024</v>
      </c>
      <c r="D1007" s="348" t="s">
        <v>16444</v>
      </c>
      <c r="E1007" s="348" t="s">
        <v>16445</v>
      </c>
      <c r="F1007" s="348" t="s">
        <v>20155</v>
      </c>
      <c r="G1007" s="348" t="s">
        <v>18248</v>
      </c>
      <c r="H1007" s="365">
        <v>45427</v>
      </c>
      <c r="I1007" s="348">
        <v>19200</v>
      </c>
      <c r="J1007" s="359" t="s">
        <v>20345</v>
      </c>
      <c r="K1007" s="348">
        <v>0</v>
      </c>
      <c r="L1007" s="360"/>
      <c r="M1007" s="348">
        <v>0</v>
      </c>
      <c r="N1007" s="360"/>
      <c r="O1007" s="348">
        <v>0</v>
      </c>
      <c r="P1007" s="360"/>
      <c r="Q1007" s="348">
        <v>19200</v>
      </c>
    </row>
    <row r="1008" spans="1:17" s="1" customFormat="1" ht="11.45">
      <c r="A1008" s="348" t="s">
        <v>19362</v>
      </c>
      <c r="B1008" s="365">
        <v>45419</v>
      </c>
      <c r="C1008" s="348">
        <v>2024</v>
      </c>
      <c r="D1008" s="348" t="s">
        <v>17278</v>
      </c>
      <c r="E1008" s="348" t="s">
        <v>17279</v>
      </c>
      <c r="F1008" s="348" t="s">
        <v>20155</v>
      </c>
      <c r="G1008" s="348" t="s">
        <v>20173</v>
      </c>
      <c r="H1008" s="365">
        <v>45429</v>
      </c>
      <c r="I1008" s="348">
        <v>0</v>
      </c>
      <c r="J1008" s="360"/>
      <c r="K1008" s="348">
        <v>66240</v>
      </c>
      <c r="L1008" s="359" t="s">
        <v>20348</v>
      </c>
      <c r="M1008" s="348">
        <v>72384</v>
      </c>
      <c r="N1008" s="359" t="s">
        <v>20347</v>
      </c>
      <c r="O1008" s="348">
        <v>0</v>
      </c>
      <c r="P1008" s="360"/>
      <c r="Q1008" s="348">
        <v>138624</v>
      </c>
    </row>
    <row r="1009" spans="1:17" s="1" customFormat="1" ht="11.45">
      <c r="A1009" s="348" t="s">
        <v>19363</v>
      </c>
      <c r="B1009" s="365">
        <v>45419</v>
      </c>
      <c r="C1009" s="348">
        <v>2024</v>
      </c>
      <c r="D1009" s="348" t="s">
        <v>16838</v>
      </c>
      <c r="E1009" s="348" t="s">
        <v>16839</v>
      </c>
      <c r="F1009" s="348" t="s">
        <v>20155</v>
      </c>
      <c r="G1009" s="348" t="s">
        <v>17771</v>
      </c>
      <c r="H1009" s="365">
        <v>45425</v>
      </c>
      <c r="I1009" s="348">
        <v>3600</v>
      </c>
      <c r="J1009" s="359" t="s">
        <v>20345</v>
      </c>
      <c r="K1009" s="348">
        <v>22200</v>
      </c>
      <c r="L1009" s="359" t="s">
        <v>20348</v>
      </c>
      <c r="M1009" s="348">
        <v>84000</v>
      </c>
      <c r="N1009" s="359" t="s">
        <v>20347</v>
      </c>
      <c r="O1009" s="348">
        <v>0</v>
      </c>
      <c r="P1009" s="360"/>
      <c r="Q1009" s="348">
        <v>109800</v>
      </c>
    </row>
    <row r="1010" spans="1:17" s="1" customFormat="1" ht="11.45">
      <c r="A1010" s="348" t="s">
        <v>19364</v>
      </c>
      <c r="B1010" s="365">
        <v>45419</v>
      </c>
      <c r="C1010" s="348">
        <v>2024</v>
      </c>
      <c r="D1010" s="348" t="s">
        <v>16783</v>
      </c>
      <c r="E1010" s="348" t="s">
        <v>16784</v>
      </c>
      <c r="F1010" s="348" t="s">
        <v>20155</v>
      </c>
      <c r="G1010" s="348" t="s">
        <v>17939</v>
      </c>
      <c r="H1010" s="365">
        <v>45425</v>
      </c>
      <c r="I1010" s="348">
        <v>0</v>
      </c>
      <c r="J1010" s="359" t="s">
        <v>20345</v>
      </c>
      <c r="K1010" s="348">
        <v>62000</v>
      </c>
      <c r="L1010" s="359" t="s">
        <v>20345</v>
      </c>
      <c r="M1010" s="348">
        <v>26000</v>
      </c>
      <c r="N1010" s="359" t="s">
        <v>20345</v>
      </c>
      <c r="O1010" s="348">
        <v>0</v>
      </c>
      <c r="P1010" s="360"/>
      <c r="Q1010" s="348">
        <v>88000</v>
      </c>
    </row>
    <row r="1011" spans="1:17" s="1" customFormat="1" ht="11.45">
      <c r="A1011" s="348" t="s">
        <v>19365</v>
      </c>
      <c r="B1011" s="365">
        <v>45420</v>
      </c>
      <c r="C1011" s="348">
        <v>2024</v>
      </c>
      <c r="D1011" s="348" t="s">
        <v>17276</v>
      </c>
      <c r="E1011" s="348" t="s">
        <v>17277</v>
      </c>
      <c r="F1011" s="348" t="s">
        <v>20155</v>
      </c>
      <c r="G1011" s="348" t="s">
        <v>20297</v>
      </c>
      <c r="H1011" s="365">
        <v>45426</v>
      </c>
      <c r="I1011" s="348">
        <v>19200</v>
      </c>
      <c r="J1011" s="359" t="s">
        <v>20345</v>
      </c>
      <c r="K1011" s="348">
        <v>0</v>
      </c>
      <c r="L1011" s="360"/>
      <c r="M1011" s="348">
        <v>0</v>
      </c>
      <c r="N1011" s="360"/>
      <c r="O1011" s="348">
        <v>0</v>
      </c>
      <c r="P1011" s="360"/>
      <c r="Q1011" s="348">
        <v>19200</v>
      </c>
    </row>
    <row r="1012" spans="1:17" s="1" customFormat="1" ht="11.45">
      <c r="A1012" s="348" t="s">
        <v>19366</v>
      </c>
      <c r="B1012" s="365">
        <v>45420</v>
      </c>
      <c r="C1012" s="348">
        <v>2024</v>
      </c>
      <c r="D1012" s="348" t="s">
        <v>16643</v>
      </c>
      <c r="E1012" s="348" t="s">
        <v>16644</v>
      </c>
      <c r="F1012" s="348" t="s">
        <v>20155</v>
      </c>
      <c r="G1012" s="348" t="s">
        <v>18227</v>
      </c>
      <c r="H1012" s="365">
        <v>45426</v>
      </c>
      <c r="I1012" s="348">
        <v>0</v>
      </c>
      <c r="J1012" s="360"/>
      <c r="K1012" s="348">
        <v>40800</v>
      </c>
      <c r="L1012" s="359" t="s">
        <v>20346</v>
      </c>
      <c r="M1012" s="348">
        <v>0</v>
      </c>
      <c r="N1012" s="360"/>
      <c r="O1012" s="348">
        <v>0</v>
      </c>
      <c r="P1012" s="360"/>
      <c r="Q1012" s="348">
        <v>40800</v>
      </c>
    </row>
    <row r="1013" spans="1:17" s="1" customFormat="1" ht="11.45">
      <c r="A1013" s="348" t="s">
        <v>19367</v>
      </c>
      <c r="B1013" s="365">
        <v>45420</v>
      </c>
      <c r="C1013" s="348">
        <v>2024</v>
      </c>
      <c r="D1013" s="348" t="s">
        <v>17304</v>
      </c>
      <c r="E1013" s="348" t="s">
        <v>17305</v>
      </c>
      <c r="F1013" s="348" t="s">
        <v>20155</v>
      </c>
      <c r="G1013" s="348" t="s">
        <v>17954</v>
      </c>
      <c r="H1013" s="365">
        <v>45429</v>
      </c>
      <c r="I1013" s="348">
        <v>0</v>
      </c>
      <c r="J1013" s="360"/>
      <c r="K1013" s="348">
        <v>15231</v>
      </c>
      <c r="L1013" s="360">
        <v>1</v>
      </c>
      <c r="M1013" s="348">
        <v>0</v>
      </c>
      <c r="N1013" s="360"/>
      <c r="O1013" s="348">
        <v>6300</v>
      </c>
      <c r="P1013" s="360">
        <v>1</v>
      </c>
      <c r="Q1013" s="348">
        <v>21531</v>
      </c>
    </row>
    <row r="1014" spans="1:17" s="1" customFormat="1" ht="11.45">
      <c r="A1014" s="348" t="s">
        <v>19368</v>
      </c>
      <c r="B1014" s="365">
        <v>45420</v>
      </c>
      <c r="C1014" s="348">
        <v>2024</v>
      </c>
      <c r="D1014" s="348" t="s">
        <v>16957</v>
      </c>
      <c r="E1014" s="348" t="s">
        <v>16958</v>
      </c>
      <c r="F1014" s="348" t="s">
        <v>20155</v>
      </c>
      <c r="G1014" s="348" t="s">
        <v>20161</v>
      </c>
      <c r="H1014" s="365">
        <v>45435</v>
      </c>
      <c r="I1014" s="348">
        <v>40300</v>
      </c>
      <c r="J1014" s="360">
        <v>1</v>
      </c>
      <c r="K1014" s="348">
        <v>0</v>
      </c>
      <c r="L1014" s="360"/>
      <c r="M1014" s="348">
        <v>0</v>
      </c>
      <c r="N1014" s="360"/>
      <c r="O1014" s="348">
        <v>0</v>
      </c>
      <c r="P1014" s="360"/>
      <c r="Q1014" s="348">
        <v>40300</v>
      </c>
    </row>
    <row r="1015" spans="1:17" s="1" customFormat="1" ht="11.45">
      <c r="A1015" s="348" t="s">
        <v>19369</v>
      </c>
      <c r="B1015" s="365">
        <v>45420</v>
      </c>
      <c r="C1015" s="348">
        <v>2024</v>
      </c>
      <c r="D1015" s="348" t="s">
        <v>16957</v>
      </c>
      <c r="E1015" s="348" t="s">
        <v>16958</v>
      </c>
      <c r="F1015" s="348" t="s">
        <v>20155</v>
      </c>
      <c r="G1015" s="348" t="s">
        <v>20161</v>
      </c>
      <c r="H1015" s="365">
        <v>45422</v>
      </c>
      <c r="I1015" s="348">
        <v>20150</v>
      </c>
      <c r="J1015" s="359" t="s">
        <v>20345</v>
      </c>
      <c r="K1015" s="348">
        <v>0</v>
      </c>
      <c r="L1015" s="360"/>
      <c r="M1015" s="348">
        <v>0</v>
      </c>
      <c r="N1015" s="360"/>
      <c r="O1015" s="348">
        <v>0</v>
      </c>
      <c r="P1015" s="360"/>
      <c r="Q1015" s="348">
        <v>20150</v>
      </c>
    </row>
    <row r="1016" spans="1:17" s="1" customFormat="1" ht="11.45">
      <c r="A1016" s="348" t="s">
        <v>19370</v>
      </c>
      <c r="B1016" s="365">
        <v>45420</v>
      </c>
      <c r="C1016" s="348">
        <v>2024</v>
      </c>
      <c r="D1016" s="348" t="s">
        <v>17248</v>
      </c>
      <c r="E1016" s="348" t="s">
        <v>17249</v>
      </c>
      <c r="F1016" s="348" t="s">
        <v>20155</v>
      </c>
      <c r="G1016" s="348" t="s">
        <v>17954</v>
      </c>
      <c r="H1016" s="365">
        <v>45429</v>
      </c>
      <c r="I1016" s="348">
        <v>0</v>
      </c>
      <c r="J1016" s="360"/>
      <c r="K1016" s="348">
        <v>23971</v>
      </c>
      <c r="L1016" s="359" t="s">
        <v>20356</v>
      </c>
      <c r="M1016" s="348">
        <v>0</v>
      </c>
      <c r="N1016" s="360"/>
      <c r="O1016" s="348">
        <v>0</v>
      </c>
      <c r="P1016" s="360"/>
      <c r="Q1016" s="348">
        <v>23971</v>
      </c>
    </row>
    <row r="1017" spans="1:17" s="1" customFormat="1" ht="11.45">
      <c r="A1017" s="348" t="s">
        <v>19371</v>
      </c>
      <c r="B1017" s="365">
        <v>45421</v>
      </c>
      <c r="C1017" s="348">
        <v>2024</v>
      </c>
      <c r="D1017" s="348" t="s">
        <v>16700</v>
      </c>
      <c r="E1017" s="348" t="s">
        <v>16701</v>
      </c>
      <c r="F1017" s="348" t="s">
        <v>20155</v>
      </c>
      <c r="G1017" s="348" t="s">
        <v>20375</v>
      </c>
      <c r="H1017" s="365">
        <v>45436</v>
      </c>
      <c r="I1017" s="348">
        <v>40500</v>
      </c>
      <c r="J1017" s="359" t="s">
        <v>20345</v>
      </c>
      <c r="K1017" s="348">
        <v>0</v>
      </c>
      <c r="L1017" s="360"/>
      <c r="M1017" s="348">
        <v>0</v>
      </c>
      <c r="N1017" s="360"/>
      <c r="O1017" s="348">
        <v>0</v>
      </c>
      <c r="P1017" s="360"/>
      <c r="Q1017" s="348">
        <v>40500</v>
      </c>
    </row>
    <row r="1018" spans="1:17" s="1" customFormat="1" ht="11.45">
      <c r="A1018" s="348" t="s">
        <v>19372</v>
      </c>
      <c r="B1018" s="365">
        <v>45421</v>
      </c>
      <c r="C1018" s="348">
        <v>2024</v>
      </c>
      <c r="D1018" s="348" t="s">
        <v>17336</v>
      </c>
      <c r="E1018" s="348" t="s">
        <v>17337</v>
      </c>
      <c r="F1018" s="348" t="s">
        <v>20155</v>
      </c>
      <c r="G1018" s="348" t="s">
        <v>17939</v>
      </c>
      <c r="H1018" s="365">
        <v>45432</v>
      </c>
      <c r="I1018" s="348">
        <v>0</v>
      </c>
      <c r="J1018" s="360"/>
      <c r="K1018" s="348">
        <v>20496</v>
      </c>
      <c r="L1018" s="359" t="s">
        <v>20348</v>
      </c>
      <c r="M1018" s="348">
        <v>0</v>
      </c>
      <c r="N1018" s="360"/>
      <c r="O1018" s="348">
        <v>0</v>
      </c>
      <c r="P1018" s="360"/>
      <c r="Q1018" s="348">
        <v>20496</v>
      </c>
    </row>
    <row r="1019" spans="1:17" s="1" customFormat="1" ht="11.45">
      <c r="A1019" s="348" t="s">
        <v>19373</v>
      </c>
      <c r="B1019" s="365">
        <v>45421</v>
      </c>
      <c r="C1019" s="348">
        <v>2024</v>
      </c>
      <c r="D1019" s="348" t="s">
        <v>17336</v>
      </c>
      <c r="E1019" s="348" t="s">
        <v>17337</v>
      </c>
      <c r="F1019" s="348" t="s">
        <v>20155</v>
      </c>
      <c r="G1019" s="348" t="s">
        <v>17939</v>
      </c>
      <c r="H1019" s="365">
        <v>45432</v>
      </c>
      <c r="I1019" s="348">
        <v>0</v>
      </c>
      <c r="J1019" s="360"/>
      <c r="K1019" s="348">
        <v>20506</v>
      </c>
      <c r="L1019" s="359" t="s">
        <v>20348</v>
      </c>
      <c r="M1019" s="348">
        <v>0</v>
      </c>
      <c r="N1019" s="360"/>
      <c r="O1019" s="348">
        <v>0</v>
      </c>
      <c r="P1019" s="360"/>
      <c r="Q1019" s="348">
        <v>20506</v>
      </c>
    </row>
    <row r="1020" spans="1:17" s="1" customFormat="1" ht="11.45">
      <c r="A1020" s="348" t="s">
        <v>19374</v>
      </c>
      <c r="B1020" s="365">
        <v>45421</v>
      </c>
      <c r="C1020" s="348">
        <v>2024</v>
      </c>
      <c r="D1020" s="348" t="s">
        <v>16444</v>
      </c>
      <c r="E1020" s="348" t="s">
        <v>16445</v>
      </c>
      <c r="F1020" s="348" t="s">
        <v>20155</v>
      </c>
      <c r="G1020" s="348" t="s">
        <v>18248</v>
      </c>
      <c r="H1020" s="365">
        <v>45427</v>
      </c>
      <c r="I1020" s="348">
        <v>36000</v>
      </c>
      <c r="J1020" s="359" t="s">
        <v>20345</v>
      </c>
      <c r="K1020" s="348">
        <v>20100</v>
      </c>
      <c r="L1020" s="359" t="s">
        <v>20346</v>
      </c>
      <c r="M1020" s="348">
        <v>0</v>
      </c>
      <c r="N1020" s="360"/>
      <c r="O1020" s="348">
        <v>0</v>
      </c>
      <c r="P1020" s="360"/>
      <c r="Q1020" s="348">
        <v>56100</v>
      </c>
    </row>
    <row r="1021" spans="1:17" s="1" customFormat="1" ht="11.45">
      <c r="A1021" s="348" t="s">
        <v>19375</v>
      </c>
      <c r="B1021" s="365">
        <v>45421</v>
      </c>
      <c r="C1021" s="348">
        <v>2024</v>
      </c>
      <c r="D1021" s="348" t="s">
        <v>16444</v>
      </c>
      <c r="E1021" s="348" t="s">
        <v>16445</v>
      </c>
      <c r="F1021" s="348" t="s">
        <v>20155</v>
      </c>
      <c r="G1021" s="348" t="s">
        <v>18248</v>
      </c>
      <c r="H1021" s="365">
        <v>45427</v>
      </c>
      <c r="I1021" s="348">
        <v>36000</v>
      </c>
      <c r="J1021" s="359" t="s">
        <v>20345</v>
      </c>
      <c r="K1021" s="348">
        <v>20100</v>
      </c>
      <c r="L1021" s="359" t="s">
        <v>20346</v>
      </c>
      <c r="M1021" s="348">
        <v>0</v>
      </c>
      <c r="N1021" s="360"/>
      <c r="O1021" s="348">
        <v>0</v>
      </c>
      <c r="P1021" s="360"/>
      <c r="Q1021" s="348">
        <v>56100</v>
      </c>
    </row>
    <row r="1022" spans="1:17" s="1" customFormat="1" ht="11.45">
      <c r="A1022" s="348" t="s">
        <v>19376</v>
      </c>
      <c r="B1022" s="365">
        <v>45422</v>
      </c>
      <c r="C1022" s="348">
        <v>2024</v>
      </c>
      <c r="D1022" s="348" t="s">
        <v>16384</v>
      </c>
      <c r="E1022" s="348" t="s">
        <v>16385</v>
      </c>
      <c r="F1022" s="348" t="s">
        <v>20155</v>
      </c>
      <c r="G1022" s="348" t="s">
        <v>17949</v>
      </c>
      <c r="H1022" s="365">
        <v>45433</v>
      </c>
      <c r="I1022" s="348">
        <v>195182</v>
      </c>
      <c r="J1022" s="359" t="s">
        <v>20345</v>
      </c>
      <c r="K1022" s="348">
        <v>44100</v>
      </c>
      <c r="L1022" s="359" t="s">
        <v>20346</v>
      </c>
      <c r="M1022" s="348">
        <v>0</v>
      </c>
      <c r="N1022" s="360"/>
      <c r="O1022" s="348">
        <v>0</v>
      </c>
      <c r="P1022" s="360"/>
      <c r="Q1022" s="348">
        <v>239282</v>
      </c>
    </row>
    <row r="1023" spans="1:17" s="1" customFormat="1" ht="11.45">
      <c r="A1023" s="348" t="s">
        <v>19377</v>
      </c>
      <c r="B1023" s="365">
        <v>45422</v>
      </c>
      <c r="C1023" s="348">
        <v>2024</v>
      </c>
      <c r="D1023" s="348" t="s">
        <v>16384</v>
      </c>
      <c r="E1023" s="348" t="s">
        <v>16385</v>
      </c>
      <c r="F1023" s="348" t="s">
        <v>20155</v>
      </c>
      <c r="G1023" s="348" t="s">
        <v>20376</v>
      </c>
      <c r="H1023" s="365">
        <v>45429</v>
      </c>
      <c r="I1023" s="348">
        <v>0</v>
      </c>
      <c r="J1023" s="360"/>
      <c r="K1023" s="348">
        <v>19032</v>
      </c>
      <c r="L1023" s="359" t="s">
        <v>20348</v>
      </c>
      <c r="M1023" s="348">
        <v>0</v>
      </c>
      <c r="N1023" s="360"/>
      <c r="O1023" s="348">
        <v>1000</v>
      </c>
      <c r="P1023" s="360">
        <v>1</v>
      </c>
      <c r="Q1023" s="348">
        <v>20032</v>
      </c>
    </row>
    <row r="1024" spans="1:17" s="1" customFormat="1" ht="11.45">
      <c r="A1024" s="348" t="s">
        <v>19378</v>
      </c>
      <c r="B1024" s="365">
        <v>45422</v>
      </c>
      <c r="C1024" s="348">
        <v>2024</v>
      </c>
      <c r="D1024" s="348" t="s">
        <v>16384</v>
      </c>
      <c r="E1024" s="348" t="s">
        <v>16385</v>
      </c>
      <c r="F1024" s="348" t="s">
        <v>20155</v>
      </c>
      <c r="G1024" s="348" t="s">
        <v>17777</v>
      </c>
      <c r="H1024" s="365">
        <v>45428</v>
      </c>
      <c r="I1024" s="348">
        <v>0</v>
      </c>
      <c r="J1024" s="360"/>
      <c r="K1024" s="348">
        <v>58020</v>
      </c>
      <c r="L1024" s="359" t="s">
        <v>20348</v>
      </c>
      <c r="M1024" s="348">
        <v>0</v>
      </c>
      <c r="N1024" s="360"/>
      <c r="O1024" s="348">
        <v>2000</v>
      </c>
      <c r="P1024" s="360">
        <v>1</v>
      </c>
      <c r="Q1024" s="348">
        <v>60020</v>
      </c>
    </row>
    <row r="1025" spans="1:17" s="1" customFormat="1" ht="11.45">
      <c r="A1025" s="348" t="s">
        <v>19379</v>
      </c>
      <c r="B1025" s="365">
        <v>45426</v>
      </c>
      <c r="C1025" s="348">
        <v>2024</v>
      </c>
      <c r="D1025" s="348" t="s">
        <v>16444</v>
      </c>
      <c r="E1025" s="348" t="s">
        <v>16445</v>
      </c>
      <c r="F1025" s="348" t="s">
        <v>20155</v>
      </c>
      <c r="G1025" s="348" t="s">
        <v>17693</v>
      </c>
      <c r="H1025" s="365">
        <v>45429</v>
      </c>
      <c r="I1025" s="348">
        <v>20750</v>
      </c>
      <c r="J1025" s="359" t="s">
        <v>20345</v>
      </c>
      <c r="K1025" s="348">
        <v>0</v>
      </c>
      <c r="L1025" s="360"/>
      <c r="M1025" s="348">
        <v>0</v>
      </c>
      <c r="N1025" s="360"/>
      <c r="O1025" s="348">
        <v>0</v>
      </c>
      <c r="P1025" s="360"/>
      <c r="Q1025" s="348">
        <v>20750</v>
      </c>
    </row>
    <row r="1026" spans="1:17" s="1" customFormat="1" ht="11.45">
      <c r="A1026" s="348" t="s">
        <v>19380</v>
      </c>
      <c r="B1026" s="365">
        <v>45426</v>
      </c>
      <c r="C1026" s="348">
        <v>2024</v>
      </c>
      <c r="D1026" s="348" t="s">
        <v>17309</v>
      </c>
      <c r="E1026" s="348" t="s">
        <v>17310</v>
      </c>
      <c r="F1026" s="348" t="s">
        <v>20155</v>
      </c>
      <c r="G1026" s="348" t="s">
        <v>20321</v>
      </c>
      <c r="H1026" s="365">
        <v>45434</v>
      </c>
      <c r="I1026" s="348">
        <v>96000</v>
      </c>
      <c r="J1026" s="359" t="s">
        <v>20345</v>
      </c>
      <c r="K1026" s="348">
        <v>0</v>
      </c>
      <c r="L1026" s="360"/>
      <c r="M1026" s="348">
        <v>0</v>
      </c>
      <c r="N1026" s="360"/>
      <c r="O1026" s="348">
        <v>0</v>
      </c>
      <c r="P1026" s="360"/>
      <c r="Q1026" s="348">
        <v>96000</v>
      </c>
    </row>
    <row r="1027" spans="1:17" s="1" customFormat="1" ht="11.45">
      <c r="A1027" s="348" t="s">
        <v>19381</v>
      </c>
      <c r="B1027" s="365">
        <v>45426</v>
      </c>
      <c r="C1027" s="348">
        <v>2024</v>
      </c>
      <c r="D1027" s="348" t="s">
        <v>17342</v>
      </c>
      <c r="E1027" s="348" t="s">
        <v>17343</v>
      </c>
      <c r="F1027" s="348" t="s">
        <v>20155</v>
      </c>
      <c r="G1027" s="348" t="s">
        <v>16394</v>
      </c>
      <c r="H1027" s="365">
        <v>45443</v>
      </c>
      <c r="I1027" s="348">
        <v>0</v>
      </c>
      <c r="J1027" s="360"/>
      <c r="K1027" s="348">
        <v>5736</v>
      </c>
      <c r="L1027" s="360">
        <v>1</v>
      </c>
      <c r="M1027" s="348">
        <v>2400</v>
      </c>
      <c r="N1027" s="360">
        <v>1</v>
      </c>
      <c r="O1027" s="348">
        <v>0</v>
      </c>
      <c r="P1027" s="360"/>
      <c r="Q1027" s="348">
        <v>8136</v>
      </c>
    </row>
    <row r="1028" spans="1:17" s="1" customFormat="1" ht="11.45">
      <c r="A1028" s="348" t="s">
        <v>19382</v>
      </c>
      <c r="B1028" s="365">
        <v>45426</v>
      </c>
      <c r="C1028" s="348">
        <v>2024</v>
      </c>
      <c r="D1028" s="348" t="s">
        <v>17342</v>
      </c>
      <c r="E1028" s="348" t="s">
        <v>17343</v>
      </c>
      <c r="F1028" s="348" t="s">
        <v>20155</v>
      </c>
      <c r="G1028" s="348" t="s">
        <v>16394</v>
      </c>
      <c r="H1028" s="365">
        <v>45443</v>
      </c>
      <c r="I1028" s="348">
        <v>0</v>
      </c>
      <c r="J1028" s="360"/>
      <c r="K1028" s="348">
        <v>8504</v>
      </c>
      <c r="L1028" s="360">
        <v>1</v>
      </c>
      <c r="M1028" s="348">
        <v>0</v>
      </c>
      <c r="N1028" s="360"/>
      <c r="O1028" s="348">
        <v>0</v>
      </c>
      <c r="P1028" s="360"/>
      <c r="Q1028" s="348">
        <v>8504</v>
      </c>
    </row>
    <row r="1029" spans="1:17" s="1" customFormat="1" ht="11.45">
      <c r="A1029" s="348" t="s">
        <v>19383</v>
      </c>
      <c r="B1029" s="365">
        <v>45427</v>
      </c>
      <c r="C1029" s="348">
        <v>2024</v>
      </c>
      <c r="D1029" s="348" t="s">
        <v>17132</v>
      </c>
      <c r="E1029" s="348" t="s">
        <v>17133</v>
      </c>
      <c r="F1029" s="348" t="s">
        <v>20155</v>
      </c>
      <c r="G1029" s="348" t="s">
        <v>17939</v>
      </c>
      <c r="H1029" s="365">
        <v>45454</v>
      </c>
      <c r="I1029" s="348">
        <v>160032</v>
      </c>
      <c r="J1029" s="359" t="s">
        <v>20345</v>
      </c>
      <c r="K1029" s="348">
        <v>0</v>
      </c>
      <c r="L1029" s="360"/>
      <c r="M1029" s="348">
        <v>0</v>
      </c>
      <c r="N1029" s="360"/>
      <c r="O1029" s="348">
        <v>0</v>
      </c>
      <c r="P1029" s="360"/>
      <c r="Q1029" s="348">
        <v>160032</v>
      </c>
    </row>
    <row r="1030" spans="1:17" s="1" customFormat="1" ht="11.45">
      <c r="A1030" s="348" t="s">
        <v>19384</v>
      </c>
      <c r="B1030" s="365">
        <v>45432</v>
      </c>
      <c r="C1030" s="348">
        <v>2024</v>
      </c>
      <c r="D1030" s="348" t="s">
        <v>17309</v>
      </c>
      <c r="E1030" s="348" t="s">
        <v>17310</v>
      </c>
      <c r="F1030" s="348" t="s">
        <v>20155</v>
      </c>
      <c r="G1030" s="348" t="s">
        <v>20321</v>
      </c>
      <c r="H1030" s="365">
        <v>45441</v>
      </c>
      <c r="I1030" s="348">
        <v>70000</v>
      </c>
      <c r="J1030" s="359" t="s">
        <v>20345</v>
      </c>
      <c r="K1030" s="348">
        <v>30000</v>
      </c>
      <c r="L1030" s="359" t="s">
        <v>20348</v>
      </c>
      <c r="M1030" s="348">
        <v>180000</v>
      </c>
      <c r="N1030" s="359" t="s">
        <v>20347</v>
      </c>
      <c r="O1030" s="348">
        <v>0</v>
      </c>
      <c r="P1030" s="360"/>
      <c r="Q1030" s="348">
        <v>280000</v>
      </c>
    </row>
    <row r="1031" spans="1:17" s="1" customFormat="1" ht="11.45">
      <c r="A1031" s="348" t="s">
        <v>19385</v>
      </c>
      <c r="B1031" s="365">
        <v>45432</v>
      </c>
      <c r="C1031" s="348">
        <v>2024</v>
      </c>
      <c r="D1031" s="348" t="s">
        <v>17309</v>
      </c>
      <c r="E1031" s="348" t="s">
        <v>17310</v>
      </c>
      <c r="F1031" s="348" t="s">
        <v>20155</v>
      </c>
      <c r="G1031" s="348" t="s">
        <v>18248</v>
      </c>
      <c r="H1031" s="365">
        <v>45435</v>
      </c>
      <c r="I1031" s="348">
        <v>57600</v>
      </c>
      <c r="J1031" s="359" t="s">
        <v>20345</v>
      </c>
      <c r="K1031" s="348">
        <v>0</v>
      </c>
      <c r="L1031" s="360"/>
      <c r="M1031" s="348">
        <v>0</v>
      </c>
      <c r="N1031" s="360"/>
      <c r="O1031" s="348">
        <v>0</v>
      </c>
      <c r="P1031" s="360"/>
      <c r="Q1031" s="348">
        <v>57600</v>
      </c>
    </row>
    <row r="1032" spans="1:17" s="1" customFormat="1" ht="11.45">
      <c r="A1032" s="348" t="s">
        <v>19386</v>
      </c>
      <c r="B1032" s="365">
        <v>45432</v>
      </c>
      <c r="C1032" s="348">
        <v>2024</v>
      </c>
      <c r="D1032" s="348" t="s">
        <v>16880</v>
      </c>
      <c r="E1032" s="348" t="s">
        <v>16881</v>
      </c>
      <c r="F1032" s="348" t="s">
        <v>20155</v>
      </c>
      <c r="G1032" s="348" t="s">
        <v>20156</v>
      </c>
      <c r="H1032" s="365">
        <v>45440</v>
      </c>
      <c r="I1032" s="348">
        <v>9900</v>
      </c>
      <c r="J1032" s="360">
        <v>1</v>
      </c>
      <c r="K1032" s="348">
        <v>10200</v>
      </c>
      <c r="L1032" s="360">
        <v>1</v>
      </c>
      <c r="M1032" s="348">
        <v>0</v>
      </c>
      <c r="N1032" s="360"/>
      <c r="O1032" s="348">
        <v>0</v>
      </c>
      <c r="P1032" s="360"/>
      <c r="Q1032" s="348">
        <v>20100</v>
      </c>
    </row>
    <row r="1033" spans="1:17" s="1" customFormat="1" ht="11.45">
      <c r="A1033" s="348" t="s">
        <v>19387</v>
      </c>
      <c r="B1033" s="365">
        <v>45432</v>
      </c>
      <c r="C1033" s="348">
        <v>2024</v>
      </c>
      <c r="D1033" s="348" t="s">
        <v>16904</v>
      </c>
      <c r="E1033" s="348" t="s">
        <v>16905</v>
      </c>
      <c r="F1033" s="348" t="s">
        <v>20155</v>
      </c>
      <c r="G1033" s="348" t="s">
        <v>20160</v>
      </c>
      <c r="H1033" s="365">
        <v>45442</v>
      </c>
      <c r="I1033" s="348">
        <v>0</v>
      </c>
      <c r="J1033" s="360"/>
      <c r="K1033" s="348">
        <v>17496</v>
      </c>
      <c r="L1033" s="360">
        <v>1</v>
      </c>
      <c r="M1033" s="348">
        <v>7500</v>
      </c>
      <c r="N1033" s="360">
        <v>1</v>
      </c>
      <c r="O1033" s="348">
        <v>0</v>
      </c>
      <c r="P1033" s="360"/>
      <c r="Q1033" s="348">
        <v>24996</v>
      </c>
    </row>
    <row r="1034" spans="1:17" s="1" customFormat="1" ht="11.45">
      <c r="A1034" s="348" t="s">
        <v>19388</v>
      </c>
      <c r="B1034" s="365">
        <v>45433</v>
      </c>
      <c r="C1034" s="348">
        <v>2024</v>
      </c>
      <c r="D1034" s="348" t="s">
        <v>16444</v>
      </c>
      <c r="E1034" s="348" t="s">
        <v>16445</v>
      </c>
      <c r="F1034" s="348" t="s">
        <v>20155</v>
      </c>
      <c r="G1034" s="348" t="s">
        <v>20173</v>
      </c>
      <c r="H1034" s="365">
        <v>45442</v>
      </c>
      <c r="I1034" s="348">
        <v>43200</v>
      </c>
      <c r="J1034" s="359" t="s">
        <v>20345</v>
      </c>
      <c r="K1034" s="348">
        <v>0</v>
      </c>
      <c r="L1034" s="360"/>
      <c r="M1034" s="348">
        <v>0</v>
      </c>
      <c r="N1034" s="360"/>
      <c r="O1034" s="348">
        <v>0</v>
      </c>
      <c r="P1034" s="360"/>
      <c r="Q1034" s="348">
        <v>43200</v>
      </c>
    </row>
    <row r="1035" spans="1:17" s="1" customFormat="1" ht="11.45">
      <c r="A1035" s="348" t="s">
        <v>19389</v>
      </c>
      <c r="B1035" s="365">
        <v>45433</v>
      </c>
      <c r="C1035" s="348">
        <v>2024</v>
      </c>
      <c r="D1035" s="348" t="s">
        <v>16444</v>
      </c>
      <c r="E1035" s="348" t="s">
        <v>16445</v>
      </c>
      <c r="F1035" s="348" t="s">
        <v>20155</v>
      </c>
      <c r="G1035" s="348" t="s">
        <v>17693</v>
      </c>
      <c r="H1035" s="365">
        <v>45439</v>
      </c>
      <c r="I1035" s="348">
        <v>20750</v>
      </c>
      <c r="J1035" s="359" t="s">
        <v>20345</v>
      </c>
      <c r="K1035" s="348">
        <v>0</v>
      </c>
      <c r="L1035" s="360"/>
      <c r="M1035" s="348">
        <v>0</v>
      </c>
      <c r="N1035" s="360"/>
      <c r="O1035" s="348">
        <v>0</v>
      </c>
      <c r="P1035" s="360"/>
      <c r="Q1035" s="348">
        <v>20750</v>
      </c>
    </row>
    <row r="1036" spans="1:17" s="1" customFormat="1" ht="11.45">
      <c r="A1036" s="348" t="s">
        <v>19390</v>
      </c>
      <c r="B1036" s="365">
        <v>45439</v>
      </c>
      <c r="C1036" s="348">
        <v>2024</v>
      </c>
      <c r="D1036" s="348" t="s">
        <v>16823</v>
      </c>
      <c r="E1036" s="348" t="s">
        <v>16824</v>
      </c>
      <c r="F1036" s="348" t="s">
        <v>20155</v>
      </c>
      <c r="G1036" s="348" t="s">
        <v>17965</v>
      </c>
      <c r="H1036" s="365">
        <v>45442</v>
      </c>
      <c r="I1036" s="348">
        <v>38400</v>
      </c>
      <c r="J1036" s="359" t="s">
        <v>20345</v>
      </c>
      <c r="K1036" s="348">
        <v>0</v>
      </c>
      <c r="L1036" s="360"/>
      <c r="M1036" s="348">
        <v>0</v>
      </c>
      <c r="N1036" s="360"/>
      <c r="O1036" s="348">
        <v>0</v>
      </c>
      <c r="P1036" s="360"/>
      <c r="Q1036" s="348">
        <v>38400</v>
      </c>
    </row>
    <row r="1037" spans="1:17" s="1" customFormat="1" ht="11.45">
      <c r="A1037" s="348" t="s">
        <v>19391</v>
      </c>
      <c r="B1037" s="365">
        <v>45440</v>
      </c>
      <c r="C1037" s="348">
        <v>2024</v>
      </c>
      <c r="D1037" s="348" t="s">
        <v>17259</v>
      </c>
      <c r="E1037" s="348" t="s">
        <v>17260</v>
      </c>
      <c r="F1037" s="348" t="s">
        <v>20155</v>
      </c>
      <c r="G1037" s="348" t="s">
        <v>17261</v>
      </c>
      <c r="H1037" s="365">
        <v>45450</v>
      </c>
      <c r="I1037" s="348">
        <v>4800</v>
      </c>
      <c r="J1037" s="359" t="s">
        <v>20345</v>
      </c>
      <c r="K1037" s="348">
        <v>34200</v>
      </c>
      <c r="L1037" s="359" t="s">
        <v>20348</v>
      </c>
      <c r="M1037" s="348">
        <v>0</v>
      </c>
      <c r="N1037" s="360"/>
      <c r="O1037" s="348">
        <v>0</v>
      </c>
      <c r="P1037" s="360"/>
      <c r="Q1037" s="348">
        <v>39000</v>
      </c>
    </row>
    <row r="1038" spans="1:17" s="1" customFormat="1" ht="11.45">
      <c r="A1038" s="348" t="s">
        <v>19392</v>
      </c>
      <c r="B1038" s="365">
        <v>45440</v>
      </c>
      <c r="C1038" s="348">
        <v>2024</v>
      </c>
      <c r="D1038" s="348" t="s">
        <v>17017</v>
      </c>
      <c r="E1038" s="348" t="s">
        <v>17018</v>
      </c>
      <c r="F1038" s="348" t="s">
        <v>20155</v>
      </c>
      <c r="G1038" s="348" t="s">
        <v>17889</v>
      </c>
      <c r="H1038" s="365">
        <v>45469</v>
      </c>
      <c r="I1038" s="348">
        <v>5760</v>
      </c>
      <c r="J1038" s="360">
        <v>1</v>
      </c>
      <c r="K1038" s="348">
        <v>4421</v>
      </c>
      <c r="L1038" s="360">
        <v>1</v>
      </c>
      <c r="M1038" s="348">
        <v>2880</v>
      </c>
      <c r="N1038" s="360">
        <v>1</v>
      </c>
      <c r="O1038" s="348">
        <v>560</v>
      </c>
      <c r="P1038" s="360">
        <v>1</v>
      </c>
      <c r="Q1038" s="348">
        <v>13621</v>
      </c>
    </row>
    <row r="1039" spans="1:17" s="1" customFormat="1" ht="11.45">
      <c r="A1039" s="348" t="s">
        <v>19393</v>
      </c>
      <c r="B1039" s="365">
        <v>45440</v>
      </c>
      <c r="C1039" s="348">
        <v>2024</v>
      </c>
      <c r="D1039" s="348" t="s">
        <v>17226</v>
      </c>
      <c r="E1039" s="348" t="s">
        <v>17227</v>
      </c>
      <c r="F1039" s="348" t="s">
        <v>20155</v>
      </c>
      <c r="G1039" s="348" t="s">
        <v>17689</v>
      </c>
      <c r="H1039" s="365">
        <v>45446</v>
      </c>
      <c r="I1039" s="348">
        <v>0</v>
      </c>
      <c r="J1039" s="360"/>
      <c r="K1039" s="348">
        <v>70800</v>
      </c>
      <c r="L1039" s="360">
        <v>1</v>
      </c>
      <c r="M1039" s="348">
        <v>3840</v>
      </c>
      <c r="N1039" s="360">
        <v>1</v>
      </c>
      <c r="O1039" s="348">
        <v>3200</v>
      </c>
      <c r="P1039" s="360">
        <v>1</v>
      </c>
      <c r="Q1039" s="348">
        <v>77840</v>
      </c>
    </row>
    <row r="1040" spans="1:17" s="1" customFormat="1" ht="11.45">
      <c r="A1040" s="348" t="s">
        <v>19394</v>
      </c>
      <c r="B1040" s="365">
        <v>45446</v>
      </c>
      <c r="C1040" s="348">
        <v>2024</v>
      </c>
      <c r="D1040" s="348" t="s">
        <v>16823</v>
      </c>
      <c r="E1040" s="348" t="s">
        <v>16824</v>
      </c>
      <c r="F1040" s="348" t="s">
        <v>20155</v>
      </c>
      <c r="G1040" s="348" t="s">
        <v>20312</v>
      </c>
      <c r="H1040" s="365">
        <v>45456</v>
      </c>
      <c r="I1040" s="348">
        <v>16500</v>
      </c>
      <c r="J1040" s="359" t="s">
        <v>20345</v>
      </c>
      <c r="K1040" s="348">
        <v>11250</v>
      </c>
      <c r="L1040" s="359" t="s">
        <v>20346</v>
      </c>
      <c r="M1040" s="348">
        <v>0</v>
      </c>
      <c r="N1040" s="360"/>
      <c r="O1040" s="348">
        <v>0</v>
      </c>
      <c r="P1040" s="360"/>
      <c r="Q1040" s="348">
        <v>27750</v>
      </c>
    </row>
    <row r="1041" spans="1:17" s="1" customFormat="1" ht="11.45">
      <c r="A1041" s="348" t="s">
        <v>19395</v>
      </c>
      <c r="B1041" s="365">
        <v>45446</v>
      </c>
      <c r="C1041" s="348">
        <v>2024</v>
      </c>
      <c r="D1041" s="348" t="s">
        <v>16384</v>
      </c>
      <c r="E1041" s="348" t="s">
        <v>16385</v>
      </c>
      <c r="F1041" s="348" t="s">
        <v>20155</v>
      </c>
      <c r="G1041" s="348" t="s">
        <v>17965</v>
      </c>
      <c r="H1041" s="365">
        <v>45453</v>
      </c>
      <c r="I1041" s="348">
        <v>57600</v>
      </c>
      <c r="J1041" s="359" t="s">
        <v>20345</v>
      </c>
      <c r="K1041" s="348">
        <v>0</v>
      </c>
      <c r="L1041" s="360"/>
      <c r="M1041" s="348">
        <v>0</v>
      </c>
      <c r="N1041" s="360"/>
      <c r="O1041" s="348">
        <v>0</v>
      </c>
      <c r="P1041" s="360"/>
      <c r="Q1041" s="348">
        <v>57600</v>
      </c>
    </row>
    <row r="1042" spans="1:17" s="1" customFormat="1" ht="11.45">
      <c r="A1042" s="348" t="s">
        <v>19396</v>
      </c>
      <c r="B1042" s="365">
        <v>45446</v>
      </c>
      <c r="C1042" s="348">
        <v>2024</v>
      </c>
      <c r="D1042" s="348" t="s">
        <v>16384</v>
      </c>
      <c r="E1042" s="348" t="s">
        <v>16385</v>
      </c>
      <c r="F1042" s="348" t="s">
        <v>20155</v>
      </c>
      <c r="G1042" s="348" t="s">
        <v>17965</v>
      </c>
      <c r="H1042" s="365">
        <v>45454</v>
      </c>
      <c r="I1042" s="348">
        <v>19200</v>
      </c>
      <c r="J1042" s="359" t="s">
        <v>20345</v>
      </c>
      <c r="K1042" s="348">
        <v>0</v>
      </c>
      <c r="L1042" s="360"/>
      <c r="M1042" s="348">
        <v>0</v>
      </c>
      <c r="N1042" s="360"/>
      <c r="O1042" s="348">
        <v>0</v>
      </c>
      <c r="P1042" s="360"/>
      <c r="Q1042" s="348">
        <v>19200</v>
      </c>
    </row>
    <row r="1043" spans="1:17" s="1" customFormat="1" ht="11.45">
      <c r="A1043" s="348" t="s">
        <v>19397</v>
      </c>
      <c r="B1043" s="365">
        <v>45447</v>
      </c>
      <c r="C1043" s="348">
        <v>2024</v>
      </c>
      <c r="D1043" s="348" t="s">
        <v>16470</v>
      </c>
      <c r="E1043" s="348" t="s">
        <v>16471</v>
      </c>
      <c r="F1043" s="348" t="s">
        <v>20155</v>
      </c>
      <c r="G1043" s="348" t="s">
        <v>18227</v>
      </c>
      <c r="H1043" s="365">
        <v>45454</v>
      </c>
      <c r="I1043" s="348">
        <v>11544</v>
      </c>
      <c r="J1043" s="359" t="s">
        <v>20345</v>
      </c>
      <c r="K1043" s="348">
        <v>238810</v>
      </c>
      <c r="L1043" s="359" t="s">
        <v>20346</v>
      </c>
      <c r="M1043" s="348">
        <v>30000</v>
      </c>
      <c r="N1043" s="360" t="s">
        <v>20347</v>
      </c>
      <c r="O1043" s="348">
        <v>0</v>
      </c>
      <c r="P1043" s="360"/>
      <c r="Q1043" s="348">
        <v>280354</v>
      </c>
    </row>
    <row r="1044" spans="1:17" s="1" customFormat="1" ht="11.45">
      <c r="A1044" s="348" t="s">
        <v>19398</v>
      </c>
      <c r="B1044" s="365">
        <v>45447</v>
      </c>
      <c r="C1044" s="348">
        <v>2024</v>
      </c>
      <c r="D1044" s="348" t="s">
        <v>16904</v>
      </c>
      <c r="E1044" s="348" t="s">
        <v>16905</v>
      </c>
      <c r="F1044" s="348" t="s">
        <v>20155</v>
      </c>
      <c r="G1044" s="348" t="s">
        <v>20160</v>
      </c>
      <c r="H1044" s="365">
        <v>45456</v>
      </c>
      <c r="I1044" s="348">
        <v>0</v>
      </c>
      <c r="J1044" s="360"/>
      <c r="K1044" s="348">
        <v>17712</v>
      </c>
      <c r="L1044" s="360">
        <v>1</v>
      </c>
      <c r="M1044" s="348">
        <v>7500</v>
      </c>
      <c r="N1044" s="360">
        <v>1</v>
      </c>
      <c r="O1044" s="348">
        <v>0</v>
      </c>
      <c r="P1044" s="360"/>
      <c r="Q1044" s="348">
        <v>25212</v>
      </c>
    </row>
    <row r="1045" spans="1:17" s="1" customFormat="1" ht="11.45">
      <c r="A1045" s="348" t="s">
        <v>19399</v>
      </c>
      <c r="B1045" s="365">
        <v>45447</v>
      </c>
      <c r="C1045" s="348">
        <v>2024</v>
      </c>
      <c r="D1045" s="348" t="s">
        <v>16643</v>
      </c>
      <c r="E1045" s="348" t="s">
        <v>16644</v>
      </c>
      <c r="F1045" s="348" t="s">
        <v>20155</v>
      </c>
      <c r="G1045" s="348" t="s">
        <v>18227</v>
      </c>
      <c r="H1045" s="365">
        <v>45455</v>
      </c>
      <c r="I1045" s="348">
        <v>0</v>
      </c>
      <c r="J1045" s="360"/>
      <c r="K1045" s="348">
        <v>40800</v>
      </c>
      <c r="L1045" s="359" t="s">
        <v>20346</v>
      </c>
      <c r="M1045" s="348">
        <v>5000</v>
      </c>
      <c r="N1045" s="360" t="s">
        <v>20347</v>
      </c>
      <c r="O1045" s="348">
        <v>0</v>
      </c>
      <c r="P1045" s="360"/>
      <c r="Q1045" s="348">
        <v>45800</v>
      </c>
    </row>
    <row r="1046" spans="1:17" s="1" customFormat="1" ht="11.45">
      <c r="A1046" s="348" t="s">
        <v>19400</v>
      </c>
      <c r="B1046" s="365">
        <v>45447</v>
      </c>
      <c r="C1046" s="348">
        <v>2024</v>
      </c>
      <c r="D1046" s="348" t="s">
        <v>17321</v>
      </c>
      <c r="E1046" s="348" t="s">
        <v>17322</v>
      </c>
      <c r="F1046" s="348" t="s">
        <v>20155</v>
      </c>
      <c r="G1046" s="348" t="s">
        <v>17939</v>
      </c>
      <c r="H1046" s="365">
        <v>45456</v>
      </c>
      <c r="I1046" s="348">
        <v>0</v>
      </c>
      <c r="J1046" s="360"/>
      <c r="K1046" s="348">
        <v>0</v>
      </c>
      <c r="L1046" s="360"/>
      <c r="M1046" s="348">
        <v>0</v>
      </c>
      <c r="N1046" s="360"/>
      <c r="O1046" s="348">
        <v>22500</v>
      </c>
      <c r="P1046" s="360">
        <v>1</v>
      </c>
      <c r="Q1046" s="348">
        <v>22500</v>
      </c>
    </row>
    <row r="1047" spans="1:17" s="1" customFormat="1" ht="11.45">
      <c r="A1047" s="597" t="s">
        <v>19401</v>
      </c>
      <c r="B1047" s="817">
        <v>45448</v>
      </c>
      <c r="C1047" s="597">
        <v>2024</v>
      </c>
      <c r="D1047" s="597" t="s">
        <v>16838</v>
      </c>
      <c r="E1047" s="597" t="s">
        <v>16839</v>
      </c>
      <c r="F1047" s="597" t="s">
        <v>20155</v>
      </c>
      <c r="G1047" s="597" t="s">
        <v>17771</v>
      </c>
      <c r="H1047" s="817">
        <v>45457</v>
      </c>
      <c r="I1047" s="597">
        <v>22550</v>
      </c>
      <c r="J1047" s="359" t="s">
        <v>20345</v>
      </c>
      <c r="K1047" s="597">
        <v>28620</v>
      </c>
      <c r="L1047" s="359" t="s">
        <v>20346</v>
      </c>
      <c r="M1047" s="597">
        <v>112000</v>
      </c>
      <c r="N1047" s="360" t="s">
        <v>20347</v>
      </c>
      <c r="O1047" s="597">
        <v>0</v>
      </c>
      <c r="P1047" s="818"/>
      <c r="Q1047" s="597">
        <v>163170</v>
      </c>
    </row>
    <row r="1048" spans="1:17" s="1" customFormat="1" ht="11.45">
      <c r="A1048" s="348" t="s">
        <v>19402</v>
      </c>
      <c r="B1048" s="365">
        <v>45453</v>
      </c>
      <c r="C1048" s="348">
        <v>2024</v>
      </c>
      <c r="D1048" s="348" t="s">
        <v>17299</v>
      </c>
      <c r="E1048" s="348" t="s">
        <v>17300</v>
      </c>
      <c r="F1048" s="348" t="s">
        <v>20155</v>
      </c>
      <c r="G1048" s="348" t="s">
        <v>20321</v>
      </c>
      <c r="H1048" s="365">
        <v>45456</v>
      </c>
      <c r="I1048" s="348">
        <v>76800</v>
      </c>
      <c r="J1048" s="359" t="s">
        <v>20345</v>
      </c>
      <c r="K1048" s="348">
        <v>0</v>
      </c>
      <c r="L1048" s="360"/>
      <c r="M1048" s="348">
        <v>0</v>
      </c>
      <c r="N1048" s="360"/>
      <c r="O1048" s="348">
        <v>0</v>
      </c>
      <c r="P1048" s="360"/>
      <c r="Q1048" s="348">
        <v>76800</v>
      </c>
    </row>
    <row r="1049" spans="1:17" s="1" customFormat="1" ht="11.45">
      <c r="A1049" s="348" t="s">
        <v>19403</v>
      </c>
      <c r="B1049" s="365">
        <v>45453</v>
      </c>
      <c r="C1049" s="348">
        <v>2024</v>
      </c>
      <c r="D1049" s="348" t="s">
        <v>17017</v>
      </c>
      <c r="E1049" s="348" t="s">
        <v>17018</v>
      </c>
      <c r="F1049" s="348" t="s">
        <v>20155</v>
      </c>
      <c r="G1049" s="348" t="s">
        <v>20370</v>
      </c>
      <c r="H1049" s="365">
        <v>45462</v>
      </c>
      <c r="I1049" s="348">
        <v>0</v>
      </c>
      <c r="J1049" s="360"/>
      <c r="K1049" s="348">
        <v>20500</v>
      </c>
      <c r="L1049" s="360" t="s">
        <v>20345</v>
      </c>
      <c r="M1049" s="348">
        <v>0</v>
      </c>
      <c r="N1049" s="360"/>
      <c r="O1049" s="348">
        <v>0</v>
      </c>
      <c r="P1049" s="360"/>
      <c r="Q1049" s="348">
        <v>20500</v>
      </c>
    </row>
    <row r="1050" spans="1:17" s="1" customFormat="1" ht="11.45">
      <c r="A1050" s="348" t="s">
        <v>19404</v>
      </c>
      <c r="B1050" s="365">
        <v>45453</v>
      </c>
      <c r="C1050" s="348">
        <v>2024</v>
      </c>
      <c r="D1050" s="348" t="s">
        <v>17349</v>
      </c>
      <c r="E1050" s="348" t="s">
        <v>17350</v>
      </c>
      <c r="F1050" s="348" t="s">
        <v>20155</v>
      </c>
      <c r="G1050" s="348" t="s">
        <v>20377</v>
      </c>
      <c r="H1050" s="365">
        <v>45467</v>
      </c>
      <c r="I1050" s="348">
        <v>0</v>
      </c>
      <c r="J1050" s="360"/>
      <c r="K1050" s="348">
        <v>0</v>
      </c>
      <c r="L1050" s="360"/>
      <c r="M1050" s="348">
        <v>26000</v>
      </c>
      <c r="N1050" s="359" t="s">
        <v>20347</v>
      </c>
      <c r="O1050" s="348">
        <v>0</v>
      </c>
      <c r="P1050" s="360"/>
      <c r="Q1050" s="348">
        <v>26000</v>
      </c>
    </row>
    <row r="1051" spans="1:17" s="1" customFormat="1" ht="11.45">
      <c r="A1051" s="348" t="s">
        <v>19405</v>
      </c>
      <c r="B1051" s="365">
        <v>45456</v>
      </c>
      <c r="C1051" s="348">
        <v>2024</v>
      </c>
      <c r="D1051" s="348" t="s">
        <v>17309</v>
      </c>
      <c r="E1051" s="348" t="s">
        <v>17310</v>
      </c>
      <c r="F1051" s="348" t="s">
        <v>20155</v>
      </c>
      <c r="G1051" s="348" t="s">
        <v>17238</v>
      </c>
      <c r="H1051" s="365">
        <v>45468</v>
      </c>
      <c r="I1051" s="348">
        <v>20800</v>
      </c>
      <c r="J1051" s="360">
        <v>1</v>
      </c>
      <c r="K1051" s="348">
        <v>800</v>
      </c>
      <c r="L1051" s="360">
        <v>1</v>
      </c>
      <c r="M1051" s="348">
        <v>0</v>
      </c>
      <c r="N1051" s="360"/>
      <c r="O1051" s="348">
        <v>0</v>
      </c>
      <c r="P1051" s="360"/>
      <c r="Q1051" s="348">
        <v>21600</v>
      </c>
    </row>
    <row r="1052" spans="1:17" s="1" customFormat="1" ht="11.45">
      <c r="A1052" s="348" t="s">
        <v>19406</v>
      </c>
      <c r="B1052" s="365">
        <v>45456</v>
      </c>
      <c r="C1052" s="348">
        <v>2024</v>
      </c>
      <c r="D1052" s="348" t="s">
        <v>17309</v>
      </c>
      <c r="E1052" s="348" t="s">
        <v>17310</v>
      </c>
      <c r="F1052" s="348" t="s">
        <v>20155</v>
      </c>
      <c r="G1052" s="348" t="s">
        <v>20321</v>
      </c>
      <c r="H1052" s="365" t="s">
        <v>20378</v>
      </c>
      <c r="I1052" s="348">
        <v>155000</v>
      </c>
      <c r="J1052" s="360" t="s">
        <v>20345</v>
      </c>
      <c r="K1052" s="348">
        <v>0</v>
      </c>
      <c r="L1052" s="360"/>
      <c r="M1052" s="348">
        <v>300000</v>
      </c>
      <c r="N1052" s="359" t="s">
        <v>20347</v>
      </c>
      <c r="O1052" s="348">
        <v>0</v>
      </c>
      <c r="P1052" s="360"/>
      <c r="Q1052" s="348">
        <v>455000</v>
      </c>
    </row>
    <row r="1053" spans="1:17" s="1" customFormat="1" ht="11.45">
      <c r="A1053" s="348" t="s">
        <v>19407</v>
      </c>
      <c r="B1053" s="365">
        <v>45462</v>
      </c>
      <c r="C1053" s="348">
        <v>2024</v>
      </c>
      <c r="D1053" s="348" t="s">
        <v>16384</v>
      </c>
      <c r="E1053" s="348" t="s">
        <v>16385</v>
      </c>
      <c r="F1053" s="348" t="s">
        <v>20155</v>
      </c>
      <c r="G1053" s="348" t="s">
        <v>17965</v>
      </c>
      <c r="H1053" s="365">
        <v>45467</v>
      </c>
      <c r="I1053" s="348">
        <v>38400</v>
      </c>
      <c r="J1053" s="359" t="s">
        <v>20345</v>
      </c>
      <c r="K1053" s="348">
        <v>0</v>
      </c>
      <c r="L1053" s="360"/>
      <c r="M1053" s="348">
        <v>0</v>
      </c>
      <c r="N1053" s="360"/>
      <c r="O1053" s="348">
        <v>0</v>
      </c>
      <c r="P1053" s="360"/>
      <c r="Q1053" s="348">
        <v>38400</v>
      </c>
    </row>
    <row r="1054" spans="1:17" s="1" customFormat="1" ht="11.45">
      <c r="A1054" s="348" t="s">
        <v>19408</v>
      </c>
      <c r="B1054" s="365">
        <v>45462</v>
      </c>
      <c r="C1054" s="348">
        <v>2024</v>
      </c>
      <c r="D1054" s="348" t="s">
        <v>17278</v>
      </c>
      <c r="E1054" s="348" t="s">
        <v>17279</v>
      </c>
      <c r="F1054" s="348" t="s">
        <v>20155</v>
      </c>
      <c r="G1054" s="348" t="s">
        <v>20173</v>
      </c>
      <c r="H1054" s="365">
        <v>45469</v>
      </c>
      <c r="I1054" s="348">
        <v>0</v>
      </c>
      <c r="J1054" s="360"/>
      <c r="K1054" s="348">
        <v>44544</v>
      </c>
      <c r="L1054" s="359" t="s">
        <v>20348</v>
      </c>
      <c r="M1054" s="348">
        <v>94656</v>
      </c>
      <c r="N1054" s="359" t="s">
        <v>20347</v>
      </c>
      <c r="O1054" s="348">
        <v>0</v>
      </c>
      <c r="P1054" s="360"/>
      <c r="Q1054" s="348">
        <v>139200</v>
      </c>
    </row>
    <row r="1055" spans="1:17" s="1" customFormat="1" ht="11.45">
      <c r="A1055" s="348" t="s">
        <v>19409</v>
      </c>
      <c r="B1055" s="365">
        <v>45462</v>
      </c>
      <c r="C1055" s="348">
        <v>2024</v>
      </c>
      <c r="D1055" s="348" t="s">
        <v>17226</v>
      </c>
      <c r="E1055" s="348" t="s">
        <v>17227</v>
      </c>
      <c r="F1055" s="348" t="s">
        <v>20155</v>
      </c>
      <c r="G1055" s="348" t="s">
        <v>17689</v>
      </c>
      <c r="H1055" s="365">
        <v>45468</v>
      </c>
      <c r="I1055" s="348">
        <v>54000</v>
      </c>
      <c r="J1055" s="360">
        <v>1</v>
      </c>
      <c r="K1055" s="348">
        <v>0</v>
      </c>
      <c r="L1055" s="360"/>
      <c r="M1055" s="348">
        <v>0</v>
      </c>
      <c r="N1055" s="360"/>
      <c r="O1055" s="348">
        <v>0</v>
      </c>
      <c r="P1055" s="360"/>
      <c r="Q1055" s="348">
        <v>54000</v>
      </c>
    </row>
    <row r="1056" spans="1:17" s="1" customFormat="1" ht="11.45">
      <c r="A1056" s="597" t="s">
        <v>19410</v>
      </c>
      <c r="B1056" s="817">
        <v>45462</v>
      </c>
      <c r="C1056" s="597">
        <v>2024</v>
      </c>
      <c r="D1056" s="597" t="s">
        <v>17226</v>
      </c>
      <c r="E1056" s="597" t="s">
        <v>17227</v>
      </c>
      <c r="F1056" s="597" t="s">
        <v>20155</v>
      </c>
      <c r="G1056" s="597" t="s">
        <v>17689</v>
      </c>
      <c r="H1056" s="817">
        <v>45467</v>
      </c>
      <c r="I1056" s="597">
        <v>0</v>
      </c>
      <c r="J1056" s="819"/>
      <c r="K1056" s="597">
        <v>75600</v>
      </c>
      <c r="L1056" s="360">
        <v>1</v>
      </c>
      <c r="M1056" s="597">
        <v>27840</v>
      </c>
      <c r="N1056" s="360">
        <v>1</v>
      </c>
      <c r="O1056" s="597">
        <v>3200</v>
      </c>
      <c r="P1056" s="360">
        <v>1</v>
      </c>
      <c r="Q1056" s="597">
        <v>106640</v>
      </c>
    </row>
    <row r="1057" spans="1:17" s="1" customFormat="1" ht="11.45">
      <c r="A1057" s="597" t="s">
        <v>19411</v>
      </c>
      <c r="B1057" s="817">
        <v>45462</v>
      </c>
      <c r="C1057" s="597">
        <v>2024</v>
      </c>
      <c r="D1057" s="597" t="s">
        <v>17017</v>
      </c>
      <c r="E1057" s="597" t="s">
        <v>17018</v>
      </c>
      <c r="F1057" s="597" t="s">
        <v>20155</v>
      </c>
      <c r="G1057" s="597" t="s">
        <v>20364</v>
      </c>
      <c r="H1057" s="817">
        <v>45467</v>
      </c>
      <c r="I1057" s="597">
        <v>0</v>
      </c>
      <c r="J1057" s="819"/>
      <c r="K1057" s="597">
        <v>20500</v>
      </c>
      <c r="L1057" s="360">
        <v>1</v>
      </c>
      <c r="M1057" s="597">
        <v>0</v>
      </c>
      <c r="N1057" s="819"/>
      <c r="O1057" s="597">
        <v>0</v>
      </c>
      <c r="P1057" s="818"/>
      <c r="Q1057" s="597">
        <v>20500</v>
      </c>
    </row>
    <row r="1058" spans="1:17" s="1" customFormat="1" ht="11.45">
      <c r="A1058" s="597" t="s">
        <v>19412</v>
      </c>
      <c r="B1058" s="817">
        <v>45462</v>
      </c>
      <c r="C1058" s="597">
        <v>2024</v>
      </c>
      <c r="D1058" s="597" t="s">
        <v>16470</v>
      </c>
      <c r="E1058" s="597" t="s">
        <v>16471</v>
      </c>
      <c r="F1058" s="597" t="s">
        <v>20155</v>
      </c>
      <c r="G1058" s="597" t="s">
        <v>18227</v>
      </c>
      <c r="H1058" s="817">
        <v>45471</v>
      </c>
      <c r="I1058" s="597">
        <v>11280</v>
      </c>
      <c r="J1058" s="359" t="s">
        <v>20345</v>
      </c>
      <c r="K1058" s="597">
        <v>238810</v>
      </c>
      <c r="L1058" s="359" t="s">
        <v>20346</v>
      </c>
      <c r="M1058" s="597">
        <v>30000</v>
      </c>
      <c r="N1058" s="360" t="s">
        <v>20347</v>
      </c>
      <c r="O1058" s="597">
        <v>0</v>
      </c>
      <c r="P1058" s="818"/>
      <c r="Q1058" s="597">
        <v>280090</v>
      </c>
    </row>
    <row r="1059" spans="1:17" s="1" customFormat="1" ht="11.45">
      <c r="A1059" s="597" t="s">
        <v>19413</v>
      </c>
      <c r="B1059" s="817">
        <v>45462</v>
      </c>
      <c r="C1059" s="597">
        <v>2024</v>
      </c>
      <c r="D1059" s="597" t="s">
        <v>16957</v>
      </c>
      <c r="E1059" s="597" t="s">
        <v>16958</v>
      </c>
      <c r="F1059" s="597" t="s">
        <v>20155</v>
      </c>
      <c r="G1059" s="597" t="s">
        <v>20161</v>
      </c>
      <c r="H1059" s="817">
        <v>45499</v>
      </c>
      <c r="I1059" s="597">
        <v>20150</v>
      </c>
      <c r="J1059" s="359" t="s">
        <v>20345</v>
      </c>
      <c r="K1059" s="597">
        <v>0</v>
      </c>
      <c r="L1059" s="819"/>
      <c r="M1059" s="597">
        <v>0</v>
      </c>
      <c r="N1059" s="819"/>
      <c r="O1059" s="597">
        <v>0</v>
      </c>
      <c r="P1059" s="818"/>
      <c r="Q1059" s="597">
        <v>20150</v>
      </c>
    </row>
    <row r="1060" spans="1:17" s="1" customFormat="1" ht="11.45">
      <c r="A1060" s="597" t="s">
        <v>19414</v>
      </c>
      <c r="B1060" s="817">
        <v>45462</v>
      </c>
      <c r="C1060" s="597">
        <v>2024</v>
      </c>
      <c r="D1060" s="597" t="s">
        <v>17374</v>
      </c>
      <c r="E1060" s="597" t="s">
        <v>17375</v>
      </c>
      <c r="F1060" s="597" t="s">
        <v>20155</v>
      </c>
      <c r="G1060" s="597" t="s">
        <v>20173</v>
      </c>
      <c r="H1060" s="817">
        <v>45471</v>
      </c>
      <c r="I1060" s="597">
        <v>0</v>
      </c>
      <c r="J1060" s="819"/>
      <c r="K1060" s="597">
        <v>99050</v>
      </c>
      <c r="L1060" s="359" t="s">
        <v>20348</v>
      </c>
      <c r="M1060" s="597">
        <v>35000</v>
      </c>
      <c r="N1060" s="359" t="s">
        <v>20347</v>
      </c>
      <c r="O1060" s="597">
        <v>0</v>
      </c>
      <c r="P1060" s="818"/>
      <c r="Q1060" s="597">
        <v>134050</v>
      </c>
    </row>
    <row r="1061" spans="1:17" s="1" customFormat="1" ht="11.45">
      <c r="A1061" s="597" t="s">
        <v>19415</v>
      </c>
      <c r="B1061" s="817">
        <v>45462</v>
      </c>
      <c r="C1061" s="597">
        <v>2024</v>
      </c>
      <c r="D1061" s="597" t="s">
        <v>16838</v>
      </c>
      <c r="E1061" s="597" t="s">
        <v>16839</v>
      </c>
      <c r="F1061" s="597" t="s">
        <v>20155</v>
      </c>
      <c r="G1061" s="597" t="s">
        <v>20321</v>
      </c>
      <c r="H1061" s="817">
        <v>45468</v>
      </c>
      <c r="I1061" s="597">
        <v>0</v>
      </c>
      <c r="J1061" s="819"/>
      <c r="K1061" s="597">
        <v>90000</v>
      </c>
      <c r="L1061" s="359" t="s">
        <v>20347</v>
      </c>
      <c r="M1061" s="597">
        <v>0</v>
      </c>
      <c r="N1061" s="819"/>
      <c r="O1061" s="597">
        <v>0</v>
      </c>
      <c r="P1061" s="818"/>
      <c r="Q1061" s="597">
        <v>90000</v>
      </c>
    </row>
    <row r="1062" spans="1:17" s="1" customFormat="1" ht="11.45">
      <c r="A1062" s="597" t="s">
        <v>19416</v>
      </c>
      <c r="B1062" s="817">
        <v>45462</v>
      </c>
      <c r="C1062" s="597">
        <v>2024</v>
      </c>
      <c r="D1062" s="597" t="s">
        <v>16444</v>
      </c>
      <c r="E1062" s="597" t="s">
        <v>16445</v>
      </c>
      <c r="F1062" s="597" t="s">
        <v>20155</v>
      </c>
      <c r="G1062" s="597" t="s">
        <v>17693</v>
      </c>
      <c r="H1062" s="817">
        <v>45488</v>
      </c>
      <c r="I1062" s="597">
        <v>21600</v>
      </c>
      <c r="J1062" s="359" t="s">
        <v>20345</v>
      </c>
      <c r="K1062" s="597">
        <v>0</v>
      </c>
      <c r="L1062" s="819"/>
      <c r="M1062" s="597">
        <v>0</v>
      </c>
      <c r="N1062" s="819"/>
      <c r="O1062" s="597">
        <v>0</v>
      </c>
      <c r="P1062" s="818"/>
      <c r="Q1062" s="597">
        <v>21600</v>
      </c>
    </row>
    <row r="1063" spans="1:17" s="1" customFormat="1" ht="11.45">
      <c r="A1063" s="597" t="s">
        <v>19417</v>
      </c>
      <c r="B1063" s="817">
        <v>45462</v>
      </c>
      <c r="C1063" s="597">
        <v>2024</v>
      </c>
      <c r="D1063" s="597" t="s">
        <v>16904</v>
      </c>
      <c r="E1063" s="597" t="s">
        <v>16905</v>
      </c>
      <c r="F1063" s="597" t="s">
        <v>20155</v>
      </c>
      <c r="G1063" s="597" t="s">
        <v>20160</v>
      </c>
      <c r="H1063" s="817">
        <v>45464</v>
      </c>
      <c r="I1063" s="597">
        <v>0</v>
      </c>
      <c r="J1063" s="819"/>
      <c r="K1063" s="597">
        <v>17712</v>
      </c>
      <c r="L1063" s="360">
        <v>1</v>
      </c>
      <c r="M1063" s="597">
        <v>6000</v>
      </c>
      <c r="N1063" s="360">
        <v>1</v>
      </c>
      <c r="O1063" s="597">
        <v>0</v>
      </c>
      <c r="P1063" s="818"/>
      <c r="Q1063" s="597">
        <v>23712</v>
      </c>
    </row>
    <row r="1064" spans="1:17" s="1" customFormat="1" ht="11.45">
      <c r="A1064" s="597" t="s">
        <v>19418</v>
      </c>
      <c r="B1064" s="817">
        <v>45462</v>
      </c>
      <c r="C1064" s="597">
        <v>2024</v>
      </c>
      <c r="D1064" s="597" t="s">
        <v>16643</v>
      </c>
      <c r="E1064" s="597" t="s">
        <v>16644</v>
      </c>
      <c r="F1064" s="597" t="s">
        <v>20155</v>
      </c>
      <c r="G1064" s="597" t="s">
        <v>18227</v>
      </c>
      <c r="H1064" s="817">
        <v>45468</v>
      </c>
      <c r="I1064" s="597">
        <v>0</v>
      </c>
      <c r="J1064" s="819"/>
      <c r="K1064" s="597">
        <v>45000</v>
      </c>
      <c r="L1064" s="359" t="s">
        <v>20346</v>
      </c>
      <c r="M1064" s="597">
        <v>0</v>
      </c>
      <c r="N1064" s="819"/>
      <c r="O1064" s="597">
        <v>0</v>
      </c>
      <c r="P1064" s="818"/>
      <c r="Q1064" s="597">
        <v>45000</v>
      </c>
    </row>
    <row r="1065" spans="1:17" s="1" customFormat="1" ht="11.45">
      <c r="A1065" s="597" t="s">
        <v>19419</v>
      </c>
      <c r="B1065" s="817">
        <v>45467</v>
      </c>
      <c r="C1065" s="597">
        <v>2024</v>
      </c>
      <c r="D1065" s="597" t="s">
        <v>16444</v>
      </c>
      <c r="E1065" s="597" t="s">
        <v>16445</v>
      </c>
      <c r="F1065" s="597" t="s">
        <v>20155</v>
      </c>
      <c r="G1065" s="597" t="s">
        <v>17693</v>
      </c>
      <c r="H1065" s="817">
        <v>45488</v>
      </c>
      <c r="I1065" s="597">
        <v>22008</v>
      </c>
      <c r="J1065" s="359" t="s">
        <v>20345</v>
      </c>
      <c r="K1065" s="597">
        <v>0</v>
      </c>
      <c r="L1065" s="819"/>
      <c r="M1065" s="597">
        <v>0</v>
      </c>
      <c r="N1065" s="819"/>
      <c r="O1065" s="597">
        <v>0</v>
      </c>
      <c r="P1065" s="818"/>
      <c r="Q1065" s="597">
        <v>22008</v>
      </c>
    </row>
    <row r="1066" spans="1:17" s="1" customFormat="1" ht="11.45">
      <c r="A1066" s="597" t="s">
        <v>19420</v>
      </c>
      <c r="B1066" s="817">
        <v>45467</v>
      </c>
      <c r="C1066" s="597">
        <v>2024</v>
      </c>
      <c r="D1066" s="597" t="s">
        <v>16957</v>
      </c>
      <c r="E1066" s="597" t="s">
        <v>16958</v>
      </c>
      <c r="F1066" s="597" t="s">
        <v>20155</v>
      </c>
      <c r="G1066" s="597" t="s">
        <v>20161</v>
      </c>
      <c r="H1066" s="817">
        <v>45484</v>
      </c>
      <c r="I1066" s="597">
        <v>40300</v>
      </c>
      <c r="J1066" s="360">
        <v>1</v>
      </c>
      <c r="K1066" s="597">
        <v>0</v>
      </c>
      <c r="L1066" s="819"/>
      <c r="M1066" s="597">
        <v>0</v>
      </c>
      <c r="N1066" s="819"/>
      <c r="O1066" s="597">
        <v>0</v>
      </c>
      <c r="P1066" s="818"/>
      <c r="Q1066" s="597">
        <v>40300</v>
      </c>
    </row>
    <row r="1067" spans="1:17" s="1" customFormat="1" ht="11.45">
      <c r="A1067" s="597" t="s">
        <v>19421</v>
      </c>
      <c r="B1067" s="817">
        <v>45475</v>
      </c>
      <c r="C1067" s="597">
        <v>2024</v>
      </c>
      <c r="D1067" s="597" t="s">
        <v>17299</v>
      </c>
      <c r="E1067" s="597" t="s">
        <v>17300</v>
      </c>
      <c r="F1067" s="597" t="s">
        <v>20155</v>
      </c>
      <c r="G1067" s="597" t="s">
        <v>20321</v>
      </c>
      <c r="H1067" s="817">
        <v>45484</v>
      </c>
      <c r="I1067" s="597">
        <v>38400</v>
      </c>
      <c r="J1067" s="359" t="s">
        <v>20345</v>
      </c>
      <c r="K1067" s="597">
        <v>0</v>
      </c>
      <c r="L1067" s="819"/>
      <c r="M1067" s="597">
        <v>0</v>
      </c>
      <c r="N1067" s="819"/>
      <c r="O1067" s="597">
        <v>0</v>
      </c>
      <c r="P1067" s="818"/>
      <c r="Q1067" s="597">
        <v>38400</v>
      </c>
    </row>
    <row r="1068" spans="1:17" s="1" customFormat="1" ht="11.45">
      <c r="A1068" s="597" t="s">
        <v>19422</v>
      </c>
      <c r="B1068" s="817">
        <v>45475</v>
      </c>
      <c r="C1068" s="597">
        <v>2024</v>
      </c>
      <c r="D1068" s="597" t="s">
        <v>16838</v>
      </c>
      <c r="E1068" s="597" t="s">
        <v>16839</v>
      </c>
      <c r="F1068" s="597" t="s">
        <v>20155</v>
      </c>
      <c r="G1068" s="597" t="s">
        <v>17771</v>
      </c>
      <c r="H1068" s="817">
        <v>45485</v>
      </c>
      <c r="I1068" s="597">
        <v>0</v>
      </c>
      <c r="J1068" s="819"/>
      <c r="K1068" s="597">
        <v>0</v>
      </c>
      <c r="L1068" s="819"/>
      <c r="M1068" s="597">
        <v>84000</v>
      </c>
      <c r="N1068" s="359" t="s">
        <v>20347</v>
      </c>
      <c r="O1068" s="597">
        <v>0</v>
      </c>
      <c r="P1068" s="818"/>
      <c r="Q1068" s="597">
        <v>84000</v>
      </c>
    </row>
    <row r="1069" spans="1:17" s="1" customFormat="1" ht="11.45">
      <c r="A1069" s="597" t="s">
        <v>19423</v>
      </c>
      <c r="B1069" s="817">
        <v>45475</v>
      </c>
      <c r="C1069" s="597">
        <v>2024</v>
      </c>
      <c r="D1069" s="597" t="s">
        <v>17376</v>
      </c>
      <c r="E1069" s="597" t="s">
        <v>17377</v>
      </c>
      <c r="F1069" s="597" t="s">
        <v>20155</v>
      </c>
      <c r="G1069" s="597" t="s">
        <v>17939</v>
      </c>
      <c r="H1069" s="817">
        <v>45483</v>
      </c>
      <c r="I1069" s="597">
        <v>100003</v>
      </c>
      <c r="J1069" s="359" t="s">
        <v>20345</v>
      </c>
      <c r="K1069" s="597">
        <v>0</v>
      </c>
      <c r="L1069" s="819"/>
      <c r="M1069" s="597">
        <v>0</v>
      </c>
      <c r="N1069" s="819"/>
      <c r="O1069" s="597">
        <v>0</v>
      </c>
      <c r="P1069" s="818"/>
      <c r="Q1069" s="597">
        <v>100003</v>
      </c>
    </row>
    <row r="1070" spans="1:17" s="1" customFormat="1" ht="11.45">
      <c r="A1070" s="597" t="s">
        <v>19425</v>
      </c>
      <c r="B1070" s="817">
        <v>45478</v>
      </c>
      <c r="C1070" s="597">
        <v>2024</v>
      </c>
      <c r="D1070" s="597" t="s">
        <v>17354</v>
      </c>
      <c r="E1070" s="597" t="s">
        <v>17355</v>
      </c>
      <c r="F1070" s="597" t="s">
        <v>20155</v>
      </c>
      <c r="G1070" s="597" t="s">
        <v>20321</v>
      </c>
      <c r="H1070" s="817">
        <v>45496</v>
      </c>
      <c r="I1070" s="597">
        <v>81000</v>
      </c>
      <c r="J1070" s="359" t="s">
        <v>20345</v>
      </c>
      <c r="K1070" s="597">
        <v>0</v>
      </c>
      <c r="L1070" s="819"/>
      <c r="M1070" s="597">
        <v>0</v>
      </c>
      <c r="N1070" s="819"/>
      <c r="O1070" s="597">
        <v>0</v>
      </c>
      <c r="P1070" s="818"/>
      <c r="Q1070" s="597">
        <v>81000</v>
      </c>
    </row>
    <row r="1071" spans="1:17" s="1" customFormat="1" ht="11.45">
      <c r="A1071" s="597" t="s">
        <v>19426</v>
      </c>
      <c r="B1071" s="817">
        <v>45481</v>
      </c>
      <c r="C1071" s="597">
        <v>2024</v>
      </c>
      <c r="D1071" s="597" t="s">
        <v>16880</v>
      </c>
      <c r="E1071" s="597" t="s">
        <v>16881</v>
      </c>
      <c r="F1071" s="597" t="s">
        <v>20155</v>
      </c>
      <c r="G1071" s="597" t="s">
        <v>20156</v>
      </c>
      <c r="H1071" s="817">
        <v>45484</v>
      </c>
      <c r="I1071" s="597">
        <v>11100</v>
      </c>
      <c r="J1071" s="360">
        <v>1</v>
      </c>
      <c r="K1071" s="597">
        <v>10820</v>
      </c>
      <c r="L1071" s="360">
        <v>1</v>
      </c>
      <c r="M1071" s="597">
        <v>0</v>
      </c>
      <c r="N1071" s="819"/>
      <c r="O1071" s="597">
        <v>0</v>
      </c>
      <c r="P1071" s="818"/>
      <c r="Q1071" s="597">
        <v>21920</v>
      </c>
    </row>
    <row r="1072" spans="1:17" s="1" customFormat="1" ht="11.45">
      <c r="A1072" s="597" t="s">
        <v>19427</v>
      </c>
      <c r="B1072" s="817">
        <v>45481</v>
      </c>
      <c r="C1072" s="597">
        <v>2024</v>
      </c>
      <c r="D1072" s="597" t="s">
        <v>16880</v>
      </c>
      <c r="E1072" s="597" t="s">
        <v>16881</v>
      </c>
      <c r="F1072" s="597" t="s">
        <v>20155</v>
      </c>
      <c r="G1072" s="597" t="s">
        <v>20156</v>
      </c>
      <c r="H1072" s="817">
        <v>45491</v>
      </c>
      <c r="I1072" s="597">
        <v>7500</v>
      </c>
      <c r="J1072" s="360">
        <v>1</v>
      </c>
      <c r="K1072" s="597">
        <v>15000</v>
      </c>
      <c r="L1072" s="360">
        <v>1</v>
      </c>
      <c r="M1072" s="597">
        <v>0</v>
      </c>
      <c r="N1072" s="819"/>
      <c r="O1072" s="597">
        <v>0</v>
      </c>
      <c r="P1072" s="818"/>
      <c r="Q1072" s="597">
        <v>22500</v>
      </c>
    </row>
    <row r="1073" spans="1:17" s="1" customFormat="1" ht="11.45">
      <c r="A1073" s="597" t="s">
        <v>19428</v>
      </c>
      <c r="B1073" s="817">
        <v>45481</v>
      </c>
      <c r="C1073" s="597">
        <v>2024</v>
      </c>
      <c r="D1073" s="597" t="s">
        <v>16880</v>
      </c>
      <c r="E1073" s="597" t="s">
        <v>16881</v>
      </c>
      <c r="F1073" s="597" t="s">
        <v>20155</v>
      </c>
      <c r="G1073" s="597" t="s">
        <v>20156</v>
      </c>
      <c r="H1073" s="817">
        <v>45491</v>
      </c>
      <c r="I1073" s="597">
        <v>20750</v>
      </c>
      <c r="J1073" s="360">
        <v>1</v>
      </c>
      <c r="K1073" s="597">
        <v>0</v>
      </c>
      <c r="L1073" s="819"/>
      <c r="M1073" s="597">
        <v>0</v>
      </c>
      <c r="N1073" s="819"/>
      <c r="O1073" s="597">
        <v>0</v>
      </c>
      <c r="P1073" s="818"/>
      <c r="Q1073" s="597">
        <v>20750</v>
      </c>
    </row>
    <row r="1074" spans="1:17" s="1" customFormat="1" ht="11.45">
      <c r="A1074" s="597" t="s">
        <v>19429</v>
      </c>
      <c r="B1074" s="817">
        <v>45482</v>
      </c>
      <c r="C1074" s="597">
        <v>2024</v>
      </c>
      <c r="D1074" s="597" t="s">
        <v>16904</v>
      </c>
      <c r="E1074" s="597" t="s">
        <v>16905</v>
      </c>
      <c r="F1074" s="597" t="s">
        <v>20155</v>
      </c>
      <c r="G1074" s="597" t="s">
        <v>20160</v>
      </c>
      <c r="H1074" s="817">
        <v>45485</v>
      </c>
      <c r="I1074" s="597">
        <v>0</v>
      </c>
      <c r="J1074" s="819"/>
      <c r="K1074" s="597">
        <v>17712</v>
      </c>
      <c r="L1074" s="360">
        <v>1</v>
      </c>
      <c r="M1074" s="597">
        <v>7500</v>
      </c>
      <c r="N1074" s="360">
        <v>1</v>
      </c>
      <c r="O1074" s="597">
        <v>0</v>
      </c>
      <c r="P1074" s="818"/>
      <c r="Q1074" s="597">
        <v>25212</v>
      </c>
    </row>
    <row r="1075" spans="1:17" s="1" customFormat="1" ht="11.45">
      <c r="A1075" s="597" t="s">
        <v>19430</v>
      </c>
      <c r="B1075" s="817">
        <v>45482</v>
      </c>
      <c r="C1075" s="597">
        <v>2024</v>
      </c>
      <c r="D1075" s="597" t="s">
        <v>16904</v>
      </c>
      <c r="E1075" s="597" t="s">
        <v>16905</v>
      </c>
      <c r="F1075" s="597" t="s">
        <v>20155</v>
      </c>
      <c r="G1075" s="597" t="s">
        <v>20160</v>
      </c>
      <c r="H1075" s="817">
        <v>45485</v>
      </c>
      <c r="I1075" s="597">
        <v>0</v>
      </c>
      <c r="J1075" s="819"/>
      <c r="K1075" s="597">
        <v>17712</v>
      </c>
      <c r="L1075" s="360">
        <v>1</v>
      </c>
      <c r="M1075" s="597">
        <v>7500</v>
      </c>
      <c r="N1075" s="360">
        <v>1</v>
      </c>
      <c r="O1075" s="597">
        <v>0</v>
      </c>
      <c r="P1075" s="818"/>
      <c r="Q1075" s="597">
        <v>25212</v>
      </c>
    </row>
    <row r="1076" spans="1:17" s="1" customFormat="1" ht="11.45">
      <c r="A1076" s="597" t="s">
        <v>19431</v>
      </c>
      <c r="B1076" s="817">
        <v>45482</v>
      </c>
      <c r="C1076" s="597">
        <v>2024</v>
      </c>
      <c r="D1076" s="597" t="s">
        <v>16560</v>
      </c>
      <c r="E1076" s="597" t="s">
        <v>16561</v>
      </c>
      <c r="F1076" s="597" t="s">
        <v>20155</v>
      </c>
      <c r="G1076" s="597" t="s">
        <v>17801</v>
      </c>
      <c r="H1076" s="817">
        <v>45485</v>
      </c>
      <c r="I1076" s="597">
        <v>0</v>
      </c>
      <c r="J1076" s="819"/>
      <c r="K1076" s="597">
        <v>0</v>
      </c>
      <c r="L1076" s="819"/>
      <c r="M1076" s="597">
        <v>137500</v>
      </c>
      <c r="N1076" s="359" t="s">
        <v>20347</v>
      </c>
      <c r="O1076" s="597">
        <v>0</v>
      </c>
      <c r="P1076" s="818"/>
      <c r="Q1076" s="597">
        <v>137500</v>
      </c>
    </row>
    <row r="1077" spans="1:17" s="1" customFormat="1" ht="11.45">
      <c r="A1077" s="597" t="s">
        <v>19432</v>
      </c>
      <c r="B1077" s="817">
        <v>45482</v>
      </c>
      <c r="C1077" s="597">
        <v>2024</v>
      </c>
      <c r="D1077" s="597" t="s">
        <v>16560</v>
      </c>
      <c r="E1077" s="597" t="s">
        <v>16561</v>
      </c>
      <c r="F1077" s="597" t="s">
        <v>20155</v>
      </c>
      <c r="G1077" s="597" t="s">
        <v>17801</v>
      </c>
      <c r="H1077" s="817">
        <v>45486</v>
      </c>
      <c r="I1077" s="597">
        <v>0</v>
      </c>
      <c r="J1077" s="819"/>
      <c r="K1077" s="597">
        <v>0</v>
      </c>
      <c r="L1077" s="819"/>
      <c r="M1077" s="597">
        <v>137500</v>
      </c>
      <c r="N1077" s="359" t="s">
        <v>20347</v>
      </c>
      <c r="O1077" s="597">
        <v>0</v>
      </c>
      <c r="P1077" s="818"/>
      <c r="Q1077" s="597">
        <v>137500</v>
      </c>
    </row>
    <row r="1078" spans="1:17" s="1" customFormat="1" ht="11.45">
      <c r="A1078" s="597" t="s">
        <v>19433</v>
      </c>
      <c r="B1078" s="817">
        <v>45482</v>
      </c>
      <c r="C1078" s="597">
        <v>2024</v>
      </c>
      <c r="D1078" s="597" t="s">
        <v>16384</v>
      </c>
      <c r="E1078" s="597" t="s">
        <v>16385</v>
      </c>
      <c r="F1078" s="597" t="s">
        <v>20155</v>
      </c>
      <c r="G1078" s="597" t="s">
        <v>17801</v>
      </c>
      <c r="H1078" s="817">
        <v>45502</v>
      </c>
      <c r="I1078" s="597">
        <v>0</v>
      </c>
      <c r="J1078" s="819"/>
      <c r="K1078" s="597">
        <v>0</v>
      </c>
      <c r="L1078" s="819"/>
      <c r="M1078" s="597">
        <v>560000</v>
      </c>
      <c r="N1078" s="360" t="s">
        <v>20347</v>
      </c>
      <c r="O1078" s="597">
        <v>0</v>
      </c>
      <c r="P1078" s="818"/>
      <c r="Q1078" s="597">
        <v>560000</v>
      </c>
    </row>
    <row r="1079" spans="1:17" s="1" customFormat="1" ht="11.45">
      <c r="A1079" s="597" t="s">
        <v>19434</v>
      </c>
      <c r="B1079" s="817">
        <v>45483</v>
      </c>
      <c r="C1079" s="597">
        <v>2024</v>
      </c>
      <c r="D1079" s="597" t="s">
        <v>16560</v>
      </c>
      <c r="E1079" s="597" t="s">
        <v>16561</v>
      </c>
      <c r="F1079" s="597" t="s">
        <v>20155</v>
      </c>
      <c r="G1079" s="597" t="s">
        <v>17801</v>
      </c>
      <c r="H1079" s="817">
        <v>45491</v>
      </c>
      <c r="I1079" s="597">
        <v>0</v>
      </c>
      <c r="J1079" s="819"/>
      <c r="K1079" s="597">
        <v>125000</v>
      </c>
      <c r="L1079" s="359" t="s">
        <v>20348</v>
      </c>
      <c r="M1079" s="597">
        <v>0</v>
      </c>
      <c r="N1079" s="819"/>
      <c r="O1079" s="597">
        <v>0</v>
      </c>
      <c r="P1079" s="818"/>
      <c r="Q1079" s="597">
        <v>125000</v>
      </c>
    </row>
    <row r="1080" spans="1:17" s="1" customFormat="1" ht="11.45">
      <c r="A1080" s="597" t="s">
        <v>19435</v>
      </c>
      <c r="B1080" s="817">
        <v>45483</v>
      </c>
      <c r="C1080" s="597">
        <v>2024</v>
      </c>
      <c r="D1080" s="597" t="s">
        <v>16444</v>
      </c>
      <c r="E1080" s="597" t="s">
        <v>16445</v>
      </c>
      <c r="F1080" s="597" t="s">
        <v>20155</v>
      </c>
      <c r="G1080" s="597" t="s">
        <v>17965</v>
      </c>
      <c r="H1080" s="817">
        <v>45490</v>
      </c>
      <c r="I1080" s="597">
        <v>19200</v>
      </c>
      <c r="J1080" s="359" t="s">
        <v>20345</v>
      </c>
      <c r="K1080" s="597">
        <v>0</v>
      </c>
      <c r="L1080" s="819"/>
      <c r="M1080" s="597">
        <v>0</v>
      </c>
      <c r="N1080" s="819"/>
      <c r="O1080" s="597">
        <v>0</v>
      </c>
      <c r="P1080" s="818"/>
      <c r="Q1080" s="597">
        <v>19200</v>
      </c>
    </row>
    <row r="1081" spans="1:17" s="1" customFormat="1" ht="11.45">
      <c r="A1081" s="597" t="s">
        <v>19436</v>
      </c>
      <c r="B1081" s="817">
        <v>45485</v>
      </c>
      <c r="C1081" s="597">
        <v>2024</v>
      </c>
      <c r="D1081" s="597" t="s">
        <v>17017</v>
      </c>
      <c r="E1081" s="597" t="s">
        <v>17018</v>
      </c>
      <c r="F1081" s="597" t="s">
        <v>20155</v>
      </c>
      <c r="G1081" s="597" t="s">
        <v>20307</v>
      </c>
      <c r="H1081" s="817">
        <v>45497</v>
      </c>
      <c r="I1081" s="597">
        <v>0</v>
      </c>
      <c r="J1081" s="819"/>
      <c r="K1081" s="597">
        <v>41000</v>
      </c>
      <c r="L1081" s="360">
        <v>1</v>
      </c>
      <c r="M1081" s="597">
        <v>0</v>
      </c>
      <c r="N1081" s="819"/>
      <c r="O1081" s="597">
        <v>0</v>
      </c>
      <c r="P1081" s="818"/>
      <c r="Q1081" s="597">
        <v>41000</v>
      </c>
    </row>
    <row r="1082" spans="1:17" s="1" customFormat="1" ht="11.45">
      <c r="A1082" s="597" t="s">
        <v>19437</v>
      </c>
      <c r="B1082" s="817">
        <v>45485</v>
      </c>
      <c r="C1082" s="597">
        <v>2024</v>
      </c>
      <c r="D1082" s="597" t="s">
        <v>17017</v>
      </c>
      <c r="E1082" s="597" t="s">
        <v>17018</v>
      </c>
      <c r="F1082" s="597" t="s">
        <v>20155</v>
      </c>
      <c r="G1082" s="597" t="s">
        <v>20307</v>
      </c>
      <c r="H1082" s="817">
        <v>45497</v>
      </c>
      <c r="I1082" s="597">
        <v>0</v>
      </c>
      <c r="J1082" s="819"/>
      <c r="K1082" s="597">
        <v>20500</v>
      </c>
      <c r="L1082" s="360">
        <v>1</v>
      </c>
      <c r="M1082" s="597">
        <v>0</v>
      </c>
      <c r="N1082" s="819"/>
      <c r="O1082" s="597">
        <v>0</v>
      </c>
      <c r="P1082" s="818"/>
      <c r="Q1082" s="597">
        <v>20500</v>
      </c>
    </row>
    <row r="1083" spans="1:17" s="1" customFormat="1" ht="11.45">
      <c r="A1083" s="597" t="s">
        <v>19438</v>
      </c>
      <c r="B1083" s="817">
        <v>45485</v>
      </c>
      <c r="C1083" s="597">
        <v>2024</v>
      </c>
      <c r="D1083" s="597" t="s">
        <v>17017</v>
      </c>
      <c r="E1083" s="597" t="s">
        <v>17018</v>
      </c>
      <c r="F1083" s="597" t="s">
        <v>20155</v>
      </c>
      <c r="G1083" s="597" t="s">
        <v>20307</v>
      </c>
      <c r="H1083" s="817">
        <v>45496</v>
      </c>
      <c r="I1083" s="597">
        <v>62250</v>
      </c>
      <c r="J1083" s="360">
        <v>1</v>
      </c>
      <c r="K1083" s="597">
        <v>0</v>
      </c>
      <c r="L1083" s="819"/>
      <c r="M1083" s="597">
        <v>0</v>
      </c>
      <c r="N1083" s="819"/>
      <c r="O1083" s="597">
        <v>0</v>
      </c>
      <c r="P1083" s="818"/>
      <c r="Q1083" s="597">
        <v>62250</v>
      </c>
    </row>
    <row r="1084" spans="1:17" s="1" customFormat="1" ht="11.45">
      <c r="A1084" s="597" t="s">
        <v>19439</v>
      </c>
      <c r="B1084" s="817">
        <v>45486</v>
      </c>
      <c r="C1084" s="597">
        <v>2024</v>
      </c>
      <c r="D1084" s="597" t="s">
        <v>17376</v>
      </c>
      <c r="E1084" s="597" t="s">
        <v>17377</v>
      </c>
      <c r="F1084" s="597" t="s">
        <v>20155</v>
      </c>
      <c r="G1084" s="597" t="s">
        <v>17939</v>
      </c>
      <c r="H1084" s="817">
        <v>45503</v>
      </c>
      <c r="I1084" s="597">
        <v>130003</v>
      </c>
      <c r="J1084" s="359" t="s">
        <v>20345</v>
      </c>
      <c r="K1084" s="597">
        <v>0</v>
      </c>
      <c r="L1084" s="819"/>
      <c r="M1084" s="597">
        <v>9005</v>
      </c>
      <c r="N1084" s="359" t="s">
        <v>20347</v>
      </c>
      <c r="O1084" s="597">
        <v>0</v>
      </c>
      <c r="P1084" s="818"/>
      <c r="Q1084" s="597">
        <v>139008</v>
      </c>
    </row>
    <row r="1085" spans="1:17" s="1" customFormat="1" ht="11.45">
      <c r="A1085" s="597" t="s">
        <v>19440</v>
      </c>
      <c r="B1085" s="817">
        <v>45489</v>
      </c>
      <c r="C1085" s="597">
        <v>2024</v>
      </c>
      <c r="D1085" s="597" t="s">
        <v>16783</v>
      </c>
      <c r="E1085" s="597" t="s">
        <v>16784</v>
      </c>
      <c r="F1085" s="597" t="s">
        <v>20155</v>
      </c>
      <c r="G1085" s="597" t="s">
        <v>17939</v>
      </c>
      <c r="H1085" s="817">
        <v>45495</v>
      </c>
      <c r="I1085" s="597">
        <v>54000</v>
      </c>
      <c r="J1085" s="359" t="s">
        <v>20345</v>
      </c>
      <c r="K1085" s="597">
        <v>233818</v>
      </c>
      <c r="L1085" s="359" t="s">
        <v>20345</v>
      </c>
      <c r="M1085" s="597">
        <v>77395</v>
      </c>
      <c r="N1085" s="359" t="s">
        <v>20345</v>
      </c>
      <c r="O1085" s="597">
        <v>0</v>
      </c>
      <c r="P1085" s="818"/>
      <c r="Q1085" s="597">
        <v>365213</v>
      </c>
    </row>
    <row r="1086" spans="1:17" s="1" customFormat="1" ht="11.45">
      <c r="A1086" s="597" t="s">
        <v>19441</v>
      </c>
      <c r="B1086" s="817">
        <v>45490</v>
      </c>
      <c r="C1086" s="597">
        <v>2024</v>
      </c>
      <c r="D1086" s="597" t="s">
        <v>17302</v>
      </c>
      <c r="E1086" s="597" t="s">
        <v>17303</v>
      </c>
      <c r="F1086" s="597" t="s">
        <v>20155</v>
      </c>
      <c r="G1086" s="597" t="s">
        <v>16394</v>
      </c>
      <c r="H1086" s="817">
        <v>45492</v>
      </c>
      <c r="I1086" s="597">
        <v>0</v>
      </c>
      <c r="J1086" s="819"/>
      <c r="K1086" s="597">
        <v>18696</v>
      </c>
      <c r="L1086" s="360">
        <v>1</v>
      </c>
      <c r="M1086" s="597">
        <v>4800</v>
      </c>
      <c r="N1086" s="360">
        <v>1</v>
      </c>
      <c r="O1086" s="597">
        <v>1120</v>
      </c>
      <c r="P1086" s="360">
        <v>1</v>
      </c>
      <c r="Q1086" s="597">
        <v>24616</v>
      </c>
    </row>
    <row r="1087" spans="1:17" s="1" customFormat="1" ht="11.45">
      <c r="A1087" s="597" t="s">
        <v>19442</v>
      </c>
      <c r="B1087" s="817">
        <v>45490</v>
      </c>
      <c r="C1087" s="597">
        <v>2024</v>
      </c>
      <c r="D1087" s="597" t="s">
        <v>17379</v>
      </c>
      <c r="E1087" s="597" t="s">
        <v>17380</v>
      </c>
      <c r="F1087" s="597" t="s">
        <v>20155</v>
      </c>
      <c r="G1087" s="597" t="s">
        <v>18227</v>
      </c>
      <c r="H1087" s="817">
        <v>45505</v>
      </c>
      <c r="I1087" s="597">
        <v>0</v>
      </c>
      <c r="J1087" s="819"/>
      <c r="K1087" s="597">
        <v>0</v>
      </c>
      <c r="L1087" s="819"/>
      <c r="M1087" s="597">
        <v>52000</v>
      </c>
      <c r="N1087" s="359" t="s">
        <v>20347</v>
      </c>
      <c r="O1087" s="597">
        <v>0</v>
      </c>
      <c r="P1087" s="818"/>
      <c r="Q1087" s="597">
        <v>52000</v>
      </c>
    </row>
    <row r="1088" spans="1:17" s="1" customFormat="1" ht="11.45">
      <c r="A1088" s="597" t="s">
        <v>19444</v>
      </c>
      <c r="B1088" s="817">
        <v>45490</v>
      </c>
      <c r="C1088" s="597">
        <v>2024</v>
      </c>
      <c r="D1088" s="597" t="s">
        <v>17299</v>
      </c>
      <c r="E1088" s="597" t="s">
        <v>17300</v>
      </c>
      <c r="F1088" s="597" t="s">
        <v>20155</v>
      </c>
      <c r="G1088" s="597" t="s">
        <v>20321</v>
      </c>
      <c r="H1088" s="817">
        <v>45492</v>
      </c>
      <c r="I1088" s="597">
        <v>38400</v>
      </c>
      <c r="J1088" s="359" t="s">
        <v>20345</v>
      </c>
      <c r="K1088" s="597">
        <v>0</v>
      </c>
      <c r="L1088" s="819"/>
      <c r="M1088" s="597">
        <v>0</v>
      </c>
      <c r="N1088" s="819"/>
      <c r="O1088" s="597">
        <v>0</v>
      </c>
      <c r="P1088" s="818"/>
      <c r="Q1088" s="597">
        <v>38400</v>
      </c>
    </row>
    <row r="1089" spans="1:17" s="1" customFormat="1" ht="11.45">
      <c r="A1089" s="597" t="s">
        <v>19445</v>
      </c>
      <c r="B1089" s="817">
        <v>45490</v>
      </c>
      <c r="C1089" s="597">
        <v>2024</v>
      </c>
      <c r="D1089" s="597" t="s">
        <v>17226</v>
      </c>
      <c r="E1089" s="597" t="s">
        <v>17227</v>
      </c>
      <c r="F1089" s="597" t="s">
        <v>20155</v>
      </c>
      <c r="G1089" s="597" t="s">
        <v>17689</v>
      </c>
      <c r="H1089" s="817">
        <v>45504</v>
      </c>
      <c r="I1089" s="597">
        <v>54000</v>
      </c>
      <c r="J1089" s="360">
        <v>1</v>
      </c>
      <c r="K1089" s="597">
        <v>0</v>
      </c>
      <c r="L1089" s="819"/>
      <c r="M1089" s="597">
        <v>0</v>
      </c>
      <c r="N1089" s="819"/>
      <c r="O1089" s="597">
        <v>0</v>
      </c>
      <c r="P1089" s="818"/>
      <c r="Q1089" s="597">
        <v>54000</v>
      </c>
    </row>
    <row r="1090" spans="1:17" s="1" customFormat="1" ht="11.45">
      <c r="A1090" s="597" t="s">
        <v>19446</v>
      </c>
      <c r="B1090" s="817">
        <v>45496</v>
      </c>
      <c r="C1090" s="597">
        <v>2024</v>
      </c>
      <c r="D1090" s="597" t="s">
        <v>17276</v>
      </c>
      <c r="E1090" s="597" t="s">
        <v>17277</v>
      </c>
      <c r="F1090" s="597" t="s">
        <v>20155</v>
      </c>
      <c r="G1090" s="597" t="s">
        <v>20297</v>
      </c>
      <c r="H1090" s="817">
        <v>45504</v>
      </c>
      <c r="I1090" s="597">
        <v>19200</v>
      </c>
      <c r="J1090" s="359" t="s">
        <v>20345</v>
      </c>
      <c r="K1090" s="597">
        <v>56000</v>
      </c>
      <c r="L1090" s="359" t="s">
        <v>20345</v>
      </c>
      <c r="M1090" s="597">
        <v>0</v>
      </c>
      <c r="N1090" s="819"/>
      <c r="O1090" s="597">
        <v>0</v>
      </c>
      <c r="P1090" s="818"/>
      <c r="Q1090" s="597">
        <v>75200</v>
      </c>
    </row>
    <row r="1091" spans="1:17" s="1" customFormat="1" ht="11.45">
      <c r="A1091" s="597" t="s">
        <v>19447</v>
      </c>
      <c r="B1091" s="817">
        <v>45497</v>
      </c>
      <c r="C1091" s="597">
        <v>2024</v>
      </c>
      <c r="D1091" s="597" t="s">
        <v>16972</v>
      </c>
      <c r="E1091" s="597" t="s">
        <v>16973</v>
      </c>
      <c r="F1091" s="597" t="s">
        <v>20155</v>
      </c>
      <c r="G1091" s="597" t="s">
        <v>17801</v>
      </c>
      <c r="H1091" s="817">
        <v>45504</v>
      </c>
      <c r="I1091" s="597">
        <v>0</v>
      </c>
      <c r="J1091" s="819"/>
      <c r="K1091" s="597">
        <v>133500</v>
      </c>
      <c r="L1091" s="359" t="s">
        <v>20348</v>
      </c>
      <c r="M1091" s="597">
        <v>0</v>
      </c>
      <c r="N1091" s="819"/>
      <c r="O1091" s="597">
        <v>0</v>
      </c>
      <c r="P1091" s="818"/>
      <c r="Q1091" s="597">
        <v>133500</v>
      </c>
    </row>
    <row r="1092" spans="1:17" s="1" customFormat="1" ht="11.45">
      <c r="A1092" s="597" t="s">
        <v>19448</v>
      </c>
      <c r="B1092" s="817">
        <v>45497</v>
      </c>
      <c r="C1092" s="597">
        <v>2024</v>
      </c>
      <c r="D1092" s="597" t="s">
        <v>16838</v>
      </c>
      <c r="E1092" s="597" t="s">
        <v>16839</v>
      </c>
      <c r="F1092" s="597" t="s">
        <v>20155</v>
      </c>
      <c r="G1092" s="597" t="s">
        <v>17949</v>
      </c>
      <c r="H1092" s="817">
        <v>45502</v>
      </c>
      <c r="I1092" s="597">
        <v>528</v>
      </c>
      <c r="J1092" s="359" t="s">
        <v>20345</v>
      </c>
      <c r="K1092" s="597">
        <v>47400</v>
      </c>
      <c r="L1092" s="359" t="s">
        <v>20346</v>
      </c>
      <c r="M1092" s="597">
        <v>5000</v>
      </c>
      <c r="N1092" s="359" t="s">
        <v>20347</v>
      </c>
      <c r="O1092" s="597">
        <v>0</v>
      </c>
      <c r="P1092" s="818"/>
      <c r="Q1092" s="597">
        <v>52928</v>
      </c>
    </row>
    <row r="1093" spans="1:17" s="1" customFormat="1" ht="11.45">
      <c r="A1093" s="597" t="s">
        <v>19449</v>
      </c>
      <c r="B1093" s="817">
        <v>45497</v>
      </c>
      <c r="C1093" s="597">
        <v>2024</v>
      </c>
      <c r="D1093" s="597" t="s">
        <v>16384</v>
      </c>
      <c r="E1093" s="597" t="s">
        <v>16385</v>
      </c>
      <c r="F1093" s="597" t="s">
        <v>20155</v>
      </c>
      <c r="G1093" s="597" t="s">
        <v>17965</v>
      </c>
      <c r="H1093" s="817">
        <v>45503</v>
      </c>
      <c r="I1093" s="597">
        <v>38400</v>
      </c>
      <c r="J1093" s="359" t="s">
        <v>20345</v>
      </c>
      <c r="K1093" s="597">
        <v>0</v>
      </c>
      <c r="L1093" s="819"/>
      <c r="M1093" s="597">
        <v>0</v>
      </c>
      <c r="N1093" s="819"/>
      <c r="O1093" s="597">
        <v>0</v>
      </c>
      <c r="P1093" s="818"/>
      <c r="Q1093" s="597">
        <v>38400</v>
      </c>
    </row>
    <row r="1094" spans="1:17" s="1" customFormat="1" ht="11.45">
      <c r="A1094" s="597" t="s">
        <v>19450</v>
      </c>
      <c r="B1094" s="817">
        <v>45499</v>
      </c>
      <c r="C1094" s="597">
        <v>2024</v>
      </c>
      <c r="D1094" s="597" t="s">
        <v>16444</v>
      </c>
      <c r="E1094" s="597" t="s">
        <v>16445</v>
      </c>
      <c r="F1094" s="597" t="s">
        <v>20155</v>
      </c>
      <c r="G1094" s="597" t="s">
        <v>17949</v>
      </c>
      <c r="H1094" s="817">
        <v>45504</v>
      </c>
      <c r="I1094" s="597">
        <v>43200</v>
      </c>
      <c r="J1094" s="359" t="s">
        <v>20345</v>
      </c>
      <c r="K1094" s="597">
        <v>0</v>
      </c>
      <c r="L1094" s="819"/>
      <c r="M1094" s="597">
        <v>0</v>
      </c>
      <c r="N1094" s="819"/>
      <c r="O1094" s="597">
        <v>0</v>
      </c>
      <c r="P1094" s="818"/>
      <c r="Q1094" s="597">
        <v>43200</v>
      </c>
    </row>
    <row r="1095" spans="1:17" s="1" customFormat="1" ht="11.45">
      <c r="A1095" s="597" t="s">
        <v>19451</v>
      </c>
      <c r="B1095" s="817">
        <v>45499</v>
      </c>
      <c r="C1095" s="597">
        <v>2024</v>
      </c>
      <c r="D1095" s="597" t="s">
        <v>16444</v>
      </c>
      <c r="E1095" s="597" t="s">
        <v>16445</v>
      </c>
      <c r="F1095" s="597" t="s">
        <v>20155</v>
      </c>
      <c r="G1095" s="597" t="s">
        <v>17949</v>
      </c>
      <c r="H1095" s="817">
        <v>45504</v>
      </c>
      <c r="I1095" s="597">
        <v>44016</v>
      </c>
      <c r="J1095" s="359" t="s">
        <v>20345</v>
      </c>
      <c r="K1095" s="597">
        <v>0</v>
      </c>
      <c r="L1095" s="819"/>
      <c r="M1095" s="597">
        <v>0</v>
      </c>
      <c r="N1095" s="819"/>
      <c r="O1095" s="597">
        <v>0</v>
      </c>
      <c r="P1095" s="818"/>
      <c r="Q1095" s="597">
        <v>44016</v>
      </c>
    </row>
    <row r="1096" spans="1:17" s="1" customFormat="1" ht="11.45">
      <c r="A1096" s="597" t="s">
        <v>19452</v>
      </c>
      <c r="B1096" s="817">
        <v>45504</v>
      </c>
      <c r="C1096" s="597">
        <v>2024</v>
      </c>
      <c r="D1096" s="597" t="s">
        <v>17156</v>
      </c>
      <c r="E1096" s="597" t="s">
        <v>17157</v>
      </c>
      <c r="F1096" s="597" t="s">
        <v>20155</v>
      </c>
      <c r="G1096" s="597" t="s">
        <v>20161</v>
      </c>
      <c r="H1096" s="817">
        <v>45513</v>
      </c>
      <c r="I1096" s="597">
        <v>60000</v>
      </c>
      <c r="J1096" s="359" t="s">
        <v>20345</v>
      </c>
      <c r="K1096" s="597">
        <v>0</v>
      </c>
      <c r="L1096" s="819"/>
      <c r="M1096" s="597">
        <v>0</v>
      </c>
      <c r="N1096" s="819"/>
      <c r="O1096" s="597">
        <v>0</v>
      </c>
      <c r="P1096" s="818"/>
      <c r="Q1096" s="597">
        <v>60000</v>
      </c>
    </row>
    <row r="1097" spans="1:17" s="1" customFormat="1" ht="11.45">
      <c r="A1097" s="597" t="s">
        <v>19453</v>
      </c>
      <c r="B1097" s="817">
        <v>45506</v>
      </c>
      <c r="C1097" s="597">
        <v>2024</v>
      </c>
      <c r="D1097" s="597" t="s">
        <v>16783</v>
      </c>
      <c r="E1097" s="597" t="s">
        <v>16784</v>
      </c>
      <c r="F1097" s="597" t="s">
        <v>20155</v>
      </c>
      <c r="G1097" s="597" t="s">
        <v>17939</v>
      </c>
      <c r="H1097" s="817">
        <v>45520</v>
      </c>
      <c r="I1097" s="597">
        <v>54000</v>
      </c>
      <c r="J1097" s="359" t="s">
        <v>20345</v>
      </c>
      <c r="K1097" s="597">
        <v>161731</v>
      </c>
      <c r="L1097" s="359" t="s">
        <v>20345</v>
      </c>
      <c r="M1097" s="597">
        <v>50803</v>
      </c>
      <c r="N1097" s="359" t="s">
        <v>20345</v>
      </c>
      <c r="O1097" s="597">
        <v>0</v>
      </c>
      <c r="P1097" s="818"/>
      <c r="Q1097" s="597">
        <v>266534</v>
      </c>
    </row>
    <row r="1098" spans="1:17" s="1" customFormat="1" ht="11.45">
      <c r="A1098" s="597" t="s">
        <v>19454</v>
      </c>
      <c r="B1098" s="817">
        <v>45509</v>
      </c>
      <c r="C1098" s="597">
        <v>2024</v>
      </c>
      <c r="D1098" s="597" t="s">
        <v>16444</v>
      </c>
      <c r="E1098" s="597" t="s">
        <v>16445</v>
      </c>
      <c r="F1098" s="597" t="s">
        <v>20155</v>
      </c>
      <c r="G1098" s="597" t="s">
        <v>17949</v>
      </c>
      <c r="H1098" s="817">
        <v>45512</v>
      </c>
      <c r="I1098" s="597">
        <v>43200</v>
      </c>
      <c r="J1098" s="359" t="s">
        <v>20345</v>
      </c>
      <c r="K1098" s="597">
        <v>0</v>
      </c>
      <c r="L1098" s="819"/>
      <c r="M1098" s="597">
        <v>0</v>
      </c>
      <c r="N1098" s="819"/>
      <c r="O1098" s="597">
        <v>0</v>
      </c>
      <c r="P1098" s="818"/>
      <c r="Q1098" s="597">
        <v>43200</v>
      </c>
    </row>
    <row r="1099" spans="1:17" s="1" customFormat="1" ht="11.45">
      <c r="A1099" s="597" t="s">
        <v>19455</v>
      </c>
      <c r="B1099" s="817">
        <v>45509</v>
      </c>
      <c r="C1099" s="597">
        <v>2024</v>
      </c>
      <c r="D1099" s="597" t="s">
        <v>16957</v>
      </c>
      <c r="E1099" s="597" t="s">
        <v>16958</v>
      </c>
      <c r="F1099" s="597" t="s">
        <v>20155</v>
      </c>
      <c r="G1099" s="597" t="s">
        <v>20161</v>
      </c>
      <c r="H1099" s="817">
        <v>45518</v>
      </c>
      <c r="I1099" s="597">
        <v>40300</v>
      </c>
      <c r="J1099" s="360">
        <v>1</v>
      </c>
      <c r="K1099" s="597">
        <v>0</v>
      </c>
      <c r="L1099" s="819"/>
      <c r="M1099" s="597">
        <v>0</v>
      </c>
      <c r="N1099" s="819"/>
      <c r="O1099" s="597">
        <v>0</v>
      </c>
      <c r="P1099" s="818"/>
      <c r="Q1099" s="597">
        <v>40300</v>
      </c>
    </row>
    <row r="1100" spans="1:17" s="1" customFormat="1" ht="11.45">
      <c r="A1100" s="597" t="s">
        <v>19456</v>
      </c>
      <c r="B1100" s="817">
        <v>45509</v>
      </c>
      <c r="C1100" s="597">
        <v>2024</v>
      </c>
      <c r="D1100" s="597" t="s">
        <v>16957</v>
      </c>
      <c r="E1100" s="597" t="s">
        <v>16958</v>
      </c>
      <c r="F1100" s="597" t="s">
        <v>20155</v>
      </c>
      <c r="G1100" s="597" t="s">
        <v>20161</v>
      </c>
      <c r="H1100" s="817">
        <v>45518</v>
      </c>
      <c r="I1100" s="597">
        <v>20150</v>
      </c>
      <c r="J1100" s="359" t="s">
        <v>20345</v>
      </c>
      <c r="K1100" s="597">
        <v>0</v>
      </c>
      <c r="L1100" s="819"/>
      <c r="M1100" s="597">
        <v>0</v>
      </c>
      <c r="N1100" s="819"/>
      <c r="O1100" s="597">
        <v>0</v>
      </c>
      <c r="P1100" s="818"/>
      <c r="Q1100" s="597">
        <v>20150</v>
      </c>
    </row>
    <row r="1101" spans="1:17" s="1" customFormat="1" ht="11.45">
      <c r="A1101" s="597" t="s">
        <v>19457</v>
      </c>
      <c r="B1101" s="817">
        <v>45513</v>
      </c>
      <c r="C1101" s="597">
        <v>2024</v>
      </c>
      <c r="D1101" s="597" t="s">
        <v>16384</v>
      </c>
      <c r="E1101" s="597" t="s">
        <v>16385</v>
      </c>
      <c r="F1101" s="597" t="s">
        <v>20155</v>
      </c>
      <c r="G1101" s="597" t="s">
        <v>17777</v>
      </c>
      <c r="H1101" s="817">
        <v>45526</v>
      </c>
      <c r="I1101" s="597">
        <v>0</v>
      </c>
      <c r="J1101" s="819"/>
      <c r="K1101" s="597">
        <v>0</v>
      </c>
      <c r="L1101" s="819"/>
      <c r="M1101" s="597">
        <v>84000</v>
      </c>
      <c r="N1101" s="360" t="s">
        <v>20347</v>
      </c>
      <c r="O1101" s="597">
        <v>0</v>
      </c>
      <c r="P1101" s="818"/>
      <c r="Q1101" s="597">
        <v>84000</v>
      </c>
    </row>
    <row r="1102" spans="1:17" s="1" customFormat="1" ht="11.45">
      <c r="A1102" s="597" t="s">
        <v>19458</v>
      </c>
      <c r="B1102" s="817">
        <v>45513</v>
      </c>
      <c r="C1102" s="597">
        <v>2024</v>
      </c>
      <c r="D1102" s="597" t="s">
        <v>16972</v>
      </c>
      <c r="E1102" s="597" t="s">
        <v>16973</v>
      </c>
      <c r="F1102" s="597" t="s">
        <v>20155</v>
      </c>
      <c r="G1102" s="597" t="s">
        <v>17801</v>
      </c>
      <c r="H1102" s="817">
        <v>45525</v>
      </c>
      <c r="I1102" s="597">
        <v>0</v>
      </c>
      <c r="J1102" s="819"/>
      <c r="K1102" s="597">
        <v>0</v>
      </c>
      <c r="L1102" s="819"/>
      <c r="M1102" s="597">
        <v>280000</v>
      </c>
      <c r="N1102" s="359" t="s">
        <v>20347</v>
      </c>
      <c r="O1102" s="597">
        <v>0</v>
      </c>
      <c r="P1102" s="818"/>
      <c r="Q1102" s="597">
        <v>280000</v>
      </c>
    </row>
    <row r="1103" spans="1:17" s="1" customFormat="1" ht="11.45">
      <c r="A1103" s="597" t="s">
        <v>19459</v>
      </c>
      <c r="B1103" s="817">
        <v>45518</v>
      </c>
      <c r="C1103" s="597">
        <v>2024</v>
      </c>
      <c r="D1103" s="597" t="s">
        <v>17374</v>
      </c>
      <c r="E1103" s="597" t="s">
        <v>17375</v>
      </c>
      <c r="F1103" s="597" t="s">
        <v>20155</v>
      </c>
      <c r="G1103" s="597" t="s">
        <v>20173</v>
      </c>
      <c r="H1103" s="817">
        <v>45535</v>
      </c>
      <c r="I1103" s="597">
        <v>0</v>
      </c>
      <c r="J1103" s="819"/>
      <c r="K1103" s="597">
        <v>99050</v>
      </c>
      <c r="L1103" s="359" t="s">
        <v>20348</v>
      </c>
      <c r="M1103" s="597">
        <v>35000</v>
      </c>
      <c r="N1103" s="359" t="s">
        <v>20347</v>
      </c>
      <c r="O1103" s="597">
        <v>0</v>
      </c>
      <c r="P1103" s="818"/>
      <c r="Q1103" s="597">
        <v>134050</v>
      </c>
    </row>
    <row r="1104" spans="1:17" s="1" customFormat="1" ht="11.45">
      <c r="A1104" s="597" t="s">
        <v>19460</v>
      </c>
      <c r="B1104" s="817">
        <v>45518</v>
      </c>
      <c r="C1104" s="597">
        <v>2024</v>
      </c>
      <c r="D1104" s="597" t="s">
        <v>17359</v>
      </c>
      <c r="E1104" s="597" t="s">
        <v>17360</v>
      </c>
      <c r="F1104" s="597" t="s">
        <v>20155</v>
      </c>
      <c r="G1104" s="597" t="s">
        <v>18094</v>
      </c>
      <c r="H1104" s="817">
        <v>45538</v>
      </c>
      <c r="I1104" s="597">
        <v>10660</v>
      </c>
      <c r="J1104" s="360" t="s">
        <v>20345</v>
      </c>
      <c r="K1104" s="597">
        <v>8500</v>
      </c>
      <c r="L1104" s="359" t="s">
        <v>20346</v>
      </c>
      <c r="M1104" s="597">
        <v>0</v>
      </c>
      <c r="N1104" s="359" t="s">
        <v>20347</v>
      </c>
      <c r="O1104" s="597">
        <v>0</v>
      </c>
      <c r="P1104" s="818"/>
      <c r="Q1104" s="597">
        <v>19160</v>
      </c>
    </row>
    <row r="1105" spans="1:17" s="1" customFormat="1" ht="11.45">
      <c r="A1105" s="597" t="s">
        <v>19461</v>
      </c>
      <c r="B1105" s="817">
        <v>45518</v>
      </c>
      <c r="C1105" s="597">
        <v>2024</v>
      </c>
      <c r="D1105" s="597" t="s">
        <v>16384</v>
      </c>
      <c r="E1105" s="597" t="s">
        <v>16385</v>
      </c>
      <c r="F1105" s="597" t="s">
        <v>20155</v>
      </c>
      <c r="G1105" s="597" t="s">
        <v>17965</v>
      </c>
      <c r="H1105" s="817">
        <v>45525</v>
      </c>
      <c r="I1105" s="597">
        <v>96000</v>
      </c>
      <c r="J1105" s="359" t="s">
        <v>20345</v>
      </c>
      <c r="K1105" s="597">
        <v>0</v>
      </c>
      <c r="L1105" s="819"/>
      <c r="M1105" s="597">
        <v>0</v>
      </c>
      <c r="N1105" s="819"/>
      <c r="O1105" s="597">
        <v>0</v>
      </c>
      <c r="P1105" s="818"/>
      <c r="Q1105" s="597">
        <v>96000</v>
      </c>
    </row>
    <row r="1106" spans="1:17" s="1" customFormat="1" ht="11.45">
      <c r="A1106" s="597" t="s">
        <v>19462</v>
      </c>
      <c r="B1106" s="817">
        <v>45518</v>
      </c>
      <c r="C1106" s="597">
        <v>2024</v>
      </c>
      <c r="D1106" s="597" t="s">
        <v>16880</v>
      </c>
      <c r="E1106" s="597" t="s">
        <v>16881</v>
      </c>
      <c r="F1106" s="597" t="s">
        <v>20155</v>
      </c>
      <c r="G1106" s="597" t="s">
        <v>20379</v>
      </c>
      <c r="H1106" s="817">
        <v>45526</v>
      </c>
      <c r="I1106" s="597">
        <v>0</v>
      </c>
      <c r="J1106" s="819"/>
      <c r="K1106" s="597">
        <v>22070</v>
      </c>
      <c r="L1106" s="360">
        <v>1</v>
      </c>
      <c r="M1106" s="597">
        <v>0</v>
      </c>
      <c r="N1106" s="819"/>
      <c r="O1106" s="597">
        <v>0</v>
      </c>
      <c r="P1106" s="818"/>
      <c r="Q1106" s="597">
        <v>22070</v>
      </c>
    </row>
    <row r="1107" spans="1:17" s="1" customFormat="1" ht="11.45">
      <c r="A1107" s="597" t="s">
        <v>19463</v>
      </c>
      <c r="B1107" s="817">
        <v>45518</v>
      </c>
      <c r="C1107" s="597">
        <v>2024</v>
      </c>
      <c r="D1107" s="597" t="s">
        <v>16838</v>
      </c>
      <c r="E1107" s="597" t="s">
        <v>16839</v>
      </c>
      <c r="F1107" s="597" t="s">
        <v>20155</v>
      </c>
      <c r="G1107" s="597" t="s">
        <v>20321</v>
      </c>
      <c r="H1107" s="817">
        <v>45538</v>
      </c>
      <c r="I1107" s="597">
        <v>0</v>
      </c>
      <c r="J1107" s="819"/>
      <c r="K1107" s="597">
        <v>135000</v>
      </c>
      <c r="L1107" s="359" t="s">
        <v>20347</v>
      </c>
      <c r="M1107" s="597">
        <v>0</v>
      </c>
      <c r="N1107" s="819"/>
      <c r="O1107" s="597">
        <v>0</v>
      </c>
      <c r="P1107" s="818"/>
      <c r="Q1107" s="597">
        <v>135000</v>
      </c>
    </row>
    <row r="1108" spans="1:17" s="1" customFormat="1" ht="11.45">
      <c r="A1108" s="597" t="s">
        <v>19464</v>
      </c>
      <c r="B1108" s="817">
        <v>45518</v>
      </c>
      <c r="C1108" s="597">
        <v>2024</v>
      </c>
      <c r="D1108" s="597" t="s">
        <v>17309</v>
      </c>
      <c r="E1108" s="597" t="s">
        <v>17310</v>
      </c>
      <c r="F1108" s="597" t="s">
        <v>20155</v>
      </c>
      <c r="G1108" s="597" t="s">
        <v>18248</v>
      </c>
      <c r="H1108" s="817">
        <v>45526</v>
      </c>
      <c r="I1108" s="597">
        <v>27600</v>
      </c>
      <c r="J1108" s="359" t="s">
        <v>20345</v>
      </c>
      <c r="K1108" s="597">
        <v>0</v>
      </c>
      <c r="L1108" s="819"/>
      <c r="M1108" s="597">
        <v>0</v>
      </c>
      <c r="N1108" s="819"/>
      <c r="O1108" s="597">
        <v>0</v>
      </c>
      <c r="P1108" s="818"/>
      <c r="Q1108" s="597">
        <v>27600</v>
      </c>
    </row>
    <row r="1109" spans="1:17" s="1" customFormat="1" ht="11.45">
      <c r="A1109" s="597" t="s">
        <v>19465</v>
      </c>
      <c r="B1109" s="817">
        <v>45518</v>
      </c>
      <c r="C1109" s="597">
        <v>2024</v>
      </c>
      <c r="D1109" s="597" t="s">
        <v>16444</v>
      </c>
      <c r="E1109" s="597" t="s">
        <v>16445</v>
      </c>
      <c r="F1109" s="597" t="s">
        <v>20155</v>
      </c>
      <c r="G1109" s="597" t="s">
        <v>20173</v>
      </c>
      <c r="H1109" s="817">
        <v>45526</v>
      </c>
      <c r="I1109" s="597">
        <v>43200</v>
      </c>
      <c r="J1109" s="359" t="s">
        <v>20345</v>
      </c>
      <c r="K1109" s="597">
        <v>0</v>
      </c>
      <c r="L1109" s="819"/>
      <c r="M1109" s="597">
        <v>0</v>
      </c>
      <c r="N1109" s="819"/>
      <c r="O1109" s="597">
        <v>0</v>
      </c>
      <c r="P1109" s="818"/>
      <c r="Q1109" s="597">
        <v>43200</v>
      </c>
    </row>
    <row r="1110" spans="1:17" s="1" customFormat="1" ht="11.45">
      <c r="A1110" s="597" t="s">
        <v>19466</v>
      </c>
      <c r="B1110" s="817">
        <v>45518</v>
      </c>
      <c r="C1110" s="597">
        <v>2024</v>
      </c>
      <c r="D1110" s="597" t="s">
        <v>16904</v>
      </c>
      <c r="E1110" s="597" t="s">
        <v>16905</v>
      </c>
      <c r="F1110" s="597" t="s">
        <v>20155</v>
      </c>
      <c r="G1110" s="597" t="s">
        <v>20160</v>
      </c>
      <c r="H1110" s="817">
        <v>45532</v>
      </c>
      <c r="I1110" s="597">
        <v>0</v>
      </c>
      <c r="J1110" s="819"/>
      <c r="K1110" s="597">
        <v>17712</v>
      </c>
      <c r="L1110" s="360">
        <v>1</v>
      </c>
      <c r="M1110" s="597">
        <v>7500</v>
      </c>
      <c r="N1110" s="360">
        <v>1</v>
      </c>
      <c r="O1110" s="597">
        <v>0</v>
      </c>
      <c r="P1110" s="818"/>
      <c r="Q1110" s="597">
        <v>25212</v>
      </c>
    </row>
    <row r="1111" spans="1:17" s="1" customFormat="1" ht="11.45">
      <c r="A1111" s="597" t="s">
        <v>19467</v>
      </c>
      <c r="B1111" s="817">
        <v>45518</v>
      </c>
      <c r="C1111" s="597">
        <v>2024</v>
      </c>
      <c r="D1111" s="597" t="s">
        <v>17299</v>
      </c>
      <c r="E1111" s="597" t="s">
        <v>17300</v>
      </c>
      <c r="F1111" s="597" t="s">
        <v>20155</v>
      </c>
      <c r="G1111" s="597" t="s">
        <v>20321</v>
      </c>
      <c r="H1111" s="817">
        <v>45527</v>
      </c>
      <c r="I1111" s="597">
        <v>134400</v>
      </c>
      <c r="J1111" s="359" t="s">
        <v>20345</v>
      </c>
      <c r="K1111" s="597">
        <v>0</v>
      </c>
      <c r="L1111" s="819"/>
      <c r="M1111" s="597">
        <v>0</v>
      </c>
      <c r="N1111" s="819"/>
      <c r="O1111" s="597">
        <v>0</v>
      </c>
      <c r="P1111" s="818"/>
      <c r="Q1111" s="597">
        <v>134400</v>
      </c>
    </row>
    <row r="1112" spans="1:17" s="1" customFormat="1" ht="11.45">
      <c r="A1112" s="597" t="s">
        <v>19468</v>
      </c>
      <c r="B1112" s="817">
        <v>45523</v>
      </c>
      <c r="C1112" s="597">
        <v>2024</v>
      </c>
      <c r="D1112" s="597" t="s">
        <v>16444</v>
      </c>
      <c r="E1112" s="597" t="s">
        <v>16445</v>
      </c>
      <c r="F1112" s="597" t="s">
        <v>20155</v>
      </c>
      <c r="G1112" s="597" t="s">
        <v>20173</v>
      </c>
      <c r="H1112" s="817">
        <v>45531</v>
      </c>
      <c r="I1112" s="597">
        <v>0</v>
      </c>
      <c r="J1112" s="819"/>
      <c r="K1112" s="597">
        <v>0</v>
      </c>
      <c r="L1112" s="819"/>
      <c r="M1112" s="597">
        <v>56000</v>
      </c>
      <c r="N1112" s="360" t="s">
        <v>20347</v>
      </c>
      <c r="O1112" s="597">
        <v>0</v>
      </c>
      <c r="P1112" s="818"/>
      <c r="Q1112" s="597">
        <v>56000</v>
      </c>
    </row>
    <row r="1113" spans="1:17" s="1" customFormat="1" ht="11.45">
      <c r="A1113" s="597" t="s">
        <v>19469</v>
      </c>
      <c r="B1113" s="817">
        <v>45524</v>
      </c>
      <c r="C1113" s="597">
        <v>2024</v>
      </c>
      <c r="D1113" s="597" t="s">
        <v>17354</v>
      </c>
      <c r="E1113" s="597" t="s">
        <v>17355</v>
      </c>
      <c r="F1113" s="597" t="s">
        <v>20155</v>
      </c>
      <c r="G1113" s="597" t="s">
        <v>20321</v>
      </c>
      <c r="H1113" s="817">
        <v>45531</v>
      </c>
      <c r="I1113" s="597">
        <v>54000</v>
      </c>
      <c r="J1113" s="359" t="s">
        <v>20345</v>
      </c>
      <c r="K1113" s="597">
        <v>0</v>
      </c>
      <c r="L1113" s="819"/>
      <c r="M1113" s="597">
        <v>0</v>
      </c>
      <c r="N1113" s="819"/>
      <c r="O1113" s="597">
        <v>0</v>
      </c>
      <c r="P1113" s="818"/>
      <c r="Q1113" s="597">
        <v>54000</v>
      </c>
    </row>
    <row r="1114" spans="1:17" s="1" customFormat="1" ht="11.45">
      <c r="A1114" s="597" t="s">
        <v>19470</v>
      </c>
      <c r="B1114" s="817">
        <v>45524</v>
      </c>
      <c r="C1114" s="597">
        <v>2024</v>
      </c>
      <c r="D1114" s="597" t="s">
        <v>17302</v>
      </c>
      <c r="E1114" s="597" t="s">
        <v>17303</v>
      </c>
      <c r="F1114" s="597" t="s">
        <v>20155</v>
      </c>
      <c r="G1114" s="597" t="s">
        <v>16394</v>
      </c>
      <c r="H1114" s="817">
        <v>45527</v>
      </c>
      <c r="I1114" s="597">
        <v>0</v>
      </c>
      <c r="J1114" s="819"/>
      <c r="K1114" s="597">
        <v>16152</v>
      </c>
      <c r="L1114" s="360">
        <v>1</v>
      </c>
      <c r="M1114" s="597">
        <v>6000</v>
      </c>
      <c r="N1114" s="360">
        <v>1</v>
      </c>
      <c r="O1114" s="597">
        <v>0</v>
      </c>
      <c r="P1114" s="818"/>
      <c r="Q1114" s="597">
        <v>22152</v>
      </c>
    </row>
    <row r="1115" spans="1:17" s="1" customFormat="1" ht="11.45">
      <c r="A1115" s="597" t="s">
        <v>19471</v>
      </c>
      <c r="B1115" s="817">
        <v>45524</v>
      </c>
      <c r="C1115" s="597">
        <v>2024</v>
      </c>
      <c r="D1115" s="597" t="s">
        <v>17302</v>
      </c>
      <c r="E1115" s="597" t="s">
        <v>17303</v>
      </c>
      <c r="F1115" s="597" t="s">
        <v>20155</v>
      </c>
      <c r="G1115" s="597" t="s">
        <v>16394</v>
      </c>
      <c r="H1115" s="817">
        <v>45527</v>
      </c>
      <c r="I1115" s="597">
        <v>0</v>
      </c>
      <c r="J1115" s="819"/>
      <c r="K1115" s="597">
        <v>12384</v>
      </c>
      <c r="L1115" s="360">
        <v>1</v>
      </c>
      <c r="M1115" s="597">
        <v>6000</v>
      </c>
      <c r="N1115" s="360">
        <v>1</v>
      </c>
      <c r="O1115" s="597">
        <v>4060</v>
      </c>
      <c r="P1115" s="360">
        <v>1</v>
      </c>
      <c r="Q1115" s="597">
        <v>22444</v>
      </c>
    </row>
    <row r="1116" spans="1:17" s="1" customFormat="1" ht="11.45">
      <c r="A1116" s="597" t="s">
        <v>19472</v>
      </c>
      <c r="B1116" s="817">
        <v>45525</v>
      </c>
      <c r="C1116" s="597">
        <v>2024</v>
      </c>
      <c r="D1116" s="597" t="s">
        <v>16384</v>
      </c>
      <c r="E1116" s="597" t="s">
        <v>16385</v>
      </c>
      <c r="F1116" s="597" t="s">
        <v>20155</v>
      </c>
      <c r="G1116" s="597" t="s">
        <v>17771</v>
      </c>
      <c r="H1116" s="817">
        <v>45540</v>
      </c>
      <c r="I1116" s="597">
        <v>22008</v>
      </c>
      <c r="J1116" s="359" t="s">
        <v>20345</v>
      </c>
      <c r="K1116" s="597">
        <v>12420</v>
      </c>
      <c r="L1116" s="359" t="s">
        <v>20346</v>
      </c>
      <c r="M1116" s="597">
        <v>29380</v>
      </c>
      <c r="N1116" s="360" t="s">
        <v>20347</v>
      </c>
      <c r="O1116" s="597">
        <v>0</v>
      </c>
      <c r="P1116" s="818"/>
      <c r="Q1116" s="597">
        <v>63808</v>
      </c>
    </row>
    <row r="1117" spans="1:17" s="1" customFormat="1" ht="11.45">
      <c r="A1117" s="597" t="s">
        <v>19473</v>
      </c>
      <c r="B1117" s="817">
        <v>45525</v>
      </c>
      <c r="C1117" s="597">
        <v>2024</v>
      </c>
      <c r="D1117" s="597" t="s">
        <v>16972</v>
      </c>
      <c r="E1117" s="597" t="s">
        <v>16973</v>
      </c>
      <c r="F1117" s="597" t="s">
        <v>20155</v>
      </c>
      <c r="G1117" s="597" t="s">
        <v>17801</v>
      </c>
      <c r="H1117" s="817">
        <v>45538</v>
      </c>
      <c r="I1117" s="597">
        <v>57600</v>
      </c>
      <c r="J1117" s="359" t="s">
        <v>20345</v>
      </c>
      <c r="K1117" s="597">
        <v>0</v>
      </c>
      <c r="L1117" s="819"/>
      <c r="M1117" s="597">
        <v>0</v>
      </c>
      <c r="N1117" s="819"/>
      <c r="O1117" s="597">
        <v>0</v>
      </c>
      <c r="P1117" s="818"/>
      <c r="Q1117" s="597">
        <v>57600</v>
      </c>
    </row>
    <row r="1118" spans="1:17" s="1" customFormat="1" ht="11.45">
      <c r="A1118" s="597" t="s">
        <v>19474</v>
      </c>
      <c r="B1118" s="817">
        <v>45525</v>
      </c>
      <c r="C1118" s="597">
        <v>2024</v>
      </c>
      <c r="D1118" s="597" t="s">
        <v>17259</v>
      </c>
      <c r="E1118" s="597" t="s">
        <v>17260</v>
      </c>
      <c r="F1118" s="597" t="s">
        <v>20155</v>
      </c>
      <c r="G1118" s="597" t="s">
        <v>17261</v>
      </c>
      <c r="H1118" s="817">
        <v>45533</v>
      </c>
      <c r="I1118" s="597">
        <v>0</v>
      </c>
      <c r="J1118" s="819"/>
      <c r="K1118" s="597">
        <v>57600</v>
      </c>
      <c r="L1118" s="359" t="s">
        <v>20348</v>
      </c>
      <c r="M1118" s="597">
        <v>0</v>
      </c>
      <c r="N1118" s="819"/>
      <c r="O1118" s="597">
        <v>0</v>
      </c>
      <c r="P1118" s="818"/>
      <c r="Q1118" s="597">
        <v>57600</v>
      </c>
    </row>
    <row r="1119" spans="1:17" s="1" customFormat="1" ht="11.45">
      <c r="A1119" s="597" t="s">
        <v>19475</v>
      </c>
      <c r="B1119" s="817">
        <v>45526</v>
      </c>
      <c r="C1119" s="597">
        <v>2024</v>
      </c>
      <c r="D1119" s="597" t="s">
        <v>16904</v>
      </c>
      <c r="E1119" s="597" t="s">
        <v>16905</v>
      </c>
      <c r="F1119" s="597" t="s">
        <v>20155</v>
      </c>
      <c r="G1119" s="597" t="s">
        <v>20160</v>
      </c>
      <c r="H1119" s="817">
        <v>45532</v>
      </c>
      <c r="I1119" s="597">
        <v>0</v>
      </c>
      <c r="J1119" s="819"/>
      <c r="K1119" s="597">
        <v>18792</v>
      </c>
      <c r="L1119" s="360">
        <v>1</v>
      </c>
      <c r="M1119" s="597">
        <v>6000</v>
      </c>
      <c r="N1119" s="360">
        <v>1</v>
      </c>
      <c r="O1119" s="597">
        <v>0</v>
      </c>
      <c r="P1119" s="818"/>
      <c r="Q1119" s="597">
        <v>24792</v>
      </c>
    </row>
    <row r="1120" spans="1:17" s="1" customFormat="1" ht="11.45">
      <c r="A1120" s="597" t="s">
        <v>19476</v>
      </c>
      <c r="B1120" s="817">
        <v>45526</v>
      </c>
      <c r="C1120" s="597">
        <v>2024</v>
      </c>
      <c r="D1120" s="597" t="s">
        <v>16904</v>
      </c>
      <c r="E1120" s="597" t="s">
        <v>16905</v>
      </c>
      <c r="F1120" s="597" t="s">
        <v>20155</v>
      </c>
      <c r="G1120" s="597" t="s">
        <v>20160</v>
      </c>
      <c r="H1120" s="817">
        <v>45532</v>
      </c>
      <c r="I1120" s="597">
        <v>0</v>
      </c>
      <c r="J1120" s="819"/>
      <c r="K1120" s="597">
        <v>19368</v>
      </c>
      <c r="L1120" s="360">
        <v>1</v>
      </c>
      <c r="M1120" s="597">
        <v>4500</v>
      </c>
      <c r="N1120" s="360">
        <v>1</v>
      </c>
      <c r="O1120" s="597">
        <v>0</v>
      </c>
      <c r="P1120" s="818"/>
      <c r="Q1120" s="597">
        <v>23868</v>
      </c>
    </row>
    <row r="1121" spans="1:17" s="1" customFormat="1" ht="11.45">
      <c r="A1121" s="597" t="s">
        <v>19477</v>
      </c>
      <c r="B1121" s="817">
        <v>45530</v>
      </c>
      <c r="C1121" s="597">
        <v>2024</v>
      </c>
      <c r="D1121" s="597" t="s">
        <v>16560</v>
      </c>
      <c r="E1121" s="597" t="s">
        <v>16561</v>
      </c>
      <c r="F1121" s="597" t="s">
        <v>20155</v>
      </c>
      <c r="G1121" s="597" t="s">
        <v>17801</v>
      </c>
      <c r="H1121" s="817">
        <v>45533</v>
      </c>
      <c r="I1121" s="597">
        <v>0</v>
      </c>
      <c r="J1121" s="819"/>
      <c r="K1121" s="597">
        <v>0</v>
      </c>
      <c r="L1121" s="819"/>
      <c r="M1121" s="597">
        <v>165000</v>
      </c>
      <c r="N1121" s="359" t="s">
        <v>20347</v>
      </c>
      <c r="O1121" s="597">
        <v>0</v>
      </c>
      <c r="P1121" s="818"/>
      <c r="Q1121" s="597">
        <v>165000</v>
      </c>
    </row>
    <row r="1122" spans="1:17" s="1" customFormat="1" ht="11.45">
      <c r="A1122" s="597" t="s">
        <v>19478</v>
      </c>
      <c r="B1122" s="817">
        <v>45530</v>
      </c>
      <c r="C1122" s="597">
        <v>2024</v>
      </c>
      <c r="D1122" s="597" t="s">
        <v>17376</v>
      </c>
      <c r="E1122" s="597" t="s">
        <v>17377</v>
      </c>
      <c r="F1122" s="597" t="s">
        <v>20155</v>
      </c>
      <c r="G1122" s="597" t="s">
        <v>17939</v>
      </c>
      <c r="H1122" s="817">
        <v>45535</v>
      </c>
      <c r="I1122" s="597">
        <v>66504</v>
      </c>
      <c r="J1122" s="359" t="s">
        <v>20345</v>
      </c>
      <c r="K1122" s="597">
        <v>0</v>
      </c>
      <c r="L1122" s="819"/>
      <c r="M1122" s="597">
        <v>3005</v>
      </c>
      <c r="N1122" s="359" t="s">
        <v>20347</v>
      </c>
      <c r="O1122" s="597">
        <v>0</v>
      </c>
      <c r="P1122" s="818"/>
      <c r="Q1122" s="597">
        <v>69509</v>
      </c>
    </row>
    <row r="1123" spans="1:17" s="1" customFormat="1" ht="11.45">
      <c r="A1123" s="597" t="s">
        <v>19479</v>
      </c>
      <c r="B1123" s="817">
        <v>45530</v>
      </c>
      <c r="C1123" s="597">
        <v>2024</v>
      </c>
      <c r="D1123" s="597" t="s">
        <v>17376</v>
      </c>
      <c r="E1123" s="597" t="s">
        <v>17377</v>
      </c>
      <c r="F1123" s="597" t="s">
        <v>20155</v>
      </c>
      <c r="G1123" s="597" t="s">
        <v>17939</v>
      </c>
      <c r="H1123" s="817">
        <v>45561</v>
      </c>
      <c r="I1123" s="597">
        <v>100020</v>
      </c>
      <c r="J1123" s="359" t="s">
        <v>20345</v>
      </c>
      <c r="K1123" s="597">
        <v>0</v>
      </c>
      <c r="L1123" s="819"/>
      <c r="M1123" s="597">
        <v>0</v>
      </c>
      <c r="N1123" s="819"/>
      <c r="O1123" s="597">
        <v>0</v>
      </c>
      <c r="P1123" s="818"/>
      <c r="Q1123" s="597">
        <v>100020</v>
      </c>
    </row>
    <row r="1124" spans="1:17" s="1" customFormat="1" ht="11.45">
      <c r="A1124" s="597" t="s">
        <v>19480</v>
      </c>
      <c r="B1124" s="817">
        <v>45530</v>
      </c>
      <c r="C1124" s="597">
        <v>2024</v>
      </c>
      <c r="D1124" s="597" t="s">
        <v>16560</v>
      </c>
      <c r="E1124" s="597" t="s">
        <v>16561</v>
      </c>
      <c r="F1124" s="597" t="s">
        <v>20155</v>
      </c>
      <c r="G1124" s="597" t="s">
        <v>17801</v>
      </c>
      <c r="H1124" s="817">
        <v>45535</v>
      </c>
      <c r="I1124" s="597">
        <v>0</v>
      </c>
      <c r="J1124" s="819"/>
      <c r="K1124" s="597">
        <v>0</v>
      </c>
      <c r="L1124" s="819"/>
      <c r="M1124" s="597">
        <v>165000</v>
      </c>
      <c r="N1124" s="359" t="s">
        <v>20347</v>
      </c>
      <c r="O1124" s="597">
        <v>0</v>
      </c>
      <c r="P1124" s="818"/>
      <c r="Q1124" s="597">
        <v>165000</v>
      </c>
    </row>
    <row r="1125" spans="1:17" s="1" customFormat="1" ht="11.45">
      <c r="A1125" s="597" t="s">
        <v>19481</v>
      </c>
      <c r="B1125" s="817">
        <v>45530</v>
      </c>
      <c r="C1125" s="597">
        <v>2024</v>
      </c>
      <c r="D1125" s="597" t="s">
        <v>17278</v>
      </c>
      <c r="E1125" s="597" t="s">
        <v>17279</v>
      </c>
      <c r="F1125" s="597" t="s">
        <v>20155</v>
      </c>
      <c r="G1125" s="597" t="s">
        <v>20173</v>
      </c>
      <c r="H1125" s="817">
        <v>45535</v>
      </c>
      <c r="I1125" s="597">
        <v>21600</v>
      </c>
      <c r="J1125" s="359" t="s">
        <v>20345</v>
      </c>
      <c r="K1125" s="597">
        <v>111360</v>
      </c>
      <c r="L1125" s="359" t="s">
        <v>20348</v>
      </c>
      <c r="M1125" s="597">
        <v>139200</v>
      </c>
      <c r="N1125" s="359" t="s">
        <v>20347</v>
      </c>
      <c r="O1125" s="597">
        <v>0</v>
      </c>
      <c r="P1125" s="818"/>
      <c r="Q1125" s="597">
        <v>272160</v>
      </c>
    </row>
    <row r="1126" spans="1:17" s="1" customFormat="1" ht="11.45">
      <c r="A1126" s="597" t="s">
        <v>19482</v>
      </c>
      <c r="B1126" s="817">
        <v>45530</v>
      </c>
      <c r="C1126" s="597">
        <v>2024</v>
      </c>
      <c r="D1126" s="597" t="s">
        <v>17304</v>
      </c>
      <c r="E1126" s="597" t="s">
        <v>17305</v>
      </c>
      <c r="F1126" s="597" t="s">
        <v>20155</v>
      </c>
      <c r="G1126" s="597" t="s">
        <v>17238</v>
      </c>
      <c r="H1126" s="817">
        <v>45535</v>
      </c>
      <c r="I1126" s="597">
        <v>0</v>
      </c>
      <c r="J1126" s="819"/>
      <c r="K1126" s="597">
        <v>0</v>
      </c>
      <c r="L1126" s="819"/>
      <c r="M1126" s="597">
        <v>23608</v>
      </c>
      <c r="N1126" s="360">
        <v>1</v>
      </c>
      <c r="O1126" s="597">
        <v>0</v>
      </c>
      <c r="P1126" s="818"/>
      <c r="Q1126" s="597">
        <v>23608</v>
      </c>
    </row>
    <row r="1127" spans="1:17" s="1" customFormat="1" ht="11.45">
      <c r="A1127" s="597" t="s">
        <v>19483</v>
      </c>
      <c r="B1127" s="817">
        <v>45530</v>
      </c>
      <c r="C1127" s="597">
        <v>2024</v>
      </c>
      <c r="D1127" s="597" t="s">
        <v>17304</v>
      </c>
      <c r="E1127" s="597" t="s">
        <v>17305</v>
      </c>
      <c r="F1127" s="597" t="s">
        <v>20155</v>
      </c>
      <c r="G1127" s="597" t="s">
        <v>17954</v>
      </c>
      <c r="H1127" s="817">
        <v>45535</v>
      </c>
      <c r="I1127" s="597">
        <v>2500</v>
      </c>
      <c r="J1127" s="360">
        <v>1</v>
      </c>
      <c r="K1127" s="597">
        <v>17150</v>
      </c>
      <c r="L1127" s="360">
        <v>1</v>
      </c>
      <c r="M1127" s="597">
        <v>4320</v>
      </c>
      <c r="N1127" s="360">
        <v>1</v>
      </c>
      <c r="O1127" s="597">
        <v>1400</v>
      </c>
      <c r="P1127" s="360">
        <v>1</v>
      </c>
      <c r="Q1127" s="597">
        <v>25370</v>
      </c>
    </row>
    <row r="1128" spans="1:17" s="1" customFormat="1" ht="11.45">
      <c r="A1128" s="597" t="s">
        <v>19484</v>
      </c>
      <c r="B1128" s="817">
        <v>45530</v>
      </c>
      <c r="C1128" s="597">
        <v>2024</v>
      </c>
      <c r="D1128" s="597" t="s">
        <v>17299</v>
      </c>
      <c r="E1128" s="597" t="s">
        <v>17300</v>
      </c>
      <c r="F1128" s="597" t="s">
        <v>20155</v>
      </c>
      <c r="G1128" s="597" t="s">
        <v>20321</v>
      </c>
      <c r="H1128" s="817">
        <v>45534</v>
      </c>
      <c r="I1128" s="597">
        <v>96000</v>
      </c>
      <c r="J1128" s="359" t="s">
        <v>20345</v>
      </c>
      <c r="K1128" s="597">
        <v>0</v>
      </c>
      <c r="L1128" s="819"/>
      <c r="M1128" s="597">
        <v>0</v>
      </c>
      <c r="N1128" s="819"/>
      <c r="O1128" s="597">
        <v>0</v>
      </c>
      <c r="P1128" s="818"/>
      <c r="Q1128" s="597">
        <v>96000</v>
      </c>
    </row>
    <row r="1129" spans="1:17" s="1" customFormat="1" ht="11.45">
      <c r="A1129" s="597" t="s">
        <v>19485</v>
      </c>
      <c r="B1129" s="817">
        <v>45530</v>
      </c>
      <c r="C1129" s="597">
        <v>2024</v>
      </c>
      <c r="D1129" s="597" t="s">
        <v>16444</v>
      </c>
      <c r="E1129" s="597" t="s">
        <v>16445</v>
      </c>
      <c r="F1129" s="597" t="s">
        <v>20155</v>
      </c>
      <c r="G1129" s="597" t="s">
        <v>20173</v>
      </c>
      <c r="H1129" s="817">
        <v>45532</v>
      </c>
      <c r="I1129" s="597">
        <v>0</v>
      </c>
      <c r="J1129" s="819"/>
      <c r="K1129" s="597">
        <v>52040</v>
      </c>
      <c r="L1129" s="359" t="s">
        <v>20348</v>
      </c>
      <c r="M1129" s="597">
        <v>0</v>
      </c>
      <c r="N1129" s="819"/>
      <c r="O1129" s="597">
        <v>0</v>
      </c>
      <c r="P1129" s="818"/>
      <c r="Q1129" s="597">
        <v>52040</v>
      </c>
    </row>
    <row r="1130" spans="1:17" s="1" customFormat="1" ht="11.45">
      <c r="A1130" s="597" t="s">
        <v>19486</v>
      </c>
      <c r="B1130" s="817">
        <v>45532</v>
      </c>
      <c r="C1130" s="597">
        <v>2024</v>
      </c>
      <c r="D1130" s="597" t="s">
        <v>17017</v>
      </c>
      <c r="E1130" s="597" t="s">
        <v>17018</v>
      </c>
      <c r="F1130" s="597" t="s">
        <v>20155</v>
      </c>
      <c r="G1130" s="597" t="s">
        <v>20380</v>
      </c>
      <c r="H1130" s="817">
        <v>45546</v>
      </c>
      <c r="I1130" s="597">
        <v>0</v>
      </c>
      <c r="J1130" s="819"/>
      <c r="K1130" s="597">
        <v>5000</v>
      </c>
      <c r="L1130" s="360">
        <v>1</v>
      </c>
      <c r="M1130" s="597">
        <v>6000</v>
      </c>
      <c r="N1130" s="360">
        <v>1</v>
      </c>
      <c r="O1130" s="597">
        <v>5500</v>
      </c>
      <c r="P1130" s="360">
        <v>1</v>
      </c>
      <c r="Q1130" s="597">
        <v>16500</v>
      </c>
    </row>
    <row r="1131" spans="1:17" s="1" customFormat="1" ht="11.45">
      <c r="A1131" s="597" t="s">
        <v>19487</v>
      </c>
      <c r="B1131" s="817">
        <v>45532</v>
      </c>
      <c r="C1131" s="597">
        <v>2024</v>
      </c>
      <c r="D1131" s="597" t="s">
        <v>16838</v>
      </c>
      <c r="E1131" s="597" t="s">
        <v>16839</v>
      </c>
      <c r="F1131" s="597" t="s">
        <v>20155</v>
      </c>
      <c r="G1131" s="597" t="s">
        <v>17771</v>
      </c>
      <c r="H1131" s="817">
        <v>45541</v>
      </c>
      <c r="I1131" s="597">
        <v>0</v>
      </c>
      <c r="J1131" s="819"/>
      <c r="K1131" s="597">
        <v>22800</v>
      </c>
      <c r="L1131" s="359" t="s">
        <v>20346</v>
      </c>
      <c r="M1131" s="597">
        <v>0</v>
      </c>
      <c r="N1131" s="819"/>
      <c r="O1131" s="597">
        <v>0</v>
      </c>
      <c r="P1131" s="818"/>
      <c r="Q1131" s="597">
        <v>22800</v>
      </c>
    </row>
    <row r="1132" spans="1:17" s="1" customFormat="1" ht="11.45">
      <c r="A1132" s="597" t="s">
        <v>19488</v>
      </c>
      <c r="B1132" s="817">
        <v>45532</v>
      </c>
      <c r="C1132" s="597">
        <v>2024</v>
      </c>
      <c r="D1132" s="597" t="s">
        <v>16783</v>
      </c>
      <c r="E1132" s="597" t="s">
        <v>16784</v>
      </c>
      <c r="F1132" s="597" t="s">
        <v>20155</v>
      </c>
      <c r="G1132" s="597" t="s">
        <v>17939</v>
      </c>
      <c r="H1132" s="817">
        <v>45535</v>
      </c>
      <c r="I1132" s="597">
        <v>0</v>
      </c>
      <c r="J1132" s="819"/>
      <c r="K1132" s="597">
        <v>41424</v>
      </c>
      <c r="L1132" s="359" t="s">
        <v>20345</v>
      </c>
      <c r="M1132" s="597">
        <v>14400</v>
      </c>
      <c r="N1132" s="359" t="s">
        <v>20345</v>
      </c>
      <c r="O1132" s="597">
        <v>0</v>
      </c>
      <c r="P1132" s="818"/>
      <c r="Q1132" s="597">
        <v>55824</v>
      </c>
    </row>
    <row r="1133" spans="1:17" s="1" customFormat="1" ht="11.45">
      <c r="A1133" s="597" t="s">
        <v>19489</v>
      </c>
      <c r="B1133" s="817">
        <v>45534</v>
      </c>
      <c r="C1133" s="597">
        <v>2024</v>
      </c>
      <c r="D1133" s="597" t="s">
        <v>16972</v>
      </c>
      <c r="E1133" s="597" t="s">
        <v>16973</v>
      </c>
      <c r="F1133" s="597" t="s">
        <v>20155</v>
      </c>
      <c r="G1133" s="597" t="s">
        <v>17801</v>
      </c>
      <c r="H1133" s="817">
        <v>45540</v>
      </c>
      <c r="I1133" s="597">
        <v>0</v>
      </c>
      <c r="J1133" s="819"/>
      <c r="K1133" s="597">
        <v>0</v>
      </c>
      <c r="L1133" s="819"/>
      <c r="M1133" s="597">
        <v>330000</v>
      </c>
      <c r="N1133" s="359" t="s">
        <v>20347</v>
      </c>
      <c r="O1133" s="597">
        <v>0</v>
      </c>
      <c r="P1133" s="818"/>
      <c r="Q1133" s="597">
        <v>330000</v>
      </c>
    </row>
    <row r="1134" spans="1:17" s="1" customFormat="1" ht="11.45">
      <c r="A1134" s="597" t="s">
        <v>19490</v>
      </c>
      <c r="B1134" s="817">
        <v>45537</v>
      </c>
      <c r="C1134" s="597">
        <v>2024</v>
      </c>
      <c r="D1134" s="597" t="s">
        <v>17354</v>
      </c>
      <c r="E1134" s="597" t="s">
        <v>17355</v>
      </c>
      <c r="F1134" s="597" t="s">
        <v>20155</v>
      </c>
      <c r="G1134" s="597" t="s">
        <v>20321</v>
      </c>
      <c r="H1134" s="817">
        <v>45541</v>
      </c>
      <c r="I1134" s="597">
        <v>0</v>
      </c>
      <c r="J1134" s="819"/>
      <c r="K1134" s="597">
        <v>55000</v>
      </c>
      <c r="L1134" s="359" t="s">
        <v>20347</v>
      </c>
      <c r="M1134" s="597">
        <v>0</v>
      </c>
      <c r="N1134" s="819"/>
      <c r="O1134" s="597">
        <v>0</v>
      </c>
      <c r="P1134" s="818"/>
      <c r="Q1134" s="597">
        <v>55000</v>
      </c>
    </row>
    <row r="1135" spans="1:17" s="1" customFormat="1" ht="11.45">
      <c r="A1135" s="597" t="s">
        <v>19491</v>
      </c>
      <c r="B1135" s="817">
        <v>45538</v>
      </c>
      <c r="C1135" s="597">
        <v>2024</v>
      </c>
      <c r="D1135" s="597" t="s">
        <v>16444</v>
      </c>
      <c r="E1135" s="597" t="s">
        <v>16445</v>
      </c>
      <c r="F1135" s="597" t="s">
        <v>20155</v>
      </c>
      <c r="G1135" s="597" t="s">
        <v>18248</v>
      </c>
      <c r="H1135" s="817">
        <v>45540</v>
      </c>
      <c r="I1135" s="597">
        <v>19200</v>
      </c>
      <c r="J1135" s="359" t="s">
        <v>20345</v>
      </c>
      <c r="K1135" s="597">
        <v>0</v>
      </c>
      <c r="L1135" s="819"/>
      <c r="M1135" s="597">
        <v>0</v>
      </c>
      <c r="N1135" s="819"/>
      <c r="O1135" s="597">
        <v>0</v>
      </c>
      <c r="P1135" s="818"/>
      <c r="Q1135" s="597">
        <v>19200</v>
      </c>
    </row>
    <row r="1136" spans="1:17" s="1" customFormat="1" ht="11.45">
      <c r="A1136" s="597" t="s">
        <v>19492</v>
      </c>
      <c r="B1136" s="817">
        <v>45539</v>
      </c>
      <c r="C1136" s="597">
        <v>2024</v>
      </c>
      <c r="D1136" s="597" t="s">
        <v>17302</v>
      </c>
      <c r="E1136" s="597" t="s">
        <v>17303</v>
      </c>
      <c r="F1136" s="597" t="s">
        <v>20155</v>
      </c>
      <c r="G1136" s="597" t="s">
        <v>16394</v>
      </c>
      <c r="H1136" s="817">
        <v>45545</v>
      </c>
      <c r="I1136" s="597">
        <v>1600</v>
      </c>
      <c r="J1136" s="360">
        <v>1</v>
      </c>
      <c r="K1136" s="597">
        <v>19176</v>
      </c>
      <c r="L1136" s="360">
        <v>1</v>
      </c>
      <c r="M1136" s="597">
        <v>0</v>
      </c>
      <c r="N1136" s="819"/>
      <c r="O1136" s="597">
        <v>1680</v>
      </c>
      <c r="P1136" s="360">
        <v>1</v>
      </c>
      <c r="Q1136" s="597">
        <v>22456</v>
      </c>
    </row>
    <row r="1137" spans="1:17" s="1" customFormat="1" ht="11.45">
      <c r="A1137" s="597" t="s">
        <v>19493</v>
      </c>
      <c r="B1137" s="817">
        <v>45541</v>
      </c>
      <c r="C1137" s="597">
        <v>2024</v>
      </c>
      <c r="D1137" s="597" t="s">
        <v>17342</v>
      </c>
      <c r="E1137" s="597" t="s">
        <v>17343</v>
      </c>
      <c r="F1137" s="597" t="s">
        <v>20155</v>
      </c>
      <c r="G1137" s="597" t="s">
        <v>16394</v>
      </c>
      <c r="H1137" s="817">
        <v>45542</v>
      </c>
      <c r="I1137" s="597">
        <v>0</v>
      </c>
      <c r="J1137" s="819"/>
      <c r="K1137" s="597">
        <v>16248</v>
      </c>
      <c r="L1137" s="360">
        <v>1</v>
      </c>
      <c r="M1137" s="597">
        <v>7200</v>
      </c>
      <c r="N1137" s="360">
        <v>1</v>
      </c>
      <c r="O1137" s="597">
        <v>560</v>
      </c>
      <c r="P1137" s="360">
        <v>1</v>
      </c>
      <c r="Q1137" s="597">
        <v>24008</v>
      </c>
    </row>
    <row r="1138" spans="1:17" s="1" customFormat="1" ht="11.45">
      <c r="A1138" s="597" t="s">
        <v>19494</v>
      </c>
      <c r="B1138" s="817">
        <v>45541</v>
      </c>
      <c r="C1138" s="597">
        <v>2024</v>
      </c>
      <c r="D1138" s="597" t="s">
        <v>17342</v>
      </c>
      <c r="E1138" s="597" t="s">
        <v>17343</v>
      </c>
      <c r="F1138" s="597" t="s">
        <v>20155</v>
      </c>
      <c r="G1138" s="597" t="s">
        <v>16394</v>
      </c>
      <c r="H1138" s="817">
        <v>45542</v>
      </c>
      <c r="I1138" s="597">
        <v>0</v>
      </c>
      <c r="J1138" s="819"/>
      <c r="K1138" s="597">
        <v>14832</v>
      </c>
      <c r="L1138" s="360">
        <v>1</v>
      </c>
      <c r="M1138" s="597">
        <v>6000</v>
      </c>
      <c r="N1138" s="360">
        <v>1</v>
      </c>
      <c r="O1138" s="597">
        <v>3000</v>
      </c>
      <c r="P1138" s="360">
        <v>1</v>
      </c>
      <c r="Q1138" s="597">
        <v>23832</v>
      </c>
    </row>
    <row r="1139" spans="1:17" s="1" customFormat="1" ht="11.45">
      <c r="A1139" s="597" t="s">
        <v>19495</v>
      </c>
      <c r="B1139" s="817">
        <v>45541</v>
      </c>
      <c r="C1139" s="597">
        <v>2024</v>
      </c>
      <c r="D1139" s="597" t="s">
        <v>16972</v>
      </c>
      <c r="E1139" s="597" t="s">
        <v>16973</v>
      </c>
      <c r="F1139" s="597" t="s">
        <v>20155</v>
      </c>
      <c r="G1139" s="597" t="s">
        <v>17801</v>
      </c>
      <c r="H1139" s="817">
        <v>45547</v>
      </c>
      <c r="I1139" s="597">
        <v>0</v>
      </c>
      <c r="J1139" s="819"/>
      <c r="K1139" s="597">
        <v>0</v>
      </c>
      <c r="L1139" s="819"/>
      <c r="M1139" s="597">
        <v>275000</v>
      </c>
      <c r="N1139" s="359" t="s">
        <v>20347</v>
      </c>
      <c r="O1139" s="597">
        <v>0</v>
      </c>
      <c r="P1139" s="818"/>
      <c r="Q1139" s="597">
        <v>275000</v>
      </c>
    </row>
    <row r="1140" spans="1:17" s="1" customFormat="1" ht="11.45">
      <c r="A1140" s="597" t="s">
        <v>19496</v>
      </c>
      <c r="B1140" s="817">
        <v>45546</v>
      </c>
      <c r="C1140" s="597">
        <v>2024</v>
      </c>
      <c r="D1140" s="597" t="s">
        <v>16904</v>
      </c>
      <c r="E1140" s="597" t="s">
        <v>16905</v>
      </c>
      <c r="F1140" s="597" t="s">
        <v>20155</v>
      </c>
      <c r="G1140" s="597" t="s">
        <v>20160</v>
      </c>
      <c r="H1140" s="817">
        <v>45548</v>
      </c>
      <c r="I1140" s="597">
        <v>0</v>
      </c>
      <c r="J1140" s="819"/>
      <c r="K1140" s="597">
        <v>18792</v>
      </c>
      <c r="L1140" s="360">
        <v>1</v>
      </c>
      <c r="M1140" s="597">
        <v>6000</v>
      </c>
      <c r="N1140" s="360">
        <v>1</v>
      </c>
      <c r="O1140" s="597">
        <v>0</v>
      </c>
      <c r="P1140" s="818"/>
      <c r="Q1140" s="597">
        <v>24792</v>
      </c>
    </row>
    <row r="1141" spans="1:17" s="1" customFormat="1" ht="11.45">
      <c r="A1141" s="597" t="s">
        <v>19497</v>
      </c>
      <c r="B1141" s="817">
        <v>45546</v>
      </c>
      <c r="C1141" s="597">
        <v>2024</v>
      </c>
      <c r="D1141" s="597" t="s">
        <v>16823</v>
      </c>
      <c r="E1141" s="597" t="s">
        <v>16824</v>
      </c>
      <c r="F1141" s="597" t="s">
        <v>20155</v>
      </c>
      <c r="G1141" s="597" t="s">
        <v>17965</v>
      </c>
      <c r="H1141" s="817">
        <v>45553</v>
      </c>
      <c r="I1141" s="597">
        <v>7800</v>
      </c>
      <c r="J1141" s="359" t="s">
        <v>20345</v>
      </c>
      <c r="K1141" s="597">
        <v>20220</v>
      </c>
      <c r="L1141" s="359" t="s">
        <v>20346</v>
      </c>
      <c r="M1141" s="597">
        <v>0</v>
      </c>
      <c r="N1141" s="819"/>
      <c r="O1141" s="597">
        <v>0</v>
      </c>
      <c r="P1141" s="818"/>
      <c r="Q1141" s="597">
        <v>28020</v>
      </c>
    </row>
    <row r="1142" spans="1:17" s="1" customFormat="1" ht="11.45">
      <c r="A1142" s="597" t="s">
        <v>19498</v>
      </c>
      <c r="B1142" s="817">
        <v>45546</v>
      </c>
      <c r="C1142" s="597">
        <v>2024</v>
      </c>
      <c r="D1142" s="597" t="s">
        <v>16838</v>
      </c>
      <c r="E1142" s="597" t="s">
        <v>16839</v>
      </c>
      <c r="F1142" s="597" t="s">
        <v>20155</v>
      </c>
      <c r="G1142" s="597" t="s">
        <v>20321</v>
      </c>
      <c r="H1142" s="817">
        <v>45555</v>
      </c>
      <c r="I1142" s="597">
        <v>0</v>
      </c>
      <c r="J1142" s="819"/>
      <c r="K1142" s="597">
        <v>112500</v>
      </c>
      <c r="L1142" s="359" t="s">
        <v>20346</v>
      </c>
      <c r="M1142" s="597">
        <v>0</v>
      </c>
      <c r="N1142" s="819"/>
      <c r="O1142" s="597">
        <v>0</v>
      </c>
      <c r="P1142" s="818"/>
      <c r="Q1142" s="597">
        <v>112500</v>
      </c>
    </row>
    <row r="1143" spans="1:17" s="1" customFormat="1" ht="11.45">
      <c r="A1143" s="597" t="s">
        <v>19499</v>
      </c>
      <c r="B1143" s="817">
        <v>45546</v>
      </c>
      <c r="C1143" s="597">
        <v>2024</v>
      </c>
      <c r="D1143" s="597" t="s">
        <v>17309</v>
      </c>
      <c r="E1143" s="597" t="s">
        <v>17310</v>
      </c>
      <c r="F1143" s="597" t="s">
        <v>20155</v>
      </c>
      <c r="G1143" s="597" t="s">
        <v>17854</v>
      </c>
      <c r="H1143" s="817">
        <v>45559</v>
      </c>
      <c r="I1143" s="597">
        <v>112000</v>
      </c>
      <c r="J1143" s="359" t="s">
        <v>20345</v>
      </c>
      <c r="K1143" s="597">
        <v>0</v>
      </c>
      <c r="L1143" s="819"/>
      <c r="M1143" s="597">
        <v>0</v>
      </c>
      <c r="N1143" s="819"/>
      <c r="O1143" s="597">
        <v>0</v>
      </c>
      <c r="P1143" s="818"/>
      <c r="Q1143" s="597">
        <v>112000</v>
      </c>
    </row>
    <row r="1144" spans="1:17" s="1" customFormat="1" ht="11.45">
      <c r="A1144" s="597" t="s">
        <v>19500</v>
      </c>
      <c r="B1144" s="817">
        <v>45546</v>
      </c>
      <c r="C1144" s="597">
        <v>2024</v>
      </c>
      <c r="D1144" s="597" t="s">
        <v>17299</v>
      </c>
      <c r="E1144" s="597" t="s">
        <v>17300</v>
      </c>
      <c r="F1144" s="597" t="s">
        <v>20155</v>
      </c>
      <c r="G1144" s="597" t="s">
        <v>20321</v>
      </c>
      <c r="H1144" s="817">
        <v>45548</v>
      </c>
      <c r="I1144" s="597">
        <v>57600</v>
      </c>
      <c r="J1144" s="359" t="s">
        <v>20345</v>
      </c>
      <c r="K1144" s="597">
        <v>0</v>
      </c>
      <c r="L1144" s="819"/>
      <c r="M1144" s="597">
        <v>0</v>
      </c>
      <c r="N1144" s="819"/>
      <c r="O1144" s="597">
        <v>0</v>
      </c>
      <c r="P1144" s="818"/>
      <c r="Q1144" s="597">
        <v>57600</v>
      </c>
    </row>
    <row r="1145" spans="1:17" s="1" customFormat="1" ht="11.45">
      <c r="A1145" s="597" t="s">
        <v>19501</v>
      </c>
      <c r="B1145" s="817">
        <v>45547</v>
      </c>
      <c r="C1145" s="597">
        <v>2024</v>
      </c>
      <c r="D1145" s="597" t="s">
        <v>17354</v>
      </c>
      <c r="E1145" s="597" t="s">
        <v>17355</v>
      </c>
      <c r="F1145" s="597" t="s">
        <v>20155</v>
      </c>
      <c r="G1145" s="597" t="s">
        <v>20321</v>
      </c>
      <c r="H1145" s="817">
        <v>45558</v>
      </c>
      <c r="I1145" s="597">
        <v>0</v>
      </c>
      <c r="J1145" s="819"/>
      <c r="K1145" s="597">
        <v>0</v>
      </c>
      <c r="L1145" s="819"/>
      <c r="M1145" s="597">
        <v>104000</v>
      </c>
      <c r="N1145" s="359" t="s">
        <v>20347</v>
      </c>
      <c r="O1145" s="597">
        <v>0</v>
      </c>
      <c r="P1145" s="818"/>
      <c r="Q1145" s="597">
        <v>104000</v>
      </c>
    </row>
    <row r="1146" spans="1:17" s="1" customFormat="1" ht="11.45">
      <c r="A1146" s="597" t="s">
        <v>19502</v>
      </c>
      <c r="B1146" s="817">
        <v>45547</v>
      </c>
      <c r="C1146" s="597">
        <v>2024</v>
      </c>
      <c r="D1146" s="597" t="s">
        <v>16444</v>
      </c>
      <c r="E1146" s="597" t="s">
        <v>16445</v>
      </c>
      <c r="F1146" s="597" t="s">
        <v>20155</v>
      </c>
      <c r="G1146" s="597" t="s">
        <v>18248</v>
      </c>
      <c r="H1146" s="817">
        <v>45554</v>
      </c>
      <c r="I1146" s="597">
        <v>38400</v>
      </c>
      <c r="J1146" s="359" t="s">
        <v>20345</v>
      </c>
      <c r="K1146" s="597">
        <v>0</v>
      </c>
      <c r="L1146" s="819"/>
      <c r="M1146" s="597">
        <v>0</v>
      </c>
      <c r="N1146" s="819"/>
      <c r="O1146" s="597">
        <v>0</v>
      </c>
      <c r="P1146" s="818"/>
      <c r="Q1146" s="597">
        <v>38400</v>
      </c>
    </row>
    <row r="1147" spans="1:17" s="1" customFormat="1" ht="11.45">
      <c r="A1147" s="597" t="s">
        <v>19503</v>
      </c>
      <c r="B1147" s="817">
        <v>45548</v>
      </c>
      <c r="C1147" s="597">
        <v>2024</v>
      </c>
      <c r="D1147" s="597" t="s">
        <v>17209</v>
      </c>
      <c r="E1147" s="597" t="s">
        <v>17210</v>
      </c>
      <c r="F1147" s="597" t="s">
        <v>20155</v>
      </c>
      <c r="G1147" s="597" t="s">
        <v>20168</v>
      </c>
      <c r="H1147" s="817">
        <v>45561</v>
      </c>
      <c r="I1147" s="597">
        <v>0</v>
      </c>
      <c r="J1147" s="819"/>
      <c r="K1147" s="597">
        <v>19680</v>
      </c>
      <c r="L1147" s="360">
        <v>1</v>
      </c>
      <c r="M1147" s="597">
        <v>0</v>
      </c>
      <c r="N1147" s="819"/>
      <c r="O1147" s="597">
        <v>3000</v>
      </c>
      <c r="P1147" s="360">
        <v>1</v>
      </c>
      <c r="Q1147" s="597">
        <v>22680</v>
      </c>
    </row>
    <row r="1148" spans="1:17" s="1" customFormat="1" ht="11.45">
      <c r="A1148" s="597" t="s">
        <v>19504</v>
      </c>
      <c r="B1148" s="817">
        <v>45554</v>
      </c>
      <c r="C1148" s="597">
        <v>2024</v>
      </c>
      <c r="D1148" s="597" t="s">
        <v>17342</v>
      </c>
      <c r="E1148" s="597" t="s">
        <v>17343</v>
      </c>
      <c r="F1148" s="597" t="s">
        <v>20155</v>
      </c>
      <c r="G1148" s="597" t="s">
        <v>16394</v>
      </c>
      <c r="H1148" s="817">
        <v>45560</v>
      </c>
      <c r="I1148" s="597">
        <v>0</v>
      </c>
      <c r="J1148" s="819"/>
      <c r="K1148" s="597">
        <v>17112</v>
      </c>
      <c r="L1148" s="360">
        <v>1</v>
      </c>
      <c r="M1148" s="597">
        <v>6000</v>
      </c>
      <c r="N1148" s="360">
        <v>1</v>
      </c>
      <c r="O1148" s="597">
        <v>0</v>
      </c>
      <c r="P1148" s="818"/>
      <c r="Q1148" s="597">
        <v>23112</v>
      </c>
    </row>
    <row r="1149" spans="1:17" s="1" customFormat="1" ht="11.45">
      <c r="A1149" s="597" t="s">
        <v>19505</v>
      </c>
      <c r="B1149" s="817">
        <v>45554</v>
      </c>
      <c r="C1149" s="597">
        <v>2024</v>
      </c>
      <c r="D1149" s="597" t="s">
        <v>17384</v>
      </c>
      <c r="E1149" s="597" t="s">
        <v>17385</v>
      </c>
      <c r="F1149" s="597" t="s">
        <v>20155</v>
      </c>
      <c r="G1149" s="597" t="s">
        <v>18248</v>
      </c>
      <c r="H1149" s="817">
        <v>45559</v>
      </c>
      <c r="I1149" s="597">
        <v>38400</v>
      </c>
      <c r="J1149" s="820" t="s">
        <v>20356</v>
      </c>
      <c r="K1149" s="597">
        <v>0</v>
      </c>
      <c r="L1149" s="819"/>
      <c r="M1149" s="597">
        <v>0</v>
      </c>
      <c r="N1149" s="819"/>
      <c r="O1149" s="597">
        <v>0</v>
      </c>
      <c r="P1149" s="818"/>
      <c r="Q1149" s="597">
        <v>38400</v>
      </c>
    </row>
    <row r="1150" spans="1:17" s="1" customFormat="1" ht="11.45">
      <c r="A1150" s="597" t="s">
        <v>19506</v>
      </c>
      <c r="B1150" s="817">
        <v>45555</v>
      </c>
      <c r="C1150" s="597">
        <v>2024</v>
      </c>
      <c r="D1150" s="597" t="s">
        <v>16904</v>
      </c>
      <c r="E1150" s="597" t="s">
        <v>16905</v>
      </c>
      <c r="F1150" s="597" t="s">
        <v>20155</v>
      </c>
      <c r="G1150" s="597" t="s">
        <v>20160</v>
      </c>
      <c r="H1150" s="817">
        <v>45561</v>
      </c>
      <c r="I1150" s="597">
        <v>0</v>
      </c>
      <c r="J1150" s="819"/>
      <c r="K1150" s="597">
        <v>18144</v>
      </c>
      <c r="L1150" s="360">
        <v>1</v>
      </c>
      <c r="M1150" s="597">
        <v>7500</v>
      </c>
      <c r="N1150" s="360">
        <v>1</v>
      </c>
      <c r="O1150" s="597">
        <v>0</v>
      </c>
      <c r="P1150" s="818"/>
      <c r="Q1150" s="597">
        <v>25644</v>
      </c>
    </row>
    <row r="1151" spans="1:17" s="1" customFormat="1" ht="11.45">
      <c r="A1151" s="597" t="s">
        <v>19507</v>
      </c>
      <c r="B1151" s="817">
        <v>45555</v>
      </c>
      <c r="C1151" s="597">
        <v>2024</v>
      </c>
      <c r="D1151" s="597" t="s">
        <v>16444</v>
      </c>
      <c r="E1151" s="597" t="s">
        <v>16445</v>
      </c>
      <c r="F1151" s="597" t="s">
        <v>20155</v>
      </c>
      <c r="G1151" s="597" t="s">
        <v>17801</v>
      </c>
      <c r="H1151" s="817">
        <v>45561</v>
      </c>
      <c r="I1151" s="597">
        <v>44016</v>
      </c>
      <c r="J1151" s="820" t="s">
        <v>20356</v>
      </c>
      <c r="K1151" s="597">
        <v>0</v>
      </c>
      <c r="L1151" s="819"/>
      <c r="M1151" s="597">
        <v>0</v>
      </c>
      <c r="N1151" s="819"/>
      <c r="O1151" s="597">
        <v>0</v>
      </c>
      <c r="P1151" s="818"/>
      <c r="Q1151" s="597">
        <v>44016</v>
      </c>
    </row>
    <row r="1152" spans="1:17" s="1" customFormat="1" ht="12.95" customHeight="1">
      <c r="A1152" s="597" t="s">
        <v>19508</v>
      </c>
      <c r="B1152" s="817">
        <v>45555</v>
      </c>
      <c r="C1152" s="597">
        <v>2024</v>
      </c>
      <c r="D1152" s="597" t="s">
        <v>16444</v>
      </c>
      <c r="E1152" s="597" t="s">
        <v>16445</v>
      </c>
      <c r="F1152" s="597" t="s">
        <v>20155</v>
      </c>
      <c r="G1152" s="597" t="s">
        <v>17801</v>
      </c>
      <c r="H1152" s="817">
        <v>45560</v>
      </c>
      <c r="I1152" s="597">
        <v>19600</v>
      </c>
      <c r="J1152" s="820" t="s">
        <v>20356</v>
      </c>
      <c r="K1152" s="597">
        <v>36240</v>
      </c>
      <c r="L1152" s="359" t="s">
        <v>20348</v>
      </c>
      <c r="M1152" s="597">
        <v>0</v>
      </c>
      <c r="N1152" s="819"/>
      <c r="O1152" s="597">
        <v>0</v>
      </c>
      <c r="P1152" s="818"/>
      <c r="Q1152" s="597">
        <v>55840</v>
      </c>
    </row>
    <row r="1153" spans="1:17" s="1" customFormat="1" ht="12.95" customHeight="1">
      <c r="A1153" s="505" t="s">
        <v>19509</v>
      </c>
      <c r="B1153" s="821">
        <v>45555</v>
      </c>
      <c r="C1153" s="505">
        <v>2024</v>
      </c>
      <c r="D1153" s="505" t="s">
        <v>17304</v>
      </c>
      <c r="E1153" s="505" t="s">
        <v>17305</v>
      </c>
      <c r="F1153" s="505" t="s">
        <v>20155</v>
      </c>
      <c r="G1153" s="505" t="s">
        <v>17954</v>
      </c>
      <c r="H1153" s="821">
        <v>45611</v>
      </c>
      <c r="I1153" s="505">
        <v>0</v>
      </c>
      <c r="J1153" s="820"/>
      <c r="K1153" s="505">
        <v>11715</v>
      </c>
      <c r="L1153" s="360">
        <v>1</v>
      </c>
      <c r="M1153" s="505">
        <v>3280</v>
      </c>
      <c r="N1153" s="360">
        <v>1</v>
      </c>
      <c r="O1153" s="505">
        <v>800</v>
      </c>
      <c r="P1153" s="360">
        <v>1</v>
      </c>
      <c r="Q1153" s="505">
        <v>15795</v>
      </c>
    </row>
    <row r="1154" spans="1:17" s="1" customFormat="1" ht="12.95" customHeight="1">
      <c r="A1154" s="505" t="s">
        <v>19510</v>
      </c>
      <c r="B1154" s="821">
        <v>45559</v>
      </c>
      <c r="C1154" s="505">
        <v>2024</v>
      </c>
      <c r="D1154" s="505" t="s">
        <v>16957</v>
      </c>
      <c r="E1154" s="505" t="s">
        <v>16958</v>
      </c>
      <c r="F1154" s="505" t="s">
        <v>20155</v>
      </c>
      <c r="G1154" s="505" t="s">
        <v>20161</v>
      </c>
      <c r="H1154" s="821">
        <v>45563</v>
      </c>
      <c r="I1154" s="505">
        <v>40300</v>
      </c>
      <c r="J1154" s="820" t="s">
        <v>20356</v>
      </c>
      <c r="K1154" s="505">
        <v>0</v>
      </c>
      <c r="L1154" s="820"/>
      <c r="M1154" s="505">
        <v>0</v>
      </c>
      <c r="N1154" s="820"/>
      <c r="O1154" s="505">
        <v>0</v>
      </c>
      <c r="P1154" s="822"/>
      <c r="Q1154" s="505">
        <v>40300</v>
      </c>
    </row>
    <row r="1155" spans="1:17" s="1" customFormat="1" ht="12.95" customHeight="1">
      <c r="A1155" s="505" t="s">
        <v>19511</v>
      </c>
      <c r="B1155" s="821">
        <v>45560</v>
      </c>
      <c r="C1155" s="505">
        <v>2024</v>
      </c>
      <c r="D1155" s="505" t="s">
        <v>16972</v>
      </c>
      <c r="E1155" s="505" t="s">
        <v>16973</v>
      </c>
      <c r="F1155" s="505" t="s">
        <v>20155</v>
      </c>
      <c r="G1155" s="505" t="s">
        <v>17801</v>
      </c>
      <c r="H1155" s="821">
        <v>45567</v>
      </c>
      <c r="I1155" s="505">
        <v>0</v>
      </c>
      <c r="J1155" s="820"/>
      <c r="K1155" s="505">
        <v>0</v>
      </c>
      <c r="L1155" s="820"/>
      <c r="M1155" s="505">
        <v>275000</v>
      </c>
      <c r="N1155" s="359" t="s">
        <v>20347</v>
      </c>
      <c r="O1155" s="505">
        <v>0</v>
      </c>
      <c r="P1155" s="822"/>
      <c r="Q1155" s="505">
        <v>275000</v>
      </c>
    </row>
    <row r="1156" spans="1:17" s="1" customFormat="1" ht="11.45">
      <c r="A1156" s="505" t="s">
        <v>19512</v>
      </c>
      <c r="B1156" s="821">
        <v>45561</v>
      </c>
      <c r="C1156" s="505">
        <v>2024</v>
      </c>
      <c r="D1156" s="505" t="s">
        <v>17299</v>
      </c>
      <c r="E1156" s="505" t="s">
        <v>17300</v>
      </c>
      <c r="F1156" s="505" t="s">
        <v>20155</v>
      </c>
      <c r="G1156" s="505" t="s">
        <v>20321</v>
      </c>
      <c r="H1156" s="821">
        <v>45594</v>
      </c>
      <c r="I1156" s="505">
        <v>0</v>
      </c>
      <c r="J1156" s="820"/>
      <c r="K1156" s="505">
        <v>0</v>
      </c>
      <c r="L1156" s="820"/>
      <c r="M1156" s="505">
        <v>52000</v>
      </c>
      <c r="N1156" s="359" t="s">
        <v>20347</v>
      </c>
      <c r="O1156" s="505">
        <v>0</v>
      </c>
      <c r="P1156" s="822"/>
      <c r="Q1156" s="505">
        <v>52000</v>
      </c>
    </row>
    <row r="1157" spans="1:17" s="1" customFormat="1" ht="11.45">
      <c r="A1157" s="505" t="s">
        <v>19513</v>
      </c>
      <c r="B1157" s="821">
        <v>45561</v>
      </c>
      <c r="C1157" s="505">
        <v>2024</v>
      </c>
      <c r="D1157" s="505" t="s">
        <v>17299</v>
      </c>
      <c r="E1157" s="505" t="s">
        <v>17300</v>
      </c>
      <c r="F1157" s="505" t="s">
        <v>20155</v>
      </c>
      <c r="G1157" s="505" t="s">
        <v>20321</v>
      </c>
      <c r="H1157" s="821">
        <v>45610</v>
      </c>
      <c r="I1157" s="505">
        <v>0</v>
      </c>
      <c r="J1157" s="820"/>
      <c r="K1157" s="505">
        <v>0</v>
      </c>
      <c r="L1157" s="820"/>
      <c r="M1157" s="505">
        <v>338000</v>
      </c>
      <c r="N1157" s="359" t="s">
        <v>20347</v>
      </c>
      <c r="O1157" s="505">
        <v>0</v>
      </c>
      <c r="P1157" s="822"/>
      <c r="Q1157" s="505">
        <v>338000</v>
      </c>
    </row>
    <row r="1158" spans="1:17" s="1" customFormat="1" ht="12.95" customHeight="1">
      <c r="A1158" s="505" t="s">
        <v>19514</v>
      </c>
      <c r="B1158" s="821">
        <v>45562</v>
      </c>
      <c r="C1158" s="505">
        <v>2024</v>
      </c>
      <c r="D1158" s="505" t="s">
        <v>16444</v>
      </c>
      <c r="E1158" s="505" t="s">
        <v>16445</v>
      </c>
      <c r="F1158" s="505" t="s">
        <v>20155</v>
      </c>
      <c r="G1158" s="505" t="s">
        <v>20173</v>
      </c>
      <c r="H1158" s="821">
        <v>45574</v>
      </c>
      <c r="I1158" s="505">
        <v>0</v>
      </c>
      <c r="J1158" s="820"/>
      <c r="K1158" s="505">
        <v>56000</v>
      </c>
      <c r="L1158" s="359" t="s">
        <v>20348</v>
      </c>
      <c r="M1158" s="505">
        <v>0</v>
      </c>
      <c r="N1158" s="820"/>
      <c r="O1158" s="505">
        <v>0</v>
      </c>
      <c r="P1158" s="822"/>
      <c r="Q1158" s="505">
        <v>56000</v>
      </c>
    </row>
    <row r="1159" spans="1:17" s="1" customFormat="1" ht="12.95" customHeight="1">
      <c r="A1159" s="505" t="s">
        <v>19515</v>
      </c>
      <c r="B1159" s="821">
        <v>45562</v>
      </c>
      <c r="C1159" s="505">
        <v>2024</v>
      </c>
      <c r="D1159" s="505" t="s">
        <v>16444</v>
      </c>
      <c r="E1159" s="505" t="s">
        <v>16445</v>
      </c>
      <c r="F1159" s="505" t="s">
        <v>20155</v>
      </c>
      <c r="G1159" s="505" t="s">
        <v>17771</v>
      </c>
      <c r="H1159" s="821">
        <v>45568</v>
      </c>
      <c r="I1159" s="505">
        <v>0</v>
      </c>
      <c r="J1159" s="820"/>
      <c r="K1159" s="505">
        <v>0</v>
      </c>
      <c r="L1159" s="820"/>
      <c r="M1159" s="505">
        <v>130000</v>
      </c>
      <c r="N1159" s="359" t="s">
        <v>20347</v>
      </c>
      <c r="O1159" s="505">
        <v>0</v>
      </c>
      <c r="P1159" s="822"/>
      <c r="Q1159" s="505">
        <v>130000</v>
      </c>
    </row>
    <row r="1160" spans="1:17" s="1" customFormat="1" ht="12.95" customHeight="1">
      <c r="A1160" s="505" t="s">
        <v>19516</v>
      </c>
      <c r="B1160" s="821">
        <v>45562</v>
      </c>
      <c r="C1160" s="505">
        <v>2024</v>
      </c>
      <c r="D1160" s="505" t="s">
        <v>16384</v>
      </c>
      <c r="E1160" s="505" t="s">
        <v>16385</v>
      </c>
      <c r="F1160" s="505" t="s">
        <v>20155</v>
      </c>
      <c r="G1160" s="505" t="s">
        <v>18248</v>
      </c>
      <c r="H1160" s="821">
        <v>45567</v>
      </c>
      <c r="I1160" s="505">
        <v>0</v>
      </c>
      <c r="J1160" s="820"/>
      <c r="K1160" s="505">
        <v>43200</v>
      </c>
      <c r="L1160" s="359" t="s">
        <v>20346</v>
      </c>
      <c r="M1160" s="505">
        <v>0</v>
      </c>
      <c r="N1160" s="820"/>
      <c r="O1160" s="505">
        <v>0</v>
      </c>
      <c r="P1160" s="822"/>
      <c r="Q1160" s="505">
        <v>43200</v>
      </c>
    </row>
    <row r="1161" spans="1:17" s="1" customFormat="1" ht="12.95" customHeight="1">
      <c r="A1161" s="505" t="s">
        <v>19517</v>
      </c>
      <c r="B1161" s="821">
        <v>45567</v>
      </c>
      <c r="C1161" s="505">
        <v>2024</v>
      </c>
      <c r="D1161" s="505" t="s">
        <v>17156</v>
      </c>
      <c r="E1161" s="505" t="s">
        <v>17157</v>
      </c>
      <c r="F1161" s="505" t="s">
        <v>20155</v>
      </c>
      <c r="G1161" s="505" t="s">
        <v>20161</v>
      </c>
      <c r="H1161" s="821">
        <v>45572</v>
      </c>
      <c r="I1161" s="505">
        <v>0</v>
      </c>
      <c r="J1161" s="820"/>
      <c r="K1161" s="505">
        <v>41000</v>
      </c>
      <c r="L1161" s="360">
        <v>1</v>
      </c>
      <c r="M1161" s="505">
        <v>0</v>
      </c>
      <c r="N1161" s="820"/>
      <c r="O1161" s="505">
        <v>0</v>
      </c>
      <c r="P1161" s="822"/>
      <c r="Q1161" s="505">
        <v>41000</v>
      </c>
    </row>
    <row r="1162" spans="1:17" s="1" customFormat="1" ht="12.95" customHeight="1">
      <c r="A1162" s="505" t="s">
        <v>19518</v>
      </c>
      <c r="B1162" s="821">
        <v>45567</v>
      </c>
      <c r="C1162" s="505">
        <v>2024</v>
      </c>
      <c r="D1162" s="505" t="s">
        <v>16384</v>
      </c>
      <c r="E1162" s="505" t="s">
        <v>16385</v>
      </c>
      <c r="F1162" s="505" t="s">
        <v>20155</v>
      </c>
      <c r="G1162" s="505" t="s">
        <v>17965</v>
      </c>
      <c r="H1162" s="821">
        <v>45574</v>
      </c>
      <c r="I1162" s="505">
        <v>38400</v>
      </c>
      <c r="J1162" s="820" t="s">
        <v>20356</v>
      </c>
      <c r="K1162" s="505">
        <v>0</v>
      </c>
      <c r="L1162" s="820"/>
      <c r="M1162" s="505">
        <v>0</v>
      </c>
      <c r="N1162" s="820"/>
      <c r="O1162" s="505">
        <v>0</v>
      </c>
      <c r="P1162" s="822"/>
      <c r="Q1162" s="505">
        <v>38400</v>
      </c>
    </row>
    <row r="1163" spans="1:17" s="1" customFormat="1" ht="12.95" customHeight="1">
      <c r="A1163" s="505" t="s">
        <v>19519</v>
      </c>
      <c r="B1163" s="821">
        <v>45567</v>
      </c>
      <c r="C1163" s="505">
        <v>2024</v>
      </c>
      <c r="D1163" s="505" t="s">
        <v>16384</v>
      </c>
      <c r="E1163" s="505" t="s">
        <v>16385</v>
      </c>
      <c r="F1163" s="505" t="s">
        <v>20155</v>
      </c>
      <c r="G1163" s="505" t="s">
        <v>17777</v>
      </c>
      <c r="H1163" s="821">
        <v>45579</v>
      </c>
      <c r="I1163" s="505">
        <v>0</v>
      </c>
      <c r="J1163" s="820"/>
      <c r="K1163" s="505">
        <v>65400</v>
      </c>
      <c r="L1163" s="359" t="s">
        <v>20346</v>
      </c>
      <c r="M1163" s="505">
        <v>0</v>
      </c>
      <c r="N1163" s="820"/>
      <c r="O1163" s="505">
        <v>3000</v>
      </c>
      <c r="P1163" s="360">
        <v>1</v>
      </c>
      <c r="Q1163" s="505">
        <v>68400</v>
      </c>
    </row>
    <row r="1164" spans="1:17" s="1" customFormat="1" ht="12.95" customHeight="1">
      <c r="A1164" s="505" t="s">
        <v>19520</v>
      </c>
      <c r="B1164" s="821">
        <v>45567</v>
      </c>
      <c r="C1164" s="505">
        <v>2024</v>
      </c>
      <c r="D1164" s="505" t="s">
        <v>17342</v>
      </c>
      <c r="E1164" s="505" t="s">
        <v>17343</v>
      </c>
      <c r="F1164" s="505" t="s">
        <v>20155</v>
      </c>
      <c r="G1164" s="505" t="s">
        <v>16394</v>
      </c>
      <c r="H1164" s="821">
        <v>45569</v>
      </c>
      <c r="I1164" s="505">
        <v>0</v>
      </c>
      <c r="J1164" s="820"/>
      <c r="K1164" s="505">
        <v>17568</v>
      </c>
      <c r="L1164" s="360">
        <v>1</v>
      </c>
      <c r="M1164" s="505">
        <v>3600</v>
      </c>
      <c r="N1164" s="360">
        <v>1</v>
      </c>
      <c r="O1164" s="505">
        <v>2800</v>
      </c>
      <c r="P1164" s="360">
        <v>1</v>
      </c>
      <c r="Q1164" s="505">
        <v>23968</v>
      </c>
    </row>
    <row r="1165" spans="1:17" s="1" customFormat="1" ht="12.95" customHeight="1">
      <c r="A1165" s="505" t="s">
        <v>19521</v>
      </c>
      <c r="B1165" s="821">
        <v>45572</v>
      </c>
      <c r="C1165" s="505">
        <v>2024</v>
      </c>
      <c r="D1165" s="505" t="s">
        <v>17259</v>
      </c>
      <c r="E1165" s="505" t="s">
        <v>17260</v>
      </c>
      <c r="F1165" s="505" t="s">
        <v>20155</v>
      </c>
      <c r="G1165" s="505" t="s">
        <v>17261</v>
      </c>
      <c r="H1165" s="821">
        <v>45575</v>
      </c>
      <c r="I1165" s="505">
        <v>0</v>
      </c>
      <c r="J1165" s="820"/>
      <c r="K1165" s="505">
        <v>55400</v>
      </c>
      <c r="L1165" s="359" t="s">
        <v>20348</v>
      </c>
      <c r="M1165" s="505">
        <v>0</v>
      </c>
      <c r="N1165" s="820"/>
      <c r="O1165" s="505">
        <v>1000</v>
      </c>
      <c r="P1165" s="360">
        <v>1</v>
      </c>
      <c r="Q1165" s="505">
        <v>56400</v>
      </c>
    </row>
    <row r="1166" spans="1:17" s="1" customFormat="1" ht="11.45">
      <c r="A1166" s="505" t="s">
        <v>19522</v>
      </c>
      <c r="B1166" s="821">
        <v>45572</v>
      </c>
      <c r="C1166" s="505">
        <v>2024</v>
      </c>
      <c r="D1166" s="505" t="s">
        <v>16957</v>
      </c>
      <c r="E1166" s="505" t="s">
        <v>16958</v>
      </c>
      <c r="F1166" s="505" t="s">
        <v>20155</v>
      </c>
      <c r="G1166" s="505" t="s">
        <v>20161</v>
      </c>
      <c r="H1166" s="821">
        <v>45575</v>
      </c>
      <c r="I1166" s="505">
        <v>20150</v>
      </c>
      <c r="J1166" s="360">
        <v>1</v>
      </c>
      <c r="K1166" s="505">
        <v>0</v>
      </c>
      <c r="L1166" s="820"/>
      <c r="M1166" s="505">
        <v>0</v>
      </c>
      <c r="N1166" s="820"/>
      <c r="O1166" s="505">
        <v>0</v>
      </c>
      <c r="P1166" s="822"/>
      <c r="Q1166" s="505">
        <v>20150</v>
      </c>
    </row>
    <row r="1167" spans="1:17" s="1" customFormat="1" ht="11.45">
      <c r="A1167" s="505" t="s">
        <v>19523</v>
      </c>
      <c r="B1167" s="821">
        <v>45572</v>
      </c>
      <c r="C1167" s="505">
        <v>2024</v>
      </c>
      <c r="D1167" s="505" t="s">
        <v>17276</v>
      </c>
      <c r="E1167" s="505" t="s">
        <v>17277</v>
      </c>
      <c r="F1167" s="505" t="s">
        <v>20155</v>
      </c>
      <c r="G1167" s="505" t="s">
        <v>20297</v>
      </c>
      <c r="H1167" s="821">
        <v>45581</v>
      </c>
      <c r="I1167" s="505">
        <v>0</v>
      </c>
      <c r="J1167" s="820"/>
      <c r="K1167" s="505">
        <v>27600</v>
      </c>
      <c r="L1167" s="359" t="s">
        <v>20346</v>
      </c>
      <c r="M1167" s="505">
        <v>0</v>
      </c>
      <c r="N1167" s="820"/>
      <c r="O1167" s="505">
        <v>0</v>
      </c>
      <c r="P1167" s="822"/>
      <c r="Q1167" s="505">
        <v>27600</v>
      </c>
    </row>
    <row r="1168" spans="1:17" s="1" customFormat="1" ht="11.45">
      <c r="A1168" s="505" t="s">
        <v>19524</v>
      </c>
      <c r="B1168" s="821">
        <v>45572</v>
      </c>
      <c r="C1168" s="505">
        <v>2024</v>
      </c>
      <c r="D1168" s="505" t="s">
        <v>16880</v>
      </c>
      <c r="E1168" s="505" t="s">
        <v>16881</v>
      </c>
      <c r="F1168" s="505" t="s">
        <v>20155</v>
      </c>
      <c r="G1168" s="505" t="s">
        <v>20379</v>
      </c>
      <c r="H1168" s="821">
        <v>45581</v>
      </c>
      <c r="I1168" s="505">
        <v>5500</v>
      </c>
      <c r="J1168" s="820"/>
      <c r="K1168" s="505">
        <v>13800</v>
      </c>
      <c r="L1168" s="360">
        <v>1</v>
      </c>
      <c r="M1168" s="505">
        <v>0</v>
      </c>
      <c r="N1168" s="820"/>
      <c r="O1168" s="505">
        <v>0</v>
      </c>
      <c r="P1168" s="822"/>
      <c r="Q1168" s="505">
        <v>19300</v>
      </c>
    </row>
    <row r="1169" spans="1:17" s="1" customFormat="1" ht="11.45">
      <c r="A1169" s="505" t="s">
        <v>19525</v>
      </c>
      <c r="B1169" s="821">
        <v>45572</v>
      </c>
      <c r="C1169" s="505">
        <v>2024</v>
      </c>
      <c r="D1169" s="505" t="s">
        <v>17309</v>
      </c>
      <c r="E1169" s="505" t="s">
        <v>17310</v>
      </c>
      <c r="F1169" s="505" t="s">
        <v>20155</v>
      </c>
      <c r="G1169" s="505" t="s">
        <v>20321</v>
      </c>
      <c r="H1169" s="821">
        <v>45590</v>
      </c>
      <c r="I1169" s="505">
        <v>132000</v>
      </c>
      <c r="J1169" s="820"/>
      <c r="K1169" s="505">
        <v>30000</v>
      </c>
      <c r="L1169" s="359" t="s">
        <v>20348</v>
      </c>
      <c r="M1169" s="505">
        <v>210000</v>
      </c>
      <c r="N1169" s="359" t="s">
        <v>20347</v>
      </c>
      <c r="O1169" s="505">
        <v>0</v>
      </c>
      <c r="P1169" s="822"/>
      <c r="Q1169" s="505">
        <v>372000</v>
      </c>
    </row>
    <row r="1170" spans="1:17" s="1" customFormat="1" ht="12.95" customHeight="1">
      <c r="A1170" s="505" t="s">
        <v>19526</v>
      </c>
      <c r="B1170" s="821">
        <v>45572</v>
      </c>
      <c r="C1170" s="505">
        <v>2024</v>
      </c>
      <c r="D1170" s="505" t="s">
        <v>16972</v>
      </c>
      <c r="E1170" s="505" t="s">
        <v>16973</v>
      </c>
      <c r="F1170" s="505" t="s">
        <v>20155</v>
      </c>
      <c r="G1170" s="505" t="s">
        <v>17801</v>
      </c>
      <c r="H1170" s="821">
        <v>45582</v>
      </c>
      <c r="I1170" s="505">
        <v>0</v>
      </c>
      <c r="J1170" s="820"/>
      <c r="K1170" s="505">
        <v>0</v>
      </c>
      <c r="L1170" s="359"/>
      <c r="M1170" s="505">
        <v>275000</v>
      </c>
      <c r="N1170" s="359" t="s">
        <v>20347</v>
      </c>
      <c r="O1170" s="505">
        <v>0</v>
      </c>
      <c r="P1170" s="360"/>
      <c r="Q1170" s="505">
        <v>275000</v>
      </c>
    </row>
    <row r="1171" spans="1:17" s="1" customFormat="1" ht="12.95" customHeight="1">
      <c r="A1171" s="505" t="s">
        <v>19527</v>
      </c>
      <c r="B1171" s="821">
        <v>45574</v>
      </c>
      <c r="C1171" s="505">
        <v>2024</v>
      </c>
      <c r="D1171" s="505" t="s">
        <v>17379</v>
      </c>
      <c r="E1171" s="505" t="s">
        <v>17380</v>
      </c>
      <c r="F1171" s="505" t="s">
        <v>20155</v>
      </c>
      <c r="G1171" s="505" t="s">
        <v>20159</v>
      </c>
      <c r="H1171" s="821">
        <v>45588</v>
      </c>
      <c r="I1171" s="505">
        <v>0</v>
      </c>
      <c r="J1171" s="820"/>
      <c r="K1171" s="505">
        <v>0</v>
      </c>
      <c r="L1171" s="359"/>
      <c r="M1171" s="505">
        <v>104000</v>
      </c>
      <c r="N1171" s="359" t="s">
        <v>20347</v>
      </c>
      <c r="O1171" s="505">
        <v>0</v>
      </c>
      <c r="P1171" s="360"/>
      <c r="Q1171" s="505">
        <v>104000</v>
      </c>
    </row>
    <row r="1172" spans="1:17" s="1" customFormat="1" ht="12.95" customHeight="1">
      <c r="A1172" s="505" t="s">
        <v>19528</v>
      </c>
      <c r="B1172" s="821">
        <v>45575</v>
      </c>
      <c r="C1172" s="505">
        <v>2024</v>
      </c>
      <c r="D1172" s="505" t="s">
        <v>16783</v>
      </c>
      <c r="E1172" s="505" t="s">
        <v>16784</v>
      </c>
      <c r="F1172" s="505" t="s">
        <v>20155</v>
      </c>
      <c r="G1172" s="505" t="s">
        <v>17939</v>
      </c>
      <c r="H1172" s="821">
        <v>45581</v>
      </c>
      <c r="I1172" s="505">
        <v>20532</v>
      </c>
      <c r="J1172" s="820" t="s">
        <v>20356</v>
      </c>
      <c r="K1172" s="505">
        <v>35000</v>
      </c>
      <c r="L1172" s="359" t="s">
        <v>20345</v>
      </c>
      <c r="M1172" s="505">
        <v>48900</v>
      </c>
      <c r="N1172" s="359" t="s">
        <v>20345</v>
      </c>
      <c r="O1172" s="505">
        <v>83000</v>
      </c>
      <c r="P1172" s="360">
        <v>1</v>
      </c>
      <c r="Q1172" s="505">
        <v>187432</v>
      </c>
    </row>
    <row r="1173" spans="1:17" s="1" customFormat="1" ht="12.95" customHeight="1">
      <c r="A1173" s="505" t="s">
        <v>19529</v>
      </c>
      <c r="B1173" s="821">
        <v>45575</v>
      </c>
      <c r="C1173" s="505">
        <v>2024</v>
      </c>
      <c r="D1173" s="505" t="s">
        <v>17386</v>
      </c>
      <c r="E1173" s="505" t="s">
        <v>17387</v>
      </c>
      <c r="F1173" s="505" t="s">
        <v>20155</v>
      </c>
      <c r="G1173" s="505" t="s">
        <v>20195</v>
      </c>
      <c r="H1173" s="821">
        <v>45651</v>
      </c>
      <c r="I1173" s="505">
        <v>0</v>
      </c>
      <c r="J1173" s="820"/>
      <c r="K1173" s="505">
        <v>0</v>
      </c>
      <c r="L1173" s="359"/>
      <c r="M1173" s="505">
        <v>52000</v>
      </c>
      <c r="N1173" s="359" t="s">
        <v>20347</v>
      </c>
      <c r="O1173" s="505">
        <v>0</v>
      </c>
      <c r="P1173" s="360"/>
      <c r="Q1173" s="505">
        <v>52000</v>
      </c>
    </row>
    <row r="1174" spans="1:17" s="1" customFormat="1" ht="12.95" customHeight="1">
      <c r="A1174" s="505" t="s">
        <v>19531</v>
      </c>
      <c r="B1174" s="821">
        <v>45575</v>
      </c>
      <c r="C1174" s="505">
        <v>2024</v>
      </c>
      <c r="D1174" s="505" t="s">
        <v>17342</v>
      </c>
      <c r="E1174" s="505" t="s">
        <v>17343</v>
      </c>
      <c r="F1174" s="505" t="s">
        <v>20155</v>
      </c>
      <c r="G1174" s="505" t="s">
        <v>16394</v>
      </c>
      <c r="H1174" s="821">
        <v>45569</v>
      </c>
      <c r="I1174" s="505">
        <v>1600</v>
      </c>
      <c r="J1174" s="360">
        <v>1</v>
      </c>
      <c r="K1174" s="505">
        <v>18264</v>
      </c>
      <c r="L1174" s="360">
        <v>1</v>
      </c>
      <c r="M1174" s="505">
        <v>2400</v>
      </c>
      <c r="N1174" s="360">
        <v>1</v>
      </c>
      <c r="O1174" s="505">
        <v>0</v>
      </c>
      <c r="P1174" s="360"/>
      <c r="Q1174" s="505">
        <v>22264</v>
      </c>
    </row>
    <row r="1175" spans="1:17" s="1" customFormat="1" ht="12.95" customHeight="1">
      <c r="A1175" s="505" t="s">
        <v>19532</v>
      </c>
      <c r="B1175" s="821">
        <v>45579</v>
      </c>
      <c r="C1175" s="505">
        <v>2024</v>
      </c>
      <c r="D1175" s="505" t="s">
        <v>16904</v>
      </c>
      <c r="E1175" s="505" t="s">
        <v>16905</v>
      </c>
      <c r="F1175" s="505" t="s">
        <v>20155</v>
      </c>
      <c r="G1175" s="505" t="s">
        <v>20160</v>
      </c>
      <c r="H1175" s="821">
        <v>45583</v>
      </c>
      <c r="I1175" s="505">
        <v>0</v>
      </c>
      <c r="J1175" s="820"/>
      <c r="K1175" s="505">
        <v>22680</v>
      </c>
      <c r="L1175" s="360">
        <v>1</v>
      </c>
      <c r="M1175" s="505">
        <v>0</v>
      </c>
      <c r="N1175" s="820"/>
      <c r="O1175" s="505">
        <v>0</v>
      </c>
      <c r="P1175" s="360"/>
      <c r="Q1175" s="505">
        <v>22680</v>
      </c>
    </row>
    <row r="1176" spans="1:17" s="1" customFormat="1" ht="12.95" customHeight="1">
      <c r="A1176" s="505" t="s">
        <v>19533</v>
      </c>
      <c r="B1176" s="821">
        <v>45579</v>
      </c>
      <c r="C1176" s="505">
        <v>2024</v>
      </c>
      <c r="D1176" s="505" t="s">
        <v>16957</v>
      </c>
      <c r="E1176" s="505" t="s">
        <v>16958</v>
      </c>
      <c r="F1176" s="505" t="s">
        <v>20155</v>
      </c>
      <c r="G1176" s="505" t="s">
        <v>20161</v>
      </c>
      <c r="H1176" s="821">
        <v>45589</v>
      </c>
      <c r="I1176" s="505">
        <v>40300</v>
      </c>
      <c r="J1176" s="360">
        <v>1</v>
      </c>
      <c r="K1176" s="505">
        <v>0</v>
      </c>
      <c r="L1176" s="359"/>
      <c r="M1176" s="505">
        <v>0</v>
      </c>
      <c r="N1176" s="820"/>
      <c r="O1176" s="505">
        <v>0</v>
      </c>
      <c r="P1176" s="360"/>
      <c r="Q1176" s="505">
        <v>40300</v>
      </c>
    </row>
    <row r="1177" spans="1:17" s="1" customFormat="1" ht="12.95" customHeight="1">
      <c r="A1177" s="505" t="s">
        <v>19534</v>
      </c>
      <c r="B1177" s="821">
        <v>45579</v>
      </c>
      <c r="C1177" s="505">
        <v>2024</v>
      </c>
      <c r="D1177" s="505" t="s">
        <v>16444</v>
      </c>
      <c r="E1177" s="505" t="s">
        <v>16445</v>
      </c>
      <c r="F1177" s="505" t="s">
        <v>20155</v>
      </c>
      <c r="G1177" s="505" t="s">
        <v>18248</v>
      </c>
      <c r="H1177" s="821">
        <v>45582</v>
      </c>
      <c r="I1177" s="505">
        <v>19200</v>
      </c>
      <c r="J1177" s="820" t="s">
        <v>20356</v>
      </c>
      <c r="K1177" s="505">
        <v>0</v>
      </c>
      <c r="L1177" s="359"/>
      <c r="M1177" s="505">
        <v>0</v>
      </c>
      <c r="N1177" s="820"/>
      <c r="O1177" s="505">
        <v>0</v>
      </c>
      <c r="P1177" s="360"/>
      <c r="Q1177" s="505">
        <v>19200</v>
      </c>
    </row>
    <row r="1178" spans="1:17" s="1" customFormat="1" ht="12.95" customHeight="1">
      <c r="A1178" s="505" t="s">
        <v>19535</v>
      </c>
      <c r="B1178" s="821">
        <v>45580</v>
      </c>
      <c r="C1178" s="505">
        <v>2024</v>
      </c>
      <c r="D1178" s="505" t="s">
        <v>16838</v>
      </c>
      <c r="E1178" s="505" t="s">
        <v>16839</v>
      </c>
      <c r="F1178" s="505" t="s">
        <v>20155</v>
      </c>
      <c r="G1178" s="505" t="s">
        <v>20321</v>
      </c>
      <c r="H1178" s="821">
        <v>45590</v>
      </c>
      <c r="I1178" s="505">
        <v>0</v>
      </c>
      <c r="J1178" s="820"/>
      <c r="K1178" s="505">
        <v>90000</v>
      </c>
      <c r="L1178" s="359" t="s">
        <v>20348</v>
      </c>
      <c r="M1178" s="505">
        <v>0</v>
      </c>
      <c r="N1178" s="820"/>
      <c r="O1178" s="505">
        <v>0</v>
      </c>
      <c r="P1178" s="360"/>
      <c r="Q1178" s="505">
        <v>90000</v>
      </c>
    </row>
    <row r="1179" spans="1:17" s="1" customFormat="1" ht="12.95" customHeight="1">
      <c r="A1179" s="505" t="s">
        <v>19536</v>
      </c>
      <c r="B1179" s="821">
        <v>45580</v>
      </c>
      <c r="C1179" s="505">
        <v>2024</v>
      </c>
      <c r="D1179" s="505" t="s">
        <v>17278</v>
      </c>
      <c r="E1179" s="505" t="s">
        <v>17279</v>
      </c>
      <c r="F1179" s="505" t="s">
        <v>20155</v>
      </c>
      <c r="G1179" s="505" t="s">
        <v>20173</v>
      </c>
      <c r="H1179" s="821">
        <v>45596</v>
      </c>
      <c r="I1179" s="505">
        <v>0</v>
      </c>
      <c r="J1179" s="820"/>
      <c r="K1179" s="505">
        <v>155904</v>
      </c>
      <c r="L1179" s="359" t="s">
        <v>20348</v>
      </c>
      <c r="M1179" s="505">
        <v>122496</v>
      </c>
      <c r="N1179" s="359" t="s">
        <v>20347</v>
      </c>
      <c r="O1179" s="505">
        <v>0</v>
      </c>
      <c r="P1179" s="360"/>
      <c r="Q1179" s="505">
        <v>278400</v>
      </c>
    </row>
    <row r="1180" spans="1:17" s="1" customFormat="1" ht="12.95" customHeight="1">
      <c r="A1180" s="505" t="s">
        <v>19537</v>
      </c>
      <c r="B1180" s="821">
        <v>45580</v>
      </c>
      <c r="C1180" s="505">
        <v>2024</v>
      </c>
      <c r="D1180" s="505" t="s">
        <v>16444</v>
      </c>
      <c r="E1180" s="505" t="s">
        <v>16445</v>
      </c>
      <c r="F1180" s="505" t="s">
        <v>20155</v>
      </c>
      <c r="G1180" s="505" t="s">
        <v>18248</v>
      </c>
      <c r="H1180" s="821">
        <v>45588</v>
      </c>
      <c r="I1180" s="505">
        <v>0</v>
      </c>
      <c r="J1180" s="820"/>
      <c r="K1180" s="505">
        <v>44400</v>
      </c>
      <c r="L1180" s="359" t="s">
        <v>20346</v>
      </c>
      <c r="M1180" s="505">
        <v>0</v>
      </c>
      <c r="N1180" s="820"/>
      <c r="O1180" s="505">
        <v>0</v>
      </c>
      <c r="P1180" s="360"/>
      <c r="Q1180" s="505">
        <v>44400</v>
      </c>
    </row>
    <row r="1181" spans="1:17" s="1" customFormat="1" ht="12.95" customHeight="1">
      <c r="A1181" s="505" t="s">
        <v>19538</v>
      </c>
      <c r="B1181" s="821">
        <v>45581</v>
      </c>
      <c r="C1181" s="505">
        <v>2024</v>
      </c>
      <c r="D1181" s="505" t="s">
        <v>17304</v>
      </c>
      <c r="E1181" s="505" t="s">
        <v>17305</v>
      </c>
      <c r="F1181" s="505" t="s">
        <v>20155</v>
      </c>
      <c r="G1181" s="505" t="s">
        <v>17238</v>
      </c>
      <c r="H1181" s="821">
        <v>45596</v>
      </c>
      <c r="I1181" s="505">
        <v>0</v>
      </c>
      <c r="J1181" s="820"/>
      <c r="K1181" s="505">
        <v>0</v>
      </c>
      <c r="L1181" s="359"/>
      <c r="M1181" s="505">
        <v>23608</v>
      </c>
      <c r="N1181" s="360">
        <v>1</v>
      </c>
      <c r="O1181" s="505">
        <v>0</v>
      </c>
      <c r="P1181" s="360"/>
      <c r="Q1181" s="505">
        <v>23608</v>
      </c>
    </row>
    <row r="1182" spans="1:17" s="1" customFormat="1" ht="12.95" customHeight="1">
      <c r="A1182" s="505" t="s">
        <v>19539</v>
      </c>
      <c r="B1182" s="821">
        <v>45582</v>
      </c>
      <c r="C1182" s="505">
        <v>2024</v>
      </c>
      <c r="D1182" s="505" t="s">
        <v>16480</v>
      </c>
      <c r="E1182" s="505" t="s">
        <v>16481</v>
      </c>
      <c r="F1182" s="505" t="s">
        <v>20155</v>
      </c>
      <c r="G1182" s="505" t="s">
        <v>20160</v>
      </c>
      <c r="H1182" s="821">
        <v>45594</v>
      </c>
      <c r="I1182" s="505">
        <v>0</v>
      </c>
      <c r="J1182" s="820"/>
      <c r="K1182" s="505">
        <v>22680</v>
      </c>
      <c r="L1182" s="360">
        <v>1</v>
      </c>
      <c r="M1182" s="505">
        <v>0</v>
      </c>
      <c r="N1182" s="820"/>
      <c r="O1182" s="505">
        <v>0</v>
      </c>
      <c r="P1182" s="360"/>
      <c r="Q1182" s="505">
        <v>22680</v>
      </c>
    </row>
    <row r="1183" spans="1:17" s="1" customFormat="1" ht="12.95" customHeight="1">
      <c r="A1183" s="505" t="s">
        <v>19540</v>
      </c>
      <c r="B1183" s="821">
        <v>45582</v>
      </c>
      <c r="C1183" s="505">
        <v>2024</v>
      </c>
      <c r="D1183" s="505" t="s">
        <v>17342</v>
      </c>
      <c r="E1183" s="505" t="s">
        <v>17343</v>
      </c>
      <c r="F1183" s="505" t="s">
        <v>20155</v>
      </c>
      <c r="G1183" s="505" t="s">
        <v>16394</v>
      </c>
      <c r="H1183" s="821">
        <v>45583</v>
      </c>
      <c r="I1183" s="505">
        <v>0</v>
      </c>
      <c r="J1183" s="820"/>
      <c r="K1183" s="505">
        <v>17952</v>
      </c>
      <c r="L1183" s="360">
        <v>1</v>
      </c>
      <c r="M1183" s="505">
        <v>2400</v>
      </c>
      <c r="N1183" s="360">
        <v>1</v>
      </c>
      <c r="O1183" s="505">
        <v>560</v>
      </c>
      <c r="P1183" s="360">
        <v>1</v>
      </c>
      <c r="Q1183" s="505">
        <v>20912</v>
      </c>
    </row>
    <row r="1184" spans="1:17" s="1" customFormat="1" ht="12.95" customHeight="1">
      <c r="A1184" s="505" t="s">
        <v>19541</v>
      </c>
      <c r="B1184" s="821">
        <v>45582</v>
      </c>
      <c r="C1184" s="505">
        <v>2024</v>
      </c>
      <c r="D1184" s="505" t="s">
        <v>16838</v>
      </c>
      <c r="E1184" s="505" t="s">
        <v>16839</v>
      </c>
      <c r="F1184" s="505" t="s">
        <v>20155</v>
      </c>
      <c r="G1184" s="505" t="s">
        <v>20321</v>
      </c>
      <c r="H1184" s="821">
        <v>45588</v>
      </c>
      <c r="I1184" s="505">
        <v>0</v>
      </c>
      <c r="J1184" s="820"/>
      <c r="K1184" s="505">
        <v>112500</v>
      </c>
      <c r="L1184" s="359" t="s">
        <v>20348</v>
      </c>
      <c r="M1184" s="505">
        <v>0</v>
      </c>
      <c r="N1184" s="820"/>
      <c r="O1184" s="505">
        <v>0</v>
      </c>
      <c r="P1184" s="360"/>
      <c r="Q1184" s="505">
        <v>112500</v>
      </c>
    </row>
    <row r="1185" spans="1:17" s="1" customFormat="1" ht="12.95" customHeight="1">
      <c r="A1185" s="505" t="s">
        <v>19542</v>
      </c>
      <c r="B1185" s="821">
        <v>45583</v>
      </c>
      <c r="C1185" s="505">
        <v>2024</v>
      </c>
      <c r="D1185" s="505" t="s">
        <v>16957</v>
      </c>
      <c r="E1185" s="505" t="s">
        <v>16958</v>
      </c>
      <c r="F1185" s="505" t="s">
        <v>20155</v>
      </c>
      <c r="G1185" s="505" t="s">
        <v>20161</v>
      </c>
      <c r="H1185" s="821">
        <v>45589</v>
      </c>
      <c r="I1185" s="505">
        <v>20150</v>
      </c>
      <c r="J1185" s="360">
        <v>1</v>
      </c>
      <c r="K1185" s="505">
        <v>0</v>
      </c>
      <c r="L1185" s="359"/>
      <c r="M1185" s="505">
        <v>0</v>
      </c>
      <c r="N1185" s="820"/>
      <c r="O1185" s="505">
        <v>0</v>
      </c>
      <c r="P1185" s="360"/>
      <c r="Q1185" s="505">
        <v>20150</v>
      </c>
    </row>
    <row r="1186" spans="1:17" s="1" customFormat="1" ht="12.95" customHeight="1">
      <c r="A1186" s="505" t="s">
        <v>19543</v>
      </c>
      <c r="B1186" s="821">
        <v>45583</v>
      </c>
      <c r="C1186" s="505">
        <v>2024</v>
      </c>
      <c r="D1186" s="505" t="s">
        <v>17276</v>
      </c>
      <c r="E1186" s="505" t="s">
        <v>17277</v>
      </c>
      <c r="F1186" s="505" t="s">
        <v>20155</v>
      </c>
      <c r="G1186" s="505" t="s">
        <v>20297</v>
      </c>
      <c r="H1186" s="821">
        <v>45596</v>
      </c>
      <c r="I1186" s="505">
        <v>38400</v>
      </c>
      <c r="J1186" s="820" t="s">
        <v>20356</v>
      </c>
      <c r="K1186" s="505">
        <v>0</v>
      </c>
      <c r="L1186" s="359"/>
      <c r="M1186" s="505">
        <v>0</v>
      </c>
      <c r="N1186" s="820"/>
      <c r="O1186" s="505">
        <v>0</v>
      </c>
      <c r="P1186" s="360"/>
      <c r="Q1186" s="505">
        <v>38400</v>
      </c>
    </row>
    <row r="1187" spans="1:17" s="1" customFormat="1" ht="12.95" customHeight="1">
      <c r="A1187" s="505" t="s">
        <v>19544</v>
      </c>
      <c r="B1187" s="821">
        <v>45583</v>
      </c>
      <c r="C1187" s="505">
        <v>2024</v>
      </c>
      <c r="D1187" s="505" t="s">
        <v>16444</v>
      </c>
      <c r="E1187" s="505" t="s">
        <v>16445</v>
      </c>
      <c r="F1187" s="505" t="s">
        <v>20155</v>
      </c>
      <c r="G1187" s="505" t="s">
        <v>17693</v>
      </c>
      <c r="H1187" s="821">
        <v>45589</v>
      </c>
      <c r="I1187" s="505">
        <v>20750</v>
      </c>
      <c r="J1187" s="820" t="s">
        <v>20356</v>
      </c>
      <c r="K1187" s="505">
        <v>0</v>
      </c>
      <c r="L1187" s="359"/>
      <c r="M1187" s="505">
        <v>0</v>
      </c>
      <c r="N1187" s="820"/>
      <c r="O1187" s="505">
        <v>0</v>
      </c>
      <c r="P1187" s="360"/>
      <c r="Q1187" s="505">
        <v>20750</v>
      </c>
    </row>
    <row r="1188" spans="1:17" s="1" customFormat="1" ht="12.95" customHeight="1">
      <c r="A1188" s="505" t="s">
        <v>19545</v>
      </c>
      <c r="B1188" s="821">
        <v>45583</v>
      </c>
      <c r="C1188" s="505">
        <v>2024</v>
      </c>
      <c r="D1188" s="505" t="s">
        <v>16384</v>
      </c>
      <c r="E1188" s="505" t="s">
        <v>16385</v>
      </c>
      <c r="F1188" s="505" t="s">
        <v>20155</v>
      </c>
      <c r="G1188" s="505" t="s">
        <v>17949</v>
      </c>
      <c r="H1188" s="821">
        <v>45595</v>
      </c>
      <c r="I1188" s="505">
        <v>86774</v>
      </c>
      <c r="J1188" s="820" t="s">
        <v>20356</v>
      </c>
      <c r="K1188" s="505">
        <v>22500</v>
      </c>
      <c r="L1188" s="359" t="s">
        <v>20346</v>
      </c>
      <c r="M1188" s="505">
        <v>0</v>
      </c>
      <c r="N1188" s="820"/>
      <c r="O1188" s="505">
        <v>0</v>
      </c>
      <c r="P1188" s="360"/>
      <c r="Q1188" s="505">
        <v>109274</v>
      </c>
    </row>
    <row r="1189" spans="1:17" s="1" customFormat="1" ht="12.95" customHeight="1">
      <c r="A1189" s="505" t="s">
        <v>19546</v>
      </c>
      <c r="B1189" s="821">
        <v>45583</v>
      </c>
      <c r="C1189" s="505">
        <v>2024</v>
      </c>
      <c r="D1189" s="505" t="s">
        <v>16838</v>
      </c>
      <c r="E1189" s="505" t="s">
        <v>16839</v>
      </c>
      <c r="F1189" s="505" t="s">
        <v>20155</v>
      </c>
      <c r="G1189" s="505" t="s">
        <v>17771</v>
      </c>
      <c r="H1189" s="821">
        <v>45593</v>
      </c>
      <c r="I1189" s="505">
        <v>21200</v>
      </c>
      <c r="J1189" s="820" t="s">
        <v>20356</v>
      </c>
      <c r="K1189" s="505">
        <v>0</v>
      </c>
      <c r="L1189" s="359"/>
      <c r="M1189" s="505">
        <v>0</v>
      </c>
      <c r="N1189" s="820"/>
      <c r="O1189" s="505">
        <v>0</v>
      </c>
      <c r="P1189" s="360"/>
      <c r="Q1189" s="505">
        <v>21200</v>
      </c>
    </row>
    <row r="1190" spans="1:17" s="1" customFormat="1" ht="12.95" customHeight="1">
      <c r="A1190" s="505" t="s">
        <v>19547</v>
      </c>
      <c r="B1190" s="821">
        <v>45583</v>
      </c>
      <c r="C1190" s="505">
        <v>2024</v>
      </c>
      <c r="D1190" s="505" t="s">
        <v>16838</v>
      </c>
      <c r="E1190" s="505" t="s">
        <v>16839</v>
      </c>
      <c r="F1190" s="505" t="s">
        <v>20155</v>
      </c>
      <c r="G1190" s="505" t="s">
        <v>17771</v>
      </c>
      <c r="H1190" s="821">
        <v>45590</v>
      </c>
      <c r="I1190" s="505">
        <v>0</v>
      </c>
      <c r="J1190" s="820"/>
      <c r="K1190" s="505">
        <v>0</v>
      </c>
      <c r="L1190" s="359"/>
      <c r="M1190" s="505">
        <v>56000</v>
      </c>
      <c r="N1190" s="359" t="s">
        <v>20347</v>
      </c>
      <c r="O1190" s="505">
        <v>0</v>
      </c>
      <c r="P1190" s="360"/>
      <c r="Q1190" s="505">
        <v>56000</v>
      </c>
    </row>
    <row r="1191" spans="1:17" s="1" customFormat="1" ht="12.95" customHeight="1">
      <c r="A1191" s="505" t="s">
        <v>19548</v>
      </c>
      <c r="B1191" s="821">
        <v>45583</v>
      </c>
      <c r="C1191" s="505">
        <v>2024</v>
      </c>
      <c r="D1191" s="505" t="s">
        <v>17342</v>
      </c>
      <c r="E1191" s="505" t="s">
        <v>17343</v>
      </c>
      <c r="F1191" s="505" t="s">
        <v>20155</v>
      </c>
      <c r="G1191" s="505" t="s">
        <v>16394</v>
      </c>
      <c r="H1191" s="821">
        <v>45588</v>
      </c>
      <c r="I1191" s="505">
        <v>0</v>
      </c>
      <c r="J1191" s="820"/>
      <c r="K1191" s="505">
        <v>18408</v>
      </c>
      <c r="L1191" s="360">
        <v>1</v>
      </c>
      <c r="M1191" s="505">
        <v>6000</v>
      </c>
      <c r="N1191" s="360">
        <v>1</v>
      </c>
      <c r="O1191" s="505">
        <v>0</v>
      </c>
      <c r="P1191" s="360"/>
      <c r="Q1191" s="505">
        <v>24408</v>
      </c>
    </row>
    <row r="1192" spans="1:17" s="1" customFormat="1" ht="12.95" customHeight="1">
      <c r="A1192" s="505" t="s">
        <v>19549</v>
      </c>
      <c r="B1192" s="821">
        <v>45583</v>
      </c>
      <c r="C1192" s="505">
        <v>2024</v>
      </c>
      <c r="D1192" s="505" t="s">
        <v>17342</v>
      </c>
      <c r="E1192" s="505" t="s">
        <v>17343</v>
      </c>
      <c r="F1192" s="505" t="s">
        <v>20155</v>
      </c>
      <c r="G1192" s="505" t="s">
        <v>16394</v>
      </c>
      <c r="H1192" s="821">
        <v>45588</v>
      </c>
      <c r="I1192" s="505">
        <v>0</v>
      </c>
      <c r="J1192" s="820"/>
      <c r="K1192" s="505">
        <v>16872</v>
      </c>
      <c r="L1192" s="360">
        <v>1</v>
      </c>
      <c r="M1192" s="505">
        <v>3600</v>
      </c>
      <c r="N1192" s="360">
        <v>1</v>
      </c>
      <c r="O1192" s="505">
        <v>2240</v>
      </c>
      <c r="P1192" s="360">
        <v>1</v>
      </c>
      <c r="Q1192" s="505">
        <v>22712</v>
      </c>
    </row>
    <row r="1193" spans="1:17" s="1" customFormat="1" ht="12.95" customHeight="1">
      <c r="A1193" s="505" t="s">
        <v>19550</v>
      </c>
      <c r="B1193" s="821">
        <v>45586</v>
      </c>
      <c r="C1193" s="505">
        <v>2024</v>
      </c>
      <c r="D1193" s="505" t="s">
        <v>16444</v>
      </c>
      <c r="E1193" s="505" t="s">
        <v>16445</v>
      </c>
      <c r="F1193" s="505" t="s">
        <v>20155</v>
      </c>
      <c r="G1193" s="505" t="s">
        <v>17693</v>
      </c>
      <c r="H1193" s="821">
        <v>45589</v>
      </c>
      <c r="I1193" s="505">
        <v>20750</v>
      </c>
      <c r="J1193" s="820" t="s">
        <v>20356</v>
      </c>
      <c r="K1193" s="505">
        <v>0</v>
      </c>
      <c r="L1193" s="359"/>
      <c r="M1193" s="505">
        <v>0</v>
      </c>
      <c r="N1193" s="820"/>
      <c r="O1193" s="505">
        <v>0</v>
      </c>
      <c r="P1193" s="360"/>
      <c r="Q1193" s="505">
        <v>20750</v>
      </c>
    </row>
    <row r="1194" spans="1:17" s="1" customFormat="1" ht="12.95" customHeight="1">
      <c r="A1194" s="505" t="s">
        <v>19551</v>
      </c>
      <c r="B1194" s="821">
        <v>45586</v>
      </c>
      <c r="C1194" s="505">
        <v>2024</v>
      </c>
      <c r="D1194" s="505" t="s">
        <v>17156</v>
      </c>
      <c r="E1194" s="505" t="s">
        <v>17157</v>
      </c>
      <c r="F1194" s="505" t="s">
        <v>20155</v>
      </c>
      <c r="G1194" s="505" t="s">
        <v>20161</v>
      </c>
      <c r="H1194" s="821">
        <v>45607</v>
      </c>
      <c r="I1194" s="505">
        <v>20000</v>
      </c>
      <c r="J1194" s="360">
        <v>1</v>
      </c>
      <c r="K1194" s="505">
        <v>0</v>
      </c>
      <c r="L1194" s="359"/>
      <c r="M1194" s="505">
        <v>0</v>
      </c>
      <c r="N1194" s="820"/>
      <c r="O1194" s="505">
        <v>0</v>
      </c>
      <c r="P1194" s="360"/>
      <c r="Q1194" s="505">
        <v>20000</v>
      </c>
    </row>
    <row r="1195" spans="1:17" s="1" customFormat="1" ht="12.95" customHeight="1">
      <c r="A1195" s="505" t="s">
        <v>19552</v>
      </c>
      <c r="B1195" s="821">
        <v>45587</v>
      </c>
      <c r="C1195" s="505">
        <v>2024</v>
      </c>
      <c r="D1195" s="505" t="s">
        <v>17342</v>
      </c>
      <c r="E1195" s="505" t="s">
        <v>17343</v>
      </c>
      <c r="F1195" s="505" t="s">
        <v>20155</v>
      </c>
      <c r="G1195" s="505" t="s">
        <v>16394</v>
      </c>
      <c r="H1195" s="821">
        <v>45589</v>
      </c>
      <c r="I1195" s="505">
        <v>1600</v>
      </c>
      <c r="J1195" s="360">
        <v>1</v>
      </c>
      <c r="K1195" s="505">
        <v>18696</v>
      </c>
      <c r="L1195" s="360">
        <v>1</v>
      </c>
      <c r="M1195" s="505">
        <v>2400</v>
      </c>
      <c r="N1195" s="360">
        <v>1</v>
      </c>
      <c r="O1195" s="505">
        <v>560</v>
      </c>
      <c r="P1195" s="360">
        <v>1</v>
      </c>
      <c r="Q1195" s="505">
        <v>23256</v>
      </c>
    </row>
    <row r="1196" spans="1:17" s="1" customFormat="1" ht="12.95" customHeight="1">
      <c r="A1196" s="505" t="s">
        <v>19553</v>
      </c>
      <c r="B1196" s="821">
        <v>45587</v>
      </c>
      <c r="C1196" s="505">
        <v>2024</v>
      </c>
      <c r="D1196" s="505" t="s">
        <v>17342</v>
      </c>
      <c r="E1196" s="505" t="s">
        <v>17343</v>
      </c>
      <c r="F1196" s="505" t="s">
        <v>20155</v>
      </c>
      <c r="G1196" s="505" t="s">
        <v>16394</v>
      </c>
      <c r="H1196" s="821">
        <v>45589</v>
      </c>
      <c r="I1196" s="505">
        <v>0</v>
      </c>
      <c r="J1196" s="820"/>
      <c r="K1196" s="505">
        <v>32664</v>
      </c>
      <c r="L1196" s="360">
        <v>1</v>
      </c>
      <c r="M1196" s="505">
        <v>7200</v>
      </c>
      <c r="N1196" s="360">
        <v>1</v>
      </c>
      <c r="O1196" s="505">
        <v>6160</v>
      </c>
      <c r="P1196" s="360">
        <v>1</v>
      </c>
      <c r="Q1196" s="505">
        <v>46024</v>
      </c>
    </row>
    <row r="1197" spans="1:17" s="1" customFormat="1" ht="12.95" customHeight="1">
      <c r="A1197" s="505" t="s">
        <v>19554</v>
      </c>
      <c r="B1197" s="821">
        <v>45590</v>
      </c>
      <c r="C1197" s="505">
        <v>2024</v>
      </c>
      <c r="D1197" s="505" t="s">
        <v>17342</v>
      </c>
      <c r="E1197" s="505" t="s">
        <v>17343</v>
      </c>
      <c r="F1197" s="505" t="s">
        <v>20155</v>
      </c>
      <c r="G1197" s="505" t="s">
        <v>16394</v>
      </c>
      <c r="H1197" s="821">
        <v>45594</v>
      </c>
      <c r="I1197" s="505">
        <v>0</v>
      </c>
      <c r="J1197" s="820"/>
      <c r="K1197" s="505">
        <v>17664</v>
      </c>
      <c r="L1197" s="360">
        <v>1</v>
      </c>
      <c r="M1197" s="505">
        <v>6000</v>
      </c>
      <c r="N1197" s="360">
        <v>1</v>
      </c>
      <c r="O1197" s="505">
        <v>0</v>
      </c>
      <c r="P1197" s="360"/>
      <c r="Q1197" s="505">
        <v>23664</v>
      </c>
    </row>
    <row r="1198" spans="1:17" s="1" customFormat="1" ht="12.95" customHeight="1">
      <c r="A1198" s="505" t="s">
        <v>19555</v>
      </c>
      <c r="B1198" s="821">
        <v>45590</v>
      </c>
      <c r="C1198" s="505">
        <v>2024</v>
      </c>
      <c r="D1198" s="505">
        <v>0</v>
      </c>
      <c r="E1198" s="505" t="e">
        <v>#N/A</v>
      </c>
      <c r="F1198" s="505" t="s">
        <v>20155</v>
      </c>
      <c r="G1198" s="505" t="s">
        <v>17939</v>
      </c>
      <c r="H1198" s="821">
        <v>45597</v>
      </c>
      <c r="I1198" s="505">
        <v>150000</v>
      </c>
      <c r="J1198" s="820" t="s">
        <v>20356</v>
      </c>
      <c r="K1198" s="505">
        <v>0</v>
      </c>
      <c r="L1198" s="359"/>
      <c r="M1198" s="505">
        <v>0</v>
      </c>
      <c r="N1198" s="820"/>
      <c r="O1198" s="505">
        <v>0</v>
      </c>
      <c r="P1198" s="360"/>
      <c r="Q1198" s="505">
        <v>150000</v>
      </c>
    </row>
    <row r="1199" spans="1:17" s="1" customFormat="1" ht="12.95" customHeight="1">
      <c r="A1199" s="505" t="s">
        <v>19556</v>
      </c>
      <c r="B1199" s="821">
        <v>45593</v>
      </c>
      <c r="C1199" s="505">
        <v>2024</v>
      </c>
      <c r="D1199" s="505" t="s">
        <v>16444</v>
      </c>
      <c r="E1199" s="505" t="s">
        <v>16445</v>
      </c>
      <c r="F1199" s="505" t="s">
        <v>20155</v>
      </c>
      <c r="G1199" s="505" t="s">
        <v>17693</v>
      </c>
      <c r="H1199" s="821">
        <v>45616</v>
      </c>
      <c r="I1199" s="505">
        <v>20750</v>
      </c>
      <c r="J1199" s="820" t="s">
        <v>20356</v>
      </c>
      <c r="K1199" s="505">
        <v>0</v>
      </c>
      <c r="L1199" s="359"/>
      <c r="M1199" s="505">
        <v>0</v>
      </c>
      <c r="N1199" s="820"/>
      <c r="O1199" s="505">
        <v>0</v>
      </c>
      <c r="P1199" s="360"/>
      <c r="Q1199" s="505">
        <v>20750</v>
      </c>
    </row>
    <row r="1200" spans="1:17" s="1" customFormat="1" ht="12.95" customHeight="1">
      <c r="A1200" s="505" t="s">
        <v>19557</v>
      </c>
      <c r="B1200" s="821">
        <v>45593</v>
      </c>
      <c r="C1200" s="505">
        <v>2024</v>
      </c>
      <c r="D1200" s="505" t="s">
        <v>17017</v>
      </c>
      <c r="E1200" s="505" t="s">
        <v>17018</v>
      </c>
      <c r="F1200" s="505" t="s">
        <v>20155</v>
      </c>
      <c r="G1200" s="505" t="s">
        <v>20350</v>
      </c>
      <c r="H1200" s="821">
        <v>45596</v>
      </c>
      <c r="I1200" s="505">
        <v>0</v>
      </c>
      <c r="J1200" s="820"/>
      <c r="K1200" s="505">
        <v>20500</v>
      </c>
      <c r="L1200" s="360">
        <v>1</v>
      </c>
      <c r="M1200" s="505">
        <v>0</v>
      </c>
      <c r="N1200" s="820"/>
      <c r="O1200" s="505">
        <v>0</v>
      </c>
      <c r="P1200" s="360"/>
      <c r="Q1200" s="505">
        <v>20500</v>
      </c>
    </row>
    <row r="1201" spans="1:17" s="1" customFormat="1" ht="12.95" customHeight="1">
      <c r="A1201" s="505" t="s">
        <v>19558</v>
      </c>
      <c r="B1201" s="821">
        <v>45593</v>
      </c>
      <c r="C1201" s="505">
        <v>2024</v>
      </c>
      <c r="D1201" s="505" t="s">
        <v>16444</v>
      </c>
      <c r="E1201" s="505" t="s">
        <v>16445</v>
      </c>
      <c r="F1201" s="505" t="s">
        <v>20155</v>
      </c>
      <c r="G1201" s="505" t="s">
        <v>18248</v>
      </c>
      <c r="H1201" s="821">
        <v>45596</v>
      </c>
      <c r="I1201" s="505">
        <v>19200</v>
      </c>
      <c r="J1201" s="820" t="s">
        <v>20356</v>
      </c>
      <c r="K1201" s="505">
        <v>0</v>
      </c>
      <c r="L1201" s="359"/>
      <c r="M1201" s="505">
        <v>0</v>
      </c>
      <c r="N1201" s="820"/>
      <c r="O1201" s="505">
        <v>0</v>
      </c>
      <c r="P1201" s="360"/>
      <c r="Q1201" s="505">
        <v>19200</v>
      </c>
    </row>
    <row r="1202" spans="1:17" s="1" customFormat="1" ht="12.95" customHeight="1">
      <c r="A1202" s="505" t="s">
        <v>19559</v>
      </c>
      <c r="B1202" s="821">
        <v>45594</v>
      </c>
      <c r="C1202" s="505">
        <v>2024</v>
      </c>
      <c r="D1202" s="505" t="s">
        <v>17349</v>
      </c>
      <c r="E1202" s="505" t="s">
        <v>17350</v>
      </c>
      <c r="F1202" s="505" t="s">
        <v>20155</v>
      </c>
      <c r="G1202" s="505" t="s">
        <v>20377</v>
      </c>
      <c r="H1202" s="821">
        <v>45618</v>
      </c>
      <c r="I1202" s="505">
        <v>0</v>
      </c>
      <c r="J1202" s="820"/>
      <c r="K1202" s="505">
        <v>0</v>
      </c>
      <c r="L1202" s="359"/>
      <c r="M1202" s="505">
        <v>156000</v>
      </c>
      <c r="N1202" s="360">
        <v>1</v>
      </c>
      <c r="O1202" s="505">
        <v>0</v>
      </c>
      <c r="P1202" s="360"/>
      <c r="Q1202" s="505">
        <v>156000</v>
      </c>
    </row>
    <row r="1203" spans="1:17" s="1" customFormat="1" ht="12.95" customHeight="1">
      <c r="A1203" s="505" t="s">
        <v>19560</v>
      </c>
      <c r="B1203" s="821">
        <v>45594</v>
      </c>
      <c r="C1203" s="505">
        <v>2024</v>
      </c>
      <c r="D1203" s="505" t="s">
        <v>16823</v>
      </c>
      <c r="E1203" s="505" t="s">
        <v>16824</v>
      </c>
      <c r="F1203" s="505" t="s">
        <v>20155</v>
      </c>
      <c r="G1203" s="505" t="s">
        <v>20381</v>
      </c>
      <c r="H1203" s="821">
        <v>45616</v>
      </c>
      <c r="I1203" s="505">
        <v>0</v>
      </c>
      <c r="J1203" s="820"/>
      <c r="K1203" s="505">
        <v>15780</v>
      </c>
      <c r="L1203" s="359" t="s">
        <v>20346</v>
      </c>
      <c r="M1203" s="505">
        <v>37400</v>
      </c>
      <c r="N1203" s="359" t="s">
        <v>20347</v>
      </c>
      <c r="O1203" s="505">
        <v>0</v>
      </c>
      <c r="P1203" s="360"/>
      <c r="Q1203" s="505">
        <v>53180</v>
      </c>
    </row>
    <row r="1204" spans="1:17" s="1" customFormat="1" ht="12.95" customHeight="1">
      <c r="A1204" s="505" t="s">
        <v>19561</v>
      </c>
      <c r="B1204" s="821">
        <v>45594</v>
      </c>
      <c r="C1204" s="505">
        <v>2024</v>
      </c>
      <c r="D1204" s="505" t="s">
        <v>16880</v>
      </c>
      <c r="E1204" s="505" t="s">
        <v>16881</v>
      </c>
      <c r="F1204" s="505" t="s">
        <v>20155</v>
      </c>
      <c r="G1204" s="505" t="s">
        <v>20379</v>
      </c>
      <c r="H1204" s="821">
        <v>45610</v>
      </c>
      <c r="I1204" s="505">
        <v>16000</v>
      </c>
      <c r="J1204" s="360">
        <v>1</v>
      </c>
      <c r="K1204" s="505">
        <v>4820</v>
      </c>
      <c r="L1204" s="360">
        <v>1</v>
      </c>
      <c r="M1204" s="505">
        <v>0</v>
      </c>
      <c r="N1204" s="820"/>
      <c r="O1204" s="505">
        <v>0</v>
      </c>
      <c r="P1204" s="360"/>
      <c r="Q1204" s="505">
        <v>20820</v>
      </c>
    </row>
    <row r="1205" spans="1:17" s="1" customFormat="1" ht="12.95" customHeight="1">
      <c r="A1205" s="505" t="s">
        <v>19562</v>
      </c>
      <c r="B1205" s="821">
        <v>45594</v>
      </c>
      <c r="C1205" s="505">
        <v>2024</v>
      </c>
      <c r="D1205" s="505" t="s">
        <v>17374</v>
      </c>
      <c r="E1205" s="505" t="s">
        <v>17375</v>
      </c>
      <c r="F1205" s="505" t="s">
        <v>20155</v>
      </c>
      <c r="G1205" s="505" t="s">
        <v>20173</v>
      </c>
      <c r="H1205" s="821">
        <v>45607</v>
      </c>
      <c r="I1205" s="505">
        <v>0</v>
      </c>
      <c r="J1205" s="820"/>
      <c r="K1205" s="505">
        <v>93600</v>
      </c>
      <c r="L1205" s="359" t="s">
        <v>20348</v>
      </c>
      <c r="M1205" s="505">
        <v>0</v>
      </c>
      <c r="N1205" s="820"/>
      <c r="O1205" s="505">
        <v>0</v>
      </c>
      <c r="P1205" s="360"/>
      <c r="Q1205" s="505">
        <v>93600</v>
      </c>
    </row>
    <row r="1206" spans="1:17" s="1" customFormat="1" ht="12.95" customHeight="1">
      <c r="A1206" s="505" t="s">
        <v>19563</v>
      </c>
      <c r="B1206" s="821">
        <v>45600</v>
      </c>
      <c r="C1206" s="505">
        <v>2024</v>
      </c>
      <c r="D1206" s="505" t="s">
        <v>17349</v>
      </c>
      <c r="E1206" s="505" t="s">
        <v>17350</v>
      </c>
      <c r="F1206" s="505" t="s">
        <v>20155</v>
      </c>
      <c r="G1206" s="505" t="s">
        <v>20335</v>
      </c>
      <c r="H1206" s="821">
        <v>45614</v>
      </c>
      <c r="I1206" s="505">
        <v>0</v>
      </c>
      <c r="J1206" s="820"/>
      <c r="K1206" s="505">
        <v>0</v>
      </c>
      <c r="L1206" s="359"/>
      <c r="M1206" s="505">
        <v>26000</v>
      </c>
      <c r="N1206" s="359" t="s">
        <v>20347</v>
      </c>
      <c r="O1206" s="505">
        <v>0</v>
      </c>
      <c r="P1206" s="360"/>
      <c r="Q1206" s="505">
        <v>26000</v>
      </c>
    </row>
    <row r="1207" spans="1:17" s="1" customFormat="1" ht="12.95" customHeight="1">
      <c r="A1207" s="505" t="s">
        <v>19564</v>
      </c>
      <c r="B1207" s="821">
        <v>45600</v>
      </c>
      <c r="C1207" s="505">
        <v>2024</v>
      </c>
      <c r="D1207" s="505" t="s">
        <v>17309</v>
      </c>
      <c r="E1207" s="505" t="s">
        <v>17310</v>
      </c>
      <c r="F1207" s="505" t="s">
        <v>20155</v>
      </c>
      <c r="G1207" s="505" t="s">
        <v>20321</v>
      </c>
      <c r="H1207" s="821">
        <v>45604</v>
      </c>
      <c r="I1207" s="505">
        <v>0</v>
      </c>
      <c r="J1207" s="820"/>
      <c r="K1207" s="505">
        <v>57750</v>
      </c>
      <c r="L1207" s="359" t="s">
        <v>20348</v>
      </c>
      <c r="M1207" s="505">
        <v>105000</v>
      </c>
      <c r="N1207" s="359" t="s">
        <v>20347</v>
      </c>
      <c r="O1207" s="505">
        <v>0</v>
      </c>
      <c r="P1207" s="360"/>
      <c r="Q1207" s="505">
        <v>162750</v>
      </c>
    </row>
    <row r="1208" spans="1:17" s="1" customFormat="1" ht="12.95" customHeight="1">
      <c r="A1208" s="505" t="s">
        <v>19565</v>
      </c>
      <c r="B1208" s="821">
        <v>45600</v>
      </c>
      <c r="C1208" s="505">
        <v>2024</v>
      </c>
      <c r="D1208" s="505" t="s">
        <v>17017</v>
      </c>
      <c r="E1208" s="505" t="s">
        <v>17018</v>
      </c>
      <c r="F1208" s="505" t="s">
        <v>20155</v>
      </c>
      <c r="G1208" s="505" t="s">
        <v>18064</v>
      </c>
      <c r="H1208" s="821">
        <v>45611</v>
      </c>
      <c r="I1208" s="505">
        <v>20000</v>
      </c>
      <c r="J1208" s="360">
        <v>1</v>
      </c>
      <c r="K1208" s="505">
        <v>0</v>
      </c>
      <c r="L1208" s="359"/>
      <c r="M1208" s="505">
        <v>0</v>
      </c>
      <c r="N1208" s="820"/>
      <c r="O1208" s="505">
        <v>0</v>
      </c>
      <c r="P1208" s="360"/>
      <c r="Q1208" s="505">
        <v>20000</v>
      </c>
    </row>
    <row r="1209" spans="1:17" s="1" customFormat="1" ht="12.95" customHeight="1">
      <c r="A1209" s="505" t="s">
        <v>19566</v>
      </c>
      <c r="B1209" s="821">
        <v>45600</v>
      </c>
      <c r="C1209" s="505">
        <v>2024</v>
      </c>
      <c r="D1209" s="505" t="s">
        <v>17329</v>
      </c>
      <c r="E1209" s="505" t="s">
        <v>17330</v>
      </c>
      <c r="F1209" s="505" t="s">
        <v>20155</v>
      </c>
      <c r="G1209" s="505" t="s">
        <v>20335</v>
      </c>
      <c r="H1209" s="821">
        <v>45615</v>
      </c>
      <c r="I1209" s="505">
        <v>1000</v>
      </c>
      <c r="J1209" s="820" t="s">
        <v>20356</v>
      </c>
      <c r="K1209" s="505">
        <v>12480</v>
      </c>
      <c r="L1209" s="359" t="s">
        <v>20346</v>
      </c>
      <c r="M1209" s="505">
        <v>26006</v>
      </c>
      <c r="N1209" s="359" t="s">
        <v>20347</v>
      </c>
      <c r="O1209" s="505">
        <v>6125</v>
      </c>
      <c r="P1209" s="360">
        <v>1</v>
      </c>
      <c r="Q1209" s="505">
        <v>45611</v>
      </c>
    </row>
    <row r="1210" spans="1:17" s="1" customFormat="1" ht="12.95" customHeight="1">
      <c r="A1210" s="505" t="s">
        <v>19567</v>
      </c>
      <c r="B1210" s="821">
        <v>45600</v>
      </c>
      <c r="C1210" s="505">
        <v>2024</v>
      </c>
      <c r="D1210" s="505" t="s">
        <v>17394</v>
      </c>
      <c r="E1210" s="505" t="s">
        <v>17395</v>
      </c>
      <c r="F1210" s="505" t="s">
        <v>20155</v>
      </c>
      <c r="G1210" s="505" t="s">
        <v>17939</v>
      </c>
      <c r="H1210" s="821">
        <v>45604</v>
      </c>
      <c r="I1210" s="505">
        <v>60019.199999999997</v>
      </c>
      <c r="J1210" s="820" t="s">
        <v>20356</v>
      </c>
      <c r="K1210" s="505">
        <v>0</v>
      </c>
      <c r="L1210" s="359"/>
      <c r="M1210" s="505">
        <v>0</v>
      </c>
      <c r="N1210" s="820"/>
      <c r="O1210" s="505">
        <v>0</v>
      </c>
      <c r="P1210" s="360"/>
      <c r="Q1210" s="505">
        <v>60019.199999999997</v>
      </c>
    </row>
    <row r="1211" spans="1:17" s="1" customFormat="1" ht="12.95" customHeight="1">
      <c r="A1211" s="505" t="s">
        <v>19568</v>
      </c>
      <c r="B1211" s="821">
        <v>45604</v>
      </c>
      <c r="C1211" s="505">
        <v>2024</v>
      </c>
      <c r="D1211" s="505" t="s">
        <v>16957</v>
      </c>
      <c r="E1211" s="505" t="s">
        <v>16958</v>
      </c>
      <c r="F1211" s="505" t="s">
        <v>20155</v>
      </c>
      <c r="G1211" s="505" t="s">
        <v>20161</v>
      </c>
      <c r="H1211" s="821">
        <v>45610</v>
      </c>
      <c r="I1211" s="505">
        <v>20150</v>
      </c>
      <c r="J1211" s="820" t="s">
        <v>20356</v>
      </c>
      <c r="K1211" s="505">
        <v>0</v>
      </c>
      <c r="L1211" s="359"/>
      <c r="M1211" s="505">
        <v>0</v>
      </c>
      <c r="N1211" s="820"/>
      <c r="O1211" s="505">
        <v>0</v>
      </c>
      <c r="P1211" s="360"/>
      <c r="Q1211" s="505">
        <v>20150</v>
      </c>
    </row>
    <row r="1212" spans="1:17" s="1" customFormat="1" ht="12.95" customHeight="1">
      <c r="A1212" s="505" t="s">
        <v>19569</v>
      </c>
      <c r="B1212" s="821">
        <v>45604</v>
      </c>
      <c r="C1212" s="505">
        <v>2024</v>
      </c>
      <c r="D1212" s="505" t="s">
        <v>16957</v>
      </c>
      <c r="E1212" s="505" t="s">
        <v>16958</v>
      </c>
      <c r="F1212" s="505" t="s">
        <v>20155</v>
      </c>
      <c r="G1212" s="505" t="s">
        <v>20161</v>
      </c>
      <c r="H1212" s="821">
        <v>45615</v>
      </c>
      <c r="I1212" s="505">
        <v>40300</v>
      </c>
      <c r="J1212" s="360">
        <v>1</v>
      </c>
      <c r="K1212" s="505">
        <v>0</v>
      </c>
      <c r="L1212" s="359"/>
      <c r="M1212" s="505">
        <v>0</v>
      </c>
      <c r="N1212" s="820"/>
      <c r="O1212" s="505">
        <v>0</v>
      </c>
      <c r="P1212" s="360"/>
      <c r="Q1212" s="505">
        <v>40300</v>
      </c>
    </row>
    <row r="1213" spans="1:17" s="1" customFormat="1" ht="12.95" customHeight="1">
      <c r="A1213" s="505" t="s">
        <v>19570</v>
      </c>
      <c r="B1213" s="821">
        <v>45604</v>
      </c>
      <c r="C1213" s="505">
        <v>2024</v>
      </c>
      <c r="D1213" s="505" t="s">
        <v>16384</v>
      </c>
      <c r="E1213" s="505" t="s">
        <v>16385</v>
      </c>
      <c r="F1213" s="505" t="s">
        <v>20155</v>
      </c>
      <c r="G1213" s="505" t="s">
        <v>17965</v>
      </c>
      <c r="H1213" s="821">
        <v>45611</v>
      </c>
      <c r="I1213" s="505">
        <v>38400</v>
      </c>
      <c r="J1213" s="820" t="s">
        <v>20356</v>
      </c>
      <c r="K1213" s="505">
        <v>0</v>
      </c>
      <c r="L1213" s="359"/>
      <c r="M1213" s="505">
        <v>0</v>
      </c>
      <c r="N1213" s="820"/>
      <c r="O1213" s="505">
        <v>0</v>
      </c>
      <c r="P1213" s="360"/>
      <c r="Q1213" s="505">
        <v>38400</v>
      </c>
    </row>
    <row r="1214" spans="1:17" s="1" customFormat="1" ht="12.95" customHeight="1">
      <c r="A1214" s="505" t="s">
        <v>19571</v>
      </c>
      <c r="B1214" s="821">
        <v>45608</v>
      </c>
      <c r="C1214" s="505">
        <v>2024</v>
      </c>
      <c r="D1214" s="505" t="s">
        <v>17342</v>
      </c>
      <c r="E1214" s="505" t="s">
        <v>17343</v>
      </c>
      <c r="F1214" s="505" t="s">
        <v>20155</v>
      </c>
      <c r="G1214" s="505" t="s">
        <v>20304</v>
      </c>
      <c r="H1214" s="821">
        <v>45609</v>
      </c>
      <c r="I1214" s="505">
        <v>1600</v>
      </c>
      <c r="J1214" s="360">
        <v>1</v>
      </c>
      <c r="K1214" s="505">
        <v>15984</v>
      </c>
      <c r="L1214" s="360">
        <v>1</v>
      </c>
      <c r="M1214" s="505">
        <v>4800</v>
      </c>
      <c r="N1214" s="360">
        <v>1</v>
      </c>
      <c r="O1214" s="505">
        <v>1120</v>
      </c>
      <c r="P1214" s="360">
        <v>1</v>
      </c>
      <c r="Q1214" s="505">
        <v>23504</v>
      </c>
    </row>
    <row r="1215" spans="1:17" s="1" customFormat="1" ht="12.95" customHeight="1">
      <c r="A1215" s="505" t="s">
        <v>19572</v>
      </c>
      <c r="B1215" s="821">
        <v>45608</v>
      </c>
      <c r="C1215" s="505">
        <v>2024</v>
      </c>
      <c r="D1215" s="505" t="s">
        <v>17374</v>
      </c>
      <c r="E1215" s="505" t="s">
        <v>17375</v>
      </c>
      <c r="F1215" s="505" t="s">
        <v>20155</v>
      </c>
      <c r="G1215" s="505" t="s">
        <v>20173</v>
      </c>
      <c r="H1215" s="821">
        <v>45614</v>
      </c>
      <c r="I1215" s="505">
        <v>0</v>
      </c>
      <c r="J1215" s="820"/>
      <c r="K1215" s="505">
        <v>0</v>
      </c>
      <c r="L1215" s="359"/>
      <c r="M1215" s="505">
        <v>110000</v>
      </c>
      <c r="N1215" s="359" t="s">
        <v>20347</v>
      </c>
      <c r="O1215" s="505">
        <v>0</v>
      </c>
      <c r="P1215" s="360"/>
      <c r="Q1215" s="505">
        <v>110000</v>
      </c>
    </row>
    <row r="1216" spans="1:17" s="1" customFormat="1" ht="12.95" customHeight="1">
      <c r="A1216" s="505" t="s">
        <v>19573</v>
      </c>
      <c r="B1216" s="821">
        <v>45608</v>
      </c>
      <c r="C1216" s="505">
        <v>2024</v>
      </c>
      <c r="D1216" s="505" t="s">
        <v>17379</v>
      </c>
      <c r="E1216" s="505" t="s">
        <v>17380</v>
      </c>
      <c r="F1216" s="505" t="s">
        <v>20155</v>
      </c>
      <c r="G1216" s="505" t="s">
        <v>20159</v>
      </c>
      <c r="H1216" s="821">
        <v>45610</v>
      </c>
      <c r="I1216" s="505">
        <v>0</v>
      </c>
      <c r="J1216" s="820"/>
      <c r="K1216" s="505">
        <v>0</v>
      </c>
      <c r="L1216" s="359"/>
      <c r="M1216" s="505">
        <v>52000</v>
      </c>
      <c r="N1216" s="359" t="s">
        <v>20347</v>
      </c>
      <c r="O1216" s="505">
        <v>0</v>
      </c>
      <c r="P1216" s="360"/>
      <c r="Q1216" s="505">
        <v>52000</v>
      </c>
    </row>
    <row r="1217" spans="1:17" s="1" customFormat="1" ht="12.95" customHeight="1">
      <c r="A1217" s="505" t="s">
        <v>19574</v>
      </c>
      <c r="B1217" s="821">
        <v>45609</v>
      </c>
      <c r="C1217" s="505">
        <v>2024</v>
      </c>
      <c r="D1217" s="505" t="s">
        <v>17342</v>
      </c>
      <c r="E1217" s="505" t="s">
        <v>17343</v>
      </c>
      <c r="F1217" s="505" t="s">
        <v>20155</v>
      </c>
      <c r="G1217" s="505" t="s">
        <v>16394</v>
      </c>
      <c r="H1217" s="821">
        <v>45611</v>
      </c>
      <c r="I1217" s="505">
        <v>2400</v>
      </c>
      <c r="J1217" s="360">
        <v>1</v>
      </c>
      <c r="K1217" s="505">
        <v>30416</v>
      </c>
      <c r="L1217" s="360">
        <v>1</v>
      </c>
      <c r="M1217" s="505">
        <v>10800</v>
      </c>
      <c r="N1217" s="360">
        <v>1</v>
      </c>
      <c r="O1217" s="505">
        <v>1820</v>
      </c>
      <c r="P1217" s="360">
        <v>1</v>
      </c>
      <c r="Q1217" s="505">
        <v>45436</v>
      </c>
    </row>
    <row r="1218" spans="1:17" s="1" customFormat="1" ht="12.95" customHeight="1">
      <c r="A1218" s="505" t="s">
        <v>19575</v>
      </c>
      <c r="B1218" s="821">
        <v>45609</v>
      </c>
      <c r="C1218" s="505">
        <v>2024</v>
      </c>
      <c r="D1218" s="505" t="s">
        <v>17248</v>
      </c>
      <c r="E1218" s="505" t="s">
        <v>17249</v>
      </c>
      <c r="F1218" s="505" t="s">
        <v>20155</v>
      </c>
      <c r="G1218" s="505" t="s">
        <v>17954</v>
      </c>
      <c r="H1218" s="821">
        <v>45615</v>
      </c>
      <c r="I1218" s="505">
        <v>1200</v>
      </c>
      <c r="J1218" s="360">
        <v>1</v>
      </c>
      <c r="K1218" s="505">
        <v>44136</v>
      </c>
      <c r="L1218" s="360">
        <v>1</v>
      </c>
      <c r="M1218" s="505">
        <v>2880</v>
      </c>
      <c r="N1218" s="360">
        <v>1</v>
      </c>
      <c r="O1218" s="505">
        <v>0</v>
      </c>
      <c r="P1218" s="360"/>
      <c r="Q1218" s="505">
        <v>48216</v>
      </c>
    </row>
    <row r="1219" spans="1:17" s="1" customFormat="1" ht="12.95" customHeight="1">
      <c r="A1219" s="505" t="s">
        <v>19576</v>
      </c>
      <c r="B1219" s="821">
        <v>45609</v>
      </c>
      <c r="C1219" s="505">
        <v>2024</v>
      </c>
      <c r="D1219" s="505" t="s">
        <v>16384</v>
      </c>
      <c r="E1219" s="505" t="s">
        <v>16385</v>
      </c>
      <c r="F1219" s="505" t="s">
        <v>20155</v>
      </c>
      <c r="G1219" s="505" t="s">
        <v>18248</v>
      </c>
      <c r="H1219" s="821">
        <v>45615</v>
      </c>
      <c r="I1219" s="505">
        <v>57600</v>
      </c>
      <c r="J1219" s="820" t="s">
        <v>20356</v>
      </c>
      <c r="K1219" s="505">
        <v>0</v>
      </c>
      <c r="L1219" s="359"/>
      <c r="M1219" s="505">
        <v>0</v>
      </c>
      <c r="N1219" s="820"/>
      <c r="O1219" s="505">
        <v>0</v>
      </c>
      <c r="P1219" s="360"/>
      <c r="Q1219" s="505">
        <v>57600</v>
      </c>
    </row>
    <row r="1220" spans="1:17" s="1" customFormat="1" ht="12.95" customHeight="1">
      <c r="A1220" s="505" t="s">
        <v>19577</v>
      </c>
      <c r="B1220" s="821">
        <v>45611</v>
      </c>
      <c r="C1220" s="505">
        <v>2024</v>
      </c>
      <c r="D1220" s="505" t="s">
        <v>16783</v>
      </c>
      <c r="E1220" s="505" t="s">
        <v>16784</v>
      </c>
      <c r="F1220" s="505" t="s">
        <v>20155</v>
      </c>
      <c r="G1220" s="505" t="s">
        <v>17939</v>
      </c>
      <c r="H1220" s="821">
        <v>45615</v>
      </c>
      <c r="I1220" s="505">
        <v>0</v>
      </c>
      <c r="J1220" s="820"/>
      <c r="K1220" s="505">
        <v>32070</v>
      </c>
      <c r="L1220" s="359" t="s">
        <v>20345</v>
      </c>
      <c r="M1220" s="505">
        <v>0</v>
      </c>
      <c r="N1220" s="820"/>
      <c r="O1220" s="505">
        <v>0</v>
      </c>
      <c r="P1220" s="360"/>
      <c r="Q1220" s="505">
        <v>32070</v>
      </c>
    </row>
    <row r="1221" spans="1:17" s="1" customFormat="1" ht="12.95" customHeight="1">
      <c r="A1221" s="505" t="s">
        <v>19578</v>
      </c>
      <c r="B1221" s="821">
        <v>45614</v>
      </c>
      <c r="C1221" s="505">
        <v>2024</v>
      </c>
      <c r="D1221" s="505" t="s">
        <v>16384</v>
      </c>
      <c r="E1221" s="505" t="s">
        <v>16385</v>
      </c>
      <c r="F1221" s="505" t="s">
        <v>20155</v>
      </c>
      <c r="G1221" s="505" t="s">
        <v>17949</v>
      </c>
      <c r="H1221" s="821">
        <v>45618</v>
      </c>
      <c r="I1221" s="505">
        <v>152798</v>
      </c>
      <c r="J1221" s="820" t="s">
        <v>20356</v>
      </c>
      <c r="K1221" s="505">
        <v>28020</v>
      </c>
      <c r="L1221" s="359" t="s">
        <v>20346</v>
      </c>
      <c r="M1221" s="505">
        <v>0</v>
      </c>
      <c r="N1221" s="820"/>
      <c r="O1221" s="505">
        <v>0</v>
      </c>
      <c r="P1221" s="360"/>
      <c r="Q1221" s="505">
        <v>180818</v>
      </c>
    </row>
    <row r="1222" spans="1:17" s="1" customFormat="1" ht="12.95" customHeight="1">
      <c r="A1222" s="505" t="s">
        <v>19579</v>
      </c>
      <c r="B1222" s="821">
        <v>45614</v>
      </c>
      <c r="C1222" s="505">
        <v>2024</v>
      </c>
      <c r="D1222" s="505" t="s">
        <v>16838</v>
      </c>
      <c r="E1222" s="505" t="s">
        <v>16839</v>
      </c>
      <c r="F1222" s="505" t="s">
        <v>20155</v>
      </c>
      <c r="G1222" s="505" t="s">
        <v>17771</v>
      </c>
      <c r="H1222" s="821">
        <v>45629</v>
      </c>
      <c r="I1222" s="505">
        <v>0</v>
      </c>
      <c r="J1222" s="820"/>
      <c r="K1222" s="505">
        <v>0</v>
      </c>
      <c r="L1222" s="359"/>
      <c r="M1222" s="505">
        <v>56000</v>
      </c>
      <c r="N1222" s="359" t="s">
        <v>20347</v>
      </c>
      <c r="O1222" s="505">
        <v>0</v>
      </c>
      <c r="P1222" s="360"/>
      <c r="Q1222" s="505">
        <v>56000</v>
      </c>
    </row>
    <row r="1223" spans="1:17" s="1" customFormat="1" ht="12.95" customHeight="1">
      <c r="A1223" s="505" t="s">
        <v>19580</v>
      </c>
      <c r="B1223" s="821">
        <v>45614</v>
      </c>
      <c r="C1223" s="505">
        <v>2024</v>
      </c>
      <c r="D1223" s="505" t="s">
        <v>17278</v>
      </c>
      <c r="E1223" s="505" t="s">
        <v>17279</v>
      </c>
      <c r="F1223" s="505" t="s">
        <v>20155</v>
      </c>
      <c r="G1223" s="505" t="s">
        <v>20173</v>
      </c>
      <c r="H1223" s="821">
        <v>45645</v>
      </c>
      <c r="I1223" s="505">
        <v>0</v>
      </c>
      <c r="J1223" s="820"/>
      <c r="K1223" s="505">
        <v>155280</v>
      </c>
      <c r="L1223" s="359" t="s">
        <v>20348</v>
      </c>
      <c r="M1223" s="505">
        <v>116928</v>
      </c>
      <c r="N1223" s="359" t="s">
        <v>20347</v>
      </c>
      <c r="O1223" s="505">
        <v>0</v>
      </c>
      <c r="P1223" s="360"/>
      <c r="Q1223" s="505">
        <v>272208</v>
      </c>
    </row>
    <row r="1224" spans="1:17" s="1" customFormat="1" ht="12.95" customHeight="1">
      <c r="A1224" s="505" t="s">
        <v>19581</v>
      </c>
      <c r="B1224" s="821">
        <v>45614</v>
      </c>
      <c r="C1224" s="505">
        <v>2024</v>
      </c>
      <c r="D1224" s="505" t="s">
        <v>16470</v>
      </c>
      <c r="E1224" s="505" t="s">
        <v>16471</v>
      </c>
      <c r="F1224" s="505" t="s">
        <v>20155</v>
      </c>
      <c r="G1224" s="505" t="s">
        <v>20159</v>
      </c>
      <c r="H1224" s="821">
        <v>45626</v>
      </c>
      <c r="I1224" s="505">
        <v>21168</v>
      </c>
      <c r="J1224" s="820" t="s">
        <v>20356</v>
      </c>
      <c r="K1224" s="505">
        <v>293976</v>
      </c>
      <c r="L1224" s="359" t="s">
        <v>20346</v>
      </c>
      <c r="M1224" s="505">
        <v>0</v>
      </c>
      <c r="N1224" s="820"/>
      <c r="O1224" s="505">
        <v>0</v>
      </c>
      <c r="P1224" s="360"/>
      <c r="Q1224" s="505">
        <v>315144</v>
      </c>
    </row>
    <row r="1225" spans="1:17" s="1" customFormat="1" ht="12.95" customHeight="1">
      <c r="A1225" s="505" t="s">
        <v>19582</v>
      </c>
      <c r="B1225" s="821">
        <v>45614</v>
      </c>
      <c r="C1225" s="505">
        <v>2024</v>
      </c>
      <c r="D1225" s="505" t="s">
        <v>16560</v>
      </c>
      <c r="E1225" s="505" t="s">
        <v>16561</v>
      </c>
      <c r="F1225" s="505" t="s">
        <v>20155</v>
      </c>
      <c r="G1225" s="505" t="s">
        <v>17801</v>
      </c>
      <c r="H1225" s="821">
        <v>45646</v>
      </c>
      <c r="I1225" s="505">
        <v>0</v>
      </c>
      <c r="J1225" s="820"/>
      <c r="K1225" s="505">
        <v>175000</v>
      </c>
      <c r="L1225" s="359" t="s">
        <v>20348</v>
      </c>
      <c r="M1225" s="505">
        <v>0</v>
      </c>
      <c r="N1225" s="820"/>
      <c r="O1225" s="505">
        <v>0</v>
      </c>
      <c r="P1225" s="360"/>
      <c r="Q1225" s="505">
        <v>175000</v>
      </c>
    </row>
    <row r="1226" spans="1:17" s="1" customFormat="1" ht="12.95" customHeight="1">
      <c r="A1226" s="505" t="s">
        <v>19583</v>
      </c>
      <c r="B1226" s="821">
        <v>45614</v>
      </c>
      <c r="C1226" s="505">
        <v>2024</v>
      </c>
      <c r="D1226" s="505" t="s">
        <v>16560</v>
      </c>
      <c r="E1226" s="505" t="s">
        <v>16561</v>
      </c>
      <c r="F1226" s="505" t="s">
        <v>20155</v>
      </c>
      <c r="G1226" s="505" t="s">
        <v>17801</v>
      </c>
      <c r="H1226" s="821">
        <v>45621</v>
      </c>
      <c r="I1226" s="505">
        <v>0</v>
      </c>
      <c r="J1226" s="820"/>
      <c r="K1226" s="505">
        <v>0</v>
      </c>
      <c r="L1226" s="359"/>
      <c r="M1226" s="505">
        <v>137500</v>
      </c>
      <c r="N1226" s="359" t="s">
        <v>20347</v>
      </c>
      <c r="O1226" s="505">
        <v>0</v>
      </c>
      <c r="P1226" s="360"/>
      <c r="Q1226" s="505">
        <v>137500</v>
      </c>
    </row>
    <row r="1227" spans="1:17" s="1" customFormat="1" ht="12.95" customHeight="1">
      <c r="A1227" s="505" t="s">
        <v>19584</v>
      </c>
      <c r="B1227" s="821">
        <v>45614</v>
      </c>
      <c r="C1227" s="505">
        <v>2024</v>
      </c>
      <c r="D1227" s="505" t="s">
        <v>16560</v>
      </c>
      <c r="E1227" s="505" t="s">
        <v>16561</v>
      </c>
      <c r="F1227" s="505" t="s">
        <v>20155</v>
      </c>
      <c r="G1227" s="505" t="s">
        <v>17801</v>
      </c>
      <c r="H1227" s="821">
        <v>45622</v>
      </c>
      <c r="I1227" s="505">
        <v>0</v>
      </c>
      <c r="J1227" s="820"/>
      <c r="K1227" s="505">
        <v>0</v>
      </c>
      <c r="L1227" s="359"/>
      <c r="M1227" s="505">
        <v>137500</v>
      </c>
      <c r="N1227" s="359" t="s">
        <v>20347</v>
      </c>
      <c r="O1227" s="505">
        <v>0</v>
      </c>
      <c r="P1227" s="360"/>
      <c r="Q1227" s="505">
        <v>137500</v>
      </c>
    </row>
    <row r="1228" spans="1:17" s="1" customFormat="1" ht="12.95" customHeight="1">
      <c r="A1228" s="505" t="s">
        <v>19585</v>
      </c>
      <c r="B1228" s="821">
        <v>45614</v>
      </c>
      <c r="C1228" s="505">
        <v>2024</v>
      </c>
      <c r="D1228" s="505" t="s">
        <v>16560</v>
      </c>
      <c r="E1228" s="505" t="s">
        <v>16561</v>
      </c>
      <c r="F1228" s="505" t="s">
        <v>20155</v>
      </c>
      <c r="G1228" s="505" t="s">
        <v>17801</v>
      </c>
      <c r="H1228" s="821">
        <v>45624</v>
      </c>
      <c r="I1228" s="505">
        <v>0</v>
      </c>
      <c r="J1228" s="820"/>
      <c r="K1228" s="505">
        <v>0</v>
      </c>
      <c r="L1228" s="359"/>
      <c r="M1228" s="505">
        <v>110000</v>
      </c>
      <c r="N1228" s="359" t="s">
        <v>20347</v>
      </c>
      <c r="O1228" s="505">
        <v>0</v>
      </c>
      <c r="P1228" s="360"/>
      <c r="Q1228" s="505">
        <v>110000</v>
      </c>
    </row>
    <row r="1229" spans="1:17" s="1" customFormat="1" ht="12.95" customHeight="1">
      <c r="A1229" s="505" t="s">
        <v>19586</v>
      </c>
      <c r="B1229" s="821">
        <v>45614</v>
      </c>
      <c r="C1229" s="505">
        <v>2024</v>
      </c>
      <c r="D1229" s="505" t="s">
        <v>17209</v>
      </c>
      <c r="E1229" s="505" t="s">
        <v>17210</v>
      </c>
      <c r="F1229" s="505" t="s">
        <v>20155</v>
      </c>
      <c r="G1229" s="505" t="s">
        <v>20168</v>
      </c>
      <c r="H1229" s="821">
        <v>45621</v>
      </c>
      <c r="I1229" s="505">
        <v>3000</v>
      </c>
      <c r="J1229" s="360">
        <v>1</v>
      </c>
      <c r="K1229" s="505">
        <v>9600</v>
      </c>
      <c r="L1229" s="360">
        <v>1</v>
      </c>
      <c r="M1229" s="505">
        <v>7680</v>
      </c>
      <c r="N1229" s="360">
        <v>1</v>
      </c>
      <c r="O1229" s="505">
        <v>3000</v>
      </c>
      <c r="P1229" s="360">
        <v>1</v>
      </c>
      <c r="Q1229" s="505">
        <v>23280</v>
      </c>
    </row>
    <row r="1230" spans="1:17" s="1" customFormat="1" ht="12.95" customHeight="1">
      <c r="A1230" s="505" t="s">
        <v>19587</v>
      </c>
      <c r="B1230" s="821">
        <v>45615</v>
      </c>
      <c r="C1230" s="505">
        <v>2024</v>
      </c>
      <c r="D1230" s="505" t="s">
        <v>17304</v>
      </c>
      <c r="E1230" s="505" t="s">
        <v>17305</v>
      </c>
      <c r="F1230" s="505" t="s">
        <v>20155</v>
      </c>
      <c r="G1230" s="505" t="s">
        <v>17954</v>
      </c>
      <c r="H1230" s="821">
        <v>45626</v>
      </c>
      <c r="I1230" s="505">
        <v>1700</v>
      </c>
      <c r="J1230" s="360">
        <v>1</v>
      </c>
      <c r="K1230" s="505">
        <v>12480</v>
      </c>
      <c r="L1230" s="360">
        <v>1</v>
      </c>
      <c r="M1230" s="505">
        <v>6120</v>
      </c>
      <c r="N1230" s="360">
        <v>1</v>
      </c>
      <c r="O1230" s="505">
        <v>4700</v>
      </c>
      <c r="P1230" s="360">
        <v>1</v>
      </c>
      <c r="Q1230" s="505">
        <v>25000</v>
      </c>
    </row>
    <row r="1231" spans="1:17" s="1" customFormat="1" ht="12.95" customHeight="1">
      <c r="A1231" s="505" t="s">
        <v>19588</v>
      </c>
      <c r="B1231" s="821">
        <v>45616</v>
      </c>
      <c r="C1231" s="505">
        <v>2024</v>
      </c>
      <c r="D1231" s="505" t="s">
        <v>17304</v>
      </c>
      <c r="E1231" s="505" t="s">
        <v>17305</v>
      </c>
      <c r="F1231" s="505" t="s">
        <v>20155</v>
      </c>
      <c r="G1231" s="505" t="s">
        <v>17954</v>
      </c>
      <c r="H1231" s="821">
        <v>45625</v>
      </c>
      <c r="I1231" s="505">
        <v>1500</v>
      </c>
      <c r="J1231" s="360">
        <v>1</v>
      </c>
      <c r="K1231" s="505">
        <v>16884</v>
      </c>
      <c r="L1231" s="360">
        <v>1</v>
      </c>
      <c r="M1231" s="505">
        <v>4320</v>
      </c>
      <c r="N1231" s="360">
        <v>1</v>
      </c>
      <c r="O1231" s="505">
        <v>2200</v>
      </c>
      <c r="P1231" s="360">
        <v>1</v>
      </c>
      <c r="Q1231" s="505">
        <v>24904</v>
      </c>
    </row>
    <row r="1232" spans="1:17" s="1" customFormat="1" ht="12.95" customHeight="1">
      <c r="A1232" s="505" t="s">
        <v>19589</v>
      </c>
      <c r="B1232" s="821">
        <v>45616</v>
      </c>
      <c r="C1232" s="505">
        <v>2024</v>
      </c>
      <c r="D1232" s="505" t="s">
        <v>17342</v>
      </c>
      <c r="E1232" s="505" t="s">
        <v>17343</v>
      </c>
      <c r="F1232" s="505" t="s">
        <v>20155</v>
      </c>
      <c r="G1232" s="505" t="s">
        <v>16394</v>
      </c>
      <c r="H1232" s="821">
        <v>45618</v>
      </c>
      <c r="I1232" s="505">
        <v>0</v>
      </c>
      <c r="J1232" s="820"/>
      <c r="K1232" s="505">
        <v>16296</v>
      </c>
      <c r="L1232" s="360">
        <v>1</v>
      </c>
      <c r="M1232" s="505">
        <v>7200</v>
      </c>
      <c r="N1232" s="360">
        <v>1</v>
      </c>
      <c r="O1232" s="505">
        <v>560</v>
      </c>
      <c r="P1232" s="360">
        <v>1</v>
      </c>
      <c r="Q1232" s="505">
        <v>24056</v>
      </c>
    </row>
    <row r="1233" spans="1:17" s="1" customFormat="1" ht="12.95" customHeight="1">
      <c r="A1233" s="505" t="s">
        <v>19590</v>
      </c>
      <c r="B1233" s="821">
        <v>45616</v>
      </c>
      <c r="C1233" s="505">
        <v>2024</v>
      </c>
      <c r="D1233" s="505" t="s">
        <v>17379</v>
      </c>
      <c r="E1233" s="505" t="s">
        <v>17380</v>
      </c>
      <c r="F1233" s="505" t="s">
        <v>20155</v>
      </c>
      <c r="G1233" s="505" t="s">
        <v>20159</v>
      </c>
      <c r="H1233" s="821">
        <v>45635</v>
      </c>
      <c r="I1233" s="505">
        <v>0</v>
      </c>
      <c r="J1233" s="820"/>
      <c r="K1233" s="505">
        <v>0</v>
      </c>
      <c r="L1233" s="359"/>
      <c r="M1233" s="505">
        <v>78000</v>
      </c>
      <c r="N1233" s="359" t="s">
        <v>20347</v>
      </c>
      <c r="O1233" s="505">
        <v>0</v>
      </c>
      <c r="P1233" s="360"/>
      <c r="Q1233" s="505">
        <v>78000</v>
      </c>
    </row>
    <row r="1234" spans="1:17" s="1" customFormat="1" ht="12.95" customHeight="1">
      <c r="A1234" s="505" t="s">
        <v>19591</v>
      </c>
      <c r="B1234" s="821">
        <v>45616</v>
      </c>
      <c r="C1234" s="505">
        <v>2024</v>
      </c>
      <c r="D1234" s="505" t="s">
        <v>16972</v>
      </c>
      <c r="E1234" s="505" t="s">
        <v>16973</v>
      </c>
      <c r="F1234" s="505" t="s">
        <v>20155</v>
      </c>
      <c r="G1234" s="505" t="s">
        <v>20195</v>
      </c>
      <c r="H1234" s="821">
        <v>45631</v>
      </c>
      <c r="I1234" s="505">
        <v>19200</v>
      </c>
      <c r="J1234" s="820" t="s">
        <v>20356</v>
      </c>
      <c r="K1234" s="505">
        <v>0</v>
      </c>
      <c r="L1234" s="359"/>
      <c r="M1234" s="505">
        <v>0</v>
      </c>
      <c r="N1234" s="820"/>
      <c r="O1234" s="505">
        <v>0</v>
      </c>
      <c r="P1234" s="360"/>
      <c r="Q1234" s="505">
        <v>19200</v>
      </c>
    </row>
    <row r="1235" spans="1:17" s="1" customFormat="1" ht="12.95" customHeight="1">
      <c r="A1235" s="505" t="s">
        <v>19592</v>
      </c>
      <c r="B1235" s="821">
        <v>45616</v>
      </c>
      <c r="C1235" s="505">
        <v>2024</v>
      </c>
      <c r="D1235" s="505" t="s">
        <v>16972</v>
      </c>
      <c r="E1235" s="505" t="s">
        <v>16973</v>
      </c>
      <c r="F1235" s="505" t="s">
        <v>20155</v>
      </c>
      <c r="G1235" s="505" t="s">
        <v>17801</v>
      </c>
      <c r="H1235" s="821">
        <v>45637</v>
      </c>
      <c r="I1235" s="505">
        <v>39200</v>
      </c>
      <c r="J1235" s="820" t="s">
        <v>20356</v>
      </c>
      <c r="K1235" s="505">
        <v>0</v>
      </c>
      <c r="L1235" s="359"/>
      <c r="M1235" s="505">
        <v>0</v>
      </c>
      <c r="N1235" s="820"/>
      <c r="O1235" s="505">
        <v>0</v>
      </c>
      <c r="P1235" s="360"/>
      <c r="Q1235" s="505">
        <v>39200</v>
      </c>
    </row>
    <row r="1236" spans="1:17" s="1" customFormat="1" ht="12.95" customHeight="1">
      <c r="A1236" s="505" t="s">
        <v>19593</v>
      </c>
      <c r="B1236" s="821">
        <v>45616</v>
      </c>
      <c r="C1236" s="505">
        <v>2024</v>
      </c>
      <c r="D1236" s="505" t="s">
        <v>16904</v>
      </c>
      <c r="E1236" s="505" t="s">
        <v>16905</v>
      </c>
      <c r="F1236" s="505" t="s">
        <v>20155</v>
      </c>
      <c r="G1236" s="505" t="s">
        <v>20160</v>
      </c>
      <c r="H1236" s="821">
        <v>45623</v>
      </c>
      <c r="I1236" s="505">
        <v>0</v>
      </c>
      <c r="J1236" s="820"/>
      <c r="K1236" s="505">
        <v>15984</v>
      </c>
      <c r="L1236" s="360">
        <v>1</v>
      </c>
      <c r="M1236" s="505">
        <v>10500</v>
      </c>
      <c r="N1236" s="360">
        <v>1</v>
      </c>
      <c r="O1236" s="505">
        <v>0</v>
      </c>
      <c r="P1236" s="360"/>
      <c r="Q1236" s="505">
        <v>26484</v>
      </c>
    </row>
    <row r="1237" spans="1:17" s="1" customFormat="1" ht="12.95" customHeight="1">
      <c r="A1237" s="505" t="s">
        <v>19594</v>
      </c>
      <c r="B1237" s="821">
        <v>45616</v>
      </c>
      <c r="C1237" s="505">
        <v>2024</v>
      </c>
      <c r="D1237" s="505" t="s">
        <v>16904</v>
      </c>
      <c r="E1237" s="505" t="s">
        <v>16905</v>
      </c>
      <c r="F1237" s="505" t="s">
        <v>20155</v>
      </c>
      <c r="G1237" s="505" t="s">
        <v>20160</v>
      </c>
      <c r="H1237" s="821">
        <v>45623</v>
      </c>
      <c r="I1237" s="505">
        <v>0</v>
      </c>
      <c r="J1237" s="820"/>
      <c r="K1237" s="505">
        <v>20664</v>
      </c>
      <c r="L1237" s="360">
        <v>1</v>
      </c>
      <c r="M1237" s="505">
        <v>3000</v>
      </c>
      <c r="N1237" s="360">
        <v>1</v>
      </c>
      <c r="O1237" s="505">
        <v>0</v>
      </c>
      <c r="P1237" s="360"/>
      <c r="Q1237" s="505">
        <v>23664</v>
      </c>
    </row>
    <row r="1238" spans="1:17" s="1" customFormat="1" ht="12.95" customHeight="1">
      <c r="A1238" s="505" t="s">
        <v>19595</v>
      </c>
      <c r="B1238" s="821">
        <v>45616</v>
      </c>
      <c r="C1238" s="505">
        <v>2024</v>
      </c>
      <c r="D1238" s="505" t="s">
        <v>16783</v>
      </c>
      <c r="E1238" s="505" t="s">
        <v>16784</v>
      </c>
      <c r="F1238" s="505" t="s">
        <v>20155</v>
      </c>
      <c r="G1238" s="505" t="s">
        <v>17939</v>
      </c>
      <c r="H1238" s="821">
        <v>45621</v>
      </c>
      <c r="I1238" s="505">
        <v>72000</v>
      </c>
      <c r="J1238" s="820" t="s">
        <v>20356</v>
      </c>
      <c r="K1238" s="505">
        <v>216000</v>
      </c>
      <c r="L1238" s="359" t="s">
        <v>20345</v>
      </c>
      <c r="M1238" s="505">
        <v>0</v>
      </c>
      <c r="N1238" s="820"/>
      <c r="O1238" s="505">
        <v>0</v>
      </c>
      <c r="P1238" s="360"/>
      <c r="Q1238" s="505">
        <v>288000</v>
      </c>
    </row>
    <row r="1239" spans="1:17" s="1" customFormat="1" ht="12.95" customHeight="1">
      <c r="A1239" s="505" t="s">
        <v>19596</v>
      </c>
      <c r="B1239" s="821">
        <v>45617</v>
      </c>
      <c r="C1239" s="505">
        <v>2024</v>
      </c>
      <c r="D1239" s="505" t="s">
        <v>16444</v>
      </c>
      <c r="E1239" s="505" t="s">
        <v>16445</v>
      </c>
      <c r="F1239" s="505" t="s">
        <v>20155</v>
      </c>
      <c r="G1239" s="505" t="s">
        <v>18248</v>
      </c>
      <c r="H1239" s="821">
        <v>45635</v>
      </c>
      <c r="I1239" s="505">
        <v>19200</v>
      </c>
      <c r="J1239" s="820" t="s">
        <v>20356</v>
      </c>
      <c r="K1239" s="505">
        <v>0</v>
      </c>
      <c r="L1239" s="359"/>
      <c r="M1239" s="505">
        <v>0</v>
      </c>
      <c r="N1239" s="820"/>
      <c r="O1239" s="505">
        <v>0</v>
      </c>
      <c r="P1239" s="360"/>
      <c r="Q1239" s="505">
        <v>19200</v>
      </c>
    </row>
    <row r="1240" spans="1:17" s="1" customFormat="1" ht="12.95" customHeight="1">
      <c r="A1240" s="505" t="s">
        <v>19597</v>
      </c>
      <c r="B1240" s="821">
        <v>45622</v>
      </c>
      <c r="C1240" s="505">
        <v>2024</v>
      </c>
      <c r="D1240" s="505" t="s">
        <v>17017</v>
      </c>
      <c r="E1240" s="505" t="s">
        <v>17018</v>
      </c>
      <c r="F1240" s="505" t="s">
        <v>20155</v>
      </c>
      <c r="G1240" s="505" t="s">
        <v>18261</v>
      </c>
      <c r="H1240" s="821">
        <v>45644</v>
      </c>
      <c r="I1240" s="505">
        <v>0</v>
      </c>
      <c r="J1240" s="820"/>
      <c r="K1240" s="505">
        <v>5040</v>
      </c>
      <c r="L1240" s="360">
        <v>1</v>
      </c>
      <c r="M1240" s="505">
        <v>800</v>
      </c>
      <c r="N1240" s="360">
        <v>1</v>
      </c>
      <c r="O1240" s="505">
        <v>610</v>
      </c>
      <c r="P1240" s="360">
        <v>1</v>
      </c>
      <c r="Q1240" s="505">
        <v>6450</v>
      </c>
    </row>
    <row r="1241" spans="1:17" s="1" customFormat="1" ht="12.95" customHeight="1">
      <c r="A1241" s="505" t="s">
        <v>19598</v>
      </c>
      <c r="B1241" s="821">
        <v>45618</v>
      </c>
      <c r="C1241" s="505">
        <v>2024</v>
      </c>
      <c r="D1241" s="505" t="s">
        <v>17394</v>
      </c>
      <c r="E1241" s="505" t="s">
        <v>17395</v>
      </c>
      <c r="F1241" s="505" t="s">
        <v>20155</v>
      </c>
      <c r="G1241" s="505" t="s">
        <v>17939</v>
      </c>
      <c r="H1241" s="821">
        <v>45628</v>
      </c>
      <c r="I1241" s="505">
        <v>39984</v>
      </c>
      <c r="J1241" s="820" t="s">
        <v>20356</v>
      </c>
      <c r="K1241" s="505">
        <v>0</v>
      </c>
      <c r="L1241" s="359"/>
      <c r="M1241" s="505">
        <v>0</v>
      </c>
      <c r="N1241" s="820"/>
      <c r="O1241" s="505">
        <v>0</v>
      </c>
      <c r="P1241" s="360"/>
      <c r="Q1241" s="505">
        <v>39984</v>
      </c>
    </row>
    <row r="1242" spans="1:17" s="1" customFormat="1" ht="12.95" customHeight="1">
      <c r="A1242" s="505" t="s">
        <v>19599</v>
      </c>
      <c r="B1242" s="821">
        <v>45623</v>
      </c>
      <c r="C1242" s="505">
        <v>2024</v>
      </c>
      <c r="D1242" s="505" t="s">
        <v>17342</v>
      </c>
      <c r="E1242" s="505" t="s">
        <v>17343</v>
      </c>
      <c r="F1242" s="505" t="s">
        <v>20155</v>
      </c>
      <c r="G1242" s="505" t="s">
        <v>20306</v>
      </c>
      <c r="H1242" s="821">
        <v>45637</v>
      </c>
      <c r="I1242" s="505">
        <v>800</v>
      </c>
      <c r="J1242" s="360">
        <v>1</v>
      </c>
      <c r="K1242" s="505">
        <v>15792</v>
      </c>
      <c r="L1242" s="360">
        <v>1</v>
      </c>
      <c r="M1242" s="505">
        <v>2400</v>
      </c>
      <c r="N1242" s="360">
        <v>1</v>
      </c>
      <c r="O1242" s="505">
        <v>560</v>
      </c>
      <c r="P1242" s="360">
        <v>1</v>
      </c>
      <c r="Q1242" s="505">
        <v>19552</v>
      </c>
    </row>
    <row r="1243" spans="1:17" s="1" customFormat="1" ht="12.95" customHeight="1">
      <c r="A1243" s="505" t="s">
        <v>19600</v>
      </c>
      <c r="B1243" s="821">
        <v>45623</v>
      </c>
      <c r="C1243" s="505">
        <v>2024</v>
      </c>
      <c r="D1243" s="505" t="s">
        <v>17342</v>
      </c>
      <c r="E1243" s="505" t="s">
        <v>17343</v>
      </c>
      <c r="F1243" s="505" t="s">
        <v>20155</v>
      </c>
      <c r="G1243" s="505" t="s">
        <v>16394</v>
      </c>
      <c r="H1243" s="821">
        <v>45628</v>
      </c>
      <c r="I1243" s="505">
        <v>2400</v>
      </c>
      <c r="J1243" s="360">
        <v>1</v>
      </c>
      <c r="K1243" s="505">
        <v>35760</v>
      </c>
      <c r="L1243" s="360">
        <v>1</v>
      </c>
      <c r="M1243" s="505">
        <v>8400</v>
      </c>
      <c r="N1243" s="360">
        <v>1</v>
      </c>
      <c r="O1243" s="505">
        <v>1260</v>
      </c>
      <c r="P1243" s="360">
        <v>1</v>
      </c>
      <c r="Q1243" s="505">
        <v>47820</v>
      </c>
    </row>
    <row r="1244" spans="1:17" s="1" customFormat="1" ht="12.95" customHeight="1">
      <c r="A1244" s="505" t="s">
        <v>19601</v>
      </c>
      <c r="B1244" s="821">
        <v>45625</v>
      </c>
      <c r="C1244" s="505">
        <v>2024</v>
      </c>
      <c r="D1244" s="505" t="s">
        <v>17376</v>
      </c>
      <c r="E1244" s="505" t="s">
        <v>17377</v>
      </c>
      <c r="F1244" s="505" t="s">
        <v>20155</v>
      </c>
      <c r="G1244" s="505" t="s">
        <v>17939</v>
      </c>
      <c r="H1244" s="821">
        <v>45632</v>
      </c>
      <c r="I1244" s="505">
        <v>100003</v>
      </c>
      <c r="J1244" s="820" t="s">
        <v>20356</v>
      </c>
      <c r="K1244" s="505">
        <v>0</v>
      </c>
      <c r="L1244" s="359"/>
      <c r="M1244" s="505">
        <v>0</v>
      </c>
      <c r="N1244" s="820"/>
      <c r="O1244" s="505">
        <v>0</v>
      </c>
      <c r="P1244" s="360"/>
      <c r="Q1244" s="505">
        <v>100003</v>
      </c>
    </row>
    <row r="1245" spans="1:17" s="1" customFormat="1" ht="12.95" customHeight="1">
      <c r="A1245" s="505" t="s">
        <v>19602</v>
      </c>
      <c r="B1245" s="821">
        <v>45628</v>
      </c>
      <c r="C1245" s="505">
        <v>2024</v>
      </c>
      <c r="D1245" s="505" t="s">
        <v>16783</v>
      </c>
      <c r="E1245" s="505" t="s">
        <v>16784</v>
      </c>
      <c r="F1245" s="505" t="s">
        <v>20155</v>
      </c>
      <c r="G1245" s="505" t="s">
        <v>17939</v>
      </c>
      <c r="H1245" s="821">
        <v>45630</v>
      </c>
      <c r="I1245" s="505">
        <v>36000</v>
      </c>
      <c r="J1245" s="820" t="s">
        <v>20356</v>
      </c>
      <c r="K1245" s="505">
        <v>187200</v>
      </c>
      <c r="L1245" s="359" t="s">
        <v>20345</v>
      </c>
      <c r="M1245" s="505">
        <v>67200</v>
      </c>
      <c r="N1245" s="359" t="s">
        <v>20345</v>
      </c>
      <c r="O1245" s="505">
        <v>0</v>
      </c>
      <c r="P1245" s="360"/>
      <c r="Q1245" s="505">
        <v>290400</v>
      </c>
    </row>
    <row r="1246" spans="1:17" s="1" customFormat="1" ht="12.95" customHeight="1">
      <c r="A1246" s="505" t="s">
        <v>19603</v>
      </c>
      <c r="B1246" s="821">
        <v>45631</v>
      </c>
      <c r="C1246" s="505">
        <v>2024</v>
      </c>
      <c r="D1246" s="505" t="s">
        <v>16957</v>
      </c>
      <c r="E1246" s="505" t="s">
        <v>16958</v>
      </c>
      <c r="F1246" s="505" t="s">
        <v>20155</v>
      </c>
      <c r="G1246" s="505" t="s">
        <v>20161</v>
      </c>
      <c r="H1246" s="821">
        <v>45649</v>
      </c>
      <c r="I1246" s="505">
        <v>40300</v>
      </c>
      <c r="J1246" s="360">
        <v>1</v>
      </c>
      <c r="K1246" s="505">
        <v>0</v>
      </c>
      <c r="L1246" s="359"/>
      <c r="M1246" s="505">
        <v>0</v>
      </c>
      <c r="N1246" s="820"/>
      <c r="O1246" s="505">
        <v>0</v>
      </c>
      <c r="P1246" s="360"/>
      <c r="Q1246" s="505">
        <v>40300</v>
      </c>
    </row>
    <row r="1247" spans="1:17" s="1" customFormat="1" ht="12.95" customHeight="1">
      <c r="A1247" s="505" t="s">
        <v>19604</v>
      </c>
      <c r="B1247" s="821">
        <v>45631</v>
      </c>
      <c r="C1247" s="505">
        <v>2024</v>
      </c>
      <c r="D1247" s="505" t="s">
        <v>16904</v>
      </c>
      <c r="E1247" s="505" t="s">
        <v>16905</v>
      </c>
      <c r="F1247" s="505" t="s">
        <v>20155</v>
      </c>
      <c r="G1247" s="505" t="s">
        <v>20160</v>
      </c>
      <c r="H1247" s="821">
        <v>45638</v>
      </c>
      <c r="I1247" s="505">
        <v>0</v>
      </c>
      <c r="J1247" s="820"/>
      <c r="K1247" s="505">
        <v>15336</v>
      </c>
      <c r="L1247" s="360">
        <v>1</v>
      </c>
      <c r="M1247" s="505">
        <v>12000</v>
      </c>
      <c r="N1247" s="360">
        <v>1</v>
      </c>
      <c r="O1247" s="505">
        <v>0</v>
      </c>
      <c r="P1247" s="360"/>
      <c r="Q1247" s="505">
        <v>27336</v>
      </c>
    </row>
    <row r="1248" spans="1:17" s="1" customFormat="1" ht="12.95" customHeight="1">
      <c r="A1248" s="505" t="s">
        <v>19605</v>
      </c>
      <c r="B1248" s="821">
        <v>45631</v>
      </c>
      <c r="C1248" s="505">
        <v>2024</v>
      </c>
      <c r="D1248" s="505" t="s">
        <v>16904</v>
      </c>
      <c r="E1248" s="505" t="s">
        <v>16905</v>
      </c>
      <c r="F1248" s="505" t="s">
        <v>20155</v>
      </c>
      <c r="G1248" s="505" t="s">
        <v>20160</v>
      </c>
      <c r="H1248" s="821">
        <v>45638</v>
      </c>
      <c r="I1248" s="505">
        <v>0</v>
      </c>
      <c r="J1248" s="820"/>
      <c r="K1248" s="505">
        <v>27505</v>
      </c>
      <c r="L1248" s="360">
        <v>1</v>
      </c>
      <c r="M1248" s="505">
        <v>0</v>
      </c>
      <c r="N1248" s="820"/>
      <c r="O1248" s="505">
        <v>0</v>
      </c>
      <c r="P1248" s="360"/>
      <c r="Q1248" s="505">
        <v>27505</v>
      </c>
    </row>
    <row r="1249" spans="1:17" s="1" customFormat="1" ht="12.95" customHeight="1">
      <c r="A1249" s="505" t="s">
        <v>19606</v>
      </c>
      <c r="B1249" s="821">
        <v>45631</v>
      </c>
      <c r="C1249" s="505">
        <v>2024</v>
      </c>
      <c r="D1249" s="505" t="s">
        <v>16444</v>
      </c>
      <c r="E1249" s="505" t="s">
        <v>16445</v>
      </c>
      <c r="F1249" s="505" t="s">
        <v>20155</v>
      </c>
      <c r="G1249" s="505" t="s">
        <v>18248</v>
      </c>
      <c r="H1249" s="821">
        <v>45644</v>
      </c>
      <c r="I1249" s="505">
        <v>0</v>
      </c>
      <c r="J1249" s="820"/>
      <c r="K1249" s="505">
        <v>43200</v>
      </c>
      <c r="L1249" s="359" t="s">
        <v>20346</v>
      </c>
      <c r="M1249" s="505">
        <v>0</v>
      </c>
      <c r="N1249" s="820"/>
      <c r="O1249" s="505">
        <v>0</v>
      </c>
      <c r="P1249" s="360"/>
      <c r="Q1249" s="505">
        <v>43200</v>
      </c>
    </row>
    <row r="1250" spans="1:17" s="1" customFormat="1" ht="12.95" customHeight="1">
      <c r="A1250" s="505" t="s">
        <v>19607</v>
      </c>
      <c r="B1250" s="821">
        <v>45631</v>
      </c>
      <c r="C1250" s="505">
        <v>2024</v>
      </c>
      <c r="D1250" s="505" t="s">
        <v>16700</v>
      </c>
      <c r="E1250" s="505" t="s">
        <v>16701</v>
      </c>
      <c r="F1250" s="505" t="s">
        <v>20155</v>
      </c>
      <c r="G1250" s="505" t="s">
        <v>17949</v>
      </c>
      <c r="H1250" s="821">
        <v>45644</v>
      </c>
      <c r="I1250" s="505">
        <v>110040</v>
      </c>
      <c r="J1250" s="820" t="s">
        <v>20356</v>
      </c>
      <c r="K1250" s="505">
        <v>0</v>
      </c>
      <c r="L1250" s="359"/>
      <c r="M1250" s="505">
        <v>0</v>
      </c>
      <c r="N1250" s="820"/>
      <c r="O1250" s="505">
        <v>0</v>
      </c>
      <c r="P1250" s="360"/>
      <c r="Q1250" s="505">
        <v>110040</v>
      </c>
    </row>
    <row r="1251" spans="1:17" s="1" customFormat="1" ht="12.95" customHeight="1">
      <c r="A1251" s="505" t="s">
        <v>19608</v>
      </c>
      <c r="B1251" s="821">
        <v>45631</v>
      </c>
      <c r="C1251" s="505">
        <v>2024</v>
      </c>
      <c r="D1251" s="505" t="s">
        <v>16560</v>
      </c>
      <c r="E1251" s="505" t="s">
        <v>16561</v>
      </c>
      <c r="F1251" s="505" t="s">
        <v>20155</v>
      </c>
      <c r="G1251" s="505" t="s">
        <v>17801</v>
      </c>
      <c r="H1251" s="821">
        <v>45637</v>
      </c>
      <c r="I1251" s="505">
        <v>0</v>
      </c>
      <c r="J1251" s="820"/>
      <c r="K1251" s="505">
        <v>0</v>
      </c>
      <c r="L1251" s="359"/>
      <c r="M1251" s="505">
        <v>55000</v>
      </c>
      <c r="N1251" s="359" t="s">
        <v>20347</v>
      </c>
      <c r="O1251" s="505">
        <v>0</v>
      </c>
      <c r="P1251" s="360"/>
      <c r="Q1251" s="505">
        <v>55000</v>
      </c>
    </row>
    <row r="1252" spans="1:17" s="1" customFormat="1" ht="12.95" customHeight="1">
      <c r="A1252" s="505" t="s">
        <v>19609</v>
      </c>
      <c r="B1252" s="821">
        <v>45631</v>
      </c>
      <c r="C1252" s="505">
        <v>2024</v>
      </c>
      <c r="D1252" s="505" t="s">
        <v>16384</v>
      </c>
      <c r="E1252" s="505" t="s">
        <v>16385</v>
      </c>
      <c r="F1252" s="505" t="s">
        <v>20155</v>
      </c>
      <c r="G1252" s="505" t="s">
        <v>17949</v>
      </c>
      <c r="H1252" s="821">
        <v>45637</v>
      </c>
      <c r="I1252" s="505">
        <v>0</v>
      </c>
      <c r="J1252" s="820"/>
      <c r="K1252" s="505">
        <v>0</v>
      </c>
      <c r="L1252" s="359"/>
      <c r="M1252" s="505">
        <v>84000</v>
      </c>
      <c r="N1252" s="359" t="s">
        <v>20347</v>
      </c>
      <c r="O1252" s="505">
        <v>0</v>
      </c>
      <c r="P1252" s="360"/>
      <c r="Q1252" s="505">
        <v>84000</v>
      </c>
    </row>
    <row r="1253" spans="1:17" s="1" customFormat="1" ht="12.95" customHeight="1">
      <c r="A1253" s="505" t="s">
        <v>19610</v>
      </c>
      <c r="B1253" s="821">
        <v>45632</v>
      </c>
      <c r="C1253" s="505">
        <v>2024</v>
      </c>
      <c r="D1253" s="505" t="s">
        <v>16904</v>
      </c>
      <c r="E1253" s="505" t="s">
        <v>16905</v>
      </c>
      <c r="F1253" s="505" t="s">
        <v>20155</v>
      </c>
      <c r="G1253" s="505" t="s">
        <v>20160</v>
      </c>
      <c r="H1253" s="821">
        <v>45657</v>
      </c>
      <c r="I1253" s="505">
        <v>0</v>
      </c>
      <c r="J1253" s="820"/>
      <c r="K1253" s="505">
        <v>22680</v>
      </c>
      <c r="L1253" s="360">
        <v>1</v>
      </c>
      <c r="M1253" s="505">
        <v>0</v>
      </c>
      <c r="N1253" s="820"/>
      <c r="O1253" s="505">
        <v>0</v>
      </c>
      <c r="P1253" s="360"/>
      <c r="Q1253" s="505">
        <v>22680</v>
      </c>
    </row>
    <row r="1254" spans="1:17" s="1" customFormat="1" ht="12.95" customHeight="1">
      <c r="A1254" s="505" t="s">
        <v>19611</v>
      </c>
      <c r="B1254" s="821">
        <v>45635</v>
      </c>
      <c r="C1254" s="505">
        <v>2024</v>
      </c>
      <c r="D1254" s="505" t="s">
        <v>17342</v>
      </c>
      <c r="E1254" s="505" t="s">
        <v>17343</v>
      </c>
      <c r="F1254" s="505" t="s">
        <v>20155</v>
      </c>
      <c r="G1254" s="505" t="s">
        <v>16394</v>
      </c>
      <c r="H1254" s="821">
        <v>45636</v>
      </c>
      <c r="I1254" s="505">
        <v>1600</v>
      </c>
      <c r="J1254" s="360">
        <v>1</v>
      </c>
      <c r="K1254" s="505">
        <v>18504</v>
      </c>
      <c r="L1254" s="360">
        <v>1</v>
      </c>
      <c r="M1254" s="505">
        <v>3600</v>
      </c>
      <c r="N1254" s="360">
        <v>1</v>
      </c>
      <c r="O1254" s="505">
        <v>0</v>
      </c>
      <c r="P1254" s="360"/>
      <c r="Q1254" s="505">
        <v>23704</v>
      </c>
    </row>
    <row r="1255" spans="1:17" s="1" customFormat="1" ht="12.95" customHeight="1">
      <c r="A1255" s="505" t="s">
        <v>19612</v>
      </c>
      <c r="B1255" s="821">
        <v>45638</v>
      </c>
      <c r="C1255" s="505">
        <v>2024</v>
      </c>
      <c r="D1255" s="505" t="s">
        <v>17209</v>
      </c>
      <c r="E1255" s="505" t="s">
        <v>17210</v>
      </c>
      <c r="F1255" s="505" t="s">
        <v>20155</v>
      </c>
      <c r="G1255" s="505" t="s">
        <v>20168</v>
      </c>
      <c r="H1255" s="821">
        <v>45642</v>
      </c>
      <c r="I1255" s="505">
        <v>2400</v>
      </c>
      <c r="J1255" s="360">
        <v>1</v>
      </c>
      <c r="K1255" s="505">
        <v>12600</v>
      </c>
      <c r="L1255" s="360">
        <v>1</v>
      </c>
      <c r="M1255" s="505">
        <v>4800</v>
      </c>
      <c r="N1255" s="360">
        <v>1</v>
      </c>
      <c r="O1255" s="505">
        <v>3500</v>
      </c>
      <c r="P1255" s="360">
        <v>1</v>
      </c>
      <c r="Q1255" s="505">
        <v>23300</v>
      </c>
    </row>
    <row r="1256" spans="1:17" s="1" customFormat="1" ht="12.95" customHeight="1">
      <c r="A1256" s="505" t="s">
        <v>19613</v>
      </c>
      <c r="B1256" s="821">
        <v>45638</v>
      </c>
      <c r="C1256" s="505">
        <v>2024</v>
      </c>
      <c r="D1256" s="505" t="s">
        <v>16957</v>
      </c>
      <c r="E1256" s="505" t="s">
        <v>16958</v>
      </c>
      <c r="F1256" s="505" t="s">
        <v>20155</v>
      </c>
      <c r="G1256" s="505" t="s">
        <v>20161</v>
      </c>
      <c r="H1256" s="821">
        <v>45650</v>
      </c>
      <c r="I1256" s="505">
        <v>40300</v>
      </c>
      <c r="J1256" s="360">
        <v>1</v>
      </c>
      <c r="K1256" s="505">
        <v>0</v>
      </c>
      <c r="L1256" s="359"/>
      <c r="M1256" s="505">
        <v>0</v>
      </c>
      <c r="N1256" s="820"/>
      <c r="O1256" s="505">
        <v>0</v>
      </c>
      <c r="P1256" s="360"/>
      <c r="Q1256" s="505">
        <v>40300</v>
      </c>
    </row>
    <row r="1257" spans="1:17" s="1" customFormat="1" ht="12.95" customHeight="1">
      <c r="A1257" s="505" t="s">
        <v>19614</v>
      </c>
      <c r="B1257" s="821">
        <v>45638</v>
      </c>
      <c r="C1257" s="505">
        <v>2024</v>
      </c>
      <c r="D1257" s="505" t="s">
        <v>17309</v>
      </c>
      <c r="E1257" s="505" t="s">
        <v>17310</v>
      </c>
      <c r="F1257" s="505" t="s">
        <v>20155</v>
      </c>
      <c r="G1257" s="505" t="s">
        <v>18248</v>
      </c>
      <c r="H1257" s="821">
        <v>45645</v>
      </c>
      <c r="I1257" s="505">
        <v>38400</v>
      </c>
      <c r="J1257" s="820" t="s">
        <v>20356</v>
      </c>
      <c r="K1257" s="505">
        <v>0</v>
      </c>
      <c r="L1257" s="359"/>
      <c r="M1257" s="505">
        <v>0</v>
      </c>
      <c r="N1257" s="820"/>
      <c r="O1257" s="505">
        <v>0</v>
      </c>
      <c r="P1257" s="360"/>
      <c r="Q1257" s="505">
        <v>38400</v>
      </c>
    </row>
    <row r="1258" spans="1:17" s="1" customFormat="1" ht="12.95" customHeight="1">
      <c r="A1258" s="505" t="s">
        <v>19615</v>
      </c>
      <c r="B1258" s="821">
        <v>45638</v>
      </c>
      <c r="C1258" s="505">
        <v>2024</v>
      </c>
      <c r="D1258" s="505" t="s">
        <v>17309</v>
      </c>
      <c r="E1258" s="505" t="s">
        <v>17310</v>
      </c>
      <c r="F1258" s="505" t="s">
        <v>20155</v>
      </c>
      <c r="G1258" s="505" t="s">
        <v>20321</v>
      </c>
      <c r="H1258" s="821">
        <v>45628</v>
      </c>
      <c r="I1258" s="505">
        <v>128500</v>
      </c>
      <c r="J1258" s="820" t="s">
        <v>20356</v>
      </c>
      <c r="K1258" s="505">
        <v>20000</v>
      </c>
      <c r="L1258" s="359" t="s">
        <v>20348</v>
      </c>
      <c r="M1258" s="505">
        <v>270000</v>
      </c>
      <c r="N1258" s="359" t="s">
        <v>20347</v>
      </c>
      <c r="O1258" s="505">
        <v>0</v>
      </c>
      <c r="P1258" s="360"/>
      <c r="Q1258" s="505">
        <v>418500</v>
      </c>
    </row>
    <row r="1259" spans="1:17" s="1" customFormat="1" ht="12.95" customHeight="1">
      <c r="A1259" s="505" t="s">
        <v>19616</v>
      </c>
      <c r="B1259" s="821">
        <v>45644</v>
      </c>
      <c r="C1259" s="505">
        <v>2024</v>
      </c>
      <c r="D1259" s="505" t="s">
        <v>17342</v>
      </c>
      <c r="E1259" s="505" t="s">
        <v>17343</v>
      </c>
      <c r="F1259" s="505" t="s">
        <v>20155</v>
      </c>
      <c r="G1259" s="505" t="s">
        <v>16394</v>
      </c>
      <c r="H1259" s="821">
        <v>45646</v>
      </c>
      <c r="I1259" s="505">
        <v>0</v>
      </c>
      <c r="J1259" s="820"/>
      <c r="K1259" s="505">
        <v>18672</v>
      </c>
      <c r="L1259" s="360">
        <v>1</v>
      </c>
      <c r="M1259" s="505">
        <v>3600</v>
      </c>
      <c r="N1259" s="360">
        <v>1</v>
      </c>
      <c r="O1259" s="505">
        <v>700</v>
      </c>
      <c r="P1259" s="360">
        <v>1</v>
      </c>
      <c r="Q1259" s="505">
        <v>22972</v>
      </c>
    </row>
    <row r="1260" spans="1:17" s="1" customFormat="1" ht="12.95" customHeight="1">
      <c r="A1260" s="505" t="s">
        <v>19617</v>
      </c>
      <c r="B1260" s="821">
        <v>45644</v>
      </c>
      <c r="C1260" s="505">
        <v>2024</v>
      </c>
      <c r="D1260" s="505" t="s">
        <v>17342</v>
      </c>
      <c r="E1260" s="505" t="s">
        <v>17343</v>
      </c>
      <c r="F1260" s="505" t="s">
        <v>20155</v>
      </c>
      <c r="G1260" s="505" t="s">
        <v>16394</v>
      </c>
      <c r="H1260" s="821">
        <v>45646</v>
      </c>
      <c r="I1260" s="505">
        <v>0</v>
      </c>
      <c r="J1260" s="820"/>
      <c r="K1260" s="505">
        <v>17136</v>
      </c>
      <c r="L1260" s="360">
        <v>1</v>
      </c>
      <c r="M1260" s="505">
        <v>6000</v>
      </c>
      <c r="N1260" s="360">
        <v>1</v>
      </c>
      <c r="O1260" s="505">
        <v>1120</v>
      </c>
      <c r="P1260" s="360">
        <v>1</v>
      </c>
      <c r="Q1260" s="505">
        <v>24256</v>
      </c>
    </row>
    <row r="1261" spans="1:17" s="1" customFormat="1" ht="12.95" customHeight="1">
      <c r="A1261" s="505" t="s">
        <v>19618</v>
      </c>
      <c r="B1261" s="821">
        <v>45644</v>
      </c>
      <c r="C1261" s="505">
        <v>2024</v>
      </c>
      <c r="D1261" s="505" t="s">
        <v>17342</v>
      </c>
      <c r="E1261" s="505" t="s">
        <v>17343</v>
      </c>
      <c r="F1261" s="505" t="s">
        <v>20155</v>
      </c>
      <c r="G1261" s="505" t="s">
        <v>16394</v>
      </c>
      <c r="H1261" s="821">
        <v>45646</v>
      </c>
      <c r="I1261" s="505">
        <v>3200</v>
      </c>
      <c r="J1261" s="360">
        <v>1</v>
      </c>
      <c r="K1261" s="505">
        <v>32064</v>
      </c>
      <c r="L1261" s="360">
        <v>1</v>
      </c>
      <c r="M1261" s="505">
        <v>6000</v>
      </c>
      <c r="N1261" s="360">
        <v>1</v>
      </c>
      <c r="O1261" s="505">
        <v>3360</v>
      </c>
      <c r="P1261" s="360">
        <v>1</v>
      </c>
      <c r="Q1261" s="505">
        <v>44624</v>
      </c>
    </row>
    <row r="1262" spans="1:17" s="1" customFormat="1" ht="12.95" customHeight="1">
      <c r="A1262" s="505" t="s">
        <v>19619</v>
      </c>
      <c r="B1262" s="821">
        <v>45644</v>
      </c>
      <c r="C1262" s="505">
        <v>2024</v>
      </c>
      <c r="D1262" s="505" t="s">
        <v>16838</v>
      </c>
      <c r="E1262" s="505" t="s">
        <v>16839</v>
      </c>
      <c r="F1262" s="505" t="s">
        <v>20155</v>
      </c>
      <c r="G1262" s="505" t="s">
        <v>17771</v>
      </c>
      <c r="H1262" s="821">
        <v>45652</v>
      </c>
      <c r="I1262" s="505">
        <v>0</v>
      </c>
      <c r="J1262" s="820"/>
      <c r="K1262" s="505">
        <v>23700</v>
      </c>
      <c r="L1262" s="359" t="s">
        <v>20346</v>
      </c>
      <c r="M1262" s="505">
        <v>0</v>
      </c>
      <c r="N1262" s="820"/>
      <c r="O1262" s="505">
        <v>1125</v>
      </c>
      <c r="P1262" s="360">
        <v>1</v>
      </c>
      <c r="Q1262" s="505">
        <v>24825</v>
      </c>
    </row>
    <row r="1263" spans="1:17" s="1" customFormat="1" ht="12.95" customHeight="1">
      <c r="A1263" s="505" t="s">
        <v>19620</v>
      </c>
      <c r="B1263" s="821">
        <v>45644</v>
      </c>
      <c r="C1263" s="505">
        <v>2024</v>
      </c>
      <c r="D1263" s="505" t="s">
        <v>16384</v>
      </c>
      <c r="E1263" s="505" t="s">
        <v>16385</v>
      </c>
      <c r="F1263" s="505" t="s">
        <v>20155</v>
      </c>
      <c r="G1263" s="505" t="s">
        <v>17965</v>
      </c>
      <c r="H1263" s="821">
        <v>45654</v>
      </c>
      <c r="I1263" s="505">
        <v>76800</v>
      </c>
      <c r="J1263" s="820" t="s">
        <v>20356</v>
      </c>
      <c r="K1263" s="505">
        <v>0</v>
      </c>
      <c r="L1263" s="359"/>
      <c r="M1263" s="505">
        <v>0</v>
      </c>
      <c r="N1263" s="820"/>
      <c r="O1263" s="505">
        <v>0</v>
      </c>
      <c r="P1263" s="360"/>
      <c r="Q1263" s="505">
        <v>76800</v>
      </c>
    </row>
    <row r="1264" spans="1:17" s="1" customFormat="1" ht="12.95" customHeight="1">
      <c r="A1264" s="505" t="s">
        <v>19621</v>
      </c>
      <c r="B1264" s="821">
        <v>45644</v>
      </c>
      <c r="C1264" s="505">
        <v>2024</v>
      </c>
      <c r="D1264" s="505" t="s">
        <v>16444</v>
      </c>
      <c r="E1264" s="505" t="s">
        <v>16445</v>
      </c>
      <c r="F1264" s="505" t="s">
        <v>20155</v>
      </c>
      <c r="G1264" s="505" t="s">
        <v>17693</v>
      </c>
      <c r="H1264" s="821">
        <v>45652</v>
      </c>
      <c r="I1264" s="505">
        <v>21958</v>
      </c>
      <c r="J1264" s="820" t="s">
        <v>20356</v>
      </c>
      <c r="K1264" s="505">
        <v>0</v>
      </c>
      <c r="L1264" s="359"/>
      <c r="M1264" s="505">
        <v>0</v>
      </c>
      <c r="N1264" s="820"/>
      <c r="O1264" s="505">
        <v>0</v>
      </c>
      <c r="P1264" s="360"/>
      <c r="Q1264" s="505">
        <v>21958</v>
      </c>
    </row>
    <row r="1265" spans="1:17" s="1" customFormat="1" ht="12.95" customHeight="1">
      <c r="A1265" s="505" t="s">
        <v>19622</v>
      </c>
      <c r="B1265" s="821">
        <v>45644</v>
      </c>
      <c r="C1265" s="505">
        <v>2024</v>
      </c>
      <c r="D1265" s="505" t="s">
        <v>16972</v>
      </c>
      <c r="E1265" s="505" t="s">
        <v>16973</v>
      </c>
      <c r="F1265" s="505" t="s">
        <v>20155</v>
      </c>
      <c r="G1265" s="505" t="s">
        <v>17801</v>
      </c>
      <c r="H1265" s="821">
        <v>45649</v>
      </c>
      <c r="I1265" s="505">
        <v>0</v>
      </c>
      <c r="J1265" s="820"/>
      <c r="K1265" s="505">
        <v>0</v>
      </c>
      <c r="L1265" s="359"/>
      <c r="M1265" s="505">
        <v>275000</v>
      </c>
      <c r="N1265" s="359" t="s">
        <v>20347</v>
      </c>
      <c r="O1265" s="505">
        <v>0</v>
      </c>
      <c r="P1265" s="360"/>
      <c r="Q1265" s="505">
        <v>275000</v>
      </c>
    </row>
    <row r="1266" spans="1:17" s="1" customFormat="1" ht="12.95" customHeight="1">
      <c r="A1266" s="505" t="s">
        <v>19623</v>
      </c>
      <c r="B1266" s="821">
        <v>45645</v>
      </c>
      <c r="C1266" s="505">
        <v>2024</v>
      </c>
      <c r="D1266" s="505" t="s">
        <v>17304</v>
      </c>
      <c r="E1266" s="505" t="s">
        <v>17305</v>
      </c>
      <c r="F1266" s="505" t="s">
        <v>20155</v>
      </c>
      <c r="G1266" s="505" t="s">
        <v>17238</v>
      </c>
      <c r="H1266" s="821">
        <v>45651</v>
      </c>
      <c r="I1266" s="505">
        <v>0</v>
      </c>
      <c r="J1266" s="820"/>
      <c r="K1266" s="505">
        <v>0</v>
      </c>
      <c r="L1266" s="359"/>
      <c r="M1266" s="505">
        <v>23608</v>
      </c>
      <c r="N1266" s="360">
        <v>1</v>
      </c>
      <c r="O1266" s="505">
        <v>0</v>
      </c>
      <c r="P1266" s="360"/>
      <c r="Q1266" s="505">
        <v>23608</v>
      </c>
    </row>
    <row r="1267" spans="1:17" s="1" customFormat="1" ht="12.95" customHeight="1">
      <c r="A1267" s="505" t="s">
        <v>19624</v>
      </c>
      <c r="B1267" s="821">
        <v>45645</v>
      </c>
      <c r="C1267" s="505">
        <v>2024</v>
      </c>
      <c r="D1267" s="505" t="s">
        <v>16957</v>
      </c>
      <c r="E1267" s="505" t="s">
        <v>16958</v>
      </c>
      <c r="F1267" s="505" t="s">
        <v>20155</v>
      </c>
      <c r="G1267" s="505" t="s">
        <v>20161</v>
      </c>
      <c r="H1267" s="821">
        <v>45650</v>
      </c>
      <c r="I1267" s="505">
        <v>40300</v>
      </c>
      <c r="J1267" s="820" t="s">
        <v>20356</v>
      </c>
      <c r="K1267" s="505">
        <v>0</v>
      </c>
      <c r="L1267" s="359"/>
      <c r="M1267" s="505">
        <v>0</v>
      </c>
      <c r="N1267" s="820"/>
      <c r="O1267" s="505">
        <v>0</v>
      </c>
      <c r="P1267" s="360"/>
      <c r="Q1267" s="505">
        <v>40300</v>
      </c>
    </row>
    <row r="1268" spans="1:17" s="1" customFormat="1" ht="12.95" customHeight="1">
      <c r="A1268" s="505" t="s">
        <v>19625</v>
      </c>
      <c r="B1268" s="821">
        <v>45644</v>
      </c>
      <c r="C1268" s="505">
        <v>2024</v>
      </c>
      <c r="D1268" s="505" t="s">
        <v>16470</v>
      </c>
      <c r="E1268" s="505" t="s">
        <v>16471</v>
      </c>
      <c r="F1268" s="505" t="s">
        <v>20155</v>
      </c>
      <c r="G1268" s="505" t="s">
        <v>20159</v>
      </c>
      <c r="H1268" s="821">
        <v>45657</v>
      </c>
      <c r="I1268" s="505">
        <v>17640</v>
      </c>
      <c r="J1268" s="820" t="s">
        <v>20356</v>
      </c>
      <c r="K1268" s="505">
        <v>244980</v>
      </c>
      <c r="L1268" s="359" t="s">
        <v>20346</v>
      </c>
      <c r="M1268" s="505">
        <v>0</v>
      </c>
      <c r="N1268" s="820"/>
      <c r="O1268" s="505">
        <v>0</v>
      </c>
      <c r="P1268" s="360"/>
      <c r="Q1268" s="505">
        <v>262620</v>
      </c>
    </row>
    <row r="1269" spans="1:17" s="1" customFormat="1" ht="12.95" customHeight="1">
      <c r="A1269" s="505" t="s">
        <v>19626</v>
      </c>
      <c r="B1269" s="821">
        <v>45645</v>
      </c>
      <c r="C1269" s="505">
        <v>2024</v>
      </c>
      <c r="D1269" s="505" t="s">
        <v>16823</v>
      </c>
      <c r="E1269" s="505" t="s">
        <v>16824</v>
      </c>
      <c r="F1269" s="505" t="s">
        <v>20155</v>
      </c>
      <c r="G1269" s="505" t="s">
        <v>17965</v>
      </c>
      <c r="H1269" s="821">
        <v>45652</v>
      </c>
      <c r="I1269" s="505">
        <v>8420</v>
      </c>
      <c r="J1269" s="820" t="s">
        <v>20356</v>
      </c>
      <c r="K1269" s="505">
        <v>13596</v>
      </c>
      <c r="L1269" s="359" t="s">
        <v>20346</v>
      </c>
      <c r="M1269" s="505">
        <v>6000</v>
      </c>
      <c r="N1269" s="359" t="s">
        <v>20347</v>
      </c>
      <c r="O1269" s="505">
        <v>0</v>
      </c>
      <c r="P1269" s="360"/>
      <c r="Q1269" s="505">
        <v>28016</v>
      </c>
    </row>
    <row r="1270" spans="1:17" s="1" customFormat="1" ht="12.95" customHeight="1">
      <c r="A1270" s="505" t="s">
        <v>19627</v>
      </c>
      <c r="B1270" s="821">
        <v>45649</v>
      </c>
      <c r="C1270" s="505">
        <v>2024</v>
      </c>
      <c r="D1270" s="505" t="s">
        <v>16904</v>
      </c>
      <c r="E1270" s="505" t="s">
        <v>16905</v>
      </c>
      <c r="F1270" s="505" t="s">
        <v>20155</v>
      </c>
      <c r="G1270" s="505" t="s">
        <v>20160</v>
      </c>
      <c r="H1270" s="821">
        <v>45652</v>
      </c>
      <c r="I1270" s="505">
        <v>0</v>
      </c>
      <c r="J1270" s="820"/>
      <c r="K1270" s="505">
        <v>11000</v>
      </c>
      <c r="L1270" s="360">
        <v>1</v>
      </c>
      <c r="M1270" s="505">
        <v>4000</v>
      </c>
      <c r="N1270" s="360">
        <v>1</v>
      </c>
      <c r="O1270" s="505">
        <v>5300</v>
      </c>
      <c r="P1270" s="360">
        <v>1</v>
      </c>
      <c r="Q1270" s="505">
        <v>20300</v>
      </c>
    </row>
    <row r="1271" spans="1:17" s="1" customFormat="1" ht="12.95" customHeight="1">
      <c r="A1271" s="505" t="s">
        <v>19628</v>
      </c>
      <c r="B1271" s="821">
        <v>45649</v>
      </c>
      <c r="C1271" s="505">
        <v>2024</v>
      </c>
      <c r="D1271" s="505" t="s">
        <v>17394</v>
      </c>
      <c r="E1271" s="505" t="s">
        <v>17395</v>
      </c>
      <c r="F1271" s="505" t="s">
        <v>20155</v>
      </c>
      <c r="G1271" s="505" t="s">
        <v>17939</v>
      </c>
      <c r="H1271" s="821">
        <v>45653</v>
      </c>
      <c r="I1271" s="505">
        <v>0</v>
      </c>
      <c r="J1271" s="820"/>
      <c r="K1271" s="505">
        <v>100003.2</v>
      </c>
      <c r="L1271" s="359" t="s">
        <v>20345</v>
      </c>
      <c r="M1271" s="505">
        <v>0</v>
      </c>
      <c r="N1271" s="820"/>
      <c r="O1271" s="505">
        <v>0</v>
      </c>
      <c r="P1271" s="360"/>
      <c r="Q1271" s="505">
        <v>100003.2</v>
      </c>
    </row>
    <row r="1272" spans="1:17" s="1" customFormat="1" ht="12.95" customHeight="1">
      <c r="A1272" s="505" t="s">
        <v>19629</v>
      </c>
      <c r="B1272" s="821">
        <v>45650</v>
      </c>
      <c r="C1272" s="505">
        <v>2024</v>
      </c>
      <c r="D1272" s="505" t="s">
        <v>17342</v>
      </c>
      <c r="E1272" s="505" t="s">
        <v>17343</v>
      </c>
      <c r="F1272" s="505" t="s">
        <v>20155</v>
      </c>
      <c r="G1272" s="505" t="s">
        <v>16394</v>
      </c>
      <c r="H1272" s="821">
        <v>45653</v>
      </c>
      <c r="I1272" s="505">
        <v>0</v>
      </c>
      <c r="J1272" s="820"/>
      <c r="K1272" s="505">
        <v>31934</v>
      </c>
      <c r="L1272" s="360">
        <v>1</v>
      </c>
      <c r="M1272" s="505">
        <v>5750</v>
      </c>
      <c r="N1272" s="360">
        <v>1</v>
      </c>
      <c r="O1272" s="505">
        <v>1900</v>
      </c>
      <c r="P1272" s="360">
        <v>1</v>
      </c>
      <c r="Q1272" s="505">
        <v>39584</v>
      </c>
    </row>
    <row r="1273" spans="1:17" s="1" customFormat="1" ht="12.95" customHeight="1">
      <c r="A1273" s="505" t="s">
        <v>19630</v>
      </c>
      <c r="B1273" s="821">
        <v>45650</v>
      </c>
      <c r="C1273" s="505">
        <v>2024</v>
      </c>
      <c r="D1273" s="505" t="s">
        <v>17342</v>
      </c>
      <c r="E1273" s="505" t="s">
        <v>17343</v>
      </c>
      <c r="F1273" s="505" t="s">
        <v>20155</v>
      </c>
      <c r="G1273" s="505" t="s">
        <v>16394</v>
      </c>
      <c r="H1273" s="821">
        <v>45656</v>
      </c>
      <c r="I1273" s="505">
        <v>0</v>
      </c>
      <c r="J1273" s="820"/>
      <c r="K1273" s="505">
        <v>32448</v>
      </c>
      <c r="L1273" s="360">
        <v>1</v>
      </c>
      <c r="M1273" s="505">
        <v>9600</v>
      </c>
      <c r="N1273" s="360">
        <v>1</v>
      </c>
      <c r="O1273" s="505">
        <v>2800</v>
      </c>
      <c r="P1273" s="360">
        <v>1</v>
      </c>
      <c r="Q1273" s="505">
        <v>44848</v>
      </c>
    </row>
    <row r="1274" spans="1:17" s="1" customFormat="1" ht="12.95" customHeight="1">
      <c r="A1274" s="505" t="s">
        <v>19631</v>
      </c>
      <c r="B1274" s="821">
        <v>45652</v>
      </c>
      <c r="C1274" s="505">
        <v>2024</v>
      </c>
      <c r="D1274" s="505" t="s">
        <v>16444</v>
      </c>
      <c r="E1274" s="505" t="s">
        <v>16445</v>
      </c>
      <c r="F1274" s="505" t="s">
        <v>20155</v>
      </c>
      <c r="G1274" s="505" t="s">
        <v>18248</v>
      </c>
      <c r="H1274" s="821">
        <v>45657</v>
      </c>
      <c r="I1274" s="505">
        <v>19200</v>
      </c>
      <c r="J1274" s="820" t="s">
        <v>20356</v>
      </c>
      <c r="K1274" s="505">
        <v>0</v>
      </c>
      <c r="L1274" s="359"/>
      <c r="M1274" s="505">
        <v>0</v>
      </c>
      <c r="N1274" s="820"/>
      <c r="O1274" s="505">
        <v>0</v>
      </c>
      <c r="P1274" s="360"/>
      <c r="Q1274" s="505">
        <v>19200</v>
      </c>
    </row>
    <row r="1275" spans="1:17" s="1" customFormat="1" ht="12.95" customHeight="1">
      <c r="A1275" s="505" t="s">
        <v>19632</v>
      </c>
      <c r="B1275" s="821">
        <v>45652</v>
      </c>
      <c r="C1275" s="505">
        <v>2024</v>
      </c>
      <c r="D1275" s="505" t="s">
        <v>16444</v>
      </c>
      <c r="E1275" s="505" t="s">
        <v>16445</v>
      </c>
      <c r="F1275" s="505" t="s">
        <v>20155</v>
      </c>
      <c r="G1275" s="505" t="s">
        <v>20382</v>
      </c>
      <c r="H1275" s="821">
        <v>45657</v>
      </c>
      <c r="I1275" s="505">
        <v>43200</v>
      </c>
      <c r="J1275" s="820" t="s">
        <v>20356</v>
      </c>
      <c r="K1275" s="505">
        <v>0</v>
      </c>
      <c r="L1275" s="359"/>
      <c r="M1275" s="505">
        <v>0</v>
      </c>
      <c r="N1275" s="820"/>
      <c r="O1275" s="505">
        <v>0</v>
      </c>
      <c r="P1275" s="360"/>
      <c r="Q1275" s="505">
        <v>43200</v>
      </c>
    </row>
    <row r="1276" spans="1:17" s="1" customFormat="1" ht="12.95" customHeight="1">
      <c r="A1276" s="505" t="s">
        <v>19633</v>
      </c>
      <c r="B1276" s="821">
        <v>45653</v>
      </c>
      <c r="C1276" s="505">
        <v>2024</v>
      </c>
      <c r="D1276" s="505" t="s">
        <v>16823</v>
      </c>
      <c r="E1276" s="505" t="s">
        <v>16824</v>
      </c>
      <c r="F1276" s="505" t="s">
        <v>20155</v>
      </c>
      <c r="G1276" s="505" t="s">
        <v>17965</v>
      </c>
      <c r="H1276" s="821">
        <v>45656</v>
      </c>
      <c r="I1276" s="505">
        <v>1500</v>
      </c>
      <c r="J1276" s="820" t="s">
        <v>20356</v>
      </c>
      <c r="K1276" s="505">
        <v>41220</v>
      </c>
      <c r="L1276" s="359" t="s">
        <v>20346</v>
      </c>
      <c r="M1276" s="505">
        <v>6500</v>
      </c>
      <c r="N1276" s="359" t="s">
        <v>20347</v>
      </c>
      <c r="O1276" s="505">
        <v>0</v>
      </c>
      <c r="P1276" s="360"/>
      <c r="Q1276" s="505">
        <v>49220</v>
      </c>
    </row>
    <row r="1277" spans="1:17" s="1" customFormat="1" ht="12.95" customHeight="1">
      <c r="A1277" s="505" t="s">
        <v>19634</v>
      </c>
      <c r="B1277" s="821">
        <v>45653</v>
      </c>
      <c r="C1277" s="505">
        <v>2024</v>
      </c>
      <c r="D1277" s="505" t="s">
        <v>17379</v>
      </c>
      <c r="E1277" s="505" t="s">
        <v>17380</v>
      </c>
      <c r="F1277" s="505" t="s">
        <v>20155</v>
      </c>
      <c r="G1277" s="505" t="s">
        <v>20159</v>
      </c>
      <c r="H1277" s="821">
        <v>45657</v>
      </c>
      <c r="I1277" s="505">
        <v>0</v>
      </c>
      <c r="J1277" s="820"/>
      <c r="K1277" s="505">
        <v>0</v>
      </c>
      <c r="L1277" s="359"/>
      <c r="M1277" s="505">
        <v>156000</v>
      </c>
      <c r="N1277" s="359" t="s">
        <v>20347</v>
      </c>
      <c r="O1277" s="505">
        <v>0</v>
      </c>
      <c r="P1277" s="360"/>
      <c r="Q1277" s="505">
        <v>156000</v>
      </c>
    </row>
    <row r="1278" spans="1:17" s="1" customFormat="1" ht="11.45">
      <c r="A1278" s="837" t="str">
        <f>'COMMERCIAL 2019 - 2021'!D1881</f>
        <v>FAE-25-00001</v>
      </c>
      <c r="B1278" s="895">
        <f>'COMMERCIAL 2019 - 2021'!F1881</f>
        <v>45663</v>
      </c>
      <c r="C1278" s="839">
        <f>'COMMERCIAL 2019 - 2021'!G1881</f>
        <v>2025</v>
      </c>
      <c r="D1278" s="839" t="str">
        <f>'COMMERCIAL 2019 - 2021'!H1881</f>
        <v>CE2137</v>
      </c>
      <c r="E1278" s="839" t="str">
        <f>'COMMERCIAL 2019 - 2021'!I1881</f>
        <v>TUNISIAN AFRICAN BUSINESS</v>
      </c>
      <c r="F1278" s="839" t="str">
        <f>'COMMERCIAL 2019 - 2021'!N1881</f>
        <v>OUI</v>
      </c>
      <c r="G1278" s="839" t="str">
        <f>'COMMERCIAL 2019 - 2021'!O1881</f>
        <v>Senegal</v>
      </c>
      <c r="H1278" s="838">
        <f>'COMMERCIAL 2019 - 2021'!P1881</f>
        <v>45667</v>
      </c>
      <c r="I1278" s="840">
        <f>'COMMERCIAL 2019 - 2021'!Q1881</f>
        <v>0</v>
      </c>
      <c r="J1278" s="841"/>
      <c r="K1278" s="840">
        <f>'COMMERCIAL 2019 - 2021'!R1881</f>
        <v>180000</v>
      </c>
      <c r="L1278" s="841" t="s">
        <v>20347</v>
      </c>
      <c r="M1278" s="840">
        <f>'COMMERCIAL 2019 - 2021'!S1881</f>
        <v>0</v>
      </c>
      <c r="N1278" s="841"/>
      <c r="O1278" s="840">
        <f>'COMMERCIAL 2019 - 2021'!T1881</f>
        <v>0</v>
      </c>
      <c r="P1278" s="842"/>
      <c r="Q1278" s="840">
        <f>'COMMERCIAL 2019 - 2021'!U1881</f>
        <v>180000</v>
      </c>
    </row>
    <row r="1279" spans="1:17" s="1" customFormat="1" ht="11.45">
      <c r="A1279" s="837" t="str">
        <f>'COMMERCIAL 2019 - 2021'!D1882</f>
        <v>FAE-25-00002</v>
      </c>
      <c r="B1279" s="895">
        <f>'COMMERCIAL 2019 - 2021'!F1882</f>
        <v>45665</v>
      </c>
      <c r="C1279" s="839">
        <f>'COMMERCIAL 2019 - 2021'!G1882</f>
        <v>2025</v>
      </c>
      <c r="D1279" s="839" t="str">
        <f>'COMMERCIAL 2019 - 2021'!H1882</f>
        <v>CE2261</v>
      </c>
      <c r="E1279" s="839" t="str">
        <f>'COMMERCIAL 2019 - 2021'!I1882</f>
        <v>MARCOM INTERN</v>
      </c>
      <c r="F1279" s="839" t="str">
        <f>'COMMERCIAL 2019 - 2021'!N1882</f>
        <v>OUI</v>
      </c>
      <c r="G1279" s="839" t="str">
        <f>'COMMERCIAL 2019 - 2021'!O1882</f>
        <v>Gambie</v>
      </c>
      <c r="H1279" s="838">
        <f>'COMMERCIAL 2019 - 2021'!P1882</f>
        <v>45671</v>
      </c>
      <c r="I1279" s="840">
        <f>'COMMERCIAL 2019 - 2021'!Q1882</f>
        <v>57600</v>
      </c>
      <c r="J1279" s="870">
        <v>1</v>
      </c>
      <c r="K1279" s="840">
        <f>'COMMERCIAL 2019 - 2021'!R1882</f>
        <v>0</v>
      </c>
      <c r="L1279" s="841"/>
      <c r="M1279" s="840">
        <f>'COMMERCIAL 2019 - 2021'!S1882</f>
        <v>0</v>
      </c>
      <c r="N1279" s="841"/>
      <c r="O1279" s="840">
        <f>'COMMERCIAL 2019 - 2021'!T1882</f>
        <v>0</v>
      </c>
      <c r="P1279" s="842"/>
      <c r="Q1279" s="840">
        <f>'COMMERCIAL 2019 - 2021'!U1882</f>
        <v>57600</v>
      </c>
    </row>
    <row r="1280" spans="1:17" s="1" customFormat="1" ht="11.45">
      <c r="A1280" s="837" t="str">
        <f>'COMMERCIAL 2019 - 2021'!D1883</f>
        <v>FAE-25-00003</v>
      </c>
      <c r="B1280" s="895">
        <f>'COMMERCIAL 2019 - 2021'!F1883</f>
        <v>45659</v>
      </c>
      <c r="C1280" s="839">
        <f>'COMMERCIAL 2019 - 2021'!G1883</f>
        <v>2025</v>
      </c>
      <c r="D1280" s="839" t="str">
        <f>'COMMERCIAL 2019 - 2021'!H1883</f>
        <v>CE2017</v>
      </c>
      <c r="E1280" s="839" t="str">
        <f>'COMMERCIAL 2019 - 2021'!I1883</f>
        <v>SAHEL INTERNATIONAL TRADE</v>
      </c>
      <c r="F1280" s="839" t="str">
        <f>'COMMERCIAL 2019 - 2021'!N1883</f>
        <v>OUI</v>
      </c>
      <c r="G1280" s="839" t="str">
        <f>'COMMERCIAL 2019 - 2021'!O1883</f>
        <v>Tchad</v>
      </c>
      <c r="H1280" s="838">
        <f>'COMMERCIAL 2019 - 2021'!P1883</f>
        <v>45670</v>
      </c>
      <c r="I1280" s="840">
        <f>'COMMERCIAL 2019 - 2021'!Q1883</f>
        <v>43200</v>
      </c>
      <c r="J1280" s="870">
        <v>1</v>
      </c>
      <c r="K1280" s="840">
        <f>'COMMERCIAL 2019 - 2021'!R1883</f>
        <v>0</v>
      </c>
      <c r="L1280" s="841"/>
      <c r="M1280" s="840">
        <f>'COMMERCIAL 2019 - 2021'!S1883</f>
        <v>0</v>
      </c>
      <c r="N1280" s="841"/>
      <c r="O1280" s="840">
        <f>'COMMERCIAL 2019 - 2021'!T1883</f>
        <v>0</v>
      </c>
      <c r="P1280" s="842"/>
      <c r="Q1280" s="840">
        <f>'COMMERCIAL 2019 - 2021'!U1883</f>
        <v>43200</v>
      </c>
    </row>
    <row r="1281" spans="1:17" s="1" customFormat="1" ht="11.45">
      <c r="A1281" s="837" t="str">
        <f>'COMMERCIAL 2019 - 2021'!D1884</f>
        <v>FAE-25-00004</v>
      </c>
      <c r="B1281" s="895">
        <f>'COMMERCIAL 2019 - 2021'!F1884</f>
        <v>45665</v>
      </c>
      <c r="C1281" s="839">
        <f>'COMMERCIAL 2019 - 2021'!G1884</f>
        <v>2025</v>
      </c>
      <c r="D1281" s="839" t="str">
        <f>'COMMERCIAL 2019 - 2021'!H1884</f>
        <v>CE2178</v>
      </c>
      <c r="E1281" s="839" t="str">
        <f>'COMMERCIAL 2019 - 2021'!I1884</f>
        <v>ARCADIA</v>
      </c>
      <c r="F1281" s="839" t="str">
        <f>'COMMERCIAL 2019 - 2021'!N1884</f>
        <v>OUI</v>
      </c>
      <c r="G1281" s="839" t="str">
        <f>'COMMERCIAL 2019 - 2021'!O1884</f>
        <v>Belarus</v>
      </c>
      <c r="H1281" s="838">
        <f>'COMMERCIAL 2019 - 2021'!P1884</f>
        <v>45674</v>
      </c>
      <c r="I1281" s="840">
        <f>'COMMERCIAL 2019 - 2021'!Q1884</f>
        <v>41000</v>
      </c>
      <c r="J1281" s="870">
        <v>1</v>
      </c>
      <c r="K1281" s="840">
        <f>'COMMERCIAL 2019 - 2021'!R1884</f>
        <v>0</v>
      </c>
      <c r="L1281" s="841"/>
      <c r="M1281" s="840">
        <f>'COMMERCIAL 2019 - 2021'!S1884</f>
        <v>0</v>
      </c>
      <c r="N1281" s="841"/>
      <c r="O1281" s="840">
        <f>'COMMERCIAL 2019 - 2021'!T1884</f>
        <v>0</v>
      </c>
      <c r="P1281" s="842"/>
      <c r="Q1281" s="840">
        <f>'COMMERCIAL 2019 - 2021'!U1884</f>
        <v>41000</v>
      </c>
    </row>
    <row r="1282" spans="1:17" s="1" customFormat="1" ht="11.45">
      <c r="A1282" s="837" t="str">
        <f>'COMMERCIAL 2019 - 2021'!D1885</f>
        <v>FAE-25-00005</v>
      </c>
      <c r="B1282" s="895">
        <f>'COMMERCIAL 2019 - 2021'!F1885</f>
        <v>45665</v>
      </c>
      <c r="C1282" s="839">
        <f>'COMMERCIAL 2019 - 2021'!G1885</f>
        <v>2025</v>
      </c>
      <c r="D1282" s="839" t="str">
        <f>'COMMERCIAL 2019 - 2021'!H1885</f>
        <v>CE2137</v>
      </c>
      <c r="E1282" s="839" t="str">
        <f>'COMMERCIAL 2019 - 2021'!I1885</f>
        <v>TUNISIAN AFRICAN BUSINESS</v>
      </c>
      <c r="F1282" s="839" t="str">
        <f>'COMMERCIAL 2019 - 2021'!N1885</f>
        <v>OUI</v>
      </c>
      <c r="G1282" s="839" t="str">
        <f>'COMMERCIAL 2019 - 2021'!O1885</f>
        <v>Gabon</v>
      </c>
      <c r="H1282" s="838">
        <f>'COMMERCIAL 2019 - 2021'!P1885</f>
        <v>45695</v>
      </c>
      <c r="I1282" s="840">
        <f>'COMMERCIAL 2019 - 2021'!Q1885</f>
        <v>0</v>
      </c>
      <c r="J1282" s="841"/>
      <c r="K1282" s="840">
        <f>'COMMERCIAL 2019 - 2021'!R1885</f>
        <v>0</v>
      </c>
      <c r="L1282" s="841"/>
      <c r="M1282" s="840">
        <f>'COMMERCIAL 2019 - 2021'!S1885</f>
        <v>84000</v>
      </c>
      <c r="N1282" s="841" t="s">
        <v>20347</v>
      </c>
      <c r="O1282" s="840">
        <f>'COMMERCIAL 2019 - 2021'!T1885</f>
        <v>0</v>
      </c>
      <c r="P1282" s="842"/>
      <c r="Q1282" s="840">
        <f>'COMMERCIAL 2019 - 2021'!U1885</f>
        <v>84000</v>
      </c>
    </row>
    <row r="1283" spans="1:17" s="1" customFormat="1" ht="11.45">
      <c r="A1283" s="837" t="str">
        <f>'COMMERCIAL 2019 - 2021'!D1886</f>
        <v>FAE-25-00006</v>
      </c>
      <c r="B1283" s="895">
        <f>'COMMERCIAL 2019 - 2021'!F1886</f>
        <v>45665</v>
      </c>
      <c r="C1283" s="839">
        <f>'COMMERCIAL 2019 - 2021'!G1886</f>
        <v>2025</v>
      </c>
      <c r="D1283" s="839" t="str">
        <f>'COMMERCIAL 2019 - 2021'!H1886</f>
        <v>CE2149</v>
      </c>
      <c r="E1283" s="839" t="str">
        <f>'COMMERCIAL 2019 - 2021'!I1886</f>
        <v>DAVIS TRADING CO LTD</v>
      </c>
      <c r="F1283" s="839" t="str">
        <f>'COMMERCIAL 2019 - 2021'!N1886</f>
        <v>OUI</v>
      </c>
      <c r="G1283" s="839" t="str">
        <f>'COMMERCIAL 2019 - 2021'!O1886</f>
        <v>New Zealand</v>
      </c>
      <c r="H1283" s="838">
        <f>'COMMERCIAL 2019 - 2021'!P1886</f>
        <v>45679</v>
      </c>
      <c r="I1283" s="840">
        <f>'COMMERCIAL 2019 - 2021'!Q1886</f>
        <v>4200</v>
      </c>
      <c r="J1283" s="870">
        <v>1</v>
      </c>
      <c r="K1283" s="840">
        <f>'COMMERCIAL 2019 - 2021'!R1886</f>
        <v>15500</v>
      </c>
      <c r="L1283" s="870">
        <v>1</v>
      </c>
      <c r="M1283" s="840">
        <f>'COMMERCIAL 2019 - 2021'!S1886</f>
        <v>0</v>
      </c>
      <c r="N1283" s="841"/>
      <c r="O1283" s="840">
        <f>'COMMERCIAL 2019 - 2021'!T1886</f>
        <v>0</v>
      </c>
      <c r="P1283" s="842"/>
      <c r="Q1283" s="840">
        <f>'COMMERCIAL 2019 - 2021'!U1886</f>
        <v>19700</v>
      </c>
    </row>
    <row r="1284" spans="1:17" s="1" customFormat="1" ht="11.45">
      <c r="A1284" s="837" t="str">
        <f>'COMMERCIAL 2019 - 2021'!D1887</f>
        <v>FAE-25-00007</v>
      </c>
      <c r="B1284" s="895">
        <f>'COMMERCIAL 2019 - 2021'!F1887</f>
        <v>45665</v>
      </c>
      <c r="C1284" s="839">
        <f>'COMMERCIAL 2019 - 2021'!G1887</f>
        <v>2025</v>
      </c>
      <c r="D1284" s="839" t="str">
        <f>'COMMERCIAL 2019 - 2021'!H1887</f>
        <v>CE2149</v>
      </c>
      <c r="E1284" s="839" t="str">
        <f>'COMMERCIAL 2019 - 2021'!I1887</f>
        <v>DAVIS TRADING CO LTD</v>
      </c>
      <c r="F1284" s="839" t="str">
        <f>'COMMERCIAL 2019 - 2021'!N1887</f>
        <v>OUI</v>
      </c>
      <c r="G1284" s="839" t="str">
        <f>'COMMERCIAL 2019 - 2021'!O1887</f>
        <v>New Zealand</v>
      </c>
      <c r="H1284" s="838">
        <f>'COMMERCIAL 2019 - 2021'!P1887</f>
        <v>45679</v>
      </c>
      <c r="I1284" s="840">
        <f>'COMMERCIAL 2019 - 2021'!Q1887</f>
        <v>2500</v>
      </c>
      <c r="J1284" s="870">
        <v>1</v>
      </c>
      <c r="K1284" s="840">
        <f>'COMMERCIAL 2019 - 2021'!R1887</f>
        <v>18000</v>
      </c>
      <c r="L1284" s="870">
        <v>1</v>
      </c>
      <c r="M1284" s="840">
        <f>'COMMERCIAL 2019 - 2021'!S1887</f>
        <v>0</v>
      </c>
      <c r="N1284" s="841"/>
      <c r="O1284" s="840">
        <f>'COMMERCIAL 2019 - 2021'!T1887</f>
        <v>0</v>
      </c>
      <c r="P1284" s="842"/>
      <c r="Q1284" s="840">
        <f>'COMMERCIAL 2019 - 2021'!U1887</f>
        <v>20500</v>
      </c>
    </row>
    <row r="1285" spans="1:17" s="1" customFormat="1" ht="11.45">
      <c r="A1285" s="837" t="str">
        <f>'COMMERCIAL 2019 - 2021'!D1888</f>
        <v>FAE-25-00008</v>
      </c>
      <c r="B1285" s="895">
        <f>'COMMERCIAL 2019 - 2021'!F1888</f>
        <v>45667</v>
      </c>
      <c r="C1285" s="839">
        <f>'COMMERCIAL 2019 - 2021'!G1888</f>
        <v>2025</v>
      </c>
      <c r="D1285" s="839" t="str">
        <f>'COMMERCIAL 2019 - 2021'!H1888</f>
        <v>CE2178</v>
      </c>
      <c r="E1285" s="839" t="str">
        <f>'COMMERCIAL 2019 - 2021'!I1888</f>
        <v>ARCADIA</v>
      </c>
      <c r="F1285" s="839" t="str">
        <f>'COMMERCIAL 2019 - 2021'!N1888</f>
        <v>OUI</v>
      </c>
      <c r="G1285" s="839" t="str">
        <f>'COMMERCIAL 2019 - 2021'!O1888</f>
        <v>Belarus</v>
      </c>
      <c r="H1285" s="838">
        <f>'COMMERCIAL 2019 - 2021'!P1888</f>
        <v>45674</v>
      </c>
      <c r="I1285" s="840">
        <f>'COMMERCIAL 2019 - 2021'!Q1888</f>
        <v>0</v>
      </c>
      <c r="J1285" s="841"/>
      <c r="K1285" s="840">
        <f>'COMMERCIAL 2019 - 2021'!R1888</f>
        <v>20500</v>
      </c>
      <c r="L1285" s="870">
        <v>1</v>
      </c>
      <c r="M1285" s="840">
        <f>'COMMERCIAL 2019 - 2021'!S1888</f>
        <v>0</v>
      </c>
      <c r="N1285" s="841"/>
      <c r="O1285" s="840">
        <f>'COMMERCIAL 2019 - 2021'!T1888</f>
        <v>0</v>
      </c>
      <c r="P1285" s="842"/>
      <c r="Q1285" s="840">
        <f>'COMMERCIAL 2019 - 2021'!U1888</f>
        <v>20500</v>
      </c>
    </row>
    <row r="1286" spans="1:17" s="1" customFormat="1" ht="11.45">
      <c r="A1286" s="837" t="str">
        <f>'COMMERCIAL 2019 - 2021'!D1889</f>
        <v>FAE-25-00009</v>
      </c>
      <c r="B1286" s="895">
        <f>'COMMERCIAL 2019 - 2021'!F1889</f>
        <v>45667</v>
      </c>
      <c r="C1286" s="839">
        <f>'COMMERCIAL 2019 - 2021'!G1889</f>
        <v>2025</v>
      </c>
      <c r="D1286" s="839" t="str">
        <f>'COMMERCIAL 2019 - 2021'!H1889</f>
        <v>CE2178</v>
      </c>
      <c r="E1286" s="839" t="str">
        <f>'COMMERCIAL 2019 - 2021'!I1889</f>
        <v>ARCADIA</v>
      </c>
      <c r="F1286" s="839" t="str">
        <f>'COMMERCIAL 2019 - 2021'!N1889</f>
        <v>OUI</v>
      </c>
      <c r="G1286" s="839" t="str">
        <f>'COMMERCIAL 2019 - 2021'!O1889</f>
        <v>Belarus</v>
      </c>
      <c r="H1286" s="838">
        <f>'COMMERCIAL 2019 - 2021'!P1889</f>
        <v>45674</v>
      </c>
      <c r="I1286" s="840">
        <f>'COMMERCIAL 2019 - 2021'!Q1889</f>
        <v>0</v>
      </c>
      <c r="J1286" s="841"/>
      <c r="K1286" s="840">
        <f>'COMMERCIAL 2019 - 2021'!R1889</f>
        <v>61500</v>
      </c>
      <c r="L1286" s="870">
        <v>1</v>
      </c>
      <c r="M1286" s="840">
        <f>'COMMERCIAL 2019 - 2021'!S1889</f>
        <v>0</v>
      </c>
      <c r="N1286" s="841"/>
      <c r="O1286" s="840">
        <f>'COMMERCIAL 2019 - 2021'!T1889</f>
        <v>0</v>
      </c>
      <c r="P1286" s="842"/>
      <c r="Q1286" s="840">
        <f>'COMMERCIAL 2019 - 2021'!U1889</f>
        <v>61500</v>
      </c>
    </row>
    <row r="1287" spans="1:17" s="1" customFormat="1" ht="11.45">
      <c r="A1287" s="837" t="str">
        <f>'COMMERCIAL 2019 - 2021'!D1890</f>
        <v>FAE-25-00010</v>
      </c>
      <c r="B1287" s="895">
        <f>'COMMERCIAL 2019 - 2021'!F1890</f>
        <v>45668</v>
      </c>
      <c r="C1287" s="839">
        <f>'COMMERCIAL 2019 - 2021'!G1890</f>
        <v>2025</v>
      </c>
      <c r="D1287" s="839" t="str">
        <f>'COMMERCIAL 2019 - 2021'!H1890</f>
        <v>CE2296</v>
      </c>
      <c r="E1287" s="839" t="str">
        <f>'COMMERCIAL 2019 - 2021'!I1890</f>
        <v>WAHAT ALASIMA CO.FOR IMPORTING FOOD</v>
      </c>
      <c r="F1287" s="839" t="str">
        <f>'COMMERCIAL 2019 - 2021'!N1890</f>
        <v>OUI</v>
      </c>
      <c r="G1287" s="839" t="str">
        <f>'COMMERCIAL 2019 - 2021'!O1890</f>
        <v>Libye</v>
      </c>
      <c r="H1287" s="838">
        <f>'COMMERCIAL 2019 - 2021'!P1890</f>
        <v>45672</v>
      </c>
      <c r="I1287" s="840">
        <f>'COMMERCIAL 2019 - 2021'!Q1890</f>
        <v>200000</v>
      </c>
      <c r="J1287" s="870">
        <v>1</v>
      </c>
      <c r="K1287" s="840">
        <f>'COMMERCIAL 2019 - 2021'!R1890</f>
        <v>0</v>
      </c>
      <c r="L1287" s="841"/>
      <c r="M1287" s="840">
        <f>'COMMERCIAL 2019 - 2021'!S1890</f>
        <v>0</v>
      </c>
      <c r="N1287" s="841"/>
      <c r="O1287" s="840">
        <f>'COMMERCIAL 2019 - 2021'!T1890</f>
        <v>0</v>
      </c>
      <c r="P1287" s="842"/>
      <c r="Q1287" s="840">
        <f>'COMMERCIAL 2019 - 2021'!U1890</f>
        <v>200000</v>
      </c>
    </row>
    <row r="1288" spans="1:17" s="1" customFormat="1" ht="11.45">
      <c r="A1288" s="837" t="str">
        <f>'COMMERCIAL 2019 - 2021'!D1891</f>
        <v>FAE-25-00011</v>
      </c>
      <c r="B1288" s="895">
        <f>'COMMERCIAL 2019 - 2021'!F1891</f>
        <v>45672</v>
      </c>
      <c r="C1288" s="839">
        <f>'COMMERCIAL 2019 - 2021'!G1891</f>
        <v>2025</v>
      </c>
      <c r="D1288" s="839" t="str">
        <f>'COMMERCIAL 2019 - 2021'!H1891</f>
        <v>CE2168</v>
      </c>
      <c r="E1288" s="839" t="str">
        <f>'COMMERCIAL 2019 - 2021'!I1891</f>
        <v>STE OMEGA TRADING</v>
      </c>
      <c r="F1288" s="839" t="str">
        <f>'COMMERCIAL 2019 - 2021'!N1891</f>
        <v>OUI</v>
      </c>
      <c r="G1288" s="839" t="str">
        <f>'COMMERCIAL 2019 - 2021'!O1891</f>
        <v>Niger</v>
      </c>
      <c r="H1288" s="838">
        <f>'COMMERCIAL 2019 - 2021'!P1891</f>
        <v>45679</v>
      </c>
      <c r="I1288" s="840">
        <f>'COMMERCIAL 2019 - 2021'!Q1891</f>
        <v>0</v>
      </c>
      <c r="J1288" s="841"/>
      <c r="K1288" s="840">
        <f>'COMMERCIAL 2019 - 2021'!R1891</f>
        <v>0</v>
      </c>
      <c r="L1288" s="841"/>
      <c r="M1288" s="840">
        <f>'COMMERCIAL 2019 - 2021'!S1891</f>
        <v>275000</v>
      </c>
      <c r="N1288" s="841" t="s">
        <v>20347</v>
      </c>
      <c r="O1288" s="840">
        <f>'COMMERCIAL 2019 - 2021'!T1891</f>
        <v>0</v>
      </c>
      <c r="P1288" s="842"/>
      <c r="Q1288" s="840">
        <f>'COMMERCIAL 2019 - 2021'!U1891</f>
        <v>275000</v>
      </c>
    </row>
    <row r="1289" spans="1:17" s="1" customFormat="1" ht="11.45">
      <c r="A1289" s="837" t="str">
        <f>'COMMERCIAL 2019 - 2021'!D1892</f>
        <v>FAE-25-00012</v>
      </c>
      <c r="B1289" s="895">
        <f>'COMMERCIAL 2019 - 2021'!F1892</f>
        <v>45672</v>
      </c>
      <c r="C1289" s="839">
        <f>'COMMERCIAL 2019 - 2021'!G1892</f>
        <v>2025</v>
      </c>
      <c r="D1289" s="839" t="str">
        <f>'COMMERCIAL 2019 - 2021'!H1892</f>
        <v>CE2137</v>
      </c>
      <c r="E1289" s="839" t="str">
        <f>'COMMERCIAL 2019 - 2021'!I1892</f>
        <v>TUNISIAN AFRICAN BUSINESS</v>
      </c>
      <c r="F1289" s="839" t="str">
        <f>'COMMERCIAL 2019 - 2021'!N1892</f>
        <v>OUI</v>
      </c>
      <c r="G1289" s="839" t="str">
        <f>'COMMERCIAL 2019 - 2021'!O1892</f>
        <v>Australie</v>
      </c>
      <c r="H1289" s="838">
        <f>'COMMERCIAL 2019 - 2021'!P1892</f>
        <v>45685</v>
      </c>
      <c r="I1289" s="840">
        <f>'COMMERCIAL 2019 - 2021'!Q1892</f>
        <v>20750</v>
      </c>
      <c r="J1289" s="870">
        <v>1</v>
      </c>
      <c r="K1289" s="840">
        <f>'COMMERCIAL 2019 - 2021'!R1892</f>
        <v>0</v>
      </c>
      <c r="L1289" s="841"/>
      <c r="M1289" s="840">
        <f>'COMMERCIAL 2019 - 2021'!S1892</f>
        <v>0</v>
      </c>
      <c r="N1289" s="841"/>
      <c r="O1289" s="840">
        <f>'COMMERCIAL 2019 - 2021'!T1892</f>
        <v>0</v>
      </c>
      <c r="P1289" s="842"/>
      <c r="Q1289" s="840">
        <f>'COMMERCIAL 2019 - 2021'!U1892</f>
        <v>20750</v>
      </c>
    </row>
    <row r="1290" spans="1:17" s="1" customFormat="1" ht="11.45">
      <c r="A1290" s="837" t="str">
        <f>'COMMERCIAL 2019 - 2021'!D1893</f>
        <v>FAE-25-00013</v>
      </c>
      <c r="B1290" s="895">
        <f>'COMMERCIAL 2019 - 2021'!F1893</f>
        <v>45672</v>
      </c>
      <c r="C1290" s="839">
        <f>'COMMERCIAL 2019 - 2021'!G1893</f>
        <v>2025</v>
      </c>
      <c r="D1290" s="839" t="str">
        <f>'COMMERCIAL 2019 - 2021'!H1893</f>
        <v>CE2001</v>
      </c>
      <c r="E1290" s="839" t="str">
        <f>'COMMERCIAL 2019 - 2021'!I1893</f>
        <v>STE DE COMMERCE INTERNATIONAL</v>
      </c>
      <c r="F1290" s="839" t="str">
        <f>'COMMERCIAL 2019 - 2021'!N1893</f>
        <v>OUI</v>
      </c>
      <c r="G1290" s="839" t="str">
        <f>'COMMERCIAL 2019 - 2021'!O1893</f>
        <v>Gambie</v>
      </c>
      <c r="H1290" s="838">
        <f>'COMMERCIAL 2019 - 2021'!P1893</f>
        <v>45681</v>
      </c>
      <c r="I1290" s="840">
        <f>'COMMERCIAL 2019 - 2021'!Q1893</f>
        <v>76800</v>
      </c>
      <c r="J1290" s="870">
        <v>1</v>
      </c>
      <c r="K1290" s="840">
        <f>'COMMERCIAL 2019 - 2021'!R1893</f>
        <v>0</v>
      </c>
      <c r="L1290" s="841"/>
      <c r="M1290" s="840">
        <f>'COMMERCIAL 2019 - 2021'!S1893</f>
        <v>0</v>
      </c>
      <c r="N1290" s="841"/>
      <c r="O1290" s="840">
        <f>'COMMERCIAL 2019 - 2021'!T1893</f>
        <v>0</v>
      </c>
      <c r="P1290" s="842"/>
      <c r="Q1290" s="840">
        <f>'COMMERCIAL 2019 - 2021'!U1893</f>
        <v>76800</v>
      </c>
    </row>
    <row r="1291" spans="1:17" s="1" customFormat="1" ht="11.45">
      <c r="A1291" s="837" t="str">
        <f>'COMMERCIAL 2019 - 2021'!D1894</f>
        <v>FAE-25-00014</v>
      </c>
      <c r="B1291" s="895">
        <f>'COMMERCIAL 2019 - 2021'!F1894</f>
        <v>45672</v>
      </c>
      <c r="C1291" s="839">
        <f>'COMMERCIAL 2019 - 2021'!G1894</f>
        <v>2025</v>
      </c>
      <c r="D1291" s="839" t="str">
        <f>'COMMERCIAL 2019 - 2021'!H1894</f>
        <v>CE2259</v>
      </c>
      <c r="E1291" s="839" t="str">
        <f>'COMMERCIAL 2019 - 2021'!I1894</f>
        <v>SAFA FOOD</v>
      </c>
      <c r="F1291" s="839" t="str">
        <f>'COMMERCIAL 2019 - 2021'!N1894</f>
        <v>OUI</v>
      </c>
      <c r="G1291" s="839" t="str">
        <f>'COMMERCIAL 2019 - 2021'!O1894</f>
        <v>Canada</v>
      </c>
      <c r="H1291" s="838">
        <f>'COMMERCIAL 2019 - 2021'!P1894</f>
        <v>45685</v>
      </c>
      <c r="I1291" s="840">
        <f>'COMMERCIAL 2019 - 2021'!Q1894</f>
        <v>4000</v>
      </c>
      <c r="J1291" s="870">
        <v>1</v>
      </c>
      <c r="K1291" s="840">
        <f>'COMMERCIAL 2019 - 2021'!R1894</f>
        <v>13962</v>
      </c>
      <c r="L1291" s="870">
        <v>1</v>
      </c>
      <c r="M1291" s="840">
        <f>'COMMERCIAL 2019 - 2021'!S1894</f>
        <v>1440</v>
      </c>
      <c r="N1291" s="870">
        <v>1</v>
      </c>
      <c r="O1291" s="840">
        <f>'COMMERCIAL 2019 - 2021'!T1894</f>
        <v>6300</v>
      </c>
      <c r="P1291" s="870">
        <v>1</v>
      </c>
      <c r="Q1291" s="840">
        <f>'COMMERCIAL 2019 - 2021'!U1894</f>
        <v>25702</v>
      </c>
    </row>
    <row r="1292" spans="1:17" s="1" customFormat="1" ht="11.45">
      <c r="A1292" s="837" t="str">
        <f>'COMMERCIAL 2019 - 2021'!D1895</f>
        <v>FAE-25-00015</v>
      </c>
      <c r="B1292" s="895">
        <f>'COMMERCIAL 2019 - 2021'!F1895</f>
        <v>45672</v>
      </c>
      <c r="C1292" s="839">
        <f>'COMMERCIAL 2019 - 2021'!G1895</f>
        <v>2025</v>
      </c>
      <c r="D1292" s="839" t="str">
        <f>'COMMERCIAL 2019 - 2021'!H1895</f>
        <v>CE2079</v>
      </c>
      <c r="E1292" s="839" t="str">
        <f>'COMMERCIAL 2019 - 2021'!I1895</f>
        <v>BAH MAMADOU SALIOU</v>
      </c>
      <c r="F1292" s="839" t="str">
        <f>'COMMERCIAL 2019 - 2021'!N1895</f>
        <v>OUI</v>
      </c>
      <c r="G1292" s="839" t="str">
        <f>'COMMERCIAL 2019 - 2021'!O1895</f>
        <v>Guinée</v>
      </c>
      <c r="H1292" s="838">
        <f>'COMMERCIAL 2019 - 2021'!P1895</f>
        <v>45681</v>
      </c>
      <c r="I1292" s="840">
        <f>'COMMERCIAL 2019 - 2021'!Q1895</f>
        <v>0</v>
      </c>
      <c r="J1292" s="841"/>
      <c r="K1292" s="840">
        <f>'COMMERCIAL 2019 - 2021'!R1895</f>
        <v>86040</v>
      </c>
      <c r="L1292" s="841" t="s">
        <v>21172</v>
      </c>
      <c r="M1292" s="840">
        <f>'COMMERCIAL 2019 - 2021'!S1895</f>
        <v>0</v>
      </c>
      <c r="N1292" s="841"/>
      <c r="O1292" s="840">
        <f>'COMMERCIAL 2019 - 2021'!T1895</f>
        <v>0</v>
      </c>
      <c r="P1292" s="842"/>
      <c r="Q1292" s="840">
        <f>'COMMERCIAL 2019 - 2021'!U1895</f>
        <v>86040</v>
      </c>
    </row>
    <row r="1293" spans="1:17" s="1" customFormat="1" ht="11.45">
      <c r="A1293" s="837" t="str">
        <f>'COMMERCIAL 2019 - 2021'!D1896</f>
        <v>FAE-25-00016</v>
      </c>
      <c r="B1293" s="895">
        <f>'COMMERCIAL 2019 - 2021'!F1896</f>
        <v>45672</v>
      </c>
      <c r="C1293" s="839">
        <f>'COMMERCIAL 2019 - 2021'!G1896</f>
        <v>2025</v>
      </c>
      <c r="D1293" s="839" t="str">
        <f>'COMMERCIAL 2019 - 2021'!H1896</f>
        <v>CE2165</v>
      </c>
      <c r="E1293" s="839" t="str">
        <f>'COMMERCIAL 2019 - 2021'!I1896</f>
        <v>ANGSTREM TRADING</v>
      </c>
      <c r="F1293" s="839" t="str">
        <f>'COMMERCIAL 2019 - 2021'!N1896</f>
        <v>OUI</v>
      </c>
      <c r="G1293" s="839" t="str">
        <f>'COMMERCIAL 2019 - 2021'!O1896</f>
        <v>Russie</v>
      </c>
      <c r="H1293" s="838">
        <f>'COMMERCIAL 2019 - 2021'!P1896</f>
        <v>45680</v>
      </c>
      <c r="I1293" s="840">
        <f>'COMMERCIAL 2019 - 2021'!Q1896</f>
        <v>40300</v>
      </c>
      <c r="J1293" s="870">
        <v>1</v>
      </c>
      <c r="K1293" s="840">
        <f>'COMMERCIAL 2019 - 2021'!R1896</f>
        <v>0</v>
      </c>
      <c r="L1293" s="841"/>
      <c r="M1293" s="840">
        <f>'COMMERCIAL 2019 - 2021'!S1896</f>
        <v>0</v>
      </c>
      <c r="N1293" s="841"/>
      <c r="O1293" s="840">
        <f>'COMMERCIAL 2019 - 2021'!T1896</f>
        <v>0</v>
      </c>
      <c r="P1293" s="842"/>
      <c r="Q1293" s="840">
        <f>'COMMERCIAL 2019 - 2021'!U1896</f>
        <v>40300</v>
      </c>
    </row>
    <row r="1294" spans="1:17" s="1" customFormat="1" ht="11.45">
      <c r="A1294" s="837" t="str">
        <f>'COMMERCIAL 2019 - 2021'!D1897</f>
        <v>FAE-25-00017</v>
      </c>
      <c r="B1294" s="895">
        <f>'COMMERCIAL 2019 - 2021'!F1897</f>
        <v>45672</v>
      </c>
      <c r="C1294" s="839">
        <f>'COMMERCIAL 2019 - 2021'!G1897</f>
        <v>2025</v>
      </c>
      <c r="D1294" s="839" t="str">
        <f>'COMMERCIAL 2019 - 2021'!H1897</f>
        <v>CE2257</v>
      </c>
      <c r="E1294" s="839" t="str">
        <f>'COMMERCIAL 2019 - 2021'!I1897</f>
        <v>LAMP FALL IMP EXP - LAFFIMEX</v>
      </c>
      <c r="F1294" s="839" t="str">
        <f>'COMMERCIAL 2019 - 2021'!N1897</f>
        <v>OUI</v>
      </c>
      <c r="G1294" s="839" t="str">
        <f>'COMMERCIAL 2019 - 2021'!O1897</f>
        <v>Senegal</v>
      </c>
      <c r="H1294" s="838">
        <f>'COMMERCIAL 2019 - 2021'!P1897</f>
        <v>45707</v>
      </c>
      <c r="I1294" s="840">
        <f>'COMMERCIAL 2019 - 2021'!Q1897</f>
        <v>134400</v>
      </c>
      <c r="J1294" s="870">
        <v>1</v>
      </c>
      <c r="K1294" s="840">
        <f>'COMMERCIAL 2019 - 2021'!R1897</f>
        <v>0</v>
      </c>
      <c r="L1294" s="841"/>
      <c r="M1294" s="840">
        <f>'COMMERCIAL 2019 - 2021'!S1897</f>
        <v>0</v>
      </c>
      <c r="N1294" s="841"/>
      <c r="O1294" s="840">
        <f>'COMMERCIAL 2019 - 2021'!T1897</f>
        <v>0</v>
      </c>
      <c r="P1294" s="842"/>
      <c r="Q1294" s="840">
        <f>'COMMERCIAL 2019 - 2021'!U1897</f>
        <v>134400</v>
      </c>
    </row>
    <row r="1295" spans="1:17" s="1" customFormat="1" ht="11.45">
      <c r="A1295" s="837" t="str">
        <f>'COMMERCIAL 2019 - 2021'!D1898</f>
        <v>FAE-25-00018</v>
      </c>
      <c r="B1295" s="895">
        <f>'COMMERCIAL 2019 - 2021'!F1898</f>
        <v>45672</v>
      </c>
      <c r="C1295" s="839">
        <f>'COMMERCIAL 2019 - 2021'!G1898</f>
        <v>2025</v>
      </c>
      <c r="D1295" s="839" t="str">
        <f>'COMMERCIAL 2019 - 2021'!H1898</f>
        <v>CE2257</v>
      </c>
      <c r="E1295" s="839" t="str">
        <f>'COMMERCIAL 2019 - 2021'!I1898</f>
        <v>LAMP FALL IMP EXP - LAFFIMEX</v>
      </c>
      <c r="F1295" s="839" t="str">
        <f>'COMMERCIAL 2019 - 2021'!N1898</f>
        <v>OUI</v>
      </c>
      <c r="G1295" s="839" t="str">
        <f>'COMMERCIAL 2019 - 2021'!O1898</f>
        <v>Senegal</v>
      </c>
      <c r="H1295" s="838">
        <f>'COMMERCIAL 2019 - 2021'!P1898</f>
        <v>45700</v>
      </c>
      <c r="I1295" s="840">
        <f>'COMMERCIAL 2019 - 2021'!Q1898</f>
        <v>0</v>
      </c>
      <c r="J1295" s="841"/>
      <c r="K1295" s="840">
        <f>'COMMERCIAL 2019 - 2021'!R1898</f>
        <v>112500</v>
      </c>
      <c r="L1295" s="841" t="s">
        <v>20347</v>
      </c>
      <c r="M1295" s="840">
        <f>'COMMERCIAL 2019 - 2021'!S1898</f>
        <v>0</v>
      </c>
      <c r="N1295" s="841"/>
      <c r="O1295" s="840">
        <f>'COMMERCIAL 2019 - 2021'!T1898</f>
        <v>0</v>
      </c>
      <c r="P1295" s="842"/>
      <c r="Q1295" s="840">
        <f>'COMMERCIAL 2019 - 2021'!U1898</f>
        <v>112500</v>
      </c>
    </row>
    <row r="1296" spans="1:17" s="1" customFormat="1" ht="11.45">
      <c r="A1296" s="837" t="str">
        <f>'COMMERCIAL 2019 - 2021'!D1899</f>
        <v>FAE-25-00019</v>
      </c>
      <c r="B1296" s="895">
        <f>'COMMERCIAL 2019 - 2021'!F1899</f>
        <v>45672</v>
      </c>
      <c r="C1296" s="839">
        <f>'COMMERCIAL 2019 - 2021'!G1899</f>
        <v>2025</v>
      </c>
      <c r="D1296" s="839" t="str">
        <f>'COMMERCIAL 2019 - 2021'!H1899</f>
        <v>CE2025</v>
      </c>
      <c r="E1296" s="839" t="str">
        <f>'COMMERCIAL 2019 - 2021'!I1899</f>
        <v>SAWABA - GUINEE</v>
      </c>
      <c r="F1296" s="839" t="str">
        <f>'COMMERCIAL 2019 - 2021'!N1899</f>
        <v>OUI</v>
      </c>
      <c r="G1296" s="839" t="str">
        <f>'COMMERCIAL 2019 - 2021'!O1899</f>
        <v>Guinée</v>
      </c>
      <c r="H1296" s="838">
        <f>'COMMERCIAL 2019 - 2021'!P1899</f>
        <v>45687</v>
      </c>
      <c r="I1296" s="840">
        <f>'COMMERCIAL 2019 - 2021'!Q1899</f>
        <v>14112</v>
      </c>
      <c r="J1296" s="870">
        <v>1</v>
      </c>
      <c r="K1296" s="840">
        <f>'COMMERCIAL 2019 - 2021'!R1899</f>
        <v>195984</v>
      </c>
      <c r="L1296" s="841" t="s">
        <v>21173</v>
      </c>
      <c r="M1296" s="840">
        <f>'COMMERCIAL 2019 - 2021'!S1899</f>
        <v>0</v>
      </c>
      <c r="N1296" s="841"/>
      <c r="O1296" s="840">
        <f>'COMMERCIAL 2019 - 2021'!T1899</f>
        <v>0</v>
      </c>
      <c r="P1296" s="842"/>
      <c r="Q1296" s="840">
        <f>'COMMERCIAL 2019 - 2021'!U1899</f>
        <v>210096</v>
      </c>
    </row>
    <row r="1297" spans="1:17" s="1" customFormat="1" ht="11.45">
      <c r="A1297" s="837" t="str">
        <f>'COMMERCIAL 2019 - 2021'!D1900</f>
        <v>FAE-25-00020</v>
      </c>
      <c r="B1297" s="895">
        <f>'COMMERCIAL 2019 - 2021'!F1900</f>
        <v>45672</v>
      </c>
      <c r="C1297" s="839">
        <f>'COMMERCIAL 2019 - 2021'!G1900</f>
        <v>2025</v>
      </c>
      <c r="D1297" s="839" t="str">
        <f>'COMMERCIAL 2019 - 2021'!H1900</f>
        <v>CE2137</v>
      </c>
      <c r="E1297" s="839" t="str">
        <f>'COMMERCIAL 2019 - 2021'!I1900</f>
        <v>TUNISIAN AFRICAN BUSINESS</v>
      </c>
      <c r="F1297" s="839" t="str">
        <f>'COMMERCIAL 2019 - 2021'!N1900</f>
        <v>OUI</v>
      </c>
      <c r="G1297" s="839" t="str">
        <f>'COMMERCIAL 2019 - 2021'!O1900</f>
        <v>Sierra Leone</v>
      </c>
      <c r="H1297" s="838">
        <f>'COMMERCIAL 2019 - 2021'!P1900</f>
        <v>45691</v>
      </c>
      <c r="I1297" s="840">
        <f>'COMMERCIAL 2019 - 2021'!Q1900</f>
        <v>43608</v>
      </c>
      <c r="J1297" s="870">
        <v>1</v>
      </c>
      <c r="K1297" s="840">
        <f>'COMMERCIAL 2019 - 2021'!R1900</f>
        <v>0</v>
      </c>
      <c r="L1297" s="841"/>
      <c r="M1297" s="840">
        <f>'COMMERCIAL 2019 - 2021'!S1900</f>
        <v>0</v>
      </c>
      <c r="N1297" s="841"/>
      <c r="O1297" s="840">
        <f>'COMMERCIAL 2019 - 2021'!T1900</f>
        <v>0</v>
      </c>
      <c r="P1297" s="842"/>
      <c r="Q1297" s="840">
        <f>'COMMERCIAL 2019 - 2021'!U1900</f>
        <v>43608</v>
      </c>
    </row>
    <row r="1298" spans="1:17" s="1" customFormat="1" ht="11.45">
      <c r="A1298" s="837" t="str">
        <f>'COMMERCIAL 2019 - 2021'!D1901</f>
        <v>FAE-25-00021</v>
      </c>
      <c r="B1298" s="895">
        <f>'COMMERCIAL 2019 - 2021'!F1901</f>
        <v>45672</v>
      </c>
      <c r="C1298" s="839">
        <f>'COMMERCIAL 2019 - 2021'!G1901</f>
        <v>2025</v>
      </c>
      <c r="D1298" s="839" t="str">
        <f>'COMMERCIAL 2019 - 2021'!H1901</f>
        <v>CE2137</v>
      </c>
      <c r="E1298" s="839" t="str">
        <f>'COMMERCIAL 2019 - 2021'!I1901</f>
        <v>TUNISIAN AFRICAN BUSINESS</v>
      </c>
      <c r="F1298" s="839" t="str">
        <f>'COMMERCIAL 2019 - 2021'!N1901</f>
        <v>OUI</v>
      </c>
      <c r="G1298" s="839" t="str">
        <f>'COMMERCIAL 2019 - 2021'!O1901</f>
        <v>Tchad</v>
      </c>
      <c r="H1298" s="838">
        <f>'COMMERCIAL 2019 - 2021'!P1901</f>
        <v>45686</v>
      </c>
      <c r="I1298" s="840">
        <f>'COMMERCIAL 2019 - 2021'!Q1901</f>
        <v>0</v>
      </c>
      <c r="J1298" s="841"/>
      <c r="K1298" s="840">
        <f>'COMMERCIAL 2019 - 2021'!R1901</f>
        <v>84000</v>
      </c>
      <c r="L1298" s="841" t="s">
        <v>21174</v>
      </c>
      <c r="M1298" s="840">
        <f>'COMMERCIAL 2019 - 2021'!S1901</f>
        <v>0</v>
      </c>
      <c r="N1298" s="841"/>
      <c r="O1298" s="840">
        <f>'COMMERCIAL 2019 - 2021'!T1901</f>
        <v>0</v>
      </c>
      <c r="P1298" s="842"/>
      <c r="Q1298" s="840">
        <f>'COMMERCIAL 2019 - 2021'!U1901</f>
        <v>84000</v>
      </c>
    </row>
    <row r="1299" spans="1:17" s="1" customFormat="1" ht="11.45">
      <c r="A1299" s="837" t="str">
        <f>'COMMERCIAL 2019 - 2021'!D1902</f>
        <v>FAE-25-00022</v>
      </c>
      <c r="B1299" s="895">
        <f>'COMMERCIAL 2019 - 2021'!F1902</f>
        <v>45672</v>
      </c>
      <c r="C1299" s="839">
        <f>'COMMERCIAL 2019 - 2021'!G1902</f>
        <v>2025</v>
      </c>
      <c r="D1299" s="839" t="str">
        <f>'COMMERCIAL 2019 - 2021'!H1902</f>
        <v>CE2261</v>
      </c>
      <c r="E1299" s="839" t="str">
        <f>'COMMERCIAL 2019 - 2021'!I1902</f>
        <v>MARCOM INTERN</v>
      </c>
      <c r="F1299" s="839" t="str">
        <f>'COMMERCIAL 2019 - 2021'!N1902</f>
        <v>OUI</v>
      </c>
      <c r="G1299" s="839" t="str">
        <f>'COMMERCIAL 2019 - 2021'!O1902</f>
        <v>Senegal</v>
      </c>
      <c r="H1299" s="838">
        <f>'COMMERCIAL 2019 - 2021'!P1902</f>
        <v>45687</v>
      </c>
      <c r="I1299" s="840">
        <f>'COMMERCIAL 2019 - 2021'!Q1902</f>
        <v>90000</v>
      </c>
      <c r="J1299" s="870">
        <v>1</v>
      </c>
      <c r="K1299" s="840">
        <f>'COMMERCIAL 2019 - 2021'!R1902</f>
        <v>70000</v>
      </c>
      <c r="L1299" s="841" t="s">
        <v>20347</v>
      </c>
      <c r="M1299" s="840">
        <f>'COMMERCIAL 2019 - 2021'!S1902</f>
        <v>300000</v>
      </c>
      <c r="N1299" s="841" t="s">
        <v>20347</v>
      </c>
      <c r="O1299" s="840">
        <f>'COMMERCIAL 2019 - 2021'!T1902</f>
        <v>0</v>
      </c>
      <c r="P1299" s="842"/>
      <c r="Q1299" s="840">
        <f>'COMMERCIAL 2019 - 2021'!U1902</f>
        <v>460000</v>
      </c>
    </row>
    <row r="1300" spans="1:17" s="1" customFormat="1" ht="11.45">
      <c r="A1300" s="837" t="str">
        <f>'COMMERCIAL 2019 - 2021'!D1903</f>
        <v>FAE-25-00023</v>
      </c>
      <c r="B1300" s="895">
        <f>'COMMERCIAL 2019 - 2021'!F1903</f>
        <v>45672</v>
      </c>
      <c r="C1300" s="839">
        <f>'COMMERCIAL 2019 - 2021'!G1903</f>
        <v>2025</v>
      </c>
      <c r="D1300" s="839" t="str">
        <f>'COMMERCIAL 2019 - 2021'!H1903</f>
        <v>CE2261</v>
      </c>
      <c r="E1300" s="839" t="str">
        <f>'COMMERCIAL 2019 - 2021'!I1903</f>
        <v>MARCOM INTERN</v>
      </c>
      <c r="F1300" s="839" t="str">
        <f>'COMMERCIAL 2019 - 2021'!N1903</f>
        <v>OUI</v>
      </c>
      <c r="G1300" s="839" t="str">
        <f>'COMMERCIAL 2019 - 2021'!O1903</f>
        <v>Madagascar</v>
      </c>
      <c r="H1300" s="838">
        <f>'COMMERCIAL 2019 - 2021'!P1903</f>
        <v>45688</v>
      </c>
      <c r="I1300" s="840">
        <f>'COMMERCIAL 2019 - 2021'!Q1903</f>
        <v>0</v>
      </c>
      <c r="J1300" s="841"/>
      <c r="K1300" s="840">
        <f>'COMMERCIAL 2019 - 2021'!R1903</f>
        <v>0</v>
      </c>
      <c r="L1300" s="841"/>
      <c r="M1300" s="840">
        <f>'COMMERCIAL 2019 - 2021'!S1903</f>
        <v>312000</v>
      </c>
      <c r="N1300" s="841" t="s">
        <v>20347</v>
      </c>
      <c r="O1300" s="840">
        <f>'COMMERCIAL 2019 - 2021'!T1903</f>
        <v>0</v>
      </c>
      <c r="P1300" s="842"/>
      <c r="Q1300" s="840">
        <f>'COMMERCIAL 2019 - 2021'!U1903</f>
        <v>312000</v>
      </c>
    </row>
    <row r="1301" spans="1:17" s="1" customFormat="1" ht="11.45">
      <c r="A1301" s="837" t="str">
        <f>'COMMERCIAL 2019 - 2021'!D1904</f>
        <v>FAE-25-00024</v>
      </c>
      <c r="B1301" s="895">
        <f>'COMMERCIAL 2019 - 2021'!F1904</f>
        <v>45672</v>
      </c>
      <c r="C1301" s="839">
        <f>'COMMERCIAL 2019 - 2021'!G1904</f>
        <v>2025</v>
      </c>
      <c r="D1301" s="839" t="str">
        <f>'COMMERCIAL 2019 - 2021'!H1904</f>
        <v>CE2275</v>
      </c>
      <c r="E1301" s="839" t="str">
        <f>'COMMERCIAL 2019 - 2021'!I1904</f>
        <v>SODIC</v>
      </c>
      <c r="F1301" s="839" t="str">
        <f>'COMMERCIAL 2019 - 2021'!N1904</f>
        <v>OUI</v>
      </c>
      <c r="G1301" s="839" t="str">
        <f>'COMMERCIAL 2019 - 2021'!O1904</f>
        <v>France</v>
      </c>
      <c r="H1301" s="838">
        <f>'COMMERCIAL 2019 - 2021'!P1904</f>
        <v>45674</v>
      </c>
      <c r="I1301" s="840">
        <f>'COMMERCIAL 2019 - 2021'!Q1904</f>
        <v>3200</v>
      </c>
      <c r="J1301" s="870">
        <v>1</v>
      </c>
      <c r="K1301" s="840">
        <f>'COMMERCIAL 2019 - 2021'!R1904</f>
        <v>30792</v>
      </c>
      <c r="L1301" s="870">
        <v>1</v>
      </c>
      <c r="M1301" s="840">
        <f>'COMMERCIAL 2019 - 2021'!S1904</f>
        <v>8400</v>
      </c>
      <c r="N1301" s="870">
        <v>1</v>
      </c>
      <c r="O1301" s="840">
        <f>'COMMERCIAL 2019 - 2021'!T1904</f>
        <v>4480</v>
      </c>
      <c r="P1301" s="870">
        <v>1</v>
      </c>
      <c r="Q1301" s="840">
        <f>'COMMERCIAL 2019 - 2021'!U1904</f>
        <v>46872</v>
      </c>
    </row>
    <row r="1302" spans="1:17" s="1" customFormat="1" ht="11.45">
      <c r="A1302" s="837" t="str">
        <f>'COMMERCIAL 2019 - 2021'!D1905</f>
        <v>FAE-25-00025</v>
      </c>
      <c r="B1302" s="895">
        <f>'COMMERCIAL 2019 - 2021'!F1905</f>
        <v>45673</v>
      </c>
      <c r="C1302" s="839">
        <f>'COMMERCIAL 2019 - 2021'!G1905</f>
        <v>2025</v>
      </c>
      <c r="D1302" s="839" t="str">
        <f>'COMMERCIAL 2019 - 2021'!H1905</f>
        <v>CE2137</v>
      </c>
      <c r="E1302" s="839" t="str">
        <f>'COMMERCIAL 2019 - 2021'!I1905</f>
        <v>TUNISIAN AFRICAN BUSINESS</v>
      </c>
      <c r="F1302" s="839" t="str">
        <f>'COMMERCIAL 2019 - 2021'!N1905</f>
        <v>OUI</v>
      </c>
      <c r="G1302" s="839" t="str">
        <f>'COMMERCIAL 2019 - 2021'!O1905</f>
        <v>Senegal</v>
      </c>
      <c r="H1302" s="838">
        <f>'COMMERCIAL 2019 - 2021'!P1905</f>
        <v>45688</v>
      </c>
      <c r="I1302" s="840">
        <f>'COMMERCIAL 2019 - 2021'!Q1905</f>
        <v>0</v>
      </c>
      <c r="J1302" s="841"/>
      <c r="K1302" s="840">
        <f>'COMMERCIAL 2019 - 2021'!R1905</f>
        <v>157500</v>
      </c>
      <c r="L1302" s="841" t="s">
        <v>20347</v>
      </c>
      <c r="M1302" s="840">
        <f>'COMMERCIAL 2019 - 2021'!S1905</f>
        <v>0</v>
      </c>
      <c r="N1302" s="841"/>
      <c r="O1302" s="840">
        <f>'COMMERCIAL 2019 - 2021'!T1905</f>
        <v>0</v>
      </c>
      <c r="P1302" s="842"/>
      <c r="Q1302" s="840">
        <f>'COMMERCIAL 2019 - 2021'!U1905</f>
        <v>157500</v>
      </c>
    </row>
    <row r="1303" spans="1:17" s="1" customFormat="1" ht="11.45">
      <c r="A1303" s="837" t="str">
        <f>'COMMERCIAL 2019 - 2021'!D1906</f>
        <v>FAE-25-00026</v>
      </c>
      <c r="B1303" s="895">
        <f>'COMMERCIAL 2019 - 2021'!F1906</f>
        <v>45673</v>
      </c>
      <c r="C1303" s="839">
        <f>'COMMERCIAL 2019 - 2021'!G1906</f>
        <v>2025</v>
      </c>
      <c r="D1303" s="839" t="str">
        <f>'COMMERCIAL 2019 - 2021'!H1906</f>
        <v>CE2001</v>
      </c>
      <c r="E1303" s="839" t="str">
        <f>'COMMERCIAL 2019 - 2021'!I1906</f>
        <v>STE DE COMMERCE INTERNATIONAL</v>
      </c>
      <c r="F1303" s="839" t="str">
        <f>'COMMERCIAL 2019 - 2021'!N1906</f>
        <v>OUI</v>
      </c>
      <c r="G1303" s="839" t="str">
        <f>'COMMERCIAL 2019 - 2021'!O1906</f>
        <v>Sierra Leone</v>
      </c>
      <c r="H1303" s="838">
        <f>'COMMERCIAL 2019 - 2021'!P1906</f>
        <v>45685</v>
      </c>
      <c r="I1303" s="840">
        <f>'COMMERCIAL 2019 - 2021'!Q1906</f>
        <v>239606</v>
      </c>
      <c r="J1303" s="870">
        <v>1</v>
      </c>
      <c r="K1303" s="840">
        <f>'COMMERCIAL 2019 - 2021'!R1906</f>
        <v>47700</v>
      </c>
      <c r="L1303" s="841" t="s">
        <v>21173</v>
      </c>
      <c r="M1303" s="840">
        <f>'COMMERCIAL 2019 - 2021'!S1906</f>
        <v>0</v>
      </c>
      <c r="N1303" s="841"/>
      <c r="O1303" s="840">
        <f>'COMMERCIAL 2019 - 2021'!T1906</f>
        <v>0</v>
      </c>
      <c r="P1303" s="842"/>
      <c r="Q1303" s="840">
        <f>'COMMERCIAL 2019 - 2021'!U1906</f>
        <v>287306</v>
      </c>
    </row>
    <row r="1304" spans="1:17" s="1" customFormat="1" ht="11.45">
      <c r="A1304" s="837" t="str">
        <f>'COMMERCIAL 2019 - 2021'!D1907</f>
        <v>FAE-25-00027</v>
      </c>
      <c r="B1304" s="895">
        <f>'COMMERCIAL 2019 - 2021'!F1907</f>
        <v>45677</v>
      </c>
      <c r="C1304" s="839">
        <f>'COMMERCIAL 2019 - 2021'!G1907</f>
        <v>2025</v>
      </c>
      <c r="D1304" s="839" t="str">
        <f>'COMMERCIAL 2019 - 2021'!H1907</f>
        <v>CE2165</v>
      </c>
      <c r="E1304" s="839" t="str">
        <f>'COMMERCIAL 2019 - 2021'!I1907</f>
        <v>ANGSTREM TRADING</v>
      </c>
      <c r="F1304" s="839" t="str">
        <f>'COMMERCIAL 2019 - 2021'!N1907</f>
        <v>OUI</v>
      </c>
      <c r="G1304" s="839" t="str">
        <f>'COMMERCIAL 2019 - 2021'!O1907</f>
        <v>Russie</v>
      </c>
      <c r="H1304" s="838">
        <f>'COMMERCIAL 2019 - 2021'!P1907</f>
        <v>45681</v>
      </c>
      <c r="I1304" s="840">
        <f>'COMMERCIAL 2019 - 2021'!Q1907</f>
        <v>40300</v>
      </c>
      <c r="J1304" s="870">
        <v>1</v>
      </c>
      <c r="K1304" s="840">
        <f>'COMMERCIAL 2019 - 2021'!R1907</f>
        <v>0</v>
      </c>
      <c r="L1304" s="841"/>
      <c r="M1304" s="840">
        <f>'COMMERCIAL 2019 - 2021'!S1907</f>
        <v>0</v>
      </c>
      <c r="N1304" s="841"/>
      <c r="O1304" s="840">
        <f>'COMMERCIAL 2019 - 2021'!T1907</f>
        <v>0</v>
      </c>
      <c r="P1304" s="842"/>
      <c r="Q1304" s="840">
        <f>'COMMERCIAL 2019 - 2021'!U1907</f>
        <v>40300</v>
      </c>
    </row>
    <row r="1305" spans="1:17" s="1" customFormat="1" ht="11.45">
      <c r="A1305" s="837" t="str">
        <f>'COMMERCIAL 2019 - 2021'!D1908</f>
        <v>FAE-25-00028</v>
      </c>
      <c r="B1305" s="895">
        <f>'COMMERCIAL 2019 - 2021'!F1908</f>
        <v>45685</v>
      </c>
      <c r="C1305" s="839">
        <f>'COMMERCIAL 2019 - 2021'!G1908</f>
        <v>2025</v>
      </c>
      <c r="D1305" s="839" t="str">
        <f>'COMMERCIAL 2019 - 2021'!H1908</f>
        <v>CE2240</v>
      </c>
      <c r="E1305" s="839" t="str">
        <f>'COMMERCIAL 2019 - 2021'!I1908</f>
        <v>RNK DISTRIBUTION</v>
      </c>
      <c r="F1305" s="839" t="str">
        <f>'COMMERCIAL 2019 - 2021'!N1908</f>
        <v>OUI</v>
      </c>
      <c r="G1305" s="839" t="str">
        <f>'COMMERCIAL 2019 - 2021'!O1908</f>
        <v>MAdagascar</v>
      </c>
      <c r="H1305" s="838">
        <f>'COMMERCIAL 2019 - 2021'!P1908</f>
        <v>45708</v>
      </c>
      <c r="I1305" s="840">
        <f>'COMMERCIAL 2019 - 2021'!Q1908</f>
        <v>0</v>
      </c>
      <c r="J1305" s="841"/>
      <c r="K1305" s="840">
        <f>'COMMERCIAL 2019 - 2021'!R1908</f>
        <v>60800</v>
      </c>
      <c r="L1305" s="841" t="s">
        <v>21174</v>
      </c>
      <c r="M1305" s="840">
        <f>'COMMERCIAL 2019 - 2021'!S1908</f>
        <v>0</v>
      </c>
      <c r="N1305" s="841"/>
      <c r="O1305" s="840">
        <f>'COMMERCIAL 2019 - 2021'!T1908</f>
        <v>0</v>
      </c>
      <c r="P1305" s="842"/>
      <c r="Q1305" s="840">
        <f>'COMMERCIAL 2019 - 2021'!U1908</f>
        <v>60800</v>
      </c>
    </row>
    <row r="1306" spans="1:17" s="1" customFormat="1" ht="11.45">
      <c r="A1306" s="837" t="str">
        <f>'COMMERCIAL 2019 - 2021'!D1909</f>
        <v>FAE-25-00029</v>
      </c>
      <c r="B1306" s="895">
        <f>'COMMERCIAL 2019 - 2021'!F1909</f>
        <v>45685</v>
      </c>
      <c r="C1306" s="839">
        <f>'COMMERCIAL 2019 - 2021'!G1909</f>
        <v>2025</v>
      </c>
      <c r="D1306" s="839" t="str">
        <f>'COMMERCIAL 2019 - 2021'!H1909</f>
        <v>CE2275</v>
      </c>
      <c r="E1306" s="839" t="str">
        <f>'COMMERCIAL 2019 - 2021'!I1909</f>
        <v>SODIC</v>
      </c>
      <c r="F1306" s="839" t="str">
        <f>'COMMERCIAL 2019 - 2021'!N1909</f>
        <v>OUI</v>
      </c>
      <c r="G1306" s="839" t="str">
        <f>'COMMERCIAL 2019 - 2021'!O1909</f>
        <v>France</v>
      </c>
      <c r="H1306" s="838">
        <f>'COMMERCIAL 2019 - 2021'!P1909</f>
        <v>45688</v>
      </c>
      <c r="I1306" s="840">
        <f>'COMMERCIAL 2019 - 2021'!Q1909</f>
        <v>0</v>
      </c>
      <c r="J1306" s="841"/>
      <c r="K1306" s="840">
        <f>'COMMERCIAL 2019 - 2021'!R1909</f>
        <v>17112</v>
      </c>
      <c r="L1306" s="870">
        <v>1</v>
      </c>
      <c r="M1306" s="840">
        <f>'COMMERCIAL 2019 - 2021'!S1909</f>
        <v>6000</v>
      </c>
      <c r="N1306" s="870">
        <v>1</v>
      </c>
      <c r="O1306" s="840">
        <f>'COMMERCIAL 2019 - 2021'!T1909</f>
        <v>0</v>
      </c>
      <c r="P1306" s="842"/>
      <c r="Q1306" s="840">
        <f>'COMMERCIAL 2019 - 2021'!U1909</f>
        <v>23112</v>
      </c>
    </row>
    <row r="1307" spans="1:17" s="1" customFormat="1" ht="11.45">
      <c r="A1307" s="837" t="str">
        <f>'COMMERCIAL 2019 - 2021'!D1910</f>
        <v>FAE-25-00030</v>
      </c>
      <c r="B1307" s="895">
        <f>'COMMERCIAL 2019 - 2021'!F1910</f>
        <v>45686</v>
      </c>
      <c r="C1307" s="839">
        <f>'COMMERCIAL 2019 - 2021'!G1910</f>
        <v>2025</v>
      </c>
      <c r="D1307" s="839" t="str">
        <f>'COMMERCIAL 2019 - 2021'!H1910</f>
        <v>CE2275</v>
      </c>
      <c r="E1307" s="839" t="str">
        <f>'COMMERCIAL 2019 - 2021'!I1910</f>
        <v>SODIC</v>
      </c>
      <c r="F1307" s="839" t="str">
        <f>'COMMERCIAL 2019 - 2021'!N1910</f>
        <v>OUI</v>
      </c>
      <c r="G1307" s="839" t="str">
        <f>'COMMERCIAL 2019 - 2021'!O1910</f>
        <v>France</v>
      </c>
      <c r="H1307" s="838">
        <f>'COMMERCIAL 2019 - 2021'!P1910</f>
        <v>45695</v>
      </c>
      <c r="I1307" s="840">
        <f>'COMMERCIAL 2019 - 2021'!Q1910</f>
        <v>6400</v>
      </c>
      <c r="J1307" s="870">
        <v>1</v>
      </c>
      <c r="K1307" s="840">
        <f>'COMMERCIAL 2019 - 2021'!R1910</f>
        <v>24840</v>
      </c>
      <c r="L1307" s="870">
        <v>1</v>
      </c>
      <c r="M1307" s="840">
        <f>'COMMERCIAL 2019 - 2021'!S1910</f>
        <v>3600</v>
      </c>
      <c r="N1307" s="870">
        <v>1</v>
      </c>
      <c r="O1307" s="840">
        <f>'COMMERCIAL 2019 - 2021'!T1910</f>
        <v>10800</v>
      </c>
      <c r="P1307" s="870">
        <v>1</v>
      </c>
      <c r="Q1307" s="840">
        <f>'COMMERCIAL 2019 - 2021'!U1910</f>
        <v>45640</v>
      </c>
    </row>
    <row r="1308" spans="1:17" s="1" customFormat="1" ht="11.45">
      <c r="A1308" s="837" t="str">
        <f>'COMMERCIAL 2019 - 2021'!D1911</f>
        <v>FAE-25-00031</v>
      </c>
      <c r="B1308" s="895">
        <f>'COMMERCIAL 2019 - 2021'!F1911</f>
        <v>45686</v>
      </c>
      <c r="C1308" s="839">
        <f>'COMMERCIAL 2019 - 2021'!G1911</f>
        <v>2025</v>
      </c>
      <c r="D1308" s="839" t="str">
        <f>'COMMERCIAL 2019 - 2021'!H1911</f>
        <v>CE2275</v>
      </c>
      <c r="E1308" s="839" t="str">
        <f>'COMMERCIAL 2019 - 2021'!I1911</f>
        <v>SODIC</v>
      </c>
      <c r="F1308" s="839" t="str">
        <f>'COMMERCIAL 2019 - 2021'!N1911</f>
        <v>OUI</v>
      </c>
      <c r="G1308" s="839" t="str">
        <f>'COMMERCIAL 2019 - 2021'!O1911</f>
        <v>France</v>
      </c>
      <c r="H1308" s="838">
        <f>'COMMERCIAL 2019 - 2021'!P1911</f>
        <v>45695</v>
      </c>
      <c r="I1308" s="840">
        <f>'COMMERCIAL 2019 - 2021'!Q1911</f>
        <v>0</v>
      </c>
      <c r="J1308" s="841"/>
      <c r="K1308" s="840">
        <f>'COMMERCIAL 2019 - 2021'!R1911</f>
        <v>20400</v>
      </c>
      <c r="L1308" s="870">
        <v>1</v>
      </c>
      <c r="M1308" s="840">
        <f>'COMMERCIAL 2019 - 2021'!S1911</f>
        <v>3600</v>
      </c>
      <c r="N1308" s="870">
        <v>1</v>
      </c>
      <c r="O1308" s="840">
        <f>'COMMERCIAL 2019 - 2021'!T1911</f>
        <v>0</v>
      </c>
      <c r="P1308" s="842"/>
      <c r="Q1308" s="840">
        <f>'COMMERCIAL 2019 - 2021'!U1911</f>
        <v>24000</v>
      </c>
    </row>
    <row r="1309" spans="1:17" s="1" customFormat="1" ht="11.45">
      <c r="A1309" s="837" t="str">
        <f>'COMMERCIAL 2019 - 2021'!D1912</f>
        <v>FAE-25-00032</v>
      </c>
      <c r="B1309" s="895">
        <f>'COMMERCIAL 2019 - 2021'!F1912</f>
        <v>45685</v>
      </c>
      <c r="C1309" s="839">
        <f>'COMMERCIAL 2019 - 2021'!G1912</f>
        <v>2025</v>
      </c>
      <c r="D1309" s="839" t="str">
        <f>'COMMERCIAL 2019 - 2021'!H1912</f>
        <v>CE2275</v>
      </c>
      <c r="E1309" s="839" t="str">
        <f>'COMMERCIAL 2019 - 2021'!I1912</f>
        <v>SODIC</v>
      </c>
      <c r="F1309" s="839" t="str">
        <f>'COMMERCIAL 2019 - 2021'!N1912</f>
        <v>OUI</v>
      </c>
      <c r="G1309" s="839" t="str">
        <f>'COMMERCIAL 2019 - 2021'!O1912</f>
        <v>France</v>
      </c>
      <c r="H1309" s="838">
        <f>'COMMERCIAL 2019 - 2021'!P1912</f>
        <v>45706</v>
      </c>
      <c r="I1309" s="840">
        <f>'COMMERCIAL 2019 - 2021'!Q1912</f>
        <v>0</v>
      </c>
      <c r="J1309" s="841"/>
      <c r="K1309" s="840">
        <f>'COMMERCIAL 2019 - 2021'!R1912</f>
        <v>11280</v>
      </c>
      <c r="L1309" s="870">
        <v>1</v>
      </c>
      <c r="M1309" s="840">
        <f>'COMMERCIAL 2019 - 2021'!S1912</f>
        <v>0</v>
      </c>
      <c r="N1309" s="841"/>
      <c r="O1309" s="840">
        <f>'COMMERCIAL 2019 - 2021'!T1912</f>
        <v>0</v>
      </c>
      <c r="P1309" s="842"/>
      <c r="Q1309" s="840">
        <f>'COMMERCIAL 2019 - 2021'!U1912</f>
        <v>11280</v>
      </c>
    </row>
    <row r="1310" spans="1:17" s="1" customFormat="1" ht="11.45">
      <c r="A1310" s="837" t="str">
        <f>'COMMERCIAL 2019 - 2021'!D1913</f>
        <v>FAE-25-00033</v>
      </c>
      <c r="B1310" s="895">
        <f>'COMMERCIAL 2019 - 2021'!F1913</f>
        <v>45688</v>
      </c>
      <c r="C1310" s="839">
        <f>'COMMERCIAL 2019 - 2021'!G1913</f>
        <v>2025</v>
      </c>
      <c r="D1310" s="839" t="str">
        <f>'COMMERCIAL 2019 - 2021'!H1913</f>
        <v>CE2137</v>
      </c>
      <c r="E1310" s="839" t="str">
        <f>'COMMERCIAL 2019 - 2021'!I1913</f>
        <v>TUNISIAN AFRICAN BUSINESS</v>
      </c>
      <c r="F1310" s="839" t="str">
        <f>'COMMERCIAL 2019 - 2021'!N1913</f>
        <v>OUI</v>
      </c>
      <c r="G1310" s="839" t="str">
        <f>'COMMERCIAL 2019 - 2021'!O1913</f>
        <v>Dubai</v>
      </c>
      <c r="H1310" s="838">
        <f>'COMMERCIAL 2019 - 2021'!P1913</f>
        <v>45700</v>
      </c>
      <c r="I1310" s="840">
        <f>'COMMERCIAL 2019 - 2021'!Q1913</f>
        <v>0</v>
      </c>
      <c r="J1310" s="841"/>
      <c r="K1310" s="840">
        <f>'COMMERCIAL 2019 - 2021'!R1913</f>
        <v>4032</v>
      </c>
      <c r="L1310" s="870">
        <v>1</v>
      </c>
      <c r="M1310" s="840">
        <f>'COMMERCIAL 2019 - 2021'!S1913</f>
        <v>1920</v>
      </c>
      <c r="N1310" s="870">
        <v>1</v>
      </c>
      <c r="O1310" s="840">
        <f>'COMMERCIAL 2019 - 2021'!T1913</f>
        <v>2500</v>
      </c>
      <c r="P1310" s="870">
        <v>1</v>
      </c>
      <c r="Q1310" s="840">
        <f>'COMMERCIAL 2019 - 2021'!U1913</f>
        <v>8452</v>
      </c>
    </row>
    <row r="1311" spans="1:17" s="1" customFormat="1" ht="11.45">
      <c r="A1311" s="837" t="str">
        <f>'COMMERCIAL 2019 - 2021'!D1914</f>
        <v>FAE-25-00034</v>
      </c>
      <c r="B1311" s="895">
        <f>'COMMERCIAL 2019 - 2021'!F1914</f>
        <v>45693</v>
      </c>
      <c r="C1311" s="839">
        <f>'COMMERCIAL 2019 - 2021'!G1914</f>
        <v>2025</v>
      </c>
      <c r="D1311" s="839" t="str">
        <f>'COMMERCIAL 2019 - 2021'!H1914</f>
        <v>CE2001</v>
      </c>
      <c r="E1311" s="839" t="str">
        <f>'COMMERCIAL 2019 - 2021'!I1914</f>
        <v>STE DE COMMERCE INTERNATIONAL</v>
      </c>
      <c r="F1311" s="839" t="str">
        <f>'COMMERCIAL 2019 - 2021'!N1914</f>
        <v>OUI</v>
      </c>
      <c r="G1311" s="839" t="str">
        <f>'COMMERCIAL 2019 - 2021'!O1914</f>
        <v>Niger</v>
      </c>
      <c r="H1311" s="838">
        <f>'COMMERCIAL 2019 - 2021'!P1914</f>
        <v>45698</v>
      </c>
      <c r="I1311" s="840">
        <f>'COMMERCIAL 2019 - 2021'!Q1914</f>
        <v>22008</v>
      </c>
      <c r="J1311" s="870">
        <v>1</v>
      </c>
      <c r="K1311" s="840">
        <f>'COMMERCIAL 2019 - 2021'!R1914</f>
        <v>127220</v>
      </c>
      <c r="L1311" s="841" t="s">
        <v>21174</v>
      </c>
      <c r="M1311" s="840">
        <f>'COMMERCIAL 2019 - 2021'!S1914</f>
        <v>82500</v>
      </c>
      <c r="N1311" s="841" t="s">
        <v>20347</v>
      </c>
      <c r="O1311" s="840">
        <f>'COMMERCIAL 2019 - 2021'!T1914</f>
        <v>0</v>
      </c>
      <c r="P1311" s="842"/>
      <c r="Q1311" s="840">
        <f>'COMMERCIAL 2019 - 2021'!U1914</f>
        <v>231728</v>
      </c>
    </row>
    <row r="1312" spans="1:17" s="1" customFormat="1" ht="11.45">
      <c r="A1312" s="837" t="str">
        <f>'COMMERCIAL 2019 - 2021'!D1915</f>
        <v>FAE-25-00035</v>
      </c>
      <c r="B1312" s="895">
        <f>'COMMERCIAL 2019 - 2021'!F1915</f>
        <v>45694</v>
      </c>
      <c r="C1312" s="839">
        <f>'COMMERCIAL 2019 - 2021'!G1915</f>
        <v>2025</v>
      </c>
      <c r="D1312" s="839" t="str">
        <f>'COMMERCIAL 2019 - 2021'!H1915</f>
        <v>CE2266</v>
      </c>
      <c r="E1312" s="839" t="str">
        <f>'COMMERCIAL 2019 - 2021'!I1915</f>
        <v>AL SAHL MOUTAQADEM</v>
      </c>
      <c r="F1312" s="839" t="str">
        <f>'COMMERCIAL 2019 - 2021'!N1915</f>
        <v>OUI</v>
      </c>
      <c r="G1312" s="839" t="str">
        <f>'COMMERCIAL 2019 - 2021'!O1915</f>
        <v>Libye</v>
      </c>
      <c r="H1312" s="838">
        <f>'COMMERCIAL 2019 - 2021'!P1915</f>
        <v>45707</v>
      </c>
      <c r="I1312" s="840">
        <f>'COMMERCIAL 2019 - 2021'!Q1915</f>
        <v>0</v>
      </c>
      <c r="J1312" s="841"/>
      <c r="K1312" s="840">
        <f>'COMMERCIAL 2019 - 2021'!R1915</f>
        <v>0</v>
      </c>
      <c r="L1312" s="841"/>
      <c r="M1312" s="840">
        <f>'COMMERCIAL 2019 - 2021'!S1915</f>
        <v>0</v>
      </c>
      <c r="N1312" s="841"/>
      <c r="O1312" s="840">
        <f>'COMMERCIAL 2019 - 2021'!T1915</f>
        <v>40000</v>
      </c>
      <c r="P1312" s="870">
        <v>1</v>
      </c>
      <c r="Q1312" s="840">
        <f>'COMMERCIAL 2019 - 2021'!U1915</f>
        <v>40000</v>
      </c>
    </row>
    <row r="1313" spans="1:17" s="1" customFormat="1" ht="11.45">
      <c r="A1313" s="837" t="str">
        <f>'COMMERCIAL 2019 - 2021'!D1916</f>
        <v>FAE-25-00036</v>
      </c>
      <c r="B1313" s="895">
        <f>'COMMERCIAL 2019 - 2021'!F1916</f>
        <v>45698</v>
      </c>
      <c r="C1313" s="839">
        <f>'COMMERCIAL 2019 - 2021'!G1916</f>
        <v>2025</v>
      </c>
      <c r="D1313" s="839" t="str">
        <f>'COMMERCIAL 2019 - 2021'!H1916</f>
        <v>CE2295</v>
      </c>
      <c r="E1313" s="839" t="str">
        <f>'COMMERCIAL 2019 - 2021'!I1916</f>
        <v>ALMOSTAWRED ALJADEED CO. FOR IMPORT</v>
      </c>
      <c r="F1313" s="839" t="str">
        <f>'COMMERCIAL 2019 - 2021'!N1916</f>
        <v>OUI</v>
      </c>
      <c r="G1313" s="839" t="str">
        <f>'COMMERCIAL 2019 - 2021'!O1916</f>
        <v>Libye</v>
      </c>
      <c r="H1313" s="838">
        <f>'COMMERCIAL 2019 - 2021'!P1916</f>
        <v>45706</v>
      </c>
      <c r="I1313" s="840">
        <f>'COMMERCIAL 2019 - 2021'!Q1916</f>
        <v>72000</v>
      </c>
      <c r="J1313" s="870">
        <v>1</v>
      </c>
      <c r="K1313" s="840">
        <f>'COMMERCIAL 2019 - 2021'!R1916</f>
        <v>110400</v>
      </c>
      <c r="L1313" s="841" t="s">
        <v>20345</v>
      </c>
      <c r="M1313" s="840">
        <f>'COMMERCIAL 2019 - 2021'!S1916</f>
        <v>86400</v>
      </c>
      <c r="N1313" s="841" t="s">
        <v>20345</v>
      </c>
      <c r="O1313" s="840">
        <f>'COMMERCIAL 2019 - 2021'!T1916</f>
        <v>0</v>
      </c>
      <c r="P1313" s="842"/>
      <c r="Q1313" s="840">
        <f>'COMMERCIAL 2019 - 2021'!U1916</f>
        <v>268800</v>
      </c>
    </row>
    <row r="1314" spans="1:17" s="1" customFormat="1" ht="11.45">
      <c r="A1314" s="837" t="str">
        <f>'COMMERCIAL 2019 - 2021'!D1917</f>
        <v>FAE-25-00037</v>
      </c>
      <c r="B1314" s="895">
        <f>'COMMERCIAL 2019 - 2021'!F1917</f>
        <v>45698</v>
      </c>
      <c r="C1314" s="839">
        <f>'COMMERCIAL 2019 - 2021'!G1917</f>
        <v>2025</v>
      </c>
      <c r="D1314" s="839" t="str">
        <f>'COMMERCIAL 2019 - 2021'!H1917</f>
        <v>CE2295</v>
      </c>
      <c r="E1314" s="839" t="str">
        <f>'COMMERCIAL 2019 - 2021'!I1917</f>
        <v>ALMOSTAWRED ALJADEED CO. FOR IMPORT</v>
      </c>
      <c r="F1314" s="839" t="str">
        <f>'COMMERCIAL 2019 - 2021'!N1917</f>
        <v>OUI</v>
      </c>
      <c r="G1314" s="839" t="str">
        <f>'COMMERCIAL 2019 - 2021'!O1917</f>
        <v>Libye</v>
      </c>
      <c r="H1314" s="838">
        <f>'COMMERCIAL 2019 - 2021'!P1917</f>
        <v>45703</v>
      </c>
      <c r="I1314" s="840">
        <f>'COMMERCIAL 2019 - 2021'!Q1917</f>
        <v>0</v>
      </c>
      <c r="J1314" s="841"/>
      <c r="K1314" s="840">
        <f>'COMMERCIAL 2019 - 2021'!R1917</f>
        <v>40500</v>
      </c>
      <c r="L1314" s="841" t="s">
        <v>20345</v>
      </c>
      <c r="M1314" s="840">
        <f>'COMMERCIAL 2019 - 2021'!S1917</f>
        <v>24000</v>
      </c>
      <c r="N1314" s="841" t="s">
        <v>20345</v>
      </c>
      <c r="O1314" s="840">
        <f>'COMMERCIAL 2019 - 2021'!T1917</f>
        <v>26500</v>
      </c>
      <c r="P1314" s="870">
        <v>1</v>
      </c>
      <c r="Q1314" s="840">
        <f>'COMMERCIAL 2019 - 2021'!U1917</f>
        <v>91000</v>
      </c>
    </row>
    <row r="1315" spans="1:17" s="1" customFormat="1" ht="11.45">
      <c r="A1315" s="837" t="str">
        <f>'COMMERCIAL 2019 - 2021'!D1918</f>
        <v>FAE-25-00038</v>
      </c>
      <c r="B1315" s="895">
        <f>'COMMERCIAL 2019 - 2021'!F1918</f>
        <v>45698</v>
      </c>
      <c r="C1315" s="839">
        <f>'COMMERCIAL 2019 - 2021'!G1918</f>
        <v>2025</v>
      </c>
      <c r="D1315" s="839" t="str">
        <f>'COMMERCIAL 2019 - 2021'!H1918</f>
        <v>CE2289</v>
      </c>
      <c r="E1315" s="839" t="str">
        <f>'COMMERCIAL 2019 - 2021'!I1918</f>
        <v>STE AL AKIL</v>
      </c>
      <c r="F1315" s="839" t="str">
        <f>'COMMERCIAL 2019 - 2021'!N1918</f>
        <v>OUI</v>
      </c>
      <c r="G1315" s="839" t="str">
        <f>'COMMERCIAL 2019 - 2021'!O1918</f>
        <v>Libye</v>
      </c>
      <c r="H1315" s="838">
        <f>'COMMERCIAL 2019 - 2021'!P1918</f>
        <v>45700</v>
      </c>
      <c r="I1315" s="840">
        <f>'COMMERCIAL 2019 - 2021'!Q1918</f>
        <v>200006</v>
      </c>
      <c r="J1315" s="870">
        <v>1</v>
      </c>
      <c r="K1315" s="840">
        <f>'COMMERCIAL 2019 - 2021'!R1918</f>
        <v>0</v>
      </c>
      <c r="L1315" s="841"/>
      <c r="M1315" s="840">
        <f>'COMMERCIAL 2019 - 2021'!S1918</f>
        <v>0</v>
      </c>
      <c r="N1315" s="841"/>
      <c r="O1315" s="840">
        <f>'COMMERCIAL 2019 - 2021'!T1918</f>
        <v>0</v>
      </c>
      <c r="P1315" s="842"/>
      <c r="Q1315" s="840">
        <f>'COMMERCIAL 2019 - 2021'!U1918</f>
        <v>200006</v>
      </c>
    </row>
    <row r="1316" spans="1:17" s="1" customFormat="1" ht="11.45">
      <c r="A1316" s="837" t="str">
        <f>'COMMERCIAL 2019 - 2021'!D1919</f>
        <v>FAE-25-00039</v>
      </c>
      <c r="B1316" s="895">
        <f>'COMMERCIAL 2019 - 2021'!F1919</f>
        <v>45695</v>
      </c>
      <c r="C1316" s="839">
        <f>'COMMERCIAL 2019 - 2021'!G1919</f>
        <v>2025</v>
      </c>
      <c r="D1316" s="839" t="str">
        <f>'COMMERCIAL 2019 - 2021'!H1919</f>
        <v>CE2259</v>
      </c>
      <c r="E1316" s="839" t="str">
        <f>'COMMERCIAL 2019 - 2021'!I1919</f>
        <v>SAFA FOOD</v>
      </c>
      <c r="F1316" s="839" t="str">
        <f>'COMMERCIAL 2019 - 2021'!N1919</f>
        <v>OUI</v>
      </c>
      <c r="G1316" s="839" t="str">
        <f>'COMMERCIAL 2019 - 2021'!O1919</f>
        <v>Canada</v>
      </c>
      <c r="H1316" s="838">
        <f>'COMMERCIAL 2019 - 2021'!P1919</f>
        <v>45701</v>
      </c>
      <c r="I1316" s="840">
        <f>'COMMERCIAL 2019 - 2021'!Q1919</f>
        <v>0</v>
      </c>
      <c r="J1316" s="841"/>
      <c r="K1316" s="840">
        <f>'COMMERCIAL 2019 - 2021'!R1919</f>
        <v>7200</v>
      </c>
      <c r="L1316" s="870">
        <v>1</v>
      </c>
      <c r="M1316" s="840">
        <f>'COMMERCIAL 2019 - 2021'!S1919</f>
        <v>1000</v>
      </c>
      <c r="N1316" s="870">
        <v>1</v>
      </c>
      <c r="O1316" s="840">
        <f>'COMMERCIAL 2019 - 2021'!T1919</f>
        <v>4000</v>
      </c>
      <c r="P1316" s="870">
        <v>1</v>
      </c>
      <c r="Q1316" s="840">
        <f>'COMMERCIAL 2019 - 2021'!U1919</f>
        <v>12200</v>
      </c>
    </row>
    <row r="1317" spans="1:17" s="1" customFormat="1" ht="11.45">
      <c r="A1317" s="837" t="str">
        <f>'COMMERCIAL 2019 - 2021'!D1920</f>
        <v>FAE-25-00040</v>
      </c>
      <c r="B1317" s="895">
        <f>'COMMERCIAL 2019 - 2021'!F1920</f>
        <v>45698</v>
      </c>
      <c r="C1317" s="839">
        <f>'COMMERCIAL 2019 - 2021'!G1920</f>
        <v>2025</v>
      </c>
      <c r="D1317" s="839" t="str">
        <f>'COMMERCIAL 2019 - 2021'!H1920</f>
        <v>CE2288</v>
      </c>
      <c r="E1317" s="839" t="str">
        <f>'COMMERCIAL 2019 - 2021'!I1920</f>
        <v>SOCIETE CHEMA</v>
      </c>
      <c r="F1317" s="839" t="str">
        <f>'COMMERCIAL 2019 - 2021'!N1920</f>
        <v>OUI</v>
      </c>
      <c r="G1317" s="839" t="str">
        <f>'COMMERCIAL 2019 - 2021'!O1920</f>
        <v>Tchad</v>
      </c>
      <c r="H1317" s="838">
        <f>'COMMERCIAL 2019 - 2021'!P1920</f>
        <v>45705</v>
      </c>
      <c r="I1317" s="840">
        <f>'COMMERCIAL 2019 - 2021'!Q1920</f>
        <v>0</v>
      </c>
      <c r="J1317" s="841"/>
      <c r="K1317" s="840">
        <f>'COMMERCIAL 2019 - 2021'!R1920</f>
        <v>0</v>
      </c>
      <c r="L1317" s="841"/>
      <c r="M1317" s="840">
        <f>'COMMERCIAL 2019 - 2021'!S1920</f>
        <v>110000</v>
      </c>
      <c r="N1317" s="841" t="s">
        <v>20347</v>
      </c>
      <c r="O1317" s="840">
        <f>'COMMERCIAL 2019 - 2021'!T1920</f>
        <v>0</v>
      </c>
      <c r="P1317" s="842"/>
      <c r="Q1317" s="840">
        <f>'COMMERCIAL 2019 - 2021'!U1920</f>
        <v>110000</v>
      </c>
    </row>
    <row r="1318" spans="1:17" s="1" customFormat="1" ht="11.45">
      <c r="A1318" s="837" t="str">
        <f>'COMMERCIAL 2019 - 2021'!D1921</f>
        <v>FAE-25-00041</v>
      </c>
      <c r="B1318" s="895">
        <f>'COMMERCIAL 2019 - 2021'!F1921</f>
        <v>45698</v>
      </c>
      <c r="C1318" s="839">
        <f>'COMMERCIAL 2019 - 2021'!G1921</f>
        <v>2025</v>
      </c>
      <c r="D1318" s="839" t="str">
        <f>'COMMERCIAL 2019 - 2021'!H1921</f>
        <v>CE2288</v>
      </c>
      <c r="E1318" s="839" t="str">
        <f>'COMMERCIAL 2019 - 2021'!I1921</f>
        <v>SOCIETE CHEMA</v>
      </c>
      <c r="F1318" s="839" t="str">
        <f>'COMMERCIAL 2019 - 2021'!N1921</f>
        <v>OUI</v>
      </c>
      <c r="G1318" s="839" t="str">
        <f>'COMMERCIAL 2019 - 2021'!O1921</f>
        <v>Tchad</v>
      </c>
      <c r="H1318" s="838">
        <f>'COMMERCIAL 2019 - 2021'!P1921</f>
        <v>45714</v>
      </c>
      <c r="I1318" s="840">
        <f>'COMMERCIAL 2019 - 2021'!Q1921</f>
        <v>12000</v>
      </c>
      <c r="J1318" s="870">
        <v>1</v>
      </c>
      <c r="K1318" s="840">
        <f>'COMMERCIAL 2019 - 2021'!R1921</f>
        <v>135600</v>
      </c>
      <c r="L1318" s="841" t="s">
        <v>21174</v>
      </c>
      <c r="M1318" s="840">
        <f>'COMMERCIAL 2019 - 2021'!S1921</f>
        <v>0</v>
      </c>
      <c r="N1318" s="841"/>
      <c r="O1318" s="840">
        <f>'COMMERCIAL 2019 - 2021'!T1921</f>
        <v>0</v>
      </c>
      <c r="P1318" s="842"/>
      <c r="Q1318" s="840">
        <f>'COMMERCIAL 2019 - 2021'!U1921</f>
        <v>147600</v>
      </c>
    </row>
    <row r="1319" spans="1:17" s="1" customFormat="1" ht="11.45">
      <c r="A1319" s="837" t="str">
        <f>'COMMERCIAL 2019 - 2021'!D1922</f>
        <v>FAE-25-00042</v>
      </c>
      <c r="B1319" s="895">
        <f>'COMMERCIAL 2019 - 2021'!F1922</f>
        <v>45698</v>
      </c>
      <c r="C1319" s="839">
        <f>'COMMERCIAL 2019 - 2021'!G1922</f>
        <v>2025</v>
      </c>
      <c r="D1319" s="839" t="str">
        <f>'COMMERCIAL 2019 - 2021'!H1922</f>
        <v>CE2261</v>
      </c>
      <c r="E1319" s="839" t="str">
        <f>'COMMERCIAL 2019 - 2021'!I1922</f>
        <v>MARCOM INTERN</v>
      </c>
      <c r="F1319" s="839" t="str">
        <f>'COMMERCIAL 2019 - 2021'!N1922</f>
        <v>OUI</v>
      </c>
      <c r="G1319" s="839" t="str">
        <f>'COMMERCIAL 2019 - 2021'!O1922</f>
        <v>Madagascar</v>
      </c>
      <c r="H1319" s="838">
        <f>'COMMERCIAL 2019 - 2021'!P1922</f>
        <v>45709</v>
      </c>
      <c r="I1319" s="840">
        <f>'COMMERCIAL 2019 - 2021'!Q1922</f>
        <v>0</v>
      </c>
      <c r="J1319" s="841"/>
      <c r="K1319" s="840">
        <f>'COMMERCIAL 2019 - 2021'!R1922</f>
        <v>44400</v>
      </c>
      <c r="L1319" s="841" t="s">
        <v>21174</v>
      </c>
      <c r="M1319" s="840">
        <f>'COMMERCIAL 2019 - 2021'!S1922</f>
        <v>0</v>
      </c>
      <c r="N1319" s="841"/>
      <c r="O1319" s="840">
        <f>'COMMERCIAL 2019 - 2021'!T1922</f>
        <v>0</v>
      </c>
      <c r="P1319" s="842"/>
      <c r="Q1319" s="840">
        <f>'COMMERCIAL 2019 - 2021'!U1922</f>
        <v>44400</v>
      </c>
    </row>
    <row r="1320" spans="1:17" s="1" customFormat="1" ht="11.45">
      <c r="A1320" s="837" t="str">
        <f>'COMMERCIAL 2019 - 2021'!D1923</f>
        <v>FAE-25-00043</v>
      </c>
      <c r="B1320" s="895">
        <f>'COMMERCIAL 2019 - 2021'!F1923</f>
        <v>45698</v>
      </c>
      <c r="C1320" s="839">
        <f>'COMMERCIAL 2019 - 2021'!G1923</f>
        <v>2025</v>
      </c>
      <c r="D1320" s="839" t="str">
        <f>'COMMERCIAL 2019 - 2021'!H1923</f>
        <v>CE2168</v>
      </c>
      <c r="E1320" s="839" t="str">
        <f>'COMMERCIAL 2019 - 2021'!I1923</f>
        <v>STE OMEGA TRADING</v>
      </c>
      <c r="F1320" s="839" t="str">
        <f>'COMMERCIAL 2019 - 2021'!N1923</f>
        <v>OUI</v>
      </c>
      <c r="G1320" s="839" t="str">
        <f>'COMMERCIAL 2019 - 2021'!O1923</f>
        <v>Niger</v>
      </c>
      <c r="H1320" s="838">
        <f>'COMMERCIAL 2019 - 2021'!P1923</f>
        <v>45707</v>
      </c>
      <c r="I1320" s="840">
        <f>'COMMERCIAL 2019 - 2021'!Q1923</f>
        <v>0</v>
      </c>
      <c r="J1320" s="841"/>
      <c r="K1320" s="840">
        <f>'COMMERCIAL 2019 - 2021'!R1923</f>
        <v>0</v>
      </c>
      <c r="L1320" s="841"/>
      <c r="M1320" s="840">
        <f>'COMMERCIAL 2019 - 2021'!S1923</f>
        <v>55000</v>
      </c>
      <c r="N1320" s="841" t="s">
        <v>20347</v>
      </c>
      <c r="O1320" s="840">
        <f>'COMMERCIAL 2019 - 2021'!T1923</f>
        <v>0</v>
      </c>
      <c r="P1320" s="842"/>
      <c r="Q1320" s="840">
        <f>'COMMERCIAL 2019 - 2021'!U1923</f>
        <v>55000</v>
      </c>
    </row>
    <row r="1321" spans="1:17" s="1" customFormat="1" ht="11.45">
      <c r="A1321" s="837" t="str">
        <f>'COMMERCIAL 2019 - 2021'!D1924</f>
        <v>FAE-25-00044</v>
      </c>
      <c r="B1321" s="895">
        <f>'COMMERCIAL 2019 - 2021'!F1924</f>
        <v>45698</v>
      </c>
      <c r="C1321" s="839">
        <f>'COMMERCIAL 2019 - 2021'!G1924</f>
        <v>2025</v>
      </c>
      <c r="D1321" s="839" t="str">
        <f>'COMMERCIAL 2019 - 2021'!H1924</f>
        <v>CE2248</v>
      </c>
      <c r="E1321" s="839" t="str">
        <f>'COMMERCIAL 2019 - 2021'!I1924</f>
        <v>SEYAL TCHAD SA</v>
      </c>
      <c r="F1321" s="839" t="str">
        <f>'COMMERCIAL 2019 - 2021'!N1924</f>
        <v>OUI</v>
      </c>
      <c r="G1321" s="839" t="str">
        <f>'COMMERCIAL 2019 - 2021'!O1924</f>
        <v>Tchad</v>
      </c>
      <c r="H1321" s="838">
        <f>'COMMERCIAL 2019 - 2021'!P1924</f>
        <v>45713</v>
      </c>
      <c r="I1321" s="840">
        <f>'COMMERCIAL 2019 - 2021'!Q1924</f>
        <v>19200</v>
      </c>
      <c r="J1321" s="870">
        <v>1</v>
      </c>
      <c r="K1321" s="840">
        <f>'COMMERCIAL 2019 - 2021'!R1924</f>
        <v>249850</v>
      </c>
      <c r="L1321" s="841" t="s">
        <v>21174</v>
      </c>
      <c r="M1321" s="840">
        <f>'COMMERCIAL 2019 - 2021'!S1924</f>
        <v>139200</v>
      </c>
      <c r="N1321" s="841" t="s">
        <v>20347</v>
      </c>
      <c r="O1321" s="840">
        <f>'COMMERCIAL 2019 - 2021'!T1924</f>
        <v>0</v>
      </c>
      <c r="P1321" s="842"/>
      <c r="Q1321" s="840">
        <f>'COMMERCIAL 2019 - 2021'!U1924</f>
        <v>408250</v>
      </c>
    </row>
    <row r="1322" spans="1:17" s="1" customFormat="1" ht="11.45">
      <c r="A1322" s="837" t="str">
        <f>'COMMERCIAL 2019 - 2021'!D1925</f>
        <v>FAE-25-00045</v>
      </c>
      <c r="B1322" s="895">
        <f>'COMMERCIAL 2019 - 2021'!F1925</f>
        <v>45698</v>
      </c>
      <c r="C1322" s="839">
        <f>'COMMERCIAL 2019 - 2021'!G1925</f>
        <v>2025</v>
      </c>
      <c r="D1322" s="839" t="str">
        <f>'COMMERCIAL 2019 - 2021'!H1925</f>
        <v>CE2025</v>
      </c>
      <c r="E1322" s="839" t="str">
        <f>'COMMERCIAL 2019 - 2021'!I1925</f>
        <v>SAWABA - GUINEE</v>
      </c>
      <c r="F1322" s="839" t="str">
        <f>'COMMERCIAL 2019 - 2021'!N1925</f>
        <v>OUI</v>
      </c>
      <c r="G1322" s="839" t="str">
        <f>'COMMERCIAL 2019 - 2021'!O1925</f>
        <v>Guinée</v>
      </c>
      <c r="H1322" s="838">
        <f>'COMMERCIAL 2019 - 2021'!P1925</f>
        <v>45715</v>
      </c>
      <c r="I1322" s="840">
        <f>'COMMERCIAL 2019 - 2021'!Q1925</f>
        <v>48000</v>
      </c>
      <c r="J1322" s="870">
        <v>1</v>
      </c>
      <c r="K1322" s="840">
        <f>'COMMERCIAL 2019 - 2021'!R1925</f>
        <v>288300</v>
      </c>
      <c r="L1322" s="841" t="s">
        <v>21173</v>
      </c>
      <c r="M1322" s="840">
        <f>'COMMERCIAL 2019 - 2021'!S1925</f>
        <v>0</v>
      </c>
      <c r="N1322" s="841"/>
      <c r="O1322" s="840">
        <f>'COMMERCIAL 2019 - 2021'!T1925</f>
        <v>0</v>
      </c>
      <c r="P1322" s="842"/>
      <c r="Q1322" s="840">
        <f>'COMMERCIAL 2019 - 2021'!U1925</f>
        <v>336300</v>
      </c>
    </row>
    <row r="1323" spans="1:17" s="1" customFormat="1" ht="11.45">
      <c r="A1323" s="837" t="str">
        <f>'COMMERCIAL 2019 - 2021'!D1926</f>
        <v>FAE-25-00046</v>
      </c>
      <c r="B1323" s="895">
        <f>'COMMERCIAL 2019 - 2021'!F1926</f>
        <v>45698</v>
      </c>
      <c r="C1323" s="839">
        <f>'COMMERCIAL 2019 - 2021'!G1926</f>
        <v>2025</v>
      </c>
      <c r="D1323" s="839" t="str">
        <f>'COMMERCIAL 2019 - 2021'!H1926</f>
        <v>CE2001</v>
      </c>
      <c r="E1323" s="839" t="str">
        <f>'COMMERCIAL 2019 - 2021'!I1926</f>
        <v>STE DE COMMERCE INTERNATIONAL</v>
      </c>
      <c r="F1323" s="839" t="str">
        <f>'COMMERCIAL 2019 - 2021'!N1926</f>
        <v>OUI</v>
      </c>
      <c r="G1323" s="839" t="str">
        <f>'COMMERCIAL 2019 - 2021'!O1926</f>
        <v>Liberia</v>
      </c>
      <c r="H1323" s="838">
        <f>'COMMERCIAL 2019 - 2021'!P1926</f>
        <v>45712</v>
      </c>
      <c r="I1323" s="840">
        <f>'COMMERCIAL 2019 - 2021'!Q1926</f>
        <v>0</v>
      </c>
      <c r="J1323" s="841"/>
      <c r="K1323" s="840">
        <f>'COMMERCIAL 2019 - 2021'!R1926</f>
        <v>48816</v>
      </c>
      <c r="L1323" s="841"/>
      <c r="M1323" s="840">
        <f>'COMMERCIAL 2019 - 2021'!S1926</f>
        <v>0</v>
      </c>
      <c r="N1323" s="841"/>
      <c r="O1323" s="840">
        <f>'COMMERCIAL 2019 - 2021'!T1926</f>
        <v>0</v>
      </c>
      <c r="P1323" s="842"/>
      <c r="Q1323" s="840">
        <f>'COMMERCIAL 2019 - 2021'!U1926</f>
        <v>48816</v>
      </c>
    </row>
    <row r="1324" spans="1:17" s="1" customFormat="1" ht="11.45">
      <c r="A1324" s="837" t="str">
        <f>'COMMERCIAL 2019 - 2021'!D1927</f>
        <v>FAE-25-00047</v>
      </c>
      <c r="B1324" s="895">
        <f>'COMMERCIAL 2019 - 2021'!F1927</f>
        <v>45698</v>
      </c>
      <c r="C1324" s="839">
        <f>'COMMERCIAL 2019 - 2021'!G1927</f>
        <v>2025</v>
      </c>
      <c r="D1324" s="839" t="str">
        <f>'COMMERCIAL 2019 - 2021'!H1927</f>
        <v>CE2137</v>
      </c>
      <c r="E1324" s="839" t="str">
        <f>'COMMERCIAL 2019 - 2021'!I1927</f>
        <v>TUNISIAN AFRICAN BUSINESS</v>
      </c>
      <c r="F1324" s="839" t="str">
        <f>'COMMERCIAL 2019 - 2021'!N1927</f>
        <v>OUI</v>
      </c>
      <c r="G1324" s="839" t="str">
        <f>'COMMERCIAL 2019 - 2021'!O1927</f>
        <v>Burkina Faso</v>
      </c>
      <c r="H1324" s="838">
        <f>'COMMERCIAL 2019 - 2021'!P1927</f>
        <v>45714</v>
      </c>
      <c r="I1324" s="840">
        <f>'COMMERCIAL 2019 - 2021'!Q1927</f>
        <v>0</v>
      </c>
      <c r="J1324" s="841"/>
      <c r="K1324" s="840">
        <f>'COMMERCIAL 2019 - 2021'!R1927</f>
        <v>45400</v>
      </c>
      <c r="L1324" s="841" t="s">
        <v>21173</v>
      </c>
      <c r="M1324" s="840">
        <f>'COMMERCIAL 2019 - 2021'!S1927</f>
        <v>0</v>
      </c>
      <c r="N1324" s="841"/>
      <c r="O1324" s="840">
        <f>'COMMERCIAL 2019 - 2021'!T1927</f>
        <v>0</v>
      </c>
      <c r="P1324" s="842"/>
      <c r="Q1324" s="840">
        <f>'COMMERCIAL 2019 - 2021'!U1927</f>
        <v>45400</v>
      </c>
    </row>
    <row r="1325" spans="1:17" s="1" customFormat="1" ht="11.45">
      <c r="A1325" s="837" t="str">
        <f>'COMMERCIAL 2019 - 2021'!D1928</f>
        <v>FAE-25-00048</v>
      </c>
      <c r="B1325" s="895">
        <f>'COMMERCIAL 2019 - 2021'!F1928</f>
        <v>45700</v>
      </c>
      <c r="C1325" s="839">
        <f>'COMMERCIAL 2019 - 2021'!G1928</f>
        <v>2025</v>
      </c>
      <c r="D1325" s="839" t="str">
        <f>'COMMERCIAL 2019 - 2021'!H1928</f>
        <v>CE2275</v>
      </c>
      <c r="E1325" s="839" t="str">
        <f>'COMMERCIAL 2019 - 2021'!I1928</f>
        <v>SODIC</v>
      </c>
      <c r="F1325" s="839" t="str">
        <f>'COMMERCIAL 2019 - 2021'!N1928</f>
        <v>OUI</v>
      </c>
      <c r="G1325" s="839" t="str">
        <f>'COMMERCIAL 2019 - 2021'!O1928</f>
        <v>France</v>
      </c>
      <c r="H1325" s="838">
        <f>'COMMERCIAL 2019 - 2021'!P1928</f>
        <v>45702</v>
      </c>
      <c r="I1325" s="840">
        <f>'COMMERCIAL 2019 - 2021'!Q1928</f>
        <v>4000</v>
      </c>
      <c r="J1325" s="870">
        <v>1</v>
      </c>
      <c r="K1325" s="840">
        <f>'COMMERCIAL 2019 - 2021'!R1928</f>
        <v>52824</v>
      </c>
      <c r="L1325" s="870">
        <v>1</v>
      </c>
      <c r="M1325" s="840">
        <f>'COMMERCIAL 2019 - 2021'!S1928</f>
        <v>6000</v>
      </c>
      <c r="N1325" s="870">
        <v>1</v>
      </c>
      <c r="O1325" s="840">
        <f>'COMMERCIAL 2019 - 2021'!T1928</f>
        <v>6440</v>
      </c>
      <c r="P1325" s="870">
        <v>1</v>
      </c>
      <c r="Q1325" s="840">
        <f>'COMMERCIAL 2019 - 2021'!U1928</f>
        <v>69264</v>
      </c>
    </row>
    <row r="1326" spans="1:17" s="1" customFormat="1" ht="11.45">
      <c r="A1326" s="837" t="str">
        <f>'COMMERCIAL 2019 - 2021'!D1929</f>
        <v>FAE-25-00049</v>
      </c>
      <c r="B1326" s="895">
        <f>'COMMERCIAL 2019 - 2021'!F1929</f>
        <v>45701</v>
      </c>
      <c r="C1326" s="839">
        <f>'COMMERCIAL 2019 - 2021'!G1929</f>
        <v>2025</v>
      </c>
      <c r="D1326" s="839" t="str">
        <f>'COMMERCIAL 2019 - 2021'!H1929</f>
        <v>CE2168</v>
      </c>
      <c r="E1326" s="839" t="str">
        <f>'COMMERCIAL 2019 - 2021'!I1929</f>
        <v>STE OMEGA TRADING</v>
      </c>
      <c r="F1326" s="839" t="str">
        <f>'COMMERCIAL 2019 - 2021'!N1929</f>
        <v>OUI</v>
      </c>
      <c r="G1326" s="839" t="str">
        <f>'COMMERCIAL 2019 - 2021'!O1929</f>
        <v>Niger</v>
      </c>
      <c r="H1326" s="838">
        <f>'COMMERCIAL 2019 - 2021'!P1929</f>
        <v>45708</v>
      </c>
      <c r="I1326" s="840">
        <f>'COMMERCIAL 2019 - 2021'!Q1929</f>
        <v>0</v>
      </c>
      <c r="J1326" s="841"/>
      <c r="K1326" s="840">
        <f>'COMMERCIAL 2019 - 2021'!R1929</f>
        <v>0</v>
      </c>
      <c r="L1326" s="841"/>
      <c r="M1326" s="840">
        <f>'COMMERCIAL 2019 - 2021'!S1929</f>
        <v>275000</v>
      </c>
      <c r="N1326" s="841" t="s">
        <v>20347</v>
      </c>
      <c r="O1326" s="840">
        <f>'COMMERCIAL 2019 - 2021'!T1929</f>
        <v>0</v>
      </c>
      <c r="P1326" s="842"/>
      <c r="Q1326" s="840">
        <f>'COMMERCIAL 2019 - 2021'!U1929</f>
        <v>275000</v>
      </c>
    </row>
    <row r="1327" spans="1:17" s="1" customFormat="1" ht="11.45">
      <c r="A1327" s="837" t="str">
        <f>'COMMERCIAL 2019 - 2021'!D1930</f>
        <v>FAE-25-00050</v>
      </c>
      <c r="B1327" s="895">
        <f>'COMMERCIAL 2019 - 2021'!F1930</f>
        <v>45701</v>
      </c>
      <c r="C1327" s="839">
        <f>'COMMERCIAL 2019 - 2021'!G1930</f>
        <v>2025</v>
      </c>
      <c r="D1327" s="839" t="str">
        <f>'COMMERCIAL 2019 - 2021'!H1930</f>
        <v>CE2165</v>
      </c>
      <c r="E1327" s="839" t="str">
        <f>'COMMERCIAL 2019 - 2021'!I1930</f>
        <v>ANGSTREM TRADING</v>
      </c>
      <c r="F1327" s="839" t="str">
        <f>'COMMERCIAL 2019 - 2021'!N1930</f>
        <v>OUI</v>
      </c>
      <c r="G1327" s="839" t="str">
        <f>'COMMERCIAL 2019 - 2021'!O1930</f>
        <v>Russie</v>
      </c>
      <c r="H1327" s="838">
        <f>'COMMERCIAL 2019 - 2021'!P1930</f>
        <v>45709</v>
      </c>
      <c r="I1327" s="840">
        <f>'COMMERCIAL 2019 - 2021'!Q1930</f>
        <v>40300</v>
      </c>
      <c r="J1327" s="870">
        <v>1</v>
      </c>
      <c r="K1327" s="840">
        <f>'COMMERCIAL 2019 - 2021'!R1930</f>
        <v>0</v>
      </c>
      <c r="L1327" s="841"/>
      <c r="M1327" s="840">
        <f>'COMMERCIAL 2019 - 2021'!S1930</f>
        <v>0</v>
      </c>
      <c r="N1327" s="841"/>
      <c r="O1327" s="840">
        <f>'COMMERCIAL 2019 - 2021'!T1930</f>
        <v>0</v>
      </c>
      <c r="P1327" s="842"/>
      <c r="Q1327" s="840">
        <f>'COMMERCIAL 2019 - 2021'!U1930</f>
        <v>40300</v>
      </c>
    </row>
    <row r="1328" spans="1:17" s="1" customFormat="1" ht="11.45">
      <c r="A1328" s="837" t="str">
        <f>'COMMERCIAL 2019 - 2021'!D1931</f>
        <v>FAE-25-00051</v>
      </c>
      <c r="B1328" s="895">
        <f>'COMMERCIAL 2019 - 2021'!F1931</f>
        <v>45702</v>
      </c>
      <c r="C1328" s="839">
        <f>'COMMERCIAL 2019 - 2021'!G1931</f>
        <v>2025</v>
      </c>
      <c r="D1328" s="839" t="str">
        <f>'COMMERCIAL 2019 - 2021'!H1931</f>
        <v>CE2137</v>
      </c>
      <c r="E1328" s="839" t="str">
        <f>'COMMERCIAL 2019 - 2021'!I1931</f>
        <v>TUNISIAN AFRICAN BUSINESS</v>
      </c>
      <c r="F1328" s="839" t="str">
        <f>'COMMERCIAL 2019 - 2021'!N1931</f>
        <v>OUI</v>
      </c>
      <c r="G1328" s="839" t="str">
        <f>'COMMERCIAL 2019 - 2021'!O1931</f>
        <v>Ukraine</v>
      </c>
      <c r="H1328" s="838">
        <f>'COMMERCIAL 2019 - 2021'!P1931</f>
        <v>45740</v>
      </c>
      <c r="I1328" s="840">
        <f>'COMMERCIAL 2019 - 2021'!Q1931</f>
        <v>20000</v>
      </c>
      <c r="J1328" s="870">
        <v>1</v>
      </c>
      <c r="K1328" s="840">
        <f>'COMMERCIAL 2019 - 2021'!R1931</f>
        <v>0</v>
      </c>
      <c r="L1328" s="841"/>
      <c r="M1328" s="840">
        <f>'COMMERCIAL 2019 - 2021'!S1931</f>
        <v>0</v>
      </c>
      <c r="N1328" s="841"/>
      <c r="O1328" s="840">
        <f>'COMMERCIAL 2019 - 2021'!T1931</f>
        <v>0</v>
      </c>
      <c r="P1328" s="842"/>
      <c r="Q1328" s="840">
        <f>'COMMERCIAL 2019 - 2021'!U1931</f>
        <v>20000</v>
      </c>
    </row>
    <row r="1329" spans="1:17" s="1" customFormat="1" ht="11.45">
      <c r="A1329" s="837" t="str">
        <f>'COMMERCIAL 2019 - 2021'!D1932</f>
        <v>FAE-25-00052</v>
      </c>
      <c r="B1329" s="895">
        <f>'COMMERCIAL 2019 - 2021'!F1932</f>
        <v>45730</v>
      </c>
      <c r="C1329" s="839">
        <f>'COMMERCIAL 2019 - 2021'!G1932</f>
        <v>2025</v>
      </c>
      <c r="D1329" s="839" t="str">
        <f>'COMMERCIAL 2019 - 2021'!H1932</f>
        <v>CE2097</v>
      </c>
      <c r="E1329" s="839" t="str">
        <f>'COMMERCIAL 2019 - 2021'!I1932</f>
        <v>JP BEEMSTERBOER BV</v>
      </c>
      <c r="F1329" s="839" t="str">
        <f>'COMMERCIAL 2019 - 2021'!N1932</f>
        <v>OUI</v>
      </c>
      <c r="G1329" s="839" t="str">
        <f>'COMMERCIAL 2019 - 2021'!O1932</f>
        <v>Sierra Leone</v>
      </c>
      <c r="H1329" s="838">
        <f>'COMMERCIAL 2019 - 2021'!P1932</f>
        <v>45708</v>
      </c>
      <c r="I1329" s="840">
        <f>'COMMERCIAL 2019 - 2021'!Q1932</f>
        <v>110040</v>
      </c>
      <c r="J1329" s="870">
        <v>1</v>
      </c>
      <c r="K1329" s="840">
        <f>'COMMERCIAL 2019 - 2021'!R1932</f>
        <v>0</v>
      </c>
      <c r="L1329" s="841"/>
      <c r="M1329" s="840">
        <f>'COMMERCIAL 2019 - 2021'!S1932</f>
        <v>0</v>
      </c>
      <c r="N1329" s="841"/>
      <c r="O1329" s="840">
        <f>'COMMERCIAL 2019 - 2021'!T1932</f>
        <v>0</v>
      </c>
      <c r="P1329" s="842"/>
      <c r="Q1329" s="840">
        <f>'COMMERCIAL 2019 - 2021'!U1932</f>
        <v>110040</v>
      </c>
    </row>
    <row r="1330" spans="1:17" s="1" customFormat="1" ht="11.45">
      <c r="A1330" s="837" t="str">
        <f>'COMMERCIAL 2019 - 2021'!D1933</f>
        <v>FAE-25-00053</v>
      </c>
      <c r="B1330" s="895">
        <f>'COMMERCIAL 2019 - 2021'!F1933</f>
        <v>45702</v>
      </c>
      <c r="C1330" s="839">
        <f>'COMMERCIAL 2019 - 2021'!G1933</f>
        <v>2025</v>
      </c>
      <c r="D1330" s="839" t="str">
        <f>'COMMERCIAL 2019 - 2021'!H1933</f>
        <v>CE2017</v>
      </c>
      <c r="E1330" s="839" t="str">
        <f>'COMMERCIAL 2019 - 2021'!I1933</f>
        <v>SAHEL INTERNATIONAL TRADE</v>
      </c>
      <c r="F1330" s="839" t="str">
        <f>'COMMERCIAL 2019 - 2021'!N1933</f>
        <v>OUI</v>
      </c>
      <c r="G1330" s="839" t="str">
        <f>'COMMERCIAL 2019 - 2021'!O1933</f>
        <v>Burkina Faso</v>
      </c>
      <c r="H1330" s="838">
        <f>'COMMERCIAL 2019 - 2021'!P1933</f>
        <v>45712</v>
      </c>
      <c r="I1330" s="840">
        <f>'COMMERCIAL 2019 - 2021'!Q1933</f>
        <v>19204</v>
      </c>
      <c r="J1330" s="870">
        <v>1</v>
      </c>
      <c r="K1330" s="840">
        <f>'COMMERCIAL 2019 - 2021'!R1933</f>
        <v>0</v>
      </c>
      <c r="L1330" s="841"/>
      <c r="M1330" s="840">
        <f>'COMMERCIAL 2019 - 2021'!S1933</f>
        <v>0</v>
      </c>
      <c r="N1330" s="841"/>
      <c r="O1330" s="840">
        <f>'COMMERCIAL 2019 - 2021'!T1933</f>
        <v>0</v>
      </c>
      <c r="P1330" s="842"/>
      <c r="Q1330" s="840">
        <f>'COMMERCIAL 2019 - 2021'!U1933</f>
        <v>19204</v>
      </c>
    </row>
    <row r="1331" spans="1:17" s="1" customFormat="1" ht="11.45">
      <c r="A1331" s="837" t="str">
        <f>'COMMERCIAL 2019 - 2021'!D1934</f>
        <v>FAE-25-00054</v>
      </c>
      <c r="B1331" s="895">
        <f>'COMMERCIAL 2019 - 2021'!F1934</f>
        <v>45702</v>
      </c>
      <c r="C1331" s="839">
        <f>'COMMERCIAL 2019 - 2021'!G1934</f>
        <v>2025</v>
      </c>
      <c r="D1331" s="839" t="str">
        <f>'COMMERCIAL 2019 - 2021'!H1934</f>
        <v>CE2294</v>
      </c>
      <c r="E1331" s="839" t="str">
        <f>'COMMERCIAL 2019 - 2021'!I1934</f>
        <v xml:space="preserve">GENERIC BRANDS LIMITED </v>
      </c>
      <c r="F1331" s="839" t="str">
        <f>'COMMERCIAL 2019 - 2021'!N1934</f>
        <v>OUI</v>
      </c>
      <c r="G1331" s="839" t="str">
        <f>'COMMERCIAL 2019 - 2021'!O1934</f>
        <v>kenya</v>
      </c>
      <c r="H1331" s="838">
        <f>'COMMERCIAL 2019 - 2021'!P1934</f>
        <v>45716</v>
      </c>
      <c r="I1331" s="840">
        <f>'COMMERCIAL 2019 - 2021'!Q1934</f>
        <v>0</v>
      </c>
      <c r="J1331" s="841"/>
      <c r="K1331" s="840">
        <f>'COMMERCIAL 2019 - 2021'!R1934</f>
        <v>0</v>
      </c>
      <c r="L1331" s="841"/>
      <c r="M1331" s="840">
        <f>'COMMERCIAL 2019 - 2021'!S1934</f>
        <v>182050</v>
      </c>
      <c r="N1331" s="841" t="s">
        <v>20347</v>
      </c>
      <c r="O1331" s="840">
        <f>'COMMERCIAL 2019 - 2021'!T1934</f>
        <v>0</v>
      </c>
      <c r="P1331" s="842"/>
      <c r="Q1331" s="840">
        <f>'COMMERCIAL 2019 - 2021'!U1934</f>
        <v>182050</v>
      </c>
    </row>
    <row r="1332" spans="1:17" s="1" customFormat="1" ht="11.45">
      <c r="A1332" s="837" t="str">
        <f>'COMMERCIAL 2019 - 2021'!D1935</f>
        <v>FAE-25-00055</v>
      </c>
      <c r="B1332" s="895">
        <f>'COMMERCIAL 2019 - 2021'!F1935</f>
        <v>45702</v>
      </c>
      <c r="C1332" s="839">
        <f>'COMMERCIAL 2019 - 2021'!G1935</f>
        <v>2025</v>
      </c>
      <c r="D1332" s="839" t="str">
        <f>'COMMERCIAL 2019 - 2021'!H1935</f>
        <v>CE2222</v>
      </c>
      <c r="E1332" s="839" t="str">
        <f>'COMMERCIAL 2019 - 2021'!I1935</f>
        <v>ABOURA FOODS</v>
      </c>
      <c r="F1332" s="839" t="str">
        <f>'COMMERCIAL 2019 - 2021'!N1935</f>
        <v>OUI</v>
      </c>
      <c r="G1332" s="839" t="str">
        <f>'COMMERCIAL 2019 - 2021'!O1935</f>
        <v>Jordanie</v>
      </c>
      <c r="H1332" s="838">
        <f>'COMMERCIAL 2019 - 2021'!P1935</f>
        <v>45716</v>
      </c>
      <c r="I1332" s="840">
        <f>'COMMERCIAL 2019 - 2021'!Q1935</f>
        <v>3600</v>
      </c>
      <c r="J1332" s="870">
        <v>1</v>
      </c>
      <c r="K1332" s="840">
        <f>'COMMERCIAL 2019 - 2021'!R1935</f>
        <v>11160</v>
      </c>
      <c r="L1332" s="870">
        <v>1</v>
      </c>
      <c r="M1332" s="840">
        <f>'COMMERCIAL 2019 - 2021'!S1935</f>
        <v>4800</v>
      </c>
      <c r="N1332" s="870">
        <v>1</v>
      </c>
      <c r="O1332" s="840">
        <f>'COMMERCIAL 2019 - 2021'!T1935</f>
        <v>3500</v>
      </c>
      <c r="P1332" s="870">
        <v>1</v>
      </c>
      <c r="Q1332" s="840">
        <f>'COMMERCIAL 2019 - 2021'!U1935</f>
        <v>23060</v>
      </c>
    </row>
    <row r="1333" spans="1:17" s="1" customFormat="1" ht="11.45">
      <c r="A1333" s="837" t="str">
        <f>'COMMERCIAL 2019 - 2021'!D1936</f>
        <v>FAE-25-00056</v>
      </c>
      <c r="B1333" s="895">
        <f>'COMMERCIAL 2019 - 2021'!F1936</f>
        <v>45702</v>
      </c>
      <c r="C1333" s="839">
        <f>'COMMERCIAL 2019 - 2021'!G1936</f>
        <v>2025</v>
      </c>
      <c r="D1333" s="839" t="str">
        <f>'COMMERCIAL 2019 - 2021'!H1936</f>
        <v>CE2222</v>
      </c>
      <c r="E1333" s="839" t="str">
        <f>'COMMERCIAL 2019 - 2021'!I1936</f>
        <v>ABOURA FOODS</v>
      </c>
      <c r="F1333" s="839" t="str">
        <f>'COMMERCIAL 2019 - 2021'!N1936</f>
        <v>OUI</v>
      </c>
      <c r="G1333" s="839" t="str">
        <f>'COMMERCIAL 2019 - 2021'!O1936</f>
        <v>Jordanie</v>
      </c>
      <c r="H1333" s="838">
        <f>'COMMERCIAL 2019 - 2021'!P1936</f>
        <v>45716</v>
      </c>
      <c r="I1333" s="840">
        <f>'COMMERCIAL 2019 - 2021'!Q1936</f>
        <v>0</v>
      </c>
      <c r="J1333" s="841"/>
      <c r="K1333" s="840">
        <f>'COMMERCIAL 2019 - 2021'!R1936</f>
        <v>11760</v>
      </c>
      <c r="L1333" s="870">
        <v>1</v>
      </c>
      <c r="M1333" s="840">
        <f>'COMMERCIAL 2019 - 2021'!S1936</f>
        <v>3600</v>
      </c>
      <c r="N1333" s="870">
        <v>1</v>
      </c>
      <c r="O1333" s="840">
        <f>'COMMERCIAL 2019 - 2021'!T1936</f>
        <v>5400</v>
      </c>
      <c r="P1333" s="870">
        <v>1</v>
      </c>
      <c r="Q1333" s="840">
        <f>'COMMERCIAL 2019 - 2021'!U1936</f>
        <v>20760</v>
      </c>
    </row>
    <row r="1334" spans="1:17" s="1" customFormat="1" ht="11.45">
      <c r="A1334" s="837" t="str">
        <f>'COMMERCIAL 2019 - 2021'!D1937</f>
        <v>FAE-25-00057</v>
      </c>
      <c r="B1334" s="895">
        <f>'COMMERCIAL 2019 - 2021'!F1937</f>
        <v>45702</v>
      </c>
      <c r="C1334" s="839">
        <f>'COMMERCIAL 2019 - 2021'!G1937</f>
        <v>2025</v>
      </c>
      <c r="D1334" s="839" t="str">
        <f>'COMMERCIAL 2019 - 2021'!H1937</f>
        <v>CE2222</v>
      </c>
      <c r="E1334" s="839" t="str">
        <f>'COMMERCIAL 2019 - 2021'!I1937</f>
        <v>ABOURA FOODS</v>
      </c>
      <c r="F1334" s="839" t="str">
        <f>'COMMERCIAL 2019 - 2021'!N1937</f>
        <v>OUI</v>
      </c>
      <c r="G1334" s="839" t="str">
        <f>'COMMERCIAL 2019 - 2021'!O1937</f>
        <v>Jordanie</v>
      </c>
      <c r="H1334" s="838">
        <f>'COMMERCIAL 2019 - 2021'!P1937</f>
        <v>45716</v>
      </c>
      <c r="I1334" s="840">
        <f>'COMMERCIAL 2019 - 2021'!Q1937</f>
        <v>0</v>
      </c>
      <c r="J1334" s="841"/>
      <c r="K1334" s="840">
        <f>'COMMERCIAL 2019 - 2021'!R1937</f>
        <v>8640</v>
      </c>
      <c r="L1334" s="870">
        <v>1</v>
      </c>
      <c r="M1334" s="840">
        <f>'COMMERCIAL 2019 - 2021'!S1937</f>
        <v>13440</v>
      </c>
      <c r="N1334" s="870">
        <v>1</v>
      </c>
      <c r="O1334" s="840">
        <f>'COMMERCIAL 2019 - 2021'!T1937</f>
        <v>700</v>
      </c>
      <c r="P1334" s="870">
        <v>1</v>
      </c>
      <c r="Q1334" s="840">
        <f>'COMMERCIAL 2019 - 2021'!U1937</f>
        <v>22780</v>
      </c>
    </row>
    <row r="1335" spans="1:17" s="1" customFormat="1" ht="11.45">
      <c r="A1335" s="837" t="str">
        <f>'COMMERCIAL 2019 - 2021'!D1938</f>
        <v>FAE-25-00058</v>
      </c>
      <c r="B1335" s="895">
        <f>'COMMERCIAL 2019 - 2021'!F1938</f>
        <v>45702</v>
      </c>
      <c r="C1335" s="839">
        <f>'COMMERCIAL 2019 - 2021'!G1938</f>
        <v>2025</v>
      </c>
      <c r="D1335" s="839" t="str">
        <f>'COMMERCIAL 2019 - 2021'!H1938</f>
        <v>CE2247</v>
      </c>
      <c r="E1335" s="839" t="str">
        <f>'COMMERCIAL 2019 - 2021'!I1938</f>
        <v>MATMATA TRADING</v>
      </c>
      <c r="F1335" s="839" t="str">
        <f>'COMMERCIAL 2019 - 2021'!N1938</f>
        <v>OUI</v>
      </c>
      <c r="G1335" s="839" t="str">
        <f>'COMMERCIAL 2019 - 2021'!O1938</f>
        <v>Mauritanie</v>
      </c>
      <c r="H1335" s="838">
        <f>'COMMERCIAL 2019 - 2021'!P1938</f>
        <v>45713</v>
      </c>
      <c r="I1335" s="840">
        <f>'COMMERCIAL 2019 - 2021'!Q1938</f>
        <v>0</v>
      </c>
      <c r="J1335" s="841"/>
      <c r="K1335" s="840">
        <f>'COMMERCIAL 2019 - 2021'!R1938</f>
        <v>49600</v>
      </c>
      <c r="L1335" s="841"/>
      <c r="M1335" s="840">
        <f>'COMMERCIAL 2019 - 2021'!S1938</f>
        <v>0</v>
      </c>
      <c r="N1335" s="841"/>
      <c r="O1335" s="840">
        <f>'COMMERCIAL 2019 - 2021'!T1938</f>
        <v>0</v>
      </c>
      <c r="P1335" s="842"/>
      <c r="Q1335" s="840">
        <f>'COMMERCIAL 2019 - 2021'!U1938</f>
        <v>49600</v>
      </c>
    </row>
    <row r="1336" spans="1:17" s="1" customFormat="1" ht="11.45">
      <c r="A1336" s="837" t="str">
        <f>'COMMERCIAL 2019 - 2021'!D1939</f>
        <v>FAE-25-00059</v>
      </c>
      <c r="B1336" s="895">
        <f>'COMMERCIAL 2019 - 2021'!F1939</f>
        <v>45702</v>
      </c>
      <c r="C1336" s="839">
        <f>'COMMERCIAL 2019 - 2021'!G1939</f>
        <v>2025</v>
      </c>
      <c r="D1336" s="839" t="str">
        <f>'COMMERCIAL 2019 - 2021'!H1939</f>
        <v>CE2137</v>
      </c>
      <c r="E1336" s="839" t="str">
        <f>'COMMERCIAL 2019 - 2021'!I1939</f>
        <v>TUNISIAN AFRICAN BUSINESS</v>
      </c>
      <c r="F1336" s="839" t="str">
        <f>'COMMERCIAL 2019 - 2021'!N1939</f>
        <v>OUI</v>
      </c>
      <c r="G1336" s="839" t="str">
        <f>'COMMERCIAL 2019 - 2021'!O1939</f>
        <v>Senegal</v>
      </c>
      <c r="H1336" s="838" t="str">
        <f>'COMMERCIAL 2019 - 2021'!P1939</f>
        <v>28/02/2025-03/03/2025</v>
      </c>
      <c r="I1336" s="840">
        <f>'COMMERCIAL 2019 - 2021'!Q1939</f>
        <v>0</v>
      </c>
      <c r="J1336" s="841"/>
      <c r="K1336" s="840">
        <f>'COMMERCIAL 2019 - 2021'!R1939</f>
        <v>67500</v>
      </c>
      <c r="L1336" s="841" t="s">
        <v>20347</v>
      </c>
      <c r="M1336" s="840">
        <f>'COMMERCIAL 2019 - 2021'!S1939</f>
        <v>0</v>
      </c>
      <c r="N1336" s="841"/>
      <c r="O1336" s="840">
        <f>'COMMERCIAL 2019 - 2021'!T1939</f>
        <v>0</v>
      </c>
      <c r="P1336" s="842"/>
      <c r="Q1336" s="840">
        <f>'COMMERCIAL 2019 - 2021'!U1939</f>
        <v>67500</v>
      </c>
    </row>
    <row r="1337" spans="1:17" s="1" customFormat="1" ht="11.45">
      <c r="A1337" s="837" t="str">
        <f>'COMMERCIAL 2019 - 2021'!D1940</f>
        <v>FAE-25-00060</v>
      </c>
      <c r="B1337" s="895">
        <f>'COMMERCIAL 2019 - 2021'!F1940</f>
        <v>45706</v>
      </c>
      <c r="C1337" s="839">
        <f>'COMMERCIAL 2019 - 2021'!G1940</f>
        <v>2025</v>
      </c>
      <c r="D1337" s="839" t="str">
        <f>'COMMERCIAL 2019 - 2021'!H1940</f>
        <v>CE2137</v>
      </c>
      <c r="E1337" s="839" t="str">
        <f>'COMMERCIAL 2019 - 2021'!I1940</f>
        <v>TUNISIAN AFRICAN BUSINESS</v>
      </c>
      <c r="F1337" s="839" t="str">
        <f>'COMMERCIAL 2019 - 2021'!N1940</f>
        <v>OUI</v>
      </c>
      <c r="G1337" s="839" t="str">
        <f>'COMMERCIAL 2019 - 2021'!O1940</f>
        <v>Gabon</v>
      </c>
      <c r="H1337" s="838">
        <f>'COMMERCIAL 2019 - 2021'!P1940</f>
        <v>45716</v>
      </c>
      <c r="I1337" s="840">
        <f>'COMMERCIAL 2019 - 2021'!Q1940</f>
        <v>20750</v>
      </c>
      <c r="J1337" s="870">
        <v>1</v>
      </c>
      <c r="K1337" s="840">
        <f>'COMMERCIAL 2019 - 2021'!R1940</f>
        <v>22800</v>
      </c>
      <c r="L1337" s="841" t="s">
        <v>21173</v>
      </c>
      <c r="M1337" s="840">
        <f>'COMMERCIAL 2019 - 2021'!S1940</f>
        <v>196000</v>
      </c>
      <c r="N1337" s="841" t="s">
        <v>20347</v>
      </c>
      <c r="O1337" s="840">
        <f>'COMMERCIAL 2019 - 2021'!T1940</f>
        <v>0</v>
      </c>
      <c r="P1337" s="842"/>
      <c r="Q1337" s="840">
        <f>'COMMERCIAL 2019 - 2021'!U1940</f>
        <v>239550</v>
      </c>
    </row>
    <row r="1338" spans="1:17" s="1" customFormat="1" ht="11.45">
      <c r="A1338" s="837" t="str">
        <f>'COMMERCIAL 2019 - 2021'!D1941</f>
        <v>FAE-25-00061</v>
      </c>
      <c r="B1338" s="895">
        <f>'COMMERCIAL 2019 - 2021'!F1941</f>
        <v>45706</v>
      </c>
      <c r="C1338" s="839">
        <f>'COMMERCIAL 2019 - 2021'!G1941</f>
        <v>2025</v>
      </c>
      <c r="D1338" s="839" t="str">
        <f>'COMMERCIAL 2019 - 2021'!H1941</f>
        <v>CE2001</v>
      </c>
      <c r="E1338" s="839" t="str">
        <f>'COMMERCIAL 2019 - 2021'!I1941</f>
        <v>STE DE COMMERCE INTERNATIONAL</v>
      </c>
      <c r="F1338" s="839" t="str">
        <f>'COMMERCIAL 2019 - 2021'!N1941</f>
        <v>OUI</v>
      </c>
      <c r="G1338" s="839" t="str">
        <f>'COMMERCIAL 2019 - 2021'!O1941</f>
        <v>Sierra Leone</v>
      </c>
      <c r="H1338" s="838">
        <f>'COMMERCIAL 2019 - 2021'!P1941</f>
        <v>45713</v>
      </c>
      <c r="I1338" s="840">
        <f>'COMMERCIAL 2019 - 2021'!Q1941</f>
        <v>167398</v>
      </c>
      <c r="J1338" s="870">
        <v>1</v>
      </c>
      <c r="K1338" s="840">
        <f>'COMMERCIAL 2019 - 2021'!R1941</f>
        <v>7200</v>
      </c>
      <c r="L1338" s="841" t="s">
        <v>21173</v>
      </c>
      <c r="M1338" s="840">
        <f>'COMMERCIAL 2019 - 2021'!S1941</f>
        <v>0</v>
      </c>
      <c r="N1338" s="841"/>
      <c r="O1338" s="840">
        <f>'COMMERCIAL 2019 - 2021'!T1941</f>
        <v>0</v>
      </c>
      <c r="P1338" s="842"/>
      <c r="Q1338" s="840">
        <f>'COMMERCIAL 2019 - 2021'!U1941</f>
        <v>174598</v>
      </c>
    </row>
    <row r="1339" spans="1:17" s="1" customFormat="1" ht="11.45">
      <c r="A1339" s="837" t="str">
        <f>'COMMERCIAL 2019 - 2021'!D1942</f>
        <v>FAE-25-00062</v>
      </c>
      <c r="B1339" s="895">
        <f>'COMMERCIAL 2019 - 2021'!F1942</f>
        <v>45706</v>
      </c>
      <c r="C1339" s="839">
        <f>'COMMERCIAL 2019 - 2021'!G1942</f>
        <v>2025</v>
      </c>
      <c r="D1339" s="839" t="str">
        <f>'COMMERCIAL 2019 - 2021'!H1942</f>
        <v>CE2275</v>
      </c>
      <c r="E1339" s="839" t="str">
        <f>'COMMERCIAL 2019 - 2021'!I1942</f>
        <v>SODIC</v>
      </c>
      <c r="F1339" s="839" t="str">
        <f>'COMMERCIAL 2019 - 2021'!N1942</f>
        <v>OUI</v>
      </c>
      <c r="G1339" s="839" t="str">
        <f>'COMMERCIAL 2019 - 2021'!O1942</f>
        <v>France</v>
      </c>
      <c r="H1339" s="838">
        <f>'COMMERCIAL 2019 - 2021'!P1942</f>
        <v>45709</v>
      </c>
      <c r="I1339" s="840">
        <f>'COMMERCIAL 2019 - 2021'!Q1942</f>
        <v>0</v>
      </c>
      <c r="J1339" s="841"/>
      <c r="K1339" s="840">
        <f>'COMMERCIAL 2019 - 2021'!R1942</f>
        <v>16968</v>
      </c>
      <c r="L1339" s="870">
        <v>1</v>
      </c>
      <c r="M1339" s="840">
        <f>'COMMERCIAL 2019 - 2021'!S1942</f>
        <v>6000</v>
      </c>
      <c r="N1339" s="870">
        <v>1</v>
      </c>
      <c r="O1339" s="840">
        <f>'COMMERCIAL 2019 - 2021'!T1942</f>
        <v>1620</v>
      </c>
      <c r="P1339" s="870">
        <v>1</v>
      </c>
      <c r="Q1339" s="840">
        <f>'COMMERCIAL 2019 - 2021'!U1942</f>
        <v>24588</v>
      </c>
    </row>
    <row r="1340" spans="1:17" s="1" customFormat="1" ht="11.45">
      <c r="A1340" s="837" t="str">
        <f>'COMMERCIAL 2019 - 2021'!D1943</f>
        <v>FAE-25-00063</v>
      </c>
      <c r="B1340" s="895">
        <f>'COMMERCIAL 2019 - 2021'!F1943</f>
        <v>45707</v>
      </c>
      <c r="C1340" s="839">
        <f>'COMMERCIAL 2019 - 2021'!G1943</f>
        <v>2025</v>
      </c>
      <c r="D1340" s="839" t="str">
        <f>'COMMERCIAL 2019 - 2021'!H1943</f>
        <v>CE2275</v>
      </c>
      <c r="E1340" s="839" t="str">
        <f>'COMMERCIAL 2019 - 2021'!I1943</f>
        <v>SODIC</v>
      </c>
      <c r="F1340" s="839" t="str">
        <f>'COMMERCIAL 2019 - 2021'!N1943</f>
        <v>OUI</v>
      </c>
      <c r="G1340" s="839" t="str">
        <f>'COMMERCIAL 2019 - 2021'!O1943</f>
        <v>France</v>
      </c>
      <c r="H1340" s="838">
        <f>'COMMERCIAL 2019 - 2021'!P1943</f>
        <v>45709</v>
      </c>
      <c r="I1340" s="840">
        <f>'COMMERCIAL 2019 - 2021'!Q1943</f>
        <v>3200</v>
      </c>
      <c r="J1340" s="870">
        <v>1</v>
      </c>
      <c r="K1340" s="840">
        <f>'COMMERCIAL 2019 - 2021'!R1943</f>
        <v>40536</v>
      </c>
      <c r="L1340" s="870">
        <v>1</v>
      </c>
      <c r="M1340" s="840">
        <f>'COMMERCIAL 2019 - 2021'!S1943</f>
        <v>7200</v>
      </c>
      <c r="N1340" s="870">
        <v>1</v>
      </c>
      <c r="O1340" s="840">
        <f>'COMMERCIAL 2019 - 2021'!T1943</f>
        <v>2980</v>
      </c>
      <c r="P1340" s="870">
        <v>1</v>
      </c>
      <c r="Q1340" s="840">
        <f>'COMMERCIAL 2019 - 2021'!U1943</f>
        <v>53916</v>
      </c>
    </row>
    <row r="1341" spans="1:17" s="1" customFormat="1" ht="11.45">
      <c r="A1341" s="837" t="str">
        <f>'COMMERCIAL 2019 - 2021'!D1944</f>
        <v>FAE-25-00064</v>
      </c>
      <c r="B1341" s="895">
        <f>'COMMERCIAL 2019 - 2021'!F1944</f>
        <v>45720</v>
      </c>
      <c r="C1341" s="839">
        <f>'COMMERCIAL 2019 - 2021'!G1944</f>
        <v>2025</v>
      </c>
      <c r="D1341" s="839" t="str">
        <f>'COMMERCIAL 2019 - 2021'!H1944</f>
        <v>CE2261</v>
      </c>
      <c r="E1341" s="839" t="str">
        <f>'COMMERCIAL 2019 - 2021'!I1944</f>
        <v>MARCOM INTERN</v>
      </c>
      <c r="F1341" s="839" t="str">
        <f>'COMMERCIAL 2019 - 2021'!N1944</f>
        <v>OUI</v>
      </c>
      <c r="G1341" s="839" t="str">
        <f>'COMMERCIAL 2019 - 2021'!O1944</f>
        <v>Ukraine</v>
      </c>
      <c r="H1341" s="838">
        <f>'COMMERCIAL 2019 - 2021'!P1944</f>
        <v>45727</v>
      </c>
      <c r="I1341" s="840">
        <f>'COMMERCIAL 2019 - 2021'!Q1944</f>
        <v>166000</v>
      </c>
      <c r="J1341" s="870">
        <v>1</v>
      </c>
      <c r="K1341" s="840">
        <f>'COMMERCIAL 2019 - 2021'!R1944</f>
        <v>0</v>
      </c>
      <c r="L1341" s="841"/>
      <c r="M1341" s="840">
        <f>'COMMERCIAL 2019 - 2021'!S1944</f>
        <v>0</v>
      </c>
      <c r="N1341" s="841"/>
      <c r="O1341" s="840">
        <f>'COMMERCIAL 2019 - 2021'!T1944</f>
        <v>0</v>
      </c>
      <c r="P1341" s="842"/>
      <c r="Q1341" s="840">
        <f>'COMMERCIAL 2019 - 2021'!U1944</f>
        <v>166000</v>
      </c>
    </row>
    <row r="1342" spans="1:17" s="1" customFormat="1" ht="11.45">
      <c r="A1342" s="837" t="str">
        <f>'COMMERCIAL 2019 - 2021'!D1945</f>
        <v>FAE-25-00065</v>
      </c>
      <c r="B1342" s="895">
        <f>'COMMERCIAL 2019 - 2021'!F1945</f>
        <v>45720</v>
      </c>
      <c r="C1342" s="839">
        <f>'COMMERCIAL 2019 - 2021'!G1945</f>
        <v>2025</v>
      </c>
      <c r="D1342" s="839" t="str">
        <f>'COMMERCIAL 2019 - 2021'!H1945</f>
        <v>CE2137</v>
      </c>
      <c r="E1342" s="839" t="str">
        <f>'COMMERCIAL 2019 - 2021'!I1945</f>
        <v>TUNISIAN AFRICAN BUSINESS</v>
      </c>
      <c r="F1342" s="839" t="str">
        <f>'COMMERCIAL 2019 - 2021'!N1945</f>
        <v>OUI</v>
      </c>
      <c r="G1342" s="839" t="str">
        <f>'COMMERCIAL 2019 - 2021'!O1945</f>
        <v>Arabie Saoudie</v>
      </c>
      <c r="H1342" s="838">
        <f>'COMMERCIAL 2019 - 2021'!P1945</f>
        <v>45728</v>
      </c>
      <c r="I1342" s="840">
        <f>'COMMERCIAL 2019 - 2021'!Q1945</f>
        <v>6000</v>
      </c>
      <c r="J1342" s="870">
        <v>1</v>
      </c>
      <c r="K1342" s="840">
        <f>'COMMERCIAL 2019 - 2021'!R1945</f>
        <v>0</v>
      </c>
      <c r="L1342" s="841"/>
      <c r="M1342" s="840">
        <f>'COMMERCIAL 2019 - 2021'!S1945</f>
        <v>0</v>
      </c>
      <c r="N1342" s="841"/>
      <c r="O1342" s="840">
        <f>'COMMERCIAL 2019 - 2021'!T1945</f>
        <v>0</v>
      </c>
      <c r="P1342" s="842"/>
      <c r="Q1342" s="840">
        <f>'COMMERCIAL 2019 - 2021'!U1945</f>
        <v>6000</v>
      </c>
    </row>
    <row r="1343" spans="1:17" s="1" customFormat="1" ht="11.45">
      <c r="A1343" s="837" t="str">
        <f>'COMMERCIAL 2019 - 2021'!D1946</f>
        <v>FAE-25-00066</v>
      </c>
      <c r="B1343" s="895">
        <f>'COMMERCIAL 2019 - 2021'!F1946</f>
        <v>45720</v>
      </c>
      <c r="C1343" s="839">
        <f>'COMMERCIAL 2019 - 2021'!G1946</f>
        <v>2025</v>
      </c>
      <c r="D1343" s="839" t="str">
        <f>'COMMERCIAL 2019 - 2021'!H1946</f>
        <v>CE2295</v>
      </c>
      <c r="E1343" s="839" t="str">
        <f>'COMMERCIAL 2019 - 2021'!I1946</f>
        <v>ALMOSTAWRED ALJADEED CO. FOR IMPORT</v>
      </c>
      <c r="F1343" s="839" t="str">
        <f>'COMMERCIAL 2019 - 2021'!N1946</f>
        <v>OUI</v>
      </c>
      <c r="G1343" s="839" t="str">
        <f>'COMMERCIAL 2019 - 2021'!O1946</f>
        <v>Libye</v>
      </c>
      <c r="H1343" s="838">
        <f>'COMMERCIAL 2019 - 2021'!P1946</f>
        <v>45723</v>
      </c>
      <c r="I1343" s="840">
        <f>'COMMERCIAL 2019 - 2021'!Q1946</f>
        <v>0</v>
      </c>
      <c r="J1343" s="841"/>
      <c r="K1343" s="840">
        <f>'COMMERCIAL 2019 - 2021'!R1946</f>
        <v>235200</v>
      </c>
      <c r="L1343" s="841" t="s">
        <v>20345</v>
      </c>
      <c r="M1343" s="840">
        <f>'COMMERCIAL 2019 - 2021'!S1946</f>
        <v>0</v>
      </c>
      <c r="N1343" s="841"/>
      <c r="O1343" s="840">
        <f>'COMMERCIAL 2019 - 2021'!T1946</f>
        <v>0</v>
      </c>
      <c r="P1343" s="842"/>
      <c r="Q1343" s="840">
        <f>'COMMERCIAL 2019 - 2021'!U1946</f>
        <v>235200</v>
      </c>
    </row>
    <row r="1344" spans="1:17" s="1" customFormat="1" ht="11.45">
      <c r="A1344" s="837" t="str">
        <f>'COMMERCIAL 2019 - 2021'!D1947</f>
        <v>FAE-25-00067</v>
      </c>
      <c r="B1344" s="895">
        <f>'COMMERCIAL 2019 - 2021'!F1947</f>
        <v>45720</v>
      </c>
      <c r="C1344" s="839">
        <f>'COMMERCIAL 2019 - 2021'!G1947</f>
        <v>2025</v>
      </c>
      <c r="D1344" s="839" t="str">
        <f>'COMMERCIAL 2019 - 2021'!H1947</f>
        <v>CE2235</v>
      </c>
      <c r="E1344" s="839" t="str">
        <f>'COMMERCIAL 2019 - 2021'!I1947</f>
        <v>GREEN WORLD FOOD EXPRESS</v>
      </c>
      <c r="F1344" s="839" t="str">
        <f>'COMMERCIAL 2019 - 2021'!N1947</f>
        <v>OUI</v>
      </c>
      <c r="G1344" s="839" t="str">
        <f>'COMMERCIAL 2019 - 2021'!O1947</f>
        <v>Canada</v>
      </c>
      <c r="H1344" s="838">
        <f>'COMMERCIAL 2019 - 2021'!P1947</f>
        <v>45728</v>
      </c>
      <c r="I1344" s="840">
        <f>'COMMERCIAL 2019 - 2021'!Q1947</f>
        <v>0</v>
      </c>
      <c r="J1344" s="841"/>
      <c r="K1344" s="840">
        <f>'COMMERCIAL 2019 - 2021'!R1947</f>
        <v>23971</v>
      </c>
      <c r="L1344" s="870">
        <v>1</v>
      </c>
      <c r="M1344" s="840">
        <f>'COMMERCIAL 2019 - 2021'!S1947</f>
        <v>0</v>
      </c>
      <c r="N1344" s="841"/>
      <c r="O1344" s="840">
        <f>'COMMERCIAL 2019 - 2021'!T1947</f>
        <v>0</v>
      </c>
      <c r="P1344" s="842"/>
      <c r="Q1344" s="840">
        <f>'COMMERCIAL 2019 - 2021'!U1947</f>
        <v>23971</v>
      </c>
    </row>
    <row r="1345" spans="1:17" s="1" customFormat="1" ht="11.45">
      <c r="A1345" s="837" t="str">
        <f>'COMMERCIAL 2019 - 2021'!D1948</f>
        <v>FAE-25-00068</v>
      </c>
      <c r="B1345" s="895">
        <f>'COMMERCIAL 2019 - 2021'!F1948</f>
        <v>45720</v>
      </c>
      <c r="C1345" s="839">
        <f>'COMMERCIAL 2019 - 2021'!G1948</f>
        <v>2025</v>
      </c>
      <c r="D1345" s="839" t="str">
        <f>'COMMERCIAL 2019 - 2021'!H1948</f>
        <v>CE2017</v>
      </c>
      <c r="E1345" s="839" t="str">
        <f>'COMMERCIAL 2019 - 2021'!I1948</f>
        <v>SAHEL INTERNATIONAL TRADE</v>
      </c>
      <c r="F1345" s="839" t="str">
        <f>'COMMERCIAL 2019 - 2021'!N1948</f>
        <v>OUI</v>
      </c>
      <c r="G1345" s="839" t="str">
        <f>'COMMERCIAL 2019 - 2021'!O1948</f>
        <v>Tchad</v>
      </c>
      <c r="H1345" s="838">
        <f>'COMMERCIAL 2019 - 2021'!P1948</f>
        <v>45729</v>
      </c>
      <c r="I1345" s="840">
        <f>'COMMERCIAL 2019 - 2021'!Q1948</f>
        <v>86400</v>
      </c>
      <c r="J1345" s="870">
        <v>1</v>
      </c>
      <c r="K1345" s="840">
        <f>'COMMERCIAL 2019 - 2021'!R1948</f>
        <v>0</v>
      </c>
      <c r="L1345" s="841"/>
      <c r="M1345" s="840">
        <f>'COMMERCIAL 2019 - 2021'!S1948</f>
        <v>0</v>
      </c>
      <c r="N1345" s="841"/>
      <c r="O1345" s="840">
        <f>'COMMERCIAL 2019 - 2021'!T1948</f>
        <v>0</v>
      </c>
      <c r="P1345" s="842"/>
      <c r="Q1345" s="840">
        <f>'COMMERCIAL 2019 - 2021'!U1948</f>
        <v>86400</v>
      </c>
    </row>
    <row r="1346" spans="1:17" s="1" customFormat="1" ht="11.45">
      <c r="A1346" s="837" t="str">
        <f>'COMMERCIAL 2019 - 2021'!D1949</f>
        <v>FAE-25-00069</v>
      </c>
      <c r="B1346" s="895">
        <f>'COMMERCIAL 2019 - 2021'!F1949</f>
        <v>45721</v>
      </c>
      <c r="C1346" s="839">
        <f>'COMMERCIAL 2019 - 2021'!G1949</f>
        <v>2025</v>
      </c>
      <c r="D1346" s="839" t="str">
        <f>'COMMERCIAL 2019 - 2021'!H1949</f>
        <v>CE2001</v>
      </c>
      <c r="E1346" s="839" t="str">
        <f>'COMMERCIAL 2019 - 2021'!I1949</f>
        <v>STE DE COMMERCE INTERNATIONAL</v>
      </c>
      <c r="F1346" s="839" t="str">
        <f>'COMMERCIAL 2019 - 2021'!N1949</f>
        <v>OUI</v>
      </c>
      <c r="G1346" s="839" t="str">
        <f>'COMMERCIAL 2019 - 2021'!O1949</f>
        <v>Cap Vert</v>
      </c>
      <c r="H1346" s="838">
        <f>'COMMERCIAL 2019 - 2021'!P1949</f>
        <v>45726</v>
      </c>
      <c r="I1346" s="840">
        <f>'COMMERCIAL 2019 - 2021'!Q1949</f>
        <v>0</v>
      </c>
      <c r="J1346" s="841"/>
      <c r="K1346" s="840">
        <f>'COMMERCIAL 2019 - 2021'!R1949</f>
        <v>0</v>
      </c>
      <c r="L1346" s="841"/>
      <c r="M1346" s="840">
        <f>'COMMERCIAL 2019 - 2021'!S1949</f>
        <v>84000</v>
      </c>
      <c r="N1346" s="841" t="s">
        <v>20347</v>
      </c>
      <c r="O1346" s="840">
        <f>'COMMERCIAL 2019 - 2021'!T1949</f>
        <v>0</v>
      </c>
      <c r="P1346" s="842"/>
      <c r="Q1346" s="840">
        <f>'COMMERCIAL 2019 - 2021'!U1949</f>
        <v>84000</v>
      </c>
    </row>
    <row r="1347" spans="1:17" s="1" customFormat="1" ht="11.45">
      <c r="A1347" s="837" t="str">
        <f>'COMMERCIAL 2019 - 2021'!D1950</f>
        <v>FAE-25-00070</v>
      </c>
      <c r="B1347" s="895">
        <f>'COMMERCIAL 2019 - 2021'!F1950</f>
        <v>45721</v>
      </c>
      <c r="C1347" s="839">
        <f>'COMMERCIAL 2019 - 2021'!G1950</f>
        <v>2025</v>
      </c>
      <c r="D1347" s="839" t="str">
        <f>'COMMERCIAL 2019 - 2021'!H1950</f>
        <v>CE2137</v>
      </c>
      <c r="E1347" s="839" t="str">
        <f>'COMMERCIAL 2019 - 2021'!I1950</f>
        <v>TUNISIAN AFRICAN BUSINESS</v>
      </c>
      <c r="F1347" s="839" t="str">
        <f>'COMMERCIAL 2019 - 2021'!N1950</f>
        <v>OUI</v>
      </c>
      <c r="G1347" s="839" t="str">
        <f>'COMMERCIAL 2019 - 2021'!O1950</f>
        <v>Gabon</v>
      </c>
      <c r="H1347" s="838">
        <f>'COMMERCIAL 2019 - 2021'!P1950</f>
        <v>45727</v>
      </c>
      <c r="I1347" s="840">
        <f>'COMMERCIAL 2019 - 2021'!Q1950</f>
        <v>0</v>
      </c>
      <c r="J1347" s="841"/>
      <c r="K1347" s="840">
        <f>'COMMERCIAL 2019 - 2021'!R1950</f>
        <v>0</v>
      </c>
      <c r="L1347" s="841"/>
      <c r="M1347" s="840">
        <f>'COMMERCIAL 2019 - 2021'!S1950</f>
        <v>84000</v>
      </c>
      <c r="N1347" s="841" t="s">
        <v>20347</v>
      </c>
      <c r="O1347" s="840">
        <f>'COMMERCIAL 2019 - 2021'!T1950</f>
        <v>0</v>
      </c>
      <c r="P1347" s="842"/>
      <c r="Q1347" s="840">
        <f>'COMMERCIAL 2019 - 2021'!U1950</f>
        <v>84000</v>
      </c>
    </row>
    <row r="1348" spans="1:17" s="1" customFormat="1" ht="11.45">
      <c r="A1348" s="837" t="str">
        <f>'COMMERCIAL 2019 - 2021'!D1951</f>
        <v>FAE-25-00071</v>
      </c>
      <c r="B1348" s="895">
        <f>'COMMERCIAL 2019 - 2021'!F1951</f>
        <v>45780</v>
      </c>
      <c r="C1348" s="839">
        <f>'COMMERCIAL 2019 - 2021'!G1951</f>
        <v>2025</v>
      </c>
      <c r="D1348" s="839" t="str">
        <f>'COMMERCIAL 2019 - 2021'!H1951</f>
        <v>CE2247</v>
      </c>
      <c r="E1348" s="839" t="str">
        <f>'COMMERCIAL 2019 - 2021'!I1951</f>
        <v>MATMATA TRADING</v>
      </c>
      <c r="F1348" s="839" t="str">
        <f>'COMMERCIAL 2019 - 2021'!N1951</f>
        <v>OUI</v>
      </c>
      <c r="G1348" s="839" t="str">
        <f>'COMMERCIAL 2019 - 2021'!O1951</f>
        <v>Mauritanie</v>
      </c>
      <c r="H1348" s="838">
        <f>'COMMERCIAL 2019 - 2021'!P1951</f>
        <v>45735</v>
      </c>
      <c r="I1348" s="840">
        <f>'COMMERCIAL 2019 - 2021'!Q1951</f>
        <v>19200</v>
      </c>
      <c r="J1348" s="841"/>
      <c r="K1348" s="840">
        <f>'COMMERCIAL 2019 - 2021'!R1951</f>
        <v>0</v>
      </c>
      <c r="L1348" s="841"/>
      <c r="M1348" s="840">
        <f>'COMMERCIAL 2019 - 2021'!S1951</f>
        <v>0</v>
      </c>
      <c r="N1348" s="841"/>
      <c r="O1348" s="840">
        <f>'COMMERCIAL 2019 - 2021'!T1951</f>
        <v>0</v>
      </c>
      <c r="P1348" s="842"/>
      <c r="Q1348" s="840">
        <f>'COMMERCIAL 2019 - 2021'!U1951</f>
        <v>19200</v>
      </c>
    </row>
    <row r="1349" spans="1:17" s="1" customFormat="1" ht="11.45">
      <c r="A1349" s="837" t="str">
        <f>'COMMERCIAL 2019 - 2021'!D1952</f>
        <v>FAE-25-00072</v>
      </c>
      <c r="B1349" s="895">
        <f>'COMMERCIAL 2019 - 2021'!F1952</f>
        <v>45723</v>
      </c>
      <c r="C1349" s="839">
        <f>'COMMERCIAL 2019 - 2021'!G1952</f>
        <v>2025</v>
      </c>
      <c r="D1349" s="839" t="str">
        <f>'COMMERCIAL 2019 - 2021'!H1952</f>
        <v>CE2053</v>
      </c>
      <c r="E1349" s="839" t="str">
        <f>'COMMERCIAL 2019 - 2021'!I1952</f>
        <v>ETS KASSO IMPORT EXPORT</v>
      </c>
      <c r="F1349" s="839" t="str">
        <f>'COMMERCIAL 2019 - 2021'!N1952</f>
        <v>OUI</v>
      </c>
      <c r="G1349" s="839" t="str">
        <f>'COMMERCIAL 2019 - 2021'!O1952</f>
        <v>Niger</v>
      </c>
      <c r="H1349" s="838">
        <f>'COMMERCIAL 2019 - 2021'!P1952</f>
        <v>45728</v>
      </c>
      <c r="I1349" s="840">
        <f>'COMMERCIAL 2019 - 2021'!Q1952</f>
        <v>0</v>
      </c>
      <c r="J1349" s="841"/>
      <c r="K1349" s="840">
        <f>'COMMERCIAL 2019 - 2021'!R1952</f>
        <v>0</v>
      </c>
      <c r="L1349" s="841"/>
      <c r="M1349" s="840">
        <f>'COMMERCIAL 2019 - 2021'!S1952</f>
        <v>82500</v>
      </c>
      <c r="N1349" s="841" t="s">
        <v>20347</v>
      </c>
      <c r="O1349" s="840">
        <f>'COMMERCIAL 2019 - 2021'!T1952</f>
        <v>0</v>
      </c>
      <c r="P1349" s="842"/>
      <c r="Q1349" s="840">
        <f>'COMMERCIAL 2019 - 2021'!U1952</f>
        <v>82500</v>
      </c>
    </row>
    <row r="1350" spans="1:17" s="1" customFormat="1" ht="11.45">
      <c r="A1350" s="837" t="str">
        <f>'COMMERCIAL 2019 - 2021'!D1953</f>
        <v>FAE-25-00073</v>
      </c>
      <c r="B1350" s="895">
        <f>'COMMERCIAL 2019 - 2021'!F1953</f>
        <v>45723</v>
      </c>
      <c r="C1350" s="839">
        <f>'COMMERCIAL 2019 - 2021'!G1953</f>
        <v>2025</v>
      </c>
      <c r="D1350" s="839" t="str">
        <f>'COMMERCIAL 2019 - 2021'!H1953</f>
        <v>CE2053</v>
      </c>
      <c r="E1350" s="839" t="str">
        <f>'COMMERCIAL 2019 - 2021'!I1953</f>
        <v>ETS KASSO IMPORT EXPORT</v>
      </c>
      <c r="F1350" s="839" t="str">
        <f>'COMMERCIAL 2019 - 2021'!N1953</f>
        <v>OUI</v>
      </c>
      <c r="G1350" s="839" t="str">
        <f>'COMMERCIAL 2019 - 2021'!O1953</f>
        <v>Niger</v>
      </c>
      <c r="H1350" s="838">
        <f>'COMMERCIAL 2019 - 2021'!P1953</f>
        <v>45730</v>
      </c>
      <c r="I1350" s="840">
        <f>'COMMERCIAL 2019 - 2021'!Q1953</f>
        <v>0</v>
      </c>
      <c r="J1350" s="841"/>
      <c r="K1350" s="840">
        <f>'COMMERCIAL 2019 - 2021'!R1953</f>
        <v>0</v>
      </c>
      <c r="L1350" s="841"/>
      <c r="M1350" s="840">
        <f>'COMMERCIAL 2019 - 2021'!S1953</f>
        <v>110000</v>
      </c>
      <c r="N1350" s="841" t="s">
        <v>20347</v>
      </c>
      <c r="O1350" s="840">
        <f>'COMMERCIAL 2019 - 2021'!T1953</f>
        <v>0</v>
      </c>
      <c r="P1350" s="842"/>
      <c r="Q1350" s="840">
        <f>'COMMERCIAL 2019 - 2021'!U1953</f>
        <v>110000</v>
      </c>
    </row>
    <row r="1351" spans="1:17" s="1" customFormat="1" ht="11.45">
      <c r="A1351" s="837" t="str">
        <f>'COMMERCIAL 2019 - 2021'!D1954</f>
        <v>FAE-25-00074</v>
      </c>
      <c r="B1351" s="895">
        <f>'COMMERCIAL 2019 - 2021'!F1954</f>
        <v>45723</v>
      </c>
      <c r="C1351" s="839">
        <f>'COMMERCIAL 2019 - 2021'!G1954</f>
        <v>2025</v>
      </c>
      <c r="D1351" s="839" t="str">
        <f>'COMMERCIAL 2019 - 2021'!H1954</f>
        <v>CE2053</v>
      </c>
      <c r="E1351" s="839" t="str">
        <f>'COMMERCIAL 2019 - 2021'!I1954</f>
        <v>ETS KASSO IMPORT EXPORT</v>
      </c>
      <c r="F1351" s="839" t="str">
        <f>'COMMERCIAL 2019 - 2021'!N1954</f>
        <v>OUI</v>
      </c>
      <c r="G1351" s="839" t="str">
        <f>'COMMERCIAL 2019 - 2021'!O1954</f>
        <v>Niger</v>
      </c>
      <c r="H1351" s="838">
        <f>'COMMERCIAL 2019 - 2021'!P1954</f>
        <v>45733</v>
      </c>
      <c r="I1351" s="840">
        <f>'COMMERCIAL 2019 - 2021'!Q1954</f>
        <v>0</v>
      </c>
      <c r="J1351" s="841"/>
      <c r="K1351" s="840">
        <f>'COMMERCIAL 2019 - 2021'!R1954</f>
        <v>0</v>
      </c>
      <c r="L1351" s="841"/>
      <c r="M1351" s="840">
        <f>'COMMERCIAL 2019 - 2021'!S1954</f>
        <v>110000</v>
      </c>
      <c r="N1351" s="841" t="s">
        <v>20347</v>
      </c>
      <c r="O1351" s="840">
        <f>'COMMERCIAL 2019 - 2021'!T1954</f>
        <v>0</v>
      </c>
      <c r="P1351" s="842"/>
      <c r="Q1351" s="840">
        <f>'COMMERCIAL 2019 - 2021'!U1954</f>
        <v>110000</v>
      </c>
    </row>
    <row r="1352" spans="1:17" s="1" customFormat="1" ht="11.45">
      <c r="A1352" s="837" t="str">
        <f>'COMMERCIAL 2019 - 2021'!D1955</f>
        <v>FAE-25-00075</v>
      </c>
      <c r="B1352" s="895">
        <f>'COMMERCIAL 2019 - 2021'!F1955</f>
        <v>45723</v>
      </c>
      <c r="C1352" s="839">
        <f>'COMMERCIAL 2019 - 2021'!G1955</f>
        <v>2025</v>
      </c>
      <c r="D1352" s="839" t="str">
        <f>'COMMERCIAL 2019 - 2021'!H1955</f>
        <v>CE2053</v>
      </c>
      <c r="E1352" s="839" t="str">
        <f>'COMMERCIAL 2019 - 2021'!I1955</f>
        <v>ETS KASSO IMPORT EXPORT</v>
      </c>
      <c r="F1352" s="839" t="str">
        <f>'COMMERCIAL 2019 - 2021'!N1955</f>
        <v>OUI</v>
      </c>
      <c r="G1352" s="839" t="str">
        <f>'COMMERCIAL 2019 - 2021'!O1955</f>
        <v>Niger</v>
      </c>
      <c r="H1352" s="838">
        <f>'COMMERCIAL 2019 - 2021'!P1955</f>
        <v>45733</v>
      </c>
      <c r="I1352" s="840">
        <f>'COMMERCIAL 2019 - 2021'!Q1955</f>
        <v>0</v>
      </c>
      <c r="J1352" s="841"/>
      <c r="K1352" s="840">
        <f>'COMMERCIAL 2019 - 2021'!R1955</f>
        <v>0</v>
      </c>
      <c r="L1352" s="841"/>
      <c r="M1352" s="840">
        <f>'COMMERCIAL 2019 - 2021'!S1955</f>
        <v>110000</v>
      </c>
      <c r="N1352" s="841" t="s">
        <v>20347</v>
      </c>
      <c r="O1352" s="840">
        <f>'COMMERCIAL 2019 - 2021'!T1955</f>
        <v>0</v>
      </c>
      <c r="P1352" s="842"/>
      <c r="Q1352" s="840">
        <f>'COMMERCIAL 2019 - 2021'!U1955</f>
        <v>110000</v>
      </c>
    </row>
    <row r="1353" spans="1:17" s="1" customFormat="1" ht="11.45">
      <c r="A1353" s="837" t="str">
        <f>'COMMERCIAL 2019 - 2021'!D1956</f>
        <v>FAE-25-00076</v>
      </c>
      <c r="B1353" s="895">
        <f>'COMMERCIAL 2019 - 2021'!F1956</f>
        <v>45723</v>
      </c>
      <c r="C1353" s="839">
        <f>'COMMERCIAL 2019 - 2021'!G1956</f>
        <v>2025</v>
      </c>
      <c r="D1353" s="839" t="str">
        <f>'COMMERCIAL 2019 - 2021'!H1956</f>
        <v>CE2165</v>
      </c>
      <c r="E1353" s="839" t="str">
        <f>'COMMERCIAL 2019 - 2021'!I1956</f>
        <v>ANGSTREM TRADING</v>
      </c>
      <c r="F1353" s="839" t="str">
        <f>'COMMERCIAL 2019 - 2021'!N1956</f>
        <v>OUI</v>
      </c>
      <c r="G1353" s="839" t="str">
        <f>'COMMERCIAL 2019 - 2021'!O1956</f>
        <v>Russie</v>
      </c>
      <c r="H1353" s="838">
        <f>'COMMERCIAL 2019 - 2021'!P1956</f>
        <v>45758</v>
      </c>
      <c r="I1353" s="840">
        <f>'COMMERCIAL 2019 - 2021'!Q1956</f>
        <v>40300</v>
      </c>
      <c r="J1353" s="870">
        <v>1</v>
      </c>
      <c r="K1353" s="840">
        <f>'COMMERCIAL 2019 - 2021'!R1956</f>
        <v>0</v>
      </c>
      <c r="L1353" s="841"/>
      <c r="M1353" s="840">
        <f>'COMMERCIAL 2019 - 2021'!S1956</f>
        <v>0</v>
      </c>
      <c r="N1353" s="841"/>
      <c r="O1353" s="840">
        <f>'COMMERCIAL 2019 - 2021'!T1956</f>
        <v>0</v>
      </c>
      <c r="P1353" s="842"/>
      <c r="Q1353" s="840">
        <f>'COMMERCIAL 2019 - 2021'!U1956</f>
        <v>40300</v>
      </c>
    </row>
    <row r="1354" spans="1:17" s="1" customFormat="1" ht="11.45">
      <c r="A1354" s="837" t="str">
        <f>'COMMERCIAL 2019 - 2021'!D1957</f>
        <v>FAE-25-00077</v>
      </c>
      <c r="B1354" s="895">
        <f>'COMMERCIAL 2019 - 2021'!F1957</f>
        <v>45726</v>
      </c>
      <c r="C1354" s="839">
        <f>'COMMERCIAL 2019 - 2021'!G1957</f>
        <v>2025</v>
      </c>
      <c r="D1354" s="839" t="str">
        <f>'COMMERCIAL 2019 - 2021'!H1957</f>
        <v>CE2298</v>
      </c>
      <c r="E1354" s="839" t="str">
        <f>'COMMERCIAL 2019 - 2021'!I1957</f>
        <v>CHB</v>
      </c>
      <c r="F1354" s="839" t="str">
        <f>'COMMERCIAL 2019 - 2021'!N1957</f>
        <v>OUI</v>
      </c>
      <c r="G1354" s="839" t="str">
        <f>'COMMERCIAL 2019 - 2021'!O1957</f>
        <v>Russie</v>
      </c>
      <c r="H1354" s="838">
        <f>'COMMERCIAL 2019 - 2021'!P1957</f>
        <v>45734</v>
      </c>
      <c r="I1354" s="840">
        <f>'COMMERCIAL 2019 - 2021'!Q1957</f>
        <v>0</v>
      </c>
      <c r="J1354" s="841"/>
      <c r="K1354" s="840">
        <f>'COMMERCIAL 2019 - 2021'!R1957</f>
        <v>11160</v>
      </c>
      <c r="L1354" s="870">
        <v>1</v>
      </c>
      <c r="M1354" s="840">
        <f>'COMMERCIAL 2019 - 2021'!S1957</f>
        <v>4440</v>
      </c>
      <c r="N1354" s="870">
        <v>1</v>
      </c>
      <c r="O1354" s="840">
        <f>'COMMERCIAL 2019 - 2021'!T1957</f>
        <v>900</v>
      </c>
      <c r="P1354" s="870">
        <v>1</v>
      </c>
      <c r="Q1354" s="840">
        <f>'COMMERCIAL 2019 - 2021'!U1957</f>
        <v>16500</v>
      </c>
    </row>
    <row r="1355" spans="1:17" s="1" customFormat="1" ht="11.45">
      <c r="A1355" s="837" t="str">
        <f>'COMMERCIAL 2019 - 2021'!D1958</f>
        <v>FAE-25-00078</v>
      </c>
      <c r="B1355" s="895">
        <f>'COMMERCIAL 2019 - 2021'!F1958</f>
        <v>45726</v>
      </c>
      <c r="C1355" s="839">
        <f>'COMMERCIAL 2019 - 2021'!G1958</f>
        <v>2025</v>
      </c>
      <c r="D1355" s="839" t="str">
        <f>'COMMERCIAL 2019 - 2021'!H1958</f>
        <v>CE2025</v>
      </c>
      <c r="E1355" s="839" t="str">
        <f>'COMMERCIAL 2019 - 2021'!I1958</f>
        <v>SAWABA - GUINEE</v>
      </c>
      <c r="F1355" s="839" t="str">
        <f>'COMMERCIAL 2019 - 2021'!N1958</f>
        <v>OUI</v>
      </c>
      <c r="G1355" s="839" t="str">
        <f>'COMMERCIAL 2019 - 2021'!O1958</f>
        <v>Guinée</v>
      </c>
      <c r="H1355" s="838">
        <f>'COMMERCIAL 2019 - 2021'!P1958</f>
        <v>45740</v>
      </c>
      <c r="I1355" s="840">
        <f>'COMMERCIAL 2019 - 2021'!Q1958</f>
        <v>48000</v>
      </c>
      <c r="J1355" s="870">
        <v>1</v>
      </c>
      <c r="K1355" s="840">
        <f>'COMMERCIAL 2019 - 2021'!R1958</f>
        <v>288300</v>
      </c>
      <c r="L1355" s="841" t="s">
        <v>21173</v>
      </c>
      <c r="M1355" s="840">
        <f>'COMMERCIAL 2019 - 2021'!S1958</f>
        <v>0</v>
      </c>
      <c r="N1355" s="841"/>
      <c r="O1355" s="840">
        <f>'COMMERCIAL 2019 - 2021'!T1958</f>
        <v>0</v>
      </c>
      <c r="P1355" s="842"/>
      <c r="Q1355" s="840">
        <f>'COMMERCIAL 2019 - 2021'!U1958</f>
        <v>336300</v>
      </c>
    </row>
    <row r="1356" spans="1:17" s="1" customFormat="1" ht="11.45">
      <c r="A1356" s="837" t="str">
        <f>'COMMERCIAL 2019 - 2021'!D1959</f>
        <v>FAE-25-00079</v>
      </c>
      <c r="B1356" s="895">
        <f>'COMMERCIAL 2019 - 2021'!F1959</f>
        <v>45726</v>
      </c>
      <c r="C1356" s="839">
        <f>'COMMERCIAL 2019 - 2021'!G1959</f>
        <v>2025</v>
      </c>
      <c r="D1356" s="839" t="str">
        <f>'COMMERCIAL 2019 - 2021'!H1959</f>
        <v>CE2025</v>
      </c>
      <c r="E1356" s="839" t="str">
        <f>'COMMERCIAL 2019 - 2021'!I1959</f>
        <v>SAWABA - GUINEE</v>
      </c>
      <c r="F1356" s="839" t="str">
        <f>'COMMERCIAL 2019 - 2021'!N1959</f>
        <v>OUI</v>
      </c>
      <c r="G1356" s="839" t="str">
        <f>'COMMERCIAL 2019 - 2021'!O1959</f>
        <v>Guinée</v>
      </c>
      <c r="H1356" s="838">
        <f>'COMMERCIAL 2019 - 2021'!P1959</f>
        <v>45742</v>
      </c>
      <c r="I1356" s="840">
        <f>'COMMERCIAL 2019 - 2021'!Q1959</f>
        <v>48000</v>
      </c>
      <c r="J1356" s="870">
        <v>1</v>
      </c>
      <c r="K1356" s="840">
        <f>'COMMERCIAL 2019 - 2021'!R1959</f>
        <v>288300</v>
      </c>
      <c r="L1356" s="841" t="s">
        <v>21173</v>
      </c>
      <c r="M1356" s="840">
        <f>'COMMERCIAL 2019 - 2021'!S1959</f>
        <v>0</v>
      </c>
      <c r="N1356" s="841"/>
      <c r="O1356" s="840">
        <f>'COMMERCIAL 2019 - 2021'!T1959</f>
        <v>0</v>
      </c>
      <c r="P1356" s="842"/>
      <c r="Q1356" s="840">
        <f>'COMMERCIAL 2019 - 2021'!U1959</f>
        <v>336300</v>
      </c>
    </row>
    <row r="1357" spans="1:17" s="1" customFormat="1" ht="11.45">
      <c r="A1357" s="837" t="str">
        <f>'COMMERCIAL 2019 - 2021'!D1960</f>
        <v>FAE-25-00080</v>
      </c>
      <c r="B1357" s="895">
        <f>'COMMERCIAL 2019 - 2021'!F1960</f>
        <v>45726</v>
      </c>
      <c r="C1357" s="839">
        <f>'COMMERCIAL 2019 - 2021'!G1960</f>
        <v>2025</v>
      </c>
      <c r="D1357" s="839" t="str">
        <f>'COMMERCIAL 2019 - 2021'!H1960</f>
        <v>CE2017</v>
      </c>
      <c r="E1357" s="839" t="str">
        <f>'COMMERCIAL 2019 - 2021'!I1960</f>
        <v>SAHEL INTERNATIONAL TRADE</v>
      </c>
      <c r="F1357" s="839" t="str">
        <f>'COMMERCIAL 2019 - 2021'!N1960</f>
        <v>OUI</v>
      </c>
      <c r="G1357" s="839" t="str">
        <f>'COMMERCIAL 2019 - 2021'!O1960</f>
        <v>Burkina Faso</v>
      </c>
      <c r="H1357" s="838">
        <f>'COMMERCIAL 2019 - 2021'!P1960</f>
        <v>45742</v>
      </c>
      <c r="I1357" s="840">
        <f>'COMMERCIAL 2019 - 2021'!Q1960</f>
        <v>0</v>
      </c>
      <c r="J1357" s="841"/>
      <c r="K1357" s="840">
        <f>'COMMERCIAL 2019 - 2021'!R1960</f>
        <v>42200</v>
      </c>
      <c r="L1357" s="841" t="s">
        <v>21173</v>
      </c>
      <c r="M1357" s="840">
        <f>'COMMERCIAL 2019 - 2021'!S1960</f>
        <v>0</v>
      </c>
      <c r="N1357" s="841"/>
      <c r="O1357" s="840">
        <f>'COMMERCIAL 2019 - 2021'!T1960</f>
        <v>0</v>
      </c>
      <c r="P1357" s="842"/>
      <c r="Q1357" s="840">
        <f>'COMMERCIAL 2019 - 2021'!U1960</f>
        <v>42200</v>
      </c>
    </row>
    <row r="1358" spans="1:17" s="1" customFormat="1" ht="11.45">
      <c r="A1358" s="837" t="str">
        <f>'COMMERCIAL 2019 - 2021'!D1961</f>
        <v>FAE-25-00081</v>
      </c>
      <c r="B1358" s="895">
        <f>'COMMERCIAL 2019 - 2021'!F1961</f>
        <v>45728</v>
      </c>
      <c r="C1358" s="839">
        <f>'COMMERCIAL 2019 - 2021'!G1961</f>
        <v>2025</v>
      </c>
      <c r="D1358" s="839" t="str">
        <f>'COMMERCIAL 2019 - 2021'!H1961</f>
        <v>CE2017</v>
      </c>
      <c r="E1358" s="839" t="str">
        <f>'COMMERCIAL 2019 - 2021'!I1961</f>
        <v>SAHEL INTERNATIONAL TRADE</v>
      </c>
      <c r="F1358" s="839" t="str">
        <f>'COMMERCIAL 2019 - 2021'!N1961</f>
        <v>OUI</v>
      </c>
      <c r="G1358" s="839" t="str">
        <f>'COMMERCIAL 2019 - 2021'!O1961</f>
        <v>Niger</v>
      </c>
      <c r="H1358" s="838">
        <f>'COMMERCIAL 2019 - 2021'!P1961</f>
        <v>45742</v>
      </c>
      <c r="I1358" s="840">
        <f>'COMMERCIAL 2019 - 2021'!Q1961</f>
        <v>22008</v>
      </c>
      <c r="J1358" s="870">
        <v>1</v>
      </c>
      <c r="K1358" s="840">
        <f>'COMMERCIAL 2019 - 2021'!R1961</f>
        <v>0</v>
      </c>
      <c r="L1358" s="841"/>
      <c r="M1358" s="840">
        <f>'COMMERCIAL 2019 - 2021'!S1961</f>
        <v>0</v>
      </c>
      <c r="N1358" s="841"/>
      <c r="O1358" s="840">
        <f>'COMMERCIAL 2019 - 2021'!T1961</f>
        <v>0</v>
      </c>
      <c r="P1358" s="842"/>
      <c r="Q1358" s="840">
        <f>'COMMERCIAL 2019 - 2021'!U1961</f>
        <v>22008</v>
      </c>
    </row>
    <row r="1359" spans="1:17" s="1" customFormat="1" ht="11.45">
      <c r="A1359" s="837" t="str">
        <f>'COMMERCIAL 2019 - 2021'!D1962</f>
        <v>FAE-25-00082</v>
      </c>
      <c r="B1359" s="895">
        <f>'COMMERCIAL 2019 - 2021'!F1962</f>
        <v>45728</v>
      </c>
      <c r="C1359" s="839">
        <f>'COMMERCIAL 2019 - 2021'!G1962</f>
        <v>2025</v>
      </c>
      <c r="D1359" s="839" t="str">
        <f>'COMMERCIAL 2019 - 2021'!H1962</f>
        <v>CE2137</v>
      </c>
      <c r="E1359" s="839" t="str">
        <f>'COMMERCIAL 2019 - 2021'!I1962</f>
        <v>TUNISIAN AFRICAN BUSINESS</v>
      </c>
      <c r="F1359" s="839" t="str">
        <f>'COMMERCIAL 2019 - 2021'!N1962</f>
        <v>OUI</v>
      </c>
      <c r="G1359" s="839" t="str">
        <f>'COMMERCIAL 2019 - 2021'!O1962</f>
        <v>Sierra Leone</v>
      </c>
      <c r="H1359" s="838">
        <f>'COMMERCIAL 2019 - 2021'!P1962</f>
        <v>45741</v>
      </c>
      <c r="I1359" s="840">
        <f>'COMMERCIAL 2019 - 2021'!Q1962</f>
        <v>44016</v>
      </c>
      <c r="J1359" s="870">
        <v>1</v>
      </c>
      <c r="K1359" s="840">
        <f>'COMMERCIAL 2019 - 2021'!R1962</f>
        <v>0</v>
      </c>
      <c r="L1359" s="841"/>
      <c r="M1359" s="840">
        <f>'COMMERCIAL 2019 - 2021'!S1962</f>
        <v>0</v>
      </c>
      <c r="N1359" s="841"/>
      <c r="O1359" s="840">
        <f>'COMMERCIAL 2019 - 2021'!T1962</f>
        <v>0</v>
      </c>
      <c r="P1359" s="842"/>
      <c r="Q1359" s="840">
        <f>'COMMERCIAL 2019 - 2021'!U1962</f>
        <v>44016</v>
      </c>
    </row>
    <row r="1360" spans="1:17" s="1" customFormat="1" ht="11.45">
      <c r="A1360" s="837" t="str">
        <f>'COMMERCIAL 2019 - 2021'!D1963</f>
        <v>FAE-25-00083</v>
      </c>
      <c r="B1360" s="895">
        <f>'COMMERCIAL 2019 - 2021'!F1963</f>
        <v>45728</v>
      </c>
      <c r="C1360" s="839">
        <f>'COMMERCIAL 2019 - 2021'!G1963</f>
        <v>2025</v>
      </c>
      <c r="D1360" s="839" t="str">
        <f>'COMMERCIAL 2019 - 2021'!H1963</f>
        <v>CE2178</v>
      </c>
      <c r="E1360" s="839" t="str">
        <f>'COMMERCIAL 2019 - 2021'!I1963</f>
        <v>ARCADIA</v>
      </c>
      <c r="F1360" s="839" t="str">
        <f>'COMMERCIAL 2019 - 2021'!N1963</f>
        <v>OUI</v>
      </c>
      <c r="G1360" s="839" t="str">
        <f>'COMMERCIAL 2019 - 2021'!O1963</f>
        <v>Lithuanie</v>
      </c>
      <c r="H1360" s="838">
        <f>'COMMERCIAL 2019 - 2021'!P1963</f>
        <v>45735</v>
      </c>
      <c r="I1360" s="840">
        <f>'COMMERCIAL 2019 - 2021'!Q1963</f>
        <v>0</v>
      </c>
      <c r="J1360" s="841"/>
      <c r="K1360" s="840">
        <f>'COMMERCIAL 2019 - 2021'!R1963</f>
        <v>20500</v>
      </c>
      <c r="L1360" s="870">
        <v>1</v>
      </c>
      <c r="M1360" s="840">
        <f>'COMMERCIAL 2019 - 2021'!S1963</f>
        <v>0</v>
      </c>
      <c r="N1360" s="841"/>
      <c r="O1360" s="840">
        <f>'COMMERCIAL 2019 - 2021'!T1963</f>
        <v>0</v>
      </c>
      <c r="P1360" s="842"/>
      <c r="Q1360" s="840">
        <f>'COMMERCIAL 2019 - 2021'!U1963</f>
        <v>20500</v>
      </c>
    </row>
    <row r="1361" spans="1:17" s="1" customFormat="1" ht="11.45">
      <c r="A1361" s="837" t="str">
        <f>'COMMERCIAL 2019 - 2021'!D1964</f>
        <v>FAE-25-00084</v>
      </c>
      <c r="B1361" s="895">
        <f>'COMMERCIAL 2019 - 2021'!F1964</f>
        <v>45730</v>
      </c>
      <c r="C1361" s="839">
        <f>'COMMERCIAL 2019 - 2021'!G1964</f>
        <v>2025</v>
      </c>
      <c r="D1361" s="839" t="str">
        <f>'COMMERCIAL 2019 - 2021'!H1964</f>
        <v>CE2168</v>
      </c>
      <c r="E1361" s="839" t="str">
        <f>'COMMERCIAL 2019 - 2021'!I1964</f>
        <v>STE OMEGA TRADING</v>
      </c>
      <c r="F1361" s="839" t="str">
        <f>'COMMERCIAL 2019 - 2021'!N1964</f>
        <v>OUI</v>
      </c>
      <c r="G1361" s="839" t="str">
        <f>'COMMERCIAL 2019 - 2021'!O1964</f>
        <v>Niger</v>
      </c>
      <c r="H1361" s="838">
        <f>'COMMERCIAL 2019 - 2021'!P1964</f>
        <v>45744</v>
      </c>
      <c r="I1361" s="840">
        <f>'COMMERCIAL 2019 - 2021'!Q1964</f>
        <v>0</v>
      </c>
      <c r="J1361" s="841"/>
      <c r="K1361" s="840">
        <f>'COMMERCIAL 2019 - 2021'!R1964</f>
        <v>0</v>
      </c>
      <c r="L1361" s="841"/>
      <c r="M1361" s="840">
        <f>'COMMERCIAL 2019 - 2021'!S1964</f>
        <v>275000</v>
      </c>
      <c r="N1361" s="841" t="s">
        <v>20347</v>
      </c>
      <c r="O1361" s="840">
        <f>'COMMERCIAL 2019 - 2021'!T1964</f>
        <v>0</v>
      </c>
      <c r="P1361" s="842"/>
      <c r="Q1361" s="840">
        <f>'COMMERCIAL 2019 - 2021'!U1964</f>
        <v>275000</v>
      </c>
    </row>
    <row r="1362" spans="1:17" s="1" customFormat="1" ht="11.45">
      <c r="A1362" s="837" t="str">
        <f>'COMMERCIAL 2019 - 2021'!D1965</f>
        <v>FAE-25-00085</v>
      </c>
      <c r="B1362" s="895">
        <f>'COMMERCIAL 2019 - 2021'!F1965</f>
        <v>45733</v>
      </c>
      <c r="C1362" s="839">
        <f>'COMMERCIAL 2019 - 2021'!G1965</f>
        <v>2025</v>
      </c>
      <c r="D1362" s="839" t="str">
        <f>'COMMERCIAL 2019 - 2021'!H1965</f>
        <v>CE2001</v>
      </c>
      <c r="E1362" s="839" t="str">
        <f>'COMMERCIAL 2019 - 2021'!I1965</f>
        <v>STE DE COMMERCE INTERNATIONAL</v>
      </c>
      <c r="F1362" s="839" t="str">
        <f>'COMMERCIAL 2019 - 2021'!N1965</f>
        <v>OUI</v>
      </c>
      <c r="G1362" s="839" t="str">
        <f>'COMMERCIAL 2019 - 2021'!O1965</f>
        <v>Gambie</v>
      </c>
      <c r="H1362" s="838">
        <f>'COMMERCIAL 2019 - 2021'!P1965</f>
        <v>45758</v>
      </c>
      <c r="I1362" s="840">
        <f>'COMMERCIAL 2019 - 2021'!Q1965</f>
        <v>76800</v>
      </c>
      <c r="J1362" s="870">
        <v>1</v>
      </c>
      <c r="K1362" s="840">
        <f>'COMMERCIAL 2019 - 2021'!R1965</f>
        <v>0</v>
      </c>
      <c r="L1362" s="841"/>
      <c r="M1362" s="840">
        <f>'COMMERCIAL 2019 - 2021'!S1965</f>
        <v>0</v>
      </c>
      <c r="N1362" s="841"/>
      <c r="O1362" s="840">
        <f>'COMMERCIAL 2019 - 2021'!T1965</f>
        <v>0</v>
      </c>
      <c r="P1362" s="842"/>
      <c r="Q1362" s="840">
        <f>'COMMERCIAL 2019 - 2021'!U1965</f>
        <v>76800</v>
      </c>
    </row>
    <row r="1363" spans="1:17" s="1" customFormat="1" ht="11.45">
      <c r="A1363" s="837" t="str">
        <f>'COMMERCIAL 2019 - 2021'!D1966</f>
        <v>FAE-25-00086</v>
      </c>
      <c r="B1363" s="895">
        <f>'COMMERCIAL 2019 - 2021'!F1966</f>
        <v>45733</v>
      </c>
      <c r="C1363" s="839">
        <f>'COMMERCIAL 2019 - 2021'!G1966</f>
        <v>2025</v>
      </c>
      <c r="D1363" s="839" t="str">
        <f>'COMMERCIAL 2019 - 2021'!H1966</f>
        <v>CE2299</v>
      </c>
      <c r="E1363" s="839" t="str">
        <f>'COMMERCIAL 2019 - 2021'!I1966</f>
        <v>BEST FOODS TRADING ESTABLISHM</v>
      </c>
      <c r="F1363" s="839" t="str">
        <f>'COMMERCIAL 2019 - 2021'!N1966</f>
        <v>OUI</v>
      </c>
      <c r="G1363" s="839" t="str">
        <f>'COMMERCIAL 2019 - 2021'!O1966</f>
        <v>Malaisie</v>
      </c>
      <c r="H1363" s="838">
        <f>'COMMERCIAL 2019 - 2021'!P1966</f>
        <v>45784</v>
      </c>
      <c r="I1363" s="840">
        <f>'COMMERCIAL 2019 - 2021'!Q1966</f>
        <v>6000</v>
      </c>
      <c r="J1363" s="870">
        <v>1</v>
      </c>
      <c r="K1363" s="840">
        <f>'COMMERCIAL 2019 - 2021'!R1966</f>
        <v>0</v>
      </c>
      <c r="L1363" s="841"/>
      <c r="M1363" s="840">
        <f>'COMMERCIAL 2019 - 2021'!S1966</f>
        <v>0</v>
      </c>
      <c r="N1363" s="841"/>
      <c r="O1363" s="840">
        <f>'COMMERCIAL 2019 - 2021'!T1966</f>
        <v>0</v>
      </c>
      <c r="P1363" s="842"/>
      <c r="Q1363" s="840">
        <f>'COMMERCIAL 2019 - 2021'!U1966</f>
        <v>6000</v>
      </c>
    </row>
    <row r="1364" spans="1:17" s="1" customFormat="1" ht="11.45">
      <c r="A1364" s="837" t="str">
        <f>'COMMERCIAL 2019 - 2021'!D1967</f>
        <v>FAE-25-00087</v>
      </c>
      <c r="B1364" s="895">
        <f>'COMMERCIAL 2019 - 2021'!F1967</f>
        <v>45734</v>
      </c>
      <c r="C1364" s="839">
        <f>'COMMERCIAL 2019 - 2021'!G1967</f>
        <v>2025</v>
      </c>
      <c r="D1364" s="839" t="str">
        <f>'COMMERCIAL 2019 - 2021'!H1967</f>
        <v>CE2242</v>
      </c>
      <c r="E1364" s="839" t="str">
        <f>'COMMERCIAL 2019 - 2021'!I1967</f>
        <v>VALENCIA FOR MARKETING</v>
      </c>
      <c r="F1364" s="839" t="str">
        <f>'COMMERCIAL 2019 - 2021'!N1967</f>
        <v>OUI</v>
      </c>
      <c r="G1364" s="839" t="str">
        <f>'COMMERCIAL 2019 - 2021'!O1967</f>
        <v>Liban</v>
      </c>
      <c r="H1364" s="838">
        <f>'COMMERCIAL 2019 - 2021'!P1967</f>
        <v>45772</v>
      </c>
      <c r="I1364" s="840">
        <f>'COMMERCIAL 2019 - 2021'!Q1967</f>
        <v>0</v>
      </c>
      <c r="J1364" s="841"/>
      <c r="K1364" s="840">
        <f>'COMMERCIAL 2019 - 2021'!R1967</f>
        <v>0</v>
      </c>
      <c r="L1364" s="841"/>
      <c r="M1364" s="840">
        <f>'COMMERCIAL 2019 - 2021'!S1967</f>
        <v>0</v>
      </c>
      <c r="N1364" s="841"/>
      <c r="O1364" s="840">
        <f>'COMMERCIAL 2019 - 2021'!T1967</f>
        <v>27500</v>
      </c>
      <c r="P1364" s="870">
        <v>1</v>
      </c>
      <c r="Q1364" s="840">
        <f>'COMMERCIAL 2019 - 2021'!U1967</f>
        <v>27500</v>
      </c>
    </row>
    <row r="1365" spans="1:17" s="1" customFormat="1" ht="11.45">
      <c r="A1365" s="837" t="str">
        <f>'COMMERCIAL 2019 - 2021'!D1968</f>
        <v>FAE-25-00088</v>
      </c>
      <c r="B1365" s="895">
        <f>'COMMERCIAL 2019 - 2021'!F1968</f>
        <v>45735</v>
      </c>
      <c r="C1365" s="839">
        <f>'COMMERCIAL 2019 - 2021'!G1968</f>
        <v>2025</v>
      </c>
      <c r="D1365" s="839" t="str">
        <f>'COMMERCIAL 2019 - 2021'!H1968</f>
        <v>CE2137</v>
      </c>
      <c r="E1365" s="839" t="str">
        <f>'COMMERCIAL 2019 - 2021'!I1968</f>
        <v>TUNISIAN AFRICAN BUSINESS</v>
      </c>
      <c r="F1365" s="839" t="str">
        <f>'COMMERCIAL 2019 - 2021'!N1968</f>
        <v>OUI</v>
      </c>
      <c r="G1365" s="839" t="str">
        <f>'COMMERCIAL 2019 - 2021'!O1968</f>
        <v>Gabon</v>
      </c>
      <c r="H1365" s="838">
        <f>'COMMERCIAL 2019 - 2021'!P1968</f>
        <v>45750</v>
      </c>
      <c r="I1365" s="840">
        <f>'COMMERCIAL 2019 - 2021'!Q1968</f>
        <v>20750</v>
      </c>
      <c r="J1365" s="870">
        <v>1</v>
      </c>
      <c r="K1365" s="840">
        <f>'COMMERCIAL 2019 - 2021'!R1968</f>
        <v>0</v>
      </c>
      <c r="L1365" s="841"/>
      <c r="M1365" s="840">
        <f>'COMMERCIAL 2019 - 2021'!S1968</f>
        <v>112000</v>
      </c>
      <c r="N1365" s="841" t="s">
        <v>20347</v>
      </c>
      <c r="O1365" s="840">
        <f>'COMMERCIAL 2019 - 2021'!T1968</f>
        <v>0</v>
      </c>
      <c r="P1365" s="842"/>
      <c r="Q1365" s="840">
        <f>'COMMERCIAL 2019 - 2021'!U1968</f>
        <v>132750</v>
      </c>
    </row>
    <row r="1366" spans="1:17" s="1" customFormat="1" ht="11.45">
      <c r="A1366" s="837" t="str">
        <f>'COMMERCIAL 2019 - 2021'!D1969</f>
        <v>FAE-25-00089</v>
      </c>
      <c r="B1366" s="895">
        <f>'COMMERCIAL 2019 - 2021'!F1969</f>
        <v>45735</v>
      </c>
      <c r="C1366" s="839">
        <f>'COMMERCIAL 2019 - 2021'!G1969</f>
        <v>2025</v>
      </c>
      <c r="D1366" s="839" t="str">
        <f>'COMMERCIAL 2019 - 2021'!H1969</f>
        <v>CE2001</v>
      </c>
      <c r="E1366" s="839" t="str">
        <f>'COMMERCIAL 2019 - 2021'!I1969</f>
        <v>STE DE COMMERCE INTERNATIONAL</v>
      </c>
      <c r="F1366" s="839" t="str">
        <f>'COMMERCIAL 2019 - 2021'!N1969</f>
        <v>OUI</v>
      </c>
      <c r="G1366" s="839" t="str">
        <f>'COMMERCIAL 2019 - 2021'!O1969</f>
        <v>Liberia</v>
      </c>
      <c r="H1366" s="838">
        <f>'COMMERCIAL 2019 - 2021'!P1969</f>
        <v>45734</v>
      </c>
      <c r="I1366" s="840">
        <f>'COMMERCIAL 2019 - 2021'!Q1969</f>
        <v>19200</v>
      </c>
      <c r="J1366" s="841"/>
      <c r="K1366" s="840">
        <f>'COMMERCIAL 2019 - 2021'!R1969</f>
        <v>0</v>
      </c>
      <c r="L1366" s="841"/>
      <c r="M1366" s="840">
        <f>'COMMERCIAL 2019 - 2021'!S1969</f>
        <v>0</v>
      </c>
      <c r="N1366" s="841"/>
      <c r="O1366" s="840">
        <f>'COMMERCIAL 2019 - 2021'!T1969</f>
        <v>0</v>
      </c>
      <c r="P1366" s="842"/>
      <c r="Q1366" s="840">
        <f>'COMMERCIAL 2019 - 2021'!U1969</f>
        <v>19200</v>
      </c>
    </row>
    <row r="1367" spans="1:17" s="1" customFormat="1" ht="11.45">
      <c r="A1367" s="837" t="str">
        <f>'COMMERCIAL 2019 - 2021'!D1970</f>
        <v>FAE-25-00090</v>
      </c>
      <c r="B1367" s="895">
        <f>'COMMERCIAL 2019 - 2021'!F1970</f>
        <v>45735</v>
      </c>
      <c r="C1367" s="839">
        <f>'COMMERCIAL 2019 - 2021'!G1970</f>
        <v>2025</v>
      </c>
      <c r="D1367" s="839" t="str">
        <f>'COMMERCIAL 2019 - 2021'!H1970</f>
        <v>CE2178</v>
      </c>
      <c r="E1367" s="839" t="str">
        <f>'COMMERCIAL 2019 - 2021'!I1970</f>
        <v>ARCADIA</v>
      </c>
      <c r="F1367" s="839" t="str">
        <f>'COMMERCIAL 2019 - 2021'!N1970</f>
        <v>OUI</v>
      </c>
      <c r="G1367" s="839" t="str">
        <f>'COMMERCIAL 2019 - 2021'!O1970</f>
        <v>Maroc</v>
      </c>
      <c r="H1367" s="838">
        <f>'COMMERCIAL 2019 - 2021'!P1970</f>
        <v>45776</v>
      </c>
      <c r="I1367" s="840">
        <f>'COMMERCIAL 2019 - 2021'!Q1970</f>
        <v>0</v>
      </c>
      <c r="J1367" s="841"/>
      <c r="K1367" s="840">
        <f>'COMMERCIAL 2019 - 2021'!R1970</f>
        <v>5500</v>
      </c>
      <c r="L1367" s="841"/>
      <c r="M1367" s="840">
        <f>'COMMERCIAL 2019 - 2021'!S1970</f>
        <v>5000</v>
      </c>
      <c r="N1367" s="841"/>
      <c r="O1367" s="840">
        <f>'COMMERCIAL 2019 - 2021'!T1970</f>
        <v>5000</v>
      </c>
      <c r="P1367" s="870">
        <v>1</v>
      </c>
      <c r="Q1367" s="840">
        <f>'COMMERCIAL 2019 - 2021'!U1970</f>
        <v>15500</v>
      </c>
    </row>
    <row r="1368" spans="1:17" s="1" customFormat="1" ht="11.45">
      <c r="A1368" s="837" t="str">
        <f>'COMMERCIAL 2019 - 2021'!D1971</f>
        <v>FAE-25-00091</v>
      </c>
      <c r="B1368" s="895">
        <f>'COMMERCIAL 2019 - 2021'!F1971</f>
        <v>45737</v>
      </c>
      <c r="C1368" s="839">
        <f>'COMMERCIAL 2019 - 2021'!G1971</f>
        <v>2025</v>
      </c>
      <c r="D1368" s="839" t="str">
        <f>'COMMERCIAL 2019 - 2021'!H1971</f>
        <v>CE2017</v>
      </c>
      <c r="E1368" s="839" t="str">
        <f>'COMMERCIAL 2019 - 2021'!I1971</f>
        <v>SAHEL INTERNATIONAL TRADE</v>
      </c>
      <c r="F1368" s="839" t="str">
        <f>'COMMERCIAL 2019 - 2021'!N1971</f>
        <v>OUI</v>
      </c>
      <c r="G1368" s="839" t="str">
        <f>'COMMERCIAL 2019 - 2021'!O1971</f>
        <v>Sierra Leone</v>
      </c>
      <c r="H1368" s="838">
        <f>'COMMERCIAL 2019 - 2021'!P1971</f>
        <v>45749</v>
      </c>
      <c r="I1368" s="840">
        <f>'COMMERCIAL 2019 - 2021'!Q1971</f>
        <v>44016</v>
      </c>
      <c r="J1368" s="870">
        <v>1</v>
      </c>
      <c r="K1368" s="840">
        <f>'COMMERCIAL 2019 - 2021'!R1971</f>
        <v>0</v>
      </c>
      <c r="L1368" s="841"/>
      <c r="M1368" s="840">
        <f>'COMMERCIAL 2019 - 2021'!S1971</f>
        <v>0</v>
      </c>
      <c r="N1368" s="841"/>
      <c r="O1368" s="840">
        <f>'COMMERCIAL 2019 - 2021'!T1971</f>
        <v>0</v>
      </c>
      <c r="P1368" s="842"/>
      <c r="Q1368" s="840">
        <f>'COMMERCIAL 2019 - 2021'!U1971</f>
        <v>44016</v>
      </c>
    </row>
    <row r="1369" spans="1:17" s="1" customFormat="1" ht="11.45">
      <c r="A1369" s="837" t="str">
        <f>'COMMERCIAL 2019 - 2021'!D1972</f>
        <v>FAE-25-00092</v>
      </c>
      <c r="B1369" s="895">
        <f>'COMMERCIAL 2019 - 2021'!F1972</f>
        <v>45742</v>
      </c>
      <c r="C1369" s="839">
        <f>'COMMERCIAL 2019 - 2021'!G1972</f>
        <v>2025</v>
      </c>
      <c r="D1369" s="839" t="str">
        <f>'COMMERCIAL 2019 - 2021'!H1972</f>
        <v>CE2154</v>
      </c>
      <c r="E1369" s="839" t="str">
        <f>'COMMERCIAL 2019 - 2021'!I1972</f>
        <v>SODIFRAM SAS</v>
      </c>
      <c r="F1369" s="839" t="str">
        <f>'COMMERCIAL 2019 - 2021'!N1972</f>
        <v>OUI</v>
      </c>
      <c r="G1369" s="839" t="str">
        <f>'COMMERCIAL 2019 - 2021'!O1972</f>
        <v>Mayotte</v>
      </c>
      <c r="H1369" s="838">
        <f>'COMMERCIAL 2019 - 2021'!P1972</f>
        <v>45751</v>
      </c>
      <c r="I1369" s="840">
        <f>'COMMERCIAL 2019 - 2021'!Q1972</f>
        <v>0</v>
      </c>
      <c r="J1369" s="841"/>
      <c r="K1369" s="840">
        <f>'COMMERCIAL 2019 - 2021'!R1972</f>
        <v>14472</v>
      </c>
      <c r="L1369" s="870">
        <v>1</v>
      </c>
      <c r="M1369" s="840">
        <f>'COMMERCIAL 2019 - 2021'!S1972</f>
        <v>13500</v>
      </c>
      <c r="N1369" s="870">
        <v>1</v>
      </c>
      <c r="O1369" s="840">
        <f>'COMMERCIAL 2019 - 2021'!T1972</f>
        <v>0</v>
      </c>
      <c r="P1369" s="842"/>
      <c r="Q1369" s="840">
        <f>'COMMERCIAL 2019 - 2021'!U1972</f>
        <v>27972</v>
      </c>
    </row>
    <row r="1370" spans="1:17" s="1" customFormat="1" ht="11.45">
      <c r="A1370" s="837" t="str">
        <f>'COMMERCIAL 2019 - 2021'!D1973</f>
        <v>FAE-25-00093</v>
      </c>
      <c r="B1370" s="895">
        <f>'COMMERCIAL 2019 - 2021'!F1973</f>
        <v>45742</v>
      </c>
      <c r="C1370" s="839">
        <f>'COMMERCIAL 2019 - 2021'!G1973</f>
        <v>2025</v>
      </c>
      <c r="D1370" s="839" t="str">
        <f>'COMMERCIAL 2019 - 2021'!H1973</f>
        <v>CE2154</v>
      </c>
      <c r="E1370" s="839" t="str">
        <f>'COMMERCIAL 2019 - 2021'!I1973</f>
        <v>SODIFRAM SAS</v>
      </c>
      <c r="F1370" s="839" t="str">
        <f>'COMMERCIAL 2019 - 2021'!N1973</f>
        <v>OUI</v>
      </c>
      <c r="G1370" s="839" t="str">
        <f>'COMMERCIAL 2019 - 2021'!O1973</f>
        <v>Mayotte</v>
      </c>
      <c r="H1370" s="838">
        <f>'COMMERCIAL 2019 - 2021'!P1973</f>
        <v>45751</v>
      </c>
      <c r="I1370" s="840">
        <f>'COMMERCIAL 2019 - 2021'!Q1973</f>
        <v>0</v>
      </c>
      <c r="J1370" s="841"/>
      <c r="K1370" s="840">
        <f>'COMMERCIAL 2019 - 2021'!R1973</f>
        <v>15480</v>
      </c>
      <c r="L1370" s="870">
        <v>1</v>
      </c>
      <c r="M1370" s="840">
        <f>'COMMERCIAL 2019 - 2021'!S1973</f>
        <v>10500</v>
      </c>
      <c r="N1370" s="870">
        <v>1</v>
      </c>
      <c r="O1370" s="840">
        <f>'COMMERCIAL 2019 - 2021'!T1973</f>
        <v>0</v>
      </c>
      <c r="P1370" s="842"/>
      <c r="Q1370" s="840">
        <f>'COMMERCIAL 2019 - 2021'!U1973</f>
        <v>25980</v>
      </c>
    </row>
    <row r="1371" spans="1:17" s="1" customFormat="1" ht="11.45">
      <c r="A1371" s="837" t="str">
        <f>'COMMERCIAL 2019 - 2021'!D1974</f>
        <v>FAE-25-00094</v>
      </c>
      <c r="B1371" s="895">
        <f>'COMMERCIAL 2019 - 2021'!F1974</f>
        <v>45742</v>
      </c>
      <c r="C1371" s="839">
        <f>'COMMERCIAL 2019 - 2021'!G1974</f>
        <v>2025</v>
      </c>
      <c r="D1371" s="839" t="str">
        <f>'COMMERCIAL 2019 - 2021'!H1974</f>
        <v>CE2154</v>
      </c>
      <c r="E1371" s="839" t="str">
        <f>'COMMERCIAL 2019 - 2021'!I1974</f>
        <v>SODIFRAM SAS</v>
      </c>
      <c r="F1371" s="839" t="str">
        <f>'COMMERCIAL 2019 - 2021'!N1974</f>
        <v>OUI</v>
      </c>
      <c r="G1371" s="839" t="str">
        <f>'COMMERCIAL 2019 - 2021'!O1974</f>
        <v>Mayotte</v>
      </c>
      <c r="H1371" s="838">
        <f>'COMMERCIAL 2019 - 2021'!P1974</f>
        <v>45751</v>
      </c>
      <c r="I1371" s="840">
        <f>'COMMERCIAL 2019 - 2021'!Q1974</f>
        <v>0</v>
      </c>
      <c r="J1371" s="841"/>
      <c r="K1371" s="840">
        <f>'COMMERCIAL 2019 - 2021'!R1974</f>
        <v>15624</v>
      </c>
      <c r="L1371" s="870">
        <v>1</v>
      </c>
      <c r="M1371" s="840">
        <f>'COMMERCIAL 2019 - 2021'!S1974</f>
        <v>10500</v>
      </c>
      <c r="N1371" s="870">
        <v>1</v>
      </c>
      <c r="O1371" s="840">
        <f>'COMMERCIAL 2019 - 2021'!T1974</f>
        <v>0</v>
      </c>
      <c r="P1371" s="842"/>
      <c r="Q1371" s="840">
        <f>'COMMERCIAL 2019 - 2021'!U1974</f>
        <v>26124</v>
      </c>
    </row>
    <row r="1372" spans="1:17" s="1" customFormat="1" ht="11.45">
      <c r="A1372" s="837" t="str">
        <f>'COMMERCIAL 2019 - 2021'!D1975</f>
        <v>FAE-25-00095</v>
      </c>
      <c r="B1372" s="895">
        <f>'COMMERCIAL 2019 - 2021'!F1975</f>
        <v>45749</v>
      </c>
      <c r="C1372" s="839">
        <f>'COMMERCIAL 2019 - 2021'!G1975</f>
        <v>2025</v>
      </c>
      <c r="D1372" s="839" t="str">
        <f>'COMMERCIAL 2019 - 2021'!H1975</f>
        <v>CE2133</v>
      </c>
      <c r="E1372" s="839" t="str">
        <f>'COMMERCIAL 2019 - 2021'!I1975</f>
        <v>E.A.S.B. NAFA</v>
      </c>
      <c r="F1372" s="839" t="str">
        <f>'COMMERCIAL 2019 - 2021'!N1975</f>
        <v>OUI</v>
      </c>
      <c r="G1372" s="839" t="str">
        <f>'COMMERCIAL 2019 - 2021'!O1975</f>
        <v>Gambie</v>
      </c>
      <c r="H1372" s="838">
        <f>'COMMERCIAL 2019 - 2021'!P1975</f>
        <v>45754</v>
      </c>
      <c r="I1372" s="840">
        <f>'COMMERCIAL 2019 - 2021'!Q1975</f>
        <v>0</v>
      </c>
      <c r="J1372" s="841"/>
      <c r="K1372" s="840">
        <f>'COMMERCIAL 2019 - 2021'!R1975</f>
        <v>27600</v>
      </c>
      <c r="L1372" s="841" t="s">
        <v>21173</v>
      </c>
      <c r="M1372" s="840">
        <f>'COMMERCIAL 2019 - 2021'!S1975</f>
        <v>0</v>
      </c>
      <c r="N1372" s="841"/>
      <c r="O1372" s="840">
        <f>'COMMERCIAL 2019 - 2021'!T1975</f>
        <v>0</v>
      </c>
      <c r="P1372" s="842"/>
      <c r="Q1372" s="840">
        <f>'COMMERCIAL 2019 - 2021'!U1975</f>
        <v>27600</v>
      </c>
    </row>
    <row r="1373" spans="1:17" s="1" customFormat="1" ht="11.45">
      <c r="A1373" s="837" t="str">
        <f>'COMMERCIAL 2019 - 2021'!D1976</f>
        <v>FAE-25-00096</v>
      </c>
      <c r="B1373" s="838">
        <f>'COMMERCIAL 2019 - 2021'!F1976</f>
        <v>45751</v>
      </c>
      <c r="C1373" s="839">
        <f>'COMMERCIAL 2019 - 2021'!G1976</f>
        <v>2025</v>
      </c>
      <c r="D1373" s="839" t="str">
        <f>'COMMERCIAL 2019 - 2021'!H1976</f>
        <v>ce2149</v>
      </c>
      <c r="E1373" s="839" t="str">
        <f>'COMMERCIAL 2019 - 2021'!I1976</f>
        <v>DAVIS TRADING CO LTD</v>
      </c>
      <c r="F1373" s="839" t="str">
        <f>'COMMERCIAL 2019 - 2021'!N1976</f>
        <v>OUI</v>
      </c>
      <c r="G1373" s="839" t="str">
        <f>'COMMERCIAL 2019 - 2021'!O1976</f>
        <v>New Zealand</v>
      </c>
      <c r="H1373" s="838">
        <f>'COMMERCIAL 2019 - 2021'!P1976</f>
        <v>45806</v>
      </c>
      <c r="I1373" s="840">
        <f>'COMMERCIAL 2019 - 2021'!Q1976</f>
        <v>5000</v>
      </c>
      <c r="J1373" s="841"/>
      <c r="K1373" s="840">
        <f>'COMMERCIAL 2019 - 2021'!R1976</f>
        <v>22370</v>
      </c>
      <c r="L1373" s="841"/>
      <c r="M1373" s="840">
        <f>'COMMERCIAL 2019 - 2021'!S1976</f>
        <v>0</v>
      </c>
      <c r="N1373" s="841"/>
      <c r="O1373" s="840">
        <f>'COMMERCIAL 2019 - 2021'!T1976</f>
        <v>0</v>
      </c>
      <c r="P1373" s="842"/>
      <c r="Q1373" s="840">
        <f>'COMMERCIAL 2019 - 2021'!U1976</f>
        <v>27370</v>
      </c>
    </row>
    <row r="1374" spans="1:17" s="1" customFormat="1" ht="11.45">
      <c r="A1374" s="837" t="str">
        <f>'COMMERCIAL 2019 - 2021'!D1977</f>
        <v>FAE-25-00097</v>
      </c>
      <c r="B1374" s="895">
        <f>'COMMERCIAL 2019 - 2021'!F1977</f>
        <v>45751</v>
      </c>
      <c r="C1374" s="839">
        <f>'COMMERCIAL 2019 - 2021'!G1977</f>
        <v>2025</v>
      </c>
      <c r="D1374" s="839" t="str">
        <f>'COMMERCIAL 2019 - 2021'!H1977</f>
        <v>CE2292</v>
      </c>
      <c r="E1374" s="839" t="str">
        <f>'COMMERCIAL 2019 - 2021'!I1977</f>
        <v>RIVEXIA</v>
      </c>
      <c r="F1374" s="839" t="str">
        <f>'COMMERCIAL 2019 - 2021'!N1977</f>
        <v>OUI</v>
      </c>
      <c r="G1374" s="839" t="str">
        <f>'COMMERCIAL 2019 - 2021'!O1977</f>
        <v>Burkina Faso</v>
      </c>
      <c r="H1374" s="838">
        <f>'COMMERCIAL 2019 - 2021'!P1977</f>
        <v>45763</v>
      </c>
      <c r="I1374" s="840">
        <f>'COMMERCIAL 2019 - 2021'!Q1977</f>
        <v>38400</v>
      </c>
      <c r="J1374" s="870">
        <v>1</v>
      </c>
      <c r="K1374" s="840">
        <f>'COMMERCIAL 2019 - 2021'!R1977</f>
        <v>0</v>
      </c>
      <c r="L1374" s="841"/>
      <c r="M1374" s="840">
        <f>'COMMERCIAL 2019 - 2021'!S1977</f>
        <v>0</v>
      </c>
      <c r="N1374" s="841"/>
      <c r="O1374" s="840">
        <f>'COMMERCIAL 2019 - 2021'!T1977</f>
        <v>0</v>
      </c>
      <c r="P1374" s="842"/>
      <c r="Q1374" s="840">
        <f>'COMMERCIAL 2019 - 2021'!U1977</f>
        <v>38400</v>
      </c>
    </row>
    <row r="1375" spans="1:17" s="1" customFormat="1" ht="11.45">
      <c r="A1375" s="837" t="str">
        <f>'COMMERCIAL 2019 - 2021'!D1978</f>
        <v>FAE-25-00098</v>
      </c>
      <c r="B1375" s="895">
        <f>'COMMERCIAL 2019 - 2021'!F1978</f>
        <v>45751</v>
      </c>
      <c r="C1375" s="839">
        <f>'COMMERCIAL 2019 - 2021'!G1978</f>
        <v>2025</v>
      </c>
      <c r="D1375" s="839" t="str">
        <f>'COMMERCIAL 2019 - 2021'!H1978</f>
        <v>CE2017</v>
      </c>
      <c r="E1375" s="839" t="str">
        <f>'COMMERCIAL 2019 - 2021'!I1978</f>
        <v>SAHEL INTERNATIONAL TRADE</v>
      </c>
      <c r="F1375" s="839" t="str">
        <f>'COMMERCIAL 2019 - 2021'!N1978</f>
        <v>OUI</v>
      </c>
      <c r="G1375" s="839" t="str">
        <f>'COMMERCIAL 2019 - 2021'!O1978</f>
        <v>Burkina Faso</v>
      </c>
      <c r="H1375" s="838">
        <f>'COMMERCIAL 2019 - 2021'!P1978</f>
        <v>45775</v>
      </c>
      <c r="I1375" s="840">
        <f>'COMMERCIAL 2019 - 2021'!Q1978</f>
        <v>38400</v>
      </c>
      <c r="J1375" s="870">
        <v>1</v>
      </c>
      <c r="K1375" s="840">
        <f>'COMMERCIAL 2019 - 2021'!R1978</f>
        <v>0</v>
      </c>
      <c r="L1375" s="841"/>
      <c r="M1375" s="840">
        <f>'COMMERCIAL 2019 - 2021'!S1978</f>
        <v>0</v>
      </c>
      <c r="N1375" s="841"/>
      <c r="O1375" s="840">
        <f>'COMMERCIAL 2019 - 2021'!T1978</f>
        <v>0</v>
      </c>
      <c r="P1375" s="842"/>
      <c r="Q1375" s="840">
        <f>'COMMERCIAL 2019 - 2021'!U1978</f>
        <v>38400</v>
      </c>
    </row>
    <row r="1376" spans="1:17" s="1" customFormat="1" ht="11.45">
      <c r="A1376" s="837" t="str">
        <f>'COMMERCIAL 2019 - 2021'!D1979</f>
        <v>FAE-25-00099</v>
      </c>
      <c r="B1376" s="895">
        <f>'COMMERCIAL 2019 - 2021'!F1979</f>
        <v>45751</v>
      </c>
      <c r="C1376" s="839">
        <f>'COMMERCIAL 2019 - 2021'!G1979</f>
        <v>2025</v>
      </c>
      <c r="D1376" s="839" t="str">
        <f>'COMMERCIAL 2019 - 2021'!H1979</f>
        <v>CE2097</v>
      </c>
      <c r="E1376" s="839" t="str">
        <f>'COMMERCIAL 2019 - 2021'!I1979</f>
        <v>JP BEEMSTERBOER BV</v>
      </c>
      <c r="F1376" s="839" t="str">
        <f>'COMMERCIAL 2019 - 2021'!N1979</f>
        <v>OUI</v>
      </c>
      <c r="G1376" s="839" t="str">
        <f>'COMMERCIAL 2019 - 2021'!O1979</f>
        <v>Sierra Leone</v>
      </c>
      <c r="H1376" s="838">
        <f>'COMMERCIAL 2019 - 2021'!P1979</f>
        <v>45762</v>
      </c>
      <c r="I1376" s="840">
        <f>'COMMERCIAL 2019 - 2021'!Q1979</f>
        <v>110040</v>
      </c>
      <c r="J1376" s="870">
        <v>1</v>
      </c>
      <c r="K1376" s="840">
        <f>'COMMERCIAL 2019 - 2021'!R1979</f>
        <v>0</v>
      </c>
      <c r="L1376" s="841"/>
      <c r="M1376" s="840">
        <f>'COMMERCIAL 2019 - 2021'!S1979</f>
        <v>0</v>
      </c>
      <c r="N1376" s="841"/>
      <c r="O1376" s="840">
        <f>'COMMERCIAL 2019 - 2021'!T1979</f>
        <v>0</v>
      </c>
      <c r="P1376" s="842"/>
      <c r="Q1376" s="840">
        <f>'COMMERCIAL 2019 - 2021'!U1979</f>
        <v>110040</v>
      </c>
    </row>
    <row r="1377" spans="1:17" s="1" customFormat="1" ht="11.45">
      <c r="A1377" s="837" t="str">
        <f>'COMMERCIAL 2019 - 2021'!D1980</f>
        <v>FAE-25-00100</v>
      </c>
      <c r="B1377" s="895">
        <f>'COMMERCIAL 2019 - 2021'!F1980</f>
        <v>45751</v>
      </c>
      <c r="C1377" s="839">
        <f>'COMMERCIAL 2019 - 2021'!G1980</f>
        <v>2025</v>
      </c>
      <c r="D1377" s="839" t="str">
        <f>'COMMERCIAL 2019 - 2021'!H1980</f>
        <v>CE22100</v>
      </c>
      <c r="E1377" s="839" t="str">
        <f>'COMMERCIAL 2019 - 2021'!I1980</f>
        <v>UBL</v>
      </c>
      <c r="F1377" s="839" t="str">
        <f>'COMMERCIAL 2019 - 2021'!N1980</f>
        <v>OUI</v>
      </c>
      <c r="G1377" s="839" t="str">
        <f>'COMMERCIAL 2019 - 2021'!O1980</f>
        <v>Qatar</v>
      </c>
      <c r="H1377" s="838">
        <f>'COMMERCIAL 2019 - 2021'!P1980</f>
        <v>45773</v>
      </c>
      <c r="I1377" s="840">
        <f>'COMMERCIAL 2019 - 2021'!Q1980</f>
        <v>0</v>
      </c>
      <c r="J1377" s="841"/>
      <c r="K1377" s="840">
        <f>'COMMERCIAL 2019 - 2021'!R1980</f>
        <v>12900</v>
      </c>
      <c r="L1377" s="870">
        <v>1</v>
      </c>
      <c r="M1377" s="840">
        <f>'COMMERCIAL 2019 - 2021'!S1980</f>
        <v>0</v>
      </c>
      <c r="N1377" s="841"/>
      <c r="O1377" s="840">
        <f>'COMMERCIAL 2019 - 2021'!T1980</f>
        <v>3800</v>
      </c>
      <c r="P1377" s="870">
        <v>1</v>
      </c>
      <c r="Q1377" s="840">
        <f>'COMMERCIAL 2019 - 2021'!U1980</f>
        <v>16700</v>
      </c>
    </row>
    <row r="1378" spans="1:17" s="1" customFormat="1" ht="11.45">
      <c r="A1378" s="837" t="str">
        <f>'COMMERCIAL 2019 - 2021'!D1981</f>
        <v>FAE-25-00101</v>
      </c>
      <c r="B1378" s="895">
        <f>'COMMERCIAL 2019 - 2021'!F1981</f>
        <v>45751</v>
      </c>
      <c r="C1378" s="839">
        <f>'COMMERCIAL 2019 - 2021'!G1981</f>
        <v>2025</v>
      </c>
      <c r="D1378" s="839" t="str">
        <f>'COMMERCIAL 2019 - 2021'!H1981</f>
        <v>CE2168</v>
      </c>
      <c r="E1378" s="839" t="str">
        <f>'COMMERCIAL 2019 - 2021'!I1981</f>
        <v>STE OMEGA TRADING</v>
      </c>
      <c r="F1378" s="839" t="str">
        <f>'COMMERCIAL 2019 - 2021'!N1981</f>
        <v>OUI</v>
      </c>
      <c r="G1378" s="839" t="str">
        <f>'COMMERCIAL 2019 - 2021'!O1981</f>
        <v>Niger</v>
      </c>
      <c r="H1378" s="838">
        <f>'COMMERCIAL 2019 - 2021'!P1981</f>
        <v>45761</v>
      </c>
      <c r="I1378" s="840">
        <f>'COMMERCIAL 2019 - 2021'!Q1981</f>
        <v>0</v>
      </c>
      <c r="J1378" s="841"/>
      <c r="K1378" s="840">
        <f>'COMMERCIAL 2019 - 2021'!R1981</f>
        <v>0</v>
      </c>
      <c r="L1378" s="841"/>
      <c r="M1378" s="840">
        <f>'COMMERCIAL 2019 - 2021'!S1981</f>
        <v>275000</v>
      </c>
      <c r="N1378" s="841" t="s">
        <v>20347</v>
      </c>
      <c r="O1378" s="840">
        <f>'COMMERCIAL 2019 - 2021'!T1981</f>
        <v>0</v>
      </c>
      <c r="P1378" s="842"/>
      <c r="Q1378" s="840">
        <f>'COMMERCIAL 2019 - 2021'!U1981</f>
        <v>275000</v>
      </c>
    </row>
    <row r="1379" spans="1:17" s="1" customFormat="1" ht="11.45">
      <c r="A1379" s="837" t="str">
        <f>'COMMERCIAL 2019 - 2021'!D1982</f>
        <v>FAE-25-00102</v>
      </c>
      <c r="B1379" s="895">
        <f>'COMMERCIAL 2019 - 2021'!F1982</f>
        <v>45751</v>
      </c>
      <c r="C1379" s="839">
        <f>'COMMERCIAL 2019 - 2021'!G1982</f>
        <v>2025</v>
      </c>
      <c r="D1379" s="839" t="str">
        <f>'COMMERCIAL 2019 - 2021'!H1982</f>
        <v>CE2001</v>
      </c>
      <c r="E1379" s="839" t="str">
        <f>'COMMERCIAL 2019 - 2021'!I1982</f>
        <v>STE DE COMMERCE INTERNATIONAL</v>
      </c>
      <c r="F1379" s="839" t="str">
        <f>'COMMERCIAL 2019 - 2021'!N1982</f>
        <v>OUI</v>
      </c>
      <c r="G1379" s="839" t="str">
        <f>'COMMERCIAL 2019 - 2021'!O1982</f>
        <v>Sierra Leone</v>
      </c>
      <c r="H1379" s="838">
        <f>'COMMERCIAL 2019 - 2021'!P1982</f>
        <v>45765</v>
      </c>
      <c r="I1379" s="840">
        <f>'COMMERCIAL 2019 - 2021'!Q1982</f>
        <v>152832</v>
      </c>
      <c r="J1379" s="870">
        <v>1</v>
      </c>
      <c r="K1379" s="840">
        <f>'COMMERCIAL 2019 - 2021'!R1982</f>
        <v>18456</v>
      </c>
      <c r="L1379" s="841" t="s">
        <v>21173</v>
      </c>
      <c r="M1379" s="840">
        <f>'COMMERCIAL 2019 - 2021'!S1982</f>
        <v>0</v>
      </c>
      <c r="N1379" s="841"/>
      <c r="O1379" s="840">
        <f>'COMMERCIAL 2019 - 2021'!T1982</f>
        <v>0</v>
      </c>
      <c r="P1379" s="842"/>
      <c r="Q1379" s="840">
        <f>'COMMERCIAL 2019 - 2021'!U1982</f>
        <v>171288</v>
      </c>
    </row>
    <row r="1380" spans="1:17" s="1" customFormat="1" ht="11.45">
      <c r="A1380" s="837" t="str">
        <f>'COMMERCIAL 2019 - 2021'!D1983</f>
        <v>FAE-25-00103</v>
      </c>
      <c r="B1380" s="895">
        <f>'COMMERCIAL 2019 - 2021'!F1983</f>
        <v>45751</v>
      </c>
      <c r="C1380" s="839">
        <f>'COMMERCIAL 2019 - 2021'!G1983</f>
        <v>2025</v>
      </c>
      <c r="D1380" s="839" t="str">
        <f>'COMMERCIAL 2019 - 2021'!H1983</f>
        <v>CE2133</v>
      </c>
      <c r="E1380" s="839" t="str">
        <f>'COMMERCIAL 2019 - 2021'!I1983</f>
        <v>E.A.S.B. NAFA</v>
      </c>
      <c r="F1380" s="839" t="str">
        <f>'COMMERCIAL 2019 - 2021'!N1983</f>
        <v>OUI</v>
      </c>
      <c r="G1380" s="839" t="str">
        <f>'COMMERCIAL 2019 - 2021'!O1983</f>
        <v>Gambie</v>
      </c>
      <c r="H1380" s="838">
        <f>'COMMERCIAL 2019 - 2021'!P1983</f>
        <v>45763</v>
      </c>
      <c r="I1380" s="840">
        <f>'COMMERCIAL 2019 - 2021'!Q1983</f>
        <v>0</v>
      </c>
      <c r="J1380" s="841"/>
      <c r="K1380" s="840">
        <f>'COMMERCIAL 2019 - 2021'!R1983</f>
        <v>0</v>
      </c>
      <c r="L1380" s="841"/>
      <c r="M1380" s="840">
        <f>'COMMERCIAL 2019 - 2021'!S1983</f>
        <v>52000</v>
      </c>
      <c r="N1380" s="841" t="s">
        <v>20347</v>
      </c>
      <c r="O1380" s="840">
        <f>'COMMERCIAL 2019 - 2021'!T1983</f>
        <v>0</v>
      </c>
      <c r="P1380" s="842"/>
      <c r="Q1380" s="840">
        <f>'COMMERCIAL 2019 - 2021'!U1983</f>
        <v>52000</v>
      </c>
    </row>
    <row r="1381" spans="1:17" s="1" customFormat="1" ht="11.45">
      <c r="A1381" s="837" t="str">
        <f>'COMMERCIAL 2019 - 2021'!D1984</f>
        <v>FAE-25-00104</v>
      </c>
      <c r="B1381" s="895">
        <f>'COMMERCIAL 2019 - 2021'!F1984</f>
        <v>45751</v>
      </c>
      <c r="C1381" s="839">
        <f>'COMMERCIAL 2019 - 2021'!G1984</f>
        <v>2025</v>
      </c>
      <c r="D1381" s="839" t="str">
        <f>'COMMERCIAL 2019 - 2021'!H1984</f>
        <v>CE2133</v>
      </c>
      <c r="E1381" s="839" t="str">
        <f>'COMMERCIAL 2019 - 2021'!I1984</f>
        <v>E.A.S.B. NAFA</v>
      </c>
      <c r="F1381" s="839" t="str">
        <f>'COMMERCIAL 2019 - 2021'!N1984</f>
        <v>OUI</v>
      </c>
      <c r="G1381" s="839" t="str">
        <f>'COMMERCIAL 2019 - 2021'!O1984</f>
        <v>Gambie</v>
      </c>
      <c r="H1381" s="838">
        <f>'COMMERCIAL 2019 - 2021'!P1984</f>
        <v>45763</v>
      </c>
      <c r="I1381" s="840">
        <f>'COMMERCIAL 2019 - 2021'!Q1984</f>
        <v>0</v>
      </c>
      <c r="J1381" s="841"/>
      <c r="K1381" s="840">
        <f>'COMMERCIAL 2019 - 2021'!R1984</f>
        <v>41800</v>
      </c>
      <c r="L1381" s="841" t="s">
        <v>21173</v>
      </c>
      <c r="M1381" s="840">
        <f>'COMMERCIAL 2019 - 2021'!S1984</f>
        <v>0</v>
      </c>
      <c r="N1381" s="841"/>
      <c r="O1381" s="840">
        <f>'COMMERCIAL 2019 - 2021'!T1984</f>
        <v>0</v>
      </c>
      <c r="P1381" s="842"/>
      <c r="Q1381" s="840">
        <f>'COMMERCIAL 2019 - 2021'!U1984</f>
        <v>41800</v>
      </c>
    </row>
    <row r="1382" spans="1:17" s="1" customFormat="1" ht="11.45">
      <c r="A1382" s="837" t="str">
        <f>'COMMERCIAL 2019 - 2021'!D1985</f>
        <v>FAE-25-00105</v>
      </c>
      <c r="B1382" s="895">
        <f>'COMMERCIAL 2019 - 2021'!F1985</f>
        <v>45751</v>
      </c>
      <c r="C1382" s="839">
        <f>'COMMERCIAL 2019 - 2021'!G1985</f>
        <v>2025</v>
      </c>
      <c r="D1382" s="839" t="str">
        <f>'COMMERCIAL 2019 - 2021'!H1985</f>
        <v>CE2235</v>
      </c>
      <c r="E1382" s="839" t="str">
        <f>'COMMERCIAL 2019 - 2021'!I1985</f>
        <v>GREEN WORLD FOOD EXPRESS</v>
      </c>
      <c r="F1382" s="839" t="str">
        <f>'COMMERCIAL 2019 - 2021'!N1985</f>
        <v>OUI</v>
      </c>
      <c r="G1382" s="839" t="str">
        <f>'COMMERCIAL 2019 - 2021'!O1985</f>
        <v>Canada</v>
      </c>
      <c r="H1382" s="838">
        <f>'COMMERCIAL 2019 - 2021'!P1985</f>
        <v>45772</v>
      </c>
      <c r="I1382" s="840">
        <f>'COMMERCIAL 2019 - 2021'!Q1985</f>
        <v>0</v>
      </c>
      <c r="J1382" s="841"/>
      <c r="K1382" s="840">
        <f>'COMMERCIAL 2019 - 2021'!R1985</f>
        <v>47942</v>
      </c>
      <c r="L1382" s="870">
        <v>1</v>
      </c>
      <c r="M1382" s="840">
        <f>'COMMERCIAL 2019 - 2021'!S1985</f>
        <v>0</v>
      </c>
      <c r="N1382" s="841"/>
      <c r="O1382" s="840">
        <f>'COMMERCIAL 2019 - 2021'!T1985</f>
        <v>0</v>
      </c>
      <c r="P1382" s="842"/>
      <c r="Q1382" s="840">
        <f>'COMMERCIAL 2019 - 2021'!U1985</f>
        <v>47942</v>
      </c>
    </row>
    <row r="1383" spans="1:17" s="1" customFormat="1" ht="11.45">
      <c r="A1383" s="837" t="str">
        <f>'COMMERCIAL 2019 - 2021'!D1986</f>
        <v>FAE-25-00106</v>
      </c>
      <c r="B1383" s="895">
        <f>'COMMERCIAL 2019 - 2021'!F1986</f>
        <v>45751</v>
      </c>
      <c r="C1383" s="839">
        <f>'COMMERCIAL 2019 - 2021'!G1986</f>
        <v>2025</v>
      </c>
      <c r="D1383" s="839" t="str">
        <f>'COMMERCIAL 2019 - 2021'!H1986</f>
        <v>CE2247</v>
      </c>
      <c r="E1383" s="839" t="str">
        <f>'COMMERCIAL 2019 - 2021'!I1986</f>
        <v>MATMATA TRADING</v>
      </c>
      <c r="F1383" s="839" t="str">
        <f>'COMMERCIAL 2019 - 2021'!N1986</f>
        <v>OUI</v>
      </c>
      <c r="G1383" s="839" t="str">
        <f>'COMMERCIAL 2019 - 2021'!O1986</f>
        <v>Mauritanie</v>
      </c>
      <c r="H1383" s="838">
        <f>'COMMERCIAL 2019 - 2021'!P1986</f>
        <v>45764</v>
      </c>
      <c r="I1383" s="840">
        <f>'COMMERCIAL 2019 - 2021'!Q1986</f>
        <v>19200</v>
      </c>
      <c r="J1383" s="841"/>
      <c r="K1383" s="840">
        <f>'COMMERCIAL 2019 - 2021'!R1986</f>
        <v>0</v>
      </c>
      <c r="L1383" s="841"/>
      <c r="M1383" s="840">
        <f>'COMMERCIAL 2019 - 2021'!S1986</f>
        <v>0</v>
      </c>
      <c r="N1383" s="841"/>
      <c r="O1383" s="840">
        <f>'COMMERCIAL 2019 - 2021'!T1986</f>
        <v>0</v>
      </c>
      <c r="P1383" s="842"/>
      <c r="Q1383" s="840">
        <f>'COMMERCIAL 2019 - 2021'!U1986</f>
        <v>19200</v>
      </c>
    </row>
    <row r="1384" spans="1:17" s="1" customFormat="1" ht="11.45">
      <c r="A1384" s="837" t="str">
        <f>'COMMERCIAL 2019 - 2021'!D1987</f>
        <v>FAE-25-00107</v>
      </c>
      <c r="B1384" s="895">
        <f>'COMMERCIAL 2019 - 2021'!F1987</f>
        <v>45751</v>
      </c>
      <c r="C1384" s="839">
        <f>'COMMERCIAL 2019 - 2021'!G1987</f>
        <v>2025</v>
      </c>
      <c r="D1384" s="839" t="str">
        <f>'COMMERCIAL 2019 - 2021'!H1987</f>
        <v>CE2247</v>
      </c>
      <c r="E1384" s="839" t="str">
        <f>'COMMERCIAL 2019 - 2021'!I1987</f>
        <v>MATMATA TRADING</v>
      </c>
      <c r="F1384" s="839" t="str">
        <f>'COMMERCIAL 2019 - 2021'!N1987</f>
        <v>OUI</v>
      </c>
      <c r="G1384" s="839" t="str">
        <f>'COMMERCIAL 2019 - 2021'!O1987</f>
        <v>Mauritanie</v>
      </c>
      <c r="H1384" s="838">
        <f>'COMMERCIAL 2019 - 2021'!P1987</f>
        <v>45770</v>
      </c>
      <c r="I1384" s="840">
        <f>'COMMERCIAL 2019 - 2021'!Q1987</f>
        <v>0</v>
      </c>
      <c r="J1384" s="841"/>
      <c r="K1384" s="840">
        <f>'COMMERCIAL 2019 - 2021'!R1987</f>
        <v>56000</v>
      </c>
      <c r="L1384" s="841" t="s">
        <v>21173</v>
      </c>
      <c r="M1384" s="840">
        <f>'COMMERCIAL 2019 - 2021'!S1987</f>
        <v>0</v>
      </c>
      <c r="N1384" s="841"/>
      <c r="O1384" s="840">
        <f>'COMMERCIAL 2019 - 2021'!T1987</f>
        <v>0</v>
      </c>
      <c r="P1384" s="842"/>
      <c r="Q1384" s="840">
        <f>'COMMERCIAL 2019 - 2021'!U1987</f>
        <v>56000</v>
      </c>
    </row>
    <row r="1385" spans="1:17" s="1" customFormat="1" ht="11.45">
      <c r="A1385" s="837" t="str">
        <f>'COMMERCIAL 2019 - 2021'!D1988</f>
        <v>FAE-25-00108</v>
      </c>
      <c r="B1385" s="895">
        <f>'COMMERCIAL 2019 - 2021'!F1988</f>
        <v>45751</v>
      </c>
      <c r="C1385" s="839">
        <f>'COMMERCIAL 2019 - 2021'!G1988</f>
        <v>2025</v>
      </c>
      <c r="D1385" s="839" t="str">
        <f>'COMMERCIAL 2019 - 2021'!H1988</f>
        <v>CE2261</v>
      </c>
      <c r="E1385" s="839" t="str">
        <f>'COMMERCIAL 2019 - 2021'!I1988</f>
        <v>MARCOM INTERN</v>
      </c>
      <c r="F1385" s="839" t="str">
        <f>'COMMERCIAL 2019 - 2021'!N1988</f>
        <v>OUI</v>
      </c>
      <c r="G1385" s="839" t="str">
        <f>'COMMERCIAL 2019 - 2021'!O1988</f>
        <v>Burkina Faso</v>
      </c>
      <c r="H1385" s="838">
        <f>'COMMERCIAL 2019 - 2021'!P1988</f>
        <v>45777</v>
      </c>
      <c r="I1385" s="840">
        <f>'COMMERCIAL 2019 - 2021'!Q1988</f>
        <v>76800</v>
      </c>
      <c r="J1385" s="870">
        <v>1</v>
      </c>
      <c r="K1385" s="840">
        <f>'COMMERCIAL 2019 - 2021'!R1988</f>
        <v>0</v>
      </c>
      <c r="L1385" s="841"/>
      <c r="M1385" s="840">
        <f>'COMMERCIAL 2019 - 2021'!S1988</f>
        <v>0</v>
      </c>
      <c r="N1385" s="841"/>
      <c r="O1385" s="840">
        <f>'COMMERCIAL 2019 - 2021'!T1988</f>
        <v>0</v>
      </c>
      <c r="P1385" s="842"/>
      <c r="Q1385" s="840">
        <f>'COMMERCIAL 2019 - 2021'!U1988</f>
        <v>76800</v>
      </c>
    </row>
    <row r="1386" spans="1:17" s="1" customFormat="1" ht="11.45">
      <c r="A1386" s="837" t="str">
        <f>'COMMERCIAL 2019 - 2021'!D1989</f>
        <v>FAE-25-00109</v>
      </c>
      <c r="B1386" s="838" t="str">
        <f>'COMMERCIAL 2019 - 2021'!F1989</f>
        <v>14/04/2025</v>
      </c>
      <c r="C1386" s="839">
        <f>'COMMERCIAL 2019 - 2021'!G1989</f>
        <v>2025</v>
      </c>
      <c r="D1386" s="839" t="str">
        <f>'COMMERCIAL 2019 - 2021'!H1989</f>
        <v>CE2261</v>
      </c>
      <c r="E1386" s="839" t="str">
        <f>'COMMERCIAL 2019 - 2021'!I1989</f>
        <v>MARCOM INTERN</v>
      </c>
      <c r="F1386" s="839" t="str">
        <f>'COMMERCIAL 2019 - 2021'!N1989</f>
        <v>OUI</v>
      </c>
      <c r="G1386" s="839" t="str">
        <f>'COMMERCIAL 2019 - 2021'!O1989</f>
        <v>Senegal</v>
      </c>
      <c r="H1386" s="838">
        <f>'COMMERCIAL 2019 - 2021'!P1989</f>
        <v>45777</v>
      </c>
      <c r="I1386" s="840">
        <f>'COMMERCIAL 2019 - 2021'!Q1989</f>
        <v>46000</v>
      </c>
      <c r="J1386" s="841"/>
      <c r="K1386" s="840">
        <f>'COMMERCIAL 2019 - 2021'!R1989</f>
        <v>45000</v>
      </c>
      <c r="L1386" s="841" t="s">
        <v>20347</v>
      </c>
      <c r="M1386" s="840">
        <f>'COMMERCIAL 2019 - 2021'!S1989</f>
        <v>400000</v>
      </c>
      <c r="N1386" s="841"/>
      <c r="O1386" s="840">
        <f>'COMMERCIAL 2019 - 2021'!T1989</f>
        <v>0</v>
      </c>
      <c r="P1386" s="842"/>
      <c r="Q1386" s="840">
        <f>'COMMERCIAL 2019 - 2021'!U1989</f>
        <v>491000</v>
      </c>
    </row>
    <row r="1387" spans="1:17" s="1" customFormat="1" ht="11.45">
      <c r="A1387" s="837"/>
      <c r="B1387" s="838"/>
      <c r="C1387" s="839"/>
      <c r="D1387" s="839"/>
      <c r="E1387" s="839"/>
      <c r="F1387" s="839"/>
      <c r="G1387" s="839"/>
      <c r="H1387" s="838"/>
      <c r="I1387" s="840"/>
      <c r="J1387" s="841"/>
      <c r="K1387" s="840"/>
      <c r="L1387" s="841"/>
      <c r="M1387" s="840"/>
      <c r="N1387" s="841"/>
      <c r="O1387" s="840"/>
      <c r="P1387" s="842"/>
      <c r="Q1387" s="840"/>
    </row>
    <row r="1388" spans="1:17">
      <c r="A1388" s="892" t="str">
        <f>'COMMERCIAL 2019 - 2021'!D1990</f>
        <v>FAE-25-00110</v>
      </c>
      <c r="B1388" s="896">
        <f>'COMMERCIAL 2019 - 2021'!F1990</f>
        <v>45761</v>
      </c>
      <c r="C1388" s="23">
        <f>'COMMERCIAL 2019 - 2021'!G1990</f>
        <v>2025</v>
      </c>
      <c r="D1388" s="23" t="str">
        <f>'COMMERCIAL 2019 - 2021'!H1990</f>
        <v>CE2137</v>
      </c>
      <c r="E1388" s="23" t="str">
        <f>'COMMERCIAL 2019 - 2021'!I1990</f>
        <v>TUNISIAN AFRICAN BUSINESS</v>
      </c>
      <c r="F1388" s="23" t="str">
        <f>'COMMERCIAL 2019 - 2021'!N1990</f>
        <v>OUI</v>
      </c>
      <c r="G1388" s="23" t="str">
        <f>'COMMERCIAL 2019 - 2021'!O1990</f>
        <v>Senegal</v>
      </c>
      <c r="H1388" s="893">
        <f>'COMMERCIAL 2019 - 2021'!P1990</f>
        <v>45771</v>
      </c>
      <c r="I1388" s="15">
        <f>'COMMERCIAL 2019 - 2021'!Q1990</f>
        <v>0</v>
      </c>
      <c r="J1388" s="894"/>
      <c r="K1388" s="15">
        <f>'COMMERCIAL 2019 - 2021'!R1990</f>
        <v>180000</v>
      </c>
      <c r="L1388" s="841" t="s">
        <v>20347</v>
      </c>
      <c r="M1388" s="15">
        <f>'COMMERCIAL 2019 - 2021'!S1990</f>
        <v>0</v>
      </c>
      <c r="N1388" s="295"/>
      <c r="O1388" s="15">
        <f>'COMMERCIAL 2019 - 2021'!T1990</f>
        <v>0</v>
      </c>
      <c r="P1388" s="16"/>
      <c r="Q1388" s="15">
        <f>'COMMERCIAL 2019 - 2021'!U1990</f>
        <v>180000</v>
      </c>
    </row>
    <row r="1389" spans="1:17">
      <c r="A1389" s="892" t="str">
        <f>'COMMERCIAL 2019 - 2021'!D1991</f>
        <v>FAE-25-00111</v>
      </c>
      <c r="B1389" s="896">
        <f>'COMMERCIAL 2019 - 2021'!F1991</f>
        <v>45761</v>
      </c>
      <c r="C1389" s="23">
        <f>'COMMERCIAL 2019 - 2021'!G1991</f>
        <v>2025</v>
      </c>
      <c r="D1389" s="23" t="str">
        <f>'COMMERCIAL 2019 - 2021'!H1991</f>
        <v>CE2240</v>
      </c>
      <c r="E1389" s="23" t="str">
        <f>'COMMERCIAL 2019 - 2021'!I1991</f>
        <v>RNK DISTRIBUTION</v>
      </c>
      <c r="F1389" s="23" t="str">
        <f>'COMMERCIAL 2019 - 2021'!N1991</f>
        <v>OUI</v>
      </c>
      <c r="G1389" s="23" t="str">
        <f>'COMMERCIAL 2019 - 2021'!O1991</f>
        <v>Madagascar</v>
      </c>
      <c r="H1389" s="893">
        <f>'COMMERCIAL 2019 - 2021'!P1991</f>
        <v>45765</v>
      </c>
      <c r="I1389" s="15">
        <f>'COMMERCIAL 2019 - 2021'!Q1991</f>
        <v>0</v>
      </c>
      <c r="J1389" s="894"/>
      <c r="K1389" s="15">
        <f>'COMMERCIAL 2019 - 2021'!R1991</f>
        <v>25200</v>
      </c>
      <c r="L1389" s="841" t="s">
        <v>21174</v>
      </c>
      <c r="M1389" s="15">
        <f>'COMMERCIAL 2019 - 2021'!S1991</f>
        <v>30800</v>
      </c>
      <c r="N1389" s="841" t="s">
        <v>20347</v>
      </c>
      <c r="O1389" s="15">
        <f>'COMMERCIAL 2019 - 2021'!T1991</f>
        <v>0</v>
      </c>
      <c r="P1389" s="16"/>
      <c r="Q1389" s="15">
        <f>'COMMERCIAL 2019 - 2021'!U1991</f>
        <v>56000</v>
      </c>
    </row>
    <row r="1390" spans="1:17">
      <c r="A1390" s="892" t="str">
        <f>'COMMERCIAL 2019 - 2021'!D1992</f>
        <v>FAE-25-00112</v>
      </c>
      <c r="B1390" s="896">
        <f>'COMMERCIAL 2019 - 2021'!F1992</f>
        <v>45761</v>
      </c>
      <c r="C1390" s="23">
        <f>'COMMERCIAL 2019 - 2021'!G1992</f>
        <v>2025</v>
      </c>
      <c r="D1390" s="23" t="str">
        <f>'COMMERCIAL 2019 - 2021'!H1992</f>
        <v>CE2168</v>
      </c>
      <c r="E1390" s="23" t="str">
        <f>'COMMERCIAL 2019 - 2021'!I1992</f>
        <v>STE OMEGA TRADING</v>
      </c>
      <c r="F1390" s="23" t="str">
        <f>'COMMERCIAL 2019 - 2021'!N1992</f>
        <v>OUI</v>
      </c>
      <c r="G1390" s="23" t="str">
        <f>'COMMERCIAL 2019 - 2021'!O1992</f>
        <v>Niger</v>
      </c>
      <c r="H1390" s="893">
        <f>'COMMERCIAL 2019 - 2021'!P1992</f>
        <v>45784</v>
      </c>
      <c r="I1390" s="15">
        <f>'COMMERCIAL 2019 - 2021'!Q1992</f>
        <v>39200</v>
      </c>
      <c r="J1390" s="870">
        <v>1</v>
      </c>
      <c r="K1390" s="15">
        <f>'COMMERCIAL 2019 - 2021'!R1992</f>
        <v>0</v>
      </c>
      <c r="L1390" s="295"/>
      <c r="M1390" s="15">
        <f>'COMMERCIAL 2019 - 2021'!S1992</f>
        <v>0</v>
      </c>
      <c r="N1390" s="295"/>
      <c r="O1390" s="15">
        <f>'COMMERCIAL 2019 - 2021'!T1992</f>
        <v>0</v>
      </c>
      <c r="P1390" s="16"/>
      <c r="Q1390" s="15">
        <f>'COMMERCIAL 2019 - 2021'!U1992</f>
        <v>39200</v>
      </c>
    </row>
    <row r="1391" spans="1:17">
      <c r="A1391" s="892" t="str">
        <f>'COMMERCIAL 2019 - 2021'!D1993</f>
        <v>FAE-25-00113</v>
      </c>
      <c r="B1391" s="896">
        <f>'COMMERCIAL 2019 - 2021'!F1993</f>
        <v>45761</v>
      </c>
      <c r="C1391" s="23">
        <f>'COMMERCIAL 2019 - 2021'!G1993</f>
        <v>2025</v>
      </c>
      <c r="D1391" s="23" t="str">
        <f>'COMMERCIAL 2019 - 2021'!H1993</f>
        <v>CE2017</v>
      </c>
      <c r="E1391" s="23" t="str">
        <f>'COMMERCIAL 2019 - 2021'!I1993</f>
        <v>SAHEL INTERNATIONAL TRADE</v>
      </c>
      <c r="F1391" s="23" t="str">
        <f>'COMMERCIAL 2019 - 2021'!N1993</f>
        <v>OUI</v>
      </c>
      <c r="G1391" s="23" t="str">
        <f>'COMMERCIAL 2019 - 2021'!O1993</f>
        <v>Niger</v>
      </c>
      <c r="H1391" s="893" t="str">
        <f>'COMMERCIAL 2019 - 2021'!P1993</f>
        <v>30/04/2025&amp;07/05/2025</v>
      </c>
      <c r="I1391" s="15">
        <f>'COMMERCIAL 2019 - 2021'!Q1993</f>
        <v>0</v>
      </c>
      <c r="J1391" s="894"/>
      <c r="K1391" s="15">
        <f>'COMMERCIAL 2019 - 2021'!R1993</f>
        <v>0</v>
      </c>
      <c r="L1391" s="295"/>
      <c r="M1391" s="15">
        <f>'COMMERCIAL 2019 - 2021'!S1993</f>
        <v>275000</v>
      </c>
      <c r="N1391" s="841" t="s">
        <v>20347</v>
      </c>
      <c r="O1391" s="15">
        <f>'COMMERCIAL 2019 - 2021'!T1993</f>
        <v>0</v>
      </c>
      <c r="P1391" s="16"/>
      <c r="Q1391" s="15">
        <f>'COMMERCIAL 2019 - 2021'!U1993</f>
        <v>275000</v>
      </c>
    </row>
    <row r="1392" spans="1:17">
      <c r="A1392" s="892" t="str">
        <f>'COMMERCIAL 2019 - 2021'!D1994</f>
        <v>FAE-25-00114</v>
      </c>
      <c r="B1392" s="896" t="str">
        <f>'COMMERCIAL 2019 - 2021'!F1994</f>
        <v>14/04/2025</v>
      </c>
      <c r="C1392" s="23">
        <f>'COMMERCIAL 2019 - 2021'!G1994</f>
        <v>2025</v>
      </c>
      <c r="D1392" s="23" t="str">
        <f>'COMMERCIAL 2019 - 2021'!H1994</f>
        <v>CE22100</v>
      </c>
      <c r="E1392" s="23" t="str">
        <f>'COMMERCIAL 2019 - 2021'!I1994</f>
        <v>UBL</v>
      </c>
      <c r="F1392" s="23" t="str">
        <f>'COMMERCIAL 2019 - 2021'!N1994</f>
        <v>OUI</v>
      </c>
      <c r="G1392" s="23" t="str">
        <f>'COMMERCIAL 2019 - 2021'!O1994</f>
        <v>Qatar</v>
      </c>
      <c r="H1392" s="893">
        <f>'COMMERCIAL 2019 - 2021'!P1994</f>
        <v>45800</v>
      </c>
      <c r="I1392" s="15">
        <f>'COMMERCIAL 2019 - 2021'!Q1994</f>
        <v>8400</v>
      </c>
      <c r="J1392" s="870">
        <v>1</v>
      </c>
      <c r="K1392" s="15">
        <f>'COMMERCIAL 2019 - 2021'!R1994</f>
        <v>0</v>
      </c>
      <c r="L1392" s="295"/>
      <c r="M1392" s="15">
        <f>'COMMERCIAL 2019 - 2021'!S1994</f>
        <v>0</v>
      </c>
      <c r="N1392" s="295"/>
      <c r="O1392" s="15">
        <f>'COMMERCIAL 2019 - 2021'!T1994</f>
        <v>0</v>
      </c>
      <c r="P1392" s="16"/>
      <c r="Q1392" s="15">
        <f>'COMMERCIAL 2019 - 2021'!U1994</f>
        <v>8400</v>
      </c>
    </row>
    <row r="1393" spans="1:17">
      <c r="A1393" s="892" t="str">
        <f>'COMMERCIAL 2019 - 2021'!D1995</f>
        <v>FAE-25-00115</v>
      </c>
      <c r="B1393" s="896">
        <f>'COMMERCIAL 2019 - 2021'!F1995</f>
        <v>45761</v>
      </c>
      <c r="C1393" s="23">
        <f>'COMMERCIAL 2019 - 2021'!G1995</f>
        <v>2025</v>
      </c>
      <c r="D1393" s="23" t="str">
        <f>'COMMERCIAL 2019 - 2021'!H1995</f>
        <v>CE2257</v>
      </c>
      <c r="E1393" s="23" t="str">
        <f>'COMMERCIAL 2019 - 2021'!I1995</f>
        <v>LAMP FALL IMP EXP - LAFFIMEX</v>
      </c>
      <c r="F1393" s="23" t="str">
        <f>'COMMERCIAL 2019 - 2021'!N1995</f>
        <v>OUI</v>
      </c>
      <c r="G1393" s="23" t="str">
        <f>'COMMERCIAL 2019 - 2021'!O1995</f>
        <v>Senegal</v>
      </c>
      <c r="H1393" s="893">
        <f>'COMMERCIAL 2019 - 2021'!P1995</f>
        <v>45775</v>
      </c>
      <c r="I1393" s="15">
        <f>'COMMERCIAL 2019 - 2021'!Q1995</f>
        <v>192000</v>
      </c>
      <c r="J1393" s="870">
        <v>1</v>
      </c>
      <c r="K1393" s="15">
        <f>'COMMERCIAL 2019 - 2021'!R1995</f>
        <v>0</v>
      </c>
      <c r="L1393" s="295"/>
      <c r="M1393" s="15">
        <f>'COMMERCIAL 2019 - 2021'!S1995</f>
        <v>0</v>
      </c>
      <c r="N1393" s="295"/>
      <c r="O1393" s="15">
        <f>'COMMERCIAL 2019 - 2021'!T1995</f>
        <v>0</v>
      </c>
      <c r="P1393" s="16"/>
      <c r="Q1393" s="15">
        <f>'COMMERCIAL 2019 - 2021'!U1995</f>
        <v>192000</v>
      </c>
    </row>
    <row r="1394" spans="1:17">
      <c r="A1394" s="892" t="str">
        <f>'COMMERCIAL 2019 - 2021'!D1996</f>
        <v>FAE-25-00116</v>
      </c>
      <c r="B1394" s="896">
        <f>'COMMERCIAL 2019 - 2021'!F1996</f>
        <v>45761</v>
      </c>
      <c r="C1394" s="23">
        <f>'COMMERCIAL 2019 - 2021'!G1996</f>
        <v>2025</v>
      </c>
      <c r="D1394" s="23" t="str">
        <f>'COMMERCIAL 2019 - 2021'!H1996</f>
        <v>CE2275</v>
      </c>
      <c r="E1394" s="23" t="str">
        <f>'COMMERCIAL 2019 - 2021'!I1996</f>
        <v>SODIC</v>
      </c>
      <c r="F1394" s="23" t="str">
        <f>'COMMERCIAL 2019 - 2021'!N1996</f>
        <v>OUI</v>
      </c>
      <c r="G1394" s="23" t="str">
        <f>'COMMERCIAL 2019 - 2021'!O1996</f>
        <v>France</v>
      </c>
      <c r="H1394" s="893">
        <f>'COMMERCIAL 2019 - 2021'!P1996</f>
        <v>45764</v>
      </c>
      <c r="I1394" s="15">
        <f>'COMMERCIAL 2019 - 2021'!Q1996</f>
        <v>10080</v>
      </c>
      <c r="J1394" s="870">
        <v>1</v>
      </c>
      <c r="K1394" s="15">
        <f>'COMMERCIAL 2019 - 2021'!R1996</f>
        <v>2592</v>
      </c>
      <c r="L1394" s="870">
        <v>1</v>
      </c>
      <c r="M1394" s="15">
        <f>'COMMERCIAL 2019 - 2021'!S1996</f>
        <v>2400</v>
      </c>
      <c r="N1394" s="870">
        <v>1</v>
      </c>
      <c r="O1394" s="15">
        <f>'COMMERCIAL 2019 - 2021'!T1996</f>
        <v>2120</v>
      </c>
      <c r="P1394" s="870">
        <v>1</v>
      </c>
      <c r="Q1394" s="15">
        <f>'COMMERCIAL 2019 - 2021'!U1996</f>
        <v>17192</v>
      </c>
    </row>
    <row r="1395" spans="1:17">
      <c r="A1395" s="892" t="str">
        <f>'COMMERCIAL 2019 - 2021'!D1997</f>
        <v>FAE-25-00117</v>
      </c>
      <c r="B1395" s="896">
        <f>'COMMERCIAL 2019 - 2021'!F1997</f>
        <v>45762</v>
      </c>
      <c r="C1395" s="23">
        <f>'COMMERCIAL 2019 - 2021'!G1997</f>
        <v>2025</v>
      </c>
      <c r="D1395" s="23" t="str">
        <f>'COMMERCIAL 2019 - 2021'!H1997</f>
        <v>CE2275</v>
      </c>
      <c r="E1395" s="23" t="str">
        <f>'COMMERCIAL 2019 - 2021'!I1997</f>
        <v>SODIC</v>
      </c>
      <c r="F1395" s="23" t="str">
        <f>'COMMERCIAL 2019 - 2021'!N1997</f>
        <v>OUI</v>
      </c>
      <c r="G1395" s="23" t="str">
        <f>'COMMERCIAL 2019 - 2021'!O1997</f>
        <v>France</v>
      </c>
      <c r="H1395" s="893">
        <f>'COMMERCIAL 2019 - 2021'!P1997</f>
        <v>45764</v>
      </c>
      <c r="I1395" s="15">
        <f>'COMMERCIAL 2019 - 2021'!Q1997</f>
        <v>0</v>
      </c>
      <c r="J1395" s="894"/>
      <c r="K1395" s="15">
        <f>'COMMERCIAL 2019 - 2021'!R1997</f>
        <v>17040</v>
      </c>
      <c r="L1395" s="870">
        <v>1</v>
      </c>
      <c r="M1395" s="15">
        <f>'COMMERCIAL 2019 - 2021'!S1997</f>
        <v>1200</v>
      </c>
      <c r="N1395" s="870">
        <v>1</v>
      </c>
      <c r="O1395" s="15">
        <f>'COMMERCIAL 2019 - 2021'!T1997</f>
        <v>2240</v>
      </c>
      <c r="P1395" s="870">
        <v>1</v>
      </c>
      <c r="Q1395" s="15">
        <f>'COMMERCIAL 2019 - 2021'!U1997</f>
        <v>20480</v>
      </c>
    </row>
    <row r="1396" spans="1:17">
      <c r="A1396" s="892" t="str">
        <f>'COMMERCIAL 2019 - 2021'!D1998</f>
        <v>FAE-25-00118</v>
      </c>
      <c r="B1396" s="896" t="str">
        <f>'COMMERCIAL 2019 - 2021'!F1998</f>
        <v>23/04/2025</v>
      </c>
      <c r="C1396" s="23">
        <f>'COMMERCIAL 2019 - 2021'!G1998</f>
        <v>2025</v>
      </c>
      <c r="D1396" s="23" t="str">
        <f>'COMMERCIAL 2019 - 2021'!H1998</f>
        <v>CE2137</v>
      </c>
      <c r="E1396" s="23" t="str">
        <f>'COMMERCIAL 2019 - 2021'!I1998</f>
        <v>TUNISIAN AFRICAN BUSINESS</v>
      </c>
      <c r="F1396" s="23" t="str">
        <f>'COMMERCIAL 2019 - 2021'!N1998</f>
        <v>OUI</v>
      </c>
      <c r="G1396" s="23" t="str">
        <f>'COMMERCIAL 2019 - 2021'!O1998</f>
        <v>Senegal</v>
      </c>
      <c r="H1396" s="893">
        <f>'COMMERCIAL 2019 - 2021'!P1998</f>
        <v>45777</v>
      </c>
      <c r="I1396" s="15">
        <f>'COMMERCIAL 2019 - 2021'!Q1998</f>
        <v>0</v>
      </c>
      <c r="J1396" s="894"/>
      <c r="K1396" s="15">
        <f>'COMMERCIAL 2019 - 2021'!R1998</f>
        <v>157500</v>
      </c>
      <c r="L1396" s="841" t="s">
        <v>20347</v>
      </c>
      <c r="M1396" s="15">
        <f>'COMMERCIAL 2019 - 2021'!S1998</f>
        <v>0</v>
      </c>
      <c r="N1396" s="295"/>
      <c r="O1396" s="15">
        <f>'COMMERCIAL 2019 - 2021'!T1998</f>
        <v>0</v>
      </c>
      <c r="P1396" s="16"/>
      <c r="Q1396" s="15">
        <f>'COMMERCIAL 2019 - 2021'!U1998</f>
        <v>157500</v>
      </c>
    </row>
    <row r="1397" spans="1:17">
      <c r="A1397" s="892" t="str">
        <f>'COMMERCIAL 2019 - 2021'!D1999</f>
        <v>FAE-25-00119</v>
      </c>
      <c r="B1397" s="896" t="str">
        <f>'COMMERCIAL 2019 - 2021'!F1999</f>
        <v>23/04/2025</v>
      </c>
      <c r="C1397" s="23">
        <f>'COMMERCIAL 2019 - 2021'!G1999</f>
        <v>2025</v>
      </c>
      <c r="D1397" s="23" t="str">
        <f>'COMMERCIAL 2019 - 2021'!H1999</f>
        <v>CE2017</v>
      </c>
      <c r="E1397" s="23" t="str">
        <f>'COMMERCIAL 2019 - 2021'!I1999</f>
        <v>SAHEL INTERNATIONAL TRADE</v>
      </c>
      <c r="F1397" s="23" t="str">
        <f>'COMMERCIAL 2019 - 2021'!N1999</f>
        <v>OUI</v>
      </c>
      <c r="G1397" s="23" t="str">
        <f>'COMMERCIAL 2019 - 2021'!O1999</f>
        <v>Togo</v>
      </c>
      <c r="H1397" s="893">
        <f>'COMMERCIAL 2019 - 2021'!P1999</f>
        <v>45775</v>
      </c>
      <c r="I1397" s="15">
        <f>'COMMERCIAL 2019 - 2021'!Q1999</f>
        <v>41500</v>
      </c>
      <c r="J1397" s="870">
        <v>1</v>
      </c>
      <c r="K1397" s="15">
        <f>'COMMERCIAL 2019 - 2021'!R1999</f>
        <v>0</v>
      </c>
      <c r="L1397" s="295"/>
      <c r="M1397" s="15">
        <f>'COMMERCIAL 2019 - 2021'!S1999</f>
        <v>0</v>
      </c>
      <c r="N1397" s="295"/>
      <c r="O1397" s="15">
        <f>'COMMERCIAL 2019 - 2021'!T1999</f>
        <v>0</v>
      </c>
      <c r="P1397" s="16"/>
      <c r="Q1397" s="15">
        <f>'COMMERCIAL 2019 - 2021'!U1999</f>
        <v>41500</v>
      </c>
    </row>
    <row r="1398" spans="1:17">
      <c r="A1398" s="892" t="str">
        <f>'COMMERCIAL 2019 - 2021'!D2000</f>
        <v>FAE-25-00120</v>
      </c>
      <c r="B1398" s="896" t="str">
        <f>'COMMERCIAL 2019 - 2021'!F2000</f>
        <v>25/04/2025</v>
      </c>
      <c r="C1398" s="23">
        <f>'COMMERCIAL 2019 - 2021'!G2000</f>
        <v>2025</v>
      </c>
      <c r="D1398" s="23" t="str">
        <f>'COMMERCIAL 2019 - 2021'!H2000</f>
        <v>CE2295</v>
      </c>
      <c r="E1398" s="23" t="str">
        <f>'COMMERCIAL 2019 - 2021'!I2000</f>
        <v>ALMOSTAWRED ALJADEED CO. FOR IMPORT</v>
      </c>
      <c r="F1398" s="23" t="str">
        <f>'COMMERCIAL 2019 - 2021'!N2000</f>
        <v>OUI</v>
      </c>
      <c r="G1398" s="23" t="str">
        <f>'COMMERCIAL 2019 - 2021'!O2000</f>
        <v>Libye</v>
      </c>
      <c r="H1398" s="893">
        <f>'COMMERCIAL 2019 - 2021'!P2000</f>
        <v>45777</v>
      </c>
      <c r="I1398" s="15">
        <f>'COMMERCIAL 2019 - 2021'!Q2000</f>
        <v>0</v>
      </c>
      <c r="J1398" s="894"/>
      <c r="K1398" s="15">
        <f>'COMMERCIAL 2019 - 2021'!R2000</f>
        <v>201680</v>
      </c>
      <c r="L1398" s="359" t="s">
        <v>20345</v>
      </c>
      <c r="M1398" s="15">
        <f>'COMMERCIAL 2019 - 2021'!S2000</f>
        <v>38400</v>
      </c>
      <c r="N1398" s="359" t="s">
        <v>20345</v>
      </c>
      <c r="O1398" s="15">
        <f>'COMMERCIAL 2019 - 2021'!T2000</f>
        <v>0</v>
      </c>
      <c r="P1398" s="16"/>
      <c r="Q1398" s="15">
        <f>'COMMERCIAL 2019 - 2021'!U2000</f>
        <v>240080</v>
      </c>
    </row>
    <row r="1399" spans="1:17">
      <c r="A1399" s="892" t="str">
        <f>'COMMERCIAL 2019 - 2021'!D2001</f>
        <v>FAE-25-00121</v>
      </c>
      <c r="B1399" s="896" t="str">
        <f>'COMMERCIAL 2019 - 2021'!F2001</f>
        <v>29/04/2025</v>
      </c>
      <c r="C1399" s="23">
        <f>'COMMERCIAL 2019 - 2021'!G2001</f>
        <v>2025</v>
      </c>
      <c r="D1399" s="23" t="str">
        <f>'COMMERCIAL 2019 - 2021'!H2001</f>
        <v>CE2001</v>
      </c>
      <c r="E1399" s="23" t="str">
        <f>'COMMERCIAL 2019 - 2021'!I2001</f>
        <v>STE DE COMMERCE INTERNATIONAL</v>
      </c>
      <c r="F1399" s="23" t="str">
        <f>'COMMERCIAL 2019 - 2021'!N2001</f>
        <v>OUI</v>
      </c>
      <c r="G1399" s="23" t="str">
        <f>'COMMERCIAL 2019 - 2021'!O2001</f>
        <v>Burkina Faso</v>
      </c>
      <c r="H1399" s="893">
        <f>'COMMERCIAL 2019 - 2021'!P2001</f>
        <v>45785</v>
      </c>
      <c r="I1399" s="15">
        <f>'COMMERCIAL 2019 - 2021'!Q2001</f>
        <v>57600</v>
      </c>
      <c r="J1399" s="870">
        <v>1</v>
      </c>
      <c r="K1399" s="15">
        <f>'COMMERCIAL 2019 - 2021'!R2001</f>
        <v>0</v>
      </c>
      <c r="L1399" s="295"/>
      <c r="M1399" s="15">
        <f>'COMMERCIAL 2019 - 2021'!S2001</f>
        <v>0</v>
      </c>
      <c r="N1399" s="295"/>
      <c r="O1399" s="15">
        <f>'COMMERCIAL 2019 - 2021'!T2001</f>
        <v>0</v>
      </c>
      <c r="P1399" s="16"/>
      <c r="Q1399" s="15">
        <f>'COMMERCIAL 2019 - 2021'!U2001</f>
        <v>57600</v>
      </c>
    </row>
    <row r="1400" spans="1:17">
      <c r="A1400" s="892" t="str">
        <f>'COMMERCIAL 2019 - 2021'!D2002</f>
        <v>FAE-25-00122</v>
      </c>
      <c r="B1400" s="896">
        <f>'COMMERCIAL 2019 - 2021'!F2002</f>
        <v>45782</v>
      </c>
      <c r="C1400" s="23">
        <f>'COMMERCIAL 2019 - 2021'!G2002</f>
        <v>2025</v>
      </c>
      <c r="D1400" s="23" t="str">
        <f>'COMMERCIAL 2019 - 2021'!H2002</f>
        <v>CE2001</v>
      </c>
      <c r="E1400" s="23" t="str">
        <f>'COMMERCIAL 2019 - 2021'!I2002</f>
        <v>STE DE COMMERCE INTERNATIONAL</v>
      </c>
      <c r="F1400" s="23" t="str">
        <f>'COMMERCIAL 2019 - 2021'!N2002</f>
        <v>OUI</v>
      </c>
      <c r="G1400" s="23" t="str">
        <f>'COMMERCIAL 2019 - 2021'!O2002</f>
        <v>Gambie</v>
      </c>
      <c r="H1400" s="893">
        <f>'COMMERCIAL 2019 - 2021'!P2002</f>
        <v>45786</v>
      </c>
      <c r="I1400" s="15">
        <f>'COMMERCIAL 2019 - 2021'!Q2002</f>
        <v>76800</v>
      </c>
      <c r="J1400" s="870">
        <v>1</v>
      </c>
      <c r="K1400" s="15">
        <f>'COMMERCIAL 2019 - 2021'!R2002</f>
        <v>0</v>
      </c>
      <c r="L1400" s="295"/>
      <c r="M1400" s="15">
        <f>'COMMERCIAL 2019 - 2021'!S2002</f>
        <v>0</v>
      </c>
      <c r="N1400" s="295"/>
      <c r="O1400" s="15">
        <f>'COMMERCIAL 2019 - 2021'!T2002</f>
        <v>0</v>
      </c>
      <c r="P1400" s="16"/>
      <c r="Q1400" s="15">
        <f>'COMMERCIAL 2019 - 2021'!U2002</f>
        <v>76800</v>
      </c>
    </row>
    <row r="1401" spans="1:17">
      <c r="A1401" s="892" t="str">
        <f>'COMMERCIAL 2019 - 2021'!D2003</f>
        <v>FAE-25-00123</v>
      </c>
      <c r="B1401" s="896">
        <f>'COMMERCIAL 2019 - 2021'!F2003</f>
        <v>45782</v>
      </c>
      <c r="C1401" s="23">
        <f>'COMMERCIAL 2019 - 2021'!G2003</f>
        <v>2025</v>
      </c>
      <c r="D1401" s="23" t="str">
        <f>'COMMERCIAL 2019 - 2021'!H2003</f>
        <v>CE2017</v>
      </c>
      <c r="E1401" s="23" t="str">
        <f>'COMMERCIAL 2019 - 2021'!I2003</f>
        <v>SAHEL INTERNATIONAL TRADE</v>
      </c>
      <c r="F1401" s="23" t="str">
        <f>'COMMERCIAL 2019 - 2021'!N2003</f>
        <v>OUI</v>
      </c>
      <c r="G1401" s="23" t="str">
        <f>'COMMERCIAL 2019 - 2021'!O2003</f>
        <v>Niger</v>
      </c>
      <c r="H1401" s="893">
        <f>'COMMERCIAL 2019 - 2021'!P2003</f>
        <v>45792</v>
      </c>
      <c r="I1401" s="15">
        <f>'COMMERCIAL 2019 - 2021'!Q2003</f>
        <v>0</v>
      </c>
      <c r="J1401" s="894"/>
      <c r="K1401" s="15">
        <f>'COMMERCIAL 2019 - 2021'!R2003</f>
        <v>0</v>
      </c>
      <c r="L1401" s="295"/>
      <c r="M1401" s="15">
        <f>'COMMERCIAL 2019 - 2021'!S2003</f>
        <v>275000</v>
      </c>
      <c r="N1401" s="841" t="s">
        <v>20347</v>
      </c>
      <c r="O1401" s="15">
        <f>'COMMERCIAL 2019 - 2021'!T2003</f>
        <v>0</v>
      </c>
      <c r="P1401" s="16"/>
      <c r="Q1401" s="15">
        <f>'COMMERCIAL 2019 - 2021'!U2003</f>
        <v>275000</v>
      </c>
    </row>
    <row r="1402" spans="1:17">
      <c r="A1402" s="892" t="str">
        <f>'COMMERCIAL 2019 - 2021'!D2004</f>
        <v>FAE-25-00124</v>
      </c>
      <c r="B1402" s="896">
        <f>'COMMERCIAL 2019 - 2021'!F2004</f>
        <v>45786</v>
      </c>
      <c r="C1402" s="23">
        <f>'COMMERCIAL 2019 - 2021'!G2004</f>
        <v>2025</v>
      </c>
      <c r="D1402" s="23" t="str">
        <f>'COMMERCIAL 2019 - 2021'!H2004</f>
        <v>CE2133</v>
      </c>
      <c r="E1402" s="23" t="str">
        <f>'COMMERCIAL 2019 - 2021'!I2004</f>
        <v>E.A.S.B. NAFA</v>
      </c>
      <c r="F1402" s="23" t="str">
        <f>'COMMERCIAL 2019 - 2021'!N2004</f>
        <v>OUI</v>
      </c>
      <c r="G1402" s="23" t="str">
        <f>'COMMERCIAL 2019 - 2021'!O2004</f>
        <v>Gambie</v>
      </c>
      <c r="H1402" s="893">
        <f>'COMMERCIAL 2019 - 2021'!P2004</f>
        <v>45792</v>
      </c>
      <c r="I1402" s="15">
        <f>'COMMERCIAL 2019 - 2021'!Q2004</f>
        <v>0</v>
      </c>
      <c r="J1402" s="894"/>
      <c r="K1402" s="15">
        <f>'COMMERCIAL 2019 - 2021'!R2004</f>
        <v>0</v>
      </c>
      <c r="L1402" s="295"/>
      <c r="M1402" s="15">
        <f>'COMMERCIAL 2019 - 2021'!S2004</f>
        <v>52000</v>
      </c>
      <c r="N1402" s="841" t="s">
        <v>20347</v>
      </c>
      <c r="O1402" s="15">
        <f>'COMMERCIAL 2019 - 2021'!T2004</f>
        <v>0</v>
      </c>
      <c r="P1402" s="16"/>
      <c r="Q1402" s="15">
        <f>'COMMERCIAL 2019 - 2021'!U2004</f>
        <v>52000</v>
      </c>
    </row>
    <row r="1403" spans="1:17">
      <c r="A1403" s="892" t="str">
        <f>'COMMERCIAL 2019 - 2021'!D2005</f>
        <v>FAE-25-00125</v>
      </c>
      <c r="B1403" s="896">
        <f>'COMMERCIAL 2019 - 2021'!F2005</f>
        <v>45786</v>
      </c>
      <c r="C1403" s="23">
        <f>'COMMERCIAL 2019 - 2021'!G2005</f>
        <v>2025</v>
      </c>
      <c r="D1403" s="23" t="str">
        <f>'COMMERCIAL 2019 - 2021'!H2005</f>
        <v>CE2133</v>
      </c>
      <c r="E1403" s="23" t="str">
        <f>'COMMERCIAL 2019 - 2021'!I2005</f>
        <v>E.A.S.B. NAFA</v>
      </c>
      <c r="F1403" s="23" t="str">
        <f>'COMMERCIAL 2019 - 2021'!N2005</f>
        <v>OUI</v>
      </c>
      <c r="G1403" s="23" t="str">
        <f>'COMMERCIAL 2019 - 2021'!O2005</f>
        <v>Gambie</v>
      </c>
      <c r="H1403" s="893">
        <f>'COMMERCIAL 2019 - 2021'!P2005</f>
        <v>45800</v>
      </c>
      <c r="I1403" s="15">
        <f>'COMMERCIAL 2019 - 2021'!Q2005</f>
        <v>19600</v>
      </c>
      <c r="J1403" s="870">
        <v>1</v>
      </c>
      <c r="K1403" s="15">
        <f>'COMMERCIAL 2019 - 2021'!R2005</f>
        <v>8400</v>
      </c>
      <c r="L1403" s="841" t="s">
        <v>21173</v>
      </c>
      <c r="M1403" s="15">
        <f>'COMMERCIAL 2019 - 2021'!S2005</f>
        <v>26000</v>
      </c>
      <c r="N1403" s="841" t="s">
        <v>20347</v>
      </c>
      <c r="O1403" s="15">
        <f>'COMMERCIAL 2019 - 2021'!T2005</f>
        <v>0</v>
      </c>
      <c r="P1403" s="16"/>
      <c r="Q1403" s="15">
        <f>'COMMERCIAL 2019 - 2021'!U2005</f>
        <v>54000</v>
      </c>
    </row>
    <row r="1404" spans="1:17">
      <c r="A1404" s="892" t="str">
        <f>'COMMERCIAL 2019 - 2021'!D2006</f>
        <v>FAE-25-00126</v>
      </c>
      <c r="B1404" s="896">
        <f>'COMMERCIAL 2019 - 2021'!F2006</f>
        <v>45786</v>
      </c>
      <c r="C1404" s="23">
        <f>'COMMERCIAL 2019 - 2021'!G2006</f>
        <v>2025</v>
      </c>
      <c r="D1404" s="23" t="str">
        <f>'COMMERCIAL 2019 - 2021'!H2006</f>
        <v>CE2079</v>
      </c>
      <c r="E1404" s="23" t="str">
        <f>'COMMERCIAL 2019 - 2021'!I2006</f>
        <v>BAH MAMADOU SALIOU</v>
      </c>
      <c r="F1404" s="23" t="str">
        <f>'COMMERCIAL 2019 - 2021'!N2006</f>
        <v>OUI</v>
      </c>
      <c r="G1404" s="23" t="str">
        <f>'COMMERCIAL 2019 - 2021'!O2006</f>
        <v>Guinée</v>
      </c>
      <c r="H1404" s="893">
        <f>'COMMERCIAL 2019 - 2021'!P2006</f>
        <v>45800</v>
      </c>
      <c r="I1404" s="15">
        <f>'COMMERCIAL 2019 - 2021'!Q2006</f>
        <v>0</v>
      </c>
      <c r="J1404" s="894"/>
      <c r="K1404" s="15">
        <f>'COMMERCIAL 2019 - 2021'!R2006</f>
        <v>19200</v>
      </c>
      <c r="L1404" s="841" t="s">
        <v>21173</v>
      </c>
      <c r="M1404" s="15">
        <f>'COMMERCIAL 2019 - 2021'!S2006</f>
        <v>0</v>
      </c>
      <c r="N1404" s="295"/>
      <c r="O1404" s="15">
        <f>'COMMERCIAL 2019 - 2021'!T2006</f>
        <v>0</v>
      </c>
      <c r="P1404" s="16"/>
      <c r="Q1404" s="15">
        <f>'COMMERCIAL 2019 - 2021'!U2006</f>
        <v>19200</v>
      </c>
    </row>
    <row r="1405" spans="1:17">
      <c r="A1405" s="892" t="str">
        <f>'COMMERCIAL 2019 - 2021'!D2007</f>
        <v>FAE-25-00127</v>
      </c>
      <c r="B1405" s="896">
        <f>'COMMERCIAL 2019 - 2021'!F2007</f>
        <v>45786</v>
      </c>
      <c r="C1405" s="23">
        <f>'COMMERCIAL 2019 - 2021'!G2007</f>
        <v>2025</v>
      </c>
      <c r="D1405" s="23" t="str">
        <f>'COMMERCIAL 2019 - 2021'!H2007</f>
        <v>CE2079</v>
      </c>
      <c r="E1405" s="23" t="str">
        <f>'COMMERCIAL 2019 - 2021'!I2007</f>
        <v>BAH MAMADOU SALIOU</v>
      </c>
      <c r="F1405" s="23" t="str">
        <f>'COMMERCIAL 2019 - 2021'!N2007</f>
        <v>OUI</v>
      </c>
      <c r="G1405" s="23" t="str">
        <f>'COMMERCIAL 2019 - 2021'!O2007</f>
        <v>Guinée</v>
      </c>
      <c r="H1405" s="893">
        <f>'COMMERCIAL 2019 - 2021'!P2007</f>
        <v>45796</v>
      </c>
      <c r="I1405" s="15">
        <f>'COMMERCIAL 2019 - 2021'!Q2007</f>
        <v>0</v>
      </c>
      <c r="J1405" s="894"/>
      <c r="K1405" s="15">
        <f>'COMMERCIAL 2019 - 2021'!R2007</f>
        <v>54000</v>
      </c>
      <c r="L1405" s="841" t="s">
        <v>21173</v>
      </c>
      <c r="M1405" s="15">
        <f>'COMMERCIAL 2019 - 2021'!S2007</f>
        <v>0</v>
      </c>
      <c r="N1405" s="295"/>
      <c r="O1405" s="15">
        <f>'COMMERCIAL 2019 - 2021'!T2007</f>
        <v>8000</v>
      </c>
      <c r="P1405" s="870">
        <v>1</v>
      </c>
      <c r="Q1405" s="15">
        <f>'COMMERCIAL 2019 - 2021'!U2007</f>
        <v>62000</v>
      </c>
    </row>
    <row r="1406" spans="1:17">
      <c r="A1406" s="892" t="str">
        <f>'COMMERCIAL 2019 - 2021'!D2008</f>
        <v>FAE-25-00128</v>
      </c>
      <c r="B1406" s="896">
        <f>'COMMERCIAL 2019 - 2021'!F2008</f>
        <v>45786</v>
      </c>
      <c r="C1406" s="23">
        <f>'COMMERCIAL 2019 - 2021'!G2008</f>
        <v>2025</v>
      </c>
      <c r="D1406" s="23" t="str">
        <f>'COMMERCIAL 2019 - 2021'!H2008</f>
        <v>CE2257</v>
      </c>
      <c r="E1406" s="23" t="str">
        <f>'COMMERCIAL 2019 - 2021'!I2008</f>
        <v>LAMP FALL IMP EXP - LAFFIMEX</v>
      </c>
      <c r="F1406" s="23" t="str">
        <f>'COMMERCIAL 2019 - 2021'!N2008</f>
        <v>OUI</v>
      </c>
      <c r="G1406" s="23" t="str">
        <f>'COMMERCIAL 2019 - 2021'!O2008</f>
        <v>Senegal</v>
      </c>
      <c r="H1406" s="893">
        <f>'COMMERCIAL 2019 - 2021'!P2008</f>
        <v>45796</v>
      </c>
      <c r="I1406" s="15">
        <f>'COMMERCIAL 2019 - 2021'!Q2008</f>
        <v>96000</v>
      </c>
      <c r="J1406" s="870">
        <v>1</v>
      </c>
      <c r="K1406" s="15">
        <f>'COMMERCIAL 2019 - 2021'!R2008</f>
        <v>0</v>
      </c>
      <c r="L1406" s="295"/>
      <c r="M1406" s="15">
        <f>'COMMERCIAL 2019 - 2021'!S2008</f>
        <v>0</v>
      </c>
      <c r="N1406" s="295"/>
      <c r="O1406" s="15">
        <f>'COMMERCIAL 2019 - 2021'!T2008</f>
        <v>0</v>
      </c>
      <c r="P1406" s="16"/>
      <c r="Q1406" s="15">
        <f>'COMMERCIAL 2019 - 2021'!U2008</f>
        <v>96000</v>
      </c>
    </row>
    <row r="1407" spans="1:17">
      <c r="A1407" s="892" t="str">
        <f>'COMMERCIAL 2019 - 2021'!D2009</f>
        <v>FAE-25-00129</v>
      </c>
      <c r="B1407" s="896">
        <f>'COMMERCIAL 2019 - 2021'!F2009</f>
        <v>45786</v>
      </c>
      <c r="C1407" s="23">
        <f>'COMMERCIAL 2019 - 2021'!G2009</f>
        <v>2025</v>
      </c>
      <c r="D1407" s="23" t="str">
        <f>'COMMERCIAL 2019 - 2021'!H2009</f>
        <v>CE2294</v>
      </c>
      <c r="E1407" s="23" t="str">
        <f>'COMMERCIAL 2019 - 2021'!I2009</f>
        <v xml:space="preserve">GENERIC BRANDS LIMITED </v>
      </c>
      <c r="F1407" s="23" t="str">
        <f>'COMMERCIAL 2019 - 2021'!N2009</f>
        <v>OUI</v>
      </c>
      <c r="G1407" s="23" t="str">
        <f>'COMMERCIAL 2019 - 2021'!O2009</f>
        <v>Kenya</v>
      </c>
      <c r="H1407" s="893">
        <f>'COMMERCIAL 2019 - 2021'!P2009</f>
        <v>45807</v>
      </c>
      <c r="I1407" s="15">
        <f>'COMMERCIAL 2019 - 2021'!Q2009</f>
        <v>0</v>
      </c>
      <c r="J1407" s="894"/>
      <c r="K1407" s="15">
        <f>'COMMERCIAL 2019 - 2021'!R2009</f>
        <v>0</v>
      </c>
      <c r="L1407" s="295"/>
      <c r="M1407" s="15">
        <f>'COMMERCIAL 2019 - 2021'!S2009</f>
        <v>234066</v>
      </c>
      <c r="N1407" s="841" t="s">
        <v>20347</v>
      </c>
      <c r="O1407" s="15">
        <f>'COMMERCIAL 2019 - 2021'!T2009</f>
        <v>0</v>
      </c>
      <c r="P1407" s="16"/>
      <c r="Q1407" s="15">
        <f>'COMMERCIAL 2019 - 2021'!U2009</f>
        <v>234066</v>
      </c>
    </row>
    <row r="1408" spans="1:17">
      <c r="A1408" s="892" t="str">
        <f>'COMMERCIAL 2019 - 2021'!D2010</f>
        <v>FAE-25-00130</v>
      </c>
      <c r="B1408" s="896">
        <f>'COMMERCIAL 2019 - 2021'!F2010</f>
        <v>45786</v>
      </c>
      <c r="C1408" s="23">
        <f>'COMMERCIAL 2019 - 2021'!G2010</f>
        <v>2025</v>
      </c>
      <c r="D1408" s="23" t="str">
        <f>'COMMERCIAL 2019 - 2021'!H2010</f>
        <v>CE2288</v>
      </c>
      <c r="E1408" s="23" t="str">
        <f>'COMMERCIAL 2019 - 2021'!I2010</f>
        <v>SOCIETE CHEMA</v>
      </c>
      <c r="F1408" s="23" t="str">
        <f>'COMMERCIAL 2019 - 2021'!N2010</f>
        <v>OUI</v>
      </c>
      <c r="G1408" s="23" t="str">
        <f>'COMMERCIAL 2019 - 2021'!O2010</f>
        <v>Tchad</v>
      </c>
      <c r="H1408" s="893">
        <f>'COMMERCIAL 2019 - 2021'!P2010</f>
        <v>45802</v>
      </c>
      <c r="I1408" s="15">
        <f>'COMMERCIAL 2019 - 2021'!Q2010</f>
        <v>0</v>
      </c>
      <c r="J1408" s="894"/>
      <c r="K1408" s="15">
        <f>'COMMERCIAL 2019 - 2021'!R2010</f>
        <v>0</v>
      </c>
      <c r="L1408" s="295"/>
      <c r="M1408" s="15">
        <f>'COMMERCIAL 2019 - 2021'!S2010</f>
        <v>111360</v>
      </c>
      <c r="N1408" s="841" t="s">
        <v>20347</v>
      </c>
      <c r="O1408" s="15">
        <f>'COMMERCIAL 2019 - 2021'!T2010</f>
        <v>0</v>
      </c>
      <c r="P1408" s="16"/>
      <c r="Q1408" s="15">
        <f>'COMMERCIAL 2019 - 2021'!U2010</f>
        <v>111360</v>
      </c>
    </row>
    <row r="1409" spans="1:17">
      <c r="A1409" s="892" t="str">
        <f>'COMMERCIAL 2019 - 2021'!D2011</f>
        <v>FAE-25-00131</v>
      </c>
      <c r="B1409" s="896">
        <f>'COMMERCIAL 2019 - 2021'!F2011</f>
        <v>45786</v>
      </c>
      <c r="C1409" s="23">
        <f>'COMMERCIAL 2019 - 2021'!G2011</f>
        <v>2025</v>
      </c>
      <c r="D1409" s="23" t="str">
        <f>'COMMERCIAL 2019 - 2021'!H2011</f>
        <v>CE2288</v>
      </c>
      <c r="E1409" s="23" t="str">
        <f>'COMMERCIAL 2019 - 2021'!I2011</f>
        <v>SOCIETE CHEMA</v>
      </c>
      <c r="F1409" s="23" t="str">
        <f>'COMMERCIAL 2019 - 2021'!N2011</f>
        <v>OUI</v>
      </c>
      <c r="G1409" s="23" t="str">
        <f>'COMMERCIAL 2019 - 2021'!O2011</f>
        <v>Tchad</v>
      </c>
      <c r="H1409" s="893">
        <f>'COMMERCIAL 2019 - 2021'!P2011</f>
        <v>45803</v>
      </c>
      <c r="I1409" s="15">
        <f>'COMMERCIAL 2019 - 2021'!Q2011</f>
        <v>0</v>
      </c>
      <c r="J1409" s="894"/>
      <c r="K1409" s="15">
        <f>'COMMERCIAL 2019 - 2021'!R2011</f>
        <v>125100</v>
      </c>
      <c r="L1409" s="841" t="s">
        <v>21174</v>
      </c>
      <c r="M1409" s="15">
        <f>'COMMERCIAL 2019 - 2021'!S2011</f>
        <v>0</v>
      </c>
      <c r="N1409" s="295"/>
      <c r="O1409" s="15">
        <f>'COMMERCIAL 2019 - 2021'!T2011</f>
        <v>0</v>
      </c>
      <c r="P1409" s="16"/>
      <c r="Q1409" s="15">
        <f>'COMMERCIAL 2019 - 2021'!U2011</f>
        <v>125100</v>
      </c>
    </row>
    <row r="1410" spans="1:17">
      <c r="A1410" s="892" t="str">
        <f>'COMMERCIAL 2019 - 2021'!D2012</f>
        <v>FAE-25-00132</v>
      </c>
      <c r="B1410" s="896">
        <f>'COMMERCIAL 2019 - 2021'!F2012</f>
        <v>45786</v>
      </c>
      <c r="C1410" s="23">
        <f>'COMMERCIAL 2019 - 2021'!G2012</f>
        <v>2025</v>
      </c>
      <c r="D1410" s="23" t="str">
        <f>'COMMERCIAL 2019 - 2021'!H2012</f>
        <v>CE2053</v>
      </c>
      <c r="E1410" s="23" t="str">
        <f>'COMMERCIAL 2019 - 2021'!I2012</f>
        <v>ETS KASSO IMPORT EXPORT</v>
      </c>
      <c r="F1410" s="23" t="str">
        <f>'COMMERCIAL 2019 - 2021'!N2012</f>
        <v>OUI</v>
      </c>
      <c r="G1410" s="23" t="str">
        <f>'COMMERCIAL 2019 - 2021'!O2012</f>
        <v>Niger</v>
      </c>
      <c r="H1410" s="893">
        <f>'COMMERCIAL 2019 - 2021'!P2012</f>
        <v>45797</v>
      </c>
      <c r="I1410" s="15">
        <f>'COMMERCIAL 2019 - 2021'!Q2012</f>
        <v>0</v>
      </c>
      <c r="J1410" s="894"/>
      <c r="K1410" s="15">
        <f>'COMMERCIAL 2019 - 2021'!R2012</f>
        <v>0</v>
      </c>
      <c r="L1410" s="295"/>
      <c r="M1410" s="15">
        <f>'COMMERCIAL 2019 - 2021'!S2012</f>
        <v>110000</v>
      </c>
      <c r="N1410" s="841" t="s">
        <v>20347</v>
      </c>
      <c r="O1410" s="15">
        <f>'COMMERCIAL 2019 - 2021'!T2012</f>
        <v>0</v>
      </c>
      <c r="P1410" s="16"/>
      <c r="Q1410" s="15">
        <f>'COMMERCIAL 2019 - 2021'!U2012</f>
        <v>110000</v>
      </c>
    </row>
    <row r="1411" spans="1:17">
      <c r="A1411" s="892" t="str">
        <f>'COMMERCIAL 2019 - 2021'!D2013</f>
        <v>FAE-25-00133</v>
      </c>
      <c r="B1411" s="896">
        <f>'COMMERCIAL 2019 - 2021'!F2013</f>
        <v>45786</v>
      </c>
      <c r="C1411" s="23">
        <f>'COMMERCIAL 2019 - 2021'!G2013</f>
        <v>2025</v>
      </c>
      <c r="D1411" s="23" t="str">
        <f>'COMMERCIAL 2019 - 2021'!H2013</f>
        <v>CE2053</v>
      </c>
      <c r="E1411" s="23" t="str">
        <f>'COMMERCIAL 2019 - 2021'!I2013</f>
        <v>ETS KASSO IMPORT EXPORT</v>
      </c>
      <c r="F1411" s="23" t="str">
        <f>'COMMERCIAL 2019 - 2021'!N2013</f>
        <v>OUI</v>
      </c>
      <c r="G1411" s="23" t="str">
        <f>'COMMERCIAL 2019 - 2021'!O2013</f>
        <v>Niger</v>
      </c>
      <c r="H1411" s="893">
        <f>'COMMERCIAL 2019 - 2021'!P2013</f>
        <v>45796</v>
      </c>
      <c r="I1411" s="15">
        <f>'COMMERCIAL 2019 - 2021'!Q2013</f>
        <v>0</v>
      </c>
      <c r="J1411" s="894"/>
      <c r="K1411" s="15">
        <f>'COMMERCIAL 2019 - 2021'!R2013</f>
        <v>0</v>
      </c>
      <c r="L1411" s="295"/>
      <c r="M1411" s="15">
        <f>'COMMERCIAL 2019 - 2021'!S2013</f>
        <v>82500</v>
      </c>
      <c r="N1411" s="841" t="s">
        <v>20347</v>
      </c>
      <c r="O1411" s="15">
        <f>'COMMERCIAL 2019 - 2021'!T2013</f>
        <v>0</v>
      </c>
      <c r="P1411" s="16"/>
      <c r="Q1411" s="15">
        <f>'COMMERCIAL 2019 - 2021'!U2013</f>
        <v>82500</v>
      </c>
    </row>
    <row r="1412" spans="1:17">
      <c r="A1412" s="892" t="str">
        <f>'COMMERCIAL 2019 - 2021'!D2014</f>
        <v>FAE-25-00134</v>
      </c>
      <c r="B1412" s="896">
        <f>'COMMERCIAL 2019 - 2021'!F2014</f>
        <v>45786</v>
      </c>
      <c r="C1412" s="23">
        <f>'COMMERCIAL 2019 - 2021'!G2014</f>
        <v>2025</v>
      </c>
      <c r="D1412" s="23" t="str">
        <f>'COMMERCIAL 2019 - 2021'!H2014</f>
        <v>CE2053</v>
      </c>
      <c r="E1412" s="23" t="str">
        <f>'COMMERCIAL 2019 - 2021'!I2014</f>
        <v>ETS KASSO IMPORT EXPORT</v>
      </c>
      <c r="F1412" s="23" t="str">
        <f>'COMMERCIAL 2019 - 2021'!N2014</f>
        <v>OUI</v>
      </c>
      <c r="G1412" s="23" t="str">
        <f>'COMMERCIAL 2019 - 2021'!O2014</f>
        <v>Niger</v>
      </c>
      <c r="H1412" s="893">
        <f>'COMMERCIAL 2019 - 2021'!P2014</f>
        <v>45798</v>
      </c>
      <c r="I1412" s="15">
        <f>'COMMERCIAL 2019 - 2021'!Q2014</f>
        <v>0</v>
      </c>
      <c r="J1412" s="894"/>
      <c r="K1412" s="15">
        <f>'COMMERCIAL 2019 - 2021'!R2014</f>
        <v>0</v>
      </c>
      <c r="L1412" s="295"/>
      <c r="M1412" s="15">
        <f>'COMMERCIAL 2019 - 2021'!S2014</f>
        <v>110000</v>
      </c>
      <c r="N1412" s="841" t="s">
        <v>20347</v>
      </c>
      <c r="O1412" s="15">
        <f>'COMMERCIAL 2019 - 2021'!T2014</f>
        <v>0</v>
      </c>
      <c r="P1412" s="16"/>
      <c r="Q1412" s="15">
        <f>'COMMERCIAL 2019 - 2021'!U2014</f>
        <v>110000</v>
      </c>
    </row>
    <row r="1413" spans="1:17">
      <c r="A1413" s="892" t="str">
        <f>'COMMERCIAL 2019 - 2021'!D2015</f>
        <v>FAE-25-00135</v>
      </c>
      <c r="B1413" s="896">
        <f>'COMMERCIAL 2019 - 2021'!F2015</f>
        <v>45789</v>
      </c>
      <c r="C1413" s="23">
        <f>'COMMERCIAL 2019 - 2021'!G2015</f>
        <v>2025</v>
      </c>
      <c r="D1413" s="23" t="str">
        <f>'COMMERCIAL 2019 - 2021'!H2015</f>
        <v>CE2300</v>
      </c>
      <c r="E1413" s="23" t="str">
        <f>'COMMERCIAL 2019 - 2021'!I2015</f>
        <v>AL MOSTAFA - FAYROUZ</v>
      </c>
      <c r="F1413" s="23" t="str">
        <f>'COMMERCIAL 2019 - 2021'!N2015</f>
        <v>OUI</v>
      </c>
      <c r="G1413" s="23" t="str">
        <f>'COMMERCIAL 2019 - 2021'!O2015</f>
        <v>Egypte</v>
      </c>
      <c r="H1413" s="893">
        <f>'COMMERCIAL 2019 - 2021'!P2015</f>
        <v>45807</v>
      </c>
      <c r="I1413" s="15">
        <f>'COMMERCIAL 2019 - 2021'!Q2015</f>
        <v>59150</v>
      </c>
      <c r="J1413" s="894"/>
      <c r="K1413" s="15">
        <f>'COMMERCIAL 2019 - 2021'!R2015</f>
        <v>0</v>
      </c>
      <c r="L1413" s="295"/>
      <c r="M1413" s="15">
        <f>'COMMERCIAL 2019 - 2021'!S2015</f>
        <v>0</v>
      </c>
      <c r="N1413" s="295"/>
      <c r="O1413" s="15">
        <f>'COMMERCIAL 2019 - 2021'!T2015</f>
        <v>0</v>
      </c>
      <c r="P1413" s="16"/>
      <c r="Q1413" s="15">
        <f>'COMMERCIAL 2019 - 2021'!U2015</f>
        <v>59150</v>
      </c>
    </row>
    <row r="1414" spans="1:17">
      <c r="A1414" s="892" t="str">
        <f>'COMMERCIAL 2019 - 2021'!D2016</f>
        <v>FAE-25-00136</v>
      </c>
      <c r="B1414" s="896">
        <f>'COMMERCIAL 2019 - 2021'!F2016</f>
        <v>45789</v>
      </c>
      <c r="C1414" s="23">
        <f>'COMMERCIAL 2019 - 2021'!G2016</f>
        <v>2025</v>
      </c>
      <c r="D1414" s="23" t="str">
        <f>'COMMERCIAL 2019 - 2021'!H2016</f>
        <v>CE2259</v>
      </c>
      <c r="E1414" s="23" t="str">
        <f>'COMMERCIAL 2019 - 2021'!I2016</f>
        <v>SAFA FOOD</v>
      </c>
      <c r="F1414" s="23" t="str">
        <f>'COMMERCIAL 2019 - 2021'!N2016</f>
        <v>OUI</v>
      </c>
      <c r="G1414" s="23" t="str">
        <f>'COMMERCIAL 2019 - 2021'!O2016</f>
        <v>USA</v>
      </c>
      <c r="H1414" s="893">
        <f>'COMMERCIAL 2019 - 2021'!P2016</f>
        <v>45804</v>
      </c>
      <c r="I1414" s="15">
        <f>'COMMERCIAL 2019 - 2021'!Q2016</f>
        <v>0</v>
      </c>
      <c r="J1414" s="894"/>
      <c r="K1414" s="15">
        <f>'COMMERCIAL 2019 - 2021'!R2016</f>
        <v>0</v>
      </c>
      <c r="L1414" s="295"/>
      <c r="M1414" s="15">
        <f>'COMMERCIAL 2019 - 2021'!S2016</f>
        <v>18614</v>
      </c>
      <c r="N1414" s="870">
        <v>1</v>
      </c>
      <c r="O1414" s="15">
        <f>'COMMERCIAL 2019 - 2021'!T2016</f>
        <v>0</v>
      </c>
      <c r="P1414" s="16"/>
      <c r="Q1414" s="15">
        <f>'COMMERCIAL 2019 - 2021'!U2016</f>
        <v>18614</v>
      </c>
    </row>
    <row r="1415" spans="1:17">
      <c r="A1415" s="892" t="str">
        <f>'COMMERCIAL 2019 - 2021'!D2017</f>
        <v>FAE-25-00137</v>
      </c>
      <c r="B1415" s="896">
        <f>'COMMERCIAL 2019 - 2021'!F2017</f>
        <v>45789</v>
      </c>
      <c r="C1415" s="23">
        <f>'COMMERCIAL 2019 - 2021'!G2017</f>
        <v>2025</v>
      </c>
      <c r="D1415" s="23" t="str">
        <f>'COMMERCIAL 2019 - 2021'!H2017</f>
        <v>CE2259</v>
      </c>
      <c r="E1415" s="23" t="str">
        <f>'COMMERCIAL 2019 - 2021'!I2017</f>
        <v>SAFA FOOD</v>
      </c>
      <c r="F1415" s="23" t="str">
        <f>'COMMERCIAL 2019 - 2021'!N2017</f>
        <v>OUI</v>
      </c>
      <c r="G1415" s="23" t="str">
        <f>'COMMERCIAL 2019 - 2021'!O2017</f>
        <v>Canada</v>
      </c>
      <c r="H1415" s="893">
        <f>'COMMERCIAL 2019 - 2021'!P2017</f>
        <v>45806</v>
      </c>
      <c r="I1415" s="15">
        <f>'COMMERCIAL 2019 - 2021'!Q2017</f>
        <v>0</v>
      </c>
      <c r="J1415" s="894"/>
      <c r="K1415" s="15">
        <f>'COMMERCIAL 2019 - 2021'!R2017</f>
        <v>9344</v>
      </c>
      <c r="L1415" s="870">
        <v>1</v>
      </c>
      <c r="M1415" s="15">
        <f>'COMMERCIAL 2019 - 2021'!S2017</f>
        <v>1634</v>
      </c>
      <c r="N1415" s="870">
        <v>1</v>
      </c>
      <c r="O1415" s="15">
        <f>'COMMERCIAL 2019 - 2021'!T2017</f>
        <v>1440</v>
      </c>
      <c r="P1415" s="870">
        <v>1</v>
      </c>
      <c r="Q1415" s="15">
        <f>'COMMERCIAL 2019 - 2021'!U2017</f>
        <v>12418</v>
      </c>
    </row>
    <row r="1416" spans="1:17">
      <c r="A1416" s="892" t="str">
        <f>'COMMERCIAL 2019 - 2021'!D2018</f>
        <v>FAE-25-00138</v>
      </c>
      <c r="B1416" s="896">
        <f>'COMMERCIAL 2019 - 2021'!F2018</f>
        <v>45789</v>
      </c>
      <c r="C1416" s="23">
        <f>'COMMERCIAL 2019 - 2021'!G2018</f>
        <v>2025</v>
      </c>
      <c r="D1416" s="23" t="str">
        <f>'COMMERCIAL 2019 - 2021'!H2018</f>
        <v>CE2259</v>
      </c>
      <c r="E1416" s="23" t="str">
        <f>'COMMERCIAL 2019 - 2021'!I2018</f>
        <v>SAFA FOOD</v>
      </c>
      <c r="F1416" s="23" t="str">
        <f>'COMMERCIAL 2019 - 2021'!N2018</f>
        <v>OUI</v>
      </c>
      <c r="G1416" s="23" t="str">
        <f>'COMMERCIAL 2019 - 2021'!O2018</f>
        <v>Canada</v>
      </c>
      <c r="H1416" s="893">
        <f>'COMMERCIAL 2019 - 2021'!P2018</f>
        <v>45805</v>
      </c>
      <c r="I1416" s="15">
        <f>'COMMERCIAL 2019 - 2021'!Q2018</f>
        <v>0</v>
      </c>
      <c r="J1416" s="894"/>
      <c r="K1416" s="15">
        <f>'COMMERCIAL 2019 - 2021'!R2018</f>
        <v>9484</v>
      </c>
      <c r="L1416" s="870">
        <v>1</v>
      </c>
      <c r="M1416" s="15">
        <f>'COMMERCIAL 2019 - 2021'!S2018</f>
        <v>1634</v>
      </c>
      <c r="N1416" s="870">
        <v>1</v>
      </c>
      <c r="O1416" s="15">
        <f>'COMMERCIAL 2019 - 2021'!T2018</f>
        <v>1250</v>
      </c>
      <c r="P1416" s="870">
        <v>1</v>
      </c>
      <c r="Q1416" s="15">
        <f>'COMMERCIAL 2019 - 2021'!U2018</f>
        <v>12368</v>
      </c>
    </row>
    <row r="1417" spans="1:17">
      <c r="A1417" s="892" t="str">
        <f>'COMMERCIAL 2019 - 2021'!D2019</f>
        <v>FAE-25-00139</v>
      </c>
      <c r="B1417" s="896">
        <f>'COMMERCIAL 2019 - 2021'!F2019</f>
        <v>45789</v>
      </c>
      <c r="C1417" s="23">
        <f>'COMMERCIAL 2019 - 2021'!G2019</f>
        <v>2025</v>
      </c>
      <c r="D1417" s="23" t="str">
        <f>'COMMERCIAL 2019 - 2021'!H2019</f>
        <v>CE2248</v>
      </c>
      <c r="E1417" s="23" t="str">
        <f>'COMMERCIAL 2019 - 2021'!I2019</f>
        <v>SEYAL TCHAD SA</v>
      </c>
      <c r="F1417" s="23" t="str">
        <f>'COMMERCIAL 2019 - 2021'!N2019</f>
        <v>OUI</v>
      </c>
      <c r="G1417" s="23" t="str">
        <f>'COMMERCIAL 2019 - 2021'!O2019</f>
        <v>Tchad</v>
      </c>
      <c r="H1417" s="893">
        <f>'COMMERCIAL 2019 - 2021'!P2019</f>
        <v>45808</v>
      </c>
      <c r="I1417" s="15">
        <f>'COMMERCIAL 2019 - 2021'!Q2019</f>
        <v>38400</v>
      </c>
      <c r="J1417" s="870">
        <v>1</v>
      </c>
      <c r="K1417" s="15">
        <f>'COMMERCIAL 2019 - 2021'!R2019</f>
        <v>291600</v>
      </c>
      <c r="L1417" s="841" t="s">
        <v>21174</v>
      </c>
      <c r="M1417" s="15">
        <f>'COMMERCIAL 2019 - 2021'!S2019</f>
        <v>0</v>
      </c>
      <c r="N1417" s="295"/>
      <c r="O1417" s="15">
        <f>'COMMERCIAL 2019 - 2021'!T2019</f>
        <v>0</v>
      </c>
      <c r="P1417" s="16"/>
      <c r="Q1417" s="15">
        <f>'COMMERCIAL 2019 - 2021'!U2019</f>
        <v>330000</v>
      </c>
    </row>
    <row r="1418" spans="1:17">
      <c r="A1418" s="892" t="str">
        <f>'COMMERCIAL 2019 - 2021'!D2020</f>
        <v>FAE-25-00140</v>
      </c>
      <c r="B1418" s="896">
        <f>'COMMERCIAL 2019 - 2021'!F2020</f>
        <v>45789</v>
      </c>
      <c r="C1418" s="23">
        <f>'COMMERCIAL 2019 - 2021'!G2020</f>
        <v>2025</v>
      </c>
      <c r="D1418" s="23" t="str">
        <f>'COMMERCIAL 2019 - 2021'!H2020</f>
        <v>CE2001</v>
      </c>
      <c r="E1418" s="23" t="str">
        <f>'COMMERCIAL 2019 - 2021'!I2020</f>
        <v>STE DE COMMERCE INTERNATIONAL</v>
      </c>
      <c r="F1418" s="23" t="str">
        <f>'COMMERCIAL 2019 - 2021'!N2020</f>
        <v>OUI</v>
      </c>
      <c r="G1418" s="23" t="str">
        <f>'COMMERCIAL 2019 - 2021'!O2020</f>
        <v>Gambie</v>
      </c>
      <c r="H1418" s="893">
        <f>'COMMERCIAL 2019 - 2021'!P2020</f>
        <v>45797</v>
      </c>
      <c r="I1418" s="15">
        <f>'COMMERCIAL 2019 - 2021'!Q2020</f>
        <v>76800</v>
      </c>
      <c r="J1418" s="870">
        <v>1</v>
      </c>
      <c r="K1418" s="15">
        <f>'COMMERCIAL 2019 - 2021'!R2020</f>
        <v>0</v>
      </c>
      <c r="L1418" s="295"/>
      <c r="M1418" s="15">
        <f>'COMMERCIAL 2019 - 2021'!S2020</f>
        <v>0</v>
      </c>
      <c r="N1418" s="295"/>
      <c r="O1418" s="15">
        <f>'COMMERCIAL 2019 - 2021'!T2020</f>
        <v>0</v>
      </c>
      <c r="P1418" s="16"/>
      <c r="Q1418" s="15">
        <f>'COMMERCIAL 2019 - 2021'!U2020</f>
        <v>76800</v>
      </c>
    </row>
    <row r="1419" spans="1:17">
      <c r="A1419" s="892" t="str">
        <f>'COMMERCIAL 2019 - 2021'!D2021</f>
        <v>FAE-25-00141</v>
      </c>
      <c r="B1419" s="896">
        <f>'COMMERCIAL 2019 - 2021'!F2021</f>
        <v>45789</v>
      </c>
      <c r="C1419" s="23">
        <f>'COMMERCIAL 2019 - 2021'!G2021</f>
        <v>2025</v>
      </c>
      <c r="D1419" s="23" t="str">
        <f>'COMMERCIAL 2019 - 2021'!H2021</f>
        <v>CE2017</v>
      </c>
      <c r="E1419" s="23" t="str">
        <f>'COMMERCIAL 2019 - 2021'!I2021</f>
        <v>SAHEL INTERNATIONAL TRADE</v>
      </c>
      <c r="F1419" s="23" t="str">
        <f>'COMMERCIAL 2019 - 2021'!N2021</f>
        <v>OUI</v>
      </c>
      <c r="G1419" s="23" t="str">
        <f>'COMMERCIAL 2019 - 2021'!O2021</f>
        <v>Tchad</v>
      </c>
      <c r="H1419" s="893">
        <f>'COMMERCIAL 2019 - 2021'!P2021</f>
        <v>45799</v>
      </c>
      <c r="I1419" s="15">
        <f>'COMMERCIAL 2019 - 2021'!Q2021</f>
        <v>43200</v>
      </c>
      <c r="J1419" s="870">
        <v>1</v>
      </c>
      <c r="K1419" s="15">
        <f>'COMMERCIAL 2019 - 2021'!R2021</f>
        <v>0</v>
      </c>
      <c r="L1419" s="295"/>
      <c r="M1419" s="15">
        <f>'COMMERCIAL 2019 - 2021'!S2021</f>
        <v>0</v>
      </c>
      <c r="N1419" s="295"/>
      <c r="O1419" s="15">
        <f>'COMMERCIAL 2019 - 2021'!T2021</f>
        <v>0</v>
      </c>
      <c r="P1419" s="16"/>
      <c r="Q1419" s="15">
        <f>'COMMERCIAL 2019 - 2021'!U2021</f>
        <v>43200</v>
      </c>
    </row>
    <row r="1420" spans="1:17">
      <c r="A1420" s="892" t="str">
        <f>'COMMERCIAL 2019 - 2021'!D2022</f>
        <v>FAE-25-00142</v>
      </c>
      <c r="B1420" s="896">
        <f>'COMMERCIAL 2019 - 2021'!F2022</f>
        <v>45789</v>
      </c>
      <c r="C1420" s="23">
        <f>'COMMERCIAL 2019 - 2021'!G2022</f>
        <v>2025</v>
      </c>
      <c r="D1420" s="23" t="str">
        <f>'COMMERCIAL 2019 - 2021'!H2022</f>
        <v>CE2017</v>
      </c>
      <c r="E1420" s="23" t="str">
        <f>'COMMERCIAL 2019 - 2021'!I2022</f>
        <v>SAHEL INTERNATIONAL TRADE</v>
      </c>
      <c r="F1420" s="23" t="str">
        <f>'COMMERCIAL 2019 - 2021'!N2022</f>
        <v>OUI</v>
      </c>
      <c r="G1420" s="23" t="str">
        <f>'COMMERCIAL 2019 - 2021'!O2022</f>
        <v>Sierra Leone</v>
      </c>
      <c r="H1420" s="893">
        <f>'COMMERCIAL 2019 - 2021'!P2022</f>
        <v>45806</v>
      </c>
      <c r="I1420" s="15">
        <f>'COMMERCIAL 2019 - 2021'!Q2022</f>
        <v>21600</v>
      </c>
      <c r="J1420" s="870">
        <v>1</v>
      </c>
      <c r="K1420" s="15">
        <f>'COMMERCIAL 2019 - 2021'!R2022</f>
        <v>0</v>
      </c>
      <c r="L1420" s="295"/>
      <c r="M1420" s="15">
        <f>'COMMERCIAL 2019 - 2021'!S2022</f>
        <v>0</v>
      </c>
      <c r="N1420" s="295"/>
      <c r="O1420" s="15">
        <f>'COMMERCIAL 2019 - 2021'!T2022</f>
        <v>0</v>
      </c>
      <c r="P1420" s="16"/>
      <c r="Q1420" s="15">
        <f>'COMMERCIAL 2019 - 2021'!U2022</f>
        <v>21600</v>
      </c>
    </row>
    <row r="1421" spans="1:17">
      <c r="A1421" s="892" t="str">
        <f>'COMMERCIAL 2019 - 2021'!D2023</f>
        <v>FAE-25-00143</v>
      </c>
      <c r="B1421" s="896">
        <f>'COMMERCIAL 2019 - 2021'!F2023</f>
        <v>45789</v>
      </c>
      <c r="C1421" s="23">
        <f>'COMMERCIAL 2019 - 2021'!G2023</f>
        <v>2025</v>
      </c>
      <c r="D1421" s="23" t="str">
        <f>'COMMERCIAL 2019 - 2021'!H2023</f>
        <v>CE2017</v>
      </c>
      <c r="E1421" s="23" t="str">
        <f>'COMMERCIAL 2019 - 2021'!I2023</f>
        <v>SAHEL INTERNATIONAL TRADE</v>
      </c>
      <c r="F1421" s="23" t="str">
        <f>'COMMERCIAL 2019 - 2021'!N2023</f>
        <v>OUI</v>
      </c>
      <c r="G1421" s="23" t="str">
        <f>'COMMERCIAL 2019 - 2021'!O2023</f>
        <v>Burkina Faso</v>
      </c>
      <c r="H1421" s="893">
        <f>'COMMERCIAL 2019 - 2021'!P2023</f>
        <v>45806</v>
      </c>
      <c r="I1421" s="15">
        <f>'COMMERCIAL 2019 - 2021'!Q2023</f>
        <v>19204</v>
      </c>
      <c r="J1421" s="870">
        <v>1</v>
      </c>
      <c r="K1421" s="15">
        <f>'COMMERCIAL 2019 - 2021'!R2023</f>
        <v>0</v>
      </c>
      <c r="L1421" s="295"/>
      <c r="M1421" s="15">
        <f>'COMMERCIAL 2019 - 2021'!S2023</f>
        <v>0</v>
      </c>
      <c r="N1421" s="295"/>
      <c r="O1421" s="15">
        <f>'COMMERCIAL 2019 - 2021'!T2023</f>
        <v>0</v>
      </c>
      <c r="P1421" s="16"/>
      <c r="Q1421" s="15">
        <f>'COMMERCIAL 2019 - 2021'!U2023</f>
        <v>19204</v>
      </c>
    </row>
    <row r="1422" spans="1:17">
      <c r="A1422" s="892" t="str">
        <f>'COMMERCIAL 2019 - 2021'!D2024</f>
        <v>FAE-25-00144</v>
      </c>
      <c r="B1422" s="896">
        <f>'COMMERCIAL 2019 - 2021'!F2024</f>
        <v>45789</v>
      </c>
      <c r="C1422" s="23">
        <f>'COMMERCIAL 2019 - 2021'!G2024</f>
        <v>2025</v>
      </c>
      <c r="D1422" s="23" t="str">
        <f>'COMMERCIAL 2019 - 2021'!H2024</f>
        <v>CE2017</v>
      </c>
      <c r="E1422" s="23" t="str">
        <f>'COMMERCIAL 2019 - 2021'!I2024</f>
        <v>SAHEL INTERNATIONAL TRADE</v>
      </c>
      <c r="F1422" s="23" t="str">
        <f>'COMMERCIAL 2019 - 2021'!N2024</f>
        <v>OUI</v>
      </c>
      <c r="G1422" s="23" t="str">
        <f>'COMMERCIAL 2019 - 2021'!O2024</f>
        <v>Burkina Faso</v>
      </c>
      <c r="H1422" s="893">
        <f>'COMMERCIAL 2019 - 2021'!P2024</f>
        <v>45806</v>
      </c>
      <c r="I1422" s="15">
        <f>'COMMERCIAL 2019 - 2021'!Q2024</f>
        <v>19204</v>
      </c>
      <c r="J1422" s="870">
        <v>1</v>
      </c>
      <c r="K1422" s="15">
        <f>'COMMERCIAL 2019 - 2021'!R2024</f>
        <v>0</v>
      </c>
      <c r="L1422" s="295"/>
      <c r="M1422" s="15">
        <f>'COMMERCIAL 2019 - 2021'!S2024</f>
        <v>0</v>
      </c>
      <c r="N1422" s="295"/>
      <c r="O1422" s="15">
        <f>'COMMERCIAL 2019 - 2021'!T2024</f>
        <v>0</v>
      </c>
      <c r="P1422" s="16"/>
      <c r="Q1422" s="15">
        <f>'COMMERCIAL 2019 - 2021'!U2024</f>
        <v>19204</v>
      </c>
    </row>
    <row r="1423" spans="1:17">
      <c r="A1423" s="892" t="str">
        <f>'COMMERCIAL 2019 - 2021'!D2025</f>
        <v>FAE-25-00145</v>
      </c>
      <c r="B1423" s="896">
        <f>'COMMERCIAL 2019 - 2021'!F2025</f>
        <v>45789</v>
      </c>
      <c r="C1423" s="23">
        <f>'COMMERCIAL 2019 - 2021'!G2025</f>
        <v>2025</v>
      </c>
      <c r="D1423" s="23" t="str">
        <f>'COMMERCIAL 2019 - 2021'!H2025</f>
        <v>CE2017</v>
      </c>
      <c r="E1423" s="23" t="str">
        <f>'COMMERCIAL 2019 - 2021'!I2025</f>
        <v>SAHEL INTERNATIONAL TRADE</v>
      </c>
      <c r="F1423" s="23" t="str">
        <f>'COMMERCIAL 2019 - 2021'!N2025</f>
        <v>OUI</v>
      </c>
      <c r="G1423" s="23" t="str">
        <f>'COMMERCIAL 2019 - 2021'!O2025</f>
        <v>Tchad</v>
      </c>
      <c r="H1423" s="893">
        <f>'COMMERCIAL 2019 - 2021'!P2025</f>
        <v>45799</v>
      </c>
      <c r="I1423" s="15">
        <f>'COMMERCIAL 2019 - 2021'!Q2025</f>
        <v>0</v>
      </c>
      <c r="J1423" s="894"/>
      <c r="K1423" s="15">
        <f>'COMMERCIAL 2019 - 2021'!R2025</f>
        <v>56000</v>
      </c>
      <c r="L1423" s="841" t="s">
        <v>21174</v>
      </c>
      <c r="M1423" s="15">
        <f>'COMMERCIAL 2019 - 2021'!S2025</f>
        <v>0</v>
      </c>
      <c r="N1423" s="295"/>
      <c r="O1423" s="15">
        <f>'COMMERCIAL 2019 - 2021'!T2025</f>
        <v>0</v>
      </c>
      <c r="P1423" s="16"/>
      <c r="Q1423" s="15">
        <f>'COMMERCIAL 2019 - 2021'!U2025</f>
        <v>56000</v>
      </c>
    </row>
    <row r="1424" spans="1:17">
      <c r="A1424" s="892" t="str">
        <f>'COMMERCIAL 2019 - 2021'!D2026</f>
        <v>FAE-25-00146</v>
      </c>
      <c r="B1424" s="896" t="str">
        <f>'COMMERCIAL 2019 - 2021'!F2026</f>
        <v>13/05/2025</v>
      </c>
      <c r="C1424" s="23">
        <f>'COMMERCIAL 2019 - 2021'!G2026</f>
        <v>2025</v>
      </c>
      <c r="D1424" s="23" t="str">
        <f>'COMMERCIAL 2019 - 2021'!H2026</f>
        <v>CE2275</v>
      </c>
      <c r="E1424" s="23" t="str">
        <f>'COMMERCIAL 2019 - 2021'!I2026</f>
        <v>SODIC</v>
      </c>
      <c r="F1424" s="23" t="str">
        <f>'COMMERCIAL 2019 - 2021'!N2026</f>
        <v>NON</v>
      </c>
      <c r="G1424" s="23" t="str">
        <f>'COMMERCIAL 2019 - 2021'!O2026</f>
        <v>France</v>
      </c>
      <c r="H1424" s="893">
        <f>'COMMERCIAL 2019 - 2021'!P2026</f>
        <v>0</v>
      </c>
      <c r="I1424" s="15">
        <f>'COMMERCIAL 2019 - 2021'!Q2026</f>
        <v>1600</v>
      </c>
      <c r="J1424" s="870">
        <v>1</v>
      </c>
      <c r="K1424" s="15">
        <f>'COMMERCIAL 2019 - 2021'!R2026</f>
        <v>3168</v>
      </c>
      <c r="L1424" s="870">
        <v>1</v>
      </c>
      <c r="M1424" s="15">
        <f>'COMMERCIAL 2019 - 2021'!S2026</f>
        <v>0</v>
      </c>
      <c r="N1424" s="295"/>
      <c r="O1424" s="15">
        <f>'COMMERCIAL 2019 - 2021'!T2026</f>
        <v>1680</v>
      </c>
      <c r="P1424" s="870">
        <v>1</v>
      </c>
      <c r="Q1424" s="15">
        <f>'COMMERCIAL 2019 - 2021'!U2026</f>
        <v>6448</v>
      </c>
    </row>
    <row r="1425" spans="1:17">
      <c r="A1425" s="892" t="str">
        <f>'COMMERCIAL 2019 - 2021'!D2027</f>
        <v>FAE-25-00147</v>
      </c>
      <c r="B1425" s="896" t="str">
        <f>'COMMERCIAL 2019 - 2021'!F2027</f>
        <v>13/05/2025</v>
      </c>
      <c r="C1425" s="23">
        <f>'COMMERCIAL 2019 - 2021'!G2027</f>
        <v>2025</v>
      </c>
      <c r="D1425" s="23" t="str">
        <f>'COMMERCIAL 2019 - 2021'!H2027</f>
        <v>CE2017</v>
      </c>
      <c r="E1425" s="23" t="str">
        <f>'COMMERCIAL 2019 - 2021'!I2027</f>
        <v>SAHEL INTERNATIONAL TRADE</v>
      </c>
      <c r="F1425" s="23" t="str">
        <f>'COMMERCIAL 2019 - 2021'!N2027</f>
        <v>OUI</v>
      </c>
      <c r="G1425" s="23" t="str">
        <f>'COMMERCIAL 2019 - 2021'!O2027</f>
        <v>Burkina Faso</v>
      </c>
      <c r="H1425" s="893">
        <f>'COMMERCIAL 2019 - 2021'!P2027</f>
        <v>45799</v>
      </c>
      <c r="I1425" s="15">
        <f>'COMMERCIAL 2019 - 2021'!Q2027</f>
        <v>7000</v>
      </c>
      <c r="J1425" s="870">
        <v>1</v>
      </c>
      <c r="K1425" s="15">
        <f>'COMMERCIAL 2019 - 2021'!R2027</f>
        <v>40212</v>
      </c>
      <c r="L1425" s="841" t="s">
        <v>21173</v>
      </c>
      <c r="M1425" s="15">
        <f>'COMMERCIAL 2019 - 2021'!S2027</f>
        <v>5004</v>
      </c>
      <c r="N1425" s="841" t="s">
        <v>20347</v>
      </c>
      <c r="O1425" s="15">
        <f>'COMMERCIAL 2019 - 2021'!T2027</f>
        <v>0</v>
      </c>
      <c r="P1425" s="16"/>
      <c r="Q1425" s="15">
        <f>'COMMERCIAL 2019 - 2021'!U2027</f>
        <v>52216</v>
      </c>
    </row>
    <row r="1426" spans="1:17">
      <c r="A1426" s="892" t="str">
        <f>'COMMERCIAL 2019 - 2021'!D2028</f>
        <v>FAE-25-00148</v>
      </c>
      <c r="B1426" s="896" t="str">
        <f>'COMMERCIAL 2019 - 2021'!F2028</f>
        <v>13/05/2025</v>
      </c>
      <c r="C1426" s="23">
        <f>'COMMERCIAL 2019 - 2021'!G2028</f>
        <v>2025</v>
      </c>
      <c r="D1426" s="23" t="str">
        <f>'COMMERCIAL 2019 - 2021'!H2028</f>
        <v>CE2154</v>
      </c>
      <c r="E1426" s="23" t="str">
        <f>'COMMERCIAL 2019 - 2021'!I2028</f>
        <v>SODIFRAM SAS</v>
      </c>
      <c r="F1426" s="23" t="str">
        <f>'COMMERCIAL 2019 - 2021'!N2028</f>
        <v>OUI</v>
      </c>
      <c r="G1426" s="23" t="str">
        <f>'COMMERCIAL 2019 - 2021'!O2028</f>
        <v>Mayotte</v>
      </c>
      <c r="H1426" s="893">
        <f>'COMMERCIAL 2019 - 2021'!P2028</f>
        <v>45797</v>
      </c>
      <c r="I1426" s="15">
        <f>'COMMERCIAL 2019 - 2021'!Q2028</f>
        <v>0</v>
      </c>
      <c r="J1426" s="894"/>
      <c r="K1426" s="15">
        <f>'COMMERCIAL 2019 - 2021'!R2028</f>
        <v>14164</v>
      </c>
      <c r="L1426" s="870">
        <v>1</v>
      </c>
      <c r="M1426" s="15">
        <f>'COMMERCIAL 2019 - 2021'!S2028</f>
        <v>10556</v>
      </c>
      <c r="N1426" s="870">
        <v>1</v>
      </c>
      <c r="O1426" s="15">
        <f>'COMMERCIAL 2019 - 2021'!T2028</f>
        <v>0</v>
      </c>
      <c r="P1426" s="16"/>
      <c r="Q1426" s="15">
        <f>'COMMERCIAL 2019 - 2021'!U2028</f>
        <v>24720</v>
      </c>
    </row>
    <row r="1427" spans="1:17">
      <c r="A1427" s="892" t="str">
        <f>'COMMERCIAL 2019 - 2021'!D2029</f>
        <v>FAE-25-00149</v>
      </c>
      <c r="B1427" s="896" t="str">
        <f>'COMMERCIAL 2019 - 2021'!F2029</f>
        <v>13/05/2025</v>
      </c>
      <c r="C1427" s="23">
        <f>'COMMERCIAL 2019 - 2021'!G2029</f>
        <v>2025</v>
      </c>
      <c r="D1427" s="23" t="str">
        <f>'COMMERCIAL 2019 - 2021'!H2029</f>
        <v>CE2154</v>
      </c>
      <c r="E1427" s="23" t="str">
        <f>'COMMERCIAL 2019 - 2021'!I2029</f>
        <v>SODIFRAM SAS</v>
      </c>
      <c r="F1427" s="23" t="str">
        <f>'COMMERCIAL 2019 - 2021'!N2029</f>
        <v>OUI</v>
      </c>
      <c r="G1427" s="23" t="str">
        <f>'COMMERCIAL 2019 - 2021'!O2029</f>
        <v>Mayotte</v>
      </c>
      <c r="H1427" s="893">
        <f>'COMMERCIAL 2019 - 2021'!P2029</f>
        <v>45808</v>
      </c>
      <c r="I1427" s="15">
        <f>'COMMERCIAL 2019 - 2021'!Q2029</f>
        <v>0</v>
      </c>
      <c r="J1427" s="894"/>
      <c r="K1427" s="15">
        <f>'COMMERCIAL 2019 - 2021'!R2029</f>
        <v>14516</v>
      </c>
      <c r="L1427" s="870">
        <v>1</v>
      </c>
      <c r="M1427" s="15">
        <f>'COMMERCIAL 2019 - 2021'!S2029</f>
        <v>6400</v>
      </c>
      <c r="N1427" s="870">
        <v>1</v>
      </c>
      <c r="O1427" s="15">
        <f>'COMMERCIAL 2019 - 2021'!T2029</f>
        <v>0</v>
      </c>
      <c r="P1427" s="16"/>
      <c r="Q1427" s="15">
        <f>'COMMERCIAL 2019 - 2021'!U2029</f>
        <v>20916</v>
      </c>
    </row>
    <row r="1428" spans="1:17">
      <c r="A1428" s="892" t="str">
        <f>'COMMERCIAL 2019 - 2021'!D2030</f>
        <v>FAE-25-00150</v>
      </c>
      <c r="B1428" s="896" t="str">
        <f>'COMMERCIAL 2019 - 2021'!F2030</f>
        <v>13/05/2025</v>
      </c>
      <c r="C1428" s="23">
        <f>'COMMERCIAL 2019 - 2021'!G2030</f>
        <v>2025</v>
      </c>
      <c r="D1428" s="23" t="str">
        <f>'COMMERCIAL 2019 - 2021'!H2030</f>
        <v>CE2154</v>
      </c>
      <c r="E1428" s="23" t="str">
        <f>'COMMERCIAL 2019 - 2021'!I2030</f>
        <v>SODIFRAM SAS</v>
      </c>
      <c r="F1428" s="23" t="str">
        <f>'COMMERCIAL 2019 - 2021'!N2030</f>
        <v>OUI</v>
      </c>
      <c r="G1428" s="23" t="str">
        <f>'COMMERCIAL 2019 - 2021'!O2030</f>
        <v>Mayotte</v>
      </c>
      <c r="H1428" s="893">
        <f>'COMMERCIAL 2019 - 2021'!P2030</f>
        <v>45808</v>
      </c>
      <c r="I1428" s="15">
        <f>'COMMERCIAL 2019 - 2021'!Q2030</f>
        <v>0</v>
      </c>
      <c r="J1428" s="894"/>
      <c r="K1428" s="15">
        <f>'COMMERCIAL 2019 - 2021'!R2030</f>
        <v>15984</v>
      </c>
      <c r="L1428" s="870">
        <v>1</v>
      </c>
      <c r="M1428" s="15">
        <f>'COMMERCIAL 2019 - 2021'!S2030</f>
        <v>8450</v>
      </c>
      <c r="N1428" s="870">
        <v>1</v>
      </c>
      <c r="O1428" s="15">
        <f>'COMMERCIAL 2019 - 2021'!T2030</f>
        <v>0</v>
      </c>
      <c r="P1428" s="16"/>
      <c r="Q1428" s="15">
        <f>'COMMERCIAL 2019 - 2021'!U2030</f>
        <v>24434</v>
      </c>
    </row>
    <row r="1429" spans="1:17">
      <c r="A1429" s="892" t="str">
        <f>'COMMERCIAL 2019 - 2021'!D2031</f>
        <v>FAE-25-00151</v>
      </c>
      <c r="B1429" s="896" t="str">
        <f>'COMMERCIAL 2019 - 2021'!F2031</f>
        <v>13/05/2025</v>
      </c>
      <c r="C1429" s="23">
        <f>'COMMERCIAL 2019 - 2021'!G2031</f>
        <v>2025</v>
      </c>
      <c r="D1429" s="23" t="str">
        <f>'COMMERCIAL 2019 - 2021'!H2031</f>
        <v>CE2154</v>
      </c>
      <c r="E1429" s="23" t="str">
        <f>'COMMERCIAL 2019 - 2021'!I2031</f>
        <v>SODIFRAM SAS</v>
      </c>
      <c r="F1429" s="23" t="str">
        <f>'COMMERCIAL 2019 - 2021'!N2031</f>
        <v>OUI</v>
      </c>
      <c r="G1429" s="23" t="str">
        <f>'COMMERCIAL 2019 - 2021'!O2031</f>
        <v>Mayotte</v>
      </c>
      <c r="H1429" s="893">
        <f>'COMMERCIAL 2019 - 2021'!P2031</f>
        <v>45807</v>
      </c>
      <c r="I1429" s="15">
        <f>'COMMERCIAL 2019 - 2021'!Q2031</f>
        <v>0</v>
      </c>
      <c r="J1429" s="894"/>
      <c r="K1429" s="15">
        <f>'COMMERCIAL 2019 - 2021'!R2031</f>
        <v>15614</v>
      </c>
      <c r="L1429" s="870">
        <v>1</v>
      </c>
      <c r="M1429" s="15">
        <f>'COMMERCIAL 2019 - 2021'!S2031</f>
        <v>8106</v>
      </c>
      <c r="N1429" s="870">
        <v>1</v>
      </c>
      <c r="O1429" s="15">
        <f>'COMMERCIAL 2019 - 2021'!T2031</f>
        <v>0</v>
      </c>
      <c r="P1429" s="16"/>
      <c r="Q1429" s="15">
        <f>'COMMERCIAL 2019 - 2021'!U2031</f>
        <v>23720</v>
      </c>
    </row>
    <row r="1430" spans="1:17">
      <c r="A1430" s="892" t="str">
        <f>'COMMERCIAL 2019 - 2021'!D2032</f>
        <v>FAE-25-00152</v>
      </c>
      <c r="B1430" s="896" t="str">
        <f>'COMMERCIAL 2019 - 2021'!F2032</f>
        <v>13/05/2025</v>
      </c>
      <c r="C1430" s="23">
        <f>'COMMERCIAL 2019 - 2021'!G2032</f>
        <v>2025</v>
      </c>
      <c r="D1430" s="23" t="str">
        <f>'COMMERCIAL 2019 - 2021'!H2032</f>
        <v>CE2269</v>
      </c>
      <c r="E1430" s="23" t="str">
        <f>'COMMERCIAL 2019 - 2021'!I2032</f>
        <v>DEBENHAM</v>
      </c>
      <c r="F1430" s="23" t="str">
        <f>'COMMERCIAL 2019 - 2021'!N2032</f>
        <v>NON</v>
      </c>
      <c r="G1430" s="23" t="str">
        <f>'COMMERCIAL 2019 - 2021'!O2032</f>
        <v>Burandi</v>
      </c>
      <c r="H1430" s="893">
        <f>'COMMERCIAL 2019 - 2021'!P2032</f>
        <v>0</v>
      </c>
      <c r="I1430" s="15">
        <f>'COMMERCIAL 2019 - 2021'!Q2032</f>
        <v>0</v>
      </c>
      <c r="J1430" s="894"/>
      <c r="K1430" s="15">
        <f>'COMMERCIAL 2019 - 2021'!R2032</f>
        <v>0</v>
      </c>
      <c r="L1430" s="295"/>
      <c r="M1430" s="15">
        <f>'COMMERCIAL 2019 - 2021'!S2032</f>
        <v>52000</v>
      </c>
      <c r="N1430" s="841" t="s">
        <v>20347</v>
      </c>
      <c r="O1430" s="15">
        <f>'COMMERCIAL 2019 - 2021'!T2032</f>
        <v>0</v>
      </c>
      <c r="P1430" s="16"/>
      <c r="Q1430" s="15">
        <f>'COMMERCIAL 2019 - 2021'!U2032</f>
        <v>52000</v>
      </c>
    </row>
    <row r="1431" spans="1:17">
      <c r="A1431" s="892" t="str">
        <f>'COMMERCIAL 2019 - 2021'!D2033</f>
        <v>FAE-25-00153</v>
      </c>
      <c r="B1431" s="896" t="str">
        <f>'COMMERCIAL 2019 - 2021'!F2033</f>
        <v>14/05/2025</v>
      </c>
      <c r="C1431" s="23">
        <f>'COMMERCIAL 2019 - 2021'!G2033</f>
        <v>2025</v>
      </c>
      <c r="D1431" s="23" t="str">
        <f>'COMMERCIAL 2019 - 2021'!H2033</f>
        <v>CE2295</v>
      </c>
      <c r="E1431" s="23" t="str">
        <f>'COMMERCIAL 2019 - 2021'!I2033</f>
        <v>ALMOSTAWRED ALJADEED CO. FOR IMPORT</v>
      </c>
      <c r="F1431" s="23" t="str">
        <f>'COMMERCIAL 2019 - 2021'!N2033</f>
        <v>OUI</v>
      </c>
      <c r="G1431" s="23" t="str">
        <f>'COMMERCIAL 2019 - 2021'!O2033</f>
        <v>Libye</v>
      </c>
      <c r="H1431" s="893">
        <f>'COMMERCIAL 2019 - 2021'!P2033</f>
        <v>45799</v>
      </c>
      <c r="I1431" s="15">
        <f>'COMMERCIAL 2019 - 2021'!Q2033</f>
        <v>24000</v>
      </c>
      <c r="J1431" s="870">
        <v>1</v>
      </c>
      <c r="K1431" s="15">
        <f>'COMMERCIAL 2019 - 2021'!R2033</f>
        <v>0</v>
      </c>
      <c r="L1431" s="295"/>
      <c r="M1431" s="15">
        <f>'COMMERCIAL 2019 - 2021'!S2033</f>
        <v>0</v>
      </c>
      <c r="N1431" s="295"/>
      <c r="O1431" s="15">
        <f>'COMMERCIAL 2019 - 2021'!T2033</f>
        <v>0</v>
      </c>
      <c r="P1431" s="16"/>
      <c r="Q1431" s="15">
        <f>'COMMERCIAL 2019 - 2021'!U2033</f>
        <v>24000</v>
      </c>
    </row>
    <row r="1432" spans="1:17">
      <c r="A1432" s="892" t="str">
        <f>'COMMERCIAL 2019 - 2021'!D2034</f>
        <v>FAE-25-00154</v>
      </c>
      <c r="B1432" s="896" t="str">
        <f>'COMMERCIAL 2019 - 2021'!F2034</f>
        <v>16/05/2025</v>
      </c>
      <c r="C1432" s="23">
        <f>'COMMERCIAL 2019 - 2021'!G2034</f>
        <v>2025</v>
      </c>
      <c r="D1432" s="23" t="str">
        <f>'COMMERCIAL 2019 - 2021'!H2034</f>
        <v>CE2097</v>
      </c>
      <c r="E1432" s="23" t="str">
        <f>'COMMERCIAL 2019 - 2021'!I2034</f>
        <v>JP BEEMSTERBOER BV</v>
      </c>
      <c r="F1432" s="23" t="str">
        <f>'COMMERCIAL 2019 - 2021'!N2034</f>
        <v>OUI</v>
      </c>
      <c r="G1432" s="23" t="str">
        <f>'COMMERCIAL 2019 - 2021'!O2034</f>
        <v>Sierra Leone</v>
      </c>
      <c r="H1432" s="893">
        <f>'COMMERCIAL 2019 - 2021'!P2034</f>
        <v>45804</v>
      </c>
      <c r="I1432" s="15">
        <f>'COMMERCIAL 2019 - 2021'!Q2034</f>
        <v>110040</v>
      </c>
      <c r="J1432" s="870">
        <v>1</v>
      </c>
      <c r="K1432" s="15">
        <f>'COMMERCIAL 2019 - 2021'!R2034</f>
        <v>0</v>
      </c>
      <c r="L1432" s="295"/>
      <c r="M1432" s="15">
        <f>'COMMERCIAL 2019 - 2021'!S2034</f>
        <v>0</v>
      </c>
      <c r="N1432" s="295"/>
      <c r="O1432" s="15">
        <f>'COMMERCIAL 2019 - 2021'!T2034</f>
        <v>0</v>
      </c>
      <c r="P1432" s="16"/>
      <c r="Q1432" s="15">
        <f>'COMMERCIAL 2019 - 2021'!U2034</f>
        <v>110040</v>
      </c>
    </row>
    <row r="1433" spans="1:17">
      <c r="A1433" s="892" t="str">
        <f>'COMMERCIAL 2019 - 2021'!D2035</f>
        <v>FAE-25-00155</v>
      </c>
      <c r="B1433" s="896" t="str">
        <f>'COMMERCIAL 2019 - 2021'!F2035</f>
        <v>16/05/2025</v>
      </c>
      <c r="C1433" s="23">
        <f>'COMMERCIAL 2019 - 2021'!G2035</f>
        <v>2025</v>
      </c>
      <c r="D1433" s="23" t="str">
        <f>'COMMERCIAL 2019 - 2021'!H2035</f>
        <v>CE22100</v>
      </c>
      <c r="E1433" s="23" t="str">
        <f>'COMMERCIAL 2019 - 2021'!I2035</f>
        <v>UBL</v>
      </c>
      <c r="F1433" s="23" t="str">
        <f>'COMMERCIAL 2019 - 2021'!N2035</f>
        <v>OUI</v>
      </c>
      <c r="G1433" s="23" t="str">
        <f>'COMMERCIAL 2019 - 2021'!O2035</f>
        <v>Qatar</v>
      </c>
      <c r="H1433" s="893">
        <f>'COMMERCIAL 2019 - 2021'!P2035</f>
        <v>45805</v>
      </c>
      <c r="I1433" s="15">
        <f>'COMMERCIAL 2019 - 2021'!Q2035</f>
        <v>0</v>
      </c>
      <c r="J1433" s="894"/>
      <c r="K1433" s="15">
        <f>'COMMERCIAL 2019 - 2021'!R2035</f>
        <v>0</v>
      </c>
      <c r="L1433" s="295"/>
      <c r="M1433" s="15">
        <f>'COMMERCIAL 2019 - 2021'!S2035</f>
        <v>27840</v>
      </c>
      <c r="N1433" s="870">
        <v>1</v>
      </c>
      <c r="O1433" s="15">
        <f>'COMMERCIAL 2019 - 2021'!T2035</f>
        <v>0</v>
      </c>
      <c r="P1433" s="16"/>
      <c r="Q1433" s="15">
        <f>'COMMERCIAL 2019 - 2021'!U2035</f>
        <v>27840</v>
      </c>
    </row>
    <row r="1434" spans="1:17">
      <c r="A1434" s="892" t="str">
        <f>'COMMERCIAL 2019 - 2021'!D2036</f>
        <v>FAE-25-00156</v>
      </c>
      <c r="B1434" s="896" t="str">
        <f>'COMMERCIAL 2019 - 2021'!F2036</f>
        <v>26/05/2025</v>
      </c>
      <c r="C1434" s="23">
        <f>'COMMERCIAL 2019 - 2021'!G2036</f>
        <v>2025</v>
      </c>
      <c r="D1434" s="23" t="str">
        <f>'COMMERCIAL 2019 - 2021'!H2036</f>
        <v>CE2275</v>
      </c>
      <c r="E1434" s="23" t="str">
        <f>'COMMERCIAL 2019 - 2021'!I2036</f>
        <v>SODIC</v>
      </c>
      <c r="F1434" s="23" t="str">
        <f>'COMMERCIAL 2019 - 2021'!N2036</f>
        <v>OUI</v>
      </c>
      <c r="G1434" s="23" t="str">
        <f>'COMMERCIAL 2019 - 2021'!O2036</f>
        <v>France</v>
      </c>
      <c r="H1434" s="893">
        <f>'COMMERCIAL 2019 - 2021'!P2036</f>
        <v>45806</v>
      </c>
      <c r="I1434" s="15">
        <f>'COMMERCIAL 2019 - 2021'!Q2036</f>
        <v>1600</v>
      </c>
      <c r="J1434" s="870">
        <v>1</v>
      </c>
      <c r="K1434" s="15">
        <f>'COMMERCIAL 2019 - 2021'!R2036</f>
        <v>28622</v>
      </c>
      <c r="L1434" s="870">
        <v>1</v>
      </c>
      <c r="M1434" s="15">
        <f>'COMMERCIAL 2019 - 2021'!S2036</f>
        <v>8400</v>
      </c>
      <c r="N1434" s="870">
        <v>1</v>
      </c>
      <c r="O1434" s="15">
        <f>'COMMERCIAL 2019 - 2021'!T2036</f>
        <v>3800</v>
      </c>
      <c r="P1434" s="870">
        <v>1</v>
      </c>
      <c r="Q1434" s="15">
        <f>'COMMERCIAL 2019 - 2021'!U2036</f>
        <v>42422</v>
      </c>
    </row>
    <row r="1435" spans="1:17">
      <c r="A1435" s="892" t="str">
        <f>'COMMERCIAL 2019 - 2021'!D2037</f>
        <v>FAE-25-00157</v>
      </c>
      <c r="B1435" s="896">
        <f>'COMMERCIAL 2019 - 2021'!F2037</f>
        <v>45817</v>
      </c>
      <c r="C1435" s="23">
        <f>'COMMERCIAL 2019 - 2021'!G2037</f>
        <v>2025</v>
      </c>
      <c r="D1435" s="23" t="str">
        <f>'COMMERCIAL 2019 - 2021'!H2037</f>
        <v>CE2295</v>
      </c>
      <c r="E1435" s="23" t="str">
        <f>'COMMERCIAL 2019 - 2021'!I2037</f>
        <v>ALMOSTAWRED ALJADEED CO. FOR IMPORT</v>
      </c>
      <c r="F1435" s="23" t="str">
        <f>'COMMERCIAL 2019 - 2021'!N2037</f>
        <v>OUI</v>
      </c>
      <c r="G1435" s="23" t="str">
        <f>'COMMERCIAL 2019 - 2021'!O2037</f>
        <v>Libye</v>
      </c>
      <c r="H1435" s="893">
        <f>'COMMERCIAL 2019 - 2021'!P2037</f>
        <v>45831</v>
      </c>
      <c r="I1435" s="15">
        <f>'COMMERCIAL 2019 - 2021'!Q2037</f>
        <v>0</v>
      </c>
      <c r="J1435" s="894"/>
      <c r="K1435" s="15">
        <f>'COMMERCIAL 2019 - 2021'!R2037</f>
        <v>0</v>
      </c>
      <c r="L1435" s="295"/>
      <c r="M1435" s="15">
        <f>'COMMERCIAL 2019 - 2021'!S2037</f>
        <v>0</v>
      </c>
      <c r="N1435" s="295"/>
      <c r="O1435" s="15">
        <f>'COMMERCIAL 2019 - 2021'!T2037</f>
        <v>16250</v>
      </c>
      <c r="P1435" s="870">
        <v>1</v>
      </c>
      <c r="Q1435" s="15">
        <f>'COMMERCIAL 2019 - 2021'!U2037</f>
        <v>16250</v>
      </c>
    </row>
    <row r="1436" spans="1:17">
      <c r="A1436" s="892" t="str">
        <f>'COMMERCIAL 2019 - 2021'!D2038</f>
        <v>FAE-25-00158</v>
      </c>
      <c r="B1436" s="896">
        <f>'COMMERCIAL 2019 - 2021'!F2038</f>
        <v>45817</v>
      </c>
      <c r="C1436" s="23">
        <f>'COMMERCIAL 2019 - 2021'!G2038</f>
        <v>2025</v>
      </c>
      <c r="D1436" s="23" t="str">
        <f>'COMMERCIAL 2019 - 2021'!H2038</f>
        <v>CE2289</v>
      </c>
      <c r="E1436" s="23" t="str">
        <f>'COMMERCIAL 2019 - 2021'!I2038</f>
        <v>STE AL AKIL</v>
      </c>
      <c r="F1436" s="23" t="str">
        <f>'COMMERCIAL 2019 - 2021'!N2038</f>
        <v>OUI</v>
      </c>
      <c r="G1436" s="23" t="str">
        <f>'COMMERCIAL 2019 - 2021'!O2038</f>
        <v>Libye</v>
      </c>
      <c r="H1436" s="893">
        <f>'COMMERCIAL 2019 - 2021'!P2038</f>
        <v>45824</v>
      </c>
      <c r="I1436" s="15">
        <f>'COMMERCIAL 2019 - 2021'!Q2038</f>
        <v>200011</v>
      </c>
      <c r="J1436" s="359" t="s">
        <v>20345</v>
      </c>
      <c r="K1436" s="15">
        <f>'COMMERCIAL 2019 - 2021'!R2038</f>
        <v>0</v>
      </c>
      <c r="L1436" s="295"/>
      <c r="M1436" s="15">
        <f>'COMMERCIAL 2019 - 2021'!S2038</f>
        <v>0</v>
      </c>
      <c r="N1436" s="295"/>
      <c r="O1436" s="15">
        <f>'COMMERCIAL 2019 - 2021'!T2038</f>
        <v>0</v>
      </c>
      <c r="P1436" s="16"/>
      <c r="Q1436" s="15">
        <f>'COMMERCIAL 2019 - 2021'!U2038</f>
        <v>200011</v>
      </c>
    </row>
    <row r="1437" spans="1:17">
      <c r="A1437" s="892" t="str">
        <f>'COMMERCIAL 2019 - 2021'!D2039</f>
        <v>FAE-25-00159</v>
      </c>
      <c r="B1437" s="896" t="str">
        <f>'COMMERCIAL 2019 - 2021'!F2039</f>
        <v>23/06/2025</v>
      </c>
      <c r="C1437" s="23">
        <f>'COMMERCIAL 2019 - 2021'!G2039</f>
        <v>2025</v>
      </c>
      <c r="D1437" s="23" t="str">
        <f>'COMMERCIAL 2019 - 2021'!H2039</f>
        <v>CE2247</v>
      </c>
      <c r="E1437" s="23" t="str">
        <f>'COMMERCIAL 2019 - 2021'!I2039</f>
        <v>MATMATA TRADING</v>
      </c>
      <c r="F1437" s="23" t="str">
        <f>'COMMERCIAL 2019 - 2021'!N2039</f>
        <v>OUI</v>
      </c>
      <c r="G1437" s="23" t="str">
        <f>'COMMERCIAL 2019 - 2021'!O2039</f>
        <v>Mauritanie</v>
      </c>
      <c r="H1437" s="893">
        <f>'COMMERCIAL 2019 - 2021'!P2039</f>
        <v>45831</v>
      </c>
      <c r="I1437" s="15">
        <f>'COMMERCIAL 2019 - 2021'!Q2039</f>
        <v>0</v>
      </c>
      <c r="J1437" s="894"/>
      <c r="K1437" s="15">
        <f>'COMMERCIAL 2019 - 2021'!R2039</f>
        <v>0</v>
      </c>
      <c r="L1437" s="295"/>
      <c r="M1437" s="15">
        <f>'COMMERCIAL 2019 - 2021'!S2039</f>
        <v>26000</v>
      </c>
      <c r="N1437" s="841" t="s">
        <v>20347</v>
      </c>
      <c r="O1437" s="15">
        <f>'COMMERCIAL 2019 - 2021'!T2039</f>
        <v>0</v>
      </c>
      <c r="P1437" s="16"/>
      <c r="Q1437" s="15">
        <f>'COMMERCIAL 2019 - 2021'!U2039</f>
        <v>26000</v>
      </c>
    </row>
    <row r="1438" spans="1:17">
      <c r="A1438" s="892" t="str">
        <f>'COMMERCIAL 2019 - 2021'!D2040</f>
        <v>FAE-25-00160</v>
      </c>
      <c r="B1438" s="896">
        <f>'COMMERCIAL 2019 - 2021'!F2040</f>
        <v>45819</v>
      </c>
      <c r="C1438" s="23">
        <f>'COMMERCIAL 2019 - 2021'!G2040</f>
        <v>2025</v>
      </c>
      <c r="D1438" s="23" t="str">
        <f>'COMMERCIAL 2019 - 2021'!H2040</f>
        <v>CE2178</v>
      </c>
      <c r="E1438" s="23" t="str">
        <f>'COMMERCIAL 2019 - 2021'!I2040</f>
        <v>ARCADIA</v>
      </c>
      <c r="F1438" s="23" t="str">
        <f>'COMMERCIAL 2019 - 2021'!N2040</f>
        <v>OUI</v>
      </c>
      <c r="G1438" s="23" t="str">
        <f>'COMMERCIAL 2019 - 2021'!O2040</f>
        <v>UK</v>
      </c>
      <c r="H1438" s="893">
        <f>'COMMERCIAL 2019 - 2021'!P2040</f>
        <v>45832</v>
      </c>
      <c r="I1438" s="15">
        <f>'COMMERCIAL 2019 - 2021'!Q2040</f>
        <v>20000</v>
      </c>
      <c r="J1438" s="870">
        <v>1</v>
      </c>
      <c r="K1438" s="15">
        <f>'COMMERCIAL 2019 - 2021'!R2040</f>
        <v>0</v>
      </c>
      <c r="L1438" s="295"/>
      <c r="M1438" s="15">
        <f>'COMMERCIAL 2019 - 2021'!S2040</f>
        <v>0</v>
      </c>
      <c r="N1438" s="295"/>
      <c r="O1438" s="15">
        <f>'COMMERCIAL 2019 - 2021'!T2040</f>
        <v>0</v>
      </c>
      <c r="P1438" s="16"/>
      <c r="Q1438" s="15">
        <f>'COMMERCIAL 2019 - 2021'!U2040</f>
        <v>20000</v>
      </c>
    </row>
    <row r="1439" spans="1:17">
      <c r="A1439" s="892" t="str">
        <f>'COMMERCIAL 2019 - 2021'!D2041</f>
        <v>FAE-25-00161</v>
      </c>
      <c r="B1439" s="896">
        <f>'COMMERCIAL 2019 - 2021'!F2041</f>
        <v>45819</v>
      </c>
      <c r="C1439" s="23">
        <f>'COMMERCIAL 2019 - 2021'!G2041</f>
        <v>2025</v>
      </c>
      <c r="D1439" s="23" t="str">
        <f>'COMMERCIAL 2019 - 2021'!H2041</f>
        <v>CE2001</v>
      </c>
      <c r="E1439" s="23" t="str">
        <f>'COMMERCIAL 2019 - 2021'!I2041</f>
        <v>STE DE COMMERCE INTERNATIONAL</v>
      </c>
      <c r="F1439" s="23" t="str">
        <f>'COMMERCIAL 2019 - 2021'!N2041</f>
        <v>OUI</v>
      </c>
      <c r="G1439" s="23" t="str">
        <f>'COMMERCIAL 2019 - 2021'!O2041</f>
        <v>Togo</v>
      </c>
      <c r="H1439" s="893">
        <f>'COMMERCIAL 2019 - 2021'!P2041</f>
        <v>45832</v>
      </c>
      <c r="I1439" s="15">
        <f>'COMMERCIAL 2019 - 2021'!Q2041</f>
        <v>21600</v>
      </c>
      <c r="J1439" s="870">
        <v>1</v>
      </c>
      <c r="K1439" s="15">
        <f>'COMMERCIAL 2019 - 2021'!R2041</f>
        <v>0</v>
      </c>
      <c r="L1439" s="295"/>
      <c r="M1439" s="15">
        <f>'COMMERCIAL 2019 - 2021'!S2041</f>
        <v>0</v>
      </c>
      <c r="N1439" s="295"/>
      <c r="O1439" s="15">
        <f>'COMMERCIAL 2019 - 2021'!T2041</f>
        <v>0</v>
      </c>
      <c r="P1439" s="16"/>
      <c r="Q1439" s="15">
        <f>'COMMERCIAL 2019 - 2021'!U2041</f>
        <v>21600</v>
      </c>
    </row>
    <row r="1440" spans="1:17">
      <c r="A1440" s="892" t="str">
        <f>'COMMERCIAL 2019 - 2021'!D2042</f>
        <v>FAE-25-00162</v>
      </c>
      <c r="B1440" s="896">
        <f>'COMMERCIAL 2019 - 2021'!F2042</f>
        <v>45819</v>
      </c>
      <c r="C1440" s="23">
        <f>'COMMERCIAL 2019 - 2021'!G2042</f>
        <v>2025</v>
      </c>
      <c r="D1440" s="23" t="str">
        <f>'COMMERCIAL 2019 - 2021'!H2042</f>
        <v>CE2222</v>
      </c>
      <c r="E1440" s="23" t="str">
        <f>'COMMERCIAL 2019 - 2021'!I2042</f>
        <v>ABOURA FOODS</v>
      </c>
      <c r="F1440" s="23" t="str">
        <f>'COMMERCIAL 2019 - 2021'!N2042</f>
        <v>OUI</v>
      </c>
      <c r="G1440" s="23" t="str">
        <f>'COMMERCIAL 2019 - 2021'!O2042</f>
        <v>Jordanie</v>
      </c>
      <c r="H1440" s="893">
        <f>'COMMERCIAL 2019 - 2021'!P2042</f>
        <v>45824</v>
      </c>
      <c r="I1440" s="15">
        <f>'COMMERCIAL 2019 - 2021'!Q2042</f>
        <v>15000</v>
      </c>
      <c r="J1440" s="870">
        <v>1</v>
      </c>
      <c r="K1440" s="15">
        <f>'COMMERCIAL 2019 - 2021'!R2042</f>
        <v>8100</v>
      </c>
      <c r="L1440" s="870">
        <v>1</v>
      </c>
      <c r="M1440" s="15">
        <f>'COMMERCIAL 2019 - 2021'!S2042</f>
        <v>0</v>
      </c>
      <c r="N1440" s="295"/>
      <c r="O1440" s="15">
        <f>'COMMERCIAL 2019 - 2021'!T2042</f>
        <v>0</v>
      </c>
      <c r="P1440" s="16"/>
      <c r="Q1440" s="15">
        <f>'COMMERCIAL 2019 - 2021'!U2042</f>
        <v>23100</v>
      </c>
    </row>
    <row r="1441" spans="1:17">
      <c r="A1441" s="892" t="str">
        <f>'COMMERCIAL 2019 - 2021'!D2043</f>
        <v>FAE-25-00163</v>
      </c>
      <c r="B1441" s="896">
        <f>'COMMERCIAL 2019 - 2021'!F2043</f>
        <v>45820</v>
      </c>
      <c r="C1441" s="23">
        <f>'COMMERCIAL 2019 - 2021'!G2043</f>
        <v>2025</v>
      </c>
      <c r="D1441" s="23" t="str">
        <f>'COMMERCIAL 2019 - 2021'!H2043</f>
        <v>CE2001</v>
      </c>
      <c r="E1441" s="23" t="str">
        <f>'COMMERCIAL 2019 - 2021'!I2043</f>
        <v>STE DE COMMERCE INTERNATIONAL</v>
      </c>
      <c r="F1441" s="23" t="str">
        <f>'COMMERCIAL 2019 - 2021'!N2043</f>
        <v>OUI</v>
      </c>
      <c r="G1441" s="23" t="str">
        <f>'COMMERCIAL 2019 - 2021'!O2043</f>
        <v>Cap Vert</v>
      </c>
      <c r="H1441" s="893">
        <f>'COMMERCIAL 2019 - 2021'!P2043</f>
        <v>45832</v>
      </c>
      <c r="I1441" s="15">
        <f>'COMMERCIAL 2019 - 2021'!Q2043</f>
        <v>0</v>
      </c>
      <c r="J1441" s="894"/>
      <c r="K1441" s="15">
        <f>'COMMERCIAL 2019 - 2021'!R2043</f>
        <v>0</v>
      </c>
      <c r="L1441" s="295"/>
      <c r="M1441" s="15">
        <f>'COMMERCIAL 2019 - 2021'!S2043</f>
        <v>56000</v>
      </c>
      <c r="N1441" s="841" t="s">
        <v>20347</v>
      </c>
      <c r="O1441" s="15">
        <f>'COMMERCIAL 2019 - 2021'!T2043</f>
        <v>0</v>
      </c>
      <c r="P1441" s="16"/>
      <c r="Q1441" s="15">
        <f>'COMMERCIAL 2019 - 2021'!U2043</f>
        <v>56000</v>
      </c>
    </row>
    <row r="1442" spans="1:17">
      <c r="A1442" s="892" t="str">
        <f>'COMMERCIAL 2019 - 2021'!D2044</f>
        <v>FAE-25-00164</v>
      </c>
      <c r="B1442" s="896" t="str">
        <f>'COMMERCIAL 2019 - 2021'!F2044</f>
        <v>13/06/2025</v>
      </c>
      <c r="C1442" s="23">
        <f>'COMMERCIAL 2019 - 2021'!G2044</f>
        <v>2025</v>
      </c>
      <c r="D1442" s="23" t="str">
        <f>'COMMERCIAL 2019 - 2021'!H2044</f>
        <v>CE2257</v>
      </c>
      <c r="E1442" s="23" t="str">
        <f>'COMMERCIAL 2019 - 2021'!I2044</f>
        <v>LAMP FALL IMP EXP - LAFFIMEX</v>
      </c>
      <c r="F1442" s="23" t="str">
        <f>'COMMERCIAL 2019 - 2021'!N2044</f>
        <v>OUI</v>
      </c>
      <c r="G1442" s="23" t="str">
        <f>'COMMERCIAL 2019 - 2021'!O2044</f>
        <v>Senegal</v>
      </c>
      <c r="H1442" s="893">
        <f>'COMMERCIAL 2019 - 2021'!P2044</f>
        <v>45828</v>
      </c>
      <c r="I1442" s="15">
        <f>'COMMERCIAL 2019 - 2021'!Q2044</f>
        <v>134400</v>
      </c>
      <c r="J1442" s="870">
        <v>1</v>
      </c>
      <c r="K1442" s="15">
        <f>'COMMERCIAL 2019 - 2021'!R2044</f>
        <v>0</v>
      </c>
      <c r="L1442" s="295"/>
      <c r="M1442" s="15">
        <f>'COMMERCIAL 2019 - 2021'!S2044</f>
        <v>0</v>
      </c>
      <c r="N1442" s="295"/>
      <c r="O1442" s="15">
        <f>'COMMERCIAL 2019 - 2021'!T2044</f>
        <v>0</v>
      </c>
      <c r="P1442" s="16"/>
      <c r="Q1442" s="15">
        <f>'COMMERCIAL 2019 - 2021'!U2044</f>
        <v>134400</v>
      </c>
    </row>
    <row r="1443" spans="1:17">
      <c r="A1443" s="892" t="str">
        <f>'COMMERCIAL 2019 - 2021'!D2045</f>
        <v>FAE-25-00165</v>
      </c>
      <c r="B1443" s="896" t="str">
        <f>'COMMERCIAL 2019 - 2021'!F2045</f>
        <v>13/06/2025</v>
      </c>
      <c r="C1443" s="23">
        <f>'COMMERCIAL 2019 - 2021'!G2045</f>
        <v>2025</v>
      </c>
      <c r="D1443" s="23" t="str">
        <f>'COMMERCIAL 2019 - 2021'!H2045</f>
        <v>CE2295</v>
      </c>
      <c r="E1443" s="23" t="str">
        <f>'COMMERCIAL 2019 - 2021'!I2045</f>
        <v>ALMOSTAWRED ALJADEED CO. FOR IMPORT</v>
      </c>
      <c r="F1443" s="23" t="str">
        <f>'COMMERCIAL 2019 - 2021'!N2045</f>
        <v>OUI</v>
      </c>
      <c r="G1443" s="23" t="str">
        <f>'COMMERCIAL 2019 - 2021'!O2045</f>
        <v>Libye</v>
      </c>
      <c r="H1443" s="893">
        <f>'COMMERCIAL 2019 - 2021'!P2045</f>
        <v>45828</v>
      </c>
      <c r="I1443" s="15">
        <f>'COMMERCIAL 2019 - 2021'!Q2045</f>
        <v>0</v>
      </c>
      <c r="J1443" s="894"/>
      <c r="K1443" s="15">
        <f>'COMMERCIAL 2019 - 2021'!R2045</f>
        <v>189120</v>
      </c>
      <c r="L1443" s="359" t="s">
        <v>20345</v>
      </c>
      <c r="M1443" s="15">
        <f>'COMMERCIAL 2019 - 2021'!S2045</f>
        <v>38800</v>
      </c>
      <c r="N1443" s="359" t="s">
        <v>20345</v>
      </c>
      <c r="O1443" s="15">
        <f>'COMMERCIAL 2019 - 2021'!T2045</f>
        <v>0</v>
      </c>
      <c r="P1443" s="16"/>
      <c r="Q1443" s="15">
        <f>'COMMERCIAL 2019 - 2021'!U2045</f>
        <v>227920</v>
      </c>
    </row>
    <row r="1444" spans="1:17">
      <c r="A1444" s="892" t="str">
        <f>'COMMERCIAL 2019 - 2021'!D2046</f>
        <v>FAE-25-00166</v>
      </c>
      <c r="B1444" s="896" t="str">
        <f>'COMMERCIAL 2019 - 2021'!F2046</f>
        <v>16/06/2025</v>
      </c>
      <c r="C1444" s="23">
        <f>'COMMERCIAL 2019 - 2021'!G2046</f>
        <v>2025</v>
      </c>
      <c r="D1444" s="23" t="str">
        <f>'COMMERCIAL 2019 - 2021'!H2046</f>
        <v>CE2240</v>
      </c>
      <c r="E1444" s="23" t="str">
        <f>'COMMERCIAL 2019 - 2021'!I2046</f>
        <v>RNK DISTRIBUTION</v>
      </c>
      <c r="F1444" s="23" t="str">
        <f>'COMMERCIAL 2019 - 2021'!N2046</f>
        <v>OUI</v>
      </c>
      <c r="G1444" s="23" t="str">
        <f>'COMMERCIAL 2019 - 2021'!O2046</f>
        <v>Madagascar</v>
      </c>
      <c r="H1444" s="893">
        <f>'COMMERCIAL 2019 - 2021'!P2046</f>
        <v>45833</v>
      </c>
      <c r="I1444" s="15">
        <f>'COMMERCIAL 2019 - 2021'!Q2046</f>
        <v>0</v>
      </c>
      <c r="J1444" s="894"/>
      <c r="K1444" s="15">
        <f>'COMMERCIAL 2019 - 2021'!R2046</f>
        <v>87600</v>
      </c>
      <c r="L1444" s="841" t="s">
        <v>21174</v>
      </c>
      <c r="M1444" s="15">
        <f>'COMMERCIAL 2019 - 2021'!S2046</f>
        <v>0</v>
      </c>
      <c r="N1444" s="295"/>
      <c r="O1444" s="15">
        <f>'COMMERCIAL 2019 - 2021'!T2046</f>
        <v>0</v>
      </c>
      <c r="P1444" s="16"/>
      <c r="Q1444" s="15">
        <f>'COMMERCIAL 2019 - 2021'!U2046</f>
        <v>87600</v>
      </c>
    </row>
    <row r="1445" spans="1:17">
      <c r="A1445" s="892" t="str">
        <f>'COMMERCIAL 2019 - 2021'!D2047</f>
        <v>FAE-25-00167</v>
      </c>
      <c r="B1445" s="896" t="str">
        <f>'COMMERCIAL 2019 - 2021'!F2047</f>
        <v>17/06/2025</v>
      </c>
      <c r="C1445" s="23">
        <f>'COMMERCIAL 2019 - 2021'!G2047</f>
        <v>2025</v>
      </c>
      <c r="D1445" s="23" t="str">
        <f>'COMMERCIAL 2019 - 2021'!H2047</f>
        <v>CE2165</v>
      </c>
      <c r="E1445" s="23" t="str">
        <f>'COMMERCIAL 2019 - 2021'!I2047</f>
        <v>ANGSTREM TRADING</v>
      </c>
      <c r="F1445" s="23" t="str">
        <f>'COMMERCIAL 2019 - 2021'!N2047</f>
        <v>OUI</v>
      </c>
      <c r="G1445" s="23" t="str">
        <f>'COMMERCIAL 2019 - 2021'!O2047</f>
        <v>Russie</v>
      </c>
      <c r="H1445" s="893">
        <f>'COMMERCIAL 2019 - 2021'!P2047</f>
        <v>45835</v>
      </c>
      <c r="I1445" s="15">
        <f>'COMMERCIAL 2019 - 2021'!Q2047</f>
        <v>20150</v>
      </c>
      <c r="J1445" s="894"/>
      <c r="K1445" s="15">
        <f>'COMMERCIAL 2019 - 2021'!R2047</f>
        <v>0</v>
      </c>
      <c r="L1445" s="295"/>
      <c r="M1445" s="15">
        <f>'COMMERCIAL 2019 - 2021'!S2047</f>
        <v>0</v>
      </c>
      <c r="N1445" s="295"/>
      <c r="O1445" s="15">
        <f>'COMMERCIAL 2019 - 2021'!T2047</f>
        <v>0</v>
      </c>
      <c r="P1445" s="16"/>
      <c r="Q1445" s="15">
        <f>'COMMERCIAL 2019 - 2021'!U2047</f>
        <v>20150</v>
      </c>
    </row>
    <row r="1446" spans="1:17">
      <c r="A1446" s="892" t="str">
        <f>'COMMERCIAL 2019 - 2021'!D2048</f>
        <v>FAE-25-00168</v>
      </c>
      <c r="B1446" s="896" t="str">
        <f>'COMMERCIAL 2019 - 2021'!F2048</f>
        <v>17/06/2025</v>
      </c>
      <c r="C1446" s="23">
        <f>'COMMERCIAL 2019 - 2021'!G2048</f>
        <v>2025</v>
      </c>
      <c r="D1446" s="23" t="str">
        <f>'COMMERCIAL 2019 - 2021'!H2048</f>
        <v>CE2017</v>
      </c>
      <c r="E1446" s="23" t="str">
        <f>'COMMERCIAL 2019 - 2021'!I2048</f>
        <v>SAHEL INTERNATIONAL TRADE</v>
      </c>
      <c r="F1446" s="23" t="str">
        <f>'COMMERCIAL 2019 - 2021'!N2048</f>
        <v>OUI</v>
      </c>
      <c r="G1446" s="23" t="str">
        <f>'COMMERCIAL 2019 - 2021'!O2048</f>
        <v>Gabon</v>
      </c>
      <c r="H1446" s="893">
        <f>'COMMERCIAL 2019 - 2021'!P2048</f>
        <v>45838</v>
      </c>
      <c r="I1446" s="15">
        <f>'COMMERCIAL 2019 - 2021'!Q2048</f>
        <v>0</v>
      </c>
      <c r="J1446" s="894"/>
      <c r="K1446" s="15">
        <f>'COMMERCIAL 2019 - 2021'!R2048</f>
        <v>0</v>
      </c>
      <c r="L1446" s="295"/>
      <c r="M1446" s="15">
        <f>'COMMERCIAL 2019 - 2021'!S2048</f>
        <v>156000</v>
      </c>
      <c r="N1446" s="841" t="s">
        <v>20347</v>
      </c>
      <c r="O1446" s="15">
        <f>'COMMERCIAL 2019 - 2021'!T2048</f>
        <v>0</v>
      </c>
      <c r="P1446" s="16"/>
      <c r="Q1446" s="15">
        <f>'COMMERCIAL 2019 - 2021'!U2048</f>
        <v>156000</v>
      </c>
    </row>
    <row r="1447" spans="1:17">
      <c r="A1447" s="892" t="str">
        <f>'COMMERCIAL 2019 - 2021'!D2049</f>
        <v>FAE-25-00169</v>
      </c>
      <c r="B1447" s="896" t="str">
        <f>'COMMERCIAL 2019 - 2021'!F2049</f>
        <v>17/06/2025</v>
      </c>
      <c r="C1447" s="23">
        <f>'COMMERCIAL 2019 - 2021'!G2049</f>
        <v>2025</v>
      </c>
      <c r="D1447" s="23" t="str">
        <f>'COMMERCIAL 2019 - 2021'!H2049</f>
        <v>CE2017</v>
      </c>
      <c r="E1447" s="23" t="str">
        <f>'COMMERCIAL 2019 - 2021'!I2049</f>
        <v>SAHEL INTERNATIONAL TRADE</v>
      </c>
      <c r="F1447" s="23" t="str">
        <f>'COMMERCIAL 2019 - 2021'!N2049</f>
        <v>OUI</v>
      </c>
      <c r="G1447" s="23" t="str">
        <f>'COMMERCIAL 2019 - 2021'!O2049</f>
        <v>Tchad</v>
      </c>
      <c r="H1447" s="893">
        <f>'COMMERCIAL 2019 - 2021'!P2049</f>
        <v>45831</v>
      </c>
      <c r="I1447" s="15">
        <f>'COMMERCIAL 2019 - 2021'!Q2049</f>
        <v>0</v>
      </c>
      <c r="J1447" s="894"/>
      <c r="K1447" s="15">
        <f>'COMMERCIAL 2019 - 2021'!R2049</f>
        <v>84000</v>
      </c>
      <c r="L1447" s="841" t="s">
        <v>21174</v>
      </c>
      <c r="M1447" s="15">
        <f>'COMMERCIAL 2019 - 2021'!S2049</f>
        <v>0</v>
      </c>
      <c r="N1447" s="295"/>
      <c r="O1447" s="15">
        <f>'COMMERCIAL 2019 - 2021'!T2049</f>
        <v>0</v>
      </c>
      <c r="P1447" s="16"/>
      <c r="Q1447" s="15">
        <f>'COMMERCIAL 2019 - 2021'!U2049</f>
        <v>84000</v>
      </c>
    </row>
    <row r="1448" spans="1:17">
      <c r="A1448" s="892" t="str">
        <f>'COMMERCIAL 2019 - 2021'!D2050</f>
        <v>FAE-25-00170</v>
      </c>
      <c r="B1448" s="896" t="str">
        <f>'COMMERCIAL 2019 - 2021'!F2050</f>
        <v>17/06/2025</v>
      </c>
      <c r="C1448" s="23">
        <f>'COMMERCIAL 2019 - 2021'!G2050</f>
        <v>2025</v>
      </c>
      <c r="D1448" s="23" t="str">
        <f>'COMMERCIAL 2019 - 2021'!H2050</f>
        <v>CE2017</v>
      </c>
      <c r="E1448" s="23" t="str">
        <f>'COMMERCIAL 2019 - 2021'!I2050</f>
        <v>SAHEL INTERNATIONAL TRADE</v>
      </c>
      <c r="F1448" s="23" t="str">
        <f>'COMMERCIAL 2019 - 2021'!N2050</f>
        <v>OUI</v>
      </c>
      <c r="G1448" s="23" t="str">
        <f>'COMMERCIAL 2019 - 2021'!O2050</f>
        <v>Tchad</v>
      </c>
      <c r="H1448" s="893">
        <f>'COMMERCIAL 2019 - 2021'!P2050</f>
        <v>45847</v>
      </c>
      <c r="I1448" s="15">
        <f>'COMMERCIAL 2019 - 2021'!Q2050</f>
        <v>43200</v>
      </c>
      <c r="J1448" s="870">
        <v>1</v>
      </c>
      <c r="K1448" s="15">
        <f>'COMMERCIAL 2019 - 2021'!R2050</f>
        <v>0</v>
      </c>
      <c r="L1448" s="295"/>
      <c r="M1448" s="15">
        <f>'COMMERCIAL 2019 - 2021'!S2050</f>
        <v>0</v>
      </c>
      <c r="N1448" s="295"/>
      <c r="O1448" s="15">
        <f>'COMMERCIAL 2019 - 2021'!T2050</f>
        <v>0</v>
      </c>
      <c r="P1448" s="16"/>
      <c r="Q1448" s="15">
        <f>'COMMERCIAL 2019 - 2021'!U2050</f>
        <v>43200</v>
      </c>
    </row>
    <row r="1449" spans="1:17">
      <c r="A1449" s="892" t="str">
        <f>'COMMERCIAL 2019 - 2021'!D2051</f>
        <v>FAE-25-00171</v>
      </c>
      <c r="B1449" s="896" t="str">
        <f>'COMMERCIAL 2019 - 2021'!F2051</f>
        <v>17/06/2025</v>
      </c>
      <c r="C1449" s="23">
        <f>'COMMERCIAL 2019 - 2021'!G2051</f>
        <v>2025</v>
      </c>
      <c r="D1449" s="23" t="str">
        <f>'COMMERCIAL 2019 - 2021'!H2051</f>
        <v>CE2017</v>
      </c>
      <c r="E1449" s="23" t="str">
        <f>'COMMERCIAL 2019 - 2021'!I2051</f>
        <v>SAHEL INTERNATIONAL TRADE</v>
      </c>
      <c r="F1449" s="23" t="str">
        <f>'COMMERCIAL 2019 - 2021'!N2051</f>
        <v>OUI</v>
      </c>
      <c r="G1449" s="23" t="str">
        <f>'COMMERCIAL 2019 - 2021'!O2051</f>
        <v>Togo</v>
      </c>
      <c r="H1449" s="893">
        <f>'COMMERCIAL 2019 - 2021'!P2051</f>
        <v>45847</v>
      </c>
      <c r="I1449" s="15">
        <f>'COMMERCIAL 2019 - 2021'!Q2051</f>
        <v>21600</v>
      </c>
      <c r="J1449" s="870">
        <v>1</v>
      </c>
      <c r="K1449" s="15">
        <f>'COMMERCIAL 2019 - 2021'!R2051</f>
        <v>0</v>
      </c>
      <c r="L1449" s="295"/>
      <c r="M1449" s="15">
        <f>'COMMERCIAL 2019 - 2021'!S2051</f>
        <v>0</v>
      </c>
      <c r="N1449" s="295"/>
      <c r="O1449" s="15">
        <f>'COMMERCIAL 2019 - 2021'!T2051</f>
        <v>0</v>
      </c>
      <c r="P1449" s="16"/>
      <c r="Q1449" s="15">
        <f>'COMMERCIAL 2019 - 2021'!U2051</f>
        <v>21600</v>
      </c>
    </row>
    <row r="1450" spans="1:17">
      <c r="A1450" s="892" t="str">
        <f>'COMMERCIAL 2019 - 2021'!D2052</f>
        <v>FAE-25-00172</v>
      </c>
      <c r="B1450" s="896" t="str">
        <f>'COMMERCIAL 2019 - 2021'!F2052</f>
        <v>17/06/2025</v>
      </c>
      <c r="C1450" s="23">
        <f>'COMMERCIAL 2019 - 2021'!G2052</f>
        <v>2025</v>
      </c>
      <c r="D1450" s="23" t="str">
        <f>'COMMERCIAL 2019 - 2021'!H2052</f>
        <v>CE2017</v>
      </c>
      <c r="E1450" s="23" t="str">
        <f>'COMMERCIAL 2019 - 2021'!I2052</f>
        <v>SAHEL INTERNATIONAL TRADE</v>
      </c>
      <c r="F1450" s="23" t="str">
        <f>'COMMERCIAL 2019 - 2021'!N2052</f>
        <v>OUI</v>
      </c>
      <c r="G1450" s="23" t="str">
        <f>'COMMERCIAL 2019 - 2021'!O2052</f>
        <v>Burkina Faso</v>
      </c>
      <c r="H1450" s="893">
        <f>'COMMERCIAL 2019 - 2021'!P2052</f>
        <v>45847</v>
      </c>
      <c r="I1450" s="15">
        <f>'COMMERCIAL 2019 - 2021'!Q2052</f>
        <v>0</v>
      </c>
      <c r="J1450" s="894"/>
      <c r="K1450" s="15">
        <f>'COMMERCIAL 2019 - 2021'!R2052</f>
        <v>48000</v>
      </c>
      <c r="L1450" s="841" t="s">
        <v>21173</v>
      </c>
      <c r="M1450" s="15">
        <f>'COMMERCIAL 2019 - 2021'!S2052</f>
        <v>0</v>
      </c>
      <c r="N1450" s="295"/>
      <c r="O1450" s="15">
        <f>'COMMERCIAL 2019 - 2021'!T2052</f>
        <v>0</v>
      </c>
      <c r="P1450" s="16"/>
      <c r="Q1450" s="15">
        <f>'COMMERCIAL 2019 - 2021'!U2052</f>
        <v>48000</v>
      </c>
    </row>
    <row r="1451" spans="1:17">
      <c r="A1451" s="892" t="str">
        <f>'COMMERCIAL 2019 - 2021'!D2053</f>
        <v>FAE-25-00173</v>
      </c>
      <c r="B1451" s="896" t="str">
        <f>'COMMERCIAL 2019 - 2021'!F2053</f>
        <v>17/06/2025</v>
      </c>
      <c r="C1451" s="23">
        <f>'COMMERCIAL 2019 - 2021'!G2053</f>
        <v>2025</v>
      </c>
      <c r="D1451" s="23" t="str">
        <f>'COMMERCIAL 2019 - 2021'!H2053</f>
        <v>CE2001</v>
      </c>
      <c r="E1451" s="23" t="str">
        <f>'COMMERCIAL 2019 - 2021'!I2053</f>
        <v>STE DE COMMERCE INTERNATIONAL</v>
      </c>
      <c r="F1451" s="23" t="str">
        <f>'COMMERCIAL 2019 - 2021'!N2053</f>
        <v>OUI</v>
      </c>
      <c r="G1451" s="23" t="str">
        <f>'COMMERCIAL 2019 - 2021'!O2053</f>
        <v>Gabon</v>
      </c>
      <c r="H1451" s="893">
        <f>'COMMERCIAL 2019 - 2021'!P2053</f>
        <v>45846</v>
      </c>
      <c r="I1451" s="15">
        <f>'COMMERCIAL 2019 - 2021'!Q2053</f>
        <v>0</v>
      </c>
      <c r="J1451" s="894"/>
      <c r="K1451" s="15">
        <f>'COMMERCIAL 2019 - 2021'!R2053</f>
        <v>22560</v>
      </c>
      <c r="L1451" s="841" t="s">
        <v>21173</v>
      </c>
      <c r="M1451" s="15">
        <f>'COMMERCIAL 2019 - 2021'!S2053</f>
        <v>0</v>
      </c>
      <c r="N1451" s="295"/>
      <c r="O1451" s="15">
        <f>'COMMERCIAL 2019 - 2021'!T2053</f>
        <v>0</v>
      </c>
      <c r="P1451" s="16"/>
      <c r="Q1451" s="15">
        <f>'COMMERCIAL 2019 - 2021'!U2053</f>
        <v>22560</v>
      </c>
    </row>
    <row r="1452" spans="1:17">
      <c r="A1452" s="892" t="str">
        <f>'COMMERCIAL 2019 - 2021'!D2054</f>
        <v>FAE-25-00174</v>
      </c>
      <c r="B1452" s="896" t="str">
        <f>'COMMERCIAL 2019 - 2021'!F2054</f>
        <v>17/06/2025</v>
      </c>
      <c r="C1452" s="23">
        <f>'COMMERCIAL 2019 - 2021'!G2054</f>
        <v>2025</v>
      </c>
      <c r="D1452" s="23" t="str">
        <f>'COMMERCIAL 2019 - 2021'!H2054</f>
        <v>CE2001</v>
      </c>
      <c r="E1452" s="23" t="str">
        <f>'COMMERCIAL 2019 - 2021'!I2054</f>
        <v>STE DE COMMERCE INTERNATIONAL</v>
      </c>
      <c r="F1452" s="23" t="str">
        <f>'COMMERCIAL 2019 - 2021'!N2054</f>
        <v>OUI</v>
      </c>
      <c r="G1452" s="23" t="str">
        <f>'COMMERCIAL 2019 - 2021'!O2054</f>
        <v>Gambie</v>
      </c>
      <c r="H1452" s="893">
        <f>'COMMERCIAL 2019 - 2021'!P2054</f>
        <v>45841</v>
      </c>
      <c r="I1452" s="15">
        <f>'COMMERCIAL 2019 - 2021'!Q2054</f>
        <v>76800</v>
      </c>
      <c r="J1452" s="870">
        <v>1</v>
      </c>
      <c r="K1452" s="15">
        <f>'COMMERCIAL 2019 - 2021'!R2054</f>
        <v>0</v>
      </c>
      <c r="L1452" s="295"/>
      <c r="M1452" s="15">
        <f>'COMMERCIAL 2019 - 2021'!S2054</f>
        <v>0</v>
      </c>
      <c r="N1452" s="295"/>
      <c r="O1452" s="15">
        <f>'COMMERCIAL 2019 - 2021'!T2054</f>
        <v>0</v>
      </c>
      <c r="P1452" s="16"/>
      <c r="Q1452" s="15">
        <f>'COMMERCIAL 2019 - 2021'!U2054</f>
        <v>76800</v>
      </c>
    </row>
    <row r="1453" spans="1:17">
      <c r="A1453" s="892" t="str">
        <f>'COMMERCIAL 2019 - 2021'!D2055</f>
        <v>FAE-25-00175</v>
      </c>
      <c r="B1453" s="896" t="str">
        <f>'COMMERCIAL 2019 - 2021'!F2055</f>
        <v>17/06/2025</v>
      </c>
      <c r="C1453" s="23">
        <f>'COMMERCIAL 2019 - 2021'!G2055</f>
        <v>2025</v>
      </c>
      <c r="D1453" s="23" t="str">
        <f>'COMMERCIAL 2019 - 2021'!H2055</f>
        <v>CE2137</v>
      </c>
      <c r="E1453" s="23" t="str">
        <f>'COMMERCIAL 2019 - 2021'!I2055</f>
        <v>TUNISIAN AFRICAN BUSINESS</v>
      </c>
      <c r="F1453" s="23" t="str">
        <f>'COMMERCIAL 2019 - 2021'!N2055</f>
        <v>OUI</v>
      </c>
      <c r="G1453" s="23" t="str">
        <f>'COMMERCIAL 2019 - 2021'!O2055</f>
        <v>Gabon</v>
      </c>
      <c r="H1453" s="893">
        <f>'COMMERCIAL 2019 - 2021'!P2055</f>
        <v>45852</v>
      </c>
      <c r="I1453" s="15">
        <f>'COMMERCIAL 2019 - 2021'!Q2055</f>
        <v>0</v>
      </c>
      <c r="J1453" s="894"/>
      <c r="K1453" s="15">
        <f>'COMMERCIAL 2019 - 2021'!R2055</f>
        <v>25404</v>
      </c>
      <c r="L1453" s="841" t="s">
        <v>21173</v>
      </c>
      <c r="M1453" s="15">
        <f>'COMMERCIAL 2019 - 2021'!S2055</f>
        <v>140000</v>
      </c>
      <c r="N1453" s="841" t="s">
        <v>20347</v>
      </c>
      <c r="O1453" s="15">
        <f>'COMMERCIAL 2019 - 2021'!T2055</f>
        <v>250</v>
      </c>
      <c r="P1453" s="870">
        <v>1</v>
      </c>
      <c r="Q1453" s="15">
        <f>'COMMERCIAL 2019 - 2021'!U2055</f>
        <v>165654</v>
      </c>
    </row>
    <row r="1454" spans="1:17">
      <c r="A1454" s="892" t="str">
        <f>'COMMERCIAL 2019 - 2021'!D2056</f>
        <v>FAE-25-00176</v>
      </c>
      <c r="B1454" s="896" t="str">
        <f>'COMMERCIAL 2019 - 2021'!F2056</f>
        <v>17/06/2025</v>
      </c>
      <c r="C1454" s="23">
        <f>'COMMERCIAL 2019 - 2021'!G2056</f>
        <v>2025</v>
      </c>
      <c r="D1454" s="23" t="str">
        <f>'COMMERCIAL 2019 - 2021'!H2056</f>
        <v>CE2137</v>
      </c>
      <c r="E1454" s="23" t="str">
        <f>'COMMERCIAL 2019 - 2021'!I2056</f>
        <v>TUNISIAN AFRICAN BUSINESS</v>
      </c>
      <c r="F1454" s="23" t="str">
        <f>'COMMERCIAL 2019 - 2021'!N2056</f>
        <v>OUI</v>
      </c>
      <c r="G1454" s="23" t="str">
        <f>'COMMERCIAL 2019 - 2021'!O2056</f>
        <v>Gabon</v>
      </c>
      <c r="H1454" s="893">
        <f>'COMMERCIAL 2019 - 2021'!P2056</f>
        <v>45846</v>
      </c>
      <c r="I1454" s="15">
        <f>'COMMERCIAL 2019 - 2021'!Q2056</f>
        <v>2400</v>
      </c>
      <c r="J1454" s="870">
        <v>1</v>
      </c>
      <c r="K1454" s="15">
        <f>'COMMERCIAL 2019 - 2021'!R2056</f>
        <v>24000</v>
      </c>
      <c r="L1454" s="841" t="s">
        <v>21173</v>
      </c>
      <c r="M1454" s="15">
        <f>'COMMERCIAL 2019 - 2021'!S2056</f>
        <v>84000</v>
      </c>
      <c r="N1454" s="841" t="s">
        <v>20347</v>
      </c>
      <c r="O1454" s="15">
        <f>'COMMERCIAL 2019 - 2021'!T2056</f>
        <v>0</v>
      </c>
      <c r="P1454" s="16"/>
      <c r="Q1454" s="15">
        <f>'COMMERCIAL 2019 - 2021'!U2056</f>
        <v>110400</v>
      </c>
    </row>
    <row r="1455" spans="1:17">
      <c r="A1455" s="892" t="str">
        <f>'COMMERCIAL 2019 - 2021'!D2057</f>
        <v>FAE-25-00177</v>
      </c>
      <c r="B1455" s="896" t="str">
        <f>'COMMERCIAL 2019 - 2021'!F2057</f>
        <v>17/06/2025</v>
      </c>
      <c r="C1455" s="23">
        <f>'COMMERCIAL 2019 - 2021'!G2057</f>
        <v>2025</v>
      </c>
      <c r="D1455" s="23" t="str">
        <f>'COMMERCIAL 2019 - 2021'!H2057</f>
        <v>CE2178</v>
      </c>
      <c r="E1455" s="23" t="str">
        <f>'COMMERCIAL 2019 - 2021'!I2057</f>
        <v>ARCADIA</v>
      </c>
      <c r="F1455" s="23" t="str">
        <f>'COMMERCIAL 2019 - 2021'!N2057</f>
        <v>OUI</v>
      </c>
      <c r="G1455" s="23" t="str">
        <f>'COMMERCIAL 2019 - 2021'!O2057</f>
        <v>UAE</v>
      </c>
      <c r="H1455" s="893">
        <f>'COMMERCIAL 2019 - 2021'!P2057</f>
        <v>45861</v>
      </c>
      <c r="I1455" s="15">
        <f>'COMMERCIAL 2019 - 2021'!Q2057</f>
        <v>0</v>
      </c>
      <c r="J1455" s="894"/>
      <c r="K1455" s="15">
        <f>'COMMERCIAL 2019 - 2021'!R2057</f>
        <v>10380</v>
      </c>
      <c r="L1455" s="870">
        <v>1</v>
      </c>
      <c r="M1455" s="15">
        <f>'COMMERCIAL 2019 - 2021'!S2057</f>
        <v>1152</v>
      </c>
      <c r="N1455" s="870">
        <v>1</v>
      </c>
      <c r="O1455" s="15">
        <f>'COMMERCIAL 2019 - 2021'!T2057</f>
        <v>5400</v>
      </c>
      <c r="P1455" s="870">
        <v>1</v>
      </c>
      <c r="Q1455" s="15">
        <f>'COMMERCIAL 2019 - 2021'!U2057</f>
        <v>16932</v>
      </c>
    </row>
    <row r="1456" spans="1:17">
      <c r="A1456" s="892" t="str">
        <f>'COMMERCIAL 2019 - 2021'!D2058</f>
        <v>FAE-25-00178</v>
      </c>
      <c r="B1456" s="896" t="str">
        <f>'COMMERCIAL 2019 - 2021'!F2058</f>
        <v>17/06/2025</v>
      </c>
      <c r="C1456" s="23">
        <f>'COMMERCIAL 2019 - 2021'!G2058</f>
        <v>2025</v>
      </c>
      <c r="D1456" s="23" t="str">
        <f>'COMMERCIAL 2019 - 2021'!H2058</f>
        <v>CE2248</v>
      </c>
      <c r="E1456" s="23" t="str">
        <f>'COMMERCIAL 2019 - 2021'!I2058</f>
        <v>SEYAL TCHAD SA</v>
      </c>
      <c r="F1456" s="23" t="str">
        <f>'COMMERCIAL 2019 - 2021'!N2058</f>
        <v>OUI</v>
      </c>
      <c r="G1456" s="23" t="str">
        <f>'COMMERCIAL 2019 - 2021'!O2058</f>
        <v>Tchad</v>
      </c>
      <c r="H1456" s="893">
        <f>'COMMERCIAL 2019 - 2021'!P2058</f>
        <v>45855</v>
      </c>
      <c r="I1456" s="15">
        <f>'COMMERCIAL 2019 - 2021'!Q2058</f>
        <v>0</v>
      </c>
      <c r="J1456" s="894"/>
      <c r="K1456" s="15">
        <f>'COMMERCIAL 2019 - 2021'!R2058</f>
        <v>155232</v>
      </c>
      <c r="L1456" s="841" t="s">
        <v>21174</v>
      </c>
      <c r="M1456" s="15">
        <f>'COMMERCIAL 2019 - 2021'!S2058</f>
        <v>33408</v>
      </c>
      <c r="N1456" s="841" t="s">
        <v>20347</v>
      </c>
      <c r="O1456" s="15">
        <f>'COMMERCIAL 2019 - 2021'!T2058</f>
        <v>0</v>
      </c>
      <c r="P1456" s="16"/>
      <c r="Q1456" s="15">
        <f>'COMMERCIAL 2019 - 2021'!U2058</f>
        <v>188640</v>
      </c>
    </row>
    <row r="1457" spans="1:17">
      <c r="A1457" s="892" t="str">
        <f>'COMMERCIAL 2019 - 2021'!D2059</f>
        <v>FAE-25-00179</v>
      </c>
      <c r="B1457" s="896" t="str">
        <f>'COMMERCIAL 2019 - 2021'!F2059</f>
        <v>20/06/2025</v>
      </c>
      <c r="C1457" s="23">
        <f>'COMMERCIAL 2019 - 2021'!G2059</f>
        <v>2025</v>
      </c>
      <c r="D1457" s="23" t="str">
        <f>'COMMERCIAL 2019 - 2021'!H2059</f>
        <v>CE2293</v>
      </c>
      <c r="E1457" s="23" t="str">
        <f>'COMMERCIAL 2019 - 2021'!I2059</f>
        <v xml:space="preserve">WONDERCHAIN INTERNATIONAL TRADE </v>
      </c>
      <c r="F1457" s="23" t="str">
        <f>'COMMERCIAL 2019 - 2021'!N2059</f>
        <v>OUI</v>
      </c>
      <c r="G1457" s="23" t="str">
        <f>'COMMERCIAL 2019 - 2021'!O2059</f>
        <v>Benin</v>
      </c>
      <c r="H1457" s="893">
        <f>'COMMERCIAL 2019 - 2021'!P2059</f>
        <v>45838</v>
      </c>
      <c r="I1457" s="15">
        <f>'COMMERCIAL 2019 - 2021'!Q2059</f>
        <v>0</v>
      </c>
      <c r="J1457" s="894"/>
      <c r="K1457" s="15">
        <f>'COMMERCIAL 2019 - 2021'!R2059</f>
        <v>0</v>
      </c>
      <c r="L1457" s="295"/>
      <c r="M1457" s="15">
        <f>'COMMERCIAL 2019 - 2021'!S2059</f>
        <v>78000</v>
      </c>
      <c r="N1457" s="841" t="s">
        <v>20347</v>
      </c>
      <c r="O1457" s="15">
        <f>'COMMERCIAL 2019 - 2021'!T2059</f>
        <v>0</v>
      </c>
      <c r="P1457" s="16"/>
      <c r="Q1457" s="15">
        <f>'COMMERCIAL 2019 - 2021'!U2059</f>
        <v>78000</v>
      </c>
    </row>
    <row r="1458" spans="1:17">
      <c r="A1458" s="892" t="str">
        <f>'COMMERCIAL 2019 - 2021'!D2060</f>
        <v>FAE-25-00180</v>
      </c>
      <c r="B1458" s="896" t="str">
        <f>'COMMERCIAL 2019 - 2021'!F2060</f>
        <v>20/06/2025</v>
      </c>
      <c r="C1458" s="23">
        <f>'COMMERCIAL 2019 - 2021'!G2060</f>
        <v>2025</v>
      </c>
      <c r="D1458" s="23" t="str">
        <f>'COMMERCIAL 2019 - 2021'!H2060</f>
        <v>CE2017</v>
      </c>
      <c r="E1458" s="23" t="str">
        <f>'COMMERCIAL 2019 - 2021'!I2060</f>
        <v>SAHEL INTERNATIONAL TRADE</v>
      </c>
      <c r="F1458" s="23" t="str">
        <f>'COMMERCIAL 2019 - 2021'!N2060</f>
        <v>OUI</v>
      </c>
      <c r="G1458" s="23" t="str">
        <f>'COMMERCIAL 2019 - 2021'!O2060</f>
        <v>Togo</v>
      </c>
      <c r="H1458" s="893">
        <f>'COMMERCIAL 2019 - 2021'!P2060</f>
        <v>45849</v>
      </c>
      <c r="I1458" s="15">
        <f>'COMMERCIAL 2019 - 2021'!Q2060</f>
        <v>22008</v>
      </c>
      <c r="J1458" s="870">
        <v>1</v>
      </c>
      <c r="K1458" s="15">
        <f>'COMMERCIAL 2019 - 2021'!R2060</f>
        <v>0</v>
      </c>
      <c r="L1458" s="295"/>
      <c r="M1458" s="15">
        <f>'COMMERCIAL 2019 - 2021'!S2060</f>
        <v>0</v>
      </c>
      <c r="N1458" s="295"/>
      <c r="O1458" s="15">
        <f>'COMMERCIAL 2019 - 2021'!T2060</f>
        <v>0</v>
      </c>
      <c r="P1458" s="16"/>
      <c r="Q1458" s="15">
        <f>'COMMERCIAL 2019 - 2021'!U2060</f>
        <v>22008</v>
      </c>
    </row>
    <row r="1459" spans="1:17">
      <c r="A1459" s="892" t="str">
        <f>'COMMERCIAL 2019 - 2021'!D2061</f>
        <v>FAE-25-00181</v>
      </c>
      <c r="B1459" s="896" t="str">
        <f>'COMMERCIAL 2019 - 2021'!F2061</f>
        <v>23/06/2025</v>
      </c>
      <c r="C1459" s="23">
        <f>'COMMERCIAL 2019 - 2021'!G2061</f>
        <v>2025</v>
      </c>
      <c r="D1459" s="23" t="str">
        <f>'COMMERCIAL 2019 - 2021'!H2061</f>
        <v>CE2240</v>
      </c>
      <c r="E1459" s="23" t="str">
        <f>'COMMERCIAL 2019 - 2021'!I2061</f>
        <v>RNK DISTRIBUTION</v>
      </c>
      <c r="F1459" s="23" t="str">
        <f>'COMMERCIAL 2019 - 2021'!N2061</f>
        <v>OUI</v>
      </c>
      <c r="G1459" s="23" t="str">
        <f>'COMMERCIAL 2019 - 2021'!O2061</f>
        <v>Madagascar</v>
      </c>
      <c r="H1459" s="893">
        <f>'COMMERCIAL 2019 - 2021'!P2061</f>
        <v>45840</v>
      </c>
      <c r="I1459" s="15">
        <f>'COMMERCIAL 2019 - 2021'!Q2061</f>
        <v>0</v>
      </c>
      <c r="J1459" s="894"/>
      <c r="K1459" s="15">
        <f>'COMMERCIAL 2019 - 2021'!R2061</f>
        <v>87600</v>
      </c>
      <c r="L1459" s="841" t="s">
        <v>21174</v>
      </c>
      <c r="M1459" s="15">
        <f>'COMMERCIAL 2019 - 2021'!S2061</f>
        <v>0</v>
      </c>
      <c r="N1459" s="295"/>
      <c r="O1459" s="15">
        <f>'COMMERCIAL 2019 - 2021'!T2061</f>
        <v>0</v>
      </c>
      <c r="P1459" s="16"/>
      <c r="Q1459" s="15">
        <f>'COMMERCIAL 2019 - 2021'!U2061</f>
        <v>87600</v>
      </c>
    </row>
    <row r="1460" spans="1:17">
      <c r="A1460" s="892" t="str">
        <f>'COMMERCIAL 2019 - 2021'!D2062</f>
        <v>FAE-25-00182</v>
      </c>
      <c r="B1460" s="896" t="str">
        <f>'COMMERCIAL 2019 - 2021'!F2062</f>
        <v>23/06/2025</v>
      </c>
      <c r="C1460" s="23">
        <f>'COMMERCIAL 2019 - 2021'!G2062</f>
        <v>2025</v>
      </c>
      <c r="D1460" s="23" t="str">
        <f>'COMMERCIAL 2019 - 2021'!H2062</f>
        <v>CE2149</v>
      </c>
      <c r="E1460" s="23" t="str">
        <f>'COMMERCIAL 2019 - 2021'!I2062</f>
        <v>DAVIS TRADING CO LTD</v>
      </c>
      <c r="F1460" s="23" t="str">
        <f>'COMMERCIAL 2019 - 2021'!N2062</f>
        <v>OUI</v>
      </c>
      <c r="G1460" s="23" t="str">
        <f>'COMMERCIAL 2019 - 2021'!O2062</f>
        <v>New Zealand</v>
      </c>
      <c r="H1460" s="893">
        <f>'COMMERCIAL 2019 - 2021'!P2062</f>
        <v>45842</v>
      </c>
      <c r="I1460" s="15">
        <f>'COMMERCIAL 2019 - 2021'!Q2062</f>
        <v>8750</v>
      </c>
      <c r="J1460" s="870">
        <v>1</v>
      </c>
      <c r="K1460" s="15">
        <f>'COMMERCIAL 2019 - 2021'!R2062</f>
        <v>9750</v>
      </c>
      <c r="L1460" s="870">
        <v>1</v>
      </c>
      <c r="M1460" s="15">
        <f>'COMMERCIAL 2019 - 2021'!S2062</f>
        <v>0</v>
      </c>
      <c r="N1460" s="295"/>
      <c r="O1460" s="15">
        <f>'COMMERCIAL 2019 - 2021'!T2062</f>
        <v>0</v>
      </c>
      <c r="P1460" s="16"/>
      <c r="Q1460" s="15">
        <f>'COMMERCIAL 2019 - 2021'!U2062</f>
        <v>18500</v>
      </c>
    </row>
    <row r="1461" spans="1:17">
      <c r="A1461" s="892" t="str">
        <f>'COMMERCIAL 2019 - 2021'!D2063</f>
        <v>FAE-25-00183</v>
      </c>
      <c r="B1461" s="896">
        <f>'COMMERCIAL 2019 - 2021'!F2063</f>
        <v>45831</v>
      </c>
      <c r="C1461" s="23">
        <f>'COMMERCIAL 2019 - 2021'!G2063</f>
        <v>2025</v>
      </c>
      <c r="D1461" s="23" t="str">
        <f>'COMMERCIAL 2019 - 2021'!H2063</f>
        <v>CE2149</v>
      </c>
      <c r="E1461" s="23" t="str">
        <f>'COMMERCIAL 2019 - 2021'!I2063</f>
        <v>DAVIS TRADING CO LTD</v>
      </c>
      <c r="F1461" s="23" t="str">
        <f>'COMMERCIAL 2019 - 2021'!N2063</f>
        <v>OUI</v>
      </c>
      <c r="G1461" s="23" t="str">
        <f>'COMMERCIAL 2019 - 2021'!O2063</f>
        <v>New Zealand</v>
      </c>
      <c r="H1461" s="893">
        <f>'COMMERCIAL 2019 - 2021'!P2063</f>
        <v>45842</v>
      </c>
      <c r="I1461" s="15">
        <f>'COMMERCIAL 2019 - 2021'!Q2063</f>
        <v>0</v>
      </c>
      <c r="J1461" s="894"/>
      <c r="K1461" s="15">
        <f>'COMMERCIAL 2019 - 2021'!R2063</f>
        <v>20000</v>
      </c>
      <c r="L1461" s="870">
        <v>1</v>
      </c>
      <c r="M1461" s="15">
        <f>'COMMERCIAL 2019 - 2021'!S2063</f>
        <v>0</v>
      </c>
      <c r="N1461" s="295"/>
      <c r="O1461" s="15">
        <f>'COMMERCIAL 2019 - 2021'!T2063</f>
        <v>0</v>
      </c>
      <c r="P1461" s="16"/>
      <c r="Q1461" s="15">
        <f>'COMMERCIAL 2019 - 2021'!U2063</f>
        <v>20000</v>
      </c>
    </row>
    <row r="1462" spans="1:17">
      <c r="A1462" s="892" t="str">
        <f>'COMMERCIAL 2019 - 2021'!D2064</f>
        <v>FAE-25-00184</v>
      </c>
      <c r="B1462" s="896" t="str">
        <f>'COMMERCIAL 2019 - 2021'!F2064</f>
        <v>23/06/2025</v>
      </c>
      <c r="C1462" s="23">
        <f>'COMMERCIAL 2019 - 2021'!G2064</f>
        <v>2025</v>
      </c>
      <c r="D1462" s="23" t="str">
        <f>'COMMERCIAL 2019 - 2021'!H2064</f>
        <v>CE2275</v>
      </c>
      <c r="E1462" s="23" t="str">
        <f>'COMMERCIAL 2019 - 2021'!I2064</f>
        <v>SODIC</v>
      </c>
      <c r="F1462" s="23" t="str">
        <f>'COMMERCIAL 2019 - 2021'!N2064</f>
        <v>OUI</v>
      </c>
      <c r="G1462" s="23" t="str">
        <f>'COMMERCIAL 2019 - 2021'!O2064</f>
        <v>France</v>
      </c>
      <c r="H1462" s="893">
        <f>'COMMERCIAL 2019 - 2021'!P2064</f>
        <v>45841</v>
      </c>
      <c r="I1462" s="15">
        <f>'COMMERCIAL 2019 - 2021'!Q2064</f>
        <v>0</v>
      </c>
      <c r="J1462" s="894"/>
      <c r="K1462" s="15">
        <f>'COMMERCIAL 2019 - 2021'!R2064</f>
        <v>36552</v>
      </c>
      <c r="L1462" s="870">
        <v>1</v>
      </c>
      <c r="M1462" s="15">
        <f>'COMMERCIAL 2019 - 2021'!S2064</f>
        <v>8400</v>
      </c>
      <c r="N1462" s="870">
        <v>1</v>
      </c>
      <c r="O1462" s="15">
        <f>'COMMERCIAL 2019 - 2021'!T2064</f>
        <v>560</v>
      </c>
      <c r="P1462" s="870">
        <v>1</v>
      </c>
      <c r="Q1462" s="15">
        <f>'COMMERCIAL 2019 - 2021'!U2064</f>
        <v>45512</v>
      </c>
    </row>
    <row r="1463" spans="1:17">
      <c r="A1463" s="892" t="str">
        <f>'COMMERCIAL 2019 - 2021'!D2065</f>
        <v>FAE-25-00185</v>
      </c>
      <c r="B1463" s="896">
        <f>'COMMERCIAL 2019 - 2021'!F2065</f>
        <v>45664</v>
      </c>
      <c r="C1463" s="23">
        <f>'COMMERCIAL 2019 - 2021'!G2065</f>
        <v>2025</v>
      </c>
      <c r="D1463" s="23" t="str">
        <f>'COMMERCIAL 2019 - 2021'!H2065</f>
        <v>CE2259</v>
      </c>
      <c r="E1463" s="23" t="str">
        <f>'COMMERCIAL 2019 - 2021'!I2065</f>
        <v>SAFA FOOD</v>
      </c>
      <c r="F1463" s="23" t="str">
        <f>'COMMERCIAL 2019 - 2021'!N2065</f>
        <v>OUI</v>
      </c>
      <c r="G1463" s="23" t="str">
        <f>'COMMERCIAL 2019 - 2021'!O2065</f>
        <v>Canada</v>
      </c>
      <c r="H1463" s="893">
        <f>'COMMERCIAL 2019 - 2021'!P2065</f>
        <v>45849</v>
      </c>
      <c r="I1463" s="15">
        <f>'COMMERCIAL 2019 - 2021'!Q2065</f>
        <v>0</v>
      </c>
      <c r="J1463" s="894"/>
      <c r="K1463" s="15">
        <f>'COMMERCIAL 2019 - 2021'!R2065</f>
        <v>7800</v>
      </c>
      <c r="L1463" s="870">
        <v>1</v>
      </c>
      <c r="M1463" s="15">
        <f>'COMMERCIAL 2019 - 2021'!S2065</f>
        <v>10080</v>
      </c>
      <c r="N1463" s="870">
        <v>1</v>
      </c>
      <c r="O1463" s="15">
        <f>'COMMERCIAL 2019 - 2021'!T2065</f>
        <v>0</v>
      </c>
      <c r="P1463" s="16"/>
      <c r="Q1463" s="15">
        <f>'COMMERCIAL 2019 - 2021'!U2065</f>
        <v>17880</v>
      </c>
    </row>
    <row r="1464" spans="1:17">
      <c r="A1464" s="892" t="str">
        <f>'COMMERCIAL 2019 - 2021'!D2066</f>
        <v>FAE-25-00186</v>
      </c>
      <c r="B1464" s="896">
        <f>'COMMERCIAL 2019 - 2021'!F2066</f>
        <v>45664</v>
      </c>
      <c r="C1464" s="23">
        <f>'COMMERCIAL 2019 - 2021'!G2066</f>
        <v>2025</v>
      </c>
      <c r="D1464" s="23" t="str">
        <f>'COMMERCIAL 2019 - 2021'!H2066</f>
        <v>CE2097</v>
      </c>
      <c r="E1464" s="23" t="str">
        <f>'COMMERCIAL 2019 - 2021'!I2066</f>
        <v>JP BEEMSTERBOER BV</v>
      </c>
      <c r="F1464" s="23" t="str">
        <f>'COMMERCIAL 2019 - 2021'!N2066</f>
        <v>OUI</v>
      </c>
      <c r="G1464" s="23" t="str">
        <f>'COMMERCIAL 2019 - 2021'!O2066</f>
        <v>Sierra Leone</v>
      </c>
      <c r="H1464" s="893">
        <f>'COMMERCIAL 2019 - 2021'!P2066</f>
        <v>45848</v>
      </c>
      <c r="I1464" s="15">
        <f>'COMMERCIAL 2019 - 2021'!Q2066</f>
        <v>110040</v>
      </c>
      <c r="J1464" s="870">
        <v>1</v>
      </c>
      <c r="K1464" s="15">
        <f>'COMMERCIAL 2019 - 2021'!R2066</f>
        <v>0</v>
      </c>
      <c r="L1464" s="295"/>
      <c r="M1464" s="15">
        <f>'COMMERCIAL 2019 - 2021'!S2066</f>
        <v>0</v>
      </c>
      <c r="N1464" s="295"/>
      <c r="O1464" s="15">
        <f>'COMMERCIAL 2019 - 2021'!T2066</f>
        <v>0</v>
      </c>
      <c r="P1464" s="16"/>
      <c r="Q1464" s="15">
        <f>'COMMERCIAL 2019 - 2021'!U2066</f>
        <v>110040</v>
      </c>
    </row>
    <row r="1465" spans="1:17">
      <c r="A1465" s="892" t="str">
        <f>'COMMERCIAL 2019 - 2021'!D2067</f>
        <v>FAE-25-00187</v>
      </c>
      <c r="B1465" s="896">
        <f>'COMMERCIAL 2019 - 2021'!F2067</f>
        <v>45754</v>
      </c>
      <c r="C1465" s="23">
        <f>'COMMERCIAL 2019 - 2021'!G2067</f>
        <v>2025</v>
      </c>
      <c r="D1465" s="23" t="str">
        <f>'COMMERCIAL 2019 - 2021'!H2067</f>
        <v>CE2001</v>
      </c>
      <c r="E1465" s="23" t="str">
        <f>'COMMERCIAL 2019 - 2021'!I2067</f>
        <v>STE DE COMMERCE INTERNATIONAL</v>
      </c>
      <c r="F1465" s="23" t="str">
        <f>'COMMERCIAL 2019 - 2021'!N2067</f>
        <v>OUI</v>
      </c>
      <c r="G1465" s="23" t="str">
        <f>'COMMERCIAL 2019 - 2021'!O2067</f>
        <v>Gabon</v>
      </c>
      <c r="H1465" s="893">
        <f>'COMMERCIAL 2019 - 2021'!P2067</f>
        <v>45846</v>
      </c>
      <c r="I1465" s="15">
        <f>'COMMERCIAL 2019 - 2021'!Q2067</f>
        <v>0</v>
      </c>
      <c r="J1465" s="894"/>
      <c r="K1465" s="15">
        <f>'COMMERCIAL 2019 - 2021'!R2067</f>
        <v>0</v>
      </c>
      <c r="L1465" s="295"/>
      <c r="M1465" s="15">
        <f>'COMMERCIAL 2019 - 2021'!S2067</f>
        <v>28000</v>
      </c>
      <c r="N1465" s="841" t="s">
        <v>20347</v>
      </c>
      <c r="O1465" s="15">
        <f>'COMMERCIAL 2019 - 2021'!T2067</f>
        <v>0</v>
      </c>
      <c r="P1465" s="16"/>
      <c r="Q1465" s="15">
        <f>'COMMERCIAL 2019 - 2021'!U2067</f>
        <v>28000</v>
      </c>
    </row>
    <row r="1466" spans="1:17">
      <c r="A1466" s="892" t="str">
        <f>'COMMERCIAL 2019 - 2021'!D2068</f>
        <v>FAE-25-00188</v>
      </c>
      <c r="B1466" s="896">
        <f>'COMMERCIAL 2019 - 2021'!F2068</f>
        <v>45845</v>
      </c>
      <c r="C1466" s="23">
        <f>'COMMERCIAL 2019 - 2021'!G2068</f>
        <v>2025</v>
      </c>
      <c r="D1466" s="23" t="str">
        <f>'COMMERCIAL 2019 - 2021'!H2068</f>
        <v>CE2001</v>
      </c>
      <c r="E1466" s="23" t="str">
        <f>'COMMERCIAL 2019 - 2021'!I2068</f>
        <v>STE DE COMMERCE INTERNATIONAL</v>
      </c>
      <c r="F1466" s="23" t="str">
        <f>'COMMERCIAL 2019 - 2021'!N2068</f>
        <v>OUI</v>
      </c>
      <c r="G1466" s="23" t="str">
        <f>'COMMERCIAL 2019 - 2021'!O2068</f>
        <v>Sierra Leone</v>
      </c>
      <c r="H1466" s="893">
        <f>'COMMERCIAL 2019 - 2021'!P2068</f>
        <v>45857</v>
      </c>
      <c r="I1466" s="15">
        <f>'COMMERCIAL 2019 - 2021'!Q2068</f>
        <v>262464</v>
      </c>
      <c r="J1466" s="870">
        <v>1</v>
      </c>
      <c r="K1466" s="15">
        <f>'COMMERCIAL 2019 - 2021'!R2068</f>
        <v>17400</v>
      </c>
      <c r="L1466" s="841" t="s">
        <v>21173</v>
      </c>
      <c r="M1466" s="15">
        <f>'COMMERCIAL 2019 - 2021'!S2068</f>
        <v>0</v>
      </c>
      <c r="N1466" s="295"/>
      <c r="O1466" s="15">
        <f>'COMMERCIAL 2019 - 2021'!T2068</f>
        <v>0</v>
      </c>
      <c r="P1466" s="16"/>
      <c r="Q1466" s="15">
        <f>'COMMERCIAL 2019 - 2021'!U2068</f>
        <v>279864</v>
      </c>
    </row>
    <row r="1467" spans="1:17">
      <c r="A1467" s="892" t="str">
        <f>'COMMERCIAL 2019 - 2021'!D2069</f>
        <v>FAE-25-00189</v>
      </c>
      <c r="B1467" s="896">
        <f>'COMMERCIAL 2019 - 2021'!F2069</f>
        <v>45845</v>
      </c>
      <c r="C1467" s="23">
        <f>'COMMERCIAL 2019 - 2021'!G2069</f>
        <v>2025</v>
      </c>
      <c r="D1467" s="23" t="str">
        <f>'COMMERCIAL 2019 - 2021'!H2069</f>
        <v>CE2154</v>
      </c>
      <c r="E1467" s="23" t="str">
        <f>'COMMERCIAL 2019 - 2021'!I2069</f>
        <v>SODIFRAM SAS</v>
      </c>
      <c r="F1467" s="23" t="str">
        <f>'COMMERCIAL 2019 - 2021'!N2069</f>
        <v>OUI</v>
      </c>
      <c r="G1467" s="23" t="str">
        <f>'COMMERCIAL 2019 - 2021'!O2069</f>
        <v>Mayotte</v>
      </c>
      <c r="H1467" s="893">
        <f>'COMMERCIAL 2019 - 2021'!P2069</f>
        <v>45862</v>
      </c>
      <c r="I1467" s="15">
        <f>'COMMERCIAL 2019 - 2021'!Q2069</f>
        <v>0</v>
      </c>
      <c r="J1467" s="894"/>
      <c r="K1467" s="15">
        <f>'COMMERCIAL 2019 - 2021'!R2069</f>
        <v>15584</v>
      </c>
      <c r="L1467" s="870">
        <v>1</v>
      </c>
      <c r="M1467" s="15">
        <f>'COMMERCIAL 2019 - 2021'!S2069</f>
        <v>8450</v>
      </c>
      <c r="N1467" s="870">
        <v>1</v>
      </c>
      <c r="O1467" s="15">
        <f>'COMMERCIAL 2019 - 2021'!T2069</f>
        <v>0</v>
      </c>
      <c r="P1467" s="16"/>
      <c r="Q1467" s="15">
        <f>'COMMERCIAL 2019 - 2021'!U2069</f>
        <v>24034</v>
      </c>
    </row>
    <row r="1468" spans="1:17">
      <c r="A1468" s="892" t="str">
        <f>'COMMERCIAL 2019 - 2021'!D2070</f>
        <v>FAE-25-00190</v>
      </c>
      <c r="B1468" s="896">
        <f>'COMMERCIAL 2019 - 2021'!F2070</f>
        <v>45845</v>
      </c>
      <c r="C1468" s="23">
        <f>'COMMERCIAL 2019 - 2021'!G2070</f>
        <v>2025</v>
      </c>
      <c r="D1468" s="23" t="str">
        <f>'COMMERCIAL 2019 - 2021'!H2070</f>
        <v>CE2154</v>
      </c>
      <c r="E1468" s="23" t="str">
        <f>'COMMERCIAL 2019 - 2021'!I2070</f>
        <v>SODIFRAM SAS</v>
      </c>
      <c r="F1468" s="23" t="str">
        <f>'COMMERCIAL 2019 - 2021'!N2070</f>
        <v>OUI</v>
      </c>
      <c r="G1468" s="23" t="str">
        <f>'COMMERCIAL 2019 - 2021'!O2070</f>
        <v>Mayotte</v>
      </c>
      <c r="H1468" s="893">
        <f>'COMMERCIAL 2019 - 2021'!P2070</f>
        <v>45862</v>
      </c>
      <c r="I1468" s="15">
        <f>'COMMERCIAL 2019 - 2021'!Q2070</f>
        <v>0</v>
      </c>
      <c r="J1468" s="894"/>
      <c r="K1468" s="15">
        <f>'COMMERCIAL 2019 - 2021'!R2070</f>
        <v>16458</v>
      </c>
      <c r="L1468" s="870">
        <v>1</v>
      </c>
      <c r="M1468" s="15">
        <f>'COMMERCIAL 2019 - 2021'!S2070</f>
        <v>6950</v>
      </c>
      <c r="N1468" s="870">
        <v>1</v>
      </c>
      <c r="O1468" s="15">
        <f>'COMMERCIAL 2019 - 2021'!T2070</f>
        <v>0</v>
      </c>
      <c r="P1468" s="16"/>
      <c r="Q1468" s="15">
        <f>'COMMERCIAL 2019 - 2021'!U2070</f>
        <v>23408</v>
      </c>
    </row>
    <row r="1469" spans="1:17">
      <c r="A1469" s="892" t="str">
        <f>'COMMERCIAL 2019 - 2021'!D2071</f>
        <v>FAE-25-00191</v>
      </c>
      <c r="B1469" s="896">
        <f>'COMMERCIAL 2019 - 2021'!F2071</f>
        <v>45845</v>
      </c>
      <c r="C1469" s="23">
        <f>'COMMERCIAL 2019 - 2021'!G2071</f>
        <v>2025</v>
      </c>
      <c r="D1469" s="23" t="str">
        <f>'COMMERCIAL 2019 - 2021'!H2071</f>
        <v>CE2154</v>
      </c>
      <c r="E1469" s="23" t="str">
        <f>'COMMERCIAL 2019 - 2021'!I2071</f>
        <v>SODIFRAM SAS</v>
      </c>
      <c r="F1469" s="23" t="str">
        <f>'COMMERCIAL 2019 - 2021'!N2071</f>
        <v>OUI</v>
      </c>
      <c r="G1469" s="23" t="str">
        <f>'COMMERCIAL 2019 - 2021'!O2071</f>
        <v>Mayotte</v>
      </c>
      <c r="H1469" s="893">
        <f>'COMMERCIAL 2019 - 2021'!P2071</f>
        <v>45862</v>
      </c>
      <c r="I1469" s="15">
        <f>'COMMERCIAL 2019 - 2021'!Q2071</f>
        <v>0</v>
      </c>
      <c r="J1469" s="894"/>
      <c r="K1469" s="15">
        <f>'COMMERCIAL 2019 - 2021'!R2071</f>
        <v>15532</v>
      </c>
      <c r="L1469" s="870">
        <v>1</v>
      </c>
      <c r="M1469" s="15">
        <f>'COMMERCIAL 2019 - 2021'!S2071</f>
        <v>9400</v>
      </c>
      <c r="N1469" s="870">
        <v>1</v>
      </c>
      <c r="O1469" s="15">
        <f>'COMMERCIAL 2019 - 2021'!T2071</f>
        <v>0</v>
      </c>
      <c r="P1469" s="16"/>
      <c r="Q1469" s="15">
        <f>'COMMERCIAL 2019 - 2021'!U2071</f>
        <v>24932</v>
      </c>
    </row>
    <row r="1470" spans="1:17">
      <c r="A1470" s="892" t="str">
        <f>'COMMERCIAL 2019 - 2021'!D2072</f>
        <v>FAE-25-00192</v>
      </c>
      <c r="B1470" s="896">
        <f>'COMMERCIAL 2019 - 2021'!F2072</f>
        <v>45845</v>
      </c>
      <c r="C1470" s="23">
        <f>'COMMERCIAL 2019 - 2021'!G2072</f>
        <v>2025</v>
      </c>
      <c r="D1470" s="23" t="str">
        <f>'COMMERCIAL 2019 - 2021'!H2072</f>
        <v>CE2247</v>
      </c>
      <c r="E1470" s="23" t="str">
        <f>'COMMERCIAL 2019 - 2021'!I2072</f>
        <v>MATMATA TRADING</v>
      </c>
      <c r="F1470" s="23" t="str">
        <f>'COMMERCIAL 2019 - 2021'!N2072</f>
        <v>OUI</v>
      </c>
      <c r="G1470" s="23" t="str">
        <f>'COMMERCIAL 2019 - 2021'!O2072</f>
        <v>Mauritanie</v>
      </c>
      <c r="H1470" s="893">
        <f>'COMMERCIAL 2019 - 2021'!P2072</f>
        <v>45854</v>
      </c>
      <c r="I1470" s="15">
        <f>'COMMERCIAL 2019 - 2021'!Q2072</f>
        <v>19200</v>
      </c>
      <c r="J1470" s="870">
        <v>1</v>
      </c>
      <c r="K1470" s="15">
        <f>'COMMERCIAL 2019 - 2021'!R2072</f>
        <v>0</v>
      </c>
      <c r="L1470" s="295"/>
      <c r="M1470" s="15">
        <f>'COMMERCIAL 2019 - 2021'!S2072</f>
        <v>0</v>
      </c>
      <c r="N1470" s="295"/>
      <c r="O1470" s="15">
        <f>'COMMERCIAL 2019 - 2021'!T2072</f>
        <v>0</v>
      </c>
      <c r="P1470" s="16"/>
      <c r="Q1470" s="15">
        <f>'COMMERCIAL 2019 - 2021'!U2072</f>
        <v>19200</v>
      </c>
    </row>
    <row r="1471" spans="1:17">
      <c r="A1471" s="892" t="str">
        <f>'COMMERCIAL 2019 - 2021'!D2073</f>
        <v>FAE-25-00193</v>
      </c>
      <c r="B1471" s="896">
        <f>'COMMERCIAL 2019 - 2021'!F2073</f>
        <v>45848</v>
      </c>
      <c r="C1471" s="23">
        <f>'COMMERCIAL 2019 - 2021'!G2073</f>
        <v>2025</v>
      </c>
      <c r="D1471" s="23" t="str">
        <f>'COMMERCIAL 2019 - 2021'!H2073</f>
        <v>CE2289</v>
      </c>
      <c r="E1471" s="23" t="str">
        <f>'COMMERCIAL 2019 - 2021'!I2073</f>
        <v>STE AL AKIL</v>
      </c>
      <c r="F1471" s="23" t="str">
        <f>'COMMERCIAL 2019 - 2021'!N2073</f>
        <v>OUI</v>
      </c>
      <c r="G1471" s="23" t="str">
        <f>'COMMERCIAL 2019 - 2021'!O2073</f>
        <v>Libye</v>
      </c>
      <c r="H1471" s="893">
        <f>'COMMERCIAL 2019 - 2021'!P2073</f>
        <v>45859</v>
      </c>
      <c r="I1471" s="15">
        <f>'COMMERCIAL 2019 - 2021'!Q2073</f>
        <v>100003</v>
      </c>
      <c r="J1471" s="870">
        <v>1</v>
      </c>
      <c r="K1471" s="15">
        <f>'COMMERCIAL 2019 - 2021'!R2073</f>
        <v>0</v>
      </c>
      <c r="L1471" s="295"/>
      <c r="M1471" s="15">
        <f>'COMMERCIAL 2019 - 2021'!S2073</f>
        <v>0</v>
      </c>
      <c r="N1471" s="295"/>
      <c r="O1471" s="15">
        <f>'COMMERCIAL 2019 - 2021'!T2073</f>
        <v>0</v>
      </c>
      <c r="P1471" s="16"/>
      <c r="Q1471" s="15">
        <f>'COMMERCIAL 2019 - 2021'!U2073</f>
        <v>100003</v>
      </c>
    </row>
    <row r="1472" spans="1:17">
      <c r="A1472" s="892" t="str">
        <f>'COMMERCIAL 2019 - 2021'!D2074</f>
        <v>FAE-25-00194</v>
      </c>
      <c r="B1472" s="896">
        <f>'COMMERCIAL 2019 - 2021'!F2074</f>
        <v>45848</v>
      </c>
      <c r="C1472" s="23">
        <f>'COMMERCIAL 2019 - 2021'!G2074</f>
        <v>2025</v>
      </c>
      <c r="D1472" s="23" t="str">
        <f>'COMMERCIAL 2019 - 2021'!H2074</f>
        <v>CE2269</v>
      </c>
      <c r="E1472" s="23" t="str">
        <f>'COMMERCIAL 2019 - 2021'!I2074</f>
        <v>DEBENHAM</v>
      </c>
      <c r="F1472" s="23" t="str">
        <f>'COMMERCIAL 2019 - 2021'!N2074</f>
        <v>OUI</v>
      </c>
      <c r="G1472" s="23" t="str">
        <f>'COMMERCIAL 2019 - 2021'!O2074</f>
        <v>Kenya</v>
      </c>
      <c r="H1472" s="893">
        <f>'COMMERCIAL 2019 - 2021'!P2074</f>
        <v>45859</v>
      </c>
      <c r="I1472" s="15">
        <f>'COMMERCIAL 2019 - 2021'!Q2074</f>
        <v>0</v>
      </c>
      <c r="J1472" s="894"/>
      <c r="K1472" s="15">
        <f>'COMMERCIAL 2019 - 2021'!R2074</f>
        <v>0</v>
      </c>
      <c r="L1472" s="295"/>
      <c r="M1472" s="15">
        <f>'COMMERCIAL 2019 - 2021'!S2074</f>
        <v>260000</v>
      </c>
      <c r="N1472" s="841" t="s">
        <v>20347</v>
      </c>
      <c r="O1472" s="15">
        <f>'COMMERCIAL 2019 - 2021'!T2074</f>
        <v>0</v>
      </c>
      <c r="P1472" s="16"/>
      <c r="Q1472" s="15">
        <f>'COMMERCIAL 2019 - 2021'!U2074</f>
        <v>260000</v>
      </c>
    </row>
    <row r="1473" spans="1:17">
      <c r="A1473" s="892" t="str">
        <f>'COMMERCIAL 2019 - 2021'!D2075</f>
        <v>FAE-25-00195</v>
      </c>
      <c r="B1473" s="896">
        <f>'COMMERCIAL 2019 - 2021'!F2075</f>
        <v>45849</v>
      </c>
      <c r="C1473" s="23">
        <f>'COMMERCIAL 2019 - 2021'!G2075</f>
        <v>2025</v>
      </c>
      <c r="D1473" s="23" t="str">
        <f>'COMMERCIAL 2019 - 2021'!H2075</f>
        <v>CE2017</v>
      </c>
      <c r="E1473" s="23" t="str">
        <f>'COMMERCIAL 2019 - 2021'!I2075</f>
        <v>SAHEL INTERNATIONAL TRADE</v>
      </c>
      <c r="F1473" s="23" t="str">
        <f>'COMMERCIAL 2019 - 2021'!N2075</f>
        <v>OUI</v>
      </c>
      <c r="G1473" s="23" t="str">
        <f>'COMMERCIAL 2019 - 2021'!O2075</f>
        <v>Niger</v>
      </c>
      <c r="H1473" s="893">
        <f>'COMMERCIAL 2019 - 2021'!P2075</f>
        <v>45856</v>
      </c>
      <c r="I1473" s="15">
        <f>'COMMERCIAL 2019 - 2021'!Q2075</f>
        <v>0</v>
      </c>
      <c r="J1473" s="894"/>
      <c r="K1473" s="15">
        <f>'COMMERCIAL 2019 - 2021'!R2075</f>
        <v>0</v>
      </c>
      <c r="L1473" s="295"/>
      <c r="M1473" s="15">
        <f>'COMMERCIAL 2019 - 2021'!S2075</f>
        <v>220000</v>
      </c>
      <c r="N1473" s="841" t="s">
        <v>20347</v>
      </c>
      <c r="O1473" s="15">
        <f>'COMMERCIAL 2019 - 2021'!T2075</f>
        <v>0</v>
      </c>
      <c r="P1473" s="16"/>
      <c r="Q1473" s="15">
        <f>'COMMERCIAL 2019 - 2021'!U2075</f>
        <v>220000</v>
      </c>
    </row>
    <row r="1474" spans="1:17">
      <c r="A1474" s="892" t="str">
        <f>'COMMERCIAL 2019 - 2021'!D2076</f>
        <v>FAE-25-00196</v>
      </c>
      <c r="B1474" s="896">
        <f>'COMMERCIAL 2019 - 2021'!F2076</f>
        <v>45849</v>
      </c>
      <c r="C1474" s="23">
        <f>'COMMERCIAL 2019 - 2021'!G2076</f>
        <v>2025</v>
      </c>
      <c r="D1474" s="23" t="str">
        <f>'COMMERCIAL 2019 - 2021'!H2076</f>
        <v>CE2301</v>
      </c>
      <c r="E1474" s="23" t="str">
        <f>'COMMERCIAL 2019 - 2021'!I2076</f>
        <v>POWERTRADE</v>
      </c>
      <c r="F1474" s="23" t="str">
        <f>'COMMERCIAL 2019 - 2021'!N2076</f>
        <v>OUI</v>
      </c>
      <c r="G1474" s="23" t="str">
        <f>'COMMERCIAL 2019 - 2021'!O2076</f>
        <v>Russie</v>
      </c>
      <c r="H1474" s="893">
        <f>'COMMERCIAL 2019 - 2021'!P2076</f>
        <v>45859</v>
      </c>
      <c r="I1474" s="15">
        <f>'COMMERCIAL 2019 - 2021'!Q2076</f>
        <v>28000</v>
      </c>
      <c r="J1474" s="894"/>
      <c r="K1474" s="15">
        <f>'COMMERCIAL 2019 - 2021'!R2076</f>
        <v>0</v>
      </c>
      <c r="L1474" s="295"/>
      <c r="M1474" s="15">
        <f>'COMMERCIAL 2019 - 2021'!S2076</f>
        <v>0</v>
      </c>
      <c r="N1474" s="295"/>
      <c r="O1474" s="15">
        <f>'COMMERCIAL 2019 - 2021'!T2076</f>
        <v>0</v>
      </c>
      <c r="P1474" s="16"/>
      <c r="Q1474" s="15">
        <f>'COMMERCIAL 2019 - 2021'!U2076</f>
        <v>28000</v>
      </c>
    </row>
    <row r="1475" spans="1:17">
      <c r="A1475" s="892" t="str">
        <f>'COMMERCIAL 2019 - 2021'!D2077</f>
        <v>FAE-25-00197</v>
      </c>
      <c r="B1475" s="896">
        <f>'COMMERCIAL 2019 - 2021'!F2077</f>
        <v>45849</v>
      </c>
      <c r="C1475" s="23">
        <f>'COMMERCIAL 2019 - 2021'!G2077</f>
        <v>2025</v>
      </c>
      <c r="D1475" s="23" t="str">
        <f>'COMMERCIAL 2019 - 2021'!H2077</f>
        <v>CE2301</v>
      </c>
      <c r="E1475" s="23" t="str">
        <f>'COMMERCIAL 2019 - 2021'!I2077</f>
        <v>POWERTRADE</v>
      </c>
      <c r="F1475" s="23" t="str">
        <f>'COMMERCIAL 2019 - 2021'!N2077</f>
        <v>OUI</v>
      </c>
      <c r="G1475" s="23" t="str">
        <f>'COMMERCIAL 2019 - 2021'!O2077</f>
        <v>Russie</v>
      </c>
      <c r="H1475" s="893">
        <f>'COMMERCIAL 2019 - 2021'!P2077</f>
        <v>45859</v>
      </c>
      <c r="I1475" s="15">
        <f>'COMMERCIAL 2019 - 2021'!Q2077</f>
        <v>28000</v>
      </c>
      <c r="J1475" s="894"/>
      <c r="K1475" s="15">
        <f>'COMMERCIAL 2019 - 2021'!R2077</f>
        <v>0</v>
      </c>
      <c r="L1475" s="295"/>
      <c r="M1475" s="15">
        <f>'COMMERCIAL 2019 - 2021'!S2077</f>
        <v>0</v>
      </c>
      <c r="N1475" s="295"/>
      <c r="O1475" s="15">
        <f>'COMMERCIAL 2019 - 2021'!T2077</f>
        <v>0</v>
      </c>
      <c r="P1475" s="16"/>
      <c r="Q1475" s="15">
        <f>'COMMERCIAL 2019 - 2021'!U2077</f>
        <v>28000</v>
      </c>
    </row>
    <row r="1476" spans="1:17">
      <c r="A1476" s="892" t="str">
        <f>'COMMERCIAL 2019 - 2021'!D2078</f>
        <v>FAE-25-00198</v>
      </c>
      <c r="B1476" s="896">
        <f>'COMMERCIAL 2019 - 2021'!F2078</f>
        <v>45849</v>
      </c>
      <c r="C1476" s="23">
        <f>'COMMERCIAL 2019 - 2021'!G2078</f>
        <v>2025</v>
      </c>
      <c r="D1476" s="23" t="str">
        <f>'COMMERCIAL 2019 - 2021'!H2078</f>
        <v>CE2301</v>
      </c>
      <c r="E1476" s="23" t="str">
        <f>'COMMERCIAL 2019 - 2021'!I2078</f>
        <v>POWERTRADE</v>
      </c>
      <c r="F1476" s="23" t="str">
        <f>'COMMERCIAL 2019 - 2021'!N2078</f>
        <v>OUI</v>
      </c>
      <c r="G1476" s="23" t="str">
        <f>'COMMERCIAL 2019 - 2021'!O2078</f>
        <v>Russie</v>
      </c>
      <c r="H1476" s="893">
        <f>'COMMERCIAL 2019 - 2021'!P2078</f>
        <v>45860</v>
      </c>
      <c r="I1476" s="15">
        <f>'COMMERCIAL 2019 - 2021'!Q2078</f>
        <v>28000</v>
      </c>
      <c r="J1476" s="894"/>
      <c r="K1476" s="15">
        <f>'COMMERCIAL 2019 - 2021'!R2078</f>
        <v>0</v>
      </c>
      <c r="L1476" s="295"/>
      <c r="M1476" s="15">
        <f>'COMMERCIAL 2019 - 2021'!S2078</f>
        <v>0</v>
      </c>
      <c r="N1476" s="295"/>
      <c r="O1476" s="15">
        <f>'COMMERCIAL 2019 - 2021'!T2078</f>
        <v>0</v>
      </c>
      <c r="P1476" s="16"/>
      <c r="Q1476" s="15">
        <f>'COMMERCIAL 2019 - 2021'!U2078</f>
        <v>28000</v>
      </c>
    </row>
    <row r="1477" spans="1:17">
      <c r="A1477" s="892" t="str">
        <f>'COMMERCIAL 2019 - 2021'!D2079</f>
        <v>FAE-25-00199</v>
      </c>
      <c r="B1477" s="896">
        <f>'COMMERCIAL 2019 - 2021'!F2079</f>
        <v>45849</v>
      </c>
      <c r="C1477" s="23">
        <f>'COMMERCIAL 2019 - 2021'!G2079</f>
        <v>2025</v>
      </c>
      <c r="D1477" s="23" t="str">
        <f>'COMMERCIAL 2019 - 2021'!H2079</f>
        <v>CE2301</v>
      </c>
      <c r="E1477" s="23" t="str">
        <f>'COMMERCIAL 2019 - 2021'!I2079</f>
        <v>POWERTRADE</v>
      </c>
      <c r="F1477" s="23" t="str">
        <f>'COMMERCIAL 2019 - 2021'!N2079</f>
        <v>OUI</v>
      </c>
      <c r="G1477" s="23" t="str">
        <f>'COMMERCIAL 2019 - 2021'!O2079</f>
        <v>Russie</v>
      </c>
      <c r="H1477" s="893">
        <f>'COMMERCIAL 2019 - 2021'!P2079</f>
        <v>45860</v>
      </c>
      <c r="I1477" s="15">
        <f>'COMMERCIAL 2019 - 2021'!Q2079</f>
        <v>28000</v>
      </c>
      <c r="J1477" s="894"/>
      <c r="K1477" s="15">
        <f>'COMMERCIAL 2019 - 2021'!R2079</f>
        <v>0</v>
      </c>
      <c r="L1477" s="295"/>
      <c r="M1477" s="15">
        <f>'COMMERCIAL 2019 - 2021'!S2079</f>
        <v>0</v>
      </c>
      <c r="N1477" s="295"/>
      <c r="O1477" s="15">
        <f>'COMMERCIAL 2019 - 2021'!T2079</f>
        <v>0</v>
      </c>
      <c r="P1477" s="16"/>
      <c r="Q1477" s="15">
        <f>'COMMERCIAL 2019 - 2021'!U2079</f>
        <v>28000</v>
      </c>
    </row>
    <row r="1478" spans="1:17">
      <c r="A1478" s="892" t="str">
        <f>'COMMERCIAL 2019 - 2021'!D2080</f>
        <v>FAE-25-00200</v>
      </c>
      <c r="B1478" s="896">
        <f>'COMMERCIAL 2019 - 2021'!F2080</f>
        <v>45849</v>
      </c>
      <c r="C1478" s="23">
        <f>'COMMERCIAL 2019 - 2021'!G2080</f>
        <v>2025</v>
      </c>
      <c r="D1478" s="23" t="str">
        <f>'COMMERCIAL 2019 - 2021'!H2080</f>
        <v>CE2301</v>
      </c>
      <c r="E1478" s="23" t="str">
        <f>'COMMERCIAL 2019 - 2021'!I2080</f>
        <v>POWERTRADE</v>
      </c>
      <c r="F1478" s="23" t="str">
        <f>'COMMERCIAL 2019 - 2021'!N2080</f>
        <v>OUI</v>
      </c>
      <c r="G1478" s="23" t="str">
        <f>'COMMERCIAL 2019 - 2021'!O2080</f>
        <v>Russie</v>
      </c>
      <c r="H1478" s="893">
        <f>'COMMERCIAL 2019 - 2021'!P2080</f>
        <v>45860</v>
      </c>
      <c r="I1478" s="15">
        <f>'COMMERCIAL 2019 - 2021'!Q2080</f>
        <v>28000</v>
      </c>
      <c r="J1478" s="894"/>
      <c r="K1478" s="15">
        <f>'COMMERCIAL 2019 - 2021'!R2080</f>
        <v>0</v>
      </c>
      <c r="L1478" s="295"/>
      <c r="M1478" s="15">
        <f>'COMMERCIAL 2019 - 2021'!S2080</f>
        <v>0</v>
      </c>
      <c r="N1478" s="295"/>
      <c r="O1478" s="15">
        <f>'COMMERCIAL 2019 - 2021'!T2080</f>
        <v>0</v>
      </c>
      <c r="P1478" s="16"/>
      <c r="Q1478" s="15">
        <f>'COMMERCIAL 2019 - 2021'!U2080</f>
        <v>28000</v>
      </c>
    </row>
    <row r="1479" spans="1:17">
      <c r="A1479" s="892" t="str">
        <f>'COMMERCIAL 2019 - 2021'!D2081</f>
        <v>FAE-25-00201</v>
      </c>
      <c r="B1479" s="896" t="str">
        <f>'COMMERCIAL 2019 - 2021'!F2081</f>
        <v>17/07/2025</v>
      </c>
      <c r="C1479" s="23">
        <f>'COMMERCIAL 2019 - 2021'!G2081</f>
        <v>2025</v>
      </c>
      <c r="D1479" s="23" t="str">
        <f>'COMMERCIAL 2019 - 2021'!H2081</f>
        <v>CE2261</v>
      </c>
      <c r="E1479" s="23" t="str">
        <f>'COMMERCIAL 2019 - 2021'!I2081</f>
        <v>MARCOM INTERN</v>
      </c>
      <c r="F1479" s="23" t="str">
        <f>'COMMERCIAL 2019 - 2021'!N2081</f>
        <v>OUI</v>
      </c>
      <c r="G1479" s="23" t="str">
        <f>'COMMERCIAL 2019 - 2021'!O2081</f>
        <v>Senegal</v>
      </c>
      <c r="H1479" s="893">
        <f>'COMMERCIAL 2019 - 2021'!P2081</f>
        <v>45867</v>
      </c>
      <c r="I1479" s="15">
        <f>'COMMERCIAL 2019 - 2021'!Q2081</f>
        <v>54000</v>
      </c>
      <c r="J1479" s="870">
        <v>1</v>
      </c>
      <c r="K1479" s="15">
        <f>'COMMERCIAL 2019 - 2021'!R2081</f>
        <v>26000</v>
      </c>
      <c r="L1479" s="841" t="s">
        <v>20347</v>
      </c>
      <c r="M1479" s="15">
        <f>'COMMERCIAL 2019 - 2021'!S2081</f>
        <v>410000</v>
      </c>
      <c r="N1479" s="841" t="s">
        <v>20347</v>
      </c>
      <c r="O1479" s="15">
        <f>'COMMERCIAL 2019 - 2021'!T2081</f>
        <v>0</v>
      </c>
      <c r="P1479" s="16"/>
      <c r="Q1479" s="15">
        <f>'COMMERCIAL 2019 - 2021'!U2081</f>
        <v>490000</v>
      </c>
    </row>
    <row r="1480" spans="1:17">
      <c r="A1480" s="892" t="str">
        <f>'COMMERCIAL 2019 - 2021'!D2082</f>
        <v>FAE-25-00202</v>
      </c>
      <c r="B1480" s="896" t="str">
        <f>'COMMERCIAL 2019 - 2021'!F2082</f>
        <v>17/06/2025</v>
      </c>
      <c r="C1480" s="23">
        <f>'COMMERCIAL 2019 - 2021'!G2082</f>
        <v>2025</v>
      </c>
      <c r="D1480" s="23" t="str">
        <f>'COMMERCIAL 2019 - 2021'!H2082</f>
        <v>CE2261</v>
      </c>
      <c r="E1480" s="23" t="str">
        <f>'COMMERCIAL 2019 - 2021'!I2082</f>
        <v>MARCOM INTERN</v>
      </c>
      <c r="F1480" s="23" t="str">
        <f>'COMMERCIAL 2019 - 2021'!N2082</f>
        <v>OUI</v>
      </c>
      <c r="G1480" s="23" t="str">
        <f>'COMMERCIAL 2019 - 2021'!O2082</f>
        <v>Djibouti</v>
      </c>
      <c r="H1480" s="893">
        <f>'COMMERCIAL 2019 - 2021'!P2082</f>
        <v>45861</v>
      </c>
      <c r="I1480" s="15">
        <f>'COMMERCIAL 2019 - 2021'!Q2082</f>
        <v>38400</v>
      </c>
      <c r="J1480" s="870">
        <v>1</v>
      </c>
      <c r="K1480" s="15">
        <f>'COMMERCIAL 2019 - 2021'!R2082</f>
        <v>0</v>
      </c>
      <c r="L1480" s="295"/>
      <c r="M1480" s="15">
        <f>'COMMERCIAL 2019 - 2021'!S2082</f>
        <v>0</v>
      </c>
      <c r="N1480" s="295"/>
      <c r="O1480" s="15">
        <f>'COMMERCIAL 2019 - 2021'!T2082</f>
        <v>0</v>
      </c>
      <c r="P1480" s="16"/>
      <c r="Q1480" s="15">
        <f>'COMMERCIAL 2019 - 2021'!U2082</f>
        <v>38400</v>
      </c>
    </row>
    <row r="1481" spans="1:17">
      <c r="A1481" s="892" t="str">
        <f>'COMMERCIAL 2019 - 2021'!D2083</f>
        <v>FAE-25-00203</v>
      </c>
      <c r="B1481" s="896" t="str">
        <f>'COMMERCIAL 2019 - 2021'!F2083</f>
        <v>17/07/2025</v>
      </c>
      <c r="C1481" s="23">
        <f>'COMMERCIAL 2019 - 2021'!G2083</f>
        <v>2025</v>
      </c>
      <c r="D1481" s="23" t="str">
        <f>'COMMERCIAL 2019 - 2021'!H2083</f>
        <v>CE2017</v>
      </c>
      <c r="E1481" s="23" t="str">
        <f>'COMMERCIAL 2019 - 2021'!I2083</f>
        <v>SAHEL INTERNATIONAL TRADE</v>
      </c>
      <c r="F1481" s="23" t="str">
        <f>'COMMERCIAL 2019 - 2021'!N2083</f>
        <v>OUI</v>
      </c>
      <c r="G1481" s="23" t="str">
        <f>'COMMERCIAL 2019 - 2021'!O2083</f>
        <v>Burkina Faso</v>
      </c>
      <c r="H1481" s="893">
        <f>'COMMERCIAL 2019 - 2021'!P2083</f>
        <v>45862</v>
      </c>
      <c r="I1481" s="15">
        <f>'COMMERCIAL 2019 - 2021'!Q2083</f>
        <v>20504</v>
      </c>
      <c r="J1481" s="870">
        <v>1</v>
      </c>
      <c r="K1481" s="15">
        <f>'COMMERCIAL 2019 - 2021'!R2083</f>
        <v>32400</v>
      </c>
      <c r="L1481" s="841" t="s">
        <v>21173</v>
      </c>
      <c r="M1481" s="15">
        <f>'COMMERCIAL 2019 - 2021'!S2083</f>
        <v>3000</v>
      </c>
      <c r="N1481" s="841" t="s">
        <v>20347</v>
      </c>
      <c r="O1481" s="15">
        <f>'COMMERCIAL 2019 - 2021'!T2083</f>
        <v>0</v>
      </c>
      <c r="P1481" s="16"/>
      <c r="Q1481" s="15">
        <f>'COMMERCIAL 2019 - 2021'!U2083</f>
        <v>55904</v>
      </c>
    </row>
    <row r="1482" spans="1:17">
      <c r="A1482" s="892" t="str">
        <f>'COMMERCIAL 2019 - 2021'!D2084</f>
        <v>FAE-25-00204</v>
      </c>
      <c r="B1482" s="896" t="str">
        <f>'COMMERCIAL 2019 - 2021'!F2084</f>
        <v>17/07/2025</v>
      </c>
      <c r="C1482" s="23">
        <f>'COMMERCIAL 2019 - 2021'!G2084</f>
        <v>2025</v>
      </c>
      <c r="D1482" s="23" t="str">
        <f>'COMMERCIAL 2019 - 2021'!H2084</f>
        <v>CE2295</v>
      </c>
      <c r="E1482" s="23" t="str">
        <f>'COMMERCIAL 2019 - 2021'!I2084</f>
        <v>ALMOSTAWRED ALJADEED CO. FOR IMPORT</v>
      </c>
      <c r="F1482" s="23" t="str">
        <f>'COMMERCIAL 2019 - 2021'!N2084</f>
        <v>OUI</v>
      </c>
      <c r="G1482" s="23" t="str">
        <f>'COMMERCIAL 2019 - 2021'!O2084</f>
        <v>Libye</v>
      </c>
      <c r="H1482" s="893">
        <f>'COMMERCIAL 2019 - 2021'!P2084</f>
        <v>45867</v>
      </c>
      <c r="I1482" s="15">
        <f>'COMMERCIAL 2019 - 2021'!Q2084</f>
        <v>0</v>
      </c>
      <c r="J1482" s="894"/>
      <c r="K1482" s="15">
        <f>'COMMERCIAL 2019 - 2021'!R2084</f>
        <v>49400</v>
      </c>
      <c r="L1482" s="359" t="s">
        <v>20345</v>
      </c>
      <c r="M1482" s="15">
        <f>'COMMERCIAL 2019 - 2021'!S2084</f>
        <v>0</v>
      </c>
      <c r="N1482" s="295"/>
      <c r="O1482" s="15">
        <f>'COMMERCIAL 2019 - 2021'!T2084</f>
        <v>0</v>
      </c>
      <c r="P1482" s="16"/>
      <c r="Q1482" s="15">
        <f>'COMMERCIAL 2019 - 2021'!U2084</f>
        <v>49400</v>
      </c>
    </row>
    <row r="1483" spans="1:17">
      <c r="A1483" s="892" t="str">
        <f>'COMMERCIAL 2019 - 2021'!D2085</f>
        <v>FAE-25-00205</v>
      </c>
      <c r="B1483" s="896" t="str">
        <f>'COMMERCIAL 2019 - 2021'!F2085</f>
        <v>17/07/2025</v>
      </c>
      <c r="C1483" s="23">
        <f>'COMMERCIAL 2019 - 2021'!G2085</f>
        <v>2025</v>
      </c>
      <c r="D1483" s="23" t="str">
        <f>'COMMERCIAL 2019 - 2021'!H2085</f>
        <v>CE2295</v>
      </c>
      <c r="E1483" s="23" t="str">
        <f>'COMMERCIAL 2019 - 2021'!I2085</f>
        <v>ALMOSTAWRED ALJADEED CO. FOR IMPORT</v>
      </c>
      <c r="F1483" s="23" t="str">
        <f>'COMMERCIAL 2019 - 2021'!N2085</f>
        <v>OUI</v>
      </c>
      <c r="G1483" s="23" t="str">
        <f>'COMMERCIAL 2019 - 2021'!O2085</f>
        <v>Libye</v>
      </c>
      <c r="H1483" s="893">
        <f>'COMMERCIAL 2019 - 2021'!P2085</f>
        <v>45867</v>
      </c>
      <c r="I1483" s="15">
        <f>'COMMERCIAL 2019 - 2021'!Q2085</f>
        <v>0</v>
      </c>
      <c r="J1483" s="894"/>
      <c r="K1483" s="15">
        <f>'COMMERCIAL 2019 - 2021'!R2085</f>
        <v>134400</v>
      </c>
      <c r="L1483" s="359" t="s">
        <v>20345</v>
      </c>
      <c r="M1483" s="15">
        <f>'COMMERCIAL 2019 - 2021'!S2085</f>
        <v>9600</v>
      </c>
      <c r="N1483" s="359" t="s">
        <v>20345</v>
      </c>
      <c r="O1483" s="15">
        <f>'COMMERCIAL 2019 - 2021'!T2085</f>
        <v>0</v>
      </c>
      <c r="P1483" s="16"/>
      <c r="Q1483" s="15">
        <f>'COMMERCIAL 2019 - 2021'!U2085</f>
        <v>144000</v>
      </c>
    </row>
    <row r="1484" spans="1:17">
      <c r="A1484" s="892" t="str">
        <f>'COMMERCIAL 2019 - 2021'!D2086</f>
        <v>FAE-25-00206</v>
      </c>
      <c r="B1484" s="896" t="str">
        <f>'COMMERCIAL 2019 - 2021'!F2086</f>
        <v>21/07/2025</v>
      </c>
      <c r="C1484" s="23">
        <f>'COMMERCIAL 2019 - 2021'!G2086</f>
        <v>2025</v>
      </c>
      <c r="D1484" s="23" t="str">
        <f>'COMMERCIAL 2019 - 2021'!H2086</f>
        <v>CE2178</v>
      </c>
      <c r="E1484" s="23" t="str">
        <f>'COMMERCIAL 2019 - 2021'!I2086</f>
        <v>ARCADIA</v>
      </c>
      <c r="F1484" s="23" t="str">
        <f>'COMMERCIAL 2019 - 2021'!N2086</f>
        <v>OUI</v>
      </c>
      <c r="G1484" s="23" t="str">
        <f>'COMMERCIAL 2019 - 2021'!O2086</f>
        <v>Australie</v>
      </c>
      <c r="H1484" s="893">
        <f>'COMMERCIAL 2019 - 2021'!P2086</f>
        <v>45868</v>
      </c>
      <c r="I1484" s="15">
        <f>'COMMERCIAL 2019 - 2021'!Q2086</f>
        <v>0</v>
      </c>
      <c r="J1484" s="894"/>
      <c r="K1484" s="15">
        <f>'COMMERCIAL 2019 - 2021'!R2086</f>
        <v>20500</v>
      </c>
      <c r="L1484" s="870">
        <v>1</v>
      </c>
      <c r="M1484" s="15">
        <f>'COMMERCIAL 2019 - 2021'!S2086</f>
        <v>0</v>
      </c>
      <c r="N1484" s="295"/>
      <c r="O1484" s="15">
        <f>'COMMERCIAL 2019 - 2021'!T2086</f>
        <v>0</v>
      </c>
      <c r="P1484" s="16"/>
      <c r="Q1484" s="15">
        <f>'COMMERCIAL 2019 - 2021'!U2086</f>
        <v>20500</v>
      </c>
    </row>
    <row r="1485" spans="1:17">
      <c r="A1485" s="892" t="str">
        <f>'COMMERCIAL 2019 - 2021'!D2087</f>
        <v>FAE-25-00207</v>
      </c>
      <c r="B1485" s="896" t="str">
        <f>'COMMERCIAL 2019 - 2021'!F2087</f>
        <v>21/07/2025</v>
      </c>
      <c r="C1485" s="23">
        <f>'COMMERCIAL 2019 - 2021'!G2087</f>
        <v>2025</v>
      </c>
      <c r="D1485" s="23" t="str">
        <f>'COMMERCIAL 2019 - 2021'!H2087</f>
        <v>CE2149</v>
      </c>
      <c r="E1485" s="23" t="str">
        <f>'COMMERCIAL 2019 - 2021'!I2087</f>
        <v>DAVIS TRADING CO LTD</v>
      </c>
      <c r="F1485" s="23" t="str">
        <f>'COMMERCIAL 2019 - 2021'!N2087</f>
        <v>OUI</v>
      </c>
      <c r="G1485" s="23" t="str">
        <f>'COMMERCIAL 2019 - 2021'!O2087</f>
        <v>New Zealand</v>
      </c>
      <c r="H1485" s="893">
        <f>'COMMERCIAL 2019 - 2021'!P2087</f>
        <v>45870</v>
      </c>
      <c r="I1485" s="15">
        <f>'COMMERCIAL 2019 - 2021'!Q2087</f>
        <v>2500</v>
      </c>
      <c r="J1485" s="870">
        <v>1</v>
      </c>
      <c r="K1485" s="15">
        <f>'COMMERCIAL 2019 - 2021'!R2087</f>
        <v>17570</v>
      </c>
      <c r="L1485" s="870">
        <v>1</v>
      </c>
      <c r="M1485" s="15">
        <f>'COMMERCIAL 2019 - 2021'!S2087</f>
        <v>0</v>
      </c>
      <c r="N1485" s="295"/>
      <c r="O1485" s="15">
        <f>'COMMERCIAL 2019 - 2021'!T2087</f>
        <v>0</v>
      </c>
      <c r="P1485" s="16"/>
      <c r="Q1485" s="15">
        <f>'COMMERCIAL 2019 - 2021'!U2087</f>
        <v>20070</v>
      </c>
    </row>
    <row r="1486" spans="1:17">
      <c r="A1486" s="892" t="str">
        <f>'COMMERCIAL 2019 - 2021'!D2088</f>
        <v>FAE-25-00208</v>
      </c>
      <c r="B1486" s="896" t="str">
        <f>'COMMERCIAL 2019 - 2021'!F2088</f>
        <v>21/07/2025</v>
      </c>
      <c r="C1486" s="23">
        <f>'COMMERCIAL 2019 - 2021'!G2088</f>
        <v>2025</v>
      </c>
      <c r="D1486" s="23" t="str">
        <f>'COMMERCIAL 2019 - 2021'!H2088</f>
        <v>CE2149</v>
      </c>
      <c r="E1486" s="23" t="str">
        <f>'COMMERCIAL 2019 - 2021'!I2088</f>
        <v>DAVIS TRADING CO LTD</v>
      </c>
      <c r="F1486" s="23" t="str">
        <f>'COMMERCIAL 2019 - 2021'!N2088</f>
        <v>OUI</v>
      </c>
      <c r="G1486" s="23" t="str">
        <f>'COMMERCIAL 2019 - 2021'!O2088</f>
        <v>New Zealand</v>
      </c>
      <c r="H1486" s="893">
        <f>'COMMERCIAL 2019 - 2021'!P2088</f>
        <v>45870</v>
      </c>
      <c r="I1486" s="15">
        <f>'COMMERCIAL 2019 - 2021'!Q2088</f>
        <v>5000</v>
      </c>
      <c r="J1486" s="870">
        <v>1</v>
      </c>
      <c r="K1486" s="15">
        <f>'COMMERCIAL 2019 - 2021'!R2088</f>
        <v>15320</v>
      </c>
      <c r="L1486" s="870">
        <v>1</v>
      </c>
      <c r="M1486" s="15">
        <f>'COMMERCIAL 2019 - 2021'!S2088</f>
        <v>0</v>
      </c>
      <c r="N1486" s="295"/>
      <c r="O1486" s="15">
        <f>'COMMERCIAL 2019 - 2021'!T2088</f>
        <v>0</v>
      </c>
      <c r="P1486" s="16"/>
      <c r="Q1486" s="15">
        <f>'COMMERCIAL 2019 - 2021'!U2088</f>
        <v>20320</v>
      </c>
    </row>
    <row r="1487" spans="1:17">
      <c r="A1487" s="892" t="str">
        <f>'COMMERCIAL 2019 - 2021'!D2089</f>
        <v>FAE-25-00209</v>
      </c>
      <c r="B1487" s="896" t="str">
        <f>'COMMERCIAL 2019 - 2021'!F2089</f>
        <v>18/07/2025</v>
      </c>
      <c r="C1487" s="23">
        <f>'COMMERCIAL 2019 - 2021'!G2089</f>
        <v>2025</v>
      </c>
      <c r="D1487" s="23" t="str">
        <f>'COMMERCIAL 2019 - 2021'!H2089</f>
        <v>CE2001</v>
      </c>
      <c r="E1487" s="23" t="str">
        <f>'COMMERCIAL 2019 - 2021'!I2089</f>
        <v>STE DE COMMERCE INTERNATIONAL</v>
      </c>
      <c r="F1487" s="23" t="str">
        <f>'COMMERCIAL 2019 - 2021'!N2089</f>
        <v>ANNULEE</v>
      </c>
      <c r="G1487" s="23" t="str">
        <f>'COMMERCIAL 2019 - 2021'!O2089</f>
        <v>Gabon</v>
      </c>
      <c r="H1487" s="893">
        <f>'COMMERCIAL 2019 - 2021'!P2089</f>
        <v>45867</v>
      </c>
      <c r="I1487" s="15">
        <f>'COMMERCIAL 2019 - 2021'!Q2089</f>
        <v>0</v>
      </c>
      <c r="J1487" s="894"/>
      <c r="K1487" s="15">
        <f>'COMMERCIAL 2019 - 2021'!R2089</f>
        <v>44520</v>
      </c>
      <c r="L1487" s="841" t="s">
        <v>21173</v>
      </c>
      <c r="M1487" s="15">
        <f>'COMMERCIAL 2019 - 2021'!S2089</f>
        <v>0</v>
      </c>
      <c r="N1487" s="295"/>
      <c r="O1487" s="15">
        <f>'COMMERCIAL 2019 - 2021'!T2089</f>
        <v>0</v>
      </c>
      <c r="P1487" s="16"/>
      <c r="Q1487" s="15">
        <f>'COMMERCIAL 2019 - 2021'!U2089</f>
        <v>44520</v>
      </c>
    </row>
    <row r="1488" spans="1:17">
      <c r="A1488" s="892" t="str">
        <f>'COMMERCIAL 2019 - 2021'!D2090</f>
        <v>FAE-25-00210</v>
      </c>
      <c r="B1488" s="896" t="str">
        <f>'COMMERCIAL 2019 - 2021'!F2090</f>
        <v>21/07/2025</v>
      </c>
      <c r="C1488" s="23">
        <f>'COMMERCIAL 2019 - 2021'!G2090</f>
        <v>2025</v>
      </c>
      <c r="D1488" s="23" t="str">
        <f>'COMMERCIAL 2019 - 2021'!H2090</f>
        <v>CE2178</v>
      </c>
      <c r="E1488" s="23" t="str">
        <f>'COMMERCIAL 2019 - 2021'!I2090</f>
        <v>ARCADIA</v>
      </c>
      <c r="F1488" s="23" t="str">
        <f>'COMMERCIAL 2019 - 2021'!N2090</f>
        <v>OUI</v>
      </c>
      <c r="G1488" s="23" t="str">
        <f>'COMMERCIAL 2019 - 2021'!O2090</f>
        <v>Australie</v>
      </c>
      <c r="H1488" s="893">
        <f>'COMMERCIAL 2019 - 2021'!P2090</f>
        <v>45868</v>
      </c>
      <c r="I1488" s="15">
        <f>'COMMERCIAL 2019 - 2021'!Q2090</f>
        <v>20750</v>
      </c>
      <c r="J1488" s="870">
        <v>1</v>
      </c>
      <c r="K1488" s="15">
        <f>'COMMERCIAL 2019 - 2021'!R2090</f>
        <v>0</v>
      </c>
      <c r="L1488" s="295"/>
      <c r="M1488" s="15">
        <f>'COMMERCIAL 2019 - 2021'!S2090</f>
        <v>0</v>
      </c>
      <c r="N1488" s="295"/>
      <c r="O1488" s="15">
        <f>'COMMERCIAL 2019 - 2021'!T2090</f>
        <v>0</v>
      </c>
      <c r="P1488" s="16"/>
      <c r="Q1488" s="15">
        <f>'COMMERCIAL 2019 - 2021'!U2090</f>
        <v>20750</v>
      </c>
    </row>
    <row r="1489" spans="1:17">
      <c r="A1489" s="892" t="str">
        <f>'COMMERCIAL 2019 - 2021'!D2091</f>
        <v>FAE-25-00211</v>
      </c>
      <c r="B1489" s="896" t="str">
        <f>'COMMERCIAL 2019 - 2021'!F2091</f>
        <v>23/07/2025</v>
      </c>
      <c r="C1489" s="23">
        <f>'COMMERCIAL 2019 - 2021'!G2091</f>
        <v>2025</v>
      </c>
      <c r="D1489" s="23" t="str">
        <f>'COMMERCIAL 2019 - 2021'!H2091</f>
        <v>CE2017</v>
      </c>
      <c r="E1489" s="23" t="str">
        <f>'COMMERCIAL 2019 - 2021'!I2091</f>
        <v>SAHEL INTERNATIONAL TRADE</v>
      </c>
      <c r="F1489" s="23" t="str">
        <f>'COMMERCIAL 2019 - 2021'!N2091</f>
        <v>OUI</v>
      </c>
      <c r="G1489" s="23" t="str">
        <f>'COMMERCIAL 2019 - 2021'!O2091</f>
        <v>Niger</v>
      </c>
      <c r="H1489" s="893">
        <f>'COMMERCIAL 2019 - 2021'!P2091</f>
        <v>45869</v>
      </c>
      <c r="I1489" s="15">
        <f>'COMMERCIAL 2019 - 2021'!Q2091</f>
        <v>0</v>
      </c>
      <c r="J1489" s="894"/>
      <c r="K1489" s="15">
        <f>'COMMERCIAL 2019 - 2021'!R2091</f>
        <v>0</v>
      </c>
      <c r="L1489" s="295"/>
      <c r="M1489" s="15">
        <f>'COMMERCIAL 2019 - 2021'!S2091</f>
        <v>192500</v>
      </c>
      <c r="N1489" s="841" t="s">
        <v>20347</v>
      </c>
      <c r="O1489" s="15">
        <f>'COMMERCIAL 2019 - 2021'!T2091</f>
        <v>0</v>
      </c>
      <c r="P1489" s="16"/>
      <c r="Q1489" s="15">
        <f>'COMMERCIAL 2019 - 2021'!U2091</f>
        <v>192500</v>
      </c>
    </row>
    <row r="1490" spans="1:17">
      <c r="A1490" s="892" t="str">
        <f>'COMMERCIAL 2019 - 2021'!D2092</f>
        <v>FAE-25-00212</v>
      </c>
      <c r="B1490" s="896" t="str">
        <f>'COMMERCIAL 2019 - 2021'!F2092</f>
        <v>24/07/2025</v>
      </c>
      <c r="C1490" s="23">
        <f>'COMMERCIAL 2019 - 2021'!G2092</f>
        <v>2025</v>
      </c>
      <c r="D1490" s="23" t="str">
        <f>'COMMERCIAL 2019 - 2021'!H2092</f>
        <v>CE2275</v>
      </c>
      <c r="E1490" s="23" t="str">
        <f>'COMMERCIAL 2019 - 2021'!I2092</f>
        <v>SODIC</v>
      </c>
      <c r="F1490" s="23" t="str">
        <f>'COMMERCIAL 2019 - 2021'!N2092</f>
        <v>OUI</v>
      </c>
      <c r="G1490" s="23" t="str">
        <f>'COMMERCIAL 2019 - 2021'!O2092</f>
        <v>France</v>
      </c>
      <c r="H1490" s="893">
        <f>'COMMERCIAL 2019 - 2021'!P2092</f>
        <v>45869</v>
      </c>
      <c r="I1490" s="15">
        <f>'COMMERCIAL 2019 - 2021'!Q2092</f>
        <v>4790</v>
      </c>
      <c r="J1490" s="870">
        <v>1</v>
      </c>
      <c r="K1490" s="15">
        <f>'COMMERCIAL 2019 - 2021'!R2092</f>
        <v>31516</v>
      </c>
      <c r="L1490" s="870">
        <v>1</v>
      </c>
      <c r="M1490" s="15">
        <f>'COMMERCIAL 2019 - 2021'!S2092</f>
        <v>11750</v>
      </c>
      <c r="N1490" s="870">
        <v>1</v>
      </c>
      <c r="O1490" s="15">
        <f>'COMMERCIAL 2019 - 2021'!T2092</f>
        <v>3760</v>
      </c>
      <c r="P1490" s="870">
        <v>1</v>
      </c>
      <c r="Q1490" s="15">
        <f>'COMMERCIAL 2019 - 2021'!U2092</f>
        <v>51816</v>
      </c>
    </row>
    <row r="1491" spans="1:17">
      <c r="A1491" s="892" t="str">
        <f>'COMMERCIAL 2019 - 2021'!D2093</f>
        <v>FAE-25-00213</v>
      </c>
      <c r="B1491" s="896" t="str">
        <f>'COMMERCIAL 2019 - 2021'!F2093</f>
        <v>24/07/2025</v>
      </c>
      <c r="C1491" s="23">
        <f>'COMMERCIAL 2019 - 2021'!G2093</f>
        <v>2025</v>
      </c>
      <c r="D1491" s="23" t="str">
        <f>'COMMERCIAL 2019 - 2021'!H2093</f>
        <v>CE2165</v>
      </c>
      <c r="E1491" s="23" t="str">
        <f>'COMMERCIAL 2019 - 2021'!I2093</f>
        <v>ANGSTREM TRADING</v>
      </c>
      <c r="F1491" s="23" t="str">
        <f>'COMMERCIAL 2019 - 2021'!N2093</f>
        <v>OUI</v>
      </c>
      <c r="G1491" s="23" t="str">
        <f>'COMMERCIAL 2019 - 2021'!O2093</f>
        <v>Russie</v>
      </c>
      <c r="H1491" s="893">
        <f>'COMMERCIAL 2019 - 2021'!P2093</f>
        <v>45877</v>
      </c>
      <c r="I1491" s="15">
        <f>'COMMERCIAL 2019 - 2021'!Q2093</f>
        <v>20150</v>
      </c>
      <c r="J1491" s="894"/>
      <c r="K1491" s="15">
        <f>'COMMERCIAL 2019 - 2021'!R2093</f>
        <v>0</v>
      </c>
      <c r="L1491" s="295"/>
      <c r="M1491" s="15">
        <f>'COMMERCIAL 2019 - 2021'!S2093</f>
        <v>0</v>
      </c>
      <c r="N1491" s="295"/>
      <c r="O1491" s="15">
        <f>'COMMERCIAL 2019 - 2021'!T2093</f>
        <v>0</v>
      </c>
      <c r="P1491" s="16"/>
      <c r="Q1491" s="15">
        <f>'COMMERCIAL 2019 - 2021'!U2093</f>
        <v>20150</v>
      </c>
    </row>
    <row r="1492" spans="1:17">
      <c r="A1492" s="892" t="str">
        <f>'COMMERCIAL 2019 - 2021'!D2094</f>
        <v>FAE-25-00214</v>
      </c>
      <c r="B1492" s="896" t="str">
        <f>'COMMERCIAL 2019 - 2021'!F2094</f>
        <v>28/07/2025</v>
      </c>
      <c r="C1492" s="23">
        <f>'COMMERCIAL 2019 - 2021'!G2094</f>
        <v>2025</v>
      </c>
      <c r="D1492" s="23" t="str">
        <f>'COMMERCIAL 2019 - 2021'!H2094</f>
        <v>CE2275</v>
      </c>
      <c r="E1492" s="23" t="str">
        <f>'COMMERCIAL 2019 - 2021'!I2094</f>
        <v>SODIC</v>
      </c>
      <c r="F1492" s="23" t="str">
        <f>'COMMERCIAL 2019 - 2021'!N2094</f>
        <v>OUI</v>
      </c>
      <c r="G1492" s="23" t="str">
        <f>'COMMERCIAL 2019 - 2021'!O2094</f>
        <v>France</v>
      </c>
      <c r="H1492" s="893">
        <f>'COMMERCIAL 2019 - 2021'!P2094</f>
        <v>45869</v>
      </c>
      <c r="I1492" s="15">
        <f>'COMMERCIAL 2019 - 2021'!Q2094</f>
        <v>0</v>
      </c>
      <c r="J1492" s="894"/>
      <c r="K1492" s="15">
        <f>'COMMERCIAL 2019 - 2021'!R2094</f>
        <v>13872</v>
      </c>
      <c r="L1492" s="870">
        <v>1</v>
      </c>
      <c r="M1492" s="15">
        <f>'COMMERCIAL 2019 - 2021'!S2094</f>
        <v>0</v>
      </c>
      <c r="N1492" s="295"/>
      <c r="O1492" s="15">
        <f>'COMMERCIAL 2019 - 2021'!T2094</f>
        <v>320</v>
      </c>
      <c r="P1492" s="870">
        <v>1</v>
      </c>
      <c r="Q1492" s="15">
        <f>'COMMERCIAL 2019 - 2021'!U2094</f>
        <v>14192</v>
      </c>
    </row>
    <row r="1493" spans="1:17">
      <c r="A1493" s="892" t="str">
        <f>'COMMERCIAL 2019 - 2021'!D2095</f>
        <v>FAE-25-00215</v>
      </c>
      <c r="B1493" s="896">
        <f>'COMMERCIAL 2019 - 2021'!F2095</f>
        <v>45874</v>
      </c>
      <c r="C1493" s="23">
        <f>'COMMERCIAL 2019 - 2021'!G2095</f>
        <v>2025</v>
      </c>
      <c r="D1493" s="23" t="str">
        <f>'COMMERCIAL 2019 - 2021'!H2095</f>
        <v>CE2301</v>
      </c>
      <c r="E1493" s="23" t="str">
        <f>'COMMERCIAL 2019 - 2021'!I2095</f>
        <v>POWERTRADE</v>
      </c>
      <c r="F1493" s="23" t="str">
        <f>'COMMERCIAL 2019 - 2021'!N2095</f>
        <v>OUI</v>
      </c>
      <c r="G1493" s="23" t="str">
        <f>'COMMERCIAL 2019 - 2021'!O2095</f>
        <v>Russie</v>
      </c>
      <c r="H1493" s="893">
        <f>'COMMERCIAL 2019 - 2021'!P2095</f>
        <v>45880</v>
      </c>
      <c r="I1493" s="15">
        <f>'COMMERCIAL 2019 - 2021'!Q2095</f>
        <v>28000</v>
      </c>
      <c r="J1493" s="894"/>
      <c r="K1493" s="15">
        <f>'COMMERCIAL 2019 - 2021'!R2095</f>
        <v>0</v>
      </c>
      <c r="L1493" s="295"/>
      <c r="M1493" s="15">
        <f>'COMMERCIAL 2019 - 2021'!S2095</f>
        <v>0</v>
      </c>
      <c r="N1493" s="295"/>
      <c r="O1493" s="15">
        <f>'COMMERCIAL 2019 - 2021'!T2095</f>
        <v>0</v>
      </c>
      <c r="P1493" s="16"/>
      <c r="Q1493" s="15">
        <f>'COMMERCIAL 2019 - 2021'!U2095</f>
        <v>28000</v>
      </c>
    </row>
  </sheetData>
  <autoFilter ref="A1387:Q1493" xr:uid="{00000000-0001-0000-0E00-000000000000}"/>
  <mergeCells count="3">
    <mergeCell ref="A1:E1"/>
    <mergeCell ref="F1:H1"/>
    <mergeCell ref="I1:Q1"/>
  </mergeCells>
  <phoneticPr fontId="6" type="noConversion"/>
  <pageMargins left="0.7" right="0.7" top="0.75" bottom="0.75" header="0.3" footer="0.3"/>
  <pageSetup paperSize="9" orientation="portrait" horizontalDpi="0" verticalDpi="0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CF6BEC0DCB3F44B270485933C3DE04" ma:contentTypeVersion="4" ma:contentTypeDescription="Crée un document." ma:contentTypeScope="" ma:versionID="882ea4ac807ddfc2643afdad8ddd212a">
  <xsd:schema xmlns:xsd="http://www.w3.org/2001/XMLSchema" xmlns:xs="http://www.w3.org/2001/XMLSchema" xmlns:p="http://schemas.microsoft.com/office/2006/metadata/properties" xmlns:ns2="d53a65a5-17ab-4c30-80ab-0bb01c0781f7" targetNamespace="http://schemas.microsoft.com/office/2006/metadata/properties" ma:root="true" ma:fieldsID="1090dc9fb73c94429c97ea113f779d97" ns2:_="">
    <xsd:import namespace="d53a65a5-17ab-4c30-80ab-0bb01c0781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3a65a5-17ab-4c30-80ab-0bb01c0781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SyracuseOfficeCustomData>{"createMode":"plain_doc","forceRefresh":"0"}</SyracuseOfficeCustomData>
</file>

<file path=customXml/itemProps1.xml><?xml version="1.0" encoding="utf-8"?>
<ds:datastoreItem xmlns:ds="http://schemas.openxmlformats.org/officeDocument/2006/customXml" ds:itemID="{5C60C0DA-5B02-4D95-AD40-864FBDA54ED0}"/>
</file>

<file path=customXml/itemProps2.xml><?xml version="1.0" encoding="utf-8"?>
<ds:datastoreItem xmlns:ds="http://schemas.openxmlformats.org/officeDocument/2006/customXml" ds:itemID="{E5368C42-20A6-4C08-B579-A98DA4B41B36}"/>
</file>

<file path=customXml/itemProps3.xml><?xml version="1.0" encoding="utf-8"?>
<ds:datastoreItem xmlns:ds="http://schemas.openxmlformats.org/officeDocument/2006/customXml" ds:itemID="{065E84B7-BC55-4AAA-9491-EE277DF19D39}"/>
</file>

<file path=customXml/itemProps4.xml><?xml version="1.0" encoding="utf-8"?>
<ds:datastoreItem xmlns:ds="http://schemas.openxmlformats.org/officeDocument/2006/customXml" ds:itemID="{9A71A95F-EBD9-4C49-B1F0-1D688E4A0A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Crystal Decisions</dc:creator>
  <cp:keywords/>
  <dc:description>Powered by Crystal</dc:description>
  <cp:lastModifiedBy>Houssem Zouiten</cp:lastModifiedBy>
  <cp:revision/>
  <dcterms:created xsi:type="dcterms:W3CDTF">2019-05-20T13:44:44Z</dcterms:created>
  <dcterms:modified xsi:type="dcterms:W3CDTF">2025-09-11T12:29:37Z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8BA7624301374D5BA6E861C6EE795408</vt:lpwstr>
  </property>
  <property fmtid="{D5CDD505-2E9C-101B-9397-08002B2CF9AE}" pid="3" name="KSOProductBuildVer">
    <vt:lpwstr>1036-11.2.0.11254</vt:lpwstr>
  </property>
  <property fmtid="{D5CDD505-2E9C-101B-9397-08002B2CF9AE}" pid="4" name="ContentTypeId">
    <vt:lpwstr>0x010100FBCF6BEC0DCB3F44B270485933C3DE04</vt:lpwstr>
  </property>
</Properties>
</file>